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10509"/>
  <workbookPr dateCompatibility="0" codeName="ThisWorkbook" defaultThemeVersion="166925"/>
  <mc:AlternateContent xmlns:mc="http://schemas.openxmlformats.org/markup-compatibility/2006">
    <mc:Choice Requires="x15">
      <x15ac:absPath xmlns:x15ac="http://schemas.microsoft.com/office/spreadsheetml/2010/11/ac" url="/Users/adelinasochirca/Documents/PROIECTE/1. CCM/Aplicatia 2021-2023/Pachet aplicație/PN/"/>
    </mc:Choice>
  </mc:AlternateContent>
  <xr:revisionPtr revIDLastSave="0" documentId="8_{68B43558-EF8E-8F4A-9EDA-71BF11A454D2}" xr6:coauthVersionLast="36" xr6:coauthVersionMax="36" xr10:uidLastSave="{00000000-0000-0000-0000-000000000000}"/>
  <bookViews>
    <workbookView xWindow="760" yWindow="640" windowWidth="28800" windowHeight="12340" tabRatio="829" activeTab="2" xr2:uid="{00000000-000D-0000-FFFF-FFFF00000000}"/>
  </bookViews>
  <sheets>
    <sheet name="PAS_temp" sheetId="34" state="hidden" r:id="rId1"/>
    <sheet name="Pivot_sumar (PAS)" sheetId="60" state="hidden" r:id="rId2"/>
    <sheet name="Buget_sumar_EUR" sheetId="21" r:id="rId3"/>
    <sheet name="Buget_sumar_MDL" sheetId="15" r:id="rId4"/>
    <sheet name="Pivot_sumar (NGO)" sheetId="62" state="hidden" r:id="rId5"/>
    <sheet name="Pivot_sumar_GFATM_MDL" sheetId="57" r:id="rId6"/>
    <sheet name="Pivot_sumar" sheetId="49" r:id="rId7"/>
    <sheet name="Buget_detaliat" sheetId="4" r:id="rId8"/>
    <sheet name="Sheet4" sheetId="56" state="hidden" r:id="rId9"/>
    <sheet name="CUPRINS" sheetId="41" r:id="rId10"/>
    <sheet name="Estimare cazuri" sheetId="5" r:id="rId11"/>
    <sheet name="Populatie" sheetId="8" r:id="rId12"/>
    <sheet name="PNCT" sheetId="40" r:id="rId13"/>
    <sheet name="Informare" sheetId="52" r:id="rId14"/>
    <sheet name="Sisteme_de_sanatate" sheetId="53" r:id="rId15"/>
    <sheet name="Activ_colaborative" sheetId="51" r:id="rId16"/>
    <sheet name="Tratament_FLD_SLD" sheetId="12" r:id="rId17"/>
    <sheet name="Aderenta_VOT" sheetId="43" r:id="rId18"/>
    <sheet name="Tratament_Scheme_scurte" sheetId="44" r:id="rId19"/>
    <sheet name="RA_farmacovigilenta" sheetId="38" r:id="rId20"/>
    <sheet name="ITL" sheetId="17" r:id="rId21"/>
    <sheet name="Estimare_laborator" sheetId="11" r:id="rId22"/>
    <sheet name="Estimare_lab_2" sheetId="39" r:id="rId23"/>
    <sheet name="Exam_grup_risc" sheetId="27" r:id="rId24"/>
    <sheet name="template" sheetId="37" r:id="rId25"/>
    <sheet name="ONG_TB" sheetId="58" r:id="rId26"/>
    <sheet name="Curierat_sputa_medic" sheetId="26" r:id="rId27"/>
    <sheet name="Vizite_monitorizare" sheetId="31" r:id="rId28"/>
    <sheet name="Price_list" sheetId="36" r:id="rId29"/>
    <sheet name="Preturi_medicamente" sheetId="13" r:id="rId30"/>
    <sheet name="intrebari comentarii" sheetId="20" state="hidden" r:id="rId31"/>
    <sheet name="Management caz" sheetId="18" state="hidden" r:id="rId32"/>
    <sheet name="Nomenclator" sheetId="7" state="hidden" r:id="rId33"/>
    <sheet name="Nomenclator_activitati" sheetId="25" state="hidden" r:id="rId34"/>
    <sheet name="Nom_activ_2" sheetId="28" state="hidden" r:id="rId35"/>
    <sheet name="Book_sheets" sheetId="19" state="hidden" r:id="rId36"/>
    <sheet name="verificare" sheetId="55" state="hidden" r:id="rId37"/>
    <sheet name="Nom_activ_3" sheetId="48" r:id="rId38"/>
    <sheet name="Nom_activ_eng" sheetId="63" r:id="rId39"/>
    <sheet name="cost input category_NM" sheetId="1" state="hidden" r:id="rId40"/>
  </sheets>
  <externalReferences>
    <externalReference r:id="rId41"/>
  </externalReferences>
  <definedNames>
    <definedName name="_2021_Total">Buget_detaliat!$K$7:$K$604</definedName>
    <definedName name="_2022_Total">Buget_detaliat!$T$7:$T$604</definedName>
    <definedName name="_2023_Total">Buget_detaliat!$AC$7:$AC$604</definedName>
    <definedName name="_2024_Total">Buget_detaliat!$AL$7:$AL$604</definedName>
    <definedName name="_2025_Total">Buget_detaliat!$AU$7:$AU$604</definedName>
    <definedName name="_xlnm._FilterDatabase" localSheetId="7" hidden="1">Buget_detaliat!$A$6:$BH$605</definedName>
    <definedName name="_xlnm._FilterDatabase" localSheetId="21" hidden="1">Estimare_laborator!#REF!</definedName>
    <definedName name="_xlnm._FilterDatabase" localSheetId="34" hidden="1">Nom_activ_2!$C$1:$H$89</definedName>
    <definedName name="_xlnm._FilterDatabase" localSheetId="16" hidden="1">Tratament_FLD_SLD!$A$1:$AS$1</definedName>
    <definedName name="Attrition">Tratament_FLD_SLD!$AO$335</definedName>
    <definedName name="Book_sheet">Book_sheets!$A$2:$A$30</definedName>
    <definedName name="Buget_detal_dir_act">Buget_detaliat!$D$7:$D$604</definedName>
    <definedName name="Buget_detal_obiect">Buget_detaliat!$C$7:$C$604</definedName>
    <definedName name="Buget_detal_sursa">Buget_detaliat!$H$7:$H$604</definedName>
    <definedName name="Caz_RO">Nomenclator!$G$3:$G$23</definedName>
    <definedName name="Caz_test_RO">Nomenclator!$C$29:$C$33</definedName>
    <definedName name="Cheie">Nomenclator_activitati!$C$5:$C$114</definedName>
    <definedName name="Denumire_bun_lab" localSheetId="4">Bunuri_lab_nomenc[Denumire]</definedName>
    <definedName name="Denumire_bun_lab" localSheetId="1">Bunuri_lab_nomenc[Denumire]</definedName>
    <definedName name="Denumire_bun_lab" localSheetId="5">Bunuri_lab_nomenc[Denumire]</definedName>
    <definedName name="Denumire_bun_lab">Bunuri_lab_nomenc[Denumire]</definedName>
    <definedName name="Denumire_produs_ro">Price_list!$B$2:$B$187</definedName>
    <definedName name="Descendent">Nomenclator_activitati!$D$5:$D$114</definedName>
    <definedName name="estim_5years">'Estimare cazuri'!$A$219:$U$420</definedName>
    <definedName name="estimation">'Estimare cazuri'!$A$6:$AR$102</definedName>
    <definedName name="EUR">Nomenclator!$C$59</definedName>
    <definedName name="FLD_MD_civil_adult">Tratament_FLD_SLD!$R$111:$X$117</definedName>
    <definedName name="FLD_MD_copii">Tratament_FLD_SLD!$R$71:$X$72</definedName>
    <definedName name="FLD_MD_penit">Tratament_FLD_SLD!$R$173:$X$179</definedName>
    <definedName name="FLD_MS_adulti">Tratament_FLD_SLD!$R$278:$X$283</definedName>
    <definedName name="FLD_MS_copii">Tratament_FLD_SLD!$R$238:$X$238</definedName>
    <definedName name="GDF_lab_prod_name" localSheetId="4">GDF_price_list[Product Name]</definedName>
    <definedName name="GDF_lab_prod_name" localSheetId="1">GDF_price_list[Product Name]</definedName>
    <definedName name="GDF_lab_prod_name" localSheetId="5">GDF_price_list[Product Name]</definedName>
    <definedName name="GDF_lab_prod_name">GDF_price_list[Product Name]</definedName>
    <definedName name="Investigatii">Nomenclator!$B$3:$B$23</definedName>
    <definedName name="Nivel">Nomenclator_activitati!$B$5:$B$114</definedName>
    <definedName name="Numar_investigatii_lab">Estimare_laborator!$L$94:$M$115</definedName>
    <definedName name="Poly_MD">Tratament_FLD_SLD!$R$838:$X$838</definedName>
    <definedName name="Poly_MS">Tratament_FLD_SLD!$R$880:$X$880</definedName>
    <definedName name="Preocent_adulti">Populatie!$I$118</definedName>
    <definedName name="Procent_copii">Populatie!$I$117</definedName>
    <definedName name="Select_1">IF(Buget_detaliat!A$6=Nomenclator_activitati!$F$5,OFFSET(Nomenclator_activitati!$D$4,1,0,COUNTIF(Nivel,0)),OFFSET(Nomenclator_activitati!$D$4,MATCH(Buget_detaliat!XFD1,Cheie,0),0,COUNTIF(Cheie,Buget_detaliat!XFD1)))</definedName>
    <definedName name="SLD_MD">Tratament_FLD_SLD!$R$342:$AJ$349</definedName>
    <definedName name="SLD_MD_Copii">Tratament_FLD_SLD!$R$458:$AJ$458</definedName>
    <definedName name="SLD_MD_penit">Tratament_FLD_SLD!$R$530:$AJ$538</definedName>
    <definedName name="SLD_MS_adulti">Tratament_FLD_SLD!$R$646:$AJ$654</definedName>
    <definedName name="SLD_MS_copii">Tratament_FLD_SLD!$R$762:$AJ$763</definedName>
    <definedName name="SLD_tabs_day">Tratament_FLD_SLD!$AN$341:$AO$352</definedName>
    <definedName name="Subinterventie">Nom_activ_3!$G$2:$G$30</definedName>
    <definedName name="TB_HIV_LB_Co_tr">'Estimare cazuri'!$K$199</definedName>
    <definedName name="TB_HIV_RB_Co_tr">'Estimare cazuri'!$K$198</definedName>
    <definedName name="TB_implementare">Nomenclator!$B$69:$B$74</definedName>
    <definedName name="TB_invest_lab_necesitate">Estimare_laborator!$L$30:$M$80</definedName>
    <definedName name="TB_Lab_calcule">Estimare_laborator!$L$118:$M$240</definedName>
    <definedName name="TB_sursa_finant_Ro">Nomenclator!$C$47:$C$54</definedName>
    <definedName name="USD">Nomenclator!$C$58</definedName>
    <definedName name="Valuta">Nomenclator!$B$63:$B$65</definedName>
    <definedName name="Year_2021_covered">Tratament_FLD_SLD!$AO$336</definedName>
    <definedName name="Исходный_список">OFFSET(Nomenclator_activitati!$A$5,,,COUNTA(Nomenclator_activitati!$A$5:$A$30))</definedName>
  </definedNames>
  <calcPr calcId="181029"/>
  <pivotCaches>
    <pivotCache cacheId="1" r:id="rId42"/>
  </pivotCaches>
  <extLs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purl.oclc.org/ooxml/spreadsheetml/main">
  <c r="Q146" i="53" l="1"/>
  <c r="Q154" i="53"/>
  <c r="AI154" i="53"/>
  <c r="AI156" i="53"/>
  <c r="AI159" i="53"/>
  <c r="AI162" i="53"/>
  <c r="AI163" i="53"/>
  <c r="AI164" i="53"/>
  <c r="AI165" i="53"/>
  <c r="AI167" i="53"/>
  <c r="AI169" i="53"/>
  <c r="AI172" i="53"/>
  <c r="AI175" i="53"/>
  <c r="AI176" i="53"/>
  <c r="AI177" i="53"/>
  <c r="AI178" i="53"/>
  <c r="AI179" i="53"/>
  <c r="AI180" i="53"/>
  <c r="AI181" i="53"/>
  <c r="AI182" i="53"/>
  <c r="AI184" i="53"/>
  <c r="AI186" i="53"/>
  <c r="AI187" i="53"/>
  <c r="AI188" i="53"/>
  <c r="AB26" i="43"/>
  <c r="AA26" i="43"/>
  <c r="AE26" i="43" s="1"/>
  <c r="Z26" i="43"/>
  <c r="Y26" i="43"/>
  <c r="AB25" i="43"/>
  <c r="AA25" i="43"/>
  <c r="AE25" i="43" s="1"/>
  <c r="Z25" i="43"/>
  <c r="Y25" i="43"/>
  <c r="AB24" i="43"/>
  <c r="AA24" i="43"/>
  <c r="AE24" i="43" s="1"/>
  <c r="Z24" i="43"/>
  <c r="Y24" i="43"/>
  <c r="AB23" i="43"/>
  <c r="AA23" i="43"/>
  <c r="AE23" i="43" s="1"/>
  <c r="Z23" i="43"/>
  <c r="Y23" i="43"/>
  <c r="AB22" i="43"/>
  <c r="AA22" i="43"/>
  <c r="AE22" i="43" s="1"/>
  <c r="Z22" i="43"/>
  <c r="Y22" i="43"/>
  <c r="AB21" i="43"/>
  <c r="AA21" i="43"/>
  <c r="AE21" i="43" s="1"/>
  <c r="Z21" i="43"/>
  <c r="Y21" i="43"/>
  <c r="AB20" i="43"/>
  <c r="AA20" i="43"/>
  <c r="AE20" i="43" s="1"/>
  <c r="Z20" i="43"/>
  <c r="Y20" i="43"/>
  <c r="AB19" i="43"/>
  <c r="AA19" i="43"/>
  <c r="AE19" i="43" s="1"/>
  <c r="Z19" i="43"/>
  <c r="Y19" i="43"/>
  <c r="AB18" i="43"/>
  <c r="AA18" i="43"/>
  <c r="AE18" i="43" s="1"/>
  <c r="Z18" i="43"/>
  <c r="Y18" i="43"/>
  <c r="AB17" i="43"/>
  <c r="AA17" i="43"/>
  <c r="AE17" i="43" s="1"/>
  <c r="Z17" i="43"/>
  <c r="Y17" i="43"/>
  <c r="AB16" i="43"/>
  <c r="AA16" i="43"/>
  <c r="AE16" i="43" s="1"/>
  <c r="Z16" i="43"/>
  <c r="Y16" i="43"/>
  <c r="AB15" i="43"/>
  <c r="AA15" i="43"/>
  <c r="AE15" i="43" s="1"/>
  <c r="Z15" i="43"/>
  <c r="Y15" i="43"/>
  <c r="AB14" i="43"/>
  <c r="AA14" i="43"/>
  <c r="AE14" i="43" s="1"/>
  <c r="Z14" i="43"/>
  <c r="Y14" i="43"/>
  <c r="AB13" i="43"/>
  <c r="AA13" i="43"/>
  <c r="AE13" i="43" s="1"/>
  <c r="Z13" i="43"/>
  <c r="Y13" i="43"/>
  <c r="Q26" i="43"/>
  <c r="P26" i="43"/>
  <c r="T26" i="43" s="1"/>
  <c r="O26" i="43"/>
  <c r="N26" i="43"/>
  <c r="Q25" i="43"/>
  <c r="P25" i="43"/>
  <c r="T25" i="43" s="1"/>
  <c r="O25" i="43"/>
  <c r="N25" i="43"/>
  <c r="T24" i="43"/>
  <c r="Q24" i="43"/>
  <c r="P24" i="43"/>
  <c r="O24" i="43"/>
  <c r="N24" i="43"/>
  <c r="Q23" i="43"/>
  <c r="P23" i="43"/>
  <c r="T23" i="43" s="1"/>
  <c r="O23" i="43"/>
  <c r="N23" i="43"/>
  <c r="Q22" i="43"/>
  <c r="P22" i="43"/>
  <c r="T22" i="43" s="1"/>
  <c r="O22" i="43"/>
  <c r="N22" i="43"/>
  <c r="Q21" i="43"/>
  <c r="P21" i="43"/>
  <c r="T21" i="43" s="1"/>
  <c r="O21" i="43"/>
  <c r="N21" i="43"/>
  <c r="Q20" i="43"/>
  <c r="P20" i="43"/>
  <c r="T20" i="43" s="1"/>
  <c r="O20" i="43"/>
  <c r="N20" i="43"/>
  <c r="Q19" i="43"/>
  <c r="P19" i="43"/>
  <c r="T19" i="43" s="1"/>
  <c r="O19" i="43"/>
  <c r="N19" i="43"/>
  <c r="Q18" i="43"/>
  <c r="P18" i="43"/>
  <c r="T18" i="43" s="1"/>
  <c r="O18" i="43"/>
  <c r="N18" i="43"/>
  <c r="Q17" i="43"/>
  <c r="P17" i="43"/>
  <c r="T17" i="43" s="1"/>
  <c r="O17" i="43"/>
  <c r="N17" i="43"/>
  <c r="Q16" i="43"/>
  <c r="P16" i="43"/>
  <c r="T16" i="43" s="1"/>
  <c r="O16" i="43"/>
  <c r="N16" i="43"/>
  <c r="Q15" i="43"/>
  <c r="P15" i="43"/>
  <c r="T15" i="43" s="1"/>
  <c r="O15" i="43"/>
  <c r="N15" i="43"/>
  <c r="Q14" i="43"/>
  <c r="P14" i="43"/>
  <c r="T14" i="43" s="1"/>
  <c r="O14" i="43"/>
  <c r="N14" i="43"/>
  <c r="Q13" i="43"/>
  <c r="P13" i="43"/>
  <c r="T13" i="43" s="1"/>
  <c r="O13" i="43"/>
  <c r="N13" i="43"/>
  <c r="AE27" i="43" l="1"/>
  <c r="O77" i="43" s="1"/>
  <c r="T27" i="43"/>
  <c r="O69" i="43" s="1"/>
  <c r="S183" i="53" l="1"/>
  <c r="Y183" i="53" s="1"/>
  <c r="T184" i="53"/>
  <c r="T185" i="53" s="1"/>
  <c r="S184" i="53"/>
  <c r="S185" i="53" s="1"/>
  <c r="R184" i="53"/>
  <c r="R185" i="53" s="1"/>
  <c r="Q184" i="53"/>
  <c r="Q185" i="53" s="1"/>
  <c r="P184" i="53"/>
  <c r="P185" i="53" s="1"/>
  <c r="Q182" i="53"/>
  <c r="Q183" i="53" s="1"/>
  <c r="R182" i="53"/>
  <c r="R183" i="53" s="1"/>
  <c r="S182" i="53"/>
  <c r="T182" i="53"/>
  <c r="T183" i="53" s="1"/>
  <c r="P182" i="53"/>
  <c r="P183" i="53" s="1"/>
  <c r="R166" i="53"/>
  <c r="O168" i="53"/>
  <c r="O166" i="53"/>
  <c r="O154" i="53"/>
  <c r="Q155" i="53" s="1"/>
  <c r="O152" i="53"/>
  <c r="P146" i="53"/>
  <c r="P168" i="53" s="1"/>
  <c r="R146" i="53"/>
  <c r="S146" i="53"/>
  <c r="S154" i="53" s="1"/>
  <c r="T146" i="53"/>
  <c r="T168" i="53" s="1"/>
  <c r="Q145" i="53"/>
  <c r="Q152" i="53" s="1"/>
  <c r="R145" i="53"/>
  <c r="S145" i="53"/>
  <c r="S166" i="53" s="1"/>
  <c r="T145" i="53"/>
  <c r="T152" i="53" s="1"/>
  <c r="P145" i="53"/>
  <c r="P166" i="53" s="1"/>
  <c r="P189" i="53"/>
  <c r="Z188" i="53"/>
  <c r="Y188" i="53"/>
  <c r="X188" i="53"/>
  <c r="W188" i="53"/>
  <c r="V188" i="53"/>
  <c r="Z184" i="53"/>
  <c r="Y184" i="53"/>
  <c r="X184" i="53"/>
  <c r="W184" i="53"/>
  <c r="V184" i="53"/>
  <c r="Z182" i="53"/>
  <c r="Y182" i="53"/>
  <c r="X182" i="53"/>
  <c r="W182" i="53"/>
  <c r="V182" i="53"/>
  <c r="Z167" i="53"/>
  <c r="Y167" i="53"/>
  <c r="X167" i="53"/>
  <c r="W167" i="53"/>
  <c r="V167" i="53"/>
  <c r="Z165" i="53"/>
  <c r="Y165" i="53"/>
  <c r="X165" i="53"/>
  <c r="W165" i="53"/>
  <c r="V165" i="53"/>
  <c r="Z154" i="53"/>
  <c r="Y154" i="53"/>
  <c r="X154" i="53"/>
  <c r="W154" i="53"/>
  <c r="V154" i="53"/>
  <c r="Z152" i="53"/>
  <c r="Y152" i="53"/>
  <c r="X152" i="53"/>
  <c r="W152" i="53"/>
  <c r="V152" i="53"/>
  <c r="S152" i="53"/>
  <c r="P152" i="53"/>
  <c r="P153" i="53" s="1"/>
  <c r="R152" i="53"/>
  <c r="AK102" i="39"/>
  <c r="AK101" i="39"/>
  <c r="AK99" i="39"/>
  <c r="AK98" i="39"/>
  <c r="AK96" i="39"/>
  <c r="AK95" i="39"/>
  <c r="AK93" i="39"/>
  <c r="AK92" i="39"/>
  <c r="AK90" i="39"/>
  <c r="AK89" i="39"/>
  <c r="AK88" i="39"/>
  <c r="AK87" i="39"/>
  <c r="AK86" i="39"/>
  <c r="AJ91" i="39"/>
  <c r="AJ94" i="39"/>
  <c r="AJ97" i="39"/>
  <c r="AJ100" i="39"/>
  <c r="C18" i="39"/>
  <c r="D18" i="39"/>
  <c r="E18" i="39"/>
  <c r="F18" i="39"/>
  <c r="B18" i="39"/>
  <c r="C17" i="39"/>
  <c r="D17" i="39"/>
  <c r="E17" i="39"/>
  <c r="F17" i="39"/>
  <c r="B17" i="39"/>
  <c r="C21" i="39"/>
  <c r="D21" i="39"/>
  <c r="E21" i="39"/>
  <c r="F21" i="39"/>
  <c r="B21" i="39"/>
  <c r="C20" i="39"/>
  <c r="D20" i="39"/>
  <c r="E20" i="39"/>
  <c r="F20" i="39"/>
  <c r="B20" i="39"/>
  <c r="AF103" i="39"/>
  <c r="AE103" i="39"/>
  <c r="AD103" i="39"/>
  <c r="AD111" i="39" s="1"/>
  <c r="B111" i="39" s="1"/>
  <c r="AC103" i="39"/>
  <c r="AB103" i="39"/>
  <c r="AA103" i="39"/>
  <c r="AF102" i="39"/>
  <c r="AF111" i="39" s="1"/>
  <c r="D111" i="39" s="1"/>
  <c r="AE102" i="39"/>
  <c r="AE111" i="39" s="1"/>
  <c r="C111" i="39" s="1"/>
  <c r="AD102" i="39"/>
  <c r="AC102" i="39"/>
  <c r="AB102" i="39"/>
  <c r="AB111" i="39" s="1"/>
  <c r="C110" i="39" s="1"/>
  <c r="AA102" i="39"/>
  <c r="AA111" i="39" s="1"/>
  <c r="B110" i="39" s="1"/>
  <c r="AH84" i="39"/>
  <c r="AH89" i="39"/>
  <c r="AJ89" i="39" s="1"/>
  <c r="AH92" i="39"/>
  <c r="AJ92" i="39" s="1"/>
  <c r="AH95" i="39"/>
  <c r="AJ95" i="39" s="1"/>
  <c r="AH98" i="39"/>
  <c r="AJ98" i="39" s="1"/>
  <c r="AH101" i="39"/>
  <c r="AJ101" i="39" s="1"/>
  <c r="Y185" i="53" l="1"/>
  <c r="Q153" i="53"/>
  <c r="S168" i="53"/>
  <c r="S155" i="53"/>
  <c r="AH102" i="39"/>
  <c r="AJ102" i="39" s="1"/>
  <c r="Q166" i="53"/>
  <c r="AI103" i="39"/>
  <c r="R168" i="53"/>
  <c r="AC111" i="39"/>
  <c r="D110" i="39" s="1"/>
  <c r="T166" i="53"/>
  <c r="Z166" i="53" s="1"/>
  <c r="Q168" i="53"/>
  <c r="T153" i="53"/>
  <c r="Z183" i="53"/>
  <c r="AF183" i="53" s="1"/>
  <c r="V183" i="53"/>
  <c r="AB183" i="53" s="1"/>
  <c r="S153" i="53"/>
  <c r="R153" i="53"/>
  <c r="Y166" i="53"/>
  <c r="V153" i="53"/>
  <c r="V166" i="53"/>
  <c r="Y155" i="53"/>
  <c r="W166" i="53"/>
  <c r="V168" i="53"/>
  <c r="Z168" i="53"/>
  <c r="Y153" i="53"/>
  <c r="E155" i="53" s="1"/>
  <c r="X183" i="53"/>
  <c r="AD183" i="53" s="1"/>
  <c r="W185" i="53"/>
  <c r="AC185" i="53" s="1"/>
  <c r="X168" i="53"/>
  <c r="X153" i="53"/>
  <c r="W168" i="53"/>
  <c r="Z153" i="53"/>
  <c r="AE183" i="53"/>
  <c r="X185" i="53"/>
  <c r="AD185" i="53" s="1"/>
  <c r="W153" i="53"/>
  <c r="R154" i="53"/>
  <c r="R155" i="53" s="1"/>
  <c r="W183" i="53"/>
  <c r="AC183" i="53" s="1"/>
  <c r="V185" i="53"/>
  <c r="AB185" i="53" s="1"/>
  <c r="Z185" i="53"/>
  <c r="AF185" i="53" s="1"/>
  <c r="AE185" i="53"/>
  <c r="Q189" i="53"/>
  <c r="V189" i="53"/>
  <c r="AB189" i="53" s="1"/>
  <c r="P154" i="53"/>
  <c r="P155" i="53" s="1"/>
  <c r="T154" i="53"/>
  <c r="T155" i="53" s="1"/>
  <c r="AF166" i="53" l="1"/>
  <c r="Z173" i="53"/>
  <c r="AC168" i="53"/>
  <c r="W174" i="53"/>
  <c r="C172" i="53" s="1"/>
  <c r="AD168" i="53"/>
  <c r="D172" i="53"/>
  <c r="X174" i="53"/>
  <c r="AE153" i="53"/>
  <c r="AC166" i="53"/>
  <c r="W173" i="53"/>
  <c r="AB166" i="53"/>
  <c r="AB173" i="53" s="1"/>
  <c r="V173" i="53"/>
  <c r="B167" i="53" s="1"/>
  <c r="AF153" i="53"/>
  <c r="F155" i="53"/>
  <c r="AB153" i="53"/>
  <c r="B155" i="53"/>
  <c r="AI183" i="53"/>
  <c r="AI185" i="53"/>
  <c r="AC153" i="53"/>
  <c r="C155" i="53"/>
  <c r="AF168" i="53"/>
  <c r="F172" i="53"/>
  <c r="Z174" i="53"/>
  <c r="AE155" i="53"/>
  <c r="E158" i="53"/>
  <c r="AE166" i="53"/>
  <c r="AE173" i="53" s="1"/>
  <c r="Y173" i="53"/>
  <c r="AD153" i="53"/>
  <c r="D155" i="53"/>
  <c r="AB168" i="53"/>
  <c r="AB174" i="53" s="1"/>
  <c r="B172" i="53"/>
  <c r="V174" i="53"/>
  <c r="AD171" i="53"/>
  <c r="AD174" i="53"/>
  <c r="AF170" i="53"/>
  <c r="AF173" i="53"/>
  <c r="AC173" i="53"/>
  <c r="AC170" i="53"/>
  <c r="AB170" i="53"/>
  <c r="AC174" i="53"/>
  <c r="AC171" i="53"/>
  <c r="AF174" i="53"/>
  <c r="AF171" i="53"/>
  <c r="AE170" i="53"/>
  <c r="Y168" i="53"/>
  <c r="W189" i="53"/>
  <c r="AC189" i="53" s="1"/>
  <c r="R189" i="53"/>
  <c r="W155" i="53"/>
  <c r="X155" i="53"/>
  <c r="Z155" i="53"/>
  <c r="V155" i="53"/>
  <c r="X166" i="53"/>
  <c r="AB171" i="53" l="1"/>
  <c r="AB155" i="53"/>
  <c r="B158" i="53"/>
  <c r="AF155" i="53"/>
  <c r="F158" i="53"/>
  <c r="B173" i="53"/>
  <c r="C156" i="53"/>
  <c r="AC157" i="53"/>
  <c r="AC160" i="53"/>
  <c r="AI153" i="53"/>
  <c r="AB157" i="53"/>
  <c r="B156" i="53" s="1"/>
  <c r="AB160" i="53"/>
  <c r="C168" i="53"/>
  <c r="D173" i="53"/>
  <c r="AE168" i="53"/>
  <c r="AE171" i="53" s="1"/>
  <c r="AI171" i="53" s="1"/>
  <c r="Y174" i="53"/>
  <c r="E172" i="53" s="1"/>
  <c r="B168" i="53"/>
  <c r="AE157" i="53"/>
  <c r="AE160" i="53"/>
  <c r="AD155" i="53"/>
  <c r="D158" i="53"/>
  <c r="AD157" i="53"/>
  <c r="D156" i="53" s="1"/>
  <c r="AD160" i="53"/>
  <c r="F173" i="53"/>
  <c r="AF160" i="53"/>
  <c r="AF157" i="53"/>
  <c r="AD166" i="53"/>
  <c r="AI166" i="53" s="1"/>
  <c r="X173" i="53"/>
  <c r="D167" i="53" s="1"/>
  <c r="AE148" i="53"/>
  <c r="AE161" i="53"/>
  <c r="AE158" i="53"/>
  <c r="E159" i="53" s="1"/>
  <c r="C167" i="53"/>
  <c r="C173" i="53"/>
  <c r="AC155" i="53"/>
  <c r="C158" i="53"/>
  <c r="AE174" i="53"/>
  <c r="AI174" i="53" s="1"/>
  <c r="AD173" i="53"/>
  <c r="AI173" i="53" s="1"/>
  <c r="X189" i="53"/>
  <c r="AD189" i="53" s="1"/>
  <c r="S189" i="53"/>
  <c r="AD170" i="53" l="1"/>
  <c r="AI170" i="53" s="1"/>
  <c r="AD148" i="53"/>
  <c r="AD161" i="53"/>
  <c r="AD158" i="53"/>
  <c r="D159" i="53" s="1"/>
  <c r="AI160" i="53"/>
  <c r="E173" i="53"/>
  <c r="AI157" i="53"/>
  <c r="AB148" i="53"/>
  <c r="AB161" i="53"/>
  <c r="AB158" i="53"/>
  <c r="B159" i="53" s="1"/>
  <c r="AL191" i="53"/>
  <c r="AL188" i="53"/>
  <c r="D168" i="53"/>
  <c r="AI168" i="53"/>
  <c r="AF158" i="53"/>
  <c r="AF161" i="53"/>
  <c r="AC161" i="53"/>
  <c r="AC148" i="53"/>
  <c r="AI155" i="53"/>
  <c r="AC158" i="53"/>
  <c r="AI158" i="53" s="1"/>
  <c r="Y189" i="53"/>
  <c r="T189" i="53"/>
  <c r="F159" i="53" l="1"/>
  <c r="AE189" i="53"/>
  <c r="E168" i="53" s="1"/>
  <c r="E167" i="53"/>
  <c r="C159" i="53"/>
  <c r="AL189" i="53" s="1"/>
  <c r="AI161" i="53"/>
  <c r="Z189" i="53"/>
  <c r="AF189" i="53" l="1"/>
  <c r="F167" i="53"/>
  <c r="AF100" i="39"/>
  <c r="AE100" i="39"/>
  <c r="AD100" i="39"/>
  <c r="AC100" i="39"/>
  <c r="AB100" i="39"/>
  <c r="AA100" i="39"/>
  <c r="AF99" i="39"/>
  <c r="AE99" i="39"/>
  <c r="AD99" i="39"/>
  <c r="AC99" i="39"/>
  <c r="AB99" i="39"/>
  <c r="AA99" i="39"/>
  <c r="AF97" i="39"/>
  <c r="AE97" i="39"/>
  <c r="AD97" i="39"/>
  <c r="AC97" i="39"/>
  <c r="AB97" i="39"/>
  <c r="AA97" i="39"/>
  <c r="AF96" i="39"/>
  <c r="AE96" i="39"/>
  <c r="AD96" i="39"/>
  <c r="AC96" i="39"/>
  <c r="AB96" i="39"/>
  <c r="AA96" i="39"/>
  <c r="AA94" i="39"/>
  <c r="AB94" i="39"/>
  <c r="AC94" i="39"/>
  <c r="AD94" i="39"/>
  <c r="AE94" i="39"/>
  <c r="AF94" i="39"/>
  <c r="AB93" i="39"/>
  <c r="AC93" i="39"/>
  <c r="AD93" i="39"/>
  <c r="AE93" i="39"/>
  <c r="AF93" i="39"/>
  <c r="AA93" i="39"/>
  <c r="AA91" i="39"/>
  <c r="AB91" i="39"/>
  <c r="AC91" i="39"/>
  <c r="AD91" i="39"/>
  <c r="AE91" i="39"/>
  <c r="AF91" i="39"/>
  <c r="AB90" i="39"/>
  <c r="AC90" i="39"/>
  <c r="AD90" i="39"/>
  <c r="AE90" i="39"/>
  <c r="AF90" i="39"/>
  <c r="AA90" i="39"/>
  <c r="AA87" i="39"/>
  <c r="AB87" i="39"/>
  <c r="AC87" i="39"/>
  <c r="AD87" i="39"/>
  <c r="AE87" i="39"/>
  <c r="AF87" i="39"/>
  <c r="AA88" i="39"/>
  <c r="AB88" i="39"/>
  <c r="AC88" i="39"/>
  <c r="AD88" i="39"/>
  <c r="AE88" i="39"/>
  <c r="AF88" i="39"/>
  <c r="AB86" i="39"/>
  <c r="AC86" i="39"/>
  <c r="AD86" i="39"/>
  <c r="AE86" i="39"/>
  <c r="AE106" i="39" s="1"/>
  <c r="C106" i="39" s="1"/>
  <c r="AF86" i="39"/>
  <c r="AA86" i="39"/>
  <c r="P285" i="58"/>
  <c r="P283" i="58" s="1"/>
  <c r="Q105" i="58"/>
  <c r="P105" i="58"/>
  <c r="O105" i="58"/>
  <c r="N105" i="58"/>
  <c r="Q104" i="58"/>
  <c r="P104" i="58"/>
  <c r="O104" i="58"/>
  <c r="N104" i="58"/>
  <c r="Q103" i="58"/>
  <c r="P103" i="58"/>
  <c r="O103" i="58"/>
  <c r="N103" i="58"/>
  <c r="Q102" i="58"/>
  <c r="P102" i="58"/>
  <c r="O102" i="58"/>
  <c r="N102" i="58"/>
  <c r="Q101" i="58"/>
  <c r="P101" i="58"/>
  <c r="O101" i="58"/>
  <c r="N101" i="58"/>
  <c r="Q100" i="58"/>
  <c r="P100" i="58"/>
  <c r="O100" i="58"/>
  <c r="N100" i="58"/>
  <c r="Q99" i="58"/>
  <c r="P99" i="58"/>
  <c r="O99" i="58"/>
  <c r="N99" i="58"/>
  <c r="Q98" i="58"/>
  <c r="P98" i="58"/>
  <c r="O98" i="58"/>
  <c r="N98" i="58"/>
  <c r="Q97" i="58"/>
  <c r="P97" i="58"/>
  <c r="O97" i="58"/>
  <c r="N97" i="58"/>
  <c r="Q96" i="58"/>
  <c r="P96" i="58"/>
  <c r="O96" i="58"/>
  <c r="N96" i="58"/>
  <c r="Q95" i="58"/>
  <c r="P95" i="58"/>
  <c r="O95" i="58"/>
  <c r="N95" i="58"/>
  <c r="Q94" i="58"/>
  <c r="P94" i="58"/>
  <c r="O94" i="58"/>
  <c r="N94" i="58"/>
  <c r="Q93" i="58"/>
  <c r="P93" i="58"/>
  <c r="O93" i="58"/>
  <c r="N93" i="58"/>
  <c r="Q92" i="58"/>
  <c r="P92" i="58"/>
  <c r="O92" i="58"/>
  <c r="N92" i="58"/>
  <c r="T105" i="58"/>
  <c r="T104" i="58"/>
  <c r="T103" i="58"/>
  <c r="T102" i="58"/>
  <c r="T101" i="58"/>
  <c r="T100" i="58"/>
  <c r="T99" i="58"/>
  <c r="T98" i="58"/>
  <c r="T97" i="58"/>
  <c r="T96" i="58"/>
  <c r="T95" i="58"/>
  <c r="T94" i="58"/>
  <c r="T93" i="58"/>
  <c r="T92" i="58"/>
  <c r="Q99" i="40"/>
  <c r="P99" i="40"/>
  <c r="O99" i="40"/>
  <c r="N99" i="40"/>
  <c r="N201" i="43"/>
  <c r="O137" i="40"/>
  <c r="R137" i="40" s="1"/>
  <c r="D137" i="40" s="1"/>
  <c r="T136" i="40"/>
  <c r="S136" i="40"/>
  <c r="S137" i="40" l="1"/>
  <c r="E137" i="40" s="1"/>
  <c r="AH90" i="39"/>
  <c r="AJ90" i="39" s="1"/>
  <c r="AD106" i="39"/>
  <c r="B106" i="39" s="1"/>
  <c r="P282" i="58"/>
  <c r="AH93" i="39"/>
  <c r="AJ93" i="39" s="1"/>
  <c r="AH96" i="39"/>
  <c r="AJ96" i="39" s="1"/>
  <c r="AH99" i="39"/>
  <c r="AH88" i="39"/>
  <c r="AA106" i="39"/>
  <c r="B105" i="39" s="1"/>
  <c r="AH86" i="39"/>
  <c r="AC106" i="39"/>
  <c r="D105" i="39" s="1"/>
  <c r="AI97" i="39"/>
  <c r="AK97" i="39" s="1"/>
  <c r="AI100" i="39"/>
  <c r="AK100" i="39" s="1"/>
  <c r="F168" i="53"/>
  <c r="AL190" i="53" s="1"/>
  <c r="AL192" i="53" s="1"/>
  <c r="AI189" i="53"/>
  <c r="AF106" i="39"/>
  <c r="D106" i="39" s="1"/>
  <c r="AB106" i="39"/>
  <c r="C105" i="39" s="1"/>
  <c r="AH87" i="39"/>
  <c r="AI91" i="39"/>
  <c r="AK91" i="39" s="1"/>
  <c r="AI94" i="39"/>
  <c r="AK94" i="39" s="1"/>
  <c r="P281" i="58"/>
  <c r="P284" i="58" s="1"/>
  <c r="T106" i="58"/>
  <c r="Q137" i="40"/>
  <c r="C137" i="40" s="1"/>
  <c r="P137" i="40"/>
  <c r="B137" i="40" s="1"/>
  <c r="T137" i="40"/>
  <c r="F137" i="40" s="1"/>
  <c r="N125" i="40"/>
  <c r="O125" i="40"/>
  <c r="P125" i="40"/>
  <c r="Q125" i="40"/>
  <c r="N126" i="40"/>
  <c r="O126" i="40"/>
  <c r="P126" i="40"/>
  <c r="Q126" i="40"/>
  <c r="Q124" i="40"/>
  <c r="P124" i="40"/>
  <c r="O124" i="40"/>
  <c r="N124" i="40"/>
  <c r="N107" i="40"/>
  <c r="O107" i="40"/>
  <c r="P107" i="40"/>
  <c r="Q107" i="40"/>
  <c r="R99" i="40"/>
  <c r="T99" i="40" l="1"/>
  <c r="V99" i="40" s="1"/>
  <c r="B101" i="40" s="1"/>
  <c r="AJ99" i="39"/>
  <c r="AH112" i="39"/>
  <c r="AJ87" i="39"/>
  <c r="AH110" i="39"/>
  <c r="AJ86" i="39"/>
  <c r="AH109" i="39"/>
  <c r="AL87" i="39"/>
  <c r="AL88" i="39" s="1"/>
  <c r="AJ88" i="39"/>
  <c r="AH111" i="39"/>
  <c r="AC401" i="17"/>
  <c r="W99" i="40" l="1"/>
  <c r="C101" i="40" s="1"/>
  <c r="Z99" i="40"/>
  <c r="F99" i="40" s="1"/>
  <c r="Y99" i="40"/>
  <c r="E99" i="40" s="1"/>
  <c r="X99" i="40"/>
  <c r="D101" i="40" s="1"/>
  <c r="N33" i="26"/>
  <c r="O81" i="26" s="1"/>
  <c r="S81" i="26" l="1"/>
  <c r="R81" i="26"/>
  <c r="R68" i="26"/>
  <c r="O68" i="26"/>
  <c r="S68" i="26"/>
  <c r="Q81" i="26"/>
  <c r="P68" i="26"/>
  <c r="P81" i="26"/>
  <c r="Q68" i="26"/>
  <c r="U439" i="58" l="1"/>
  <c r="T439" i="58"/>
  <c r="S439" i="58"/>
  <c r="R439" i="58"/>
  <c r="Q439" i="58"/>
  <c r="R435" i="58"/>
  <c r="Q435" i="58"/>
  <c r="P435" i="58"/>
  <c r="O435" i="58"/>
  <c r="U430" i="58"/>
  <c r="T430" i="58"/>
  <c r="S430" i="58"/>
  <c r="R430" i="58"/>
  <c r="Q430" i="58"/>
  <c r="R426" i="58"/>
  <c r="Q426" i="58"/>
  <c r="P426" i="58"/>
  <c r="O426" i="58"/>
  <c r="U401" i="58"/>
  <c r="T401" i="58"/>
  <c r="S401" i="58"/>
  <c r="R401" i="58"/>
  <c r="Q401" i="58"/>
  <c r="R397" i="58"/>
  <c r="Q397" i="58"/>
  <c r="P397" i="58"/>
  <c r="O397" i="58"/>
  <c r="R383" i="58"/>
  <c r="Q383" i="58"/>
  <c r="P383" i="58"/>
  <c r="O383" i="58"/>
  <c r="R382" i="58"/>
  <c r="Q382" i="58"/>
  <c r="P382" i="58"/>
  <c r="O382" i="58"/>
  <c r="R381" i="58"/>
  <c r="Q381" i="58"/>
  <c r="P381" i="58"/>
  <c r="O381" i="58"/>
  <c r="R380" i="58"/>
  <c r="Q380" i="58"/>
  <c r="P380" i="58"/>
  <c r="O380" i="58"/>
  <c r="R379" i="58"/>
  <c r="Q379" i="58"/>
  <c r="P379" i="58"/>
  <c r="O379" i="58"/>
  <c r="R378" i="58"/>
  <c r="Q378" i="58"/>
  <c r="P378" i="58"/>
  <c r="O378" i="58"/>
  <c r="R377" i="58"/>
  <c r="Q377" i="58"/>
  <c r="P377" i="58"/>
  <c r="O377" i="58"/>
  <c r="R376" i="58"/>
  <c r="Q376" i="58"/>
  <c r="P376" i="58"/>
  <c r="O376" i="58"/>
  <c r="R375" i="58"/>
  <c r="Q375" i="58"/>
  <c r="P375" i="58"/>
  <c r="O375" i="58"/>
  <c r="R374" i="58"/>
  <c r="Q374" i="58"/>
  <c r="P374" i="58"/>
  <c r="O374" i="58"/>
  <c r="R373" i="58"/>
  <c r="Q373" i="58"/>
  <c r="P373" i="58"/>
  <c r="O373" i="58"/>
  <c r="R372" i="58"/>
  <c r="Q372" i="58"/>
  <c r="P372" i="58"/>
  <c r="O372" i="58"/>
  <c r="R371" i="58"/>
  <c r="Q371" i="58"/>
  <c r="P371" i="58"/>
  <c r="O371" i="58"/>
  <c r="R370" i="58"/>
  <c r="Q370" i="58"/>
  <c r="P370" i="58"/>
  <c r="O370" i="58"/>
  <c r="R369" i="58"/>
  <c r="Q369" i="58"/>
  <c r="P369" i="58"/>
  <c r="O369" i="58"/>
  <c r="R368" i="58"/>
  <c r="Q368" i="58"/>
  <c r="P368" i="58"/>
  <c r="O368" i="58"/>
  <c r="R367" i="58"/>
  <c r="Q367" i="58"/>
  <c r="P367" i="58"/>
  <c r="O367" i="58"/>
  <c r="R366" i="58"/>
  <c r="Q366" i="58"/>
  <c r="P366" i="58"/>
  <c r="O366" i="58"/>
  <c r="R365" i="58"/>
  <c r="Q365" i="58"/>
  <c r="P365" i="58"/>
  <c r="O365" i="58"/>
  <c r="U350" i="58"/>
  <c r="T350" i="58"/>
  <c r="S350" i="58"/>
  <c r="R350" i="58"/>
  <c r="Q350" i="58"/>
  <c r="U289" i="58"/>
  <c r="T289" i="58"/>
  <c r="S289" i="58"/>
  <c r="R289" i="58"/>
  <c r="Q289" i="58"/>
  <c r="Z222" i="58"/>
  <c r="Y222" i="58"/>
  <c r="X222" i="58"/>
  <c r="W222" i="58"/>
  <c r="Q222" i="58"/>
  <c r="P222" i="58"/>
  <c r="O222" i="58"/>
  <c r="N222" i="58"/>
  <c r="Z221" i="58"/>
  <c r="Y221" i="58"/>
  <c r="X221" i="58"/>
  <c r="W221" i="58"/>
  <c r="Q221" i="58"/>
  <c r="P221" i="58"/>
  <c r="O221" i="58"/>
  <c r="N221" i="58"/>
  <c r="Z220" i="58"/>
  <c r="Y220" i="58"/>
  <c r="X220" i="58"/>
  <c r="W220" i="58"/>
  <c r="Q220" i="58"/>
  <c r="P220" i="58"/>
  <c r="O220" i="58"/>
  <c r="N220" i="58"/>
  <c r="Z219" i="58"/>
  <c r="Y219" i="58"/>
  <c r="X219" i="58"/>
  <c r="W219" i="58"/>
  <c r="Q219" i="58"/>
  <c r="P219" i="58"/>
  <c r="O219" i="58"/>
  <c r="N219" i="58"/>
  <c r="Z218" i="58"/>
  <c r="Y218" i="58"/>
  <c r="X218" i="58"/>
  <c r="W218" i="58"/>
  <c r="Q218" i="58"/>
  <c r="P218" i="58"/>
  <c r="O218" i="58"/>
  <c r="N218" i="58"/>
  <c r="Z217" i="58"/>
  <c r="Y217" i="58"/>
  <c r="X217" i="58"/>
  <c r="W217" i="58"/>
  <c r="Q217" i="58"/>
  <c r="P217" i="58"/>
  <c r="O217" i="58"/>
  <c r="N217" i="58"/>
  <c r="Z216" i="58"/>
  <c r="Y216" i="58"/>
  <c r="X216" i="58"/>
  <c r="W216" i="58"/>
  <c r="Q216" i="58"/>
  <c r="P216" i="58"/>
  <c r="O216" i="58"/>
  <c r="N216" i="58"/>
  <c r="Z215" i="58"/>
  <c r="Y215" i="58"/>
  <c r="X215" i="58"/>
  <c r="W215" i="58"/>
  <c r="Q215" i="58"/>
  <c r="P215" i="58"/>
  <c r="O215" i="58"/>
  <c r="N215" i="58"/>
  <c r="Z214" i="58"/>
  <c r="Y214" i="58"/>
  <c r="X214" i="58"/>
  <c r="W214" i="58"/>
  <c r="Q214" i="58"/>
  <c r="P214" i="58"/>
  <c r="O214" i="58"/>
  <c r="N214" i="58"/>
  <c r="Z213" i="58"/>
  <c r="Y213" i="58"/>
  <c r="X213" i="58"/>
  <c r="W213" i="58"/>
  <c r="Q213" i="58"/>
  <c r="P213" i="58"/>
  <c r="O213" i="58"/>
  <c r="N213" i="58"/>
  <c r="Z212" i="58"/>
  <c r="Y212" i="58"/>
  <c r="X212" i="58"/>
  <c r="W212" i="58"/>
  <c r="Q212" i="58"/>
  <c r="P212" i="58"/>
  <c r="O212" i="58"/>
  <c r="N212" i="58"/>
  <c r="Z211" i="58"/>
  <c r="Y211" i="58"/>
  <c r="X211" i="58"/>
  <c r="W211" i="58"/>
  <c r="Q211" i="58"/>
  <c r="P211" i="58"/>
  <c r="O211" i="58"/>
  <c r="N211" i="58"/>
  <c r="Z210" i="58"/>
  <c r="Y210" i="58"/>
  <c r="X210" i="58"/>
  <c r="W210" i="58"/>
  <c r="Q210" i="58"/>
  <c r="P210" i="58"/>
  <c r="O210" i="58"/>
  <c r="N210" i="58"/>
  <c r="Z209" i="58"/>
  <c r="Y209" i="58"/>
  <c r="X209" i="58"/>
  <c r="W209" i="58"/>
  <c r="Q209" i="58"/>
  <c r="P209" i="58"/>
  <c r="O209" i="58"/>
  <c r="N209" i="58"/>
  <c r="Z208" i="58"/>
  <c r="Y208" i="58"/>
  <c r="X208" i="58"/>
  <c r="W208" i="58"/>
  <c r="Q208" i="58"/>
  <c r="P208" i="58"/>
  <c r="O208" i="58"/>
  <c r="N208" i="58"/>
  <c r="Z207" i="58"/>
  <c r="Y207" i="58"/>
  <c r="X207" i="58"/>
  <c r="W207" i="58"/>
  <c r="Q207" i="58"/>
  <c r="P207" i="58"/>
  <c r="O207" i="58"/>
  <c r="N207" i="58"/>
  <c r="Z206" i="58"/>
  <c r="Y206" i="58"/>
  <c r="X206" i="58"/>
  <c r="W206" i="58"/>
  <c r="Q206" i="58"/>
  <c r="P206" i="58"/>
  <c r="O206" i="58"/>
  <c r="N206" i="58"/>
  <c r="Z200" i="58"/>
  <c r="Y200" i="58"/>
  <c r="X200" i="58"/>
  <c r="W200" i="58"/>
  <c r="Q200" i="58"/>
  <c r="P200" i="58"/>
  <c r="O200" i="58"/>
  <c r="N200" i="58"/>
  <c r="Z199" i="58"/>
  <c r="Y199" i="58"/>
  <c r="X199" i="58"/>
  <c r="W199" i="58"/>
  <c r="Q199" i="58"/>
  <c r="P199" i="58"/>
  <c r="O199" i="58"/>
  <c r="N199" i="58"/>
  <c r="Z198" i="58"/>
  <c r="Y198" i="58"/>
  <c r="X198" i="58"/>
  <c r="W198" i="58"/>
  <c r="Q198" i="58"/>
  <c r="P198" i="58"/>
  <c r="O198" i="58"/>
  <c r="N198" i="58"/>
  <c r="Z197" i="58"/>
  <c r="Y197" i="58"/>
  <c r="X197" i="58"/>
  <c r="W197" i="58"/>
  <c r="Q197" i="58"/>
  <c r="P197" i="58"/>
  <c r="O197" i="58"/>
  <c r="N197" i="58"/>
  <c r="Z196" i="58"/>
  <c r="Y196" i="58"/>
  <c r="X196" i="58"/>
  <c r="W196" i="58"/>
  <c r="Q196" i="58"/>
  <c r="P196" i="58"/>
  <c r="O196" i="58"/>
  <c r="N196" i="58"/>
  <c r="Z195" i="58"/>
  <c r="Y195" i="58"/>
  <c r="X195" i="58"/>
  <c r="W195" i="58"/>
  <c r="Q195" i="58"/>
  <c r="P195" i="58"/>
  <c r="O195" i="58"/>
  <c r="N195" i="58"/>
  <c r="Z194" i="58"/>
  <c r="Y194" i="58"/>
  <c r="X194" i="58"/>
  <c r="W194" i="58"/>
  <c r="Q194" i="58"/>
  <c r="P194" i="58"/>
  <c r="O194" i="58"/>
  <c r="N194" i="58"/>
  <c r="Z193" i="58"/>
  <c r="Y193" i="58"/>
  <c r="X193" i="58"/>
  <c r="W193" i="58"/>
  <c r="Q193" i="58"/>
  <c r="P193" i="58"/>
  <c r="O193" i="58"/>
  <c r="N193" i="58"/>
  <c r="Z192" i="58"/>
  <c r="Y192" i="58"/>
  <c r="X192" i="58"/>
  <c r="W192" i="58"/>
  <c r="Q192" i="58"/>
  <c r="P192" i="58"/>
  <c r="O192" i="58"/>
  <c r="N192" i="58"/>
  <c r="Z191" i="58"/>
  <c r="Y191" i="58"/>
  <c r="X191" i="58"/>
  <c r="W191" i="58"/>
  <c r="Q191" i="58"/>
  <c r="P191" i="58"/>
  <c r="O191" i="58"/>
  <c r="N191" i="58"/>
  <c r="Z190" i="58"/>
  <c r="Y190" i="58"/>
  <c r="X190" i="58"/>
  <c r="W190" i="58"/>
  <c r="Q190" i="58"/>
  <c r="P190" i="58"/>
  <c r="O190" i="58"/>
  <c r="N190" i="58"/>
  <c r="Z189" i="58"/>
  <c r="Y189" i="58"/>
  <c r="X189" i="58"/>
  <c r="W189" i="58"/>
  <c r="Q189" i="58"/>
  <c r="P189" i="58"/>
  <c r="O189" i="58"/>
  <c r="N189" i="58"/>
  <c r="Z188" i="58"/>
  <c r="Y188" i="58"/>
  <c r="X188" i="58"/>
  <c r="W188" i="58"/>
  <c r="Q188" i="58"/>
  <c r="P188" i="58"/>
  <c r="O188" i="58"/>
  <c r="N188" i="58"/>
  <c r="Z187" i="58"/>
  <c r="Y187" i="58"/>
  <c r="X187" i="58"/>
  <c r="W187" i="58"/>
  <c r="Q187" i="58"/>
  <c r="P187" i="58"/>
  <c r="O187" i="58"/>
  <c r="N187" i="58"/>
  <c r="Z186" i="58"/>
  <c r="Y186" i="58"/>
  <c r="X186" i="58"/>
  <c r="W186" i="58"/>
  <c r="Q186" i="58"/>
  <c r="P186" i="58"/>
  <c r="O186" i="58"/>
  <c r="N186" i="58"/>
  <c r="Z185" i="58"/>
  <c r="Y185" i="58"/>
  <c r="X185" i="58"/>
  <c r="W185" i="58"/>
  <c r="Q185" i="58"/>
  <c r="P185" i="58"/>
  <c r="O185" i="58"/>
  <c r="N185" i="58"/>
  <c r="Z184" i="58"/>
  <c r="Y184" i="58"/>
  <c r="X184" i="58"/>
  <c r="W184" i="58"/>
  <c r="Q184" i="58"/>
  <c r="P184" i="58"/>
  <c r="O184" i="58"/>
  <c r="N184" i="58"/>
  <c r="Q124" i="58"/>
  <c r="P124" i="58"/>
  <c r="O124" i="58"/>
  <c r="N124" i="58"/>
  <c r="Q123" i="58"/>
  <c r="P123" i="58"/>
  <c r="O123" i="58"/>
  <c r="N123" i="58"/>
  <c r="Q122" i="58"/>
  <c r="P122" i="58"/>
  <c r="O122" i="58"/>
  <c r="N122" i="58"/>
  <c r="Q121" i="58"/>
  <c r="P121" i="58"/>
  <c r="O121" i="58"/>
  <c r="N121" i="58"/>
  <c r="Q120" i="58"/>
  <c r="P120" i="58"/>
  <c r="O120" i="58"/>
  <c r="N120" i="58"/>
  <c r="Q119" i="58"/>
  <c r="P119" i="58"/>
  <c r="O119" i="58"/>
  <c r="N119" i="58"/>
  <c r="Q118" i="58"/>
  <c r="P118" i="58"/>
  <c r="O118" i="58"/>
  <c r="N118" i="58"/>
  <c r="Q117" i="58"/>
  <c r="P117" i="58"/>
  <c r="O117" i="58"/>
  <c r="N117" i="58"/>
  <c r="Q116" i="58"/>
  <c r="P116" i="58"/>
  <c r="O116" i="58"/>
  <c r="N116" i="58"/>
  <c r="Q115" i="58"/>
  <c r="P115" i="58"/>
  <c r="O115" i="58"/>
  <c r="N115" i="58"/>
  <c r="Q114" i="58"/>
  <c r="P114" i="58"/>
  <c r="O114" i="58"/>
  <c r="N114" i="58"/>
  <c r="Q113" i="58"/>
  <c r="P113" i="58"/>
  <c r="O113" i="58"/>
  <c r="N113" i="58"/>
  <c r="Q112" i="58"/>
  <c r="P112" i="58"/>
  <c r="O112" i="58"/>
  <c r="N112" i="58"/>
  <c r="Q111" i="58"/>
  <c r="P111" i="58"/>
  <c r="O111" i="58"/>
  <c r="N111" i="58"/>
  <c r="P1" i="58"/>
  <c r="AF19" i="27"/>
  <c r="AE19" i="27"/>
  <c r="AD19" i="27"/>
  <c r="AC19" i="27"/>
  <c r="AB19" i="27"/>
  <c r="AF18" i="27"/>
  <c r="AE18" i="27"/>
  <c r="AD18" i="27"/>
  <c r="AC18" i="27"/>
  <c r="AB18" i="27"/>
  <c r="J24" i="62"/>
  <c r="B439" i="58" l="1"/>
  <c r="B430" i="58"/>
  <c r="S435" i="58"/>
  <c r="U435" i="58" s="1"/>
  <c r="B421" i="58"/>
  <c r="S426" i="58" l="1"/>
  <c r="U426" i="58" s="1"/>
  <c r="Z122" i="40" l="1"/>
  <c r="Y122" i="40"/>
  <c r="Q106" i="40"/>
  <c r="P106" i="40"/>
  <c r="O106" i="40"/>
  <c r="N106" i="40"/>
  <c r="T112" i="40"/>
  <c r="S112" i="40"/>
  <c r="R112" i="40"/>
  <c r="R106" i="40" l="1"/>
  <c r="T106" i="40" s="1"/>
  <c r="T108" i="40" s="1"/>
  <c r="Q113" i="40" s="1"/>
  <c r="C113" i="40" s="1"/>
  <c r="R126" i="40"/>
  <c r="T126" i="40" s="1"/>
  <c r="W126" i="40" s="1"/>
  <c r="R124" i="40"/>
  <c r="T124" i="40" s="1"/>
  <c r="X124" i="40" s="1"/>
  <c r="R125" i="40"/>
  <c r="T125" i="40" s="1"/>
  <c r="T113" i="40" l="1"/>
  <c r="F113" i="40" s="1"/>
  <c r="S113" i="40"/>
  <c r="E113" i="40" s="1"/>
  <c r="R113" i="40"/>
  <c r="D113" i="40" s="1"/>
  <c r="P113" i="40"/>
  <c r="B113" i="40" s="1"/>
  <c r="Y126" i="40"/>
  <c r="X126" i="40"/>
  <c r="V126" i="40"/>
  <c r="Z126" i="40"/>
  <c r="Z124" i="40"/>
  <c r="V124" i="40"/>
  <c r="Y124" i="40"/>
  <c r="W124" i="40"/>
  <c r="W125" i="40"/>
  <c r="X125" i="40"/>
  <c r="Z125" i="40"/>
  <c r="V125" i="40"/>
  <c r="Y125" i="40"/>
  <c r="X128" i="40" l="1"/>
  <c r="D128" i="40" s="1"/>
  <c r="Y128" i="40"/>
  <c r="E128" i="40" s="1"/>
  <c r="V128" i="40"/>
  <c r="B128" i="40" s="1"/>
  <c r="Z128" i="40"/>
  <c r="F128" i="40" s="1"/>
  <c r="W128" i="40"/>
  <c r="C128" i="40" s="1"/>
  <c r="E401" i="58"/>
  <c r="C401" i="58"/>
  <c r="F401" i="58"/>
  <c r="D401" i="58"/>
  <c r="B401" i="58"/>
  <c r="T383" i="58"/>
  <c r="T382" i="58"/>
  <c r="T381" i="58"/>
  <c r="T380" i="58"/>
  <c r="T379" i="58"/>
  <c r="T378" i="58"/>
  <c r="T376" i="58"/>
  <c r="T372" i="58"/>
  <c r="T370" i="58"/>
  <c r="T369" i="58"/>
  <c r="T368" i="58"/>
  <c r="T367" i="58"/>
  <c r="T365" i="58"/>
  <c r="Q362" i="58"/>
  <c r="T373" i="58" s="1"/>
  <c r="Q361" i="58"/>
  <c r="Q360" i="58"/>
  <c r="F350" i="58"/>
  <c r="D350" i="58"/>
  <c r="C350" i="58"/>
  <c r="B350" i="58"/>
  <c r="E350" i="58"/>
  <c r="S365" i="58"/>
  <c r="S370" i="58"/>
  <c r="S369" i="58"/>
  <c r="S380" i="58"/>
  <c r="S381" i="58"/>
  <c r="S376" i="58"/>
  <c r="S382" i="58"/>
  <c r="S367" i="58"/>
  <c r="S368" i="58" l="1"/>
  <c r="U368" i="58" s="1"/>
  <c r="S375" i="58"/>
  <c r="U375" i="58" s="1"/>
  <c r="S377" i="58"/>
  <c r="U377" i="58" s="1"/>
  <c r="S378" i="58"/>
  <c r="U378" i="58" s="1"/>
  <c r="U382" i="58"/>
  <c r="U369" i="58"/>
  <c r="S366" i="58"/>
  <c r="U366" i="58" s="1"/>
  <c r="S397" i="58"/>
  <c r="U397" i="58" s="1"/>
  <c r="S371" i="58"/>
  <c r="U371" i="58" s="1"/>
  <c r="S372" i="58"/>
  <c r="U372" i="58" s="1"/>
  <c r="S373" i="58"/>
  <c r="U373" i="58" s="1"/>
  <c r="S379" i="58"/>
  <c r="U379" i="58" s="1"/>
  <c r="S374" i="58"/>
  <c r="U381" i="58"/>
  <c r="U380" i="58"/>
  <c r="U367" i="58"/>
  <c r="U365" i="58"/>
  <c r="U370" i="58"/>
  <c r="U376" i="58"/>
  <c r="T374" i="58"/>
  <c r="U374" i="58" l="1"/>
  <c r="U383" i="58" s="1"/>
  <c r="U384" i="58" s="1"/>
  <c r="U386" i="58" s="1"/>
  <c r="U391" i="58" l="1"/>
  <c r="F391" i="58" s="1"/>
  <c r="Q391" i="58"/>
  <c r="B391" i="58" s="1"/>
  <c r="T391" i="58"/>
  <c r="E391" i="58" s="1"/>
  <c r="R391" i="58"/>
  <c r="C391" i="58" s="1"/>
  <c r="S391" i="58"/>
  <c r="D391" i="58" s="1"/>
  <c r="O77" i="11" l="1"/>
  <c r="N77" i="11"/>
  <c r="P392" i="53"/>
  <c r="O392" i="53"/>
  <c r="N392" i="53"/>
  <c r="O78" i="11" l="1"/>
  <c r="P77" i="11"/>
  <c r="P78" i="11" s="1"/>
  <c r="P79" i="11" s="1"/>
  <c r="P80" i="11" s="1"/>
  <c r="Q77" i="11"/>
  <c r="S77" i="11"/>
  <c r="S78" i="11" s="1"/>
  <c r="S79" i="11" s="1"/>
  <c r="T77" i="11"/>
  <c r="T78" i="11" s="1"/>
  <c r="T79" i="11" s="1"/>
  <c r="R77" i="11"/>
  <c r="R78" i="11" s="1"/>
  <c r="R79" i="11" s="1"/>
  <c r="Q78" i="11" l="1"/>
  <c r="Q79" i="11" s="1"/>
  <c r="B78" i="11"/>
  <c r="S80" i="11"/>
  <c r="E78" i="11" s="1"/>
  <c r="R80" i="11"/>
  <c r="D78" i="11" s="1"/>
  <c r="T80" i="11"/>
  <c r="F78" i="11" s="1"/>
  <c r="Q80" i="11" l="1"/>
  <c r="C78" i="11" s="1"/>
  <c r="O70" i="11"/>
  <c r="N70" i="11"/>
  <c r="Q70" i="11" s="1"/>
  <c r="Q71" i="11" s="1"/>
  <c r="P119" i="52"/>
  <c r="O123" i="52" s="1"/>
  <c r="O119" i="52"/>
  <c r="N119" i="52"/>
  <c r="R450" i="58"/>
  <c r="Q450" i="58"/>
  <c r="P450" i="58"/>
  <c r="O450" i="58"/>
  <c r="U454" i="58"/>
  <c r="T454" i="58"/>
  <c r="S454" i="58"/>
  <c r="R454" i="58"/>
  <c r="Q454" i="58"/>
  <c r="R332" i="58"/>
  <c r="R333" i="58" s="1"/>
  <c r="O336" i="58" s="1"/>
  <c r="R318" i="58"/>
  <c r="R319" i="58" s="1"/>
  <c r="R314" i="58"/>
  <c r="R315" i="58" s="1"/>
  <c r="P300" i="58"/>
  <c r="R299" i="58"/>
  <c r="R300" i="58" s="1"/>
  <c r="L7" i="41"/>
  <c r="X255" i="58"/>
  <c r="X259" i="58" s="1"/>
  <c r="W255" i="58"/>
  <c r="W259" i="58" s="1"/>
  <c r="V255" i="58"/>
  <c r="V259" i="58" s="1"/>
  <c r="U255" i="58"/>
  <c r="U259" i="58" s="1"/>
  <c r="T255" i="58"/>
  <c r="T259" i="58" s="1"/>
  <c r="R255" i="58"/>
  <c r="R259" i="58" s="1"/>
  <c r="Q255" i="58"/>
  <c r="Q259" i="58" s="1"/>
  <c r="P255" i="58"/>
  <c r="P259" i="58" s="1"/>
  <c r="O255" i="58"/>
  <c r="O259" i="58" s="1"/>
  <c r="N255" i="58"/>
  <c r="N259" i="58" s="1"/>
  <c r="X253" i="58"/>
  <c r="X257" i="58" s="1"/>
  <c r="W253" i="58"/>
  <c r="V253" i="58"/>
  <c r="V257" i="58" s="1"/>
  <c r="U253" i="58"/>
  <c r="U257" i="58" s="1"/>
  <c r="T253" i="58"/>
  <c r="T257" i="58" s="1"/>
  <c r="X232" i="58"/>
  <c r="X236" i="58" s="1"/>
  <c r="W232" i="58"/>
  <c r="W236" i="58" s="1"/>
  <c r="V232" i="58"/>
  <c r="V236" i="58" s="1"/>
  <c r="U232" i="58"/>
  <c r="U236" i="58" s="1"/>
  <c r="T232" i="58"/>
  <c r="T236" i="58" s="1"/>
  <c r="R232" i="58"/>
  <c r="R236" i="58" s="1"/>
  <c r="Q232" i="58"/>
  <c r="Q236" i="58" s="1"/>
  <c r="P232" i="58"/>
  <c r="P236" i="58" s="1"/>
  <c r="O232" i="58"/>
  <c r="O236" i="58" s="1"/>
  <c r="N232" i="58"/>
  <c r="N236" i="58" s="1"/>
  <c r="X230" i="58"/>
  <c r="X234" i="58" s="1"/>
  <c r="W230" i="58"/>
  <c r="T230" i="58"/>
  <c r="T234" i="58" s="1"/>
  <c r="V230" i="58"/>
  <c r="U230" i="58"/>
  <c r="AC222" i="58"/>
  <c r="T222" i="58"/>
  <c r="AC221" i="58"/>
  <c r="T221" i="58"/>
  <c r="AC220" i="58"/>
  <c r="T220" i="58"/>
  <c r="AC219" i="58"/>
  <c r="T219" i="58"/>
  <c r="AC218" i="58"/>
  <c r="T218" i="58"/>
  <c r="AC217" i="58"/>
  <c r="T217" i="58"/>
  <c r="AC216" i="58"/>
  <c r="T216" i="58"/>
  <c r="AC215" i="58"/>
  <c r="T215" i="58"/>
  <c r="AC214" i="58"/>
  <c r="T214" i="58"/>
  <c r="AC213" i="58"/>
  <c r="T213" i="58"/>
  <c r="AC212" i="58"/>
  <c r="T212" i="58"/>
  <c r="AC211" i="58"/>
  <c r="T211" i="58"/>
  <c r="AC210" i="58"/>
  <c r="T210" i="58"/>
  <c r="AC209" i="58"/>
  <c r="T209" i="58"/>
  <c r="AC208" i="58"/>
  <c r="T208" i="58"/>
  <c r="AC207" i="58"/>
  <c r="T207" i="58"/>
  <c r="AC206" i="58"/>
  <c r="T206" i="58"/>
  <c r="AC185" i="58"/>
  <c r="AC186" i="58"/>
  <c r="AC187" i="58"/>
  <c r="AC188" i="58"/>
  <c r="AC189" i="58"/>
  <c r="AC190" i="58"/>
  <c r="AC191" i="58"/>
  <c r="AC192" i="58"/>
  <c r="AC193" i="58"/>
  <c r="AC194" i="58"/>
  <c r="AC195" i="58"/>
  <c r="T194" i="58"/>
  <c r="T193" i="58"/>
  <c r="T191" i="58"/>
  <c r="T192" i="58"/>
  <c r="AC200" i="58"/>
  <c r="AC199" i="58"/>
  <c r="AC198" i="58"/>
  <c r="AC197" i="58"/>
  <c r="AC196" i="58"/>
  <c r="AC184" i="58"/>
  <c r="T200" i="58"/>
  <c r="T199" i="58"/>
  <c r="T198" i="58"/>
  <c r="T197" i="58"/>
  <c r="T196" i="58"/>
  <c r="T195" i="58"/>
  <c r="T190" i="58"/>
  <c r="T189" i="58"/>
  <c r="T188" i="58"/>
  <c r="T187" i="58"/>
  <c r="T186" i="58"/>
  <c r="T185" i="58"/>
  <c r="T184" i="58"/>
  <c r="U337" i="58" l="1"/>
  <c r="Q337" i="58"/>
  <c r="B337" i="58" s="1"/>
  <c r="T337" i="58"/>
  <c r="E337" i="58" s="1"/>
  <c r="S337" i="58"/>
  <c r="D337" i="58" s="1"/>
  <c r="R337" i="58"/>
  <c r="S450" i="58"/>
  <c r="P455" i="58" s="1"/>
  <c r="T455" i="58" s="1"/>
  <c r="E455" i="58" s="1"/>
  <c r="Q72" i="11"/>
  <c r="Q73" i="11" s="1"/>
  <c r="C71" i="11" s="1"/>
  <c r="S70" i="11"/>
  <c r="S71" i="11" s="1"/>
  <c r="P70" i="11"/>
  <c r="P71" i="11" s="1"/>
  <c r="T70" i="11"/>
  <c r="T71" i="11" s="1"/>
  <c r="R70" i="11"/>
  <c r="R71" i="11" s="1"/>
  <c r="T123" i="52"/>
  <c r="F123" i="52" s="1"/>
  <c r="P123" i="52"/>
  <c r="B123" i="52" s="1"/>
  <c r="S123" i="52"/>
  <c r="E123" i="52" s="1"/>
  <c r="R123" i="52"/>
  <c r="D123" i="52" s="1"/>
  <c r="Q123" i="52"/>
  <c r="C123" i="52" s="1"/>
  <c r="C337" i="58"/>
  <c r="F337" i="58"/>
  <c r="R320" i="58"/>
  <c r="O322" i="58" s="1"/>
  <c r="U258" i="58"/>
  <c r="U262" i="58" s="1"/>
  <c r="V258" i="58"/>
  <c r="V262" i="58" s="1"/>
  <c r="T258" i="58"/>
  <c r="T262" i="58" s="1"/>
  <c r="W257" i="58"/>
  <c r="X258" i="58"/>
  <c r="X262" i="58" s="1"/>
  <c r="U234" i="58"/>
  <c r="V234" i="58"/>
  <c r="T235" i="58"/>
  <c r="X235" i="58"/>
  <c r="W234" i="58"/>
  <c r="T223" i="58"/>
  <c r="AC223" i="58"/>
  <c r="AC201" i="58"/>
  <c r="T201" i="58"/>
  <c r="X160" i="58"/>
  <c r="X164" i="58" s="1"/>
  <c r="W160" i="58"/>
  <c r="W164" i="58" s="1"/>
  <c r="V160" i="58"/>
  <c r="V164" i="58" s="1"/>
  <c r="U160" i="58"/>
  <c r="U164" i="58" s="1"/>
  <c r="T160" i="58"/>
  <c r="T164" i="58" s="1"/>
  <c r="R160" i="58"/>
  <c r="R164" i="58" s="1"/>
  <c r="Q160" i="58"/>
  <c r="Q164" i="58" s="1"/>
  <c r="P160" i="58"/>
  <c r="P164" i="58" s="1"/>
  <c r="O160" i="58"/>
  <c r="O164" i="58" s="1"/>
  <c r="N160" i="58"/>
  <c r="N164" i="58" s="1"/>
  <c r="X134" i="58"/>
  <c r="X138" i="58" s="1"/>
  <c r="W134" i="58"/>
  <c r="W138" i="58" s="1"/>
  <c r="V134" i="58"/>
  <c r="V138" i="58" s="1"/>
  <c r="U134" i="58"/>
  <c r="U138" i="58" s="1"/>
  <c r="T134" i="58"/>
  <c r="T138" i="58" s="1"/>
  <c r="R134" i="58"/>
  <c r="R138" i="58" s="1"/>
  <c r="Q134" i="58"/>
  <c r="Q138" i="58" s="1"/>
  <c r="P134" i="58"/>
  <c r="P138" i="58" s="1"/>
  <c r="O134" i="58"/>
  <c r="O138" i="58" s="1"/>
  <c r="N134" i="58"/>
  <c r="N138" i="58" s="1"/>
  <c r="T119" i="58"/>
  <c r="O38" i="58"/>
  <c r="O42" i="58" s="1"/>
  <c r="P38" i="58"/>
  <c r="P42" i="58" s="1"/>
  <c r="Q38" i="58"/>
  <c r="Q42" i="58" s="1"/>
  <c r="R38" i="58"/>
  <c r="R42" i="58" s="1"/>
  <c r="S38" i="58"/>
  <c r="S42" i="58" s="1"/>
  <c r="T38" i="58"/>
  <c r="T42" i="58" s="1"/>
  <c r="U38" i="58"/>
  <c r="U42" i="58" s="1"/>
  <c r="V38" i="58"/>
  <c r="V42" i="58" s="1"/>
  <c r="W38" i="58"/>
  <c r="W42" i="58" s="1"/>
  <c r="N38" i="58"/>
  <c r="N42" i="58" s="1"/>
  <c r="S40" i="58"/>
  <c r="U40" i="58"/>
  <c r="T40" i="58"/>
  <c r="O40" i="58"/>
  <c r="P40" i="58"/>
  <c r="Q40" i="58"/>
  <c r="R40" i="58"/>
  <c r="N40" i="58"/>
  <c r="P15" i="58"/>
  <c r="Q15" i="58"/>
  <c r="R15" i="58"/>
  <c r="V15" i="58" s="1"/>
  <c r="S15" i="58"/>
  <c r="P14" i="58"/>
  <c r="Q14" i="58"/>
  <c r="R14" i="58"/>
  <c r="V14" i="58" s="1"/>
  <c r="S14" i="58"/>
  <c r="P16" i="58"/>
  <c r="Q16" i="58"/>
  <c r="R16" i="58"/>
  <c r="V16" i="58" s="1"/>
  <c r="S16" i="58"/>
  <c r="P11" i="58"/>
  <c r="Q11" i="58"/>
  <c r="R11" i="58"/>
  <c r="V11" i="58" s="1"/>
  <c r="S11" i="58"/>
  <c r="S25" i="58"/>
  <c r="R25" i="58"/>
  <c r="V25" i="58" s="1"/>
  <c r="Q25" i="58"/>
  <c r="P25" i="58"/>
  <c r="S24" i="58"/>
  <c r="R24" i="58"/>
  <c r="V24" i="58" s="1"/>
  <c r="Q24" i="58"/>
  <c r="P24" i="58"/>
  <c r="S23" i="58"/>
  <c r="R23" i="58"/>
  <c r="V23" i="58" s="1"/>
  <c r="Q23" i="58"/>
  <c r="P23" i="58"/>
  <c r="S22" i="58"/>
  <c r="R22" i="58"/>
  <c r="V22" i="58" s="1"/>
  <c r="Q22" i="58"/>
  <c r="P22" i="58"/>
  <c r="S21" i="58"/>
  <c r="R21" i="58"/>
  <c r="V21" i="58" s="1"/>
  <c r="Q21" i="58"/>
  <c r="P21" i="58"/>
  <c r="S20" i="58"/>
  <c r="R20" i="58"/>
  <c r="V20" i="58" s="1"/>
  <c r="Q20" i="58"/>
  <c r="P20" i="58"/>
  <c r="S19" i="58"/>
  <c r="R19" i="58"/>
  <c r="V19" i="58" s="1"/>
  <c r="Q19" i="58"/>
  <c r="P19" i="58"/>
  <c r="S18" i="58"/>
  <c r="R18" i="58"/>
  <c r="V18" i="58" s="1"/>
  <c r="Q18" i="58"/>
  <c r="P18" i="58"/>
  <c r="S17" i="58"/>
  <c r="R17" i="58"/>
  <c r="V17" i="58" s="1"/>
  <c r="Q17" i="58"/>
  <c r="P17" i="58"/>
  <c r="S13" i="58"/>
  <c r="R13" i="58"/>
  <c r="V13" i="58" s="1"/>
  <c r="Q13" i="58"/>
  <c r="P13" i="58"/>
  <c r="S12" i="58"/>
  <c r="R12" i="58"/>
  <c r="V12" i="58" s="1"/>
  <c r="Q12" i="58"/>
  <c r="P12" i="58"/>
  <c r="S10" i="58"/>
  <c r="R10" i="58"/>
  <c r="V10" i="58" s="1"/>
  <c r="Q10" i="58"/>
  <c r="P10" i="58"/>
  <c r="S455" i="58" l="1"/>
  <c r="D455" i="58" s="1"/>
  <c r="Q455" i="58"/>
  <c r="B455" i="58" s="1"/>
  <c r="U455" i="58"/>
  <c r="F455" i="58" s="1"/>
  <c r="R455" i="58"/>
  <c r="C455" i="58" s="1"/>
  <c r="S43" i="58"/>
  <c r="S41" i="58" s="1"/>
  <c r="R43" i="58"/>
  <c r="R323" i="58"/>
  <c r="C323" i="58" s="1"/>
  <c r="U323" i="58"/>
  <c r="F323" i="58" s="1"/>
  <c r="Q323" i="58"/>
  <c r="B323" i="58" s="1"/>
  <c r="T323" i="58"/>
  <c r="E323" i="58" s="1"/>
  <c r="S323" i="58"/>
  <c r="D323" i="58" s="1"/>
  <c r="P43" i="58"/>
  <c r="P41" i="58" s="1"/>
  <c r="W261" i="58"/>
  <c r="T261" i="58"/>
  <c r="V261" i="58"/>
  <c r="X261" i="58"/>
  <c r="U261" i="58"/>
  <c r="X239" i="58"/>
  <c r="T239" i="58"/>
  <c r="V238" i="58"/>
  <c r="U238" i="58"/>
  <c r="W238" i="58"/>
  <c r="X238" i="58"/>
  <c r="T238" i="58"/>
  <c r="P72" i="11"/>
  <c r="S72" i="11"/>
  <c r="S73" i="11" s="1"/>
  <c r="E71" i="11" s="1"/>
  <c r="R72" i="11"/>
  <c r="R73" i="11" s="1"/>
  <c r="D71" i="11" s="1"/>
  <c r="T72" i="11"/>
  <c r="T73" i="11" s="1"/>
  <c r="F71" i="11" s="1"/>
  <c r="V256" i="58"/>
  <c r="V263" i="58" s="1"/>
  <c r="U256" i="58"/>
  <c r="U263" i="58" s="1"/>
  <c r="X256" i="58"/>
  <c r="X263" i="58" s="1"/>
  <c r="T256" i="58"/>
  <c r="T263" i="58" s="1"/>
  <c r="W258" i="58"/>
  <c r="W262" i="58" s="1"/>
  <c r="U235" i="58"/>
  <c r="U239" i="58" s="1"/>
  <c r="T233" i="58"/>
  <c r="T240" i="58" s="1"/>
  <c r="V235" i="58"/>
  <c r="V239" i="58" s="1"/>
  <c r="W235" i="58"/>
  <c r="W239" i="58" s="1"/>
  <c r="X233" i="58"/>
  <c r="X240" i="58" s="1"/>
  <c r="R41" i="58"/>
  <c r="V43" i="58"/>
  <c r="W43" i="58"/>
  <c r="U43" i="58"/>
  <c r="T43" i="58"/>
  <c r="Q43" i="58"/>
  <c r="O43" i="58"/>
  <c r="N43" i="58"/>
  <c r="V26" i="58"/>
  <c r="R48" i="58" l="1"/>
  <c r="O46" i="58"/>
  <c r="C46" i="58" s="1"/>
  <c r="N41" i="58"/>
  <c r="N48" i="58" s="1"/>
  <c r="N47" i="58"/>
  <c r="B44" i="58" s="1"/>
  <c r="U41" i="58"/>
  <c r="U48" i="58" s="1"/>
  <c r="U47" i="58"/>
  <c r="W46" i="58"/>
  <c r="F47" i="58" s="1"/>
  <c r="O47" i="58"/>
  <c r="C44" i="58" s="1"/>
  <c r="P48" i="58"/>
  <c r="P46" i="58"/>
  <c r="D46" i="58" s="1"/>
  <c r="Q46" i="58"/>
  <c r="E46" i="58" s="1"/>
  <c r="S46" i="58"/>
  <c r="B47" i="58" s="1"/>
  <c r="T41" i="58"/>
  <c r="T48" i="58" s="1"/>
  <c r="T47" i="58"/>
  <c r="C48" i="58" s="1"/>
  <c r="T46" i="58"/>
  <c r="C47" i="58" s="1"/>
  <c r="R46" i="58"/>
  <c r="F46" i="58" s="1"/>
  <c r="S48" i="58"/>
  <c r="N46" i="58"/>
  <c r="R47" i="58"/>
  <c r="F44" i="58" s="1"/>
  <c r="W41" i="58"/>
  <c r="W48" i="58" s="1"/>
  <c r="W47" i="58"/>
  <c r="F48" i="58" s="1"/>
  <c r="Q41" i="58"/>
  <c r="Q48" i="58" s="1"/>
  <c r="Q47" i="58"/>
  <c r="E44" i="58" s="1"/>
  <c r="V41" i="58"/>
  <c r="V48" i="58" s="1"/>
  <c r="V47" i="58"/>
  <c r="E48" i="58" s="1"/>
  <c r="P47" i="58"/>
  <c r="V46" i="58"/>
  <c r="E47" i="58" s="1"/>
  <c r="U46" i="58"/>
  <c r="D47" i="58" s="1"/>
  <c r="S47" i="58"/>
  <c r="B48" i="58" s="1"/>
  <c r="P73" i="11"/>
  <c r="B71" i="11" s="1"/>
  <c r="W256" i="58"/>
  <c r="W263" i="58" s="1"/>
  <c r="U233" i="58"/>
  <c r="U240" i="58" s="1"/>
  <c r="V233" i="58"/>
  <c r="V240" i="58" s="1"/>
  <c r="W233" i="58"/>
  <c r="W240" i="58" s="1"/>
  <c r="B46" i="58"/>
  <c r="O41" i="58"/>
  <c r="O48" i="58" s="1"/>
  <c r="D44" i="58"/>
  <c r="D48" i="58"/>
  <c r="C1095" i="53" l="1"/>
  <c r="D1095" i="53"/>
  <c r="E1095" i="53"/>
  <c r="F1095" i="53"/>
  <c r="B1095" i="53"/>
  <c r="AL653" i="12" l="1"/>
  <c r="AL651" i="12"/>
  <c r="AL649" i="12"/>
  <c r="AL647" i="12"/>
  <c r="AL537" i="12"/>
  <c r="AL535" i="12"/>
  <c r="AL533" i="12"/>
  <c r="AL531" i="12"/>
  <c r="AL348" i="12"/>
  <c r="AL346" i="12"/>
  <c r="AL344" i="12"/>
  <c r="AL342" i="12"/>
  <c r="J13" i="60"/>
  <c r="B134" i="53" l="1"/>
  <c r="B133" i="53"/>
  <c r="B132" i="53"/>
  <c r="B131" i="53"/>
  <c r="B124" i="53"/>
  <c r="B123" i="53"/>
  <c r="B121" i="53"/>
  <c r="B122" i="53"/>
  <c r="C114" i="53"/>
  <c r="D114" i="53"/>
  <c r="E114" i="53"/>
  <c r="F114" i="53"/>
  <c r="B114" i="53"/>
  <c r="C113" i="53"/>
  <c r="D113" i="53"/>
  <c r="E113" i="53"/>
  <c r="F113" i="53"/>
  <c r="B113" i="53"/>
  <c r="C112" i="53"/>
  <c r="D112" i="53"/>
  <c r="E112" i="53"/>
  <c r="F112" i="53"/>
  <c r="B112" i="53"/>
  <c r="C111" i="53"/>
  <c r="D111" i="53"/>
  <c r="E111" i="53"/>
  <c r="F111" i="53"/>
  <c r="B111" i="53"/>
  <c r="L112" i="53" l="1"/>
  <c r="L111" i="53"/>
  <c r="L114" i="53"/>
  <c r="L113" i="53"/>
  <c r="B25" i="11"/>
  <c r="I36" i="13" l="1"/>
  <c r="V281" i="43" l="1"/>
  <c r="O277" i="43"/>
  <c r="V267" i="43"/>
  <c r="O255" i="43"/>
  <c r="O254" i="43"/>
  <c r="P247" i="43"/>
  <c r="P248" i="43" s="1"/>
  <c r="AJ725" i="12" l="1"/>
  <c r="AI725" i="12"/>
  <c r="AH725" i="12"/>
  <c r="AG725" i="12"/>
  <c r="AF725" i="12"/>
  <c r="U705" i="12"/>
  <c r="U703" i="12"/>
  <c r="Z725" i="12"/>
  <c r="AA725" i="12"/>
  <c r="AB725" i="12"/>
  <c r="AC725" i="12"/>
  <c r="AD725" i="12"/>
  <c r="Q316" i="43" l="1"/>
  <c r="U317" i="43" l="1"/>
  <c r="T317" i="43"/>
  <c r="S317" i="43"/>
  <c r="R317" i="43"/>
  <c r="V317" i="43"/>
  <c r="A323" i="62"/>
  <c r="A315" i="62"/>
  <c r="A307" i="62"/>
  <c r="A304" i="62"/>
  <c r="A299" i="62"/>
  <c r="A296" i="62"/>
  <c r="A291" i="62"/>
  <c r="A287" i="62"/>
  <c r="A281" i="62"/>
  <c r="A278" i="62"/>
  <c r="A274" i="62"/>
  <c r="A270" i="62"/>
  <c r="A267" i="62"/>
  <c r="A263" i="62"/>
  <c r="A260" i="62"/>
  <c r="A257" i="62"/>
  <c r="A251" i="62"/>
  <c r="A248" i="62"/>
  <c r="A245" i="62"/>
  <c r="A240" i="62"/>
  <c r="A236" i="62"/>
  <c r="A233" i="62"/>
  <c r="A230" i="62"/>
  <c r="A226" i="62"/>
  <c r="A223" i="62"/>
  <c r="A215" i="62"/>
  <c r="A212" i="62"/>
  <c r="A207" i="62"/>
  <c r="A200" i="62"/>
  <c r="A194" i="62"/>
  <c r="A190" i="62"/>
  <c r="A186" i="62"/>
  <c r="A178" i="62"/>
  <c r="A174" i="62"/>
  <c r="A171" i="62"/>
  <c r="A168" i="62"/>
  <c r="A162" i="62"/>
  <c r="A157" i="62"/>
  <c r="A153" i="62"/>
  <c r="A148" i="62"/>
  <c r="A144" i="62"/>
  <c r="A140" i="62"/>
  <c r="A129" i="62"/>
  <c r="A125" i="62"/>
  <c r="A118" i="62"/>
  <c r="A115" i="62"/>
  <c r="A107" i="62"/>
  <c r="A104" i="62"/>
  <c r="A101" i="62"/>
  <c r="A95" i="62"/>
  <c r="A91" i="62"/>
  <c r="A87" i="62"/>
  <c r="A81" i="62"/>
  <c r="A75" i="62"/>
  <c r="A66" i="62"/>
  <c r="A58" i="62"/>
  <c r="A55" i="62"/>
  <c r="A50" i="62"/>
  <c r="A46" i="62"/>
  <c r="A42" i="62"/>
  <c r="T956" i="53"/>
  <c r="R956" i="53"/>
  <c r="Q956" i="53"/>
  <c r="P956" i="53"/>
  <c r="O956" i="53"/>
  <c r="T955" i="53"/>
  <c r="R955" i="53"/>
  <c r="Q955" i="53"/>
  <c r="P955" i="53"/>
  <c r="O955" i="53"/>
  <c r="T954" i="53"/>
  <c r="R954" i="53"/>
  <c r="Q954" i="53"/>
  <c r="P954" i="53"/>
  <c r="O954" i="53"/>
  <c r="T953" i="53"/>
  <c r="R953" i="53"/>
  <c r="Q953" i="53"/>
  <c r="P953" i="53"/>
  <c r="O953" i="53"/>
  <c r="T952" i="53"/>
  <c r="R952" i="53"/>
  <c r="Q952" i="53"/>
  <c r="P952" i="53"/>
  <c r="O952" i="53"/>
  <c r="T951" i="53"/>
  <c r="R951" i="53"/>
  <c r="Q951" i="53"/>
  <c r="P951" i="53"/>
  <c r="O951" i="53"/>
  <c r="R950" i="53"/>
  <c r="Q950" i="53"/>
  <c r="P950" i="53"/>
  <c r="O950" i="53"/>
  <c r="T949" i="53"/>
  <c r="R949" i="53"/>
  <c r="Q949" i="53"/>
  <c r="P949" i="53"/>
  <c r="O949" i="53"/>
  <c r="R948" i="53"/>
  <c r="Q948" i="53"/>
  <c r="P948" i="53"/>
  <c r="O948" i="53"/>
  <c r="R947" i="53"/>
  <c r="Q947" i="53"/>
  <c r="P947" i="53"/>
  <c r="O947" i="53"/>
  <c r="R946" i="53"/>
  <c r="Q946" i="53"/>
  <c r="P946" i="53"/>
  <c r="O946" i="53"/>
  <c r="T945" i="53"/>
  <c r="R945" i="53"/>
  <c r="Q945" i="53"/>
  <c r="P945" i="53"/>
  <c r="O945" i="53"/>
  <c r="R944" i="53"/>
  <c r="Q944" i="53"/>
  <c r="P944" i="53"/>
  <c r="O944" i="53"/>
  <c r="T943" i="53"/>
  <c r="R943" i="53"/>
  <c r="Q943" i="53"/>
  <c r="P943" i="53"/>
  <c r="O943" i="53"/>
  <c r="T942" i="53"/>
  <c r="R942" i="53"/>
  <c r="Q942" i="53"/>
  <c r="P942" i="53"/>
  <c r="O942" i="53"/>
  <c r="T941" i="53"/>
  <c r="R941" i="53"/>
  <c r="Q941" i="53"/>
  <c r="P941" i="53"/>
  <c r="O941" i="53"/>
  <c r="T940" i="53"/>
  <c r="R940" i="53"/>
  <c r="Q940" i="53"/>
  <c r="P940" i="53"/>
  <c r="O940" i="53"/>
  <c r="R939" i="53"/>
  <c r="Q939" i="53"/>
  <c r="P939" i="53"/>
  <c r="O939" i="53"/>
  <c r="T938" i="53"/>
  <c r="R938" i="53"/>
  <c r="Q938" i="53"/>
  <c r="P938" i="53"/>
  <c r="O938" i="53"/>
  <c r="Q935" i="53"/>
  <c r="T947" i="53" s="1"/>
  <c r="Q934" i="53"/>
  <c r="Q933" i="53"/>
  <c r="R917" i="53"/>
  <c r="Q917" i="53"/>
  <c r="P917" i="53"/>
  <c r="O917" i="53"/>
  <c r="R916" i="53"/>
  <c r="Q916" i="53"/>
  <c r="P916" i="53"/>
  <c r="O916" i="53"/>
  <c r="R915" i="53"/>
  <c r="Q915" i="53"/>
  <c r="P915" i="53"/>
  <c r="O915" i="53"/>
  <c r="T914" i="53"/>
  <c r="R914" i="53"/>
  <c r="Q914" i="53"/>
  <c r="P914" i="53"/>
  <c r="O914" i="53"/>
  <c r="T913" i="53"/>
  <c r="R913" i="53"/>
  <c r="Q913" i="53"/>
  <c r="P913" i="53"/>
  <c r="O913" i="53"/>
  <c r="T912" i="53"/>
  <c r="R912" i="53"/>
  <c r="Q912" i="53"/>
  <c r="P912" i="53"/>
  <c r="O912" i="53"/>
  <c r="T911" i="53"/>
  <c r="R911" i="53"/>
  <c r="Q911" i="53"/>
  <c r="P911" i="53"/>
  <c r="O911" i="53"/>
  <c r="C289" i="58"/>
  <c r="D289" i="58"/>
  <c r="E289" i="58"/>
  <c r="F289" i="58"/>
  <c r="S949" i="53"/>
  <c r="S953" i="53"/>
  <c r="S915" i="53"/>
  <c r="S911" i="53"/>
  <c r="S954" i="53"/>
  <c r="S917" i="53"/>
  <c r="S940" i="53"/>
  <c r="S942" i="53"/>
  <c r="S916" i="53"/>
  <c r="S955" i="53"/>
  <c r="S943" i="53"/>
  <c r="S938" i="53"/>
  <c r="S947" i="53" l="1"/>
  <c r="U947" i="53" s="1"/>
  <c r="S948" i="53"/>
  <c r="U948" i="53" s="1"/>
  <c r="U949" i="53"/>
  <c r="S939" i="53"/>
  <c r="U939" i="53" s="1"/>
  <c r="S950" i="53"/>
  <c r="U950" i="53" s="1"/>
  <c r="S951" i="53"/>
  <c r="U951" i="53" s="1"/>
  <c r="S952" i="53"/>
  <c r="U952" i="53" s="1"/>
  <c r="U942" i="53"/>
  <c r="U943" i="53"/>
  <c r="S945" i="53"/>
  <c r="U945" i="53" s="1"/>
  <c r="B289" i="58"/>
  <c r="S913" i="53"/>
  <c r="U913" i="53" s="1"/>
  <c r="S941" i="53"/>
  <c r="U941" i="53" s="1"/>
  <c r="S946" i="53"/>
  <c r="U953" i="53"/>
  <c r="U955" i="53"/>
  <c r="S912" i="53"/>
  <c r="U912" i="53" s="1"/>
  <c r="S944" i="53"/>
  <c r="U944" i="53" s="1"/>
  <c r="S914" i="53"/>
  <c r="U914" i="53" s="1"/>
  <c r="U954" i="53"/>
  <c r="U940" i="53"/>
  <c r="U938" i="53"/>
  <c r="T946" i="53"/>
  <c r="U916" i="53"/>
  <c r="U915" i="53"/>
  <c r="U917" i="53"/>
  <c r="U911" i="53"/>
  <c r="A317" i="60"/>
  <c r="A309" i="60"/>
  <c r="A303" i="60"/>
  <c r="A300" i="60"/>
  <c r="A295" i="60"/>
  <c r="A292" i="60"/>
  <c r="A287" i="60"/>
  <c r="A283" i="60"/>
  <c r="A277" i="60"/>
  <c r="A274" i="60"/>
  <c r="A270" i="60"/>
  <c r="A266" i="60"/>
  <c r="A263" i="60"/>
  <c r="A259" i="60"/>
  <c r="A256" i="60"/>
  <c r="A253" i="60"/>
  <c r="A247" i="60"/>
  <c r="A244" i="60"/>
  <c r="A241" i="60"/>
  <c r="A237" i="60"/>
  <c r="A233" i="60"/>
  <c r="A230" i="60"/>
  <c r="A227" i="60"/>
  <c r="A223" i="60"/>
  <c r="A220" i="60"/>
  <c r="A212" i="60"/>
  <c r="A209" i="60"/>
  <c r="A204" i="60"/>
  <c r="A197" i="60"/>
  <c r="A191" i="60"/>
  <c r="A187" i="60"/>
  <c r="A183" i="60"/>
  <c r="T124" i="58"/>
  <c r="T123" i="58"/>
  <c r="T121" i="58"/>
  <c r="T120" i="58"/>
  <c r="T118" i="58"/>
  <c r="T117" i="58"/>
  <c r="T116" i="58"/>
  <c r="T115" i="58"/>
  <c r="T114" i="58"/>
  <c r="T113" i="58"/>
  <c r="T112" i="58"/>
  <c r="T111" i="58"/>
  <c r="A19" i="49"/>
  <c r="P1" i="27"/>
  <c r="P1" i="52"/>
  <c r="P1" i="40"/>
  <c r="T122" i="58" l="1"/>
  <c r="T125" i="58" s="1"/>
  <c r="U946" i="53"/>
  <c r="U956" i="53" s="1"/>
  <c r="U957" i="53" s="1"/>
  <c r="U959" i="53" s="1"/>
  <c r="U918" i="53"/>
  <c r="U923" i="53" s="1"/>
  <c r="I11" i="37"/>
  <c r="T923" i="53" l="1"/>
  <c r="R923" i="53"/>
  <c r="C923" i="53" s="1"/>
  <c r="U964" i="53"/>
  <c r="Q964" i="53"/>
  <c r="B964" i="53" s="1"/>
  <c r="R964" i="53"/>
  <c r="C964" i="53" s="1"/>
  <c r="T964" i="53"/>
  <c r="S964" i="53"/>
  <c r="D964" i="53" s="1"/>
  <c r="Q923" i="53"/>
  <c r="B923" i="53" s="1"/>
  <c r="S923" i="53"/>
  <c r="D923" i="53" s="1"/>
  <c r="M1" i="58"/>
  <c r="Q24" i="37" l="1"/>
  <c r="R24" i="37" s="1"/>
  <c r="S24" i="37" s="1"/>
  <c r="Q23" i="37"/>
  <c r="R23" i="37" s="1"/>
  <c r="S23" i="37" s="1"/>
  <c r="Q22" i="37"/>
  <c r="R22" i="37" s="1"/>
  <c r="S22" i="37" s="1"/>
  <c r="Q21" i="37"/>
  <c r="R21" i="37" s="1"/>
  <c r="S21" i="37" s="1"/>
  <c r="Q20" i="37"/>
  <c r="R20" i="37" s="1"/>
  <c r="S20" i="37" s="1"/>
  <c r="Q19" i="37"/>
  <c r="R19" i="37" s="1"/>
  <c r="S19" i="37" s="1"/>
  <c r="Q18" i="37"/>
  <c r="R18" i="37" s="1"/>
  <c r="S18" i="37" s="1"/>
  <c r="Q17" i="37"/>
  <c r="Q25" i="37" l="1"/>
  <c r="R25" i="37" s="1"/>
  <c r="R17" i="37"/>
  <c r="S17" i="37" s="1"/>
  <c r="C298" i="53" l="1"/>
  <c r="D298" i="53"/>
  <c r="E298" i="53"/>
  <c r="F298" i="53"/>
  <c r="B298" i="53"/>
  <c r="Q1017" i="53" l="1"/>
  <c r="Q1016" i="53"/>
  <c r="Q1015" i="53"/>
  <c r="Q1014" i="53"/>
  <c r="Q1013" i="53"/>
  <c r="Q1012" i="53"/>
  <c r="Q1011" i="53"/>
  <c r="Q1010" i="53"/>
  <c r="Q1009" i="53"/>
  <c r="Q1008" i="53"/>
  <c r="Q1007" i="53"/>
  <c r="Q1006" i="53"/>
  <c r="Q1005" i="53"/>
  <c r="Q1004" i="53"/>
  <c r="Q1003" i="53"/>
  <c r="Q1002" i="53"/>
  <c r="T1048" i="53"/>
  <c r="O1045" i="53"/>
  <c r="P1045" i="53"/>
  <c r="Q1045" i="53"/>
  <c r="R1045" i="53"/>
  <c r="O1046" i="53"/>
  <c r="P1046" i="53"/>
  <c r="Q1046" i="53"/>
  <c r="R1046" i="53"/>
  <c r="R1051" i="53"/>
  <c r="Q1051" i="53"/>
  <c r="P1051" i="53"/>
  <c r="O1051" i="53"/>
  <c r="R1050" i="53"/>
  <c r="Q1050" i="53"/>
  <c r="P1050" i="53"/>
  <c r="O1050" i="53"/>
  <c r="R1049" i="53"/>
  <c r="Q1049" i="53"/>
  <c r="P1049" i="53"/>
  <c r="O1049" i="53"/>
  <c r="R1048" i="53"/>
  <c r="Q1048" i="53"/>
  <c r="P1048" i="53"/>
  <c r="O1048" i="53"/>
  <c r="T1047" i="53"/>
  <c r="R1047" i="53"/>
  <c r="Q1047" i="53"/>
  <c r="P1047" i="53"/>
  <c r="O1047" i="53"/>
  <c r="R1044" i="53"/>
  <c r="Q1044" i="53"/>
  <c r="P1044" i="53"/>
  <c r="O1044" i="53"/>
  <c r="R1043" i="53"/>
  <c r="Q1043" i="53"/>
  <c r="P1043" i="53"/>
  <c r="O1043" i="53"/>
  <c r="Q1018" i="53" l="1"/>
  <c r="P1024" i="53" s="1"/>
  <c r="R1024" i="53" s="1"/>
  <c r="S1043" i="53"/>
  <c r="U1043" i="53" s="1"/>
  <c r="S1045" i="53"/>
  <c r="U1045" i="53" s="1"/>
  <c r="S1046" i="53"/>
  <c r="U1046" i="53" s="1"/>
  <c r="S1047" i="53"/>
  <c r="U1047" i="53" s="1"/>
  <c r="S1048" i="53"/>
  <c r="U1048" i="53" s="1"/>
  <c r="S1044" i="53"/>
  <c r="U1044" i="53" s="1"/>
  <c r="Y1024" i="53" l="1"/>
  <c r="AB1024" i="53" s="1"/>
  <c r="D1025" i="53" s="1"/>
  <c r="AH1024" i="53"/>
  <c r="AI1024" i="53" s="1"/>
  <c r="B1024" i="53" s="1"/>
  <c r="S1024" i="53"/>
  <c r="U1024" i="53"/>
  <c r="Q1024" i="53"/>
  <c r="T1024" i="53"/>
  <c r="AJ1024" i="53" l="1"/>
  <c r="C1024" i="53" s="1"/>
  <c r="AA1024" i="53"/>
  <c r="C1025" i="53" s="1"/>
  <c r="AK1024" i="53"/>
  <c r="D1024" i="53" s="1"/>
  <c r="AL1024" i="53"/>
  <c r="E1024" i="53" s="1"/>
  <c r="AM1024" i="53"/>
  <c r="F1024" i="53" s="1"/>
  <c r="Z1024" i="53"/>
  <c r="B1025" i="53" s="1"/>
  <c r="AC1024" i="53"/>
  <c r="E1025" i="53" s="1"/>
  <c r="AD1024" i="53"/>
  <c r="F1025" i="53" s="1"/>
  <c r="A64" i="21" l="1"/>
  <c r="P55" i="27" l="1"/>
  <c r="Z58" i="27"/>
  <c r="Y58" i="27"/>
  <c r="X58" i="27"/>
  <c r="W58" i="27"/>
  <c r="V58" i="27"/>
  <c r="Z56" i="27"/>
  <c r="Y56" i="27"/>
  <c r="X56" i="27"/>
  <c r="W56" i="27"/>
  <c r="V56" i="27"/>
  <c r="AB55" i="27"/>
  <c r="V55" i="27"/>
  <c r="Z48" i="27"/>
  <c r="Y48" i="27"/>
  <c r="X48" i="27"/>
  <c r="W48" i="27"/>
  <c r="V48" i="27"/>
  <c r="W46" i="27"/>
  <c r="X46" i="27"/>
  <c r="Y46" i="27"/>
  <c r="Z46" i="27"/>
  <c r="V46" i="27"/>
  <c r="AB45" i="27"/>
  <c r="V45" i="27"/>
  <c r="P37" i="27"/>
  <c r="O48" i="27" s="1"/>
  <c r="P36" i="27"/>
  <c r="E99" i="43"/>
  <c r="F99" i="43"/>
  <c r="N94" i="43"/>
  <c r="N95" i="43" s="1"/>
  <c r="O99" i="43" s="1"/>
  <c r="P99" i="43" s="1"/>
  <c r="Q987" i="53"/>
  <c r="Q986" i="53"/>
  <c r="Q985" i="53"/>
  <c r="Q984" i="53"/>
  <c r="Q983" i="53"/>
  <c r="Q982" i="53"/>
  <c r="Q981" i="53"/>
  <c r="Q980" i="53"/>
  <c r="Q979" i="53"/>
  <c r="Q978" i="53"/>
  <c r="Q977" i="53"/>
  <c r="Q976" i="53"/>
  <c r="Q975" i="53"/>
  <c r="Q974" i="53"/>
  <c r="Q973" i="53"/>
  <c r="Q972" i="53"/>
  <c r="U824" i="53"/>
  <c r="F824" i="53" s="1"/>
  <c r="T824" i="53"/>
  <c r="E824" i="53" s="1"/>
  <c r="S824" i="53"/>
  <c r="D824" i="53" s="1"/>
  <c r="R824" i="53"/>
  <c r="C824" i="53" s="1"/>
  <c r="Q824" i="53"/>
  <c r="B824" i="53" s="1"/>
  <c r="R776" i="53"/>
  <c r="U776" i="53"/>
  <c r="S769" i="53"/>
  <c r="D769" i="53" s="1"/>
  <c r="R769" i="53"/>
  <c r="C769" i="53" s="1"/>
  <c r="T750" i="53"/>
  <c r="T749" i="53"/>
  <c r="T753" i="53" s="1"/>
  <c r="O750" i="53"/>
  <c r="P750" i="53"/>
  <c r="Q750" i="53"/>
  <c r="R750" i="53"/>
  <c r="R753" i="53"/>
  <c r="Q753" i="53"/>
  <c r="P753" i="53"/>
  <c r="O753" i="53"/>
  <c r="R749" i="53"/>
  <c r="Q749" i="53"/>
  <c r="P749" i="53"/>
  <c r="O749" i="53"/>
  <c r="Q613" i="53"/>
  <c r="Q612" i="53"/>
  <c r="Q611" i="53"/>
  <c r="Q610" i="53"/>
  <c r="Q609" i="53"/>
  <c r="Q608" i="53"/>
  <c r="Q607" i="53"/>
  <c r="Q606" i="53"/>
  <c r="Q605" i="53"/>
  <c r="Q604" i="53"/>
  <c r="Q603" i="53"/>
  <c r="Q602" i="53"/>
  <c r="Q601" i="53"/>
  <c r="Q600" i="53"/>
  <c r="Q599" i="53"/>
  <c r="Q598" i="53"/>
  <c r="W98" i="53"/>
  <c r="Q40" i="27" l="1"/>
  <c r="Q988" i="53"/>
  <c r="P994" i="53" s="1"/>
  <c r="U994" i="53" s="1"/>
  <c r="F994" i="53" s="1"/>
  <c r="O56" i="27"/>
  <c r="O58" i="27"/>
  <c r="O46" i="27"/>
  <c r="S750" i="53"/>
  <c r="U750" i="53" s="1"/>
  <c r="S776" i="53"/>
  <c r="T776" i="53"/>
  <c r="Q776" i="53"/>
  <c r="T769" i="53"/>
  <c r="E769" i="53" s="1"/>
  <c r="Q769" i="53"/>
  <c r="B769" i="53" s="1"/>
  <c r="U769" i="53"/>
  <c r="F769" i="53" s="1"/>
  <c r="S749" i="53"/>
  <c r="U749" i="53" s="1"/>
  <c r="S753" i="53"/>
  <c r="U753" i="53" s="1"/>
  <c r="Q614" i="53"/>
  <c r="P620" i="53" s="1"/>
  <c r="S620" i="53" s="1"/>
  <c r="D620" i="53" s="1"/>
  <c r="Q46" i="27" l="1"/>
  <c r="T46" i="27"/>
  <c r="R46" i="27"/>
  <c r="AD47" i="27" s="1"/>
  <c r="S46" i="27"/>
  <c r="S56" i="27"/>
  <c r="R56" i="27"/>
  <c r="T56" i="27"/>
  <c r="Q56" i="27"/>
  <c r="P56" i="27"/>
  <c r="S994" i="53"/>
  <c r="D994" i="53" s="1"/>
  <c r="T994" i="53"/>
  <c r="E994" i="53" s="1"/>
  <c r="Q994" i="53"/>
  <c r="B994" i="53" s="1"/>
  <c r="R994" i="53"/>
  <c r="C994" i="53" s="1"/>
  <c r="AC47" i="27"/>
  <c r="AF47" i="27"/>
  <c r="AE47" i="27"/>
  <c r="U751" i="53"/>
  <c r="P760" i="53" s="1"/>
  <c r="P761" i="53"/>
  <c r="P762" i="53"/>
  <c r="T620" i="53"/>
  <c r="E620" i="53" s="1"/>
  <c r="Q620" i="53"/>
  <c r="B620" i="53" s="1"/>
  <c r="U620" i="53"/>
  <c r="F620" i="53" s="1"/>
  <c r="R620" i="53"/>
  <c r="C620" i="53" s="1"/>
  <c r="P244" i="52"/>
  <c r="P243" i="52"/>
  <c r="O245" i="52"/>
  <c r="Y47" i="27" l="1"/>
  <c r="X47" i="27"/>
  <c r="Z47" i="27"/>
  <c r="W47" i="27"/>
  <c r="Q762" i="53"/>
  <c r="B762" i="53" s="1"/>
  <c r="R762" i="53"/>
  <c r="C762" i="53" s="1"/>
  <c r="S762" i="53"/>
  <c r="D762" i="53" s="1"/>
  <c r="T762" i="53"/>
  <c r="E762" i="53" s="1"/>
  <c r="U762" i="53"/>
  <c r="F762" i="53" s="1"/>
  <c r="P245" i="52"/>
  <c r="O250" i="52" s="1"/>
  <c r="AE57" i="27" l="1"/>
  <c r="Y57" i="27"/>
  <c r="AB57" i="27"/>
  <c r="V57" i="27"/>
  <c r="Z57" i="27"/>
  <c r="AF57" i="27"/>
  <c r="X57" i="27"/>
  <c r="AD57" i="27"/>
  <c r="W57" i="27"/>
  <c r="AC57" i="27"/>
  <c r="S250" i="52"/>
  <c r="E250" i="52" s="1"/>
  <c r="Q250" i="52"/>
  <c r="C250" i="52" s="1"/>
  <c r="T250" i="52"/>
  <c r="F250" i="52" s="1"/>
  <c r="P250" i="52"/>
  <c r="B250" i="52" s="1"/>
  <c r="R250" i="52"/>
  <c r="D250" i="52" s="1"/>
  <c r="D17" i="41" l="1"/>
  <c r="T18" i="53"/>
  <c r="T16" i="53"/>
  <c r="Q225" i="52"/>
  <c r="Q224" i="52"/>
  <c r="Q223" i="52"/>
  <c r="P98" i="52"/>
  <c r="T50" i="38"/>
  <c r="T52" i="38"/>
  <c r="W79" i="27"/>
  <c r="S82" i="27"/>
  <c r="S79" i="27"/>
  <c r="S81" i="27"/>
  <c r="Q1079" i="53"/>
  <c r="Q1078" i="53"/>
  <c r="Q1077" i="53"/>
  <c r="Q1076" i="53"/>
  <c r="Q1075" i="53"/>
  <c r="Q1074" i="53"/>
  <c r="Q1073" i="53"/>
  <c r="Q1072" i="53"/>
  <c r="Q1071" i="53"/>
  <c r="Q1070" i="53"/>
  <c r="Q1069" i="53"/>
  <c r="Q1068" i="53"/>
  <c r="Q1067" i="53"/>
  <c r="Q1066" i="53"/>
  <c r="Q1065" i="53"/>
  <c r="Q1064" i="53"/>
  <c r="Q1080" i="53" l="1"/>
  <c r="P1086" i="53" s="1"/>
  <c r="Q226" i="52"/>
  <c r="O226" i="52" s="1"/>
  <c r="R1086" i="53" l="1"/>
  <c r="C1086" i="53" s="1"/>
  <c r="U1086" i="53"/>
  <c r="F1086" i="53" s="1"/>
  <c r="Q1086" i="53"/>
  <c r="B1086" i="53" s="1"/>
  <c r="T1086" i="53"/>
  <c r="E1086" i="53" s="1"/>
  <c r="S1086" i="53"/>
  <c r="D1086" i="53" s="1"/>
  <c r="V228" i="43" l="1"/>
  <c r="V214" i="43"/>
  <c r="R846" i="53" l="1"/>
  <c r="Q846" i="53"/>
  <c r="P846" i="53"/>
  <c r="O846" i="53"/>
  <c r="R845" i="53"/>
  <c r="Q845" i="53"/>
  <c r="P845" i="53"/>
  <c r="O845" i="53"/>
  <c r="R844" i="53"/>
  <c r="Q844" i="53"/>
  <c r="P844" i="53"/>
  <c r="O844" i="53"/>
  <c r="T843" i="53"/>
  <c r="R843" i="53"/>
  <c r="Q843" i="53"/>
  <c r="P843" i="53"/>
  <c r="O843" i="53"/>
  <c r="T842" i="53"/>
  <c r="R842" i="53"/>
  <c r="Q842" i="53"/>
  <c r="P842" i="53"/>
  <c r="O842" i="53"/>
  <c r="T841" i="53"/>
  <c r="R841" i="53"/>
  <c r="Q841" i="53"/>
  <c r="P841" i="53"/>
  <c r="O841" i="53"/>
  <c r="T840" i="53"/>
  <c r="R840" i="53"/>
  <c r="Q840" i="53"/>
  <c r="P840" i="53"/>
  <c r="O840" i="53"/>
  <c r="T885" i="53"/>
  <c r="R885" i="53"/>
  <c r="Q885" i="53"/>
  <c r="P885" i="53"/>
  <c r="O885" i="53"/>
  <c r="T884" i="53"/>
  <c r="R884" i="53"/>
  <c r="Q884" i="53"/>
  <c r="P884" i="53"/>
  <c r="O884" i="53"/>
  <c r="T883" i="53"/>
  <c r="R883" i="53"/>
  <c r="Q883" i="53"/>
  <c r="P883" i="53"/>
  <c r="O883" i="53"/>
  <c r="T882" i="53"/>
  <c r="R882" i="53"/>
  <c r="Q882" i="53"/>
  <c r="P882" i="53"/>
  <c r="O882" i="53"/>
  <c r="T881" i="53"/>
  <c r="R881" i="53"/>
  <c r="Q881" i="53"/>
  <c r="P881" i="53"/>
  <c r="O881" i="53"/>
  <c r="T880" i="53"/>
  <c r="R880" i="53"/>
  <c r="Q880" i="53"/>
  <c r="P880" i="53"/>
  <c r="O880" i="53"/>
  <c r="R879" i="53"/>
  <c r="Q879" i="53"/>
  <c r="P879" i="53"/>
  <c r="O879" i="53"/>
  <c r="T878" i="53"/>
  <c r="R878" i="53"/>
  <c r="Q878" i="53"/>
  <c r="P878" i="53"/>
  <c r="O878" i="53"/>
  <c r="R877" i="53"/>
  <c r="Q877" i="53"/>
  <c r="P877" i="53"/>
  <c r="O877" i="53"/>
  <c r="R876" i="53"/>
  <c r="Q876" i="53"/>
  <c r="P876" i="53"/>
  <c r="O876" i="53"/>
  <c r="R875" i="53"/>
  <c r="Q875" i="53"/>
  <c r="P875" i="53"/>
  <c r="O875" i="53"/>
  <c r="T874" i="53"/>
  <c r="R874" i="53"/>
  <c r="Q874" i="53"/>
  <c r="P874" i="53"/>
  <c r="O874" i="53"/>
  <c r="R873" i="53"/>
  <c r="Q873" i="53"/>
  <c r="P873" i="53"/>
  <c r="O873" i="53"/>
  <c r="T872" i="53"/>
  <c r="R872" i="53"/>
  <c r="Q872" i="53"/>
  <c r="P872" i="53"/>
  <c r="O872" i="53"/>
  <c r="T871" i="53"/>
  <c r="R871" i="53"/>
  <c r="Q871" i="53"/>
  <c r="P871" i="53"/>
  <c r="O871" i="53"/>
  <c r="T870" i="53"/>
  <c r="R870" i="53"/>
  <c r="Q870" i="53"/>
  <c r="P870" i="53"/>
  <c r="O870" i="53"/>
  <c r="T869" i="53"/>
  <c r="R869" i="53"/>
  <c r="Q869" i="53"/>
  <c r="P869" i="53"/>
  <c r="O869" i="53"/>
  <c r="R868" i="53"/>
  <c r="Q868" i="53"/>
  <c r="P868" i="53"/>
  <c r="O868" i="53"/>
  <c r="T867" i="53"/>
  <c r="R867" i="53"/>
  <c r="Q867" i="53"/>
  <c r="P867" i="53"/>
  <c r="O867" i="53"/>
  <c r="Q864" i="53"/>
  <c r="T876" i="53" s="1"/>
  <c r="Q863" i="53"/>
  <c r="Q862" i="53"/>
  <c r="T807" i="53"/>
  <c r="R807" i="53"/>
  <c r="Q807" i="53"/>
  <c r="P807" i="53"/>
  <c r="O807" i="53"/>
  <c r="T806" i="53"/>
  <c r="R806" i="53"/>
  <c r="Q806" i="53"/>
  <c r="P806" i="53"/>
  <c r="O806" i="53"/>
  <c r="T805" i="53"/>
  <c r="R805" i="53"/>
  <c r="Q805" i="53"/>
  <c r="P805" i="53"/>
  <c r="O805" i="53"/>
  <c r="T804" i="53"/>
  <c r="R804" i="53"/>
  <c r="Q804" i="53"/>
  <c r="P804" i="53"/>
  <c r="O804" i="53"/>
  <c r="T803" i="53"/>
  <c r="R803" i="53"/>
  <c r="Q803" i="53"/>
  <c r="P803" i="53"/>
  <c r="O803" i="53"/>
  <c r="T802" i="53"/>
  <c r="R802" i="53"/>
  <c r="Q802" i="53"/>
  <c r="P802" i="53"/>
  <c r="O802" i="53"/>
  <c r="R801" i="53"/>
  <c r="Q801" i="53"/>
  <c r="P801" i="53"/>
  <c r="O801" i="53"/>
  <c r="T800" i="53"/>
  <c r="R800" i="53"/>
  <c r="Q800" i="53"/>
  <c r="P800" i="53"/>
  <c r="O800" i="53"/>
  <c r="R799" i="53"/>
  <c r="Q799" i="53"/>
  <c r="P799" i="53"/>
  <c r="O799" i="53"/>
  <c r="R798" i="53"/>
  <c r="Q798" i="53"/>
  <c r="P798" i="53"/>
  <c r="O798" i="53"/>
  <c r="R797" i="53"/>
  <c r="Q797" i="53"/>
  <c r="P797" i="53"/>
  <c r="O797" i="53"/>
  <c r="T796" i="53"/>
  <c r="R796" i="53"/>
  <c r="Q796" i="53"/>
  <c r="P796" i="53"/>
  <c r="O796" i="53"/>
  <c r="R795" i="53"/>
  <c r="Q795" i="53"/>
  <c r="P795" i="53"/>
  <c r="O795" i="53"/>
  <c r="T794" i="53"/>
  <c r="R794" i="53"/>
  <c r="Q794" i="53"/>
  <c r="P794" i="53"/>
  <c r="O794" i="53"/>
  <c r="T793" i="53"/>
  <c r="R793" i="53"/>
  <c r="Q793" i="53"/>
  <c r="P793" i="53"/>
  <c r="O793" i="53"/>
  <c r="T792" i="53"/>
  <c r="R792" i="53"/>
  <c r="Q792" i="53"/>
  <c r="P792" i="53"/>
  <c r="O792" i="53"/>
  <c r="T791" i="53"/>
  <c r="R791" i="53"/>
  <c r="Q791" i="53"/>
  <c r="P791" i="53"/>
  <c r="O791" i="53"/>
  <c r="R790" i="53"/>
  <c r="Q790" i="53"/>
  <c r="P790" i="53"/>
  <c r="O790" i="53"/>
  <c r="T789" i="53"/>
  <c r="R789" i="53"/>
  <c r="Q789" i="53"/>
  <c r="P789" i="53"/>
  <c r="O789" i="53"/>
  <c r="Q786" i="53"/>
  <c r="T798" i="53" s="1"/>
  <c r="Q785" i="53"/>
  <c r="Q784" i="53"/>
  <c r="R730" i="53"/>
  <c r="Q730" i="53"/>
  <c r="P730" i="53"/>
  <c r="O730" i="53"/>
  <c r="R729" i="53"/>
  <c r="Q729" i="53"/>
  <c r="P729" i="53"/>
  <c r="O729" i="53"/>
  <c r="R728" i="53"/>
  <c r="Q728" i="53"/>
  <c r="P728" i="53"/>
  <c r="O728" i="53"/>
  <c r="T727" i="53"/>
  <c r="R727" i="53"/>
  <c r="Q727" i="53"/>
  <c r="P727" i="53"/>
  <c r="O727" i="53"/>
  <c r="T726" i="53"/>
  <c r="R726" i="53"/>
  <c r="Q726" i="53"/>
  <c r="P726" i="53"/>
  <c r="O726" i="53"/>
  <c r="T725" i="53"/>
  <c r="R725" i="53"/>
  <c r="Q725" i="53"/>
  <c r="P725" i="53"/>
  <c r="O725" i="53"/>
  <c r="T724" i="53"/>
  <c r="R724" i="53"/>
  <c r="Q724" i="53"/>
  <c r="P724" i="53"/>
  <c r="O724" i="53"/>
  <c r="S870" i="53" l="1"/>
  <c r="U870" i="53" s="1"/>
  <c r="S841" i="53"/>
  <c r="U841" i="53" s="1"/>
  <c r="S799" i="53"/>
  <c r="U799" i="53" s="1"/>
  <c r="S802" i="53"/>
  <c r="U802" i="53" s="1"/>
  <c r="S874" i="53"/>
  <c r="U874" i="53" s="1"/>
  <c r="S881" i="53"/>
  <c r="U881" i="53" s="1"/>
  <c r="S843" i="53"/>
  <c r="U843" i="53" s="1"/>
  <c r="U805" i="53"/>
  <c r="S842" i="53"/>
  <c r="U842" i="53" s="1"/>
  <c r="S790" i="53"/>
  <c r="U790" i="53" s="1"/>
  <c r="S796" i="53"/>
  <c r="U796" i="53" s="1"/>
  <c r="S798" i="53"/>
  <c r="U798" i="53" s="1"/>
  <c r="S803" i="53"/>
  <c r="U803" i="53" s="1"/>
  <c r="S868" i="53"/>
  <c r="U868" i="53" s="1"/>
  <c r="S726" i="53"/>
  <c r="U726" i="53" s="1"/>
  <c r="U878" i="53"/>
  <c r="S879" i="53"/>
  <c r="U879" i="53" s="1"/>
  <c r="S880" i="53"/>
  <c r="U880" i="53" s="1"/>
  <c r="U871" i="53"/>
  <c r="U872" i="53"/>
  <c r="S727" i="53"/>
  <c r="U727" i="53" s="1"/>
  <c r="S873" i="53"/>
  <c r="U873" i="53" s="1"/>
  <c r="U794" i="53"/>
  <c r="U882" i="53"/>
  <c r="U884" i="53"/>
  <c r="S725" i="53"/>
  <c r="U725" i="53" s="1"/>
  <c r="S792" i="53"/>
  <c r="U792" i="53" s="1"/>
  <c r="S797" i="53"/>
  <c r="S875" i="53"/>
  <c r="S876" i="53"/>
  <c r="U876" i="53" s="1"/>
  <c r="S877" i="53"/>
  <c r="U877" i="53" s="1"/>
  <c r="U883" i="53"/>
  <c r="T875" i="53"/>
  <c r="U793" i="53"/>
  <c r="U806" i="53"/>
  <c r="U804" i="53"/>
  <c r="S795" i="53"/>
  <c r="U795" i="53" s="1"/>
  <c r="U800" i="53"/>
  <c r="S801" i="53"/>
  <c r="U801" i="53" s="1"/>
  <c r="T797" i="53"/>
  <c r="U875" i="53" l="1"/>
  <c r="U797" i="53"/>
  <c r="T694" i="53" l="1"/>
  <c r="R694" i="53"/>
  <c r="Q694" i="53"/>
  <c r="P694" i="53"/>
  <c r="O694" i="53"/>
  <c r="T693" i="53"/>
  <c r="R693" i="53"/>
  <c r="Q693" i="53"/>
  <c r="P693" i="53"/>
  <c r="O693" i="53"/>
  <c r="T692" i="53"/>
  <c r="R692" i="53"/>
  <c r="Q692" i="53"/>
  <c r="P692" i="53"/>
  <c r="O692" i="53"/>
  <c r="T691" i="53"/>
  <c r="R691" i="53"/>
  <c r="Q691" i="53"/>
  <c r="P691" i="53"/>
  <c r="O691" i="53"/>
  <c r="T690" i="53"/>
  <c r="R690" i="53"/>
  <c r="Q690" i="53"/>
  <c r="P690" i="53"/>
  <c r="O690" i="53"/>
  <c r="T689" i="53"/>
  <c r="R689" i="53"/>
  <c r="Q689" i="53"/>
  <c r="P689" i="53"/>
  <c r="O689" i="53"/>
  <c r="R688" i="53"/>
  <c r="Q688" i="53"/>
  <c r="P688" i="53"/>
  <c r="O688" i="53"/>
  <c r="T687" i="53"/>
  <c r="R687" i="53"/>
  <c r="Q687" i="53"/>
  <c r="P687" i="53"/>
  <c r="O687" i="53"/>
  <c r="R686" i="53"/>
  <c r="Q686" i="53"/>
  <c r="P686" i="53"/>
  <c r="O686" i="53"/>
  <c r="R685" i="53"/>
  <c r="Q685" i="53"/>
  <c r="P685" i="53"/>
  <c r="O685" i="53"/>
  <c r="R684" i="53"/>
  <c r="Q684" i="53"/>
  <c r="P684" i="53"/>
  <c r="O684" i="53"/>
  <c r="T683" i="53"/>
  <c r="R683" i="53"/>
  <c r="Q683" i="53"/>
  <c r="P683" i="53"/>
  <c r="O683" i="53"/>
  <c r="R682" i="53"/>
  <c r="Q682" i="53"/>
  <c r="P682" i="53"/>
  <c r="O682" i="53"/>
  <c r="T681" i="53"/>
  <c r="R681" i="53"/>
  <c r="Q681" i="53"/>
  <c r="P681" i="53"/>
  <c r="O681" i="53"/>
  <c r="T680" i="53"/>
  <c r="R680" i="53"/>
  <c r="Q680" i="53"/>
  <c r="P680" i="53"/>
  <c r="O680" i="53"/>
  <c r="T679" i="53"/>
  <c r="R679" i="53"/>
  <c r="Q679" i="53"/>
  <c r="P679" i="53"/>
  <c r="O679" i="53"/>
  <c r="T678" i="53"/>
  <c r="R678" i="53"/>
  <c r="Q678" i="53"/>
  <c r="P678" i="53"/>
  <c r="O678" i="53"/>
  <c r="R677" i="53"/>
  <c r="Q677" i="53"/>
  <c r="P677" i="53"/>
  <c r="O677" i="53"/>
  <c r="T676" i="53"/>
  <c r="R676" i="53"/>
  <c r="Q676" i="53"/>
  <c r="P676" i="53"/>
  <c r="O676" i="53"/>
  <c r="Q673" i="53"/>
  <c r="T685" i="53" s="1"/>
  <c r="Q672" i="53"/>
  <c r="Q671" i="53"/>
  <c r="T653" i="53"/>
  <c r="R653" i="53"/>
  <c r="Q653" i="53"/>
  <c r="P653" i="53"/>
  <c r="O653" i="53"/>
  <c r="T652" i="53"/>
  <c r="R652" i="53"/>
  <c r="Q652" i="53"/>
  <c r="P652" i="53"/>
  <c r="O652" i="53"/>
  <c r="T651" i="53"/>
  <c r="R651" i="53"/>
  <c r="Q651" i="53"/>
  <c r="P651" i="53"/>
  <c r="O651" i="53"/>
  <c r="T650" i="53"/>
  <c r="R650" i="53"/>
  <c r="Q650" i="53"/>
  <c r="P650" i="53"/>
  <c r="O650" i="53"/>
  <c r="T649" i="53"/>
  <c r="R649" i="53"/>
  <c r="Q649" i="53"/>
  <c r="P649" i="53"/>
  <c r="O649" i="53"/>
  <c r="T648" i="53"/>
  <c r="R648" i="53"/>
  <c r="Q648" i="53"/>
  <c r="P648" i="53"/>
  <c r="O648" i="53"/>
  <c r="R647" i="53"/>
  <c r="Q647" i="53"/>
  <c r="P647" i="53"/>
  <c r="O647" i="53"/>
  <c r="T646" i="53"/>
  <c r="R646" i="53"/>
  <c r="Q646" i="53"/>
  <c r="P646" i="53"/>
  <c r="O646" i="53"/>
  <c r="R645" i="53"/>
  <c r="Q645" i="53"/>
  <c r="P645" i="53"/>
  <c r="O645" i="53"/>
  <c r="R644" i="53"/>
  <c r="Q644" i="53"/>
  <c r="P644" i="53"/>
  <c r="O644" i="53"/>
  <c r="R643" i="53"/>
  <c r="Q643" i="53"/>
  <c r="P643" i="53"/>
  <c r="O643" i="53"/>
  <c r="T642" i="53"/>
  <c r="R642" i="53"/>
  <c r="Q642" i="53"/>
  <c r="P642" i="53"/>
  <c r="O642" i="53"/>
  <c r="R641" i="53"/>
  <c r="Q641" i="53"/>
  <c r="P641" i="53"/>
  <c r="O641" i="53"/>
  <c r="T640" i="53"/>
  <c r="R640" i="53"/>
  <c r="Q640" i="53"/>
  <c r="P640" i="53"/>
  <c r="O640" i="53"/>
  <c r="T639" i="53"/>
  <c r="R639" i="53"/>
  <c r="Q639" i="53"/>
  <c r="P639" i="53"/>
  <c r="O639" i="53"/>
  <c r="T638" i="53"/>
  <c r="R638" i="53"/>
  <c r="Q638" i="53"/>
  <c r="P638" i="53"/>
  <c r="O638" i="53"/>
  <c r="T637" i="53"/>
  <c r="R637" i="53"/>
  <c r="Q637" i="53"/>
  <c r="P637" i="53"/>
  <c r="O637" i="53"/>
  <c r="R636" i="53"/>
  <c r="Q636" i="53"/>
  <c r="P636" i="53"/>
  <c r="O636" i="53"/>
  <c r="T635" i="53"/>
  <c r="R635" i="53"/>
  <c r="Q635" i="53"/>
  <c r="P635" i="53"/>
  <c r="O635" i="53"/>
  <c r="Q632" i="53"/>
  <c r="T644" i="53" s="1"/>
  <c r="Q631" i="53"/>
  <c r="Q630" i="53"/>
  <c r="R579" i="53"/>
  <c r="Q579" i="53"/>
  <c r="P579" i="53"/>
  <c r="O579" i="53"/>
  <c r="R578" i="53"/>
  <c r="Q578" i="53"/>
  <c r="P578" i="53"/>
  <c r="O578" i="53"/>
  <c r="R577" i="53"/>
  <c r="Q577" i="53"/>
  <c r="P577" i="53"/>
  <c r="O577" i="53"/>
  <c r="T576" i="53"/>
  <c r="R576" i="53"/>
  <c r="Q576" i="53"/>
  <c r="P576" i="53"/>
  <c r="O576" i="53"/>
  <c r="T575" i="53"/>
  <c r="R575" i="53"/>
  <c r="Q575" i="53"/>
  <c r="P575" i="53"/>
  <c r="O575" i="53"/>
  <c r="T574" i="53"/>
  <c r="R574" i="53"/>
  <c r="Q574" i="53"/>
  <c r="P574" i="53"/>
  <c r="O574" i="53"/>
  <c r="T573" i="53"/>
  <c r="R573" i="53"/>
  <c r="Q573" i="53"/>
  <c r="P573" i="53"/>
  <c r="O573" i="53"/>
  <c r="R550" i="53"/>
  <c r="Q550" i="53"/>
  <c r="P550" i="53"/>
  <c r="O550" i="53"/>
  <c r="R549" i="53"/>
  <c r="Q549" i="53"/>
  <c r="P549" i="53"/>
  <c r="O549" i="53"/>
  <c r="R548" i="53"/>
  <c r="Q548" i="53"/>
  <c r="P548" i="53"/>
  <c r="O548" i="53"/>
  <c r="T547" i="53"/>
  <c r="R547" i="53"/>
  <c r="Q547" i="53"/>
  <c r="P547" i="53"/>
  <c r="O547" i="53"/>
  <c r="T546" i="53"/>
  <c r="R546" i="53"/>
  <c r="Q546" i="53"/>
  <c r="P546" i="53"/>
  <c r="O546" i="53"/>
  <c r="T545" i="53"/>
  <c r="R545" i="53"/>
  <c r="Q545" i="53"/>
  <c r="P545" i="53"/>
  <c r="O545" i="53"/>
  <c r="T544" i="53"/>
  <c r="R544" i="53"/>
  <c r="Q544" i="53"/>
  <c r="P544" i="53"/>
  <c r="O544" i="53"/>
  <c r="T518" i="53"/>
  <c r="R518" i="53"/>
  <c r="Q518" i="53"/>
  <c r="P518" i="53"/>
  <c r="O518" i="53"/>
  <c r="T517" i="53"/>
  <c r="R517" i="53"/>
  <c r="Q517" i="53"/>
  <c r="P517" i="53"/>
  <c r="O517" i="53"/>
  <c r="T516" i="53"/>
  <c r="R516" i="53"/>
  <c r="Q516" i="53"/>
  <c r="P516" i="53"/>
  <c r="O516" i="53"/>
  <c r="T515" i="53"/>
  <c r="R515" i="53"/>
  <c r="Q515" i="53"/>
  <c r="P515" i="53"/>
  <c r="O515" i="53"/>
  <c r="T514" i="53"/>
  <c r="R514" i="53"/>
  <c r="Q514" i="53"/>
  <c r="P514" i="53"/>
  <c r="O514" i="53"/>
  <c r="T513" i="53"/>
  <c r="R513" i="53"/>
  <c r="Q513" i="53"/>
  <c r="P513" i="53"/>
  <c r="O513" i="53"/>
  <c r="R512" i="53"/>
  <c r="Q512" i="53"/>
  <c r="P512" i="53"/>
  <c r="O512" i="53"/>
  <c r="T511" i="53"/>
  <c r="R511" i="53"/>
  <c r="Q511" i="53"/>
  <c r="P511" i="53"/>
  <c r="O511" i="53"/>
  <c r="R510" i="53"/>
  <c r="Q510" i="53"/>
  <c r="P510" i="53"/>
  <c r="O510" i="53"/>
  <c r="R509" i="53"/>
  <c r="Q509" i="53"/>
  <c r="P509" i="53"/>
  <c r="O509" i="53"/>
  <c r="R508" i="53"/>
  <c r="Q508" i="53"/>
  <c r="P508" i="53"/>
  <c r="O508" i="53"/>
  <c r="T507" i="53"/>
  <c r="R507" i="53"/>
  <c r="Q507" i="53"/>
  <c r="P507" i="53"/>
  <c r="O507" i="53"/>
  <c r="R506" i="53"/>
  <c r="Q506" i="53"/>
  <c r="P506" i="53"/>
  <c r="O506" i="53"/>
  <c r="T505" i="53"/>
  <c r="R505" i="53"/>
  <c r="Q505" i="53"/>
  <c r="P505" i="53"/>
  <c r="O505" i="53"/>
  <c r="T504" i="53"/>
  <c r="R504" i="53"/>
  <c r="Q504" i="53"/>
  <c r="P504" i="53"/>
  <c r="O504" i="53"/>
  <c r="T503" i="53"/>
  <c r="R503" i="53"/>
  <c r="Q503" i="53"/>
  <c r="P503" i="53"/>
  <c r="O503" i="53"/>
  <c r="T502" i="53"/>
  <c r="R502" i="53"/>
  <c r="Q502" i="53"/>
  <c r="P502" i="53"/>
  <c r="O502" i="53"/>
  <c r="R501" i="53"/>
  <c r="Q501" i="53"/>
  <c r="P501" i="53"/>
  <c r="O501" i="53"/>
  <c r="T500" i="53"/>
  <c r="R500" i="53"/>
  <c r="Q500" i="53"/>
  <c r="P500" i="53"/>
  <c r="O500" i="53"/>
  <c r="Q497" i="53"/>
  <c r="T509" i="53" s="1"/>
  <c r="Q496" i="53"/>
  <c r="Q495" i="53"/>
  <c r="Q483" i="53"/>
  <c r="Q482" i="53"/>
  <c r="Q481" i="53"/>
  <c r="Q480" i="53"/>
  <c r="Q479" i="53"/>
  <c r="Q478" i="53"/>
  <c r="Q477" i="53"/>
  <c r="Q476" i="53"/>
  <c r="Q475" i="53"/>
  <c r="Q474" i="53"/>
  <c r="Q473" i="53"/>
  <c r="Q472" i="53"/>
  <c r="Q471" i="53"/>
  <c r="Q470" i="53"/>
  <c r="Q469" i="53"/>
  <c r="Q468" i="53"/>
  <c r="R448" i="53"/>
  <c r="Q448" i="53"/>
  <c r="P448" i="53"/>
  <c r="O448" i="53"/>
  <c r="R447" i="53"/>
  <c r="Q447" i="53"/>
  <c r="P447" i="53"/>
  <c r="O447" i="53"/>
  <c r="R446" i="53"/>
  <c r="Q446" i="53"/>
  <c r="P446" i="53"/>
  <c r="O446" i="53"/>
  <c r="T445" i="53"/>
  <c r="R445" i="53"/>
  <c r="Q445" i="53"/>
  <c r="P445" i="53"/>
  <c r="O445" i="53"/>
  <c r="T444" i="53"/>
  <c r="R444" i="53"/>
  <c r="Q444" i="53"/>
  <c r="P444" i="53"/>
  <c r="O444" i="53"/>
  <c r="T443" i="53"/>
  <c r="R443" i="53"/>
  <c r="Q443" i="53"/>
  <c r="P443" i="53"/>
  <c r="O443" i="53"/>
  <c r="T442" i="53"/>
  <c r="R442" i="53"/>
  <c r="Q442" i="53"/>
  <c r="P442" i="53"/>
  <c r="O442" i="53"/>
  <c r="R417" i="53"/>
  <c r="Q417" i="53"/>
  <c r="P417" i="53"/>
  <c r="O417" i="53"/>
  <c r="R416" i="53"/>
  <c r="Q416" i="53"/>
  <c r="P416" i="53"/>
  <c r="O416" i="53"/>
  <c r="R415" i="53"/>
  <c r="Q415" i="53"/>
  <c r="P415" i="53"/>
  <c r="O415" i="53"/>
  <c r="T414" i="53"/>
  <c r="R414" i="53"/>
  <c r="Q414" i="53"/>
  <c r="P414" i="53"/>
  <c r="O414" i="53"/>
  <c r="T413" i="53"/>
  <c r="R413" i="53"/>
  <c r="Q413" i="53"/>
  <c r="P413" i="53"/>
  <c r="O413" i="53"/>
  <c r="T412" i="53"/>
  <c r="R412" i="53"/>
  <c r="Q412" i="53"/>
  <c r="P412" i="53"/>
  <c r="O412" i="53"/>
  <c r="T411" i="53"/>
  <c r="R411" i="53"/>
  <c r="Q411" i="53"/>
  <c r="P411" i="53"/>
  <c r="O411" i="53"/>
  <c r="O390" i="53"/>
  <c r="Q393" i="53" s="1"/>
  <c r="P390" i="53"/>
  <c r="N390" i="53"/>
  <c r="T375" i="53"/>
  <c r="R375" i="53"/>
  <c r="Q375" i="53"/>
  <c r="P375" i="53"/>
  <c r="O375" i="53"/>
  <c r="T374" i="53"/>
  <c r="R374" i="53"/>
  <c r="Q374" i="53"/>
  <c r="P374" i="53"/>
  <c r="O374" i="53"/>
  <c r="T373" i="53"/>
  <c r="R373" i="53"/>
  <c r="Q373" i="53"/>
  <c r="P373" i="53"/>
  <c r="O373" i="53"/>
  <c r="T372" i="53"/>
  <c r="R372" i="53"/>
  <c r="Q372" i="53"/>
  <c r="P372" i="53"/>
  <c r="O372" i="53"/>
  <c r="T371" i="53"/>
  <c r="R371" i="53"/>
  <c r="Q371" i="53"/>
  <c r="P371" i="53"/>
  <c r="O371" i="53"/>
  <c r="T370" i="53"/>
  <c r="R370" i="53"/>
  <c r="Q370" i="53"/>
  <c r="P370" i="53"/>
  <c r="O370" i="53"/>
  <c r="R369" i="53"/>
  <c r="Q369" i="53"/>
  <c r="P369" i="53"/>
  <c r="O369" i="53"/>
  <c r="T368" i="53"/>
  <c r="R368" i="53"/>
  <c r="Q368" i="53"/>
  <c r="P368" i="53"/>
  <c r="O368" i="53"/>
  <c r="R367" i="53"/>
  <c r="Q367" i="53"/>
  <c r="P367" i="53"/>
  <c r="O367" i="53"/>
  <c r="R366" i="53"/>
  <c r="Q366" i="53"/>
  <c r="P366" i="53"/>
  <c r="O366" i="53"/>
  <c r="R365" i="53"/>
  <c r="Q365" i="53"/>
  <c r="P365" i="53"/>
  <c r="O365" i="53"/>
  <c r="T364" i="53"/>
  <c r="R364" i="53"/>
  <c r="Q364" i="53"/>
  <c r="P364" i="53"/>
  <c r="O364" i="53"/>
  <c r="R363" i="53"/>
  <c r="Q363" i="53"/>
  <c r="P363" i="53"/>
  <c r="O363" i="53"/>
  <c r="T362" i="53"/>
  <c r="R362" i="53"/>
  <c r="Q362" i="53"/>
  <c r="P362" i="53"/>
  <c r="O362" i="53"/>
  <c r="T361" i="53"/>
  <c r="R361" i="53"/>
  <c r="Q361" i="53"/>
  <c r="P361" i="53"/>
  <c r="O361" i="53"/>
  <c r="T360" i="53"/>
  <c r="R360" i="53"/>
  <c r="Q360" i="53"/>
  <c r="P360" i="53"/>
  <c r="O360" i="53"/>
  <c r="T359" i="53"/>
  <c r="R359" i="53"/>
  <c r="Q359" i="53"/>
  <c r="P359" i="53"/>
  <c r="O359" i="53"/>
  <c r="R358" i="53"/>
  <c r="Q358" i="53"/>
  <c r="P358" i="53"/>
  <c r="O358" i="53"/>
  <c r="T357" i="53"/>
  <c r="R357" i="53"/>
  <c r="Q357" i="53"/>
  <c r="P357" i="53"/>
  <c r="O357" i="53"/>
  <c r="Q354" i="53"/>
  <c r="T366" i="53" s="1"/>
  <c r="Q353" i="53"/>
  <c r="Q352" i="53"/>
  <c r="T333" i="53"/>
  <c r="R333" i="53"/>
  <c r="Q333" i="53"/>
  <c r="P333" i="53"/>
  <c r="O333" i="53"/>
  <c r="T332" i="53"/>
  <c r="R332" i="53"/>
  <c r="Q332" i="53"/>
  <c r="P332" i="53"/>
  <c r="O332" i="53"/>
  <c r="T331" i="53"/>
  <c r="R331" i="53"/>
  <c r="Q331" i="53"/>
  <c r="P331" i="53"/>
  <c r="O331" i="53"/>
  <c r="R330" i="53"/>
  <c r="Q330" i="53"/>
  <c r="P330" i="53"/>
  <c r="O330" i="53"/>
  <c r="T329" i="53"/>
  <c r="R329" i="53"/>
  <c r="Q329" i="53"/>
  <c r="P329" i="53"/>
  <c r="O329" i="53"/>
  <c r="R328" i="53"/>
  <c r="Q328" i="53"/>
  <c r="P328" i="53"/>
  <c r="O328" i="53"/>
  <c r="R327" i="53"/>
  <c r="Q327" i="53"/>
  <c r="P327" i="53"/>
  <c r="O327" i="53"/>
  <c r="T326" i="53"/>
  <c r="R326" i="53"/>
  <c r="Q326" i="53"/>
  <c r="P326" i="53"/>
  <c r="O326" i="53"/>
  <c r="R325" i="53"/>
  <c r="Q325" i="53"/>
  <c r="P325" i="53"/>
  <c r="O325" i="53"/>
  <c r="R324" i="53"/>
  <c r="Q324" i="53"/>
  <c r="P324" i="53"/>
  <c r="O324" i="53"/>
  <c r="R323" i="53"/>
  <c r="Q323" i="53"/>
  <c r="P323" i="53"/>
  <c r="O323" i="53"/>
  <c r="T322" i="53"/>
  <c r="R322" i="53"/>
  <c r="Q322" i="53"/>
  <c r="P322" i="53"/>
  <c r="O322" i="53"/>
  <c r="R321" i="53"/>
  <c r="Q321" i="53"/>
  <c r="P321" i="53"/>
  <c r="O321" i="53"/>
  <c r="T320" i="53"/>
  <c r="R320" i="53"/>
  <c r="Q320" i="53"/>
  <c r="P320" i="53"/>
  <c r="O320" i="53"/>
  <c r="T319" i="53"/>
  <c r="R319" i="53"/>
  <c r="Q319" i="53"/>
  <c r="P319" i="53"/>
  <c r="O319" i="53"/>
  <c r="T318" i="53"/>
  <c r="R318" i="53"/>
  <c r="Q318" i="53"/>
  <c r="P318" i="53"/>
  <c r="O318" i="53"/>
  <c r="T317" i="53"/>
  <c r="R317" i="53"/>
  <c r="Q317" i="53"/>
  <c r="P317" i="53"/>
  <c r="O317" i="53"/>
  <c r="R316" i="53"/>
  <c r="Q316" i="53"/>
  <c r="P316" i="53"/>
  <c r="O316" i="53"/>
  <c r="T315" i="53"/>
  <c r="R315" i="53"/>
  <c r="Q315" i="53"/>
  <c r="P315" i="53"/>
  <c r="O315" i="53"/>
  <c r="Q312" i="53"/>
  <c r="T324" i="53" s="1"/>
  <c r="Q311" i="53"/>
  <c r="Q310" i="53"/>
  <c r="S393" i="53" l="1"/>
  <c r="T393" i="53"/>
  <c r="E393" i="53" s="1"/>
  <c r="U393" i="53"/>
  <c r="F393" i="53" s="1"/>
  <c r="R393" i="53"/>
  <c r="C393" i="53" s="1"/>
  <c r="B393" i="53"/>
  <c r="S330" i="53"/>
  <c r="U330" i="53" s="1"/>
  <c r="U693" i="53"/>
  <c r="S507" i="53"/>
  <c r="U507" i="53" s="1"/>
  <c r="S648" i="53"/>
  <c r="U648" i="53" s="1"/>
  <c r="U504" i="53"/>
  <c r="S547" i="53"/>
  <c r="U547" i="53" s="1"/>
  <c r="S576" i="53"/>
  <c r="U576" i="53" s="1"/>
  <c r="S644" i="53"/>
  <c r="U644" i="53" s="1"/>
  <c r="S645" i="53"/>
  <c r="U645" i="53" s="1"/>
  <c r="Q484" i="53"/>
  <c r="S514" i="53"/>
  <c r="U514" i="53" s="1"/>
  <c r="S503" i="53"/>
  <c r="U503" i="53" s="1"/>
  <c r="S545" i="53"/>
  <c r="U545" i="53" s="1"/>
  <c r="S574" i="53"/>
  <c r="U574" i="53" s="1"/>
  <c r="S636" i="53"/>
  <c r="U636" i="53" s="1"/>
  <c r="S682" i="53"/>
  <c r="U682" i="53" s="1"/>
  <c r="S358" i="53"/>
  <c r="U358" i="53" s="1"/>
  <c r="U511" i="53"/>
  <c r="U651" i="53"/>
  <c r="U362" i="53"/>
  <c r="S363" i="53"/>
  <c r="U363" i="53" s="1"/>
  <c r="S364" i="53"/>
  <c r="U364" i="53" s="1"/>
  <c r="S501" i="53"/>
  <c r="U501" i="53" s="1"/>
  <c r="U505" i="53"/>
  <c r="S508" i="53"/>
  <c r="U646" i="53"/>
  <c r="S649" i="53"/>
  <c r="U649" i="53" s="1"/>
  <c r="U687" i="53"/>
  <c r="S689" i="53"/>
  <c r="U689" i="53" s="1"/>
  <c r="U692" i="53"/>
  <c r="U639" i="53"/>
  <c r="S370" i="53"/>
  <c r="U370" i="53" s="1"/>
  <c r="S412" i="53"/>
  <c r="U412" i="53" s="1"/>
  <c r="S445" i="53"/>
  <c r="U445" i="53" s="1"/>
  <c r="S512" i="53"/>
  <c r="U512" i="53" s="1"/>
  <c r="S513" i="53"/>
  <c r="U513" i="53" s="1"/>
  <c r="U516" i="53"/>
  <c r="S641" i="53"/>
  <c r="U641" i="53" s="1"/>
  <c r="S642" i="53"/>
  <c r="U642" i="53" s="1"/>
  <c r="S677" i="53"/>
  <c r="U677" i="53" s="1"/>
  <c r="U681" i="53"/>
  <c r="S683" i="53"/>
  <c r="U683" i="53" s="1"/>
  <c r="S685" i="53"/>
  <c r="U685" i="53" s="1"/>
  <c r="S506" i="53"/>
  <c r="U506" i="53" s="1"/>
  <c r="S546" i="53"/>
  <c r="U546" i="53" s="1"/>
  <c r="S575" i="53"/>
  <c r="U575" i="53" s="1"/>
  <c r="S647" i="53"/>
  <c r="U647" i="53" s="1"/>
  <c r="U640" i="53"/>
  <c r="S679" i="53"/>
  <c r="U679" i="53" s="1"/>
  <c r="U680" i="53"/>
  <c r="S690" i="53"/>
  <c r="U690" i="53" s="1"/>
  <c r="U515" i="53"/>
  <c r="U517" i="53"/>
  <c r="U372" i="53"/>
  <c r="S413" i="53"/>
  <c r="U413" i="53" s="1"/>
  <c r="S509" i="53"/>
  <c r="U509" i="53" s="1"/>
  <c r="S510" i="53"/>
  <c r="U510" i="53" s="1"/>
  <c r="S638" i="53"/>
  <c r="U638" i="53" s="1"/>
  <c r="S643" i="53"/>
  <c r="U650" i="53"/>
  <c r="U652" i="53"/>
  <c r="S684" i="53"/>
  <c r="S686" i="53"/>
  <c r="U686" i="53" s="1"/>
  <c r="S688" i="53"/>
  <c r="U688" i="53" s="1"/>
  <c r="U691" i="53"/>
  <c r="T684" i="53"/>
  <c r="T643" i="53"/>
  <c r="T508" i="53"/>
  <c r="S366" i="53"/>
  <c r="U366" i="53" s="1"/>
  <c r="S367" i="53"/>
  <c r="U367" i="53" s="1"/>
  <c r="S444" i="53"/>
  <c r="U444" i="53" s="1"/>
  <c r="S443" i="53"/>
  <c r="U443" i="53" s="1"/>
  <c r="U368" i="53"/>
  <c r="S369" i="53"/>
  <c r="U369" i="53" s="1"/>
  <c r="S414" i="53"/>
  <c r="U414" i="53" s="1"/>
  <c r="U320" i="53"/>
  <c r="U361" i="53"/>
  <c r="S371" i="53"/>
  <c r="U371" i="53" s="1"/>
  <c r="U326" i="53"/>
  <c r="S327" i="53"/>
  <c r="U327" i="53" s="1"/>
  <c r="S328" i="53"/>
  <c r="U328" i="53" s="1"/>
  <c r="U331" i="53"/>
  <c r="S360" i="53"/>
  <c r="U360" i="53" s="1"/>
  <c r="S365" i="53"/>
  <c r="U374" i="53"/>
  <c r="U319" i="53"/>
  <c r="U373" i="53"/>
  <c r="S316" i="53"/>
  <c r="U316" i="53" s="1"/>
  <c r="S322" i="53"/>
  <c r="U322" i="53" s="1"/>
  <c r="S323" i="53"/>
  <c r="T365" i="53"/>
  <c r="S329" i="53"/>
  <c r="U329" i="53" s="1"/>
  <c r="U332" i="53"/>
  <c r="S321" i="53"/>
  <c r="U321" i="53" s="1"/>
  <c r="S318" i="53"/>
  <c r="U318" i="53" s="1"/>
  <c r="S324" i="53"/>
  <c r="U324" i="53" s="1"/>
  <c r="S325" i="53"/>
  <c r="U325" i="53" s="1"/>
  <c r="T323" i="53"/>
  <c r="U244" i="53"/>
  <c r="F244" i="53" s="1"/>
  <c r="T244" i="53"/>
  <c r="E244" i="53" s="1"/>
  <c r="S244" i="53"/>
  <c r="D244" i="53" s="1"/>
  <c r="R244" i="53"/>
  <c r="C244" i="53" s="1"/>
  <c r="Q244" i="53"/>
  <c r="B244" i="53" s="1"/>
  <c r="U286" i="53"/>
  <c r="F286" i="53" s="1"/>
  <c r="T286" i="53"/>
  <c r="S286" i="53"/>
  <c r="R286" i="53"/>
  <c r="Q286" i="53"/>
  <c r="B286" i="53" s="1"/>
  <c r="E286" i="53"/>
  <c r="R267" i="53"/>
  <c r="Q267" i="53"/>
  <c r="P267" i="53"/>
  <c r="O267" i="53"/>
  <c r="R266" i="53"/>
  <c r="Q266" i="53"/>
  <c r="P266" i="53"/>
  <c r="O266" i="53"/>
  <c r="R265" i="53"/>
  <c r="Q265" i="53"/>
  <c r="P265" i="53"/>
  <c r="O265" i="53"/>
  <c r="T264" i="53"/>
  <c r="R264" i="53"/>
  <c r="Q264" i="53"/>
  <c r="P264" i="53"/>
  <c r="O264" i="53"/>
  <c r="T263" i="53"/>
  <c r="R263" i="53"/>
  <c r="Q263" i="53"/>
  <c r="P263" i="53"/>
  <c r="O263" i="53"/>
  <c r="T262" i="53"/>
  <c r="R262" i="53"/>
  <c r="Q262" i="53"/>
  <c r="P262" i="53"/>
  <c r="O262" i="53"/>
  <c r="T261" i="53"/>
  <c r="R261" i="53"/>
  <c r="Q261" i="53"/>
  <c r="P261" i="53"/>
  <c r="O261" i="53"/>
  <c r="R223" i="53"/>
  <c r="Q223" i="53"/>
  <c r="P223" i="53"/>
  <c r="O223" i="53"/>
  <c r="R222" i="53"/>
  <c r="Q222" i="53"/>
  <c r="P222" i="53"/>
  <c r="O222" i="53"/>
  <c r="R221" i="53"/>
  <c r="Q221" i="53"/>
  <c r="P221" i="53"/>
  <c r="O221" i="53"/>
  <c r="T220" i="53"/>
  <c r="R220" i="53"/>
  <c r="Q220" i="53"/>
  <c r="P220" i="53"/>
  <c r="O220" i="53"/>
  <c r="T219" i="53"/>
  <c r="R219" i="53"/>
  <c r="Q219" i="53"/>
  <c r="P219" i="53"/>
  <c r="O219" i="53"/>
  <c r="T218" i="53"/>
  <c r="R218" i="53"/>
  <c r="Q218" i="53"/>
  <c r="P218" i="53"/>
  <c r="O218" i="53"/>
  <c r="T217" i="53"/>
  <c r="R217" i="53"/>
  <c r="Q217" i="53"/>
  <c r="P217" i="53"/>
  <c r="O217" i="53"/>
  <c r="X98" i="53"/>
  <c r="Y98" i="53"/>
  <c r="Z98" i="53"/>
  <c r="AA98" i="53"/>
  <c r="R97" i="53"/>
  <c r="R99" i="53" s="1"/>
  <c r="S97" i="53"/>
  <c r="S99" i="53" s="1"/>
  <c r="T97" i="53"/>
  <c r="T99" i="53" s="1"/>
  <c r="U97" i="53"/>
  <c r="U99" i="53" s="1"/>
  <c r="Q97" i="53"/>
  <c r="Q99" i="53" s="1"/>
  <c r="F44" i="53"/>
  <c r="E44" i="53"/>
  <c r="D44" i="53"/>
  <c r="C44" i="53"/>
  <c r="B44" i="53"/>
  <c r="AA88" i="53"/>
  <c r="Z88" i="53"/>
  <c r="Y88" i="53"/>
  <c r="X88" i="53"/>
  <c r="W88" i="53"/>
  <c r="AA87" i="53"/>
  <c r="Z87" i="53"/>
  <c r="Y87" i="53"/>
  <c r="X87" i="53"/>
  <c r="W87" i="53"/>
  <c r="AA82" i="53"/>
  <c r="Z82" i="53"/>
  <c r="Y82" i="53"/>
  <c r="X82" i="53"/>
  <c r="W82" i="53"/>
  <c r="AA81" i="53"/>
  <c r="Z81" i="53"/>
  <c r="Y81" i="53"/>
  <c r="X81" i="53"/>
  <c r="W81" i="53"/>
  <c r="AA80" i="53"/>
  <c r="Z80" i="53"/>
  <c r="Y80" i="53"/>
  <c r="X80" i="53"/>
  <c r="W80" i="53"/>
  <c r="R67" i="53"/>
  <c r="Q67" i="53"/>
  <c r="P67" i="53"/>
  <c r="O67" i="53"/>
  <c r="R66" i="53"/>
  <c r="Q66" i="53"/>
  <c r="P66" i="53"/>
  <c r="O66" i="53"/>
  <c r="R65" i="53"/>
  <c r="Q65" i="53"/>
  <c r="P65" i="53"/>
  <c r="O65" i="53"/>
  <c r="T64" i="53"/>
  <c r="R64" i="53"/>
  <c r="Q64" i="53"/>
  <c r="P64" i="53"/>
  <c r="O64" i="53"/>
  <c r="T63" i="53"/>
  <c r="R63" i="53"/>
  <c r="Q63" i="53"/>
  <c r="P63" i="53"/>
  <c r="O63" i="53"/>
  <c r="T62" i="53"/>
  <c r="R62" i="53"/>
  <c r="Q62" i="53"/>
  <c r="P62" i="53"/>
  <c r="O62" i="53"/>
  <c r="T61" i="53"/>
  <c r="R61" i="53"/>
  <c r="Q61" i="53"/>
  <c r="P61" i="53"/>
  <c r="O61" i="53"/>
  <c r="T34" i="53"/>
  <c r="R34" i="53"/>
  <c r="Q34" i="53"/>
  <c r="P34" i="53"/>
  <c r="O34" i="53"/>
  <c r="T33" i="53"/>
  <c r="R33" i="53"/>
  <c r="Q33" i="53"/>
  <c r="P33" i="53"/>
  <c r="O33" i="53"/>
  <c r="T32" i="53"/>
  <c r="R32" i="53"/>
  <c r="Q32" i="53"/>
  <c r="P32" i="53"/>
  <c r="O32" i="53"/>
  <c r="T31" i="53"/>
  <c r="R31" i="53"/>
  <c r="Q31" i="53"/>
  <c r="P31" i="53"/>
  <c r="O31" i="53"/>
  <c r="T30" i="53"/>
  <c r="R30" i="53"/>
  <c r="Q30" i="53"/>
  <c r="P30" i="53"/>
  <c r="O30" i="53"/>
  <c r="T29" i="53"/>
  <c r="R29" i="53"/>
  <c r="Q29" i="53"/>
  <c r="P29" i="53"/>
  <c r="O29" i="53"/>
  <c r="R28" i="53"/>
  <c r="Q28" i="53"/>
  <c r="P28" i="53"/>
  <c r="O28" i="53"/>
  <c r="T27" i="53"/>
  <c r="R27" i="53"/>
  <c r="Q27" i="53"/>
  <c r="P27" i="53"/>
  <c r="O27" i="53"/>
  <c r="R26" i="53"/>
  <c r="Q26" i="53"/>
  <c r="P26" i="53"/>
  <c r="O26" i="53"/>
  <c r="R25" i="53"/>
  <c r="Q25" i="53"/>
  <c r="P25" i="53"/>
  <c r="O25" i="53"/>
  <c r="R24" i="53"/>
  <c r="Q24" i="53"/>
  <c r="P24" i="53"/>
  <c r="O24" i="53"/>
  <c r="T23" i="53"/>
  <c r="R23" i="53"/>
  <c r="Q23" i="53"/>
  <c r="P23" i="53"/>
  <c r="O23" i="53"/>
  <c r="R22" i="53"/>
  <c r="Q22" i="53"/>
  <c r="P22" i="53"/>
  <c r="O22" i="53"/>
  <c r="T21" i="53"/>
  <c r="R21" i="53"/>
  <c r="Q21" i="53"/>
  <c r="P21" i="53"/>
  <c r="O21" i="53"/>
  <c r="T20" i="53"/>
  <c r="R20" i="53"/>
  <c r="Q20" i="53"/>
  <c r="P20" i="53"/>
  <c r="O20" i="53"/>
  <c r="T19" i="53"/>
  <c r="R19" i="53"/>
  <c r="Q19" i="53"/>
  <c r="P19" i="53"/>
  <c r="O19" i="53"/>
  <c r="R18" i="53"/>
  <c r="Q18" i="53"/>
  <c r="P18" i="53"/>
  <c r="O18" i="53"/>
  <c r="R17" i="53"/>
  <c r="Q17" i="53"/>
  <c r="P17" i="53"/>
  <c r="O17" i="53"/>
  <c r="R16" i="53"/>
  <c r="Q16" i="53"/>
  <c r="P16" i="53"/>
  <c r="O16" i="53"/>
  <c r="Q13" i="53"/>
  <c r="T25" i="53" s="1"/>
  <c r="Q12" i="53"/>
  <c r="Q11" i="53"/>
  <c r="M1" i="53"/>
  <c r="T265" i="52"/>
  <c r="F265" i="52" s="1"/>
  <c r="S265" i="52"/>
  <c r="E265" i="52" s="1"/>
  <c r="Q259" i="52"/>
  <c r="Q258" i="52"/>
  <c r="N233" i="52"/>
  <c r="O237" i="52" s="1"/>
  <c r="S209" i="52"/>
  <c r="S210" i="52" s="1"/>
  <c r="R209" i="52"/>
  <c r="R210" i="52" s="1"/>
  <c r="Q208" i="52"/>
  <c r="Q207" i="52"/>
  <c r="Q206" i="52"/>
  <c r="Q205" i="52"/>
  <c r="Q204" i="52"/>
  <c r="Q203" i="52"/>
  <c r="Q202" i="52"/>
  <c r="Q201" i="52"/>
  <c r="Q200" i="52"/>
  <c r="Q199" i="52"/>
  <c r="Q198" i="52"/>
  <c r="Q197" i="52"/>
  <c r="Q196" i="52"/>
  <c r="Q195" i="52"/>
  <c r="Q194" i="52"/>
  <c r="Q193" i="52"/>
  <c r="Q192" i="52"/>
  <c r="Q191" i="52"/>
  <c r="Q190" i="52"/>
  <c r="Q189" i="52"/>
  <c r="Q184" i="52"/>
  <c r="Q183" i="52"/>
  <c r="Q182" i="52"/>
  <c r="Q181" i="52"/>
  <c r="Q180" i="52"/>
  <c r="Q179" i="52"/>
  <c r="Q178" i="52"/>
  <c r="Q177" i="52"/>
  <c r="Q176" i="52"/>
  <c r="Q175" i="52"/>
  <c r="Q174" i="52"/>
  <c r="Q173" i="52"/>
  <c r="Q172" i="52"/>
  <c r="Q171" i="52"/>
  <c r="Q170" i="52"/>
  <c r="Q169" i="52"/>
  <c r="Q168" i="52"/>
  <c r="Q167" i="52"/>
  <c r="Q166" i="52"/>
  <c r="Q165" i="52"/>
  <c r="Q164" i="52"/>
  <c r="Q163" i="52"/>
  <c r="Q162" i="52"/>
  <c r="Q161" i="52"/>
  <c r="Q160" i="52"/>
  <c r="Q159" i="52"/>
  <c r="Q158" i="52"/>
  <c r="Q157" i="52"/>
  <c r="Q156" i="52"/>
  <c r="Q155" i="52"/>
  <c r="Q154" i="52"/>
  <c r="Q153" i="52"/>
  <c r="Q152" i="52"/>
  <c r="Q151" i="52"/>
  <c r="Q150" i="52"/>
  <c r="Q149" i="52"/>
  <c r="P138" i="52"/>
  <c r="O142" i="52" s="1"/>
  <c r="O138" i="52"/>
  <c r="N138" i="52"/>
  <c r="D75" i="44"/>
  <c r="E75" i="44"/>
  <c r="F75" i="44"/>
  <c r="Q75" i="44"/>
  <c r="R75" i="44" s="1"/>
  <c r="B75" i="44" s="1"/>
  <c r="I29" i="37"/>
  <c r="G29" i="37"/>
  <c r="F29" i="37"/>
  <c r="E29" i="37"/>
  <c r="D29" i="37"/>
  <c r="I28" i="37"/>
  <c r="G28" i="37"/>
  <c r="F28" i="37"/>
  <c r="E28" i="37"/>
  <c r="D28" i="37"/>
  <c r="I27" i="37"/>
  <c r="G27" i="37"/>
  <c r="F27" i="37"/>
  <c r="E27" i="37"/>
  <c r="D27" i="37"/>
  <c r="I26" i="37"/>
  <c r="G26" i="37"/>
  <c r="F26" i="37"/>
  <c r="E26" i="37"/>
  <c r="D26" i="37"/>
  <c r="I25" i="37"/>
  <c r="G25" i="37"/>
  <c r="F25" i="37"/>
  <c r="E25" i="37"/>
  <c r="D25" i="37"/>
  <c r="I24" i="37"/>
  <c r="G24" i="37"/>
  <c r="F24" i="37"/>
  <c r="E24" i="37"/>
  <c r="D24" i="37"/>
  <c r="G23" i="37"/>
  <c r="F23" i="37"/>
  <c r="E23" i="37"/>
  <c r="D23" i="37"/>
  <c r="D22" i="37"/>
  <c r="G21" i="37"/>
  <c r="F21" i="37"/>
  <c r="E21" i="37"/>
  <c r="D21" i="37"/>
  <c r="G20" i="37"/>
  <c r="F20" i="37"/>
  <c r="E20" i="37"/>
  <c r="D20" i="37"/>
  <c r="G19" i="37"/>
  <c r="F19" i="37"/>
  <c r="E19" i="37"/>
  <c r="D19" i="37"/>
  <c r="I18" i="37"/>
  <c r="G18" i="37"/>
  <c r="F18" i="37"/>
  <c r="E18" i="37"/>
  <c r="D18" i="37"/>
  <c r="G17" i="37"/>
  <c r="F17" i="37"/>
  <c r="E17" i="37"/>
  <c r="D17" i="37"/>
  <c r="G16" i="37"/>
  <c r="F16" i="37"/>
  <c r="E16" i="37"/>
  <c r="D16" i="37"/>
  <c r="G15" i="37"/>
  <c r="F15" i="37"/>
  <c r="E15" i="37"/>
  <c r="D15" i="37"/>
  <c r="I14" i="37"/>
  <c r="G14" i="37"/>
  <c r="F14" i="37"/>
  <c r="E14" i="37"/>
  <c r="D14" i="37"/>
  <c r="I13" i="37"/>
  <c r="G13" i="37"/>
  <c r="F13" i="37"/>
  <c r="E13" i="37"/>
  <c r="D13" i="37"/>
  <c r="G12" i="37"/>
  <c r="F12" i="37"/>
  <c r="E12" i="37"/>
  <c r="D12" i="37"/>
  <c r="G11" i="37"/>
  <c r="F11" i="37"/>
  <c r="E11" i="37"/>
  <c r="D11" i="37"/>
  <c r="S97" i="27"/>
  <c r="Q97" i="27"/>
  <c r="P97" i="27"/>
  <c r="O97" i="27"/>
  <c r="N97" i="27"/>
  <c r="S96" i="27"/>
  <c r="Q96" i="27"/>
  <c r="P96" i="27"/>
  <c r="O96" i="27"/>
  <c r="N96" i="27"/>
  <c r="S95" i="27"/>
  <c r="Q95" i="27"/>
  <c r="P95" i="27"/>
  <c r="O95" i="27"/>
  <c r="N95" i="27"/>
  <c r="S94" i="27"/>
  <c r="Q94" i="27"/>
  <c r="P94" i="27"/>
  <c r="O94" i="27"/>
  <c r="N94" i="27"/>
  <c r="S93" i="27"/>
  <c r="Q93" i="27"/>
  <c r="P93" i="27"/>
  <c r="O93" i="27"/>
  <c r="N93" i="27"/>
  <c r="S92" i="27"/>
  <c r="Q92" i="27"/>
  <c r="P92" i="27"/>
  <c r="O92" i="27"/>
  <c r="N92" i="27"/>
  <c r="Q91" i="27"/>
  <c r="P91" i="27"/>
  <c r="O91" i="27"/>
  <c r="N91" i="27"/>
  <c r="S90" i="27"/>
  <c r="Q90" i="27"/>
  <c r="P90" i="27"/>
  <c r="O90" i="27"/>
  <c r="N90" i="27"/>
  <c r="Q89" i="27"/>
  <c r="P89" i="27"/>
  <c r="O89" i="27"/>
  <c r="N89" i="27"/>
  <c r="Q88" i="27"/>
  <c r="P88" i="27"/>
  <c r="O88" i="27"/>
  <c r="N88" i="27"/>
  <c r="Q87" i="27"/>
  <c r="P87" i="27"/>
  <c r="O87" i="27"/>
  <c r="N87" i="27"/>
  <c r="S86" i="27"/>
  <c r="Q86" i="27"/>
  <c r="P86" i="27"/>
  <c r="O86" i="27"/>
  <c r="N86" i="27"/>
  <c r="Q85" i="27"/>
  <c r="P85" i="27"/>
  <c r="O85" i="27"/>
  <c r="N85" i="27"/>
  <c r="S84" i="27"/>
  <c r="Q84" i="27"/>
  <c r="P84" i="27"/>
  <c r="O84" i="27"/>
  <c r="N84" i="27"/>
  <c r="S83" i="27"/>
  <c r="Q83" i="27"/>
  <c r="P83" i="27"/>
  <c r="O83" i="27"/>
  <c r="N83" i="27"/>
  <c r="Q82" i="27"/>
  <c r="P82" i="27"/>
  <c r="O82" i="27"/>
  <c r="N82" i="27"/>
  <c r="Q81" i="27"/>
  <c r="P81" i="27"/>
  <c r="O81" i="27"/>
  <c r="N81" i="27"/>
  <c r="Q80" i="27"/>
  <c r="P80" i="27"/>
  <c r="O80" i="27"/>
  <c r="N80" i="27"/>
  <c r="Q79" i="27"/>
  <c r="P79" i="27"/>
  <c r="O79" i="27"/>
  <c r="N79" i="27"/>
  <c r="S61" i="17"/>
  <c r="Q61" i="17"/>
  <c r="P61" i="17"/>
  <c r="O61" i="17"/>
  <c r="N61" i="17"/>
  <c r="S60" i="17"/>
  <c r="Q60" i="17"/>
  <c r="P60" i="17"/>
  <c r="O60" i="17"/>
  <c r="N60" i="17"/>
  <c r="S59" i="17"/>
  <c r="Q59" i="17"/>
  <c r="P59" i="17"/>
  <c r="O59" i="17"/>
  <c r="N59" i="17"/>
  <c r="S58" i="17"/>
  <c r="Q58" i="17"/>
  <c r="P58" i="17"/>
  <c r="O58" i="17"/>
  <c r="N58" i="17"/>
  <c r="S57" i="17"/>
  <c r="Q57" i="17"/>
  <c r="P57" i="17"/>
  <c r="O57" i="17"/>
  <c r="N57" i="17"/>
  <c r="S56" i="17"/>
  <c r="Q56" i="17"/>
  <c r="P56" i="17"/>
  <c r="O56" i="17"/>
  <c r="N56" i="17"/>
  <c r="Q55" i="17"/>
  <c r="P55" i="17"/>
  <c r="O55" i="17"/>
  <c r="N55" i="17"/>
  <c r="S54" i="17"/>
  <c r="Q54" i="17"/>
  <c r="P54" i="17"/>
  <c r="O54" i="17"/>
  <c r="N54" i="17"/>
  <c r="Q53" i="17"/>
  <c r="P53" i="17"/>
  <c r="O53" i="17"/>
  <c r="N53" i="17"/>
  <c r="Q52" i="17"/>
  <c r="P52" i="17"/>
  <c r="O52" i="17"/>
  <c r="N52" i="17"/>
  <c r="Q51" i="17"/>
  <c r="P51" i="17"/>
  <c r="O51" i="17"/>
  <c r="N51" i="17"/>
  <c r="S50" i="17"/>
  <c r="Q50" i="17"/>
  <c r="P50" i="17"/>
  <c r="O50" i="17"/>
  <c r="N50" i="17"/>
  <c r="Q49" i="17"/>
  <c r="P49" i="17"/>
  <c r="O49" i="17"/>
  <c r="N49" i="17"/>
  <c r="S48" i="17"/>
  <c r="Q48" i="17"/>
  <c r="P48" i="17"/>
  <c r="O48" i="17"/>
  <c r="N48" i="17"/>
  <c r="S47" i="17"/>
  <c r="Q47" i="17"/>
  <c r="P47" i="17"/>
  <c r="O47" i="17"/>
  <c r="N47" i="17"/>
  <c r="S46" i="17"/>
  <c r="Q46" i="17"/>
  <c r="P46" i="17"/>
  <c r="O46" i="17"/>
  <c r="N46" i="17"/>
  <c r="S45" i="17"/>
  <c r="Q45" i="17"/>
  <c r="P45" i="17"/>
  <c r="O45" i="17"/>
  <c r="N45" i="17"/>
  <c r="Q44" i="17"/>
  <c r="P44" i="17"/>
  <c r="O44" i="17"/>
  <c r="N44" i="17"/>
  <c r="S43" i="17"/>
  <c r="Q43" i="17"/>
  <c r="P43" i="17"/>
  <c r="O43" i="17"/>
  <c r="N43" i="17"/>
  <c r="T109" i="38"/>
  <c r="R109" i="38"/>
  <c r="Q109" i="38"/>
  <c r="P109" i="38"/>
  <c r="O109" i="38"/>
  <c r="T108" i="38"/>
  <c r="R108" i="38"/>
  <c r="Q108" i="38"/>
  <c r="P108" i="38"/>
  <c r="O108" i="38"/>
  <c r="T107" i="38"/>
  <c r="R107" i="38"/>
  <c r="Q107" i="38"/>
  <c r="P107" i="38"/>
  <c r="O107" i="38"/>
  <c r="T106" i="38"/>
  <c r="R106" i="38"/>
  <c r="Q106" i="38"/>
  <c r="P106" i="38"/>
  <c r="O106" i="38"/>
  <c r="T105" i="38"/>
  <c r="R105" i="38"/>
  <c r="Q105" i="38"/>
  <c r="P105" i="38"/>
  <c r="O105" i="38"/>
  <c r="T104" i="38"/>
  <c r="R104" i="38"/>
  <c r="Q104" i="38"/>
  <c r="P104" i="38"/>
  <c r="O104" i="38"/>
  <c r="R103" i="38"/>
  <c r="Q103" i="38"/>
  <c r="P103" i="38"/>
  <c r="O103" i="38"/>
  <c r="T102" i="38"/>
  <c r="R102" i="38"/>
  <c r="Q102" i="38"/>
  <c r="P102" i="38"/>
  <c r="O102" i="38"/>
  <c r="R101" i="38"/>
  <c r="Q101" i="38"/>
  <c r="P101" i="38"/>
  <c r="O101" i="38"/>
  <c r="R100" i="38"/>
  <c r="Q100" i="38"/>
  <c r="P100" i="38"/>
  <c r="O100" i="38"/>
  <c r="R99" i="38"/>
  <c r="Q99" i="38"/>
  <c r="P99" i="38"/>
  <c r="O99" i="38"/>
  <c r="T98" i="38"/>
  <c r="R98" i="38"/>
  <c r="Q98" i="38"/>
  <c r="P98" i="38"/>
  <c r="O98" i="38"/>
  <c r="R97" i="38"/>
  <c r="Q97" i="38"/>
  <c r="P97" i="38"/>
  <c r="O97" i="38"/>
  <c r="T96" i="38"/>
  <c r="R96" i="38"/>
  <c r="Q96" i="38"/>
  <c r="P96" i="38"/>
  <c r="O96" i="38"/>
  <c r="T95" i="38"/>
  <c r="R95" i="38"/>
  <c r="Q95" i="38"/>
  <c r="P95" i="38"/>
  <c r="O95" i="38"/>
  <c r="T94" i="38"/>
  <c r="R94" i="38"/>
  <c r="Q94" i="38"/>
  <c r="P94" i="38"/>
  <c r="O94" i="38"/>
  <c r="T93" i="38"/>
  <c r="R93" i="38"/>
  <c r="Q93" i="38"/>
  <c r="P93" i="38"/>
  <c r="O93" i="38"/>
  <c r="R92" i="38"/>
  <c r="Q92" i="38"/>
  <c r="P92" i="38"/>
  <c r="O92" i="38"/>
  <c r="T91" i="38"/>
  <c r="R91" i="38"/>
  <c r="Q91" i="38"/>
  <c r="P91" i="38"/>
  <c r="O91" i="38"/>
  <c r="T68" i="38"/>
  <c r="R68" i="38"/>
  <c r="Q68" i="38"/>
  <c r="P68" i="38"/>
  <c r="O68" i="38"/>
  <c r="T67" i="38"/>
  <c r="R67" i="38"/>
  <c r="Q67" i="38"/>
  <c r="P67" i="38"/>
  <c r="O67" i="38"/>
  <c r="T66" i="38"/>
  <c r="R66" i="38"/>
  <c r="Q66" i="38"/>
  <c r="P66" i="38"/>
  <c r="O66" i="38"/>
  <c r="T65" i="38"/>
  <c r="R65" i="38"/>
  <c r="Q65" i="38"/>
  <c r="P65" i="38"/>
  <c r="O65" i="38"/>
  <c r="T64" i="38"/>
  <c r="R64" i="38"/>
  <c r="Q64" i="38"/>
  <c r="P64" i="38"/>
  <c r="O64" i="38"/>
  <c r="T63" i="38"/>
  <c r="R63" i="38"/>
  <c r="Q63" i="38"/>
  <c r="P63" i="38"/>
  <c r="O63" i="38"/>
  <c r="R62" i="38"/>
  <c r="Q62" i="38"/>
  <c r="P62" i="38"/>
  <c r="O62" i="38"/>
  <c r="T61" i="38"/>
  <c r="R61" i="38"/>
  <c r="Q61" i="38"/>
  <c r="P61" i="38"/>
  <c r="O61" i="38"/>
  <c r="R60" i="38"/>
  <c r="Q60" i="38"/>
  <c r="P60" i="38"/>
  <c r="O60" i="38"/>
  <c r="R59" i="38"/>
  <c r="Q59" i="38"/>
  <c r="P59" i="38"/>
  <c r="O59" i="38"/>
  <c r="R58" i="38"/>
  <c r="Q58" i="38"/>
  <c r="P58" i="38"/>
  <c r="O58" i="38"/>
  <c r="T57" i="38"/>
  <c r="R57" i="38"/>
  <c r="Q57" i="38"/>
  <c r="P57" i="38"/>
  <c r="O57" i="38"/>
  <c r="R56" i="38"/>
  <c r="Q56" i="38"/>
  <c r="P56" i="38"/>
  <c r="O56" i="38"/>
  <c r="T55" i="38"/>
  <c r="R55" i="38"/>
  <c r="Q55" i="38"/>
  <c r="P55" i="38"/>
  <c r="O55" i="38"/>
  <c r="T54" i="38"/>
  <c r="R54" i="38"/>
  <c r="Q54" i="38"/>
  <c r="P54" i="38"/>
  <c r="O54" i="38"/>
  <c r="T53" i="38"/>
  <c r="R53" i="38"/>
  <c r="Q53" i="38"/>
  <c r="P53" i="38"/>
  <c r="O53" i="38"/>
  <c r="R52" i="38"/>
  <c r="Q52" i="38"/>
  <c r="P52" i="38"/>
  <c r="O52" i="38"/>
  <c r="R51" i="38"/>
  <c r="Q51" i="38"/>
  <c r="P51" i="38"/>
  <c r="O51" i="38"/>
  <c r="R50" i="38"/>
  <c r="Q50" i="38"/>
  <c r="P50" i="38"/>
  <c r="O50" i="38"/>
  <c r="U35" i="44"/>
  <c r="S35" i="44"/>
  <c r="R35" i="44"/>
  <c r="Q35" i="44"/>
  <c r="P35" i="44"/>
  <c r="U34" i="44"/>
  <c r="S34" i="44"/>
  <c r="R34" i="44"/>
  <c r="Q34" i="44"/>
  <c r="P34" i="44"/>
  <c r="U33" i="44"/>
  <c r="S33" i="44"/>
  <c r="R33" i="44"/>
  <c r="Q33" i="44"/>
  <c r="P33" i="44"/>
  <c r="U32" i="44"/>
  <c r="S32" i="44"/>
  <c r="R32" i="44"/>
  <c r="Q32" i="44"/>
  <c r="P32" i="44"/>
  <c r="U31" i="44"/>
  <c r="S31" i="44"/>
  <c r="R31" i="44"/>
  <c r="Q31" i="44"/>
  <c r="P31" i="44"/>
  <c r="U30" i="44"/>
  <c r="S30" i="44"/>
  <c r="R30" i="44"/>
  <c r="Q30" i="44"/>
  <c r="P30" i="44"/>
  <c r="S29" i="44"/>
  <c r="R29" i="44"/>
  <c r="Q29" i="44"/>
  <c r="P29" i="44"/>
  <c r="U28" i="44"/>
  <c r="S28" i="44"/>
  <c r="R28" i="44"/>
  <c r="Q28" i="44"/>
  <c r="P28" i="44"/>
  <c r="S27" i="44"/>
  <c r="R27" i="44"/>
  <c r="Q27" i="44"/>
  <c r="P27" i="44"/>
  <c r="S26" i="44"/>
  <c r="R26" i="44"/>
  <c r="Q26" i="44"/>
  <c r="P26" i="44"/>
  <c r="S25" i="44"/>
  <c r="R25" i="44"/>
  <c r="Q25" i="44"/>
  <c r="P25" i="44"/>
  <c r="U24" i="44"/>
  <c r="S24" i="44"/>
  <c r="R24" i="44"/>
  <c r="Q24" i="44"/>
  <c r="P24" i="44"/>
  <c r="S23" i="44"/>
  <c r="R23" i="44"/>
  <c r="Q23" i="44"/>
  <c r="P23" i="44"/>
  <c r="U22" i="44"/>
  <c r="S22" i="44"/>
  <c r="R22" i="44"/>
  <c r="Q22" i="44"/>
  <c r="P22" i="44"/>
  <c r="U21" i="44"/>
  <c r="S21" i="44"/>
  <c r="R21" i="44"/>
  <c r="Q21" i="44"/>
  <c r="P21" i="44"/>
  <c r="U20" i="44"/>
  <c r="S20" i="44"/>
  <c r="R20" i="44"/>
  <c r="Q20" i="44"/>
  <c r="P20" i="44"/>
  <c r="U19" i="44"/>
  <c r="S19" i="44"/>
  <c r="R19" i="44"/>
  <c r="Q19" i="44"/>
  <c r="P19" i="44"/>
  <c r="S18" i="44"/>
  <c r="R18" i="44"/>
  <c r="Q18" i="44"/>
  <c r="P18" i="44"/>
  <c r="U17" i="44"/>
  <c r="S17" i="44"/>
  <c r="R17" i="44"/>
  <c r="Q17" i="44"/>
  <c r="P17" i="44"/>
  <c r="S349" i="43"/>
  <c r="Q349" i="43"/>
  <c r="P349" i="43"/>
  <c r="O349" i="43"/>
  <c r="N349" i="43"/>
  <c r="S348" i="43"/>
  <c r="Q348" i="43"/>
  <c r="P348" i="43"/>
  <c r="O348" i="43"/>
  <c r="N348" i="43"/>
  <c r="S347" i="43"/>
  <c r="Q347" i="43"/>
  <c r="P347" i="43"/>
  <c r="O347" i="43"/>
  <c r="N347" i="43"/>
  <c r="S346" i="43"/>
  <c r="Q346" i="43"/>
  <c r="P346" i="43"/>
  <c r="O346" i="43"/>
  <c r="N346" i="43"/>
  <c r="S345" i="43"/>
  <c r="Q345" i="43"/>
  <c r="P345" i="43"/>
  <c r="O345" i="43"/>
  <c r="N345" i="43"/>
  <c r="S344" i="43"/>
  <c r="Q344" i="43"/>
  <c r="P344" i="43"/>
  <c r="O344" i="43"/>
  <c r="N344" i="43"/>
  <c r="Q343" i="43"/>
  <c r="P343" i="43"/>
  <c r="O343" i="43"/>
  <c r="N343" i="43"/>
  <c r="S342" i="43"/>
  <c r="Q342" i="43"/>
  <c r="P342" i="43"/>
  <c r="O342" i="43"/>
  <c r="N342" i="43"/>
  <c r="Q341" i="43"/>
  <c r="P341" i="43"/>
  <c r="O341" i="43"/>
  <c r="N341" i="43"/>
  <c r="Q340" i="43"/>
  <c r="P340" i="43"/>
  <c r="O340" i="43"/>
  <c r="N340" i="43"/>
  <c r="Q339" i="43"/>
  <c r="P339" i="43"/>
  <c r="O339" i="43"/>
  <c r="N339" i="43"/>
  <c r="S338" i="43"/>
  <c r="Q338" i="43"/>
  <c r="P338" i="43"/>
  <c r="O338" i="43"/>
  <c r="N338" i="43"/>
  <c r="Q337" i="43"/>
  <c r="P337" i="43"/>
  <c r="O337" i="43"/>
  <c r="N337" i="43"/>
  <c r="S336" i="43"/>
  <c r="Q336" i="43"/>
  <c r="P336" i="43"/>
  <c r="O336" i="43"/>
  <c r="N336" i="43"/>
  <c r="S335" i="43"/>
  <c r="Q335" i="43"/>
  <c r="P335" i="43"/>
  <c r="O335" i="43"/>
  <c r="N335" i="43"/>
  <c r="S334" i="43"/>
  <c r="Q334" i="43"/>
  <c r="P334" i="43"/>
  <c r="O334" i="43"/>
  <c r="N334" i="43"/>
  <c r="S333" i="43"/>
  <c r="Q333" i="43"/>
  <c r="P333" i="43"/>
  <c r="O333" i="43"/>
  <c r="N333" i="43"/>
  <c r="Q332" i="43"/>
  <c r="P332" i="43"/>
  <c r="O332" i="43"/>
  <c r="N332" i="43"/>
  <c r="S331" i="43"/>
  <c r="Q331" i="43"/>
  <c r="P331" i="43"/>
  <c r="O331" i="43"/>
  <c r="N331" i="43"/>
  <c r="S166" i="43"/>
  <c r="Q166" i="43"/>
  <c r="P166" i="43"/>
  <c r="O166" i="43"/>
  <c r="N166" i="43"/>
  <c r="S165" i="43"/>
  <c r="Q165" i="43"/>
  <c r="P165" i="43"/>
  <c r="O165" i="43"/>
  <c r="N165" i="43"/>
  <c r="S164" i="43"/>
  <c r="Q164" i="43"/>
  <c r="P164" i="43"/>
  <c r="O164" i="43"/>
  <c r="N164" i="43"/>
  <c r="S163" i="43"/>
  <c r="Q163" i="43"/>
  <c r="P163" i="43"/>
  <c r="O163" i="43"/>
  <c r="N163" i="43"/>
  <c r="S162" i="43"/>
  <c r="Q162" i="43"/>
  <c r="P162" i="43"/>
  <c r="O162" i="43"/>
  <c r="N162" i="43"/>
  <c r="S161" i="43"/>
  <c r="Q161" i="43"/>
  <c r="P161" i="43"/>
  <c r="O161" i="43"/>
  <c r="N161" i="43"/>
  <c r="Q160" i="43"/>
  <c r="P160" i="43"/>
  <c r="O160" i="43"/>
  <c r="N160" i="43"/>
  <c r="S159" i="43"/>
  <c r="Q159" i="43"/>
  <c r="P159" i="43"/>
  <c r="O159" i="43"/>
  <c r="N159" i="43"/>
  <c r="Q158" i="43"/>
  <c r="P158" i="43"/>
  <c r="O158" i="43"/>
  <c r="N158" i="43"/>
  <c r="Q157" i="43"/>
  <c r="P157" i="43"/>
  <c r="O157" i="43"/>
  <c r="N157" i="43"/>
  <c r="Q156" i="43"/>
  <c r="P156" i="43"/>
  <c r="O156" i="43"/>
  <c r="N156" i="43"/>
  <c r="S155" i="43"/>
  <c r="Q155" i="43"/>
  <c r="P155" i="43"/>
  <c r="O155" i="43"/>
  <c r="N155" i="43"/>
  <c r="Q154" i="43"/>
  <c r="P154" i="43"/>
  <c r="O154" i="43"/>
  <c r="N154" i="43"/>
  <c r="S153" i="43"/>
  <c r="Q153" i="43"/>
  <c r="P153" i="43"/>
  <c r="O153" i="43"/>
  <c r="N153" i="43"/>
  <c r="S152" i="43"/>
  <c r="Q152" i="43"/>
  <c r="P152" i="43"/>
  <c r="O152" i="43"/>
  <c r="N152" i="43"/>
  <c r="S151" i="43"/>
  <c r="Q151" i="43"/>
  <c r="P151" i="43"/>
  <c r="O151" i="43"/>
  <c r="N151" i="43"/>
  <c r="S150" i="43"/>
  <c r="Q150" i="43"/>
  <c r="P150" i="43"/>
  <c r="O150" i="43"/>
  <c r="N150" i="43"/>
  <c r="Q149" i="43"/>
  <c r="P149" i="43"/>
  <c r="O149" i="43"/>
  <c r="N149" i="43"/>
  <c r="S148" i="43"/>
  <c r="Q148" i="43"/>
  <c r="P148" i="43"/>
  <c r="O148" i="43"/>
  <c r="N148" i="43"/>
  <c r="S286" i="51"/>
  <c r="Q286" i="51"/>
  <c r="P286" i="51"/>
  <c r="O286" i="51"/>
  <c r="N286" i="51"/>
  <c r="S285" i="51"/>
  <c r="Q285" i="51"/>
  <c r="P285" i="51"/>
  <c r="O285" i="51"/>
  <c r="N285" i="51"/>
  <c r="S284" i="51"/>
  <c r="Q284" i="51"/>
  <c r="P284" i="51"/>
  <c r="O284" i="51"/>
  <c r="N284" i="51"/>
  <c r="S283" i="51"/>
  <c r="Q283" i="51"/>
  <c r="P283" i="51"/>
  <c r="O283" i="51"/>
  <c r="N283" i="51"/>
  <c r="S282" i="51"/>
  <c r="Q282" i="51"/>
  <c r="P282" i="51"/>
  <c r="O282" i="51"/>
  <c r="N282" i="51"/>
  <c r="S281" i="51"/>
  <c r="Q281" i="51"/>
  <c r="P281" i="51"/>
  <c r="O281" i="51"/>
  <c r="N281" i="51"/>
  <c r="Q280" i="51"/>
  <c r="P280" i="51"/>
  <c r="O280" i="51"/>
  <c r="N280" i="51"/>
  <c r="S279" i="51"/>
  <c r="Q279" i="51"/>
  <c r="P279" i="51"/>
  <c r="O279" i="51"/>
  <c r="N279" i="51"/>
  <c r="Q278" i="51"/>
  <c r="P278" i="51"/>
  <c r="O278" i="51"/>
  <c r="N278" i="51"/>
  <c r="Q277" i="51"/>
  <c r="P277" i="51"/>
  <c r="O277" i="51"/>
  <c r="N277" i="51"/>
  <c r="Q276" i="51"/>
  <c r="P276" i="51"/>
  <c r="O276" i="51"/>
  <c r="N276" i="51"/>
  <c r="S275" i="51"/>
  <c r="Q275" i="51"/>
  <c r="P275" i="51"/>
  <c r="O275" i="51"/>
  <c r="N275" i="51"/>
  <c r="Q274" i="51"/>
  <c r="P274" i="51"/>
  <c r="O274" i="51"/>
  <c r="N274" i="51"/>
  <c r="S273" i="51"/>
  <c r="Q273" i="51"/>
  <c r="P273" i="51"/>
  <c r="O273" i="51"/>
  <c r="N273" i="51"/>
  <c r="S272" i="51"/>
  <c r="Q272" i="51"/>
  <c r="P272" i="51"/>
  <c r="O272" i="51"/>
  <c r="N272" i="51"/>
  <c r="S271" i="51"/>
  <c r="Q271" i="51"/>
  <c r="P271" i="51"/>
  <c r="O271" i="51"/>
  <c r="N271" i="51"/>
  <c r="S270" i="51"/>
  <c r="Q270" i="51"/>
  <c r="P270" i="51"/>
  <c r="O270" i="51"/>
  <c r="N270" i="51"/>
  <c r="Q269" i="51"/>
  <c r="P269" i="51"/>
  <c r="O269" i="51"/>
  <c r="N269" i="51"/>
  <c r="S268" i="51"/>
  <c r="Q268" i="51"/>
  <c r="P268" i="51"/>
  <c r="O268" i="51"/>
  <c r="N268" i="51"/>
  <c r="S246" i="51"/>
  <c r="Q246" i="51"/>
  <c r="P246" i="51"/>
  <c r="O246" i="51"/>
  <c r="N246" i="51"/>
  <c r="S245" i="51"/>
  <c r="Q245" i="51"/>
  <c r="P245" i="51"/>
  <c r="O245" i="51"/>
  <c r="N245" i="51"/>
  <c r="S244" i="51"/>
  <c r="Q244" i="51"/>
  <c r="P244" i="51"/>
  <c r="O244" i="51"/>
  <c r="N244" i="51"/>
  <c r="S243" i="51"/>
  <c r="Q243" i="51"/>
  <c r="P243" i="51"/>
  <c r="O243" i="51"/>
  <c r="N243" i="51"/>
  <c r="S242" i="51"/>
  <c r="Q242" i="51"/>
  <c r="P242" i="51"/>
  <c r="O242" i="51"/>
  <c r="N242" i="51"/>
  <c r="Q241" i="51"/>
  <c r="P241" i="51"/>
  <c r="O241" i="51"/>
  <c r="N241" i="51"/>
  <c r="Q240" i="51"/>
  <c r="P240" i="51"/>
  <c r="O240" i="51"/>
  <c r="N240" i="51"/>
  <c r="S239" i="51"/>
  <c r="Q239" i="51"/>
  <c r="P239" i="51"/>
  <c r="O239" i="51"/>
  <c r="N239" i="51"/>
  <c r="Q238" i="51"/>
  <c r="P238" i="51"/>
  <c r="O238" i="51"/>
  <c r="N238" i="51"/>
  <c r="Q237" i="51"/>
  <c r="P237" i="51"/>
  <c r="O237" i="51"/>
  <c r="N237" i="51"/>
  <c r="Q236" i="51"/>
  <c r="P236" i="51"/>
  <c r="O236" i="51"/>
  <c r="N236" i="51"/>
  <c r="S235" i="51"/>
  <c r="Q235" i="51"/>
  <c r="P235" i="51"/>
  <c r="O235" i="51"/>
  <c r="N235" i="51"/>
  <c r="Q234" i="51"/>
  <c r="P234" i="51"/>
  <c r="O234" i="51"/>
  <c r="N234" i="51"/>
  <c r="S233" i="51"/>
  <c r="Q233" i="51"/>
  <c r="P233" i="51"/>
  <c r="O233" i="51"/>
  <c r="N233" i="51"/>
  <c r="S232" i="51"/>
  <c r="Q232" i="51"/>
  <c r="P232" i="51"/>
  <c r="O232" i="51"/>
  <c r="N232" i="51"/>
  <c r="S231" i="51"/>
  <c r="Q231" i="51"/>
  <c r="P231" i="51"/>
  <c r="O231" i="51"/>
  <c r="N231" i="51"/>
  <c r="S230" i="51"/>
  <c r="Q230" i="51"/>
  <c r="P230" i="51"/>
  <c r="O230" i="51"/>
  <c r="N230" i="51"/>
  <c r="Q229" i="51"/>
  <c r="P229" i="51"/>
  <c r="O229" i="51"/>
  <c r="N229" i="51"/>
  <c r="S228" i="51"/>
  <c r="Q228" i="51"/>
  <c r="P228" i="51"/>
  <c r="O228" i="51"/>
  <c r="N228" i="51"/>
  <c r="S204" i="51"/>
  <c r="Q204" i="51"/>
  <c r="P204" i="51"/>
  <c r="O204" i="51"/>
  <c r="N204" i="51"/>
  <c r="S203" i="51"/>
  <c r="Q203" i="51"/>
  <c r="P203" i="51"/>
  <c r="O203" i="51"/>
  <c r="N203" i="51"/>
  <c r="S202" i="51"/>
  <c r="Q202" i="51"/>
  <c r="P202" i="51"/>
  <c r="O202" i="51"/>
  <c r="N202" i="51"/>
  <c r="S201" i="51"/>
  <c r="Q201" i="51"/>
  <c r="P201" i="51"/>
  <c r="O201" i="51"/>
  <c r="N201" i="51"/>
  <c r="S200" i="51"/>
  <c r="Q200" i="51"/>
  <c r="P200" i="51"/>
  <c r="O200" i="51"/>
  <c r="N200" i="51"/>
  <c r="S199" i="51"/>
  <c r="Q199" i="51"/>
  <c r="P199" i="51"/>
  <c r="O199" i="51"/>
  <c r="N199" i="51"/>
  <c r="Q198" i="51"/>
  <c r="P198" i="51"/>
  <c r="O198" i="51"/>
  <c r="N198" i="51"/>
  <c r="S197" i="51"/>
  <c r="Q197" i="51"/>
  <c r="P197" i="51"/>
  <c r="O197" i="51"/>
  <c r="N197" i="51"/>
  <c r="Q196" i="51"/>
  <c r="P196" i="51"/>
  <c r="O196" i="51"/>
  <c r="N196" i="51"/>
  <c r="Q195" i="51"/>
  <c r="P195" i="51"/>
  <c r="O195" i="51"/>
  <c r="N195" i="51"/>
  <c r="Q194" i="51"/>
  <c r="P194" i="51"/>
  <c r="O194" i="51"/>
  <c r="N194" i="51"/>
  <c r="S193" i="51"/>
  <c r="Q193" i="51"/>
  <c r="P193" i="51"/>
  <c r="O193" i="51"/>
  <c r="N193" i="51"/>
  <c r="Q192" i="51"/>
  <c r="P192" i="51"/>
  <c r="O192" i="51"/>
  <c r="N192" i="51"/>
  <c r="S191" i="51"/>
  <c r="Q191" i="51"/>
  <c r="P191" i="51"/>
  <c r="O191" i="51"/>
  <c r="N191" i="51"/>
  <c r="S190" i="51"/>
  <c r="Q190" i="51"/>
  <c r="P190" i="51"/>
  <c r="O190" i="51"/>
  <c r="N190" i="51"/>
  <c r="S189" i="51"/>
  <c r="Q189" i="51"/>
  <c r="P189" i="51"/>
  <c r="O189" i="51"/>
  <c r="N189" i="51"/>
  <c r="S188" i="51"/>
  <c r="Q188" i="51"/>
  <c r="P188" i="51"/>
  <c r="O188" i="51"/>
  <c r="N188" i="51"/>
  <c r="Q187" i="51"/>
  <c r="P187" i="51"/>
  <c r="O187" i="51"/>
  <c r="N187" i="51"/>
  <c r="S186" i="51"/>
  <c r="Q186" i="51"/>
  <c r="P186" i="51"/>
  <c r="O186" i="51"/>
  <c r="N186" i="51"/>
  <c r="S133" i="51"/>
  <c r="Q133" i="51"/>
  <c r="P133" i="51"/>
  <c r="O133" i="51"/>
  <c r="N133" i="51"/>
  <c r="S132" i="51"/>
  <c r="Q132" i="51"/>
  <c r="P132" i="51"/>
  <c r="O132" i="51"/>
  <c r="N132" i="51"/>
  <c r="S131" i="51"/>
  <c r="Q131" i="51"/>
  <c r="P131" i="51"/>
  <c r="O131" i="51"/>
  <c r="N131" i="51"/>
  <c r="S130" i="51"/>
  <c r="Q130" i="51"/>
  <c r="P130" i="51"/>
  <c r="O130" i="51"/>
  <c r="N130" i="51"/>
  <c r="S129" i="51"/>
  <c r="Q129" i="51"/>
  <c r="P129" i="51"/>
  <c r="O129" i="51"/>
  <c r="N129" i="51"/>
  <c r="S128" i="51"/>
  <c r="Q128" i="51"/>
  <c r="P128" i="51"/>
  <c r="O128" i="51"/>
  <c r="N128" i="51"/>
  <c r="Q127" i="51"/>
  <c r="P127" i="51"/>
  <c r="O127" i="51"/>
  <c r="N127" i="51"/>
  <c r="S126" i="51"/>
  <c r="Q126" i="51"/>
  <c r="P126" i="51"/>
  <c r="O126" i="51"/>
  <c r="N126" i="51"/>
  <c r="Q125" i="51"/>
  <c r="P125" i="51"/>
  <c r="O125" i="51"/>
  <c r="N125" i="51"/>
  <c r="Q124" i="51"/>
  <c r="P124" i="51"/>
  <c r="O124" i="51"/>
  <c r="N124" i="51"/>
  <c r="Q123" i="51"/>
  <c r="P123" i="51"/>
  <c r="O123" i="51"/>
  <c r="N123" i="51"/>
  <c r="S122" i="51"/>
  <c r="Q122" i="51"/>
  <c r="P122" i="51"/>
  <c r="O122" i="51"/>
  <c r="N122" i="51"/>
  <c r="Q121" i="51"/>
  <c r="P121" i="51"/>
  <c r="O121" i="51"/>
  <c r="N121" i="51"/>
  <c r="S120" i="51"/>
  <c r="Q120" i="51"/>
  <c r="P120" i="51"/>
  <c r="O120" i="51"/>
  <c r="N120" i="51"/>
  <c r="S119" i="51"/>
  <c r="Q119" i="51"/>
  <c r="P119" i="51"/>
  <c r="O119" i="51"/>
  <c r="N119" i="51"/>
  <c r="S118" i="51"/>
  <c r="Q118" i="51"/>
  <c r="P118" i="51"/>
  <c r="O118" i="51"/>
  <c r="N118" i="51"/>
  <c r="S117" i="51"/>
  <c r="Q117" i="51"/>
  <c r="P117" i="51"/>
  <c r="O117" i="51"/>
  <c r="N117" i="51"/>
  <c r="Q116" i="51"/>
  <c r="P116" i="51"/>
  <c r="O116" i="51"/>
  <c r="N116" i="51"/>
  <c r="S115" i="51"/>
  <c r="Q115" i="51"/>
  <c r="P115" i="51"/>
  <c r="O115" i="51"/>
  <c r="N115" i="51"/>
  <c r="S62" i="51"/>
  <c r="Q62" i="51"/>
  <c r="P62" i="51"/>
  <c r="O62" i="51"/>
  <c r="N62" i="51"/>
  <c r="S61" i="51"/>
  <c r="Q61" i="51"/>
  <c r="P61" i="51"/>
  <c r="O61" i="51"/>
  <c r="N61" i="51"/>
  <c r="S60" i="51"/>
  <c r="Q60" i="51"/>
  <c r="P60" i="51"/>
  <c r="O60" i="51"/>
  <c r="N60" i="51"/>
  <c r="S59" i="51"/>
  <c r="Q59" i="51"/>
  <c r="P59" i="51"/>
  <c r="O59" i="51"/>
  <c r="N59" i="51"/>
  <c r="S58" i="51"/>
  <c r="Q58" i="51"/>
  <c r="P58" i="51"/>
  <c r="O58" i="51"/>
  <c r="N58" i="51"/>
  <c r="S57" i="51"/>
  <c r="Q57" i="51"/>
  <c r="P57" i="51"/>
  <c r="O57" i="51"/>
  <c r="N57" i="51"/>
  <c r="Q56" i="51"/>
  <c r="P56" i="51"/>
  <c r="O56" i="51"/>
  <c r="N56" i="51"/>
  <c r="S55" i="51"/>
  <c r="Q55" i="51"/>
  <c r="P55" i="51"/>
  <c r="O55" i="51"/>
  <c r="N55" i="51"/>
  <c r="Q54" i="51"/>
  <c r="P54" i="51"/>
  <c r="O54" i="51"/>
  <c r="N54" i="51"/>
  <c r="Q53" i="51"/>
  <c r="P53" i="51"/>
  <c r="O53" i="51"/>
  <c r="N53" i="51"/>
  <c r="Q52" i="51"/>
  <c r="P52" i="51"/>
  <c r="O52" i="51"/>
  <c r="N52" i="51"/>
  <c r="S51" i="51"/>
  <c r="Q51" i="51"/>
  <c r="P51" i="51"/>
  <c r="O51" i="51"/>
  <c r="N51" i="51"/>
  <c r="Q50" i="51"/>
  <c r="P50" i="51"/>
  <c r="O50" i="51"/>
  <c r="N50" i="51"/>
  <c r="S49" i="51"/>
  <c r="Q49" i="51"/>
  <c r="P49" i="51"/>
  <c r="O49" i="51"/>
  <c r="N49" i="51"/>
  <c r="S48" i="51"/>
  <c r="Q48" i="51"/>
  <c r="P48" i="51"/>
  <c r="O48" i="51"/>
  <c r="N48" i="51"/>
  <c r="S47" i="51"/>
  <c r="Q47" i="51"/>
  <c r="P47" i="51"/>
  <c r="O47" i="51"/>
  <c r="N47" i="51"/>
  <c r="S46" i="51"/>
  <c r="Q46" i="51"/>
  <c r="P46" i="51"/>
  <c r="O46" i="51"/>
  <c r="N46" i="51"/>
  <c r="Q45" i="51"/>
  <c r="P45" i="51"/>
  <c r="O45" i="51"/>
  <c r="N45" i="51"/>
  <c r="S44" i="51"/>
  <c r="Q44" i="51"/>
  <c r="P44" i="51"/>
  <c r="O44" i="51"/>
  <c r="N44" i="51"/>
  <c r="S49" i="52"/>
  <c r="Q49" i="52"/>
  <c r="P49" i="52"/>
  <c r="O49" i="52"/>
  <c r="N49" i="52"/>
  <c r="S48" i="52"/>
  <c r="Q48" i="52"/>
  <c r="P48" i="52"/>
  <c r="O48" i="52"/>
  <c r="N48" i="52"/>
  <c r="S47" i="52"/>
  <c r="Q47" i="52"/>
  <c r="P47" i="52"/>
  <c r="O47" i="52"/>
  <c r="N47" i="52"/>
  <c r="S46" i="52"/>
  <c r="Q46" i="52"/>
  <c r="P46" i="52"/>
  <c r="O46" i="52"/>
  <c r="N46" i="52"/>
  <c r="S45" i="52"/>
  <c r="Q45" i="52"/>
  <c r="P45" i="52"/>
  <c r="O45" i="52"/>
  <c r="N45" i="52"/>
  <c r="S44" i="52"/>
  <c r="Q44" i="52"/>
  <c r="P44" i="52"/>
  <c r="O44" i="52"/>
  <c r="N44" i="52"/>
  <c r="Q43" i="52"/>
  <c r="P43" i="52"/>
  <c r="O43" i="52"/>
  <c r="N43" i="52"/>
  <c r="S42" i="52"/>
  <c r="Q42" i="52"/>
  <c r="P42" i="52"/>
  <c r="O42" i="52"/>
  <c r="N42" i="52"/>
  <c r="Q41" i="52"/>
  <c r="P41" i="52"/>
  <c r="O41" i="52"/>
  <c r="N41" i="52"/>
  <c r="Q40" i="52"/>
  <c r="P40" i="52"/>
  <c r="O40" i="52"/>
  <c r="N40" i="52"/>
  <c r="Q39" i="52"/>
  <c r="P39" i="52"/>
  <c r="O39" i="52"/>
  <c r="N39" i="52"/>
  <c r="S38" i="52"/>
  <c r="Q38" i="52"/>
  <c r="P38" i="52"/>
  <c r="O38" i="52"/>
  <c r="N38" i="52"/>
  <c r="Q37" i="52"/>
  <c r="P37" i="52"/>
  <c r="O37" i="52"/>
  <c r="N37" i="52"/>
  <c r="S36" i="52"/>
  <c r="Q36" i="52"/>
  <c r="P36" i="52"/>
  <c r="O36" i="52"/>
  <c r="N36" i="52"/>
  <c r="S35" i="52"/>
  <c r="Q35" i="52"/>
  <c r="P35" i="52"/>
  <c r="O35" i="52"/>
  <c r="N35" i="52"/>
  <c r="S34" i="52"/>
  <c r="Q34" i="52"/>
  <c r="P34" i="52"/>
  <c r="O34" i="52"/>
  <c r="N34" i="52"/>
  <c r="S33" i="52"/>
  <c r="Q33" i="52"/>
  <c r="P33" i="52"/>
  <c r="O33" i="52"/>
  <c r="N33" i="52"/>
  <c r="Q32" i="52"/>
  <c r="P32" i="52"/>
  <c r="O32" i="52"/>
  <c r="N32" i="52"/>
  <c r="S31" i="52"/>
  <c r="Q31" i="52"/>
  <c r="P31" i="52"/>
  <c r="O31" i="52"/>
  <c r="N31" i="52"/>
  <c r="S104" i="52"/>
  <c r="Q104" i="52"/>
  <c r="P104" i="52"/>
  <c r="O104" i="52"/>
  <c r="N104" i="52"/>
  <c r="S103" i="52"/>
  <c r="Q103" i="52"/>
  <c r="P103" i="52"/>
  <c r="O103" i="52"/>
  <c r="N103" i="52"/>
  <c r="S102" i="52"/>
  <c r="Q102" i="52"/>
  <c r="P102" i="52"/>
  <c r="O102" i="52"/>
  <c r="N102" i="52"/>
  <c r="Q101" i="52"/>
  <c r="P101" i="52"/>
  <c r="O101" i="52"/>
  <c r="N101" i="52"/>
  <c r="Q100" i="52"/>
  <c r="P100" i="52"/>
  <c r="O100" i="52"/>
  <c r="N100" i="52"/>
  <c r="Q99" i="52"/>
  <c r="P99" i="52"/>
  <c r="O99" i="52"/>
  <c r="N99" i="52"/>
  <c r="Q98" i="52"/>
  <c r="O98" i="52"/>
  <c r="N98" i="52"/>
  <c r="S97" i="52"/>
  <c r="Q97" i="52"/>
  <c r="P97" i="52"/>
  <c r="O97" i="52"/>
  <c r="N97" i="52"/>
  <c r="Q96" i="52"/>
  <c r="P96" i="52"/>
  <c r="O96" i="52"/>
  <c r="N96" i="52"/>
  <c r="Q95" i="52"/>
  <c r="P95" i="52"/>
  <c r="O95" i="52"/>
  <c r="N95" i="52"/>
  <c r="Q94" i="52"/>
  <c r="P94" i="52"/>
  <c r="O94" i="52"/>
  <c r="N94" i="52"/>
  <c r="S93" i="52"/>
  <c r="Q93" i="52"/>
  <c r="P93" i="52"/>
  <c r="O93" i="52"/>
  <c r="N93" i="52"/>
  <c r="Q92" i="52"/>
  <c r="P92" i="52"/>
  <c r="O92" i="52"/>
  <c r="N92" i="52"/>
  <c r="S91" i="52"/>
  <c r="Q91" i="52"/>
  <c r="P91" i="52"/>
  <c r="O91" i="52"/>
  <c r="N91" i="52"/>
  <c r="S90" i="52"/>
  <c r="Q90" i="52"/>
  <c r="P90" i="52"/>
  <c r="O90" i="52"/>
  <c r="N90" i="52"/>
  <c r="S89" i="52"/>
  <c r="Q89" i="52"/>
  <c r="P89" i="52"/>
  <c r="O89" i="52"/>
  <c r="N89" i="52"/>
  <c r="S88" i="52"/>
  <c r="Q88" i="52"/>
  <c r="P88" i="52"/>
  <c r="O88" i="52"/>
  <c r="N88" i="52"/>
  <c r="Q87" i="52"/>
  <c r="P87" i="52"/>
  <c r="O87" i="52"/>
  <c r="N87" i="52"/>
  <c r="S86" i="52"/>
  <c r="Q86" i="52"/>
  <c r="P86" i="52"/>
  <c r="O86" i="52"/>
  <c r="N86" i="52"/>
  <c r="P83" i="52"/>
  <c r="S95" i="52" s="1"/>
  <c r="P82" i="52"/>
  <c r="P81" i="52"/>
  <c r="S100" i="52" s="1"/>
  <c r="F17" i="52"/>
  <c r="E17" i="52"/>
  <c r="D17" i="52"/>
  <c r="C17" i="52"/>
  <c r="B17" i="52"/>
  <c r="S466" i="53" l="1"/>
  <c r="B484" i="53"/>
  <c r="AB170" i="52"/>
  <c r="AA170" i="52"/>
  <c r="AD170" i="52"/>
  <c r="Z170" i="52"/>
  <c r="AC170" i="52"/>
  <c r="AB154" i="52"/>
  <c r="AA154" i="52"/>
  <c r="AD154" i="52"/>
  <c r="Z154" i="52"/>
  <c r="AC154" i="52"/>
  <c r="AB166" i="52"/>
  <c r="AA166" i="52"/>
  <c r="AD166" i="52"/>
  <c r="Z166" i="52"/>
  <c r="AC166" i="52"/>
  <c r="AB178" i="52"/>
  <c r="AA178" i="52"/>
  <c r="AD178" i="52"/>
  <c r="Z178" i="52"/>
  <c r="AC178" i="52"/>
  <c r="AB190" i="52"/>
  <c r="AA190" i="52"/>
  <c r="AD190" i="52"/>
  <c r="Z190" i="52"/>
  <c r="AC190" i="52"/>
  <c r="AB198" i="52"/>
  <c r="AA198" i="52"/>
  <c r="AD198" i="52"/>
  <c r="Z198" i="52"/>
  <c r="AC198" i="52"/>
  <c r="AB206" i="52"/>
  <c r="AA206" i="52"/>
  <c r="AD206" i="52"/>
  <c r="Z206" i="52"/>
  <c r="AC206" i="52"/>
  <c r="AA151" i="52"/>
  <c r="AD151" i="52"/>
  <c r="Z151" i="52"/>
  <c r="AC151" i="52"/>
  <c r="AB151" i="52"/>
  <c r="AA155" i="52"/>
  <c r="AD155" i="52"/>
  <c r="Z155" i="52"/>
  <c r="AC155" i="52"/>
  <c r="AB155" i="52"/>
  <c r="AA159" i="52"/>
  <c r="AD159" i="52"/>
  <c r="Z159" i="52"/>
  <c r="AC159" i="52"/>
  <c r="AB159" i="52"/>
  <c r="AA163" i="52"/>
  <c r="AD163" i="52"/>
  <c r="Z163" i="52"/>
  <c r="AC163" i="52"/>
  <c r="AB163" i="52"/>
  <c r="AA167" i="52"/>
  <c r="AD167" i="52"/>
  <c r="Z167" i="52"/>
  <c r="AC167" i="52"/>
  <c r="AB167" i="52"/>
  <c r="AA171" i="52"/>
  <c r="AD171" i="52"/>
  <c r="Z171" i="52"/>
  <c r="AC171" i="52"/>
  <c r="AB171" i="52"/>
  <c r="AA175" i="52"/>
  <c r="AD175" i="52"/>
  <c r="Z175" i="52"/>
  <c r="AC175" i="52"/>
  <c r="AB175" i="52"/>
  <c r="AA179" i="52"/>
  <c r="AD179" i="52"/>
  <c r="Z179" i="52"/>
  <c r="AC179" i="52"/>
  <c r="AB179" i="52"/>
  <c r="AA183" i="52"/>
  <c r="AD183" i="52"/>
  <c r="Z183" i="52"/>
  <c r="AC183" i="52"/>
  <c r="AB183" i="52"/>
  <c r="AA191" i="52"/>
  <c r="AD191" i="52"/>
  <c r="Z191" i="52"/>
  <c r="AC191" i="52"/>
  <c r="AB191" i="52"/>
  <c r="AA195" i="52"/>
  <c r="AD195" i="52"/>
  <c r="Z195" i="52"/>
  <c r="AC195" i="52"/>
  <c r="AB195" i="52"/>
  <c r="AA199" i="52"/>
  <c r="AD199" i="52"/>
  <c r="Z199" i="52"/>
  <c r="AC199" i="52"/>
  <c r="AB199" i="52"/>
  <c r="AA203" i="52"/>
  <c r="AD203" i="52"/>
  <c r="Z203" i="52"/>
  <c r="AC203" i="52"/>
  <c r="AB203" i="52"/>
  <c r="AA207" i="52"/>
  <c r="AD207" i="52"/>
  <c r="Z207" i="52"/>
  <c r="AC207" i="52"/>
  <c r="AB207" i="52"/>
  <c r="AB150" i="52"/>
  <c r="AA150" i="52"/>
  <c r="AD150" i="52"/>
  <c r="Z150" i="52"/>
  <c r="AC150" i="52"/>
  <c r="AB162" i="52"/>
  <c r="AA162" i="52"/>
  <c r="AD162" i="52"/>
  <c r="Z162" i="52"/>
  <c r="AC162" i="52"/>
  <c r="AB174" i="52"/>
  <c r="AA174" i="52"/>
  <c r="AD174" i="52"/>
  <c r="Z174" i="52"/>
  <c r="AC174" i="52"/>
  <c r="AB182" i="52"/>
  <c r="AA182" i="52"/>
  <c r="AD182" i="52"/>
  <c r="Z182" i="52"/>
  <c r="AC182" i="52"/>
  <c r="AB194" i="52"/>
  <c r="AA194" i="52"/>
  <c r="AD194" i="52"/>
  <c r="Z194" i="52"/>
  <c r="AC194" i="52"/>
  <c r="AB202" i="52"/>
  <c r="AA202" i="52"/>
  <c r="AD202" i="52"/>
  <c r="Z202" i="52"/>
  <c r="AC202" i="52"/>
  <c r="AD152" i="52"/>
  <c r="Z152" i="52"/>
  <c r="AC152" i="52"/>
  <c r="AB152" i="52"/>
  <c r="AA152" i="52"/>
  <c r="AD156" i="52"/>
  <c r="Z156" i="52"/>
  <c r="AC156" i="52"/>
  <c r="AB156" i="52"/>
  <c r="AA156" i="52"/>
  <c r="AD160" i="52"/>
  <c r="Z160" i="52"/>
  <c r="AC160" i="52"/>
  <c r="AB160" i="52"/>
  <c r="AA160" i="52"/>
  <c r="AD164" i="52"/>
  <c r="Z164" i="52"/>
  <c r="AC164" i="52"/>
  <c r="AB164" i="52"/>
  <c r="AA164" i="52"/>
  <c r="AD168" i="52"/>
  <c r="Z168" i="52"/>
  <c r="AC168" i="52"/>
  <c r="AB168" i="52"/>
  <c r="AA168" i="52"/>
  <c r="AD172" i="52"/>
  <c r="Z172" i="52"/>
  <c r="AC172" i="52"/>
  <c r="AB172" i="52"/>
  <c r="AA172" i="52"/>
  <c r="AD176" i="52"/>
  <c r="Z176" i="52"/>
  <c r="AC176" i="52"/>
  <c r="AB176" i="52"/>
  <c r="AA176" i="52"/>
  <c r="AD180" i="52"/>
  <c r="Z180" i="52"/>
  <c r="AC180" i="52"/>
  <c r="AB180" i="52"/>
  <c r="AA180" i="52"/>
  <c r="AD184" i="52"/>
  <c r="Z184" i="52"/>
  <c r="AC184" i="52"/>
  <c r="AB184" i="52"/>
  <c r="AA184" i="52"/>
  <c r="AD192" i="52"/>
  <c r="Z192" i="52"/>
  <c r="AC192" i="52"/>
  <c r="AB192" i="52"/>
  <c r="AA192" i="52"/>
  <c r="AD196" i="52"/>
  <c r="Z196" i="52"/>
  <c r="AC196" i="52"/>
  <c r="AB196" i="52"/>
  <c r="AA196" i="52"/>
  <c r="AD200" i="52"/>
  <c r="Z200" i="52"/>
  <c r="AC200" i="52"/>
  <c r="AB200" i="52"/>
  <c r="AA200" i="52"/>
  <c r="AD204" i="52"/>
  <c r="Z204" i="52"/>
  <c r="AC204" i="52"/>
  <c r="AB204" i="52"/>
  <c r="AA204" i="52"/>
  <c r="AD208" i="52"/>
  <c r="Z208" i="52"/>
  <c r="AC208" i="52"/>
  <c r="AB208" i="52"/>
  <c r="AA208" i="52"/>
  <c r="AB158" i="52"/>
  <c r="AA158" i="52"/>
  <c r="AD158" i="52"/>
  <c r="Z158" i="52"/>
  <c r="AC158" i="52"/>
  <c r="AC149" i="52"/>
  <c r="AB149" i="52"/>
  <c r="AA149" i="52"/>
  <c r="AD149" i="52"/>
  <c r="Z149" i="52"/>
  <c r="AC153" i="52"/>
  <c r="AB153" i="52"/>
  <c r="AA153" i="52"/>
  <c r="Z153" i="52"/>
  <c r="AD153" i="52"/>
  <c r="AC157" i="52"/>
  <c r="AB157" i="52"/>
  <c r="AA157" i="52"/>
  <c r="AD157" i="52"/>
  <c r="Z157" i="52"/>
  <c r="AC161" i="52"/>
  <c r="AB161" i="52"/>
  <c r="AA161" i="52"/>
  <c r="Z161" i="52"/>
  <c r="AD161" i="52"/>
  <c r="AC165" i="52"/>
  <c r="AB165" i="52"/>
  <c r="AA165" i="52"/>
  <c r="AD165" i="52"/>
  <c r="Z165" i="52"/>
  <c r="AC169" i="52"/>
  <c r="AB169" i="52"/>
  <c r="AA169" i="52"/>
  <c r="Z169" i="52"/>
  <c r="AD169" i="52"/>
  <c r="AC173" i="52"/>
  <c r="AB173" i="52"/>
  <c r="AA173" i="52"/>
  <c r="AD173" i="52"/>
  <c r="Z173" i="52"/>
  <c r="AC177" i="52"/>
  <c r="AB177" i="52"/>
  <c r="AA177" i="52"/>
  <c r="Z177" i="52"/>
  <c r="AD177" i="52"/>
  <c r="AC181" i="52"/>
  <c r="AB181" i="52"/>
  <c r="AA181" i="52"/>
  <c r="AD181" i="52"/>
  <c r="Z181" i="52"/>
  <c r="AC189" i="52"/>
  <c r="AB189" i="52"/>
  <c r="AA189" i="52"/>
  <c r="Z189" i="52"/>
  <c r="AD189" i="52"/>
  <c r="AC193" i="52"/>
  <c r="AB193" i="52"/>
  <c r="AA193" i="52"/>
  <c r="AD193" i="52"/>
  <c r="Z193" i="52"/>
  <c r="AC197" i="52"/>
  <c r="AB197" i="52"/>
  <c r="AA197" i="52"/>
  <c r="Z197" i="52"/>
  <c r="AD197" i="52"/>
  <c r="AC201" i="52"/>
  <c r="AB201" i="52"/>
  <c r="AA201" i="52"/>
  <c r="AD201" i="52"/>
  <c r="Z201" i="52"/>
  <c r="AC205" i="52"/>
  <c r="AB205" i="52"/>
  <c r="AA205" i="52"/>
  <c r="Z205" i="52"/>
  <c r="AD205" i="52"/>
  <c r="S75" i="44"/>
  <c r="C75" i="44" s="1"/>
  <c r="T191" i="51" l="1"/>
  <c r="R229" i="51"/>
  <c r="T229" i="51" s="1"/>
  <c r="R47" i="51"/>
  <c r="T47" i="51" s="1"/>
  <c r="R52" i="51"/>
  <c r="R271" i="51"/>
  <c r="T271" i="51" s="1"/>
  <c r="J27" i="37"/>
  <c r="R237" i="51"/>
  <c r="R50" i="51"/>
  <c r="T50" i="51" s="1"/>
  <c r="R51" i="51"/>
  <c r="T51" i="51" s="1"/>
  <c r="R56" i="51"/>
  <c r="T56" i="51" s="1"/>
  <c r="R57" i="51"/>
  <c r="T57" i="51" s="1"/>
  <c r="T284" i="51"/>
  <c r="V21" i="44"/>
  <c r="T61" i="51"/>
  <c r="T190" i="51"/>
  <c r="U95" i="38"/>
  <c r="U106" i="38"/>
  <c r="R87" i="27"/>
  <c r="R89" i="27"/>
  <c r="W99" i="53"/>
  <c r="B101" i="53" s="1"/>
  <c r="AC99" i="53"/>
  <c r="B99" i="53" s="1"/>
  <c r="X99" i="53"/>
  <c r="C101" i="53" s="1"/>
  <c r="AD99" i="53"/>
  <c r="C99" i="53" s="1"/>
  <c r="AA99" i="53"/>
  <c r="F101" i="53" s="1"/>
  <c r="AG99" i="53"/>
  <c r="F99" i="53" s="1"/>
  <c r="AA89" i="53"/>
  <c r="F89" i="53" s="1"/>
  <c r="AF99" i="53"/>
  <c r="E99" i="53" s="1"/>
  <c r="Z99" i="53"/>
  <c r="E101" i="53" s="1"/>
  <c r="Y99" i="53"/>
  <c r="D101" i="53" s="1"/>
  <c r="AE99" i="53"/>
  <c r="D99" i="53" s="1"/>
  <c r="Q237" i="52"/>
  <c r="C237" i="52" s="1"/>
  <c r="R237" i="52"/>
  <c r="D237" i="52" s="1"/>
  <c r="T237" i="52"/>
  <c r="P237" i="52"/>
  <c r="B237" i="52" s="1"/>
  <c r="S237" i="52"/>
  <c r="Q233" i="52"/>
  <c r="R101" i="52"/>
  <c r="T101" i="52" s="1"/>
  <c r="Q142" i="52"/>
  <c r="C142" i="52" s="1"/>
  <c r="T142" i="52"/>
  <c r="F142" i="52" s="1"/>
  <c r="P142" i="52"/>
  <c r="B142" i="52" s="1"/>
  <c r="R142" i="52"/>
  <c r="D142" i="52" s="1"/>
  <c r="S142" i="52"/>
  <c r="E142" i="52" s="1"/>
  <c r="Q260" i="52"/>
  <c r="O265" i="52" s="1"/>
  <c r="R265" i="52" s="1"/>
  <c r="D265" i="52" s="1"/>
  <c r="R341" i="43"/>
  <c r="R151" i="43"/>
  <c r="T151" i="43" s="1"/>
  <c r="R156" i="43"/>
  <c r="T163" i="43"/>
  <c r="T165" i="43"/>
  <c r="T153" i="43"/>
  <c r="R45" i="51"/>
  <c r="T45" i="51" s="1"/>
  <c r="T49" i="51"/>
  <c r="R125" i="51"/>
  <c r="R242" i="51"/>
  <c r="T242" i="51" s="1"/>
  <c r="T273" i="51"/>
  <c r="S101" i="38"/>
  <c r="R49" i="17"/>
  <c r="T49" i="17" s="1"/>
  <c r="R50" i="17"/>
  <c r="T50" i="17" s="1"/>
  <c r="R55" i="17"/>
  <c r="T55" i="17" s="1"/>
  <c r="R56" i="17"/>
  <c r="T56" i="17" s="1"/>
  <c r="R85" i="27"/>
  <c r="T85" i="27" s="1"/>
  <c r="R86" i="27"/>
  <c r="T86" i="27" s="1"/>
  <c r="H17" i="37"/>
  <c r="J17" i="37" s="1"/>
  <c r="H23" i="37"/>
  <c r="J23" i="37" s="1"/>
  <c r="H24" i="37"/>
  <c r="J24" i="37" s="1"/>
  <c r="R275" i="51"/>
  <c r="T275" i="51" s="1"/>
  <c r="R278" i="51"/>
  <c r="R149" i="43"/>
  <c r="T149" i="43" s="1"/>
  <c r="R155" i="43"/>
  <c r="T155" i="43" s="1"/>
  <c r="R160" i="43"/>
  <c r="T160" i="43" s="1"/>
  <c r="R161" i="43"/>
  <c r="T161" i="43" s="1"/>
  <c r="V22" i="44"/>
  <c r="S60" i="38"/>
  <c r="U65" i="38"/>
  <c r="T60" i="17"/>
  <c r="R82" i="27"/>
  <c r="T82" i="27" s="1"/>
  <c r="J28" i="37"/>
  <c r="T60" i="51"/>
  <c r="R118" i="51"/>
  <c r="T118" i="51" s="1"/>
  <c r="T131" i="51"/>
  <c r="R189" i="51"/>
  <c r="T189" i="51" s="1"/>
  <c r="R194" i="51"/>
  <c r="T201" i="51"/>
  <c r="T203" i="51"/>
  <c r="T283" i="51"/>
  <c r="T164" i="43"/>
  <c r="R334" i="43"/>
  <c r="T334" i="43" s="1"/>
  <c r="T20" i="44"/>
  <c r="V20" i="44" s="1"/>
  <c r="T25" i="44"/>
  <c r="V34" i="44"/>
  <c r="U102" i="38"/>
  <c r="U107" i="38"/>
  <c r="T83" i="27"/>
  <c r="T90" i="27"/>
  <c r="T95" i="27"/>
  <c r="H12" i="37"/>
  <c r="J12" i="37" s="1"/>
  <c r="R196" i="51"/>
  <c r="R238" i="51"/>
  <c r="R269" i="51"/>
  <c r="T269" i="51" s="1"/>
  <c r="T27" i="44"/>
  <c r="S51" i="38"/>
  <c r="U51" i="38" s="1"/>
  <c r="S56" i="38"/>
  <c r="U56" i="38" s="1"/>
  <c r="S57" i="38"/>
  <c r="U57" i="38" s="1"/>
  <c r="S92" i="38"/>
  <c r="U92" i="38" s="1"/>
  <c r="R46" i="17"/>
  <c r="T46" i="17" s="1"/>
  <c r="R91" i="27"/>
  <c r="T91" i="27" s="1"/>
  <c r="R92" i="27"/>
  <c r="T92" i="27" s="1"/>
  <c r="H14" i="37"/>
  <c r="J14" i="37" s="1"/>
  <c r="H19" i="37"/>
  <c r="H25" i="37"/>
  <c r="J25" i="37" s="1"/>
  <c r="R54" i="51"/>
  <c r="R116" i="51"/>
  <c r="T116" i="51" s="1"/>
  <c r="R121" i="51"/>
  <c r="T121" i="51" s="1"/>
  <c r="R122" i="51"/>
  <c r="T122" i="51" s="1"/>
  <c r="T130" i="51"/>
  <c r="R187" i="51"/>
  <c r="T187" i="51" s="1"/>
  <c r="R193" i="51"/>
  <c r="T193" i="51" s="1"/>
  <c r="R198" i="51"/>
  <c r="T198" i="51" s="1"/>
  <c r="R199" i="51"/>
  <c r="T199" i="51" s="1"/>
  <c r="T202" i="51"/>
  <c r="T233" i="51"/>
  <c r="R234" i="51"/>
  <c r="T234" i="51" s="1"/>
  <c r="R235" i="51"/>
  <c r="T235" i="51" s="1"/>
  <c r="T239" i="51"/>
  <c r="R241" i="51"/>
  <c r="T241" i="51" s="1"/>
  <c r="R274" i="51"/>
  <c r="T274" i="51" s="1"/>
  <c r="T152" i="43"/>
  <c r="R158" i="43"/>
  <c r="R332" i="43"/>
  <c r="T332" i="43" s="1"/>
  <c r="R337" i="43"/>
  <c r="T337" i="43" s="1"/>
  <c r="R338" i="43"/>
  <c r="T338" i="43" s="1"/>
  <c r="T346" i="43"/>
  <c r="T18" i="44"/>
  <c r="V18" i="44" s="1"/>
  <c r="T24" i="44"/>
  <c r="V24" i="44" s="1"/>
  <c r="T29" i="44"/>
  <c r="V29" i="44" s="1"/>
  <c r="T30" i="44"/>
  <c r="V30" i="44" s="1"/>
  <c r="V33" i="44"/>
  <c r="S53" i="38"/>
  <c r="U53" i="38" s="1"/>
  <c r="U66" i="38"/>
  <c r="S94" i="38"/>
  <c r="U94" i="38" s="1"/>
  <c r="S105" i="38"/>
  <c r="U105" i="38" s="1"/>
  <c r="R52" i="17"/>
  <c r="R53" i="17"/>
  <c r="R88" i="27"/>
  <c r="T96" i="27"/>
  <c r="H20" i="37"/>
  <c r="H21" i="37"/>
  <c r="R53" i="51"/>
  <c r="R58" i="51"/>
  <c r="T58" i="51" s="1"/>
  <c r="R123" i="51"/>
  <c r="R127" i="51"/>
  <c r="T127" i="51" s="1"/>
  <c r="R128" i="51"/>
  <c r="T128" i="51" s="1"/>
  <c r="R195" i="51"/>
  <c r="R200" i="51"/>
  <c r="T200" i="51" s="1"/>
  <c r="R231" i="51"/>
  <c r="T231" i="51" s="1"/>
  <c r="R240" i="51"/>
  <c r="T240" i="51" s="1"/>
  <c r="R276" i="51"/>
  <c r="R280" i="51"/>
  <c r="T280" i="51" s="1"/>
  <c r="R281" i="51"/>
  <c r="T281" i="51" s="1"/>
  <c r="R157" i="43"/>
  <c r="R162" i="43"/>
  <c r="T162" i="43" s="1"/>
  <c r="R339" i="43"/>
  <c r="R343" i="43"/>
  <c r="T343" i="43" s="1"/>
  <c r="R344" i="43"/>
  <c r="T344" i="43" s="1"/>
  <c r="T26" i="44"/>
  <c r="T31" i="44"/>
  <c r="V31" i="44" s="1"/>
  <c r="S58" i="38"/>
  <c r="S62" i="38"/>
  <c r="U62" i="38" s="1"/>
  <c r="S63" i="38"/>
  <c r="U63" i="38" s="1"/>
  <c r="S97" i="38"/>
  <c r="U97" i="38" s="1"/>
  <c r="S98" i="38"/>
  <c r="U98" i="38" s="1"/>
  <c r="R44" i="17"/>
  <c r="T44" i="17" s="1"/>
  <c r="T47" i="17"/>
  <c r="T59" i="17"/>
  <c r="R80" i="27"/>
  <c r="T80" i="27" s="1"/>
  <c r="T94" i="27"/>
  <c r="H18" i="37"/>
  <c r="J18" i="37" s="1"/>
  <c r="T48" i="51"/>
  <c r="T55" i="51"/>
  <c r="T120" i="51"/>
  <c r="R124" i="51"/>
  <c r="R129" i="51"/>
  <c r="T129" i="51" s="1"/>
  <c r="T132" i="51"/>
  <c r="R192" i="51"/>
  <c r="T192" i="51" s="1"/>
  <c r="T197" i="51"/>
  <c r="R236" i="51"/>
  <c r="T244" i="51"/>
  <c r="T272" i="51"/>
  <c r="R277" i="51"/>
  <c r="R282" i="51"/>
  <c r="T282" i="51" s="1"/>
  <c r="T285" i="51"/>
  <c r="R154" i="43"/>
  <c r="T154" i="43" s="1"/>
  <c r="T159" i="43"/>
  <c r="T336" i="43"/>
  <c r="R340" i="43"/>
  <c r="R345" i="43"/>
  <c r="T345" i="43" s="1"/>
  <c r="T348" i="43"/>
  <c r="T23" i="44"/>
  <c r="V23" i="44" s="1"/>
  <c r="V28" i="44"/>
  <c r="U55" i="38"/>
  <c r="S59" i="38"/>
  <c r="S64" i="38"/>
  <c r="U64" i="38" s="1"/>
  <c r="U67" i="38"/>
  <c r="S99" i="38"/>
  <c r="S103" i="38"/>
  <c r="U103" i="38" s="1"/>
  <c r="S104" i="38"/>
  <c r="U104" i="38" s="1"/>
  <c r="R51" i="17"/>
  <c r="T58" i="17"/>
  <c r="R93" i="27"/>
  <c r="T93" i="27" s="1"/>
  <c r="J26" i="37"/>
  <c r="T59" i="51"/>
  <c r="T119" i="51"/>
  <c r="T126" i="51"/>
  <c r="T232" i="51"/>
  <c r="T243" i="51"/>
  <c r="T245" i="51"/>
  <c r="T279" i="51"/>
  <c r="T335" i="43"/>
  <c r="T342" i="43"/>
  <c r="T347" i="43"/>
  <c r="V32" i="44"/>
  <c r="U54" i="38"/>
  <c r="U61" i="38"/>
  <c r="U96" i="38"/>
  <c r="S100" i="38"/>
  <c r="U108" i="38"/>
  <c r="R57" i="17"/>
  <c r="T57" i="17" s="1"/>
  <c r="U508" i="53"/>
  <c r="U643" i="53"/>
  <c r="U684" i="53"/>
  <c r="W89" i="53"/>
  <c r="B89" i="53" s="1"/>
  <c r="D393" i="53"/>
  <c r="U365" i="53"/>
  <c r="U323" i="53"/>
  <c r="S263" i="53"/>
  <c r="U263" i="53" s="1"/>
  <c r="S264" i="53"/>
  <c r="U264" i="53" s="1"/>
  <c r="S218" i="53"/>
  <c r="U218" i="53" s="1"/>
  <c r="S262" i="53"/>
  <c r="U262" i="53" s="1"/>
  <c r="D286" i="53"/>
  <c r="C286" i="53"/>
  <c r="S220" i="53"/>
  <c r="U220" i="53" s="1"/>
  <c r="C121" i="53"/>
  <c r="S219" i="53"/>
  <c r="U219" i="53" s="1"/>
  <c r="F131" i="53"/>
  <c r="D121" i="53"/>
  <c r="D131" i="53"/>
  <c r="E121" i="53"/>
  <c r="X83" i="53"/>
  <c r="C83" i="53" s="1"/>
  <c r="Y83" i="53"/>
  <c r="D83" i="53" s="1"/>
  <c r="Z89" i="53"/>
  <c r="E89" i="53" s="1"/>
  <c r="S64" i="53"/>
  <c r="U64" i="53" s="1"/>
  <c r="W83" i="53"/>
  <c r="B83" i="53" s="1"/>
  <c r="X89" i="53"/>
  <c r="C89" i="53" s="1"/>
  <c r="Z83" i="53"/>
  <c r="E83" i="53" s="1"/>
  <c r="AA83" i="53"/>
  <c r="F83" i="53" s="1"/>
  <c r="Y89" i="53"/>
  <c r="D89" i="53" s="1"/>
  <c r="U27" i="53"/>
  <c r="S28" i="53"/>
  <c r="U28" i="53" s="1"/>
  <c r="S29" i="53"/>
  <c r="U29" i="53" s="1"/>
  <c r="U32" i="53"/>
  <c r="U20" i="53"/>
  <c r="U21" i="53"/>
  <c r="S23" i="53"/>
  <c r="U23" i="53" s="1"/>
  <c r="S17" i="53"/>
  <c r="U17" i="53" s="1"/>
  <c r="S24" i="53"/>
  <c r="S25" i="53"/>
  <c r="U25" i="53" s="1"/>
  <c r="S26" i="53"/>
  <c r="U26" i="53" s="1"/>
  <c r="S62" i="53"/>
  <c r="U62" i="53" s="1"/>
  <c r="S63" i="53"/>
  <c r="U63" i="53" s="1"/>
  <c r="S22" i="53"/>
  <c r="U22" i="53" s="1"/>
  <c r="S19" i="53"/>
  <c r="U19" i="53" s="1"/>
  <c r="S30" i="53"/>
  <c r="U30" i="53" s="1"/>
  <c r="U31" i="53"/>
  <c r="U33" i="53"/>
  <c r="T24" i="53"/>
  <c r="R92" i="52"/>
  <c r="T92" i="52" s="1"/>
  <c r="R93" i="52"/>
  <c r="T93" i="52" s="1"/>
  <c r="R43" i="52"/>
  <c r="T43" i="52" s="1"/>
  <c r="R44" i="52"/>
  <c r="T44" i="52" s="1"/>
  <c r="R94" i="52"/>
  <c r="R95" i="52"/>
  <c r="T95" i="52" s="1"/>
  <c r="R96" i="52"/>
  <c r="T96" i="52" s="1"/>
  <c r="R32" i="52"/>
  <c r="T32" i="52" s="1"/>
  <c r="R37" i="52"/>
  <c r="T37" i="52" s="1"/>
  <c r="T91" i="52"/>
  <c r="R98" i="52"/>
  <c r="T98" i="52" s="1"/>
  <c r="R99" i="52"/>
  <c r="T99" i="52" s="1"/>
  <c r="T103" i="52"/>
  <c r="R34" i="52"/>
  <c r="T34" i="52" s="1"/>
  <c r="R89" i="52"/>
  <c r="T89" i="52" s="1"/>
  <c r="R100" i="52"/>
  <c r="T100" i="52" s="1"/>
  <c r="R39" i="52"/>
  <c r="R41" i="52"/>
  <c r="T36" i="52"/>
  <c r="S94" i="52"/>
  <c r="R87" i="52"/>
  <c r="T87" i="52" s="1"/>
  <c r="T90" i="52"/>
  <c r="T97" i="52"/>
  <c r="R40" i="52"/>
  <c r="R45" i="52"/>
  <c r="T45" i="52" s="1"/>
  <c r="T48" i="52"/>
  <c r="T102" i="52"/>
  <c r="T35" i="52"/>
  <c r="T42" i="52"/>
  <c r="T47" i="52"/>
  <c r="R38" i="52"/>
  <c r="T38" i="52" s="1"/>
  <c r="T46" i="52"/>
  <c r="T84" i="27"/>
  <c r="T54" i="17"/>
  <c r="T48" i="17"/>
  <c r="Q265" i="52" l="1"/>
  <c r="C265" i="52" s="1"/>
  <c r="E237" i="52"/>
  <c r="F237" i="52"/>
  <c r="P265" i="52"/>
  <c r="B265" i="52" s="1"/>
  <c r="D123" i="53"/>
  <c r="C123" i="53"/>
  <c r="F133" i="53"/>
  <c r="C131" i="53"/>
  <c r="F132" i="53"/>
  <c r="C122" i="53"/>
  <c r="D132" i="53"/>
  <c r="D122" i="53"/>
  <c r="F121" i="53"/>
  <c r="E123" i="53"/>
  <c r="E131" i="53"/>
  <c r="E122" i="53"/>
  <c r="D133" i="53"/>
  <c r="C133" i="53"/>
  <c r="U24" i="53"/>
  <c r="AB209" i="52"/>
  <c r="AA209" i="52"/>
  <c r="AD209" i="52"/>
  <c r="AB185" i="52"/>
  <c r="Z209" i="52"/>
  <c r="AC209" i="52"/>
  <c r="AD185" i="52"/>
  <c r="AC185" i="52"/>
  <c r="AA185" i="52"/>
  <c r="Z185" i="52"/>
  <c r="T94" i="52"/>
  <c r="S122" i="55"/>
  <c r="T212" i="55"/>
  <c r="U74" i="55"/>
  <c r="S106" i="55"/>
  <c r="R108" i="55"/>
  <c r="U5" i="55"/>
  <c r="S215" i="55"/>
  <c r="T107" i="55"/>
  <c r="S230" i="55"/>
  <c r="R132" i="55"/>
  <c r="S232" i="55"/>
  <c r="U20" i="55"/>
  <c r="S178" i="55"/>
  <c r="U152" i="55"/>
  <c r="S249" i="55"/>
  <c r="U138" i="55"/>
  <c r="T269" i="55"/>
  <c r="R260" i="55"/>
  <c r="T276" i="55"/>
  <c r="R137" i="55"/>
  <c r="R263" i="55"/>
  <c r="S270" i="55"/>
  <c r="R72" i="55"/>
  <c r="S218" i="55"/>
  <c r="T240" i="55"/>
  <c r="S30" i="55"/>
  <c r="U37" i="55"/>
  <c r="U248" i="55"/>
  <c r="R195" i="55"/>
  <c r="T65" i="55"/>
  <c r="U258" i="55"/>
  <c r="S275" i="55"/>
  <c r="U219" i="55"/>
  <c r="S12" i="55"/>
  <c r="S34" i="55"/>
  <c r="U126" i="55"/>
  <c r="R280" i="55"/>
  <c r="U190" i="55"/>
  <c r="R7" i="55"/>
  <c r="S219" i="55"/>
  <c r="T149" i="55"/>
  <c r="U98" i="55"/>
  <c r="S65" i="55"/>
  <c r="R93" i="55"/>
  <c r="R281" i="55"/>
  <c r="R245" i="55"/>
  <c r="S206" i="55"/>
  <c r="R51" i="55"/>
  <c r="T280" i="55"/>
  <c r="T36" i="55"/>
  <c r="S89" i="55"/>
  <c r="U14" i="55"/>
  <c r="R34" i="55"/>
  <c r="T160" i="55"/>
  <c r="S146" i="55"/>
  <c r="U143" i="55"/>
  <c r="R200" i="55"/>
  <c r="U80" i="55"/>
  <c r="S77" i="55"/>
  <c r="S4" i="55"/>
  <c r="U212" i="55"/>
  <c r="R181" i="55"/>
  <c r="R194" i="55"/>
  <c r="S253" i="55"/>
  <c r="S1050" i="53"/>
  <c r="R129" i="55"/>
  <c r="S254" i="55"/>
  <c r="R212" i="55"/>
  <c r="R249" i="55"/>
  <c r="S236" i="55"/>
  <c r="T279" i="55"/>
  <c r="S260" i="55"/>
  <c r="S161" i="55"/>
  <c r="R217" i="55"/>
  <c r="S110" i="55"/>
  <c r="S70" i="55"/>
  <c r="R164" i="55"/>
  <c r="U8" i="55"/>
  <c r="U275" i="55"/>
  <c r="T238" i="55"/>
  <c r="T112" i="55"/>
  <c r="S186" i="55"/>
  <c r="U198" i="55"/>
  <c r="S63" i="55"/>
  <c r="S66" i="55"/>
  <c r="S58" i="55"/>
  <c r="T106" i="55"/>
  <c r="U246" i="55"/>
  <c r="T60" i="55"/>
  <c r="T75" i="55"/>
  <c r="S101" i="55"/>
  <c r="T46" i="55"/>
  <c r="U9" i="55"/>
  <c r="S279" i="55"/>
  <c r="R182" i="55"/>
  <c r="U85" i="55"/>
  <c r="S41" i="55"/>
  <c r="T171" i="55"/>
  <c r="T254" i="55"/>
  <c r="S256" i="55"/>
  <c r="S267" i="55"/>
  <c r="U62" i="55"/>
  <c r="R154" i="55"/>
  <c r="S26" i="55"/>
  <c r="T101" i="55"/>
  <c r="U209" i="55"/>
  <c r="R258" i="55"/>
  <c r="U63" i="55"/>
  <c r="U66" i="55"/>
  <c r="R104" i="55"/>
  <c r="T196" i="55"/>
  <c r="T206" i="55"/>
  <c r="S222" i="55"/>
  <c r="R29" i="55"/>
  <c r="S56" i="55"/>
  <c r="T161" i="55"/>
  <c r="U233" i="55"/>
  <c r="T211" i="55"/>
  <c r="U245" i="55"/>
  <c r="T38" i="55"/>
  <c r="R168" i="55"/>
  <c r="S196" i="55"/>
  <c r="R98" i="55"/>
  <c r="U82" i="55"/>
  <c r="S55" i="55"/>
  <c r="T114" i="55"/>
  <c r="R284" i="55"/>
  <c r="S22" i="55"/>
  <c r="U227" i="55"/>
  <c r="S61" i="55"/>
  <c r="R216" i="55"/>
  <c r="R55" i="55"/>
  <c r="S11" i="55"/>
  <c r="R90" i="55"/>
  <c r="S68" i="55"/>
  <c r="U185" i="55"/>
  <c r="T270" i="55"/>
  <c r="R202" i="55"/>
  <c r="U88" i="55"/>
  <c r="U215" i="55"/>
  <c r="R79" i="55"/>
  <c r="R205" i="55"/>
  <c r="T102" i="55"/>
  <c r="R188" i="55"/>
  <c r="S71" i="55"/>
  <c r="U44" i="55"/>
  <c r="S91" i="55"/>
  <c r="U103" i="55"/>
  <c r="R142" i="55"/>
  <c r="T52" i="55"/>
  <c r="R102" i="55"/>
  <c r="U137" i="55"/>
  <c r="R147" i="55"/>
  <c r="R125" i="55"/>
  <c r="T30" i="55"/>
  <c r="T142" i="55"/>
  <c r="R178" i="55"/>
  <c r="R94" i="55"/>
  <c r="U151" i="55"/>
  <c r="U105" i="55"/>
  <c r="S150" i="55"/>
  <c r="R171" i="55"/>
  <c r="T19" i="55"/>
  <c r="S14" i="55"/>
  <c r="R180" i="55"/>
  <c r="T66" i="55"/>
  <c r="T192" i="55"/>
  <c r="S127" i="55"/>
  <c r="T59" i="55"/>
  <c r="U153" i="55"/>
  <c r="R21" i="55"/>
  <c r="R36" i="55"/>
  <c r="S170" i="55"/>
  <c r="R193" i="55"/>
  <c r="T224" i="55"/>
  <c r="U78" i="55"/>
  <c r="S45" i="55"/>
  <c r="S39" i="55"/>
  <c r="U16" i="55"/>
  <c r="U167" i="55"/>
  <c r="R157" i="55"/>
  <c r="U49" i="55"/>
  <c r="U171" i="55"/>
  <c r="T40" i="55"/>
  <c r="U41" i="55"/>
  <c r="U254" i="55"/>
  <c r="U94" i="55"/>
  <c r="T178" i="55"/>
  <c r="U106" i="55"/>
  <c r="U73" i="55"/>
  <c r="U134" i="55"/>
  <c r="R201" i="55"/>
  <c r="T244" i="55"/>
  <c r="U104" i="55"/>
  <c r="U116" i="55"/>
  <c r="S152" i="55"/>
  <c r="R186" i="55"/>
  <c r="T138" i="55"/>
  <c r="S126" i="55"/>
  <c r="T86" i="55"/>
  <c r="S271" i="55"/>
  <c r="U56" i="55"/>
  <c r="S208" i="55"/>
  <c r="R156" i="55"/>
  <c r="T162" i="55"/>
  <c r="T24" i="55"/>
  <c r="R70" i="55"/>
  <c r="S138" i="55"/>
  <c r="T275" i="55"/>
  <c r="R203" i="55"/>
  <c r="T237" i="55"/>
  <c r="U260" i="55"/>
  <c r="S212" i="55"/>
  <c r="U43" i="55"/>
  <c r="U277" i="55"/>
  <c r="T96" i="55"/>
  <c r="T181" i="55"/>
  <c r="U203" i="55"/>
  <c r="R272" i="55"/>
  <c r="S129" i="55"/>
  <c r="R235" i="55"/>
  <c r="R11" i="55"/>
  <c r="S28" i="55"/>
  <c r="S225" i="55"/>
  <c r="R71" i="55"/>
  <c r="R226" i="55"/>
  <c r="S258" i="55"/>
  <c r="S269" i="55"/>
  <c r="S283" i="55"/>
  <c r="U247" i="55"/>
  <c r="S62" i="55"/>
  <c r="T31" i="55"/>
  <c r="R265" i="55"/>
  <c r="U64" i="55"/>
  <c r="R268" i="55"/>
  <c r="T43" i="55"/>
  <c r="T115" i="55"/>
  <c r="T252" i="55"/>
  <c r="R179" i="55"/>
  <c r="R252" i="55"/>
  <c r="U273" i="55"/>
  <c r="S191" i="55"/>
  <c r="U168" i="55"/>
  <c r="S168" i="55"/>
  <c r="R248" i="55"/>
  <c r="U164" i="55"/>
  <c r="R175" i="55"/>
  <c r="R24" i="55"/>
  <c r="S179" i="55"/>
  <c r="R221" i="55"/>
  <c r="T71" i="55"/>
  <c r="T190" i="55"/>
  <c r="T73" i="55"/>
  <c r="U123" i="55"/>
  <c r="U180" i="55"/>
  <c r="T6" i="55"/>
  <c r="T183" i="55"/>
  <c r="S241" i="55"/>
  <c r="R27" i="55"/>
  <c r="R234" i="55"/>
  <c r="U13" i="55"/>
  <c r="T277" i="55"/>
  <c r="S85" i="55"/>
  <c r="R150" i="55"/>
  <c r="T2" i="55"/>
  <c r="U108" i="55"/>
  <c r="S268" i="55"/>
  <c r="R50" i="55"/>
  <c r="U36" i="55"/>
  <c r="U236" i="55"/>
  <c r="S185" i="55"/>
  <c r="T186" i="55"/>
  <c r="S240" i="55"/>
  <c r="U60" i="55"/>
  <c r="S144" i="55"/>
  <c r="U166" i="55"/>
  <c r="U187" i="55"/>
  <c r="R276" i="55"/>
  <c r="T118" i="55"/>
  <c r="S125" i="55"/>
  <c r="S216" i="55"/>
  <c r="R8" i="55"/>
  <c r="R251" i="55"/>
  <c r="R146" i="55"/>
  <c r="T153" i="55"/>
  <c r="R95" i="55"/>
  <c r="R211" i="55"/>
  <c r="R162" i="55"/>
  <c r="S120" i="55"/>
  <c r="U253" i="55"/>
  <c r="T210" i="55"/>
  <c r="T265" i="55"/>
  <c r="U19" i="55"/>
  <c r="T69" i="55"/>
  <c r="R67" i="55"/>
  <c r="T119" i="55"/>
  <c r="U279" i="55"/>
  <c r="U211" i="55"/>
  <c r="R33" i="55"/>
  <c r="S132" i="55"/>
  <c r="U265" i="55"/>
  <c r="S118" i="55"/>
  <c r="S47" i="55"/>
  <c r="T247" i="55"/>
  <c r="S284" i="55"/>
  <c r="U235" i="55"/>
  <c r="T83" i="55"/>
  <c r="S180" i="55"/>
  <c r="T37" i="55"/>
  <c r="T97" i="55"/>
  <c r="U202" i="55"/>
  <c r="T173" i="55"/>
  <c r="T127" i="55"/>
  <c r="U117" i="55"/>
  <c r="U163" i="55"/>
  <c r="R144" i="55"/>
  <c r="S175" i="55"/>
  <c r="T179" i="55"/>
  <c r="U57" i="55"/>
  <c r="U26" i="55"/>
  <c r="U229" i="55"/>
  <c r="U216" i="55"/>
  <c r="T169" i="55"/>
  <c r="U241" i="55"/>
  <c r="R239" i="55"/>
  <c r="U165" i="55"/>
  <c r="R174" i="55"/>
  <c r="S93" i="55"/>
  <c r="U139" i="55"/>
  <c r="T126" i="55"/>
  <c r="T182" i="55"/>
  <c r="S141" i="55"/>
  <c r="T143" i="55"/>
  <c r="S184" i="55"/>
  <c r="T165" i="55"/>
  <c r="S38" i="55"/>
  <c r="R153" i="55"/>
  <c r="R267" i="55"/>
  <c r="U136" i="55"/>
  <c r="R112" i="55"/>
  <c r="S214" i="55"/>
  <c r="U90" i="55"/>
  <c r="S15" i="55"/>
  <c r="U142" i="55"/>
  <c r="R254" i="55"/>
  <c r="U65" i="55"/>
  <c r="T10" i="55"/>
  <c r="U261" i="55"/>
  <c r="T243" i="55"/>
  <c r="U10" i="55"/>
  <c r="T155" i="55"/>
  <c r="U252" i="55"/>
  <c r="U249" i="55"/>
  <c r="U208" i="55"/>
  <c r="R269" i="55"/>
  <c r="T170" i="55"/>
  <c r="U28" i="55"/>
  <c r="T141" i="55"/>
  <c r="T194" i="55"/>
  <c r="S111" i="55"/>
  <c r="R111" i="55"/>
  <c r="U207" i="55"/>
  <c r="R31" i="55"/>
  <c r="S83" i="55"/>
  <c r="S87" i="55"/>
  <c r="S113" i="55"/>
  <c r="U118" i="55"/>
  <c r="S272" i="55"/>
  <c r="T218" i="55"/>
  <c r="S155" i="55"/>
  <c r="U111" i="55"/>
  <c r="S36" i="55"/>
  <c r="R30" i="55"/>
  <c r="T98" i="55"/>
  <c r="R106" i="55"/>
  <c r="S158" i="55"/>
  <c r="U272" i="55"/>
  <c r="T16" i="55"/>
  <c r="T5" i="55"/>
  <c r="T204" i="55"/>
  <c r="S224" i="55"/>
  <c r="R227" i="55"/>
  <c r="U182" i="55"/>
  <c r="S121" i="55"/>
  <c r="T234" i="55"/>
  <c r="R82" i="55"/>
  <c r="S278" i="55"/>
  <c r="S177" i="55"/>
  <c r="R74" i="55"/>
  <c r="S19" i="55"/>
  <c r="T228" i="55"/>
  <c r="U91" i="55"/>
  <c r="T242" i="55"/>
  <c r="R209" i="55"/>
  <c r="R41" i="55"/>
  <c r="S162" i="55"/>
  <c r="T231" i="55"/>
  <c r="S46" i="55"/>
  <c r="R151" i="55"/>
  <c r="T58" i="55"/>
  <c r="S227" i="55"/>
  <c r="T105" i="55"/>
  <c r="T205" i="55"/>
  <c r="T99" i="55"/>
  <c r="R155" i="55"/>
  <c r="U269" i="55"/>
  <c r="T47" i="55"/>
  <c r="U99" i="55"/>
  <c r="U271" i="55"/>
  <c r="U27" i="55"/>
  <c r="U210" i="55"/>
  <c r="T85" i="55"/>
  <c r="U156" i="55"/>
  <c r="T134" i="55"/>
  <c r="S128" i="55"/>
  <c r="R48" i="55"/>
  <c r="S112" i="55"/>
  <c r="S263" i="55"/>
  <c r="S76" i="55"/>
  <c r="U230" i="55"/>
  <c r="S220" i="55"/>
  <c r="S1049" i="53"/>
  <c r="U170" i="55"/>
  <c r="T167" i="55"/>
  <c r="S139" i="55"/>
  <c r="S259" i="55"/>
  <c r="R110" i="55"/>
  <c r="U192" i="55"/>
  <c r="T263" i="55"/>
  <c r="T139" i="55"/>
  <c r="T62" i="55"/>
  <c r="R163" i="55"/>
  <c r="R13" i="55"/>
  <c r="U244" i="55"/>
  <c r="U154" i="55"/>
  <c r="T145" i="55"/>
  <c r="S133" i="55"/>
  <c r="U86" i="55"/>
  <c r="U196" i="55"/>
  <c r="T67" i="55"/>
  <c r="R109" i="55"/>
  <c r="S226" i="55"/>
  <c r="S160" i="55"/>
  <c r="S16" i="55"/>
  <c r="T120" i="55"/>
  <c r="T4" i="55"/>
  <c r="S251" i="55"/>
  <c r="U197" i="55"/>
  <c r="S156" i="55"/>
  <c r="R161" i="55"/>
  <c r="S211" i="55"/>
  <c r="R255" i="55"/>
  <c r="S200" i="55"/>
  <c r="S273" i="55"/>
  <c r="R28" i="55"/>
  <c r="U159" i="55"/>
  <c r="S116" i="55"/>
  <c r="U155" i="55"/>
  <c r="T197" i="55"/>
  <c r="S13" i="55"/>
  <c r="R237" i="55"/>
  <c r="T90" i="55"/>
  <c r="U204" i="55"/>
  <c r="T144" i="55"/>
  <c r="S157" i="55"/>
  <c r="R224" i="55"/>
  <c r="T283" i="55"/>
  <c r="U251" i="55"/>
  <c r="T264" i="55"/>
  <c r="U206" i="55"/>
  <c r="R210" i="55"/>
  <c r="U218" i="55"/>
  <c r="T55" i="55"/>
  <c r="T222" i="55"/>
  <c r="T64" i="55"/>
  <c r="U186" i="55"/>
  <c r="R32" i="55"/>
  <c r="R191" i="55"/>
  <c r="S37" i="55"/>
  <c r="U135" i="55"/>
  <c r="S145" i="55"/>
  <c r="S20" i="55"/>
  <c r="U226" i="55"/>
  <c r="U53" i="55"/>
  <c r="R176" i="55"/>
  <c r="R3" i="55"/>
  <c r="T8" i="55"/>
  <c r="U100" i="55"/>
  <c r="S117" i="55"/>
  <c r="R80" i="55"/>
  <c r="T274" i="55"/>
  <c r="T137" i="55"/>
  <c r="S79" i="55"/>
  <c r="U68" i="55"/>
  <c r="T221" i="55"/>
  <c r="U92" i="55"/>
  <c r="U179" i="55"/>
  <c r="T50" i="55"/>
  <c r="S244" i="55"/>
  <c r="U132" i="55"/>
  <c r="R122" i="55"/>
  <c r="R4" i="55"/>
  <c r="R25" i="55"/>
  <c r="S203" i="55"/>
  <c r="R66" i="55"/>
  <c r="S252" i="55"/>
  <c r="T20" i="55"/>
  <c r="T123" i="55"/>
  <c r="S148" i="55"/>
  <c r="S96" i="55"/>
  <c r="T131" i="55"/>
  <c r="S78" i="55"/>
  <c r="U231" i="55"/>
  <c r="T198" i="55"/>
  <c r="R236" i="55"/>
  <c r="T23" i="55"/>
  <c r="R230" i="55"/>
  <c r="R145" i="55"/>
  <c r="U270" i="55"/>
  <c r="T29" i="55"/>
  <c r="R199" i="55"/>
  <c r="T176" i="55"/>
  <c r="R45" i="55"/>
  <c r="S6" i="55"/>
  <c r="U274" i="55"/>
  <c r="U58" i="55"/>
  <c r="R277" i="55"/>
  <c r="S24" i="55"/>
  <c r="U114" i="55"/>
  <c r="T253" i="55"/>
  <c r="T259" i="55"/>
  <c r="U112" i="55"/>
  <c r="S149" i="55"/>
  <c r="T273" i="55"/>
  <c r="T215" i="55"/>
  <c r="R126" i="55"/>
  <c r="R246" i="55"/>
  <c r="T88" i="55"/>
  <c r="U24" i="55"/>
  <c r="S277" i="55"/>
  <c r="T91" i="55"/>
  <c r="R20" i="55"/>
  <c r="U214" i="55"/>
  <c r="T148" i="55"/>
  <c r="S233" i="55"/>
  <c r="S136" i="55"/>
  <c r="R136" i="55"/>
  <c r="R38" i="55"/>
  <c r="S25" i="55"/>
  <c r="R223" i="55"/>
  <c r="R177" i="55"/>
  <c r="R259" i="55"/>
  <c r="T104" i="55"/>
  <c r="T108" i="55"/>
  <c r="U95" i="55"/>
  <c r="T26" i="55"/>
  <c r="U194" i="55"/>
  <c r="T200" i="55"/>
  <c r="T261" i="55"/>
  <c r="U83" i="55"/>
  <c r="T57" i="55"/>
  <c r="U169" i="55"/>
  <c r="T164" i="55"/>
  <c r="T199" i="55"/>
  <c r="U237" i="55"/>
  <c r="R213" i="55"/>
  <c r="R16" i="55"/>
  <c r="T146" i="55"/>
  <c r="U161" i="55"/>
  <c r="S88" i="55"/>
  <c r="T92" i="55"/>
  <c r="R140" i="55"/>
  <c r="U89" i="55"/>
  <c r="S32" i="55"/>
  <c r="S239" i="55"/>
  <c r="T278" i="55"/>
  <c r="R81" i="55"/>
  <c r="R35" i="55"/>
  <c r="U263" i="55"/>
  <c r="U184" i="55"/>
  <c r="S42" i="55"/>
  <c r="R152" i="55"/>
  <c r="R264" i="55"/>
  <c r="R261" i="55"/>
  <c r="R9" i="55"/>
  <c r="T44" i="55"/>
  <c r="R204" i="55"/>
  <c r="T140" i="55"/>
  <c r="R196" i="55"/>
  <c r="U268" i="55"/>
  <c r="R243" i="55"/>
  <c r="R103" i="55"/>
  <c r="S64" i="55"/>
  <c r="T3" i="55"/>
  <c r="U84" i="55"/>
  <c r="S80" i="55"/>
  <c r="U107" i="55"/>
  <c r="S92" i="55"/>
  <c r="T185" i="55"/>
  <c r="U240" i="55"/>
  <c r="U131" i="55"/>
  <c r="S198" i="55"/>
  <c r="U102" i="55"/>
  <c r="S3" i="55"/>
  <c r="T81" i="55"/>
  <c r="S135" i="55"/>
  <c r="T284" i="55"/>
  <c r="R131" i="55"/>
  <c r="U30" i="55"/>
  <c r="R271" i="55"/>
  <c r="R222" i="55"/>
  <c r="T201" i="55"/>
  <c r="S72" i="55"/>
  <c r="S282" i="55"/>
  <c r="S10" i="55"/>
  <c r="U21" i="55"/>
  <c r="S153" i="55"/>
  <c r="R250" i="55"/>
  <c r="R22" i="55"/>
  <c r="S266" i="55"/>
  <c r="U25" i="55"/>
  <c r="U188" i="55"/>
  <c r="U76" i="55"/>
  <c r="R46" i="55"/>
  <c r="T72" i="55"/>
  <c r="S140" i="55"/>
  <c r="S264" i="55"/>
  <c r="R172" i="55"/>
  <c r="T68" i="55"/>
  <c r="U61" i="55"/>
  <c r="U148" i="55"/>
  <c r="U51" i="55"/>
  <c r="S60" i="55"/>
  <c r="S59" i="55"/>
  <c r="T89" i="55"/>
  <c r="T135" i="55"/>
  <c r="S172" i="55"/>
  <c r="S166" i="55"/>
  <c r="U201" i="55"/>
  <c r="R119" i="55"/>
  <c r="S190" i="55"/>
  <c r="R228" i="55"/>
  <c r="T7" i="55"/>
  <c r="R91" i="55"/>
  <c r="S210" i="55"/>
  <c r="R97" i="55"/>
  <c r="R76" i="55"/>
  <c r="U46" i="55"/>
  <c r="T87" i="55"/>
  <c r="S98" i="55"/>
  <c r="U50" i="55"/>
  <c r="T246" i="55"/>
  <c r="U281" i="55"/>
  <c r="S276" i="55"/>
  <c r="S124" i="55"/>
  <c r="U178" i="55"/>
  <c r="R120" i="55"/>
  <c r="T203" i="55"/>
  <c r="U120" i="55"/>
  <c r="R266" i="55"/>
  <c r="U205" i="55"/>
  <c r="U4" i="55"/>
  <c r="U34" i="55"/>
  <c r="U22" i="55"/>
  <c r="S246" i="55"/>
  <c r="S100" i="55"/>
  <c r="T151" i="55"/>
  <c r="T93" i="55"/>
  <c r="S51" i="55"/>
  <c r="R231" i="55"/>
  <c r="R220" i="55"/>
  <c r="U119" i="55"/>
  <c r="T226" i="55"/>
  <c r="R130" i="55"/>
  <c r="R278" i="55"/>
  <c r="S223" i="55"/>
  <c r="U267" i="55"/>
  <c r="T172" i="55"/>
  <c r="T94" i="55"/>
  <c r="U243" i="55"/>
  <c r="T219" i="55"/>
  <c r="T128" i="55"/>
  <c r="S238" i="55"/>
  <c r="T79" i="55"/>
  <c r="R10" i="55"/>
  <c r="S193" i="55"/>
  <c r="U174" i="55"/>
  <c r="T51" i="55"/>
  <c r="U71" i="55"/>
  <c r="S228" i="55"/>
  <c r="T236" i="55"/>
  <c r="S131" i="55"/>
  <c r="R52" i="55"/>
  <c r="S250" i="55"/>
  <c r="U124" i="55"/>
  <c r="S130" i="55"/>
  <c r="R89" i="55"/>
  <c r="T113" i="55"/>
  <c r="R56" i="55"/>
  <c r="S143" i="55"/>
  <c r="T249" i="55"/>
  <c r="U69" i="55"/>
  <c r="U113" i="55"/>
  <c r="R262" i="55"/>
  <c r="T209" i="55"/>
  <c r="S261" i="55"/>
  <c r="S119" i="55"/>
  <c r="T100" i="55"/>
  <c r="T150" i="55"/>
  <c r="T41" i="55"/>
  <c r="T250" i="55"/>
  <c r="U222" i="55"/>
  <c r="R78" i="55"/>
  <c r="U97" i="55"/>
  <c r="S174" i="55"/>
  <c r="R173" i="55"/>
  <c r="R139" i="55"/>
  <c r="S235" i="55"/>
  <c r="T22" i="55"/>
  <c r="T42" i="55"/>
  <c r="S197" i="55"/>
  <c r="U52" i="55"/>
  <c r="T175" i="55"/>
  <c r="R87" i="55"/>
  <c r="R59" i="55"/>
  <c r="S242" i="55"/>
  <c r="S209" i="55"/>
  <c r="T48" i="55"/>
  <c r="R274" i="55"/>
  <c r="U3" i="55"/>
  <c r="R233" i="55"/>
  <c r="S257" i="55"/>
  <c r="S189" i="55"/>
  <c r="R86" i="55"/>
  <c r="R206" i="55"/>
  <c r="U189" i="55"/>
  <c r="S192" i="55"/>
  <c r="T15" i="55"/>
  <c r="S237" i="55"/>
  <c r="S188" i="55"/>
  <c r="S21" i="55"/>
  <c r="U32" i="55"/>
  <c r="U67" i="55"/>
  <c r="U239" i="55"/>
  <c r="S204" i="55"/>
  <c r="T61" i="55"/>
  <c r="U15" i="55"/>
  <c r="S35" i="55"/>
  <c r="R42" i="55"/>
  <c r="U45" i="55"/>
  <c r="R47" i="55"/>
  <c r="U175" i="55"/>
  <c r="T202" i="55"/>
  <c r="T152" i="55"/>
  <c r="R62" i="55"/>
  <c r="T63" i="55"/>
  <c r="S115" i="55"/>
  <c r="T110" i="55"/>
  <c r="U122" i="55"/>
  <c r="S86" i="55"/>
  <c r="S245" i="55"/>
  <c r="T132" i="55"/>
  <c r="S49" i="55"/>
  <c r="R273" i="55"/>
  <c r="S247" i="55"/>
  <c r="S234" i="55"/>
  <c r="S217" i="55"/>
  <c r="U18" i="55"/>
  <c r="R12" i="55"/>
  <c r="S205" i="55"/>
  <c r="U157" i="55"/>
  <c r="U40" i="55"/>
  <c r="U101" i="55"/>
  <c r="U150" i="55"/>
  <c r="R218" i="55"/>
  <c r="S97" i="55"/>
  <c r="R118" i="55"/>
  <c r="R6" i="55"/>
  <c r="T191" i="55"/>
  <c r="U35" i="55"/>
  <c r="R241" i="55"/>
  <c r="S33" i="55"/>
  <c r="S5" i="55"/>
  <c r="T28" i="55"/>
  <c r="T232" i="55"/>
  <c r="R39" i="55"/>
  <c r="R247" i="55"/>
  <c r="R14" i="55"/>
  <c r="T241" i="55"/>
  <c r="S23" i="55"/>
  <c r="S57" i="55"/>
  <c r="S265" i="55"/>
  <c r="S221" i="55"/>
  <c r="S9" i="55"/>
  <c r="U193" i="55"/>
  <c r="U33" i="55"/>
  <c r="R138" i="55"/>
  <c r="U38" i="55"/>
  <c r="R169" i="55"/>
  <c r="U191" i="55"/>
  <c r="U200" i="55"/>
  <c r="T158" i="55"/>
  <c r="S2" i="55"/>
  <c r="U172" i="55"/>
  <c r="S169" i="55"/>
  <c r="U278" i="55"/>
  <c r="T258" i="55"/>
  <c r="T207" i="55"/>
  <c r="U173" i="55"/>
  <c r="T208" i="55"/>
  <c r="R148" i="55"/>
  <c r="R113" i="55"/>
  <c r="T82" i="55"/>
  <c r="T227" i="55"/>
  <c r="S262" i="55"/>
  <c r="T39" i="55"/>
  <c r="U29" i="55"/>
  <c r="R17" i="55"/>
  <c r="R149" i="55"/>
  <c r="S201" i="55"/>
  <c r="S50" i="55"/>
  <c r="S202" i="55"/>
  <c r="T17" i="55"/>
  <c r="R53" i="55"/>
  <c r="S248" i="55"/>
  <c r="R101" i="55"/>
  <c r="S142" i="55"/>
  <c r="U195" i="55"/>
  <c r="U220" i="55"/>
  <c r="U140" i="55"/>
  <c r="R23" i="55"/>
  <c r="T11" i="55"/>
  <c r="U129" i="55"/>
  <c r="R134" i="55"/>
  <c r="T235" i="55"/>
  <c r="U110" i="55"/>
  <c r="U221" i="55"/>
  <c r="R61" i="55"/>
  <c r="T239" i="55"/>
  <c r="R69" i="55"/>
  <c r="R64" i="55"/>
  <c r="S176" i="55"/>
  <c r="T193" i="55"/>
  <c r="U162" i="55"/>
  <c r="U87" i="55"/>
  <c r="S199" i="55"/>
  <c r="U199" i="55"/>
  <c r="R123" i="55"/>
  <c r="R143" i="55"/>
  <c r="S1051" i="53"/>
  <c r="U145" i="55"/>
  <c r="T262" i="55"/>
  <c r="S99" i="55"/>
  <c r="R128" i="55"/>
  <c r="R40" i="55"/>
  <c r="T12" i="55"/>
  <c r="S82" i="55"/>
  <c r="S182" i="55"/>
  <c r="U234" i="55"/>
  <c r="R84" i="55"/>
  <c r="S48" i="55"/>
  <c r="U81" i="55"/>
  <c r="U55" i="55"/>
  <c r="T214" i="55"/>
  <c r="S31" i="55"/>
  <c r="S40" i="55"/>
  <c r="T177" i="55"/>
  <c r="T32" i="55"/>
  <c r="T245" i="55"/>
  <c r="T14" i="55"/>
  <c r="T74" i="55"/>
  <c r="T217" i="55"/>
  <c r="R114" i="55"/>
  <c r="U75" i="55"/>
  <c r="U264" i="55"/>
  <c r="R158" i="55"/>
  <c r="R127" i="55"/>
  <c r="T77" i="55"/>
  <c r="R15" i="55"/>
  <c r="T159" i="55"/>
  <c r="T78" i="55"/>
  <c r="R26" i="55"/>
  <c r="T130" i="55"/>
  <c r="R183" i="55"/>
  <c r="R83" i="55"/>
  <c r="T35" i="55"/>
  <c r="S53" i="55"/>
  <c r="S81" i="55"/>
  <c r="S165" i="55"/>
  <c r="R63" i="55"/>
  <c r="T9" i="55"/>
  <c r="S229" i="55"/>
  <c r="T248" i="55"/>
  <c r="R229" i="55"/>
  <c r="U23" i="55"/>
  <c r="T220" i="55"/>
  <c r="U149" i="55"/>
  <c r="T184" i="55"/>
  <c r="S102" i="55"/>
  <c r="T76" i="55"/>
  <c r="S195" i="55"/>
  <c r="R165" i="55"/>
  <c r="R65" i="55"/>
  <c r="R215" i="55"/>
  <c r="U70" i="55"/>
  <c r="U2" i="55"/>
  <c r="R270" i="55"/>
  <c r="S173" i="55"/>
  <c r="R242" i="55"/>
  <c r="R253" i="55"/>
  <c r="U93" i="55"/>
  <c r="R225" i="55"/>
  <c r="R189" i="55"/>
  <c r="R100" i="55"/>
  <c r="T53" i="55"/>
  <c r="U121" i="55"/>
  <c r="T233" i="55"/>
  <c r="S134" i="55"/>
  <c r="T95" i="55"/>
  <c r="S74" i="55"/>
  <c r="T257" i="55"/>
  <c r="S104" i="55"/>
  <c r="S103" i="55"/>
  <c r="T267" i="55"/>
  <c r="T80" i="55"/>
  <c r="S17" i="55"/>
  <c r="U257" i="55"/>
  <c r="U133" i="55"/>
  <c r="S73" i="55"/>
  <c r="U217" i="55"/>
  <c r="S95" i="55"/>
  <c r="T147" i="55"/>
  <c r="T157" i="55"/>
  <c r="S43" i="55"/>
  <c r="S7" i="55"/>
  <c r="R208" i="55"/>
  <c r="R49" i="55"/>
  <c r="T111" i="55"/>
  <c r="U31" i="55"/>
  <c r="U128" i="55"/>
  <c r="R99" i="55"/>
  <c r="R257" i="55"/>
  <c r="T109" i="55"/>
  <c r="R187" i="55"/>
  <c r="U130" i="55"/>
  <c r="R219" i="55"/>
  <c r="U223" i="55"/>
  <c r="U266" i="55"/>
  <c r="T21" i="55"/>
  <c r="S167" i="55"/>
  <c r="S231" i="55"/>
  <c r="T271" i="55"/>
  <c r="R197" i="55"/>
  <c r="T251" i="55"/>
  <c r="T34" i="55"/>
  <c r="T216" i="55"/>
  <c r="U72" i="55"/>
  <c r="R214" i="55"/>
  <c r="S107" i="55"/>
  <c r="U224" i="55"/>
  <c r="U256" i="55"/>
  <c r="U262" i="55"/>
  <c r="S154" i="55"/>
  <c r="T229" i="55"/>
  <c r="R75" i="55"/>
  <c r="U177" i="55"/>
  <c r="U242" i="55"/>
  <c r="T54" i="55"/>
  <c r="R115" i="55"/>
  <c r="T49" i="55"/>
  <c r="S147" i="55"/>
  <c r="R170" i="55"/>
  <c r="S18" i="55"/>
  <c r="R141" i="55"/>
  <c r="R44" i="55"/>
  <c r="R18" i="55"/>
  <c r="S29" i="55"/>
  <c r="T154" i="55"/>
  <c r="R133" i="55"/>
  <c r="S108" i="55"/>
  <c r="U146" i="55"/>
  <c r="U276" i="55"/>
  <c r="R57" i="55"/>
  <c r="U280" i="55"/>
  <c r="U127" i="55"/>
  <c r="T268" i="55"/>
  <c r="U232" i="55"/>
  <c r="T168" i="55"/>
  <c r="S171" i="55"/>
  <c r="U54" i="55"/>
  <c r="R116" i="55"/>
  <c r="U7" i="55"/>
  <c r="R159" i="55"/>
  <c r="U42" i="55"/>
  <c r="U228" i="55"/>
  <c r="U77" i="55"/>
  <c r="U115" i="55"/>
  <c r="T125" i="55"/>
  <c r="R184" i="55"/>
  <c r="T163" i="55"/>
  <c r="S84" i="55"/>
  <c r="S44" i="55"/>
  <c r="T84" i="55"/>
  <c r="U176" i="55"/>
  <c r="R19" i="55"/>
  <c r="U17" i="55"/>
  <c r="U48" i="55"/>
  <c r="T33" i="55"/>
  <c r="T189" i="55"/>
  <c r="T116" i="55"/>
  <c r="T282" i="55"/>
  <c r="R121" i="55"/>
  <c r="T225" i="55"/>
  <c r="S151" i="55"/>
  <c r="S54" i="55"/>
  <c r="S8" i="55"/>
  <c r="S207" i="55"/>
  <c r="S75" i="55"/>
  <c r="R282" i="55"/>
  <c r="S114" i="55"/>
  <c r="S163" i="55"/>
  <c r="U158" i="55"/>
  <c r="S90" i="55"/>
  <c r="S123" i="55"/>
  <c r="S27" i="55"/>
  <c r="T266" i="55"/>
  <c r="T117" i="55"/>
  <c r="T195" i="55"/>
  <c r="T27" i="55"/>
  <c r="U225" i="55"/>
  <c r="R185" i="55"/>
  <c r="T136" i="55"/>
  <c r="S281" i="55"/>
  <c r="R73" i="55"/>
  <c r="U181" i="55"/>
  <c r="T129" i="55"/>
  <c r="R166" i="55"/>
  <c r="S181" i="55"/>
  <c r="T281" i="55"/>
  <c r="S69" i="55"/>
  <c r="T213" i="55"/>
  <c r="R160" i="55"/>
  <c r="R244" i="55"/>
  <c r="R198" i="55"/>
  <c r="T260" i="55"/>
  <c r="U213" i="55"/>
  <c r="T187" i="55"/>
  <c r="S213" i="55"/>
  <c r="U238" i="55"/>
  <c r="R37" i="55"/>
  <c r="T188" i="55"/>
  <c r="T18" i="55"/>
  <c r="R240" i="55"/>
  <c r="T223" i="55"/>
  <c r="T45" i="55"/>
  <c r="T25" i="55"/>
  <c r="S94" i="55"/>
  <c r="R88" i="55"/>
  <c r="S243" i="55"/>
  <c r="T180" i="55"/>
  <c r="U47" i="55"/>
  <c r="R135" i="55"/>
  <c r="T122" i="55"/>
  <c r="T124" i="55"/>
  <c r="T56" i="55"/>
  <c r="R283" i="55"/>
  <c r="T13" i="55"/>
  <c r="U282" i="55"/>
  <c r="R54" i="55"/>
  <c r="U11" i="55"/>
  <c r="R279" i="55"/>
  <c r="R43" i="55"/>
  <c r="R77" i="55"/>
  <c r="R207" i="55"/>
  <c r="S194" i="55"/>
  <c r="R68" i="55"/>
  <c r="U39" i="55"/>
  <c r="S187" i="55"/>
  <c r="S183" i="55"/>
  <c r="U284" i="55"/>
  <c r="T156" i="55"/>
  <c r="U144" i="55"/>
  <c r="R5" i="55"/>
  <c r="S52" i="55"/>
  <c r="R60" i="55"/>
  <c r="U283" i="55"/>
  <c r="R232" i="55"/>
  <c r="S105" i="55"/>
  <c r="S274" i="55"/>
  <c r="T166" i="55"/>
  <c r="U96" i="55"/>
  <c r="R92" i="55"/>
  <c r="R124" i="55"/>
  <c r="U12" i="55"/>
  <c r="T174" i="55"/>
  <c r="S67" i="55"/>
  <c r="R238" i="55"/>
  <c r="U259" i="55"/>
  <c r="U255" i="55"/>
  <c r="T255" i="55"/>
  <c r="S137" i="55"/>
  <c r="S159" i="55"/>
  <c r="R96" i="55"/>
  <c r="R275" i="55"/>
  <c r="R117" i="55"/>
  <c r="T133" i="55"/>
  <c r="R58" i="55"/>
  <c r="U183" i="55"/>
  <c r="T103" i="55"/>
  <c r="R107" i="55"/>
  <c r="U125" i="55"/>
  <c r="U147" i="55"/>
  <c r="S255" i="55"/>
  <c r="T272" i="55"/>
  <c r="S109" i="55"/>
  <c r="R85" i="55"/>
  <c r="U109" i="55"/>
  <c r="R256" i="55"/>
  <c r="R192" i="55"/>
  <c r="U6" i="55"/>
  <c r="U59" i="55"/>
  <c r="R190" i="55"/>
  <c r="T256" i="55"/>
  <c r="R167" i="55"/>
  <c r="U79" i="55"/>
  <c r="T230" i="55"/>
  <c r="U160" i="55"/>
  <c r="S280" i="55"/>
  <c r="U141" i="55"/>
  <c r="S164" i="55"/>
  <c r="T70" i="55"/>
  <c r="U250" i="55"/>
  <c r="R105" i="55"/>
  <c r="T121" i="55"/>
  <c r="U1051" i="53" l="1"/>
  <c r="U1052" i="53" s="1"/>
  <c r="T1057" i="53" s="1"/>
  <c r="E1057" i="53" s="1"/>
  <c r="U1049" i="53"/>
  <c r="U1050" i="53"/>
  <c r="L131" i="53"/>
  <c r="L121" i="53"/>
  <c r="U1057" i="53"/>
  <c r="F1057" i="53" s="1"/>
  <c r="S1057" i="53"/>
  <c r="D1057" i="53" s="1"/>
  <c r="P213" i="52"/>
  <c r="B213" i="52" s="1"/>
  <c r="T213" i="52"/>
  <c r="F213" i="52" s="1"/>
  <c r="Q213" i="52"/>
  <c r="C213" i="52" s="1"/>
  <c r="R213" i="52"/>
  <c r="D213" i="52" s="1"/>
  <c r="D124" i="53"/>
  <c r="C132" i="53"/>
  <c r="F134" i="53"/>
  <c r="E132" i="53"/>
  <c r="C124" i="53"/>
  <c r="F122" i="53"/>
  <c r="L122" i="53" s="1"/>
  <c r="D134" i="53"/>
  <c r="F123" i="53"/>
  <c r="L123" i="53" s="1"/>
  <c r="C134" i="53"/>
  <c r="E133" i="53"/>
  <c r="L133" i="53" s="1"/>
  <c r="E124" i="53"/>
  <c r="S213" i="52"/>
  <c r="E213" i="52" s="1"/>
  <c r="L132" i="53" l="1"/>
  <c r="R1057" i="53"/>
  <c r="C1057" i="53" s="1"/>
  <c r="Q1057" i="53"/>
  <c r="B1057" i="53" s="1"/>
  <c r="L134" i="53"/>
  <c r="F124" i="53"/>
  <c r="L124" i="53" s="1"/>
  <c r="E134" i="53"/>
  <c r="O66" i="52" l="1"/>
  <c r="O72" i="52" s="1"/>
  <c r="Q65" i="52"/>
  <c r="R65" i="52" s="1"/>
  <c r="Q64" i="52"/>
  <c r="P28" i="52"/>
  <c r="P27" i="52"/>
  <c r="T41" i="52" s="1"/>
  <c r="P26" i="52"/>
  <c r="R9" i="52"/>
  <c r="R10" i="52" s="1"/>
  <c r="O15" i="52" s="1"/>
  <c r="M1" i="52"/>
  <c r="AA335" i="51"/>
  <c r="Z335" i="51"/>
  <c r="Y335" i="51"/>
  <c r="X335" i="51"/>
  <c r="W335" i="51"/>
  <c r="AA317" i="51"/>
  <c r="Z317" i="51"/>
  <c r="Y317" i="51"/>
  <c r="X317" i="51"/>
  <c r="W317" i="51"/>
  <c r="P365" i="51"/>
  <c r="P364" i="51"/>
  <c r="P363" i="51"/>
  <c r="P362" i="51"/>
  <c r="P361" i="51"/>
  <c r="P360" i="51"/>
  <c r="P359" i="51"/>
  <c r="P358" i="51"/>
  <c r="P357" i="51"/>
  <c r="P356" i="51"/>
  <c r="P355" i="51"/>
  <c r="P354" i="51"/>
  <c r="P353" i="51"/>
  <c r="P352" i="51"/>
  <c r="P351" i="51"/>
  <c r="P350" i="51"/>
  <c r="P349" i="51"/>
  <c r="P343" i="51"/>
  <c r="P342" i="51"/>
  <c r="P341" i="51"/>
  <c r="P340" i="51"/>
  <c r="P339" i="51"/>
  <c r="P338" i="51"/>
  <c r="P337" i="51"/>
  <c r="P336" i="51"/>
  <c r="P335" i="51"/>
  <c r="P334" i="51"/>
  <c r="P333" i="51"/>
  <c r="P332" i="51"/>
  <c r="P331" i="51"/>
  <c r="P330" i="51"/>
  <c r="P329" i="51"/>
  <c r="P328" i="51"/>
  <c r="P327" i="51"/>
  <c r="P321" i="51"/>
  <c r="P320" i="51"/>
  <c r="P319" i="51"/>
  <c r="P318" i="51"/>
  <c r="P317" i="51"/>
  <c r="P316" i="51"/>
  <c r="P315" i="51"/>
  <c r="P314" i="51"/>
  <c r="P313" i="51"/>
  <c r="P312" i="51"/>
  <c r="P311" i="51"/>
  <c r="P310" i="51"/>
  <c r="P309" i="51"/>
  <c r="P308" i="51"/>
  <c r="P307" i="51"/>
  <c r="P306" i="51"/>
  <c r="P305" i="51"/>
  <c r="P265" i="51"/>
  <c r="P264" i="51"/>
  <c r="T278" i="51" s="1"/>
  <c r="P263" i="51"/>
  <c r="P225" i="51"/>
  <c r="P224" i="51"/>
  <c r="T238" i="51" s="1"/>
  <c r="P223" i="51"/>
  <c r="S277" i="51" l="1"/>
  <c r="T277" i="51" s="1"/>
  <c r="S276" i="51"/>
  <c r="T276" i="51" s="1"/>
  <c r="P322" i="51"/>
  <c r="Z318" i="51" s="1"/>
  <c r="P366" i="51"/>
  <c r="S236" i="51"/>
  <c r="T236" i="51" s="1"/>
  <c r="S237" i="51"/>
  <c r="T237" i="51" s="1"/>
  <c r="P344" i="51"/>
  <c r="X336" i="51" s="1"/>
  <c r="Q66" i="52"/>
  <c r="R15" i="52"/>
  <c r="D15" i="52" s="1"/>
  <c r="S15" i="52"/>
  <c r="E15" i="52" s="1"/>
  <c r="P15" i="52"/>
  <c r="B15" i="52" s="1"/>
  <c r="T15" i="52"/>
  <c r="F15" i="52" s="1"/>
  <c r="Q15" i="52"/>
  <c r="C15" i="52" s="1"/>
  <c r="R72" i="52"/>
  <c r="D72" i="52" s="1"/>
  <c r="T72" i="52"/>
  <c r="F72" i="52" s="1"/>
  <c r="S40" i="52"/>
  <c r="T40" i="52" s="1"/>
  <c r="S39" i="52"/>
  <c r="T39" i="52" s="1"/>
  <c r="Q72" i="52"/>
  <c r="C72" i="52" s="1"/>
  <c r="S72" i="52"/>
  <c r="E72" i="52" s="1"/>
  <c r="P72" i="52"/>
  <c r="B72" i="52" s="1"/>
  <c r="R64" i="52"/>
  <c r="R66" i="52" s="1"/>
  <c r="W352" i="51"/>
  <c r="P183" i="51"/>
  <c r="P182" i="51"/>
  <c r="T196" i="51" s="1"/>
  <c r="P181" i="51"/>
  <c r="Q166" i="51"/>
  <c r="P166" i="51"/>
  <c r="O166" i="51"/>
  <c r="N166" i="51"/>
  <c r="Q165" i="51"/>
  <c r="P165" i="51"/>
  <c r="O165" i="51"/>
  <c r="N165" i="51"/>
  <c r="Q164" i="51"/>
  <c r="P164" i="51"/>
  <c r="O164" i="51"/>
  <c r="N164" i="51"/>
  <c r="S163" i="51"/>
  <c r="Q163" i="51"/>
  <c r="P163" i="51"/>
  <c r="O163" i="51"/>
  <c r="N163" i="51"/>
  <c r="S162" i="51"/>
  <c r="Q162" i="51"/>
  <c r="P162" i="51"/>
  <c r="O162" i="51"/>
  <c r="N162" i="51"/>
  <c r="S161" i="51"/>
  <c r="Q161" i="51"/>
  <c r="P161" i="51"/>
  <c r="O161" i="51"/>
  <c r="N161" i="51"/>
  <c r="S160" i="51"/>
  <c r="Q160" i="51"/>
  <c r="P160" i="51"/>
  <c r="O160" i="51"/>
  <c r="N160" i="51"/>
  <c r="P112" i="51"/>
  <c r="P111" i="51"/>
  <c r="T125" i="51" s="1"/>
  <c r="P110" i="51"/>
  <c r="Q95" i="51"/>
  <c r="P95" i="51"/>
  <c r="O95" i="51"/>
  <c r="N95" i="51"/>
  <c r="Q94" i="51"/>
  <c r="P94" i="51"/>
  <c r="O94" i="51"/>
  <c r="N94" i="51"/>
  <c r="Q93" i="51"/>
  <c r="P93" i="51"/>
  <c r="O93" i="51"/>
  <c r="N93" i="51"/>
  <c r="S92" i="51"/>
  <c r="Q92" i="51"/>
  <c r="P92" i="51"/>
  <c r="O92" i="51"/>
  <c r="N92" i="51"/>
  <c r="S91" i="51"/>
  <c r="Q91" i="51"/>
  <c r="P91" i="51"/>
  <c r="O91" i="51"/>
  <c r="N91" i="51"/>
  <c r="S90" i="51"/>
  <c r="Q90" i="51"/>
  <c r="P90" i="51"/>
  <c r="O90" i="51"/>
  <c r="N90" i="51"/>
  <c r="S89" i="51"/>
  <c r="Q89" i="51"/>
  <c r="P89" i="51"/>
  <c r="O89" i="51"/>
  <c r="N89" i="51"/>
  <c r="P41" i="51"/>
  <c r="P40" i="51"/>
  <c r="T54" i="51" s="1"/>
  <c r="P39" i="51"/>
  <c r="Q24" i="51"/>
  <c r="P24" i="51"/>
  <c r="O24" i="51"/>
  <c r="N24" i="51"/>
  <c r="Q23" i="51"/>
  <c r="P23" i="51"/>
  <c r="O23" i="51"/>
  <c r="N23" i="51"/>
  <c r="Q22" i="51"/>
  <c r="P22" i="51"/>
  <c r="O22" i="51"/>
  <c r="N22" i="51"/>
  <c r="S21" i="51"/>
  <c r="Q21" i="51"/>
  <c r="P21" i="51"/>
  <c r="O21" i="51"/>
  <c r="N21" i="51"/>
  <c r="S20" i="51"/>
  <c r="Q20" i="51"/>
  <c r="P20" i="51"/>
  <c r="O20" i="51"/>
  <c r="N20" i="51"/>
  <c r="S19" i="51"/>
  <c r="Q19" i="51"/>
  <c r="P19" i="51"/>
  <c r="O19" i="51"/>
  <c r="N19" i="51"/>
  <c r="S18" i="51"/>
  <c r="Q18" i="51"/>
  <c r="P18" i="51"/>
  <c r="O18" i="51"/>
  <c r="N18" i="51"/>
  <c r="M1" i="51"/>
  <c r="Q302" i="43"/>
  <c r="Q303" i="43"/>
  <c r="R303" i="43" s="1"/>
  <c r="U304" i="43"/>
  <c r="E304" i="43" s="1"/>
  <c r="V304" i="43"/>
  <c r="F304" i="43" s="1"/>
  <c r="Q309" i="43"/>
  <c r="P326" i="43"/>
  <c r="P327" i="43"/>
  <c r="T341" i="43" s="1"/>
  <c r="P328" i="43"/>
  <c r="S310" i="43" l="1"/>
  <c r="C310" i="43" s="1"/>
  <c r="R310" i="43"/>
  <c r="B310" i="43" s="1"/>
  <c r="T310" i="43"/>
  <c r="U310" i="43"/>
  <c r="E310" i="43" s="1"/>
  <c r="V310" i="43"/>
  <c r="F310" i="43" s="1"/>
  <c r="Z336" i="51"/>
  <c r="AA336" i="51"/>
  <c r="W336" i="51"/>
  <c r="X318" i="51"/>
  <c r="Y336" i="51"/>
  <c r="S53" i="51"/>
  <c r="T53" i="51" s="1"/>
  <c r="S52" i="51"/>
  <c r="T52" i="51" s="1"/>
  <c r="S124" i="51"/>
  <c r="T124" i="51" s="1"/>
  <c r="S123" i="51"/>
  <c r="T123" i="51" s="1"/>
  <c r="Y351" i="51"/>
  <c r="X351" i="51"/>
  <c r="Z351" i="51"/>
  <c r="AA351" i="51"/>
  <c r="W351" i="51"/>
  <c r="AA318" i="51"/>
  <c r="S195" i="51"/>
  <c r="T195" i="51" s="1"/>
  <c r="S194" i="51"/>
  <c r="T194" i="51" s="1"/>
  <c r="Y318" i="51"/>
  <c r="W318" i="51"/>
  <c r="L8" i="41"/>
  <c r="A66" i="21" s="1"/>
  <c r="A65" i="21"/>
  <c r="S340" i="43"/>
  <c r="T340" i="43" s="1"/>
  <c r="S339" i="43"/>
  <c r="T339" i="43" s="1"/>
  <c r="R162" i="51"/>
  <c r="T162" i="51" s="1"/>
  <c r="R163" i="51"/>
  <c r="T163" i="51" s="1"/>
  <c r="R92" i="51"/>
  <c r="T92" i="51" s="1"/>
  <c r="R161" i="51"/>
  <c r="T161" i="51" s="1"/>
  <c r="R91" i="51"/>
  <c r="T91" i="51" s="1"/>
  <c r="R90" i="51"/>
  <c r="T90" i="51" s="1"/>
  <c r="R21" i="51"/>
  <c r="T21" i="51" s="1"/>
  <c r="R20" i="51"/>
  <c r="T20" i="51" s="1"/>
  <c r="R19" i="51"/>
  <c r="T19" i="51" s="1"/>
  <c r="D310" i="43"/>
  <c r="T302" i="43"/>
  <c r="R302" i="43"/>
  <c r="R304" i="43" s="1"/>
  <c r="B304" i="43" s="1"/>
  <c r="S302" i="43"/>
  <c r="E317" i="43"/>
  <c r="C317" i="43"/>
  <c r="T303" i="43"/>
  <c r="S303" i="43"/>
  <c r="P366" i="43"/>
  <c r="Q366" i="43"/>
  <c r="R366" i="43"/>
  <c r="S366" i="43"/>
  <c r="T366" i="43"/>
  <c r="P378" i="43"/>
  <c r="B378" i="43" s="1"/>
  <c r="Q378" i="43"/>
  <c r="C378" i="43" s="1"/>
  <c r="R378" i="43"/>
  <c r="D378" i="43" s="1"/>
  <c r="S378" i="43"/>
  <c r="E378" i="43" s="1"/>
  <c r="T378" i="43"/>
  <c r="F378" i="43" s="1"/>
  <c r="D317" i="43" l="1"/>
  <c r="T304" i="43"/>
  <c r="D304" i="43" s="1"/>
  <c r="W353" i="51"/>
  <c r="W354" i="51" s="1"/>
  <c r="W355" i="51" s="1"/>
  <c r="S304" i="43"/>
  <c r="C304" i="43" s="1"/>
  <c r="B317" i="43"/>
  <c r="F317" i="43"/>
  <c r="O201" i="43" l="1"/>
  <c r="O202" i="43"/>
  <c r="P194" i="43" l="1"/>
  <c r="P195" i="43" s="1"/>
  <c r="P145" i="43"/>
  <c r="P144" i="43"/>
  <c r="T158" i="43" s="1"/>
  <c r="P143" i="43"/>
  <c r="Q127" i="43"/>
  <c r="P127" i="43"/>
  <c r="O127" i="43"/>
  <c r="N127" i="43"/>
  <c r="Q126" i="43"/>
  <c r="P126" i="43"/>
  <c r="O126" i="43"/>
  <c r="N126" i="43"/>
  <c r="Q125" i="43"/>
  <c r="P125" i="43"/>
  <c r="O224" i="43" s="1"/>
  <c r="O125" i="43"/>
  <c r="N125" i="43"/>
  <c r="S124" i="43"/>
  <c r="Q124" i="43"/>
  <c r="P124" i="43"/>
  <c r="O124" i="43"/>
  <c r="N124" i="43"/>
  <c r="S123" i="43"/>
  <c r="Q123" i="43"/>
  <c r="P123" i="43"/>
  <c r="O123" i="43"/>
  <c r="N123" i="43"/>
  <c r="S122" i="43"/>
  <c r="Q122" i="43"/>
  <c r="P122" i="43"/>
  <c r="O122" i="43"/>
  <c r="N122" i="43"/>
  <c r="S121" i="43"/>
  <c r="Q121" i="43"/>
  <c r="P121" i="43"/>
  <c r="O121" i="43"/>
  <c r="N121" i="43"/>
  <c r="Z76" i="43"/>
  <c r="Y76" i="43"/>
  <c r="X76" i="43"/>
  <c r="W76" i="43"/>
  <c r="V76" i="43"/>
  <c r="Z68" i="43"/>
  <c r="Y68" i="43"/>
  <c r="X68" i="43"/>
  <c r="W68" i="43"/>
  <c r="V68" i="43"/>
  <c r="Y98" i="43"/>
  <c r="Z98" i="43"/>
  <c r="X98" i="43"/>
  <c r="W98" i="43"/>
  <c r="V98" i="43"/>
  <c r="M1" i="43"/>
  <c r="S157" i="43" l="1"/>
  <c r="T157" i="43" s="1"/>
  <c r="S156" i="43"/>
  <c r="T156" i="43" s="1"/>
  <c r="O236" i="43"/>
  <c r="O235" i="43"/>
  <c r="O221" i="43"/>
  <c r="O222" i="43"/>
  <c r="R124" i="43"/>
  <c r="T124" i="43" s="1"/>
  <c r="R123" i="43"/>
  <c r="T123" i="43" s="1"/>
  <c r="R122" i="43"/>
  <c r="T122" i="43" s="1"/>
  <c r="S99" i="43" l="1"/>
  <c r="Y99" i="43" s="1"/>
  <c r="E101" i="43" s="1"/>
  <c r="V99" i="43"/>
  <c r="R99" i="43"/>
  <c r="Q99" i="43"/>
  <c r="T99" i="43"/>
  <c r="Z99" i="43" s="1"/>
  <c r="F101" i="43" s="1"/>
  <c r="AB99" i="43" l="1"/>
  <c r="B99" i="43" s="1"/>
  <c r="B101" i="43"/>
  <c r="W99" i="43"/>
  <c r="X99" i="43"/>
  <c r="AD99" i="43" l="1"/>
  <c r="D99" i="43" s="1"/>
  <c r="D101" i="43"/>
  <c r="AC99" i="43"/>
  <c r="C99" i="43" s="1"/>
  <c r="C101" i="43"/>
  <c r="M1" i="39" l="1"/>
  <c r="O59" i="11"/>
  <c r="N59" i="11"/>
  <c r="Q59" i="11" s="1"/>
  <c r="Q60" i="11" s="1"/>
  <c r="C60" i="11" s="1"/>
  <c r="R59" i="11" l="1"/>
  <c r="R60" i="11" s="1"/>
  <c r="D60" i="11" s="1"/>
  <c r="S59" i="11"/>
  <c r="S60" i="11" s="1"/>
  <c r="E60" i="11" s="1"/>
  <c r="P59" i="11"/>
  <c r="P60" i="11" s="1"/>
  <c r="B60" i="11" s="1"/>
  <c r="T59" i="11"/>
  <c r="T60" i="11" s="1"/>
  <c r="F60" i="11" s="1"/>
  <c r="L1" i="39" l="1"/>
  <c r="T50" i="11" l="1"/>
  <c r="F50" i="11" s="1"/>
  <c r="R50" i="11" l="1"/>
  <c r="D50" i="11" s="1"/>
  <c r="S50" i="11"/>
  <c r="E50" i="11" s="1"/>
  <c r="Q50" i="11"/>
  <c r="C50" i="11" s="1"/>
  <c r="P50" i="11"/>
  <c r="B50" i="11" s="1"/>
  <c r="D6" i="41" l="1"/>
  <c r="D7" i="41"/>
  <c r="D8" i="41"/>
  <c r="D15" i="41"/>
  <c r="G3" i="48" l="1"/>
  <c r="G4" i="48"/>
  <c r="G5" i="48"/>
  <c r="G6" i="48"/>
  <c r="G7" i="48"/>
  <c r="G8" i="48"/>
  <c r="G9" i="48"/>
  <c r="G10" i="48"/>
  <c r="G11" i="48"/>
  <c r="G12" i="48"/>
  <c r="G13" i="48"/>
  <c r="G14" i="48"/>
  <c r="G15" i="48"/>
  <c r="G16" i="48"/>
  <c r="G17" i="48"/>
  <c r="G18" i="48"/>
  <c r="G19" i="48"/>
  <c r="G20" i="48"/>
  <c r="G21" i="48"/>
  <c r="G22" i="48"/>
  <c r="G23" i="48"/>
  <c r="G24" i="48"/>
  <c r="G25" i="48"/>
  <c r="G26" i="48"/>
  <c r="G27" i="48"/>
  <c r="G28" i="48"/>
  <c r="G29" i="48"/>
  <c r="G30" i="48"/>
  <c r="G2" i="48"/>
  <c r="P78" i="40" l="1"/>
  <c r="N90" i="40" s="1"/>
  <c r="S90" i="40" s="1"/>
  <c r="P65" i="40"/>
  <c r="N88" i="40" s="1"/>
  <c r="T88" i="40" s="1"/>
  <c r="P64" i="40"/>
  <c r="N86" i="40" s="1"/>
  <c r="Q86" i="40" s="1"/>
  <c r="P63" i="40"/>
  <c r="N84" i="40" s="1"/>
  <c r="T63" i="44"/>
  <c r="T64" i="44"/>
  <c r="T65" i="44"/>
  <c r="T62" i="44"/>
  <c r="T58" i="44"/>
  <c r="T59" i="44"/>
  <c r="T60" i="44"/>
  <c r="T61" i="44"/>
  <c r="T57" i="44"/>
  <c r="R86" i="40" l="1"/>
  <c r="Q88" i="40"/>
  <c r="P90" i="40"/>
  <c r="T90" i="40"/>
  <c r="R84" i="40" l="1"/>
  <c r="S84" i="40"/>
  <c r="T84" i="40"/>
  <c r="Q84" i="40"/>
  <c r="P84" i="40"/>
  <c r="S86" i="40"/>
  <c r="R88" i="40"/>
  <c r="Q90" i="40"/>
  <c r="P86" i="40"/>
  <c r="T86" i="40"/>
  <c r="S88" i="40"/>
  <c r="R90" i="40"/>
  <c r="P88" i="40"/>
  <c r="P92" i="40" s="1"/>
  <c r="B92" i="40" s="1"/>
  <c r="Q92" i="40" l="1"/>
  <c r="C92" i="40" s="1"/>
  <c r="T92" i="40"/>
  <c r="F94" i="40" s="1"/>
  <c r="S92" i="40"/>
  <c r="E94" i="40" s="1"/>
  <c r="R92" i="40"/>
  <c r="D92" i="40" s="1"/>
  <c r="R14" i="44"/>
  <c r="R13" i="44"/>
  <c r="V27" i="44" s="1"/>
  <c r="R12" i="44"/>
  <c r="K114" i="40" l="1"/>
  <c r="U25" i="44"/>
  <c r="V25" i="44" s="1"/>
  <c r="U26" i="44"/>
  <c r="V26" i="44" s="1"/>
  <c r="R140" i="38"/>
  <c r="Q140" i="38"/>
  <c r="P140" i="38"/>
  <c r="O140" i="38"/>
  <c r="R139" i="38"/>
  <c r="Q139" i="38"/>
  <c r="P139" i="38"/>
  <c r="O139" i="38"/>
  <c r="R138" i="38"/>
  <c r="Q138" i="38"/>
  <c r="P138" i="38"/>
  <c r="O138" i="38"/>
  <c r="T137" i="38"/>
  <c r="R137" i="38"/>
  <c r="Q137" i="38"/>
  <c r="P137" i="38"/>
  <c r="O137" i="38"/>
  <c r="T136" i="38"/>
  <c r="R136" i="38"/>
  <c r="Q136" i="38"/>
  <c r="P136" i="38"/>
  <c r="O136" i="38"/>
  <c r="T135" i="38"/>
  <c r="R135" i="38"/>
  <c r="Q135" i="38"/>
  <c r="P135" i="38"/>
  <c r="O135" i="38"/>
  <c r="T134" i="38"/>
  <c r="R134" i="38"/>
  <c r="Q134" i="38"/>
  <c r="P134" i="38"/>
  <c r="O134" i="38"/>
  <c r="M1" i="38"/>
  <c r="O53" i="40"/>
  <c r="N53" i="40"/>
  <c r="Q53" i="40" s="1"/>
  <c r="C53" i="40" s="1"/>
  <c r="O43" i="40"/>
  <c r="N43" i="40"/>
  <c r="T43" i="40" s="1"/>
  <c r="T44" i="40" s="1"/>
  <c r="S137" i="38" l="1"/>
  <c r="U137" i="38" s="1"/>
  <c r="S135" i="38"/>
  <c r="U135" i="38" s="1"/>
  <c r="S136" i="38"/>
  <c r="U136" i="38" s="1"/>
  <c r="R53" i="40"/>
  <c r="D53" i="40" s="1"/>
  <c r="S53" i="40"/>
  <c r="E54" i="40" s="1"/>
  <c r="P53" i="40"/>
  <c r="B53" i="40" s="1"/>
  <c r="T53" i="40"/>
  <c r="F54" i="40" s="1"/>
  <c r="P43" i="40"/>
  <c r="P44" i="40" s="1"/>
  <c r="Q43" i="40"/>
  <c r="Q44" i="40" s="1"/>
  <c r="S43" i="40"/>
  <c r="S44" i="40" s="1"/>
  <c r="R43" i="40"/>
  <c r="R44" i="40" s="1"/>
  <c r="Q25" i="40"/>
  <c r="P25" i="40"/>
  <c r="O25" i="40"/>
  <c r="N25" i="40"/>
  <c r="Q24" i="40"/>
  <c r="P24" i="40"/>
  <c r="O24" i="40"/>
  <c r="N24" i="40"/>
  <c r="Q23" i="40"/>
  <c r="P23" i="40"/>
  <c r="O23" i="40"/>
  <c r="N23" i="40"/>
  <c r="S22" i="40"/>
  <c r="Q22" i="40"/>
  <c r="P22" i="40"/>
  <c r="O22" i="40"/>
  <c r="N22" i="40"/>
  <c r="S21" i="40"/>
  <c r="Q21" i="40"/>
  <c r="P21" i="40"/>
  <c r="O21" i="40"/>
  <c r="N21" i="40"/>
  <c r="S20" i="40"/>
  <c r="Q20" i="40"/>
  <c r="P20" i="40"/>
  <c r="O20" i="40"/>
  <c r="N20" i="40"/>
  <c r="S19" i="40"/>
  <c r="Q19" i="40"/>
  <c r="P19" i="40"/>
  <c r="O19" i="40"/>
  <c r="N19" i="40"/>
  <c r="D3" i="41"/>
  <c r="R20" i="40" l="1"/>
  <c r="T20" i="40" s="1"/>
  <c r="R22" i="40"/>
  <c r="T22" i="40" s="1"/>
  <c r="R21" i="40"/>
  <c r="T21" i="40" s="1"/>
  <c r="M1" i="40" l="1"/>
  <c r="L1" i="40"/>
  <c r="P32" i="11"/>
  <c r="O41" i="11" s="1"/>
  <c r="P31" i="11"/>
  <c r="O37" i="11" s="1"/>
  <c r="T41" i="11" l="1"/>
  <c r="F41" i="11" s="1"/>
  <c r="X41" i="11"/>
  <c r="D42" i="11" s="1"/>
  <c r="W41" i="11"/>
  <c r="C42" i="11" s="1"/>
  <c r="Z41" i="11"/>
  <c r="F42" i="11" s="1"/>
  <c r="V41" i="11"/>
  <c r="B42" i="11" s="1"/>
  <c r="Y41" i="11"/>
  <c r="E42" i="11" s="1"/>
  <c r="Y37" i="11"/>
  <c r="E38" i="11" s="1"/>
  <c r="X37" i="11"/>
  <c r="D38" i="11" s="1"/>
  <c r="W37" i="11"/>
  <c r="C38" i="11" s="1"/>
  <c r="Z37" i="11"/>
  <c r="F38" i="11" s="1"/>
  <c r="V37" i="11"/>
  <c r="B38" i="11" s="1"/>
  <c r="T37" i="11"/>
  <c r="F37" i="11" s="1"/>
  <c r="Q37" i="11"/>
  <c r="C37" i="11" s="1"/>
  <c r="P37" i="11"/>
  <c r="B37" i="11" s="1"/>
  <c r="R37" i="11"/>
  <c r="D37" i="11" s="1"/>
  <c r="S37" i="11"/>
  <c r="E37" i="11" s="1"/>
  <c r="Q41" i="11"/>
  <c r="C41" i="11" s="1"/>
  <c r="R41" i="11"/>
  <c r="D41" i="11" s="1"/>
  <c r="S41" i="11"/>
  <c r="E41" i="11" s="1"/>
  <c r="P41" i="11"/>
  <c r="B41" i="11" s="1"/>
  <c r="N1" i="40"/>
  <c r="AY193" i="31"/>
  <c r="AY176" i="31"/>
  <c r="AN163" i="31"/>
  <c r="AO163" i="31" s="1"/>
  <c r="S179" i="31" s="1"/>
  <c r="AN164" i="31"/>
  <c r="AO164" i="31" s="1"/>
  <c r="S196" i="31" s="1"/>
  <c r="AL164" i="31"/>
  <c r="AM164" i="31" s="1"/>
  <c r="R196" i="31" s="1"/>
  <c r="AL163" i="31"/>
  <c r="AM163" i="31" s="1"/>
  <c r="R179" i="31" s="1"/>
  <c r="AJ163" i="31"/>
  <c r="AK163" i="31" s="1"/>
  <c r="Q179" i="31" s="1"/>
  <c r="AJ164" i="31"/>
  <c r="AK164" i="31" s="1"/>
  <c r="Q196" i="31" s="1"/>
  <c r="AH164" i="31"/>
  <c r="AI164" i="31" s="1"/>
  <c r="P196" i="31" s="1"/>
  <c r="AH163" i="31"/>
  <c r="AI163" i="31" s="1"/>
  <c r="P179" i="31" s="1"/>
  <c r="AF163" i="31"/>
  <c r="AG163" i="31" s="1"/>
  <c r="O179" i="31" s="1"/>
  <c r="AF164" i="31"/>
  <c r="AG164" i="31" s="1"/>
  <c r="O196" i="31" s="1"/>
  <c r="P155" i="55"/>
  <c r="J127" i="55"/>
  <c r="F188" i="55"/>
  <c r="F164" i="55"/>
  <c r="Q53" i="55"/>
  <c r="O243" i="55"/>
  <c r="P142" i="55"/>
  <c r="M134" i="55"/>
  <c r="M100" i="55"/>
  <c r="Q50" i="55"/>
  <c r="F214" i="55"/>
  <c r="C16" i="55"/>
  <c r="H281" i="55"/>
  <c r="K4" i="55"/>
  <c r="O62" i="55"/>
  <c r="Q82" i="55"/>
  <c r="E283" i="55"/>
  <c r="F132" i="55"/>
  <c r="C119" i="55"/>
  <c r="O149" i="55"/>
  <c r="M245" i="55"/>
  <c r="M150" i="55"/>
  <c r="L135" i="55"/>
  <c r="S844" i="53"/>
  <c r="N12" i="55"/>
  <c r="P35" i="55"/>
  <c r="L40" i="55"/>
  <c r="D148" i="55"/>
  <c r="L12" i="55"/>
  <c r="H86" i="55"/>
  <c r="D257" i="55"/>
  <c r="L21" i="55"/>
  <c r="C190" i="55"/>
  <c r="J273" i="55"/>
  <c r="J230" i="55"/>
  <c r="G25" i="55"/>
  <c r="Q94" i="55"/>
  <c r="L211" i="55"/>
  <c r="Q266" i="55"/>
  <c r="N14" i="55"/>
  <c r="Q221" i="55"/>
  <c r="P135" i="55"/>
  <c r="Q28" i="55"/>
  <c r="N69" i="55"/>
  <c r="F40" i="55"/>
  <c r="L273" i="55"/>
  <c r="D32" i="55"/>
  <c r="F193" i="55"/>
  <c r="L78" i="55"/>
  <c r="N258" i="55"/>
  <c r="C133" i="55"/>
  <c r="H254" i="55"/>
  <c r="H196" i="55"/>
  <c r="E47" i="55"/>
  <c r="E268" i="55"/>
  <c r="O22" i="55"/>
  <c r="L162" i="55"/>
  <c r="E94" i="55"/>
  <c r="Q102" i="55"/>
  <c r="C48" i="55"/>
  <c r="N160" i="55"/>
  <c r="Q34" i="55"/>
  <c r="J59" i="55"/>
  <c r="P70" i="55"/>
  <c r="J95" i="55"/>
  <c r="N186" i="55"/>
  <c r="Q271" i="55"/>
  <c r="O31" i="55"/>
  <c r="P244" i="55"/>
  <c r="C192" i="55"/>
  <c r="D160" i="55"/>
  <c r="O176" i="55"/>
  <c r="C264" i="55"/>
  <c r="P12" i="55"/>
  <c r="N141" i="55"/>
  <c r="L69" i="55"/>
  <c r="N184" i="55"/>
  <c r="O42" i="55"/>
  <c r="L93" i="55"/>
  <c r="J280" i="55"/>
  <c r="Q183" i="55"/>
  <c r="L108" i="55"/>
  <c r="P248" i="55"/>
  <c r="K259" i="55"/>
  <c r="F116" i="55"/>
  <c r="L260" i="55"/>
  <c r="L113" i="55"/>
  <c r="H93" i="55"/>
  <c r="G17" i="55"/>
  <c r="C219" i="55"/>
  <c r="D245" i="55"/>
  <c r="M127" i="55"/>
  <c r="P171" i="55"/>
  <c r="Q111" i="55"/>
  <c r="P79" i="55"/>
  <c r="M140" i="55"/>
  <c r="F222" i="55"/>
  <c r="K245" i="55"/>
  <c r="N276" i="55"/>
  <c r="P32" i="55"/>
  <c r="D268" i="55"/>
  <c r="D12" i="55"/>
  <c r="Q162" i="55"/>
  <c r="C12" i="55"/>
  <c r="F71" i="55"/>
  <c r="H222" i="55"/>
  <c r="H108" i="55"/>
  <c r="D80" i="55"/>
  <c r="L122" i="55"/>
  <c r="L182" i="55"/>
  <c r="E68" i="55"/>
  <c r="L86" i="55"/>
  <c r="Q160" i="55"/>
  <c r="Q224" i="55"/>
  <c r="K23" i="55"/>
  <c r="G157" i="55"/>
  <c r="S504" i="53"/>
  <c r="F273" i="55"/>
  <c r="D122" i="55"/>
  <c r="M197" i="55"/>
  <c r="O185" i="55"/>
  <c r="Q12" i="55"/>
  <c r="P259" i="55"/>
  <c r="M158" i="55"/>
  <c r="O103" i="55"/>
  <c r="Q167" i="55"/>
  <c r="D216" i="55"/>
  <c r="Q206" i="55"/>
  <c r="L75" i="55"/>
  <c r="E214" i="55"/>
  <c r="N257" i="55"/>
  <c r="H187" i="55"/>
  <c r="G189" i="55"/>
  <c r="R190" i="51"/>
  <c r="N40" i="55"/>
  <c r="D94" i="55"/>
  <c r="S681" i="53"/>
  <c r="D103" i="55"/>
  <c r="K69" i="55"/>
  <c r="O10" i="55"/>
  <c r="R348" i="43"/>
  <c r="R22" i="51"/>
  <c r="P114" i="55"/>
  <c r="C239" i="55"/>
  <c r="N224" i="55"/>
  <c r="K242" i="55"/>
  <c r="F16" i="55"/>
  <c r="M40" i="55"/>
  <c r="O28" i="55"/>
  <c r="H279" i="55"/>
  <c r="K90" i="55"/>
  <c r="H172" i="55"/>
  <c r="C75" i="55"/>
  <c r="D142" i="55"/>
  <c r="L8" i="55"/>
  <c r="O21" i="55"/>
  <c r="E140" i="55"/>
  <c r="S374" i="53"/>
  <c r="C187" i="55"/>
  <c r="P136" i="55"/>
  <c r="R284" i="51"/>
  <c r="G113" i="55"/>
  <c r="G269" i="55"/>
  <c r="E284" i="55"/>
  <c r="G91" i="55"/>
  <c r="C199" i="55"/>
  <c r="G86" i="55"/>
  <c r="Q169" i="55"/>
  <c r="E101" i="55"/>
  <c r="P264" i="55"/>
  <c r="D59" i="55"/>
  <c r="H17" i="55"/>
  <c r="G9" i="55"/>
  <c r="O160" i="55"/>
  <c r="O261" i="55"/>
  <c r="E174" i="55"/>
  <c r="N20" i="55"/>
  <c r="O109" i="55"/>
  <c r="P202" i="55"/>
  <c r="G109" i="55"/>
  <c r="H275" i="55"/>
  <c r="E259" i="55"/>
  <c r="Q232" i="55"/>
  <c r="J209" i="55"/>
  <c r="K77" i="55"/>
  <c r="K65" i="55"/>
  <c r="C120" i="55"/>
  <c r="H24" i="55"/>
  <c r="F29" i="55"/>
  <c r="D69" i="55"/>
  <c r="C174" i="55"/>
  <c r="P37" i="55"/>
  <c r="K19" i="55"/>
  <c r="N212" i="55"/>
  <c r="L16" i="55"/>
  <c r="D174" i="55"/>
  <c r="J11" i="55"/>
  <c r="M161" i="55"/>
  <c r="E139" i="55"/>
  <c r="M138" i="55"/>
  <c r="Q273" i="55"/>
  <c r="D276" i="55"/>
  <c r="O260" i="55"/>
  <c r="F130" i="55"/>
  <c r="R131" i="51"/>
  <c r="D38" i="55"/>
  <c r="O75" i="55"/>
  <c r="H184" i="55"/>
  <c r="M264" i="55"/>
  <c r="P274" i="55"/>
  <c r="F242" i="55"/>
  <c r="L240" i="55"/>
  <c r="H156" i="55"/>
  <c r="Q70" i="55"/>
  <c r="F27" i="55"/>
  <c r="M196" i="55"/>
  <c r="S871" i="53"/>
  <c r="O25" i="55"/>
  <c r="Q95" i="55"/>
  <c r="Q55" i="55"/>
  <c r="R230" i="51"/>
  <c r="N37" i="55"/>
  <c r="K152" i="55"/>
  <c r="H51" i="55"/>
  <c r="R243" i="51"/>
  <c r="J158" i="55"/>
  <c r="H56" i="55"/>
  <c r="L171" i="55"/>
  <c r="O145" i="55"/>
  <c r="G64" i="55"/>
  <c r="F19" i="55"/>
  <c r="F5" i="55"/>
  <c r="N280" i="55"/>
  <c r="L29" i="55"/>
  <c r="G98" i="55"/>
  <c r="O164" i="55"/>
  <c r="M77" i="55"/>
  <c r="E5" i="55"/>
  <c r="Q245" i="55"/>
  <c r="J43" i="55"/>
  <c r="P8" i="55"/>
  <c r="P82" i="55"/>
  <c r="E56" i="55"/>
  <c r="C158" i="55"/>
  <c r="G71" i="55"/>
  <c r="C205" i="55"/>
  <c r="J153" i="55"/>
  <c r="H104" i="55"/>
  <c r="O189" i="55"/>
  <c r="K183" i="55"/>
  <c r="P145" i="55"/>
  <c r="E52" i="55"/>
  <c r="C272" i="55"/>
  <c r="C90" i="55"/>
  <c r="F76" i="55"/>
  <c r="O29" i="55"/>
  <c r="P209" i="55"/>
  <c r="F157" i="55"/>
  <c r="K34" i="55"/>
  <c r="C41" i="55"/>
  <c r="O67" i="55"/>
  <c r="E129" i="55"/>
  <c r="F63" i="55"/>
  <c r="G214" i="55"/>
  <c r="G222" i="55"/>
  <c r="G149" i="55"/>
  <c r="C121" i="55"/>
  <c r="N171" i="55"/>
  <c r="N172" i="55"/>
  <c r="D206" i="55"/>
  <c r="G234" i="55"/>
  <c r="P177" i="55"/>
  <c r="F155" i="55"/>
  <c r="C127" i="55"/>
  <c r="D250" i="55"/>
  <c r="F200" i="55"/>
  <c r="C35" i="55"/>
  <c r="J46" i="55"/>
  <c r="N99" i="55"/>
  <c r="J275" i="55"/>
  <c r="N127" i="55"/>
  <c r="D77" i="55"/>
  <c r="H255" i="55"/>
  <c r="K243" i="55"/>
  <c r="P115" i="55"/>
  <c r="H149" i="55"/>
  <c r="C265" i="55"/>
  <c r="M66" i="55"/>
  <c r="C84" i="55"/>
  <c r="K97" i="55"/>
  <c r="O110" i="55"/>
  <c r="K138" i="55"/>
  <c r="H115" i="55"/>
  <c r="M14" i="55"/>
  <c r="P40" i="55"/>
  <c r="D120" i="55"/>
  <c r="H42" i="55"/>
  <c r="M191" i="55"/>
  <c r="N176" i="55"/>
  <c r="F173" i="55"/>
  <c r="H44" i="55"/>
  <c r="O226" i="55"/>
  <c r="E160" i="55"/>
  <c r="E132" i="55"/>
  <c r="C46" i="55"/>
  <c r="H83" i="55"/>
  <c r="K117" i="55"/>
  <c r="J72" i="55"/>
  <c r="K112" i="55"/>
  <c r="K125" i="55"/>
  <c r="L91" i="55"/>
  <c r="C225" i="55"/>
  <c r="M156" i="55"/>
  <c r="D82" i="55"/>
  <c r="P221" i="55"/>
  <c r="C36" i="55"/>
  <c r="S95" i="38"/>
  <c r="J73" i="55"/>
  <c r="K225" i="55"/>
  <c r="P182" i="55"/>
  <c r="N182" i="55"/>
  <c r="M250" i="55"/>
  <c r="G254" i="55"/>
  <c r="M207" i="55"/>
  <c r="K11" i="55"/>
  <c r="J257" i="55"/>
  <c r="K193" i="55"/>
  <c r="P4" i="55"/>
  <c r="G110" i="55"/>
  <c r="J136" i="55"/>
  <c r="P41" i="55"/>
  <c r="G183" i="55"/>
  <c r="P101" i="55"/>
  <c r="E192" i="55"/>
  <c r="L54" i="55"/>
  <c r="C250" i="55"/>
  <c r="P272" i="55"/>
  <c r="K141" i="55"/>
  <c r="M238" i="55"/>
  <c r="H100" i="55"/>
  <c r="M177" i="55"/>
  <c r="K203" i="55"/>
  <c r="H74" i="55"/>
  <c r="F83" i="55"/>
  <c r="F223" i="55"/>
  <c r="N189" i="55"/>
  <c r="H238" i="55"/>
  <c r="J139" i="55"/>
  <c r="O102" i="55"/>
  <c r="E66" i="55"/>
  <c r="N32" i="55"/>
  <c r="G204" i="55"/>
  <c r="P186" i="55"/>
  <c r="D73" i="55"/>
  <c r="J126" i="55"/>
  <c r="J244" i="55"/>
  <c r="K93" i="55"/>
  <c r="O68" i="55"/>
  <c r="R90" i="52"/>
  <c r="M240" i="55"/>
  <c r="J176" i="55"/>
  <c r="M227" i="55"/>
  <c r="K123" i="55"/>
  <c r="Q205" i="55"/>
  <c r="P278" i="55"/>
  <c r="J228" i="55"/>
  <c r="L189" i="55"/>
  <c r="H206" i="55"/>
  <c r="H262" i="55"/>
  <c r="Q151" i="55"/>
  <c r="J179" i="55"/>
  <c r="H13" i="37"/>
  <c r="S52" i="38"/>
  <c r="O274" i="55"/>
  <c r="F78" i="55"/>
  <c r="Q180" i="55"/>
  <c r="F153" i="55"/>
  <c r="R272" i="51"/>
  <c r="G142" i="55"/>
  <c r="K170" i="55"/>
  <c r="P158" i="55"/>
  <c r="C178" i="55"/>
  <c r="P26" i="55"/>
  <c r="F148" i="55"/>
  <c r="L125" i="55"/>
  <c r="H215" i="55"/>
  <c r="Q238" i="55"/>
  <c r="J21" i="55"/>
  <c r="Q146" i="55"/>
  <c r="D61" i="55"/>
  <c r="N38" i="55"/>
  <c r="J217" i="55"/>
  <c r="E265" i="55"/>
  <c r="E190" i="55"/>
  <c r="H69" i="55"/>
  <c r="G129" i="55"/>
  <c r="N210" i="55"/>
  <c r="P59" i="55"/>
  <c r="C170" i="55"/>
  <c r="F62" i="55"/>
  <c r="N5" i="55"/>
  <c r="Q121" i="55"/>
  <c r="K265" i="55"/>
  <c r="G283" i="55"/>
  <c r="J187" i="55"/>
  <c r="R120" i="51"/>
  <c r="E186" i="55"/>
  <c r="C243" i="55"/>
  <c r="C230" i="55"/>
  <c r="H58" i="55"/>
  <c r="D22" i="55"/>
  <c r="K104" i="55"/>
  <c r="O50" i="55"/>
  <c r="C137" i="55"/>
  <c r="L133" i="55"/>
  <c r="D65" i="55"/>
  <c r="F160" i="55"/>
  <c r="E181" i="55"/>
  <c r="S640" i="53"/>
  <c r="L263" i="55"/>
  <c r="E188" i="55"/>
  <c r="D53" i="55"/>
  <c r="J66" i="55"/>
  <c r="D45" i="55"/>
  <c r="J229" i="55"/>
  <c r="M201" i="55"/>
  <c r="G271" i="55"/>
  <c r="R279" i="51"/>
  <c r="E133" i="55"/>
  <c r="E209" i="55"/>
  <c r="N47" i="55"/>
  <c r="H94" i="55"/>
  <c r="P111" i="55"/>
  <c r="C169" i="55"/>
  <c r="D207" i="55"/>
  <c r="G111" i="55"/>
  <c r="M28" i="55"/>
  <c r="O267" i="55"/>
  <c r="N111" i="55"/>
  <c r="Q92" i="55"/>
  <c r="N194" i="55"/>
  <c r="M84" i="55"/>
  <c r="G10" i="55"/>
  <c r="G85" i="55"/>
  <c r="D147" i="55"/>
  <c r="M136" i="55"/>
  <c r="H256" i="55"/>
  <c r="N191" i="55"/>
  <c r="O204" i="55"/>
  <c r="K199" i="55"/>
  <c r="R84" i="27"/>
  <c r="S678" i="53"/>
  <c r="Q193" i="55"/>
  <c r="E58" i="55"/>
  <c r="H258" i="55"/>
  <c r="O4" i="55"/>
  <c r="O232" i="55"/>
  <c r="N8" i="55"/>
  <c r="G190" i="55"/>
  <c r="C236" i="55"/>
  <c r="N242" i="55"/>
  <c r="H60" i="55"/>
  <c r="S883" i="53"/>
  <c r="G134" i="55"/>
  <c r="J190" i="55"/>
  <c r="E15" i="55"/>
  <c r="L70" i="55"/>
  <c r="D4" i="55"/>
  <c r="D9" i="55"/>
  <c r="K54" i="55"/>
  <c r="E21" i="55"/>
  <c r="Q134" i="55"/>
  <c r="G241" i="55"/>
  <c r="F275" i="55"/>
  <c r="D264" i="55"/>
  <c r="K220" i="55"/>
  <c r="C183" i="55"/>
  <c r="K275" i="55"/>
  <c r="Q190" i="55"/>
  <c r="R36" i="52"/>
  <c r="D37" i="55"/>
  <c r="K222" i="55"/>
  <c r="J28" i="55"/>
  <c r="Q32" i="55"/>
  <c r="G237" i="55"/>
  <c r="O194" i="55"/>
  <c r="K187" i="55"/>
  <c r="E30" i="55"/>
  <c r="N39" i="55"/>
  <c r="E138" i="55"/>
  <c r="J112" i="55"/>
  <c r="H174" i="55"/>
  <c r="F17" i="55"/>
  <c r="O40" i="55"/>
  <c r="D28" i="55"/>
  <c r="F251" i="55"/>
  <c r="D36" i="55"/>
  <c r="E146" i="55"/>
  <c r="F271" i="55"/>
  <c r="G236" i="55"/>
  <c r="D115" i="55"/>
  <c r="G174" i="55"/>
  <c r="Q251" i="55"/>
  <c r="L210" i="55"/>
  <c r="C11" i="55"/>
  <c r="P84" i="55"/>
  <c r="E281" i="55"/>
  <c r="M106" i="55"/>
  <c r="O121" i="55"/>
  <c r="K231" i="55"/>
  <c r="K59" i="55"/>
  <c r="F206" i="55"/>
  <c r="M162" i="55"/>
  <c r="E81" i="55"/>
  <c r="L35" i="55"/>
  <c r="J94" i="55"/>
  <c r="S107" i="38"/>
  <c r="Q44" i="55"/>
  <c r="J119" i="55"/>
  <c r="K94" i="55"/>
  <c r="O227" i="55"/>
  <c r="R88" i="52"/>
  <c r="P38" i="55"/>
  <c r="M120" i="55"/>
  <c r="Q88" i="55"/>
  <c r="O167" i="55"/>
  <c r="N217" i="55"/>
  <c r="M257" i="55"/>
  <c r="E113" i="55"/>
  <c r="J131" i="55"/>
  <c r="O202" i="55"/>
  <c r="H197" i="55"/>
  <c r="M55" i="55"/>
  <c r="F185" i="55"/>
  <c r="O45" i="55"/>
  <c r="M216" i="55"/>
  <c r="K281" i="55"/>
  <c r="Q9" i="55"/>
  <c r="J105" i="55"/>
  <c r="O78" i="55"/>
  <c r="G230" i="55"/>
  <c r="Q177" i="55"/>
  <c r="G12" i="55"/>
  <c r="E131" i="55"/>
  <c r="C24" i="55"/>
  <c r="P277" i="55"/>
  <c r="Q21" i="55"/>
  <c r="L270" i="55"/>
  <c r="D211" i="55"/>
  <c r="F213" i="55"/>
  <c r="R153" i="43"/>
  <c r="C57" i="55"/>
  <c r="J129" i="55"/>
  <c r="K206" i="55"/>
  <c r="G192" i="55"/>
  <c r="O144" i="55"/>
  <c r="H39" i="55"/>
  <c r="D283" i="55"/>
  <c r="Q5" i="55"/>
  <c r="K274" i="55"/>
  <c r="M155" i="55"/>
  <c r="O180" i="55"/>
  <c r="F281" i="55"/>
  <c r="Q114" i="55"/>
  <c r="S448" i="53"/>
  <c r="D205" i="55"/>
  <c r="L168" i="55"/>
  <c r="N265" i="55"/>
  <c r="D157" i="55"/>
  <c r="S91" i="38"/>
  <c r="Q133" i="55"/>
  <c r="D167" i="55"/>
  <c r="H71" i="55"/>
  <c r="G39" i="55"/>
  <c r="F82" i="55"/>
  <c r="E149" i="55"/>
  <c r="M249" i="55"/>
  <c r="E168" i="55"/>
  <c r="C132" i="55"/>
  <c r="K48" i="55"/>
  <c r="C92" i="55"/>
  <c r="H266" i="55"/>
  <c r="M281" i="55"/>
  <c r="M76" i="55"/>
  <c r="O245" i="55"/>
  <c r="S676" i="53"/>
  <c r="L275" i="55"/>
  <c r="R46" i="51"/>
  <c r="H193" i="55"/>
  <c r="P50" i="55"/>
  <c r="G20" i="55"/>
  <c r="D192" i="55"/>
  <c r="L74" i="55"/>
  <c r="P169" i="55"/>
  <c r="S639" i="53"/>
  <c r="C160" i="55"/>
  <c r="Q163" i="55"/>
  <c r="G191" i="55"/>
  <c r="E54" i="55"/>
  <c r="S331" i="53"/>
  <c r="N21" i="55"/>
  <c r="M194" i="55"/>
  <c r="L151" i="55"/>
  <c r="L190" i="55"/>
  <c r="P123" i="55"/>
  <c r="H153" i="55"/>
  <c r="C279" i="55"/>
  <c r="H72" i="55"/>
  <c r="H118" i="55"/>
  <c r="F73" i="55"/>
  <c r="P48" i="55"/>
  <c r="K260" i="55"/>
  <c r="P206" i="55"/>
  <c r="H263" i="55"/>
  <c r="C91" i="55"/>
  <c r="M269" i="55"/>
  <c r="L173" i="55"/>
  <c r="J130" i="55"/>
  <c r="L186" i="55"/>
  <c r="P265" i="55"/>
  <c r="J165" i="55"/>
  <c r="K127" i="55"/>
  <c r="Q74" i="55"/>
  <c r="L175" i="55"/>
  <c r="G239" i="55"/>
  <c r="O37" i="55"/>
  <c r="M54" i="55"/>
  <c r="H171" i="55"/>
  <c r="E262" i="55"/>
  <c r="K179" i="55"/>
  <c r="F250" i="55"/>
  <c r="N255" i="55"/>
  <c r="K246" i="55"/>
  <c r="J41" i="55"/>
  <c r="G275" i="55"/>
  <c r="S544" i="53"/>
  <c r="D153" i="55"/>
  <c r="N158" i="55"/>
  <c r="G233" i="55"/>
  <c r="K114" i="55"/>
  <c r="G7" i="55"/>
  <c r="F118" i="55"/>
  <c r="F48" i="55"/>
  <c r="R24" i="51"/>
  <c r="S66" i="38"/>
  <c r="E251" i="55"/>
  <c r="D96" i="55"/>
  <c r="E78" i="55"/>
  <c r="J245" i="55"/>
  <c r="H201" i="55"/>
  <c r="D95" i="55"/>
  <c r="J109" i="55"/>
  <c r="Q255" i="55"/>
  <c r="P210" i="55"/>
  <c r="K14" i="55"/>
  <c r="P75" i="55"/>
  <c r="L176" i="55"/>
  <c r="P176" i="55"/>
  <c r="O156" i="55"/>
  <c r="H242" i="55"/>
  <c r="P134" i="55"/>
  <c r="R244" i="51"/>
  <c r="F189" i="55"/>
  <c r="M96" i="55"/>
  <c r="O161" i="55"/>
  <c r="K164" i="55"/>
  <c r="C66" i="55"/>
  <c r="H181" i="55"/>
  <c r="G194" i="55"/>
  <c r="N106" i="55"/>
  <c r="C126" i="55"/>
  <c r="H107" i="55"/>
  <c r="O246" i="55"/>
  <c r="Q155" i="55"/>
  <c r="K167" i="55"/>
  <c r="E145" i="55"/>
  <c r="L161" i="55"/>
  <c r="K124" i="55"/>
  <c r="E158" i="55"/>
  <c r="K204" i="55"/>
  <c r="Q174" i="55"/>
  <c r="E231" i="55"/>
  <c r="M42" i="55"/>
  <c r="D244" i="55"/>
  <c r="O85" i="55"/>
  <c r="N207" i="55"/>
  <c r="N161" i="55"/>
  <c r="Q26" i="55"/>
  <c r="K266" i="55"/>
  <c r="F217" i="55"/>
  <c r="F91" i="55"/>
  <c r="Q252" i="55"/>
  <c r="K276" i="55"/>
  <c r="K248" i="55"/>
  <c r="E50" i="55"/>
  <c r="H76" i="55"/>
  <c r="H253" i="55"/>
  <c r="J270" i="55"/>
  <c r="K190" i="55"/>
  <c r="F210" i="55"/>
  <c r="J124" i="55"/>
  <c r="D173" i="55"/>
  <c r="K157" i="55"/>
  <c r="Q185" i="55"/>
  <c r="E57" i="55"/>
  <c r="M15" i="55"/>
  <c r="N268" i="55"/>
  <c r="C116" i="55"/>
  <c r="C269" i="55"/>
  <c r="F235" i="55"/>
  <c r="F255" i="55"/>
  <c r="S32" i="53"/>
  <c r="Q45" i="55"/>
  <c r="D182" i="55"/>
  <c r="Q81" i="55"/>
  <c r="J40" i="55"/>
  <c r="L10" i="55"/>
  <c r="G219" i="55"/>
  <c r="M192" i="55"/>
  <c r="N232" i="55"/>
  <c r="Q225" i="55"/>
  <c r="E65" i="55"/>
  <c r="K140" i="55"/>
  <c r="O122" i="55"/>
  <c r="C252" i="55"/>
  <c r="F138" i="55"/>
  <c r="K277" i="55"/>
  <c r="M21" i="55"/>
  <c r="O133" i="55"/>
  <c r="D146" i="55"/>
  <c r="N46" i="55"/>
  <c r="H212" i="55"/>
  <c r="H66" i="55"/>
  <c r="G76" i="55"/>
  <c r="M280" i="55"/>
  <c r="F211" i="55"/>
  <c r="N59" i="55"/>
  <c r="J138" i="55"/>
  <c r="M199" i="55"/>
  <c r="O100" i="55"/>
  <c r="C3" i="55"/>
  <c r="D265" i="55"/>
  <c r="Q51" i="55"/>
  <c r="N50" i="55"/>
  <c r="P269" i="55"/>
  <c r="N45" i="55"/>
  <c r="L228" i="55"/>
  <c r="K98" i="55"/>
  <c r="Q237" i="55"/>
  <c r="N85" i="55"/>
  <c r="N93" i="55"/>
  <c r="K84" i="55"/>
  <c r="Q189" i="55"/>
  <c r="D56" i="55"/>
  <c r="P167" i="55"/>
  <c r="O117" i="55"/>
  <c r="Q242" i="55"/>
  <c r="H221" i="55"/>
  <c r="M137" i="55"/>
  <c r="H239" i="55"/>
  <c r="F248" i="55"/>
  <c r="P211" i="55"/>
  <c r="P173" i="55"/>
  <c r="H204" i="55"/>
  <c r="N254" i="55"/>
  <c r="N249" i="55"/>
  <c r="J133" i="55"/>
  <c r="D27" i="55"/>
  <c r="R186" i="51"/>
  <c r="J211" i="55"/>
  <c r="N91" i="55"/>
  <c r="D181" i="55"/>
  <c r="F126" i="55"/>
  <c r="G173" i="55"/>
  <c r="S791" i="53"/>
  <c r="N146" i="55"/>
  <c r="M268" i="55"/>
  <c r="N104" i="55"/>
  <c r="F103" i="55"/>
  <c r="L114" i="55"/>
  <c r="J223" i="55"/>
  <c r="D84" i="55"/>
  <c r="H111" i="55"/>
  <c r="H199" i="55"/>
  <c r="L212" i="55"/>
  <c r="E229" i="55"/>
  <c r="G89" i="55"/>
  <c r="H211" i="55"/>
  <c r="C77" i="55"/>
  <c r="F270" i="55"/>
  <c r="F54" i="55"/>
  <c r="M118" i="55"/>
  <c r="M174" i="55"/>
  <c r="N131" i="55"/>
  <c r="K71" i="55"/>
  <c r="E257" i="55"/>
  <c r="S315" i="53"/>
  <c r="M210" i="55"/>
  <c r="N94" i="55"/>
  <c r="P24" i="55"/>
  <c r="C186" i="55"/>
  <c r="L279" i="55"/>
  <c r="L142" i="55"/>
  <c r="H5" i="55"/>
  <c r="Q246" i="55"/>
  <c r="O225" i="55"/>
  <c r="D126" i="55"/>
  <c r="S878" i="53"/>
  <c r="E117" i="55"/>
  <c r="Q69" i="55"/>
  <c r="F219" i="55"/>
  <c r="D189" i="55"/>
  <c r="C177" i="55"/>
  <c r="J48" i="55"/>
  <c r="F125" i="55"/>
  <c r="Q156" i="55"/>
  <c r="G103" i="55"/>
  <c r="F14" i="55"/>
  <c r="P166" i="55"/>
  <c r="F43" i="55"/>
  <c r="Q148" i="55"/>
  <c r="Q75" i="55"/>
  <c r="N243" i="55"/>
  <c r="D15" i="55"/>
  <c r="C27" i="55"/>
  <c r="F165" i="55"/>
  <c r="M259" i="55"/>
  <c r="Q283" i="55"/>
  <c r="T21" i="44"/>
  <c r="J268" i="55"/>
  <c r="Q56" i="55"/>
  <c r="O264" i="55"/>
  <c r="D97" i="55"/>
  <c r="M16" i="55"/>
  <c r="J110" i="55"/>
  <c r="R159" i="43"/>
  <c r="N88" i="55"/>
  <c r="P174" i="55"/>
  <c r="K99" i="55"/>
  <c r="C13" i="55"/>
  <c r="J175" i="55"/>
  <c r="C253" i="55"/>
  <c r="L97" i="55"/>
  <c r="D239" i="55"/>
  <c r="H164" i="55"/>
  <c r="N167" i="55"/>
  <c r="G94" i="55"/>
  <c r="H101" i="55"/>
  <c r="O136" i="55"/>
  <c r="N143" i="55"/>
  <c r="F158" i="55"/>
  <c r="O217" i="55"/>
  <c r="L222" i="55"/>
  <c r="P138" i="55"/>
  <c r="M208" i="55"/>
  <c r="C217" i="55"/>
  <c r="D280" i="55"/>
  <c r="N222" i="55"/>
  <c r="L39" i="55"/>
  <c r="C8" i="55"/>
  <c r="E256" i="55"/>
  <c r="P73" i="55"/>
  <c r="J162" i="55"/>
  <c r="M211" i="55"/>
  <c r="D260" i="55"/>
  <c r="G115" i="55"/>
  <c r="G264" i="55"/>
  <c r="H240" i="55"/>
  <c r="P215" i="55"/>
  <c r="C118" i="55"/>
  <c r="D34" i="55"/>
  <c r="O216" i="55"/>
  <c r="K101" i="55"/>
  <c r="M222" i="55"/>
  <c r="J123" i="55"/>
  <c r="E232" i="55"/>
  <c r="N68" i="55"/>
  <c r="M157" i="55"/>
  <c r="P13" i="55"/>
  <c r="N169" i="55"/>
  <c r="D49" i="55"/>
  <c r="D238" i="55"/>
  <c r="G54" i="55"/>
  <c r="Q11" i="55"/>
  <c r="F266" i="55"/>
  <c r="C98" i="55"/>
  <c r="C50" i="55"/>
  <c r="F142" i="55"/>
  <c r="O56" i="55"/>
  <c r="C26" i="55"/>
  <c r="J14" i="55"/>
  <c r="G266" i="55"/>
  <c r="M275" i="55"/>
  <c r="G128" i="55"/>
  <c r="G57" i="55"/>
  <c r="J81" i="55"/>
  <c r="C38" i="55"/>
  <c r="D76" i="55"/>
  <c r="H62" i="55"/>
  <c r="Q19" i="55"/>
  <c r="H277" i="55"/>
  <c r="M128" i="55"/>
  <c r="C86" i="55"/>
  <c r="E84" i="55"/>
  <c r="J253" i="55"/>
  <c r="C85" i="55"/>
  <c r="P31" i="55"/>
  <c r="L144" i="55"/>
  <c r="N83" i="55"/>
  <c r="O18" i="55"/>
  <c r="H141" i="55"/>
  <c r="J56" i="55"/>
  <c r="D98" i="55"/>
  <c r="P188" i="55"/>
  <c r="L15" i="55"/>
  <c r="Q14" i="55"/>
  <c r="J149" i="55"/>
  <c r="P36" i="55"/>
  <c r="N195" i="55"/>
  <c r="G123" i="55"/>
  <c r="Q229" i="55"/>
  <c r="H54" i="55"/>
  <c r="E252" i="55"/>
  <c r="G61" i="55"/>
  <c r="L89" i="55"/>
  <c r="M82" i="55"/>
  <c r="O165" i="55"/>
  <c r="F114" i="55"/>
  <c r="L6" i="55"/>
  <c r="G13" i="55"/>
  <c r="P242" i="55"/>
  <c r="Q278" i="55"/>
  <c r="L164" i="55"/>
  <c r="N231" i="55"/>
  <c r="M266" i="55"/>
  <c r="N134" i="55"/>
  <c r="P212" i="55"/>
  <c r="R49" i="51"/>
  <c r="L218" i="55"/>
  <c r="G159" i="55"/>
  <c r="R233" i="51"/>
  <c r="N139" i="55"/>
  <c r="E80" i="55"/>
  <c r="F128" i="55"/>
  <c r="J142" i="55"/>
  <c r="C258" i="55"/>
  <c r="J198" i="55"/>
  <c r="H114" i="55"/>
  <c r="O222" i="55"/>
  <c r="N175" i="55"/>
  <c r="Q107" i="55"/>
  <c r="C213" i="55"/>
  <c r="K173" i="55"/>
  <c r="C18" i="55"/>
  <c r="G193" i="55"/>
  <c r="P77" i="55"/>
  <c r="M29" i="55"/>
  <c r="Q66" i="55"/>
  <c r="G181" i="55"/>
  <c r="J252" i="55"/>
  <c r="S793" i="53"/>
  <c r="P11" i="55"/>
  <c r="C56" i="55"/>
  <c r="K29" i="55"/>
  <c r="Q176" i="55"/>
  <c r="M68" i="55"/>
  <c r="Q106" i="55"/>
  <c r="S728" i="53"/>
  <c r="H87" i="55"/>
  <c r="J201" i="55"/>
  <c r="N204" i="55"/>
  <c r="F64" i="55"/>
  <c r="P53" i="55"/>
  <c r="S93" i="38"/>
  <c r="M277" i="55"/>
  <c r="G238" i="55"/>
  <c r="J55" i="55"/>
  <c r="Q218" i="55"/>
  <c r="C143" i="55"/>
  <c r="S33" i="53"/>
  <c r="S61" i="53"/>
  <c r="L185" i="55"/>
  <c r="O282" i="55"/>
  <c r="D278" i="55"/>
  <c r="C81" i="55"/>
  <c r="Q202" i="55"/>
  <c r="C9" i="55"/>
  <c r="P100" i="55"/>
  <c r="E248" i="55"/>
  <c r="D132" i="55"/>
  <c r="O206" i="55"/>
  <c r="L157" i="55"/>
  <c r="E83" i="55"/>
  <c r="O124" i="55"/>
  <c r="R130" i="51"/>
  <c r="N233" i="55"/>
  <c r="F140" i="55"/>
  <c r="S326" i="53"/>
  <c r="P109" i="55"/>
  <c r="K200" i="55"/>
  <c r="F53" i="55"/>
  <c r="D214" i="55"/>
  <c r="R335" i="43"/>
  <c r="N26" i="55"/>
  <c r="P247" i="55"/>
  <c r="F181" i="55"/>
  <c r="C55" i="55"/>
  <c r="K47" i="55"/>
  <c r="M154" i="55"/>
  <c r="D228" i="55"/>
  <c r="K40" i="55"/>
  <c r="F151" i="55"/>
  <c r="O76" i="55"/>
  <c r="R232" i="51"/>
  <c r="K177" i="55"/>
  <c r="C25" i="55"/>
  <c r="D41" i="55"/>
  <c r="L174" i="55"/>
  <c r="N4" i="55"/>
  <c r="E193" i="55"/>
  <c r="H157" i="55"/>
  <c r="P279" i="55"/>
  <c r="S882" i="53"/>
  <c r="F99" i="55"/>
  <c r="G243" i="55"/>
  <c r="D199" i="55"/>
  <c r="O128" i="55"/>
  <c r="N102" i="55"/>
  <c r="D23" i="55"/>
  <c r="O96" i="55"/>
  <c r="H271" i="55"/>
  <c r="D215" i="55"/>
  <c r="F9" i="55"/>
  <c r="S361" i="53"/>
  <c r="N278" i="55"/>
  <c r="G206" i="55"/>
  <c r="E191" i="55"/>
  <c r="C112" i="55"/>
  <c r="N103" i="55"/>
  <c r="L84" i="55"/>
  <c r="G145" i="55"/>
  <c r="S16" i="53"/>
  <c r="F207" i="55"/>
  <c r="L47" i="55"/>
  <c r="M30" i="55"/>
  <c r="O126" i="55"/>
  <c r="L230" i="55"/>
  <c r="F139" i="55"/>
  <c r="J137" i="55"/>
  <c r="M224" i="55"/>
  <c r="K210" i="55"/>
  <c r="D136" i="55"/>
  <c r="G92" i="55"/>
  <c r="K158" i="55"/>
  <c r="D118" i="55"/>
  <c r="D139" i="55"/>
  <c r="N221" i="55"/>
  <c r="J204" i="55"/>
  <c r="M267" i="55"/>
  <c r="O174" i="55"/>
  <c r="S108" i="38"/>
  <c r="E200" i="55"/>
  <c r="O35" i="55"/>
  <c r="E203" i="55"/>
  <c r="L77" i="55"/>
  <c r="F254" i="55"/>
  <c r="N2" i="55"/>
  <c r="E235" i="55"/>
  <c r="O12" i="55"/>
  <c r="E124" i="55"/>
  <c r="P51" i="55"/>
  <c r="H145" i="55"/>
  <c r="O120" i="55"/>
  <c r="O105" i="55"/>
  <c r="M124" i="55"/>
  <c r="J12" i="55"/>
  <c r="E67" i="55"/>
  <c r="D154" i="55"/>
  <c r="E26" i="55"/>
  <c r="D7" i="55"/>
  <c r="G179" i="55"/>
  <c r="O92" i="55"/>
  <c r="H91" i="55"/>
  <c r="F159" i="55"/>
  <c r="Q201" i="55"/>
  <c r="L272" i="55"/>
  <c r="H27" i="55"/>
  <c r="F93" i="55"/>
  <c r="D125" i="55"/>
  <c r="J226" i="55"/>
  <c r="S517" i="53"/>
  <c r="S869" i="53"/>
  <c r="G212" i="55"/>
  <c r="J231" i="55"/>
  <c r="R35" i="52"/>
  <c r="L33" i="55"/>
  <c r="G15" i="55"/>
  <c r="G136" i="55"/>
  <c r="O268" i="55"/>
  <c r="P49" i="55"/>
  <c r="O13" i="55"/>
  <c r="C109" i="55"/>
  <c r="M27" i="55"/>
  <c r="O171" i="55"/>
  <c r="M230" i="55"/>
  <c r="F79" i="55"/>
  <c r="L103" i="55"/>
  <c r="C34" i="55"/>
  <c r="P179" i="55"/>
  <c r="C268" i="55"/>
  <c r="H167" i="55"/>
  <c r="E38" i="55"/>
  <c r="G70" i="55"/>
  <c r="E118" i="55"/>
  <c r="R95" i="27"/>
  <c r="P94" i="55"/>
  <c r="D87" i="55"/>
  <c r="K80" i="55"/>
  <c r="H177" i="55"/>
  <c r="H55" i="55"/>
  <c r="M37" i="55"/>
  <c r="N132" i="55"/>
  <c r="O172" i="55"/>
  <c r="M251" i="55"/>
  <c r="H158" i="55"/>
  <c r="E89" i="55"/>
  <c r="F120" i="55"/>
  <c r="M17" i="55"/>
  <c r="K244" i="55"/>
  <c r="M202" i="55"/>
  <c r="F231" i="55"/>
  <c r="H92" i="55"/>
  <c r="N110" i="55"/>
  <c r="P110" i="55"/>
  <c r="Q80" i="55"/>
  <c r="J5" i="55"/>
  <c r="O148" i="55"/>
  <c r="M159" i="55"/>
  <c r="N153" i="55"/>
  <c r="D246" i="55"/>
  <c r="H125" i="55"/>
  <c r="D254" i="55"/>
  <c r="J197" i="55"/>
  <c r="H40" i="55"/>
  <c r="P225" i="55"/>
  <c r="G80" i="55"/>
  <c r="J116" i="55"/>
  <c r="D284" i="55"/>
  <c r="O139" i="55"/>
  <c r="S96" i="38"/>
  <c r="K33" i="55"/>
  <c r="P22" i="55"/>
  <c r="F20" i="55"/>
  <c r="C79" i="55"/>
  <c r="G41" i="55"/>
  <c r="O108" i="55"/>
  <c r="K61" i="55"/>
  <c r="N259" i="55"/>
  <c r="Q159" i="55"/>
  <c r="K171" i="55"/>
  <c r="P54" i="55"/>
  <c r="C139" i="55"/>
  <c r="L24" i="55"/>
  <c r="L234" i="55"/>
  <c r="F110" i="55"/>
  <c r="Q164" i="55"/>
  <c r="J283" i="55"/>
  <c r="N118" i="55"/>
  <c r="K38" i="55"/>
  <c r="G259" i="55"/>
  <c r="P190" i="55"/>
  <c r="O95" i="55"/>
  <c r="O111" i="55"/>
  <c r="H186" i="55"/>
  <c r="Q49" i="55"/>
  <c r="O278" i="55"/>
  <c r="G184" i="55"/>
  <c r="Q179" i="55"/>
  <c r="N95" i="55"/>
  <c r="P91" i="55"/>
  <c r="G262" i="55"/>
  <c r="P214" i="55"/>
  <c r="Q6" i="55"/>
  <c r="L61" i="55"/>
  <c r="N128" i="55"/>
  <c r="M151" i="55"/>
  <c r="K63" i="55"/>
  <c r="L208" i="55"/>
  <c r="Q217" i="55"/>
  <c r="K282" i="55"/>
  <c r="K66" i="55"/>
  <c r="N149" i="55"/>
  <c r="H106" i="55"/>
  <c r="J13" i="55"/>
  <c r="E37" i="55"/>
  <c r="K64" i="55"/>
  <c r="D247" i="55"/>
  <c r="M131" i="55"/>
  <c r="S845" i="53"/>
  <c r="E147" i="55"/>
  <c r="N130" i="55"/>
  <c r="P93" i="55"/>
  <c r="M185" i="55"/>
  <c r="F89" i="55"/>
  <c r="F175" i="55"/>
  <c r="N273" i="55"/>
  <c r="M182" i="55"/>
  <c r="C173" i="55"/>
  <c r="D263" i="55"/>
  <c r="D194" i="55"/>
  <c r="J134" i="55"/>
  <c r="S265" i="53"/>
  <c r="E279" i="55"/>
  <c r="C106" i="55"/>
  <c r="L25" i="55"/>
  <c r="Q222" i="55"/>
  <c r="O272" i="55"/>
  <c r="D128" i="55"/>
  <c r="M220" i="55"/>
  <c r="K233" i="55"/>
  <c r="K68" i="55"/>
  <c r="P6" i="55"/>
  <c r="F26" i="55"/>
  <c r="L221" i="55"/>
  <c r="H165" i="55"/>
  <c r="F195" i="55"/>
  <c r="K67" i="55"/>
  <c r="H105" i="55"/>
  <c r="L17" i="55"/>
  <c r="L193" i="55"/>
  <c r="J146" i="55"/>
  <c r="K269" i="55"/>
  <c r="M147" i="55"/>
  <c r="K20" i="55"/>
  <c r="D72" i="55"/>
  <c r="C175" i="55"/>
  <c r="L241" i="55"/>
  <c r="C93" i="55"/>
  <c r="M101" i="55"/>
  <c r="D152" i="55"/>
  <c r="E17" i="55"/>
  <c r="K87" i="55"/>
  <c r="E148" i="55"/>
  <c r="Q97" i="55"/>
  <c r="P27" i="55"/>
  <c r="M73" i="55"/>
  <c r="H49" i="55"/>
  <c r="J172" i="55"/>
  <c r="C195" i="55"/>
  <c r="C115" i="55"/>
  <c r="N205" i="55"/>
  <c r="F6" i="55"/>
  <c r="Q197" i="55"/>
  <c r="F92" i="55"/>
  <c r="E241" i="55"/>
  <c r="J163" i="55"/>
  <c r="E28" i="55"/>
  <c r="J128" i="55"/>
  <c r="N211" i="55"/>
  <c r="S320" i="53"/>
  <c r="P87" i="55"/>
  <c r="D196" i="55"/>
  <c r="C15" i="55"/>
  <c r="K122" i="55"/>
  <c r="P249" i="55"/>
  <c r="D78" i="55"/>
  <c r="L44" i="55"/>
  <c r="N235" i="55"/>
  <c r="C100" i="55"/>
  <c r="C142" i="55"/>
  <c r="E271" i="55"/>
  <c r="C107" i="55"/>
  <c r="H173" i="55"/>
  <c r="F150" i="55"/>
  <c r="R115" i="51"/>
  <c r="H46" i="55"/>
  <c r="D201" i="55"/>
  <c r="M225" i="55"/>
  <c r="G176" i="55"/>
  <c r="K32" i="55"/>
  <c r="N150" i="55"/>
  <c r="M232" i="55"/>
  <c r="G2" i="55"/>
  <c r="O147" i="55"/>
  <c r="N275" i="55"/>
  <c r="E77" i="55"/>
  <c r="Q168" i="55"/>
  <c r="K102" i="55"/>
  <c r="C171" i="55"/>
  <c r="E227" i="55"/>
  <c r="J141" i="55"/>
  <c r="L134" i="55"/>
  <c r="O223" i="55"/>
  <c r="N262" i="55"/>
  <c r="Q209" i="55"/>
  <c r="K2" i="55"/>
  <c r="C153" i="55"/>
  <c r="J92" i="55"/>
  <c r="C45" i="55"/>
  <c r="C227" i="55"/>
  <c r="Q195" i="55"/>
  <c r="M69" i="55"/>
  <c r="G224" i="55"/>
  <c r="R125" i="43"/>
  <c r="J115" i="55"/>
  <c r="R86" i="52"/>
  <c r="F86" i="55"/>
  <c r="G250" i="55"/>
  <c r="P112" i="55"/>
  <c r="N252" i="55"/>
  <c r="N230" i="55"/>
  <c r="O240" i="55"/>
  <c r="P284" i="55"/>
  <c r="K75" i="55"/>
  <c r="J154" i="55"/>
  <c r="D163" i="55"/>
  <c r="K5" i="55"/>
  <c r="N228" i="55"/>
  <c r="E236" i="55"/>
  <c r="E105" i="55"/>
  <c r="F50" i="55"/>
  <c r="N67" i="55"/>
  <c r="Q284" i="55"/>
  <c r="R201" i="51"/>
  <c r="J195" i="55"/>
  <c r="P60" i="55"/>
  <c r="R18" i="51"/>
  <c r="P237" i="55"/>
  <c r="Q122" i="55"/>
  <c r="C273" i="55"/>
  <c r="E14" i="55"/>
  <c r="F163" i="55"/>
  <c r="N136" i="55"/>
  <c r="G188" i="55"/>
  <c r="C70" i="55"/>
  <c r="Q267" i="55"/>
  <c r="C140" i="55"/>
  <c r="M233" i="55"/>
  <c r="D186" i="55"/>
  <c r="N162" i="55"/>
  <c r="G268" i="55"/>
  <c r="C99" i="55"/>
  <c r="C161" i="55"/>
  <c r="O63" i="55"/>
  <c r="F7" i="55"/>
  <c r="F172" i="55"/>
  <c r="R188" i="51"/>
  <c r="M57" i="55"/>
  <c r="G252" i="55"/>
  <c r="L102" i="55"/>
  <c r="D155" i="55"/>
  <c r="G168" i="55"/>
  <c r="O119" i="55"/>
  <c r="M179" i="55"/>
  <c r="E40" i="55"/>
  <c r="F226" i="55"/>
  <c r="Q2" i="55"/>
  <c r="L64" i="55"/>
  <c r="D46" i="55"/>
  <c r="M114" i="55"/>
  <c r="R119" i="51"/>
  <c r="O49" i="55"/>
  <c r="L239" i="55"/>
  <c r="L202" i="55"/>
  <c r="R164" i="43"/>
  <c r="P170" i="55"/>
  <c r="G95" i="55"/>
  <c r="E182" i="55"/>
  <c r="C200" i="55"/>
  <c r="H209" i="55"/>
  <c r="G197" i="55"/>
  <c r="J51" i="55"/>
  <c r="M79" i="55"/>
  <c r="E169" i="55"/>
  <c r="O66" i="55"/>
  <c r="N9" i="55"/>
  <c r="Q211" i="55"/>
  <c r="L244" i="55"/>
  <c r="M117" i="55"/>
  <c r="G163" i="55"/>
  <c r="N183" i="55"/>
  <c r="P92" i="55"/>
  <c r="K136" i="55"/>
  <c r="O224" i="55"/>
  <c r="E183" i="55"/>
  <c r="H150" i="55"/>
  <c r="L258" i="55"/>
  <c r="L119" i="55"/>
  <c r="G229" i="55"/>
  <c r="F60" i="55"/>
  <c r="E121" i="55"/>
  <c r="C256" i="55"/>
  <c r="K58" i="55"/>
  <c r="L172" i="55"/>
  <c r="M85" i="55"/>
  <c r="G220" i="55"/>
  <c r="M25" i="55"/>
  <c r="M81" i="55"/>
  <c r="N49" i="55"/>
  <c r="D138" i="55"/>
  <c r="P74" i="55"/>
  <c r="O235" i="55"/>
  <c r="M46" i="55"/>
  <c r="J157" i="55"/>
  <c r="O83" i="55"/>
  <c r="Q250" i="55"/>
  <c r="D252" i="55"/>
  <c r="M217" i="55"/>
  <c r="Q131" i="55"/>
  <c r="K7" i="55"/>
  <c r="L56" i="55"/>
  <c r="F201" i="55"/>
  <c r="K247" i="55"/>
  <c r="S359" i="53"/>
  <c r="P280" i="55"/>
  <c r="H28" i="37"/>
  <c r="M141" i="55"/>
  <c r="D218" i="55"/>
  <c r="D57" i="55"/>
  <c r="D131" i="55"/>
  <c r="C281" i="55"/>
  <c r="D141" i="55"/>
  <c r="C114" i="55"/>
  <c r="G36" i="55"/>
  <c r="N256" i="55"/>
  <c r="M92" i="55"/>
  <c r="O72" i="55"/>
  <c r="K176" i="55"/>
  <c r="F31" i="55"/>
  <c r="P256" i="55"/>
  <c r="Q42" i="55"/>
  <c r="H216" i="55"/>
  <c r="L60" i="55"/>
  <c r="O99" i="55"/>
  <c r="D85" i="55"/>
  <c r="J54" i="55"/>
  <c r="P108" i="55"/>
  <c r="F97" i="55"/>
  <c r="N15" i="55"/>
  <c r="Q67" i="55"/>
  <c r="E204" i="55"/>
  <c r="S691" i="53"/>
  <c r="H247" i="55"/>
  <c r="G108" i="55"/>
  <c r="J6" i="55"/>
  <c r="L231" i="55"/>
  <c r="L198" i="55"/>
  <c r="F122" i="55"/>
  <c r="E275" i="55"/>
  <c r="F176" i="55"/>
  <c r="C244" i="55"/>
  <c r="Q124" i="55"/>
  <c r="H45" i="55"/>
  <c r="K111" i="55"/>
  <c r="D253" i="55"/>
  <c r="H103" i="55"/>
  <c r="F136" i="55"/>
  <c r="M167" i="55"/>
  <c r="O218" i="55"/>
  <c r="C284" i="55"/>
  <c r="L68" i="55"/>
  <c r="G274" i="55"/>
  <c r="M143" i="55"/>
  <c r="J117" i="55"/>
  <c r="M2" i="55"/>
  <c r="N177" i="55"/>
  <c r="J212" i="55"/>
  <c r="K174" i="55"/>
  <c r="P184" i="55"/>
  <c r="L163" i="55"/>
  <c r="G146" i="55"/>
  <c r="G93" i="55"/>
  <c r="S18" i="53"/>
  <c r="C182" i="55"/>
  <c r="L51" i="55"/>
  <c r="J75" i="55"/>
  <c r="J140" i="55"/>
  <c r="L253" i="55"/>
  <c r="L98" i="55"/>
  <c r="J180" i="55"/>
  <c r="H155" i="55"/>
  <c r="N266" i="55"/>
  <c r="P120" i="55"/>
  <c r="L36" i="55"/>
  <c r="L201" i="55"/>
  <c r="C54" i="55"/>
  <c r="G101" i="55"/>
  <c r="C280" i="55"/>
  <c r="J261" i="55"/>
  <c r="H109" i="55"/>
  <c r="H162" i="55"/>
  <c r="G217" i="55"/>
  <c r="P250" i="55"/>
  <c r="R333" i="43"/>
  <c r="S729" i="53"/>
  <c r="O199" i="55"/>
  <c r="J219" i="55"/>
  <c r="F243" i="55"/>
  <c r="E42" i="55"/>
  <c r="F112" i="55"/>
  <c r="F129" i="55"/>
  <c r="E103" i="55"/>
  <c r="K37" i="55"/>
  <c r="G90" i="55"/>
  <c r="J205" i="55"/>
  <c r="R346" i="43"/>
  <c r="Q228" i="55"/>
  <c r="L79" i="55"/>
  <c r="N90" i="55"/>
  <c r="F23" i="55"/>
  <c r="M239" i="55"/>
  <c r="F208" i="55"/>
  <c r="G186" i="55"/>
  <c r="K166" i="55"/>
  <c r="Q274" i="55"/>
  <c r="M144" i="55"/>
  <c r="P192" i="55"/>
  <c r="K181" i="55"/>
  <c r="J237" i="55"/>
  <c r="H249" i="55"/>
  <c r="G14" i="55"/>
  <c r="L41" i="55"/>
  <c r="S794" i="53"/>
  <c r="O107" i="55"/>
  <c r="F232" i="55"/>
  <c r="Q23" i="55"/>
  <c r="C278" i="55"/>
  <c r="Q138" i="55"/>
  <c r="N105" i="55"/>
  <c r="N237" i="55"/>
  <c r="J7" i="55"/>
  <c r="H121" i="55"/>
  <c r="M219" i="55"/>
  <c r="G8" i="55"/>
  <c r="E157" i="55"/>
  <c r="F246" i="55"/>
  <c r="K192" i="55"/>
  <c r="K119" i="55"/>
  <c r="M19" i="55"/>
  <c r="E98" i="55"/>
  <c r="H52" i="55"/>
  <c r="M195" i="55"/>
  <c r="P80" i="55"/>
  <c r="K137" i="55"/>
  <c r="Q129" i="55"/>
  <c r="M282" i="55"/>
  <c r="J61" i="55"/>
  <c r="K261" i="55"/>
  <c r="O181" i="55"/>
  <c r="O162" i="55"/>
  <c r="H82" i="55"/>
  <c r="L266" i="55"/>
  <c r="K89" i="55"/>
  <c r="C53" i="55"/>
  <c r="K250" i="55"/>
  <c r="K258" i="55"/>
  <c r="Q161" i="55"/>
  <c r="F240" i="55"/>
  <c r="P81" i="55"/>
  <c r="O127" i="55"/>
  <c r="S221" i="53"/>
  <c r="H8" i="55"/>
  <c r="L267" i="55"/>
  <c r="G249" i="55"/>
  <c r="S505" i="53"/>
  <c r="N71" i="55"/>
  <c r="J208" i="55"/>
  <c r="C65" i="55"/>
  <c r="F196" i="55"/>
  <c r="L274" i="55"/>
  <c r="F216" i="55"/>
  <c r="D266" i="55"/>
  <c r="P239" i="55"/>
  <c r="N117" i="55"/>
  <c r="D35" i="55"/>
  <c r="H235" i="55"/>
  <c r="C146" i="55"/>
  <c r="F143" i="55"/>
  <c r="P95" i="55"/>
  <c r="G185" i="55"/>
  <c r="O15" i="55"/>
  <c r="H57" i="55"/>
  <c r="M204" i="55"/>
  <c r="Q260" i="55"/>
  <c r="R95" i="51"/>
  <c r="F70" i="55"/>
  <c r="C270" i="55"/>
  <c r="H245" i="55"/>
  <c r="G279" i="55"/>
  <c r="O263" i="55"/>
  <c r="N6" i="55"/>
  <c r="Q265" i="55"/>
  <c r="K50" i="55"/>
  <c r="O34" i="55"/>
  <c r="G127" i="55"/>
  <c r="H16" i="55"/>
  <c r="F187" i="55"/>
  <c r="F147" i="55"/>
  <c r="G84" i="55"/>
  <c r="G34" i="55"/>
  <c r="P62" i="55"/>
  <c r="G44" i="55"/>
  <c r="C22" i="55"/>
  <c r="E170" i="55"/>
  <c r="L94" i="55"/>
  <c r="Q149" i="55"/>
  <c r="E154" i="55"/>
  <c r="D106" i="55"/>
  <c r="P232" i="55"/>
  <c r="O248" i="55"/>
  <c r="D137" i="55"/>
  <c r="Q147" i="55"/>
  <c r="K241" i="55"/>
  <c r="G124" i="55"/>
  <c r="G215" i="55"/>
  <c r="C94" i="55"/>
  <c r="P118" i="55"/>
  <c r="M132" i="55"/>
  <c r="F55" i="55"/>
  <c r="Q112" i="55"/>
  <c r="S27" i="53"/>
  <c r="H237" i="55"/>
  <c r="K16" i="55"/>
  <c r="Q272" i="55"/>
  <c r="H37" i="55"/>
  <c r="F194" i="55"/>
  <c r="F249" i="55"/>
  <c r="K85" i="55"/>
  <c r="C2" i="55"/>
  <c r="N240" i="55"/>
  <c r="G122" i="55"/>
  <c r="G231" i="55"/>
  <c r="F95" i="55"/>
  <c r="J155" i="55"/>
  <c r="H90" i="55"/>
  <c r="J122" i="55"/>
  <c r="J84" i="55"/>
  <c r="K228" i="55"/>
  <c r="L214" i="55"/>
  <c r="M271" i="55"/>
  <c r="J269" i="55"/>
  <c r="Q113" i="55"/>
  <c r="G182" i="55"/>
  <c r="O79" i="55"/>
  <c r="O9" i="55"/>
  <c r="K279" i="55"/>
  <c r="J243" i="55"/>
  <c r="F199" i="55"/>
  <c r="E69" i="55"/>
  <c r="G225" i="55"/>
  <c r="M6" i="55"/>
  <c r="G87" i="55"/>
  <c r="O190" i="55"/>
  <c r="N178" i="55"/>
  <c r="C68" i="55"/>
  <c r="L53" i="55"/>
  <c r="M270" i="55"/>
  <c r="N62" i="55"/>
  <c r="G130" i="55"/>
  <c r="K201" i="55"/>
  <c r="M99" i="55"/>
  <c r="Q59" i="55"/>
  <c r="L225" i="55"/>
  <c r="N213" i="55"/>
  <c r="G40" i="55"/>
  <c r="J282" i="55"/>
  <c r="H243" i="55"/>
  <c r="H225" i="55"/>
  <c r="Q207" i="55"/>
  <c r="F81" i="55"/>
  <c r="N246" i="55"/>
  <c r="K49" i="55"/>
  <c r="E202" i="55"/>
  <c r="Q15" i="55"/>
  <c r="G29" i="55"/>
  <c r="D275" i="55"/>
  <c r="F257" i="55"/>
  <c r="H70" i="55"/>
  <c r="C164" i="55"/>
  <c r="F272" i="55"/>
  <c r="J262" i="55"/>
  <c r="P163" i="55"/>
  <c r="F259" i="55"/>
  <c r="K262" i="55"/>
  <c r="J9" i="55"/>
  <c r="K76" i="55"/>
  <c r="E243" i="55"/>
  <c r="R45" i="17"/>
  <c r="M284" i="55"/>
  <c r="G227" i="55"/>
  <c r="P34" i="55"/>
  <c r="K271" i="55"/>
  <c r="C201" i="55"/>
  <c r="L165" i="55"/>
  <c r="D243" i="55"/>
  <c r="G117" i="55"/>
  <c r="P102" i="55"/>
  <c r="Q276" i="55"/>
  <c r="O48" i="55"/>
  <c r="M67" i="55"/>
  <c r="F263" i="55"/>
  <c r="Q99" i="55"/>
  <c r="O131" i="55"/>
  <c r="K70" i="55"/>
  <c r="C235" i="55"/>
  <c r="E221" i="55"/>
  <c r="D203" i="55"/>
  <c r="Q219" i="55"/>
  <c r="H213" i="55"/>
  <c r="G6" i="55"/>
  <c r="L106" i="55"/>
  <c r="J17" i="55"/>
  <c r="Q48" i="55"/>
  <c r="O150" i="55"/>
  <c r="Q79" i="55"/>
  <c r="G178" i="55"/>
  <c r="Q35" i="55"/>
  <c r="E250" i="55"/>
  <c r="O101" i="55"/>
  <c r="N112" i="55"/>
  <c r="L141" i="55"/>
  <c r="C163" i="55"/>
  <c r="M113" i="55"/>
  <c r="D99" i="55"/>
  <c r="L205" i="55"/>
  <c r="G24" i="55"/>
  <c r="C223" i="55"/>
  <c r="M130" i="55"/>
  <c r="C202" i="55"/>
  <c r="C237" i="55"/>
  <c r="D197" i="55"/>
  <c r="D30" i="55"/>
  <c r="Q27" i="55"/>
  <c r="Q83" i="55"/>
  <c r="P201" i="55"/>
  <c r="D5" i="55"/>
  <c r="C262" i="55"/>
  <c r="M43" i="55"/>
  <c r="M139" i="55"/>
  <c r="N58" i="55"/>
  <c r="E35" i="55"/>
  <c r="L62" i="55"/>
  <c r="L282" i="55"/>
  <c r="Q108" i="55"/>
  <c r="H130" i="55"/>
  <c r="D179" i="55"/>
  <c r="H232" i="55"/>
  <c r="D114" i="55"/>
  <c r="E206" i="55"/>
  <c r="L123" i="55"/>
  <c r="G155" i="55"/>
  <c r="H113" i="55"/>
  <c r="P234" i="55"/>
  <c r="K91" i="55"/>
  <c r="R42" i="52"/>
  <c r="K209" i="55"/>
  <c r="L118" i="55"/>
  <c r="F262" i="55"/>
  <c r="N202" i="55"/>
  <c r="L87" i="55"/>
  <c r="L9" i="55"/>
  <c r="N56" i="55"/>
  <c r="P17" i="55"/>
  <c r="M256" i="55"/>
  <c r="N247" i="55"/>
  <c r="J42" i="55"/>
  <c r="F236" i="55"/>
  <c r="K272" i="55"/>
  <c r="H20" i="55"/>
  <c r="Q38" i="55"/>
  <c r="Q24" i="55"/>
  <c r="G143" i="55"/>
  <c r="F39" i="55"/>
  <c r="P263" i="55"/>
  <c r="K17" i="55"/>
  <c r="C10" i="55"/>
  <c r="R47" i="52"/>
  <c r="E208" i="55"/>
  <c r="D81" i="55"/>
  <c r="O254" i="55"/>
  <c r="E137" i="55"/>
  <c r="F133" i="55"/>
  <c r="O129" i="55"/>
  <c r="E115" i="55"/>
  <c r="E266" i="55"/>
  <c r="H268" i="55"/>
  <c r="H13" i="55"/>
  <c r="D175" i="55"/>
  <c r="P71" i="55"/>
  <c r="L192" i="55"/>
  <c r="H219" i="55"/>
  <c r="K55" i="55"/>
  <c r="Q31" i="55"/>
  <c r="O24" i="55"/>
  <c r="S884" i="53"/>
  <c r="E249" i="55"/>
  <c r="S54" i="38"/>
  <c r="D55" i="55"/>
  <c r="R48" i="17"/>
  <c r="J79" i="55"/>
  <c r="H176" i="55"/>
  <c r="L252" i="55"/>
  <c r="K257" i="55"/>
  <c r="D117" i="55"/>
  <c r="C51" i="55"/>
  <c r="F224" i="55"/>
  <c r="F66" i="55"/>
  <c r="J177" i="55"/>
  <c r="J241" i="55"/>
  <c r="M243" i="55"/>
  <c r="N267" i="55"/>
  <c r="H4" i="55"/>
  <c r="L264" i="55"/>
  <c r="N33" i="55"/>
  <c r="K108" i="55"/>
  <c r="C180" i="55"/>
  <c r="R58" i="17"/>
  <c r="O23" i="55"/>
  <c r="M75" i="55"/>
  <c r="G66" i="55"/>
  <c r="F100" i="55"/>
  <c r="O86" i="55"/>
  <c r="J284" i="55"/>
  <c r="L32" i="55"/>
  <c r="R268" i="51"/>
  <c r="M254" i="55"/>
  <c r="M122" i="55"/>
  <c r="C193" i="55"/>
  <c r="E220" i="55"/>
  <c r="L34" i="55"/>
  <c r="Q126" i="55"/>
  <c r="N96" i="55"/>
  <c r="L99" i="55"/>
  <c r="D271" i="55"/>
  <c r="L147" i="55"/>
  <c r="K207" i="55"/>
  <c r="K148" i="55"/>
  <c r="P270" i="55"/>
  <c r="L246" i="55"/>
  <c r="C105" i="55"/>
  <c r="H154" i="55"/>
  <c r="H192" i="55"/>
  <c r="Q186" i="55"/>
  <c r="M60" i="55"/>
  <c r="O106" i="55"/>
  <c r="E163" i="55"/>
  <c r="J206" i="55"/>
  <c r="L153" i="55"/>
  <c r="G201" i="55"/>
  <c r="N261" i="55"/>
  <c r="M112" i="55"/>
  <c r="P39" i="55"/>
  <c r="O275" i="55"/>
  <c r="H29" i="55"/>
  <c r="Q170" i="55"/>
  <c r="O87" i="55"/>
  <c r="M72" i="55"/>
  <c r="N229" i="55"/>
  <c r="D204" i="55"/>
  <c r="C149" i="55"/>
  <c r="P131" i="55"/>
  <c r="R285" i="51"/>
  <c r="P56" i="55"/>
  <c r="K53" i="55"/>
  <c r="M234" i="55"/>
  <c r="Q279" i="55"/>
  <c r="F111" i="55"/>
  <c r="H175" i="55"/>
  <c r="E239" i="55"/>
  <c r="S50" i="38"/>
  <c r="H9" i="55"/>
  <c r="G160" i="55"/>
  <c r="J169" i="55"/>
  <c r="Q165" i="55"/>
  <c r="D151" i="55"/>
  <c r="C218" i="55"/>
  <c r="D51" i="55"/>
  <c r="C240" i="55"/>
  <c r="M63" i="55"/>
  <c r="K145" i="55"/>
  <c r="C267" i="55"/>
  <c r="N116" i="55"/>
  <c r="P217" i="55"/>
  <c r="Q104" i="55"/>
  <c r="R94" i="51"/>
  <c r="G102" i="55"/>
  <c r="H278" i="55"/>
  <c r="N234" i="55"/>
  <c r="Q196" i="55"/>
  <c r="J278" i="55"/>
  <c r="H30" i="55"/>
  <c r="C167" i="55"/>
  <c r="N181" i="55"/>
  <c r="O238" i="55"/>
  <c r="C210" i="55"/>
  <c r="F154" i="55"/>
  <c r="G171" i="55"/>
  <c r="P204" i="55"/>
  <c r="H89" i="55"/>
  <c r="K57" i="55"/>
  <c r="M94" i="55"/>
  <c r="R117" i="51"/>
  <c r="M235" i="55"/>
  <c r="N126" i="55"/>
  <c r="J277" i="55"/>
  <c r="J207" i="55"/>
  <c r="R31" i="52"/>
  <c r="D255" i="55"/>
  <c r="P150" i="55"/>
  <c r="H259" i="55"/>
  <c r="R90" i="27"/>
  <c r="K221" i="55"/>
  <c r="K227" i="55"/>
  <c r="Q125" i="55"/>
  <c r="E116" i="55"/>
  <c r="D29" i="55"/>
  <c r="D54" i="55"/>
  <c r="K144" i="55"/>
  <c r="C124" i="55"/>
  <c r="M244" i="55"/>
  <c r="Q166" i="55"/>
  <c r="K188" i="55"/>
  <c r="E19" i="55"/>
  <c r="C131" i="55"/>
  <c r="Q215" i="55"/>
  <c r="S511" i="53"/>
  <c r="S415" i="53"/>
  <c r="E233" i="55"/>
  <c r="J24" i="55"/>
  <c r="N7" i="55"/>
  <c r="L2" i="55"/>
  <c r="H21" i="55"/>
  <c r="N154" i="55"/>
  <c r="H127" i="55"/>
  <c r="K172" i="55"/>
  <c r="L30" i="55"/>
  <c r="O192" i="55"/>
  <c r="O41" i="55"/>
  <c r="H63" i="55"/>
  <c r="N16" i="55"/>
  <c r="C157" i="55"/>
  <c r="L117" i="55"/>
  <c r="J238" i="55"/>
  <c r="G30" i="55"/>
  <c r="P139" i="55"/>
  <c r="Q73" i="55"/>
  <c r="K121" i="55"/>
  <c r="G253" i="55"/>
  <c r="F123" i="55"/>
  <c r="L63" i="55"/>
  <c r="M149" i="55"/>
  <c r="Q98" i="55"/>
  <c r="E219" i="55"/>
  <c r="C254" i="55"/>
  <c r="O178" i="55"/>
  <c r="M121" i="55"/>
  <c r="R91" i="52"/>
  <c r="Q181" i="55"/>
  <c r="C101" i="55"/>
  <c r="J25" i="55"/>
  <c r="P128" i="55"/>
  <c r="Q152" i="55"/>
  <c r="C62" i="55"/>
  <c r="D129" i="55"/>
  <c r="D262" i="55"/>
  <c r="O258" i="55"/>
  <c r="J143" i="55"/>
  <c r="R132" i="51"/>
  <c r="E126" i="55"/>
  <c r="J39" i="55"/>
  <c r="M48" i="55"/>
  <c r="G121" i="55"/>
  <c r="E39" i="55"/>
  <c r="D210" i="55"/>
  <c r="C29" i="55"/>
  <c r="G88" i="55"/>
  <c r="K255" i="55"/>
  <c r="P147" i="55"/>
  <c r="Q150" i="55"/>
  <c r="F121" i="55"/>
  <c r="L124" i="55"/>
  <c r="P149" i="55"/>
  <c r="M36" i="55"/>
  <c r="P23" i="55"/>
  <c r="C138" i="55"/>
  <c r="F169" i="55"/>
  <c r="H3" i="55"/>
  <c r="E222" i="55"/>
  <c r="E245" i="55"/>
  <c r="E16" i="55"/>
  <c r="F237" i="55"/>
  <c r="R239" i="51"/>
  <c r="M253" i="55"/>
  <c r="E11" i="55"/>
  <c r="J35" i="55"/>
  <c r="F21" i="55"/>
  <c r="C276" i="55"/>
  <c r="R148" i="43"/>
  <c r="G216" i="55"/>
  <c r="N173" i="55"/>
  <c r="J65" i="55"/>
  <c r="E194" i="55"/>
  <c r="Q227" i="55"/>
  <c r="Q63" i="55"/>
  <c r="C64" i="55"/>
  <c r="L229" i="55"/>
  <c r="G187" i="55"/>
  <c r="D123" i="55"/>
  <c r="H112" i="55"/>
  <c r="C108" i="55"/>
  <c r="L71" i="55"/>
  <c r="H65" i="55"/>
  <c r="K96" i="55"/>
  <c r="Q187" i="55"/>
  <c r="N180" i="55"/>
  <c r="K156" i="55"/>
  <c r="E110" i="55"/>
  <c r="M180" i="55"/>
  <c r="S373" i="53"/>
  <c r="E153" i="55"/>
  <c r="O53" i="55"/>
  <c r="L27" i="55"/>
  <c r="N284" i="55"/>
  <c r="M246" i="55"/>
  <c r="E217" i="55"/>
  <c r="K83" i="55"/>
  <c r="K133" i="55"/>
  <c r="G210" i="55"/>
  <c r="O239" i="55"/>
  <c r="P157" i="55"/>
  <c r="L85" i="55"/>
  <c r="K109" i="55"/>
  <c r="D225" i="55"/>
  <c r="L57" i="55"/>
  <c r="J249" i="55"/>
  <c r="M34" i="55"/>
  <c r="F34" i="55"/>
  <c r="S442" i="53"/>
  <c r="F105" i="55"/>
  <c r="M109" i="55"/>
  <c r="N25" i="55"/>
  <c r="E70" i="55"/>
  <c r="L255" i="55"/>
  <c r="K208" i="55"/>
  <c r="Q236" i="55"/>
  <c r="D70" i="55"/>
  <c r="G5" i="55"/>
  <c r="J147" i="55"/>
  <c r="P103" i="55"/>
  <c r="E211" i="55"/>
  <c r="Q101" i="55"/>
  <c r="M148" i="55"/>
  <c r="L121" i="55"/>
  <c r="G272" i="55"/>
  <c r="J33" i="55"/>
  <c r="N35" i="55"/>
  <c r="L278" i="55"/>
  <c r="C32" i="55"/>
  <c r="D134" i="55"/>
  <c r="C104" i="55"/>
  <c r="N220" i="55"/>
  <c r="Q36" i="55"/>
  <c r="R103" i="52"/>
  <c r="N225" i="55"/>
  <c r="K253" i="55"/>
  <c r="C184" i="55"/>
  <c r="R164" i="51"/>
  <c r="O251" i="55"/>
  <c r="M13" i="55"/>
  <c r="L107" i="55"/>
  <c r="O55" i="55"/>
  <c r="D168" i="55"/>
  <c r="J156" i="55"/>
  <c r="E92" i="55"/>
  <c r="J90" i="55"/>
  <c r="D212" i="55"/>
  <c r="H180" i="55"/>
  <c r="E102" i="55"/>
  <c r="E162" i="55"/>
  <c r="H31" i="55"/>
  <c r="E226" i="55"/>
  <c r="P178" i="55"/>
  <c r="D89" i="55"/>
  <c r="C95" i="55"/>
  <c r="F75" i="55"/>
  <c r="O155" i="55"/>
  <c r="H252" i="55"/>
  <c r="K264" i="55"/>
  <c r="F177" i="55"/>
  <c r="J19" i="55"/>
  <c r="S730" i="53"/>
  <c r="N98" i="55"/>
  <c r="J63" i="55"/>
  <c r="N51" i="55"/>
  <c r="N10" i="55"/>
  <c r="H217" i="55"/>
  <c r="S573" i="53"/>
  <c r="R197" i="51"/>
  <c r="F46" i="55"/>
  <c r="L254" i="55"/>
  <c r="C233" i="55"/>
  <c r="C4" i="55"/>
  <c r="H236" i="55"/>
  <c r="C212" i="55"/>
  <c r="F268" i="55"/>
  <c r="F184" i="55"/>
  <c r="H230" i="55"/>
  <c r="C194" i="55"/>
  <c r="J78" i="55"/>
  <c r="E88" i="55"/>
  <c r="Q194" i="55"/>
  <c r="K107" i="55"/>
  <c r="O82" i="55"/>
  <c r="C277" i="55"/>
  <c r="C88" i="55"/>
  <c r="P220" i="55"/>
  <c r="F218" i="55"/>
  <c r="N283" i="55"/>
  <c r="Q216" i="55"/>
  <c r="K118" i="55"/>
  <c r="O212" i="55"/>
  <c r="F107" i="55"/>
  <c r="O43" i="55"/>
  <c r="G147" i="55"/>
  <c r="C130" i="55"/>
  <c r="E258" i="55"/>
  <c r="J199" i="55"/>
  <c r="R59" i="17"/>
  <c r="O112" i="55"/>
  <c r="L20" i="55"/>
  <c r="E150" i="55"/>
  <c r="O262" i="55"/>
  <c r="L73" i="55"/>
  <c r="G74" i="55"/>
  <c r="R44" i="51"/>
  <c r="H142" i="55"/>
  <c r="G65" i="55"/>
  <c r="P33" i="55"/>
  <c r="H134" i="55"/>
  <c r="Q153" i="55"/>
  <c r="G202" i="55"/>
  <c r="Q105" i="55"/>
  <c r="Q18" i="55"/>
  <c r="Q8" i="55"/>
  <c r="K153" i="55"/>
  <c r="E155" i="55"/>
  <c r="M274" i="55"/>
  <c r="C166" i="55"/>
  <c r="H18" i="55"/>
  <c r="E60" i="55"/>
  <c r="N144" i="55"/>
  <c r="Q230" i="55"/>
  <c r="D133" i="55"/>
  <c r="H117" i="55"/>
  <c r="H143" i="55"/>
  <c r="C129" i="55"/>
  <c r="D259" i="55"/>
  <c r="D220" i="55"/>
  <c r="M108" i="55"/>
  <c r="S693" i="53"/>
  <c r="S368" i="53"/>
  <c r="M18" i="55"/>
  <c r="F152" i="55"/>
  <c r="G205" i="55"/>
  <c r="P236" i="55"/>
  <c r="N81" i="55"/>
  <c r="M10" i="55"/>
  <c r="P180" i="55"/>
  <c r="C28" i="55"/>
  <c r="G177" i="55"/>
  <c r="M237" i="55"/>
  <c r="O81" i="55"/>
  <c r="Q154" i="55"/>
  <c r="Q68" i="55"/>
  <c r="F102" i="55"/>
  <c r="O141" i="55"/>
  <c r="S372" i="53"/>
  <c r="H188" i="55"/>
  <c r="Q96" i="55"/>
  <c r="G19" i="55"/>
  <c r="E8" i="55"/>
  <c r="D164" i="55"/>
  <c r="L243" i="55"/>
  <c r="F52" i="55"/>
  <c r="D104" i="55"/>
  <c r="M215" i="55"/>
  <c r="M272" i="55"/>
  <c r="R342" i="43"/>
  <c r="Q249" i="55"/>
  <c r="E253" i="55"/>
  <c r="G162" i="55"/>
  <c r="L13" i="55"/>
  <c r="C44" i="55"/>
  <c r="K18" i="55"/>
  <c r="O88" i="55"/>
  <c r="E106" i="55"/>
  <c r="H284" i="55"/>
  <c r="K234" i="55"/>
  <c r="P58" i="55"/>
  <c r="C14" i="55"/>
  <c r="Q119" i="55"/>
  <c r="C211" i="55"/>
  <c r="G247" i="55"/>
  <c r="Q40" i="55"/>
  <c r="O280" i="55"/>
  <c r="J254" i="55"/>
  <c r="E86" i="55"/>
  <c r="P183" i="55"/>
  <c r="M273" i="55"/>
  <c r="H11" i="37"/>
  <c r="N133" i="55"/>
  <c r="L14" i="55"/>
  <c r="N239" i="55"/>
  <c r="J96" i="55"/>
  <c r="L159" i="55"/>
  <c r="F168" i="55"/>
  <c r="J274" i="55"/>
  <c r="P267" i="55"/>
  <c r="M164" i="55"/>
  <c r="F8" i="55"/>
  <c r="O32" i="55"/>
  <c r="Q100" i="55"/>
  <c r="E263" i="55"/>
  <c r="D20" i="55"/>
  <c r="P224" i="55"/>
  <c r="Q259" i="55"/>
  <c r="F44" i="55"/>
  <c r="G180" i="55"/>
  <c r="P175" i="55"/>
  <c r="L259" i="55"/>
  <c r="P97" i="55"/>
  <c r="L207" i="55"/>
  <c r="O270" i="55"/>
  <c r="J168" i="55"/>
  <c r="D135" i="55"/>
  <c r="J167" i="55"/>
  <c r="G256" i="55"/>
  <c r="E104" i="55"/>
  <c r="O175" i="55"/>
  <c r="S840" i="53"/>
  <c r="H35" i="55"/>
  <c r="F49" i="55"/>
  <c r="L28" i="55"/>
  <c r="N238" i="55"/>
  <c r="K240" i="55"/>
  <c r="P159" i="55"/>
  <c r="M262" i="55"/>
  <c r="M236" i="55"/>
  <c r="M218" i="55"/>
  <c r="K146" i="55"/>
  <c r="N264" i="55"/>
  <c r="E215" i="55"/>
  <c r="K267" i="55"/>
  <c r="Q84" i="55"/>
  <c r="G104" i="55"/>
  <c r="S637" i="53"/>
  <c r="N203" i="55"/>
  <c r="O59" i="55"/>
  <c r="D93" i="55"/>
  <c r="M44" i="55"/>
  <c r="O170" i="55"/>
  <c r="P46" i="55"/>
  <c r="M183" i="55"/>
  <c r="M231" i="55"/>
  <c r="D74" i="55"/>
  <c r="H205" i="55"/>
  <c r="G27" i="55"/>
  <c r="J20" i="55"/>
  <c r="S650" i="53"/>
  <c r="D249" i="55"/>
  <c r="O6" i="55"/>
  <c r="O91" i="55"/>
  <c r="L233" i="55"/>
  <c r="M193" i="55"/>
  <c r="S867" i="53"/>
  <c r="E264" i="55"/>
  <c r="O177" i="55"/>
  <c r="E33" i="55"/>
  <c r="G226" i="55"/>
  <c r="E274" i="55"/>
  <c r="Q90" i="55"/>
  <c r="S416" i="53"/>
  <c r="F41" i="55"/>
  <c r="M152" i="55"/>
  <c r="J76" i="55"/>
  <c r="N19" i="55"/>
  <c r="N60" i="55"/>
  <c r="J64" i="55"/>
  <c r="C20" i="55"/>
  <c r="L80" i="55"/>
  <c r="E24" i="55"/>
  <c r="J246" i="55"/>
  <c r="M12" i="55"/>
  <c r="N187" i="55"/>
  <c r="L88" i="55"/>
  <c r="O138" i="55"/>
  <c r="H38" i="55"/>
  <c r="L90" i="55"/>
  <c r="D149" i="55"/>
  <c r="H203" i="55"/>
  <c r="S223" i="53"/>
  <c r="O191" i="55"/>
  <c r="J22" i="55"/>
  <c r="M241" i="55"/>
  <c r="F30" i="55"/>
  <c r="P213" i="55"/>
  <c r="D31" i="55"/>
  <c r="G175" i="55"/>
  <c r="M153" i="55"/>
  <c r="M189" i="55"/>
  <c r="S789" i="53"/>
  <c r="D121" i="55"/>
  <c r="P255" i="55"/>
  <c r="E96" i="55"/>
  <c r="P154" i="55"/>
  <c r="O229" i="55"/>
  <c r="Q33" i="55"/>
  <c r="K79" i="55"/>
  <c r="K82" i="55"/>
  <c r="N55" i="55"/>
  <c r="E25" i="55"/>
  <c r="F58" i="55"/>
  <c r="N121" i="55"/>
  <c r="H136" i="55"/>
  <c r="H248" i="55"/>
  <c r="D251" i="55"/>
  <c r="G31" i="55"/>
  <c r="G248" i="55"/>
  <c r="O11" i="55"/>
  <c r="L148" i="55"/>
  <c r="H233" i="55"/>
  <c r="O8" i="55"/>
  <c r="Q10" i="55"/>
  <c r="E71" i="55"/>
  <c r="R126" i="43"/>
  <c r="K129" i="55"/>
  <c r="L126" i="55"/>
  <c r="J111" i="55"/>
  <c r="E175" i="55"/>
  <c r="O219" i="55"/>
  <c r="J71" i="55"/>
  <c r="N216" i="55"/>
  <c r="G158" i="55"/>
  <c r="Q192" i="55"/>
  <c r="F276" i="55"/>
  <c r="Q62" i="55"/>
  <c r="C113" i="55"/>
  <c r="G244" i="55"/>
  <c r="G208" i="55"/>
  <c r="G21" i="55"/>
  <c r="P283" i="55"/>
  <c r="S578" i="53"/>
  <c r="P240" i="55"/>
  <c r="Q191" i="55"/>
  <c r="C69" i="55"/>
  <c r="S65" i="38"/>
  <c r="J200" i="55"/>
  <c r="H98" i="55"/>
  <c r="Q198" i="55"/>
  <c r="M65" i="55"/>
  <c r="E4" i="55"/>
  <c r="L281" i="55"/>
  <c r="T17" i="44"/>
  <c r="P231" i="55"/>
  <c r="Q39" i="55"/>
  <c r="O277" i="55"/>
  <c r="M107" i="55"/>
  <c r="G33" i="55"/>
  <c r="D256" i="55"/>
  <c r="L256" i="55"/>
  <c r="N23" i="55"/>
  <c r="C238" i="55"/>
  <c r="R191" i="51"/>
  <c r="F253" i="55"/>
  <c r="G49" i="55"/>
  <c r="P235" i="55"/>
  <c r="Q256" i="55"/>
  <c r="G133" i="55"/>
  <c r="D101" i="55"/>
  <c r="M8" i="55"/>
  <c r="N3" i="55"/>
  <c r="D105" i="55"/>
  <c r="H139" i="55"/>
  <c r="J38" i="55"/>
  <c r="E90" i="55"/>
  <c r="S549" i="53"/>
  <c r="G112" i="55"/>
  <c r="L213" i="55"/>
  <c r="H131" i="55"/>
  <c r="N70" i="55"/>
  <c r="C111" i="55"/>
  <c r="K232" i="55"/>
  <c r="M252" i="55"/>
  <c r="H147" i="55"/>
  <c r="P241" i="55"/>
  <c r="D234" i="55"/>
  <c r="L209" i="55"/>
  <c r="G240" i="55"/>
  <c r="K238" i="55"/>
  <c r="D44" i="55"/>
  <c r="R60" i="51"/>
  <c r="F282" i="55"/>
  <c r="Q25" i="55"/>
  <c r="L180" i="55"/>
  <c r="G150" i="55"/>
  <c r="L104" i="55"/>
  <c r="J44" i="55"/>
  <c r="E201" i="55"/>
  <c r="O19" i="55"/>
  <c r="F74" i="55"/>
  <c r="D33" i="55"/>
  <c r="L130" i="55"/>
  <c r="E108" i="55"/>
  <c r="G50" i="55"/>
  <c r="P137" i="55"/>
  <c r="C6" i="55"/>
  <c r="Q200" i="55"/>
  <c r="F274" i="55"/>
  <c r="M260" i="55"/>
  <c r="M83" i="55"/>
  <c r="M119" i="55"/>
  <c r="M169" i="55"/>
  <c r="C214" i="55"/>
  <c r="H144" i="55"/>
  <c r="D169" i="55"/>
  <c r="L224" i="55"/>
  <c r="S20" i="53"/>
  <c r="Q235" i="55"/>
  <c r="G55" i="55"/>
  <c r="M176" i="55"/>
  <c r="N251" i="55"/>
  <c r="C6" i="41"/>
  <c r="J281" i="55"/>
  <c r="F134" i="55"/>
  <c r="P281" i="55"/>
  <c r="H159" i="55"/>
  <c r="N241" i="55"/>
  <c r="F32" i="55"/>
  <c r="M78" i="55"/>
  <c r="P42" i="55"/>
  <c r="F260" i="55"/>
  <c r="J236" i="55"/>
  <c r="E87" i="55"/>
  <c r="O163" i="55"/>
  <c r="O135" i="55"/>
  <c r="S872" i="53"/>
  <c r="F77" i="55"/>
  <c r="F119" i="55"/>
  <c r="H185" i="55"/>
  <c r="H73" i="55"/>
  <c r="N18" i="55"/>
  <c r="K10" i="55"/>
  <c r="Q87" i="55"/>
  <c r="C52" i="55"/>
  <c r="L26" i="55"/>
  <c r="N73" i="55"/>
  <c r="M93" i="55"/>
  <c r="S652" i="53"/>
  <c r="N244" i="55"/>
  <c r="S687" i="53"/>
  <c r="G42" i="55"/>
  <c r="H6" i="55"/>
  <c r="N97" i="55"/>
  <c r="N52" i="55"/>
  <c r="O256" i="55"/>
  <c r="C242" i="55"/>
  <c r="C39" i="55"/>
  <c r="R331" i="43"/>
  <c r="E223" i="55"/>
  <c r="C82" i="55"/>
  <c r="K74" i="55"/>
  <c r="H59" i="55"/>
  <c r="H191" i="55"/>
  <c r="C156" i="55"/>
  <c r="S646" i="53"/>
  <c r="K28" i="55"/>
  <c r="C144" i="55"/>
  <c r="C188" i="55"/>
  <c r="D208" i="55"/>
  <c r="K8" i="55"/>
  <c r="C37" i="55"/>
  <c r="E61" i="55"/>
  <c r="J214" i="55"/>
  <c r="Q30" i="55"/>
  <c r="N152" i="55"/>
  <c r="K224" i="55"/>
  <c r="H102" i="55"/>
  <c r="H25" i="55"/>
  <c r="L195" i="55"/>
  <c r="Q158" i="55"/>
  <c r="O230" i="55"/>
  <c r="J120" i="55"/>
  <c r="L262" i="55"/>
  <c r="D180" i="55"/>
  <c r="P57" i="55"/>
  <c r="G58" i="55"/>
  <c r="N185" i="55"/>
  <c r="N148" i="55"/>
  <c r="M71" i="55"/>
  <c r="H22" i="55"/>
  <c r="O209" i="55"/>
  <c r="F84" i="55"/>
  <c r="N227" i="55"/>
  <c r="H244" i="55"/>
  <c r="H110" i="55"/>
  <c r="Q86" i="55"/>
  <c r="G223" i="55"/>
  <c r="G11" i="55"/>
  <c r="E210" i="55"/>
  <c r="G280" i="55"/>
  <c r="P228" i="55"/>
  <c r="G99" i="55"/>
  <c r="L166" i="55"/>
  <c r="D202" i="55"/>
  <c r="F280" i="55"/>
  <c r="D219" i="55"/>
  <c r="F256" i="55"/>
  <c r="C61" i="55"/>
  <c r="D66" i="55"/>
  <c r="H84" i="55"/>
  <c r="M209" i="55"/>
  <c r="N100" i="55"/>
  <c r="E198" i="55"/>
  <c r="P164" i="55"/>
  <c r="R336" i="43"/>
  <c r="E130" i="55"/>
  <c r="C15" i="41"/>
  <c r="Q65" i="55"/>
  <c r="G60" i="55"/>
  <c r="E230" i="55"/>
  <c r="O195" i="55"/>
  <c r="C10" i="41"/>
  <c r="L48" i="55"/>
  <c r="G26" i="55"/>
  <c r="N76" i="55"/>
  <c r="O228" i="55"/>
  <c r="P63" i="55"/>
  <c r="O97" i="55"/>
  <c r="Q64" i="55"/>
  <c r="F178" i="55"/>
  <c r="N260" i="55"/>
  <c r="D198" i="55"/>
  <c r="M24" i="55"/>
  <c r="J202" i="55"/>
  <c r="O231" i="55"/>
  <c r="P262" i="55"/>
  <c r="N122" i="55"/>
  <c r="N79" i="55"/>
  <c r="H274" i="55"/>
  <c r="C162" i="55"/>
  <c r="P43" i="55"/>
  <c r="E172" i="55"/>
  <c r="J98" i="55"/>
  <c r="J194" i="55"/>
  <c r="L277" i="55"/>
  <c r="E184" i="55"/>
  <c r="D195" i="55"/>
  <c r="P106" i="55"/>
  <c r="N248" i="55"/>
  <c r="H265" i="55"/>
  <c r="N92" i="55"/>
  <c r="Q142" i="55"/>
  <c r="H68" i="55"/>
  <c r="S724" i="53"/>
  <c r="H151" i="55"/>
  <c r="G135" i="55"/>
  <c r="D90" i="55"/>
  <c r="J106" i="55"/>
  <c r="O281" i="55"/>
  <c r="K229" i="55"/>
  <c r="O132" i="55"/>
  <c r="P253" i="55"/>
  <c r="P96" i="55"/>
  <c r="O169" i="55"/>
  <c r="H260" i="55"/>
  <c r="Q132" i="55"/>
  <c r="N193" i="55"/>
  <c r="D50" i="55"/>
  <c r="E260" i="55"/>
  <c r="C19" i="55"/>
  <c r="C125" i="55"/>
  <c r="E272" i="55"/>
  <c r="O46" i="55"/>
  <c r="M38" i="55"/>
  <c r="J36" i="55"/>
  <c r="O215" i="55"/>
  <c r="K159" i="55"/>
  <c r="K60" i="55"/>
  <c r="S319" i="53"/>
  <c r="M135" i="55"/>
  <c r="Q17" i="55"/>
  <c r="Q29" i="55"/>
  <c r="F278" i="55"/>
  <c r="J82" i="55"/>
  <c r="F264" i="55"/>
  <c r="D227" i="55"/>
  <c r="L276" i="55"/>
  <c r="K31" i="55"/>
  <c r="M190" i="55"/>
  <c r="O142" i="55"/>
  <c r="Q233" i="55"/>
  <c r="K185" i="55"/>
  <c r="O166" i="55"/>
  <c r="K41" i="55"/>
  <c r="D223" i="55"/>
  <c r="M97" i="55"/>
  <c r="K95" i="55"/>
  <c r="E166" i="55"/>
  <c r="D39" i="55"/>
  <c r="C181" i="55"/>
  <c r="F69" i="55"/>
  <c r="G199" i="55"/>
  <c r="F149" i="55"/>
  <c r="J77" i="55"/>
  <c r="F10" i="55"/>
  <c r="L105" i="55"/>
  <c r="O116" i="55"/>
  <c r="J125" i="55"/>
  <c r="L220" i="55"/>
  <c r="M61" i="55"/>
  <c r="O269" i="55"/>
  <c r="E43" i="55"/>
  <c r="L158" i="55"/>
  <c r="D3" i="55"/>
  <c r="O152" i="55"/>
  <c r="N156" i="55"/>
  <c r="D226" i="55"/>
  <c r="F227" i="55"/>
  <c r="J218" i="55"/>
  <c r="K217" i="55"/>
  <c r="M23" i="55"/>
  <c r="N80" i="55"/>
  <c r="H10" i="55"/>
  <c r="R270" i="51"/>
  <c r="P189" i="55"/>
  <c r="L76" i="55"/>
  <c r="J255" i="55"/>
  <c r="K147" i="55"/>
  <c r="P208" i="55"/>
  <c r="G68" i="55"/>
  <c r="Q171" i="55"/>
  <c r="P191" i="55"/>
  <c r="E64" i="55"/>
  <c r="K81" i="55"/>
  <c r="P66" i="55"/>
  <c r="G228" i="55"/>
  <c r="N31" i="55"/>
  <c r="H119" i="55"/>
  <c r="M226" i="55"/>
  <c r="K24" i="55"/>
  <c r="G126" i="55"/>
  <c r="E45" i="55"/>
  <c r="N198" i="55"/>
  <c r="G53" i="55"/>
  <c r="L23" i="55"/>
  <c r="H282" i="55"/>
  <c r="M39" i="55"/>
  <c r="J85" i="55"/>
  <c r="K280" i="55"/>
  <c r="C206" i="55"/>
  <c r="E128" i="55"/>
  <c r="J4" i="55"/>
  <c r="P197" i="55"/>
  <c r="C147" i="55"/>
  <c r="J159" i="55"/>
  <c r="P187" i="55"/>
  <c r="H283" i="55"/>
  <c r="H88" i="55"/>
  <c r="M203" i="55"/>
  <c r="H120" i="55"/>
  <c r="M102" i="55"/>
  <c r="F96" i="55"/>
  <c r="P7" i="55"/>
  <c r="Q77" i="55"/>
  <c r="N271" i="55"/>
  <c r="D235" i="55"/>
  <c r="N201" i="55"/>
  <c r="E237" i="55"/>
  <c r="K142" i="55"/>
  <c r="C234" i="55"/>
  <c r="H224" i="55"/>
  <c r="N142" i="55"/>
  <c r="J16" i="55"/>
  <c r="O30" i="55"/>
  <c r="P67" i="55"/>
  <c r="K165" i="55"/>
  <c r="C221" i="55"/>
  <c r="Q58" i="55"/>
  <c r="G257" i="55"/>
  <c r="H163" i="55"/>
  <c r="N84" i="55"/>
  <c r="Q213" i="55"/>
  <c r="O84" i="55"/>
  <c r="O151" i="55"/>
  <c r="L188" i="55"/>
  <c r="L72" i="55"/>
  <c r="O77" i="55"/>
  <c r="E173" i="55"/>
  <c r="D156" i="55"/>
  <c r="G72" i="55"/>
  <c r="O187" i="55"/>
  <c r="Q172" i="55"/>
  <c r="E6" i="55"/>
  <c r="F161" i="55"/>
  <c r="L110" i="55"/>
  <c r="E10" i="55"/>
  <c r="L179" i="55"/>
  <c r="N30" i="55"/>
  <c r="S222" i="53"/>
  <c r="D176" i="55"/>
  <c r="P117" i="55"/>
  <c r="C229" i="55"/>
  <c r="R166" i="51"/>
  <c r="G75" i="55"/>
  <c r="F144" i="55"/>
  <c r="F212" i="55"/>
  <c r="J144" i="55"/>
  <c r="O193" i="55"/>
  <c r="J67" i="55"/>
  <c r="G153" i="55"/>
  <c r="O70" i="55"/>
  <c r="C135" i="55"/>
  <c r="K115" i="55"/>
  <c r="K263" i="55"/>
  <c r="L140" i="55"/>
  <c r="D112" i="55"/>
  <c r="E159" i="55"/>
  <c r="C155" i="55"/>
  <c r="L83" i="55"/>
  <c r="H50" i="55"/>
  <c r="O188" i="55"/>
  <c r="H200" i="55"/>
  <c r="F124" i="55"/>
  <c r="D14" i="55"/>
  <c r="F108" i="55"/>
  <c r="P20" i="55"/>
  <c r="P268" i="55"/>
  <c r="D162" i="55"/>
  <c r="N166" i="55"/>
  <c r="M181" i="55"/>
  <c r="O236" i="55"/>
  <c r="J8" i="55"/>
  <c r="J52" i="55"/>
  <c r="D159" i="55"/>
  <c r="L129" i="55"/>
  <c r="H128" i="55"/>
  <c r="P47" i="55"/>
  <c r="P16" i="55"/>
  <c r="Q120" i="55"/>
  <c r="P30" i="55"/>
  <c r="E267" i="55"/>
  <c r="S846" i="53"/>
  <c r="K22" i="55"/>
  <c r="Q184" i="55"/>
  <c r="M223" i="55"/>
  <c r="N174" i="55"/>
  <c r="G37" i="55"/>
  <c r="M58" i="55"/>
  <c r="L155" i="55"/>
  <c r="J2" i="55"/>
  <c r="G245" i="55"/>
  <c r="E234" i="55"/>
  <c r="J235" i="55"/>
  <c r="G105" i="55"/>
  <c r="Q61" i="55"/>
  <c r="K100" i="55"/>
  <c r="C103" i="55"/>
  <c r="G166" i="55"/>
  <c r="J70" i="55"/>
  <c r="H67" i="55"/>
  <c r="Q244" i="55"/>
  <c r="C248" i="55"/>
  <c r="O259" i="55"/>
  <c r="D10" i="55"/>
  <c r="O241" i="55"/>
  <c r="M9" i="55"/>
  <c r="C8" i="41"/>
  <c r="E167" i="55"/>
  <c r="J74" i="55"/>
  <c r="R54" i="17"/>
  <c r="N159" i="55"/>
  <c r="M89" i="55"/>
  <c r="M5" i="55"/>
  <c r="P116" i="55"/>
  <c r="J34" i="55"/>
  <c r="Q253" i="55"/>
  <c r="G255" i="55"/>
  <c r="F85" i="55"/>
  <c r="H26" i="37"/>
  <c r="N215" i="55"/>
  <c r="E95" i="55"/>
  <c r="E36" i="55"/>
  <c r="L197" i="55"/>
  <c r="P226" i="55"/>
  <c r="D40" i="55"/>
  <c r="P65" i="55"/>
  <c r="M160" i="55"/>
  <c r="F269" i="55"/>
  <c r="O233" i="55"/>
  <c r="C47" i="55"/>
  <c r="K36" i="55"/>
  <c r="C215" i="55"/>
  <c r="K52" i="55"/>
  <c r="O183" i="55"/>
  <c r="O214" i="55"/>
  <c r="M283" i="55"/>
  <c r="O137" i="55"/>
  <c r="E189" i="55"/>
  <c r="N219" i="55"/>
  <c r="P181" i="55"/>
  <c r="P195" i="55"/>
  <c r="L45" i="55"/>
  <c r="P88" i="55"/>
  <c r="H227" i="55"/>
  <c r="E196" i="55"/>
  <c r="D42" i="55"/>
  <c r="N168" i="55"/>
  <c r="M178" i="55"/>
  <c r="O52" i="55"/>
  <c r="M247" i="55"/>
  <c r="C152" i="55"/>
  <c r="K78" i="55"/>
  <c r="L92" i="55"/>
  <c r="G144" i="55"/>
  <c r="L261" i="55"/>
  <c r="M51" i="55"/>
  <c r="L269" i="55"/>
  <c r="Q239" i="55"/>
  <c r="K194" i="55"/>
  <c r="Q275" i="55"/>
  <c r="F13" i="55"/>
  <c r="H234" i="55"/>
  <c r="Q188" i="55"/>
  <c r="G28" i="55"/>
  <c r="G125" i="55"/>
  <c r="O94" i="55"/>
  <c r="C246" i="55"/>
  <c r="P282" i="55"/>
  <c r="F192" i="55"/>
  <c r="G106" i="55"/>
  <c r="D261" i="55"/>
  <c r="F131" i="55"/>
  <c r="S651" i="53"/>
  <c r="Q76" i="55"/>
  <c r="Q262" i="55"/>
  <c r="H85" i="55"/>
  <c r="H36" i="55"/>
  <c r="L232" i="55"/>
  <c r="H202" i="55"/>
  <c r="F88" i="55"/>
  <c r="E278" i="55"/>
  <c r="C204" i="55"/>
  <c r="E213" i="55"/>
  <c r="Q43" i="55"/>
  <c r="J182" i="55"/>
  <c r="E164" i="55"/>
  <c r="C97" i="55"/>
  <c r="J248" i="55"/>
  <c r="P273" i="55"/>
  <c r="M62" i="55"/>
  <c r="D62" i="55"/>
  <c r="J97" i="55"/>
  <c r="F283" i="55"/>
  <c r="S317" i="53"/>
  <c r="H226" i="55"/>
  <c r="H97" i="55"/>
  <c r="L181" i="55"/>
  <c r="R202" i="51"/>
  <c r="J160" i="55"/>
  <c r="D43" i="55"/>
  <c r="P251" i="55"/>
  <c r="R48" i="52"/>
  <c r="C96" i="55"/>
  <c r="J196" i="55"/>
  <c r="E280" i="55"/>
  <c r="F167" i="55"/>
  <c r="M98" i="55"/>
  <c r="F61" i="55"/>
  <c r="D188" i="55"/>
  <c r="Q248" i="55"/>
  <c r="S680" i="53"/>
  <c r="N282" i="55"/>
  <c r="P230" i="55"/>
  <c r="Q72" i="55"/>
  <c r="M214" i="55"/>
  <c r="D144" i="55"/>
  <c r="P129" i="55"/>
  <c r="H160" i="55"/>
  <c r="O114" i="55"/>
  <c r="Q203" i="55"/>
  <c r="E238" i="55"/>
  <c r="E269" i="55"/>
  <c r="M175" i="55"/>
  <c r="K130" i="55"/>
  <c r="G83" i="55"/>
  <c r="R48" i="51"/>
  <c r="J69" i="55"/>
  <c r="O273" i="55"/>
  <c r="E197" i="55"/>
  <c r="P52" i="55"/>
  <c r="K168" i="55"/>
  <c r="D67" i="55"/>
  <c r="E261" i="55"/>
  <c r="M242" i="55"/>
  <c r="D113" i="55"/>
  <c r="O146" i="55"/>
  <c r="P85" i="55"/>
  <c r="C245" i="55"/>
  <c r="K46" i="55"/>
  <c r="C185" i="55"/>
  <c r="M50" i="55"/>
  <c r="J260" i="55"/>
  <c r="F284" i="55"/>
  <c r="E12" i="55"/>
  <c r="N82" i="55"/>
  <c r="D241" i="55"/>
  <c r="P72" i="55"/>
  <c r="S447" i="53"/>
  <c r="E23" i="55"/>
  <c r="P254" i="55"/>
  <c r="T19" i="44"/>
  <c r="O208" i="55"/>
  <c r="P156" i="55"/>
  <c r="S635" i="53"/>
  <c r="L178" i="55"/>
  <c r="N74" i="55"/>
  <c r="L19" i="55"/>
  <c r="D273" i="55"/>
  <c r="C207" i="55"/>
  <c r="N53" i="55"/>
  <c r="S106" i="38"/>
  <c r="K270" i="55"/>
  <c r="C263" i="55"/>
  <c r="L49" i="55"/>
  <c r="S65" i="53"/>
  <c r="P130" i="55"/>
  <c r="M142" i="55"/>
  <c r="E48" i="55"/>
  <c r="J57" i="55"/>
  <c r="C232" i="55"/>
  <c r="C247" i="55"/>
  <c r="O38" i="55"/>
  <c r="J225" i="55"/>
  <c r="R43" i="17"/>
  <c r="M116" i="55"/>
  <c r="N75" i="55"/>
  <c r="N165" i="55"/>
  <c r="J276" i="55"/>
  <c r="N27" i="55"/>
  <c r="F241" i="55"/>
  <c r="O3" i="55"/>
  <c r="P55" i="55"/>
  <c r="O221" i="55"/>
  <c r="F247" i="55"/>
  <c r="P172" i="55"/>
  <c r="F261" i="55"/>
  <c r="C274" i="55"/>
  <c r="P200" i="55"/>
  <c r="Q93" i="55"/>
  <c r="D222" i="55"/>
  <c r="K88" i="55"/>
  <c r="F28" i="55"/>
  <c r="O54" i="55"/>
  <c r="D281" i="55"/>
  <c r="J31" i="55"/>
  <c r="N13" i="55"/>
  <c r="P18" i="55"/>
  <c r="J185" i="55"/>
  <c r="F252" i="55"/>
  <c r="K92" i="55"/>
  <c r="P122" i="55"/>
  <c r="N17" i="55"/>
  <c r="L227" i="55"/>
  <c r="C220" i="55"/>
  <c r="E240" i="55"/>
  <c r="R228" i="51"/>
  <c r="R283" i="51"/>
  <c r="D110" i="55"/>
  <c r="K45" i="55"/>
  <c r="Q141" i="55"/>
  <c r="E73" i="55"/>
  <c r="G277" i="55"/>
  <c r="P275" i="55"/>
  <c r="C67" i="55"/>
  <c r="C271" i="55"/>
  <c r="Q71" i="55"/>
  <c r="M59" i="55"/>
  <c r="D231" i="55"/>
  <c r="H179" i="55"/>
  <c r="N54" i="55"/>
  <c r="Q178" i="55"/>
  <c r="H96" i="55"/>
  <c r="M47" i="55"/>
  <c r="D242" i="55"/>
  <c r="S55" i="38"/>
  <c r="O26" i="55"/>
  <c r="F258" i="55"/>
  <c r="J53" i="55"/>
  <c r="Q4" i="55"/>
  <c r="M80" i="55"/>
  <c r="Q116" i="55"/>
  <c r="L109" i="55"/>
  <c r="J104" i="55"/>
  <c r="J103" i="55"/>
  <c r="J3" i="55"/>
  <c r="C21" i="55"/>
  <c r="E13" i="55"/>
  <c r="K214" i="55"/>
  <c r="L50" i="55"/>
  <c r="H116" i="55"/>
  <c r="C63" i="55"/>
  <c r="N145" i="55"/>
  <c r="N123" i="55"/>
  <c r="H261" i="55"/>
  <c r="D150" i="55"/>
  <c r="Q212" i="55"/>
  <c r="E244" i="55"/>
  <c r="F203" i="55"/>
  <c r="H210" i="55"/>
  <c r="P113" i="55"/>
  <c r="K160" i="55"/>
  <c r="O196" i="55"/>
  <c r="G161" i="55"/>
  <c r="D127" i="55"/>
  <c r="J132" i="55"/>
  <c r="Q258" i="55"/>
  <c r="P271" i="55"/>
  <c r="L216" i="55"/>
  <c r="K134" i="55"/>
  <c r="N29" i="55"/>
  <c r="P207" i="55"/>
  <c r="P246" i="55"/>
  <c r="G119" i="55"/>
  <c r="S21" i="53"/>
  <c r="D282" i="55"/>
  <c r="O5" i="55"/>
  <c r="P260" i="55"/>
  <c r="E212" i="55"/>
  <c r="P125" i="55"/>
  <c r="R46" i="52"/>
  <c r="G278" i="55"/>
  <c r="P15" i="55"/>
  <c r="J181" i="55"/>
  <c r="F190" i="55"/>
  <c r="K182" i="55"/>
  <c r="Q60" i="55"/>
  <c r="K113" i="55"/>
  <c r="K27" i="55"/>
  <c r="N236" i="55"/>
  <c r="G267" i="55"/>
  <c r="O154" i="55"/>
  <c r="S579" i="53"/>
  <c r="Q110" i="55"/>
  <c r="O47" i="55"/>
  <c r="J101" i="55"/>
  <c r="H132" i="55"/>
  <c r="D119" i="55"/>
  <c r="K106" i="55"/>
  <c r="J45" i="55"/>
  <c r="D71" i="55"/>
  <c r="O271" i="55"/>
  <c r="E176" i="55"/>
  <c r="T32" i="44"/>
  <c r="O201" i="55"/>
  <c r="J240" i="55"/>
  <c r="G265" i="55"/>
  <c r="D269" i="55"/>
  <c r="K205" i="55"/>
  <c r="F24" i="55"/>
  <c r="N24" i="55"/>
  <c r="O210" i="55"/>
  <c r="D116" i="55"/>
  <c r="K249" i="55"/>
  <c r="M110" i="55"/>
  <c r="H23" i="55"/>
  <c r="N197" i="55"/>
  <c r="E195" i="55"/>
  <c r="G203" i="55"/>
  <c r="C117" i="55"/>
  <c r="L115" i="55"/>
  <c r="D274" i="55"/>
  <c r="O184" i="55"/>
  <c r="L236" i="55"/>
  <c r="C30" i="55"/>
  <c r="L248" i="55"/>
  <c r="N272" i="55"/>
  <c r="P69" i="55"/>
  <c r="M87" i="55"/>
  <c r="O39" i="55"/>
  <c r="G273" i="55"/>
  <c r="Q157" i="55"/>
  <c r="K191" i="55"/>
  <c r="P245" i="55"/>
  <c r="J232" i="55"/>
  <c r="F170" i="55"/>
  <c r="L177" i="55"/>
  <c r="R55" i="51"/>
  <c r="G23" i="55"/>
  <c r="Q175" i="55"/>
  <c r="S411" i="53"/>
  <c r="E107" i="55"/>
  <c r="D217" i="55"/>
  <c r="P5" i="55"/>
  <c r="L46" i="55"/>
  <c r="R126" i="51"/>
  <c r="Q270" i="55"/>
  <c r="F115" i="55"/>
  <c r="F233" i="55"/>
  <c r="K215" i="55"/>
  <c r="J80" i="55"/>
  <c r="O16" i="55"/>
  <c r="K26" i="55"/>
  <c r="O284" i="55"/>
  <c r="M125" i="55"/>
  <c r="C59" i="55"/>
  <c r="K273" i="55"/>
  <c r="P257" i="55"/>
  <c r="Q280" i="55"/>
  <c r="H137" i="55"/>
  <c r="O20" i="55"/>
  <c r="F135" i="55"/>
  <c r="C283" i="55"/>
  <c r="K149" i="55"/>
  <c r="S140" i="38"/>
  <c r="M123" i="55"/>
  <c r="C136" i="55"/>
  <c r="G246" i="55"/>
  <c r="Q204" i="55"/>
  <c r="J58" i="55"/>
  <c r="G96" i="55"/>
  <c r="E216" i="55"/>
  <c r="P144" i="55"/>
  <c r="Q145" i="55"/>
  <c r="G82" i="55"/>
  <c r="K175" i="55"/>
  <c r="J184" i="55"/>
  <c r="Q16" i="55"/>
  <c r="L283" i="55"/>
  <c r="E207" i="55"/>
  <c r="E205" i="55"/>
  <c r="K21" i="55"/>
  <c r="E79" i="55"/>
  <c r="J242" i="55"/>
  <c r="D183" i="55"/>
  <c r="P193" i="55"/>
  <c r="H129" i="55"/>
  <c r="Q135" i="55"/>
  <c r="M276" i="55"/>
  <c r="P141" i="55"/>
  <c r="T28" i="44"/>
  <c r="J37" i="55"/>
  <c r="M198" i="55"/>
  <c r="R61" i="51"/>
  <c r="F141" i="55"/>
  <c r="F38" i="55"/>
  <c r="R203" i="51"/>
  <c r="C191" i="55"/>
  <c r="N63" i="55"/>
  <c r="Q247" i="55"/>
  <c r="C141" i="55"/>
  <c r="F25" i="55"/>
  <c r="O134" i="55"/>
  <c r="G213" i="55"/>
  <c r="M145" i="55"/>
  <c r="E31" i="55"/>
  <c r="S134" i="38"/>
  <c r="K197" i="55"/>
  <c r="Q282" i="55"/>
  <c r="C208" i="55"/>
  <c r="N78" i="55"/>
  <c r="E185" i="55"/>
  <c r="D165" i="55"/>
  <c r="Q210" i="55"/>
  <c r="K211" i="55"/>
  <c r="R81" i="27"/>
  <c r="Q220" i="55"/>
  <c r="M172" i="55"/>
  <c r="E277" i="55"/>
  <c r="J88" i="55"/>
  <c r="J265" i="55"/>
  <c r="F87" i="55"/>
  <c r="M212" i="55"/>
  <c r="F230" i="55"/>
  <c r="G100" i="55"/>
  <c r="C134" i="55"/>
  <c r="C71" i="55"/>
  <c r="G169" i="55"/>
  <c r="D248" i="55"/>
  <c r="M173" i="55"/>
  <c r="L170" i="55"/>
  <c r="P14" i="55"/>
  <c r="J227" i="55"/>
  <c r="L81" i="55"/>
  <c r="Q144" i="55"/>
  <c r="J247" i="55"/>
  <c r="S357" i="53"/>
  <c r="M64" i="55"/>
  <c r="R150" i="43"/>
  <c r="N277" i="55"/>
  <c r="H47" i="55"/>
  <c r="G62" i="55"/>
  <c r="E51" i="55"/>
  <c r="O51" i="55"/>
  <c r="P133" i="55"/>
  <c r="P161" i="55"/>
  <c r="J118" i="55"/>
  <c r="O125" i="55"/>
  <c r="H276" i="55"/>
  <c r="D63" i="55"/>
  <c r="M146" i="55"/>
  <c r="L150" i="55"/>
  <c r="H95" i="55"/>
  <c r="J272" i="55"/>
  <c r="G18" i="55"/>
  <c r="G35" i="55"/>
  <c r="H19" i="55"/>
  <c r="L152" i="55"/>
  <c r="J215" i="55"/>
  <c r="O61" i="55"/>
  <c r="C72" i="55"/>
  <c r="F36" i="55"/>
  <c r="E255" i="55"/>
  <c r="M45" i="55"/>
  <c r="P98" i="55"/>
  <c r="N223" i="55"/>
  <c r="N44" i="55"/>
  <c r="Q85" i="55"/>
  <c r="E27" i="55"/>
  <c r="H269" i="55"/>
  <c r="L22" i="55"/>
  <c r="P227" i="55"/>
  <c r="J32" i="55"/>
  <c r="K43" i="55"/>
  <c r="D75" i="55"/>
  <c r="D279" i="55"/>
  <c r="E135" i="55"/>
  <c r="M111" i="55"/>
  <c r="F244" i="55"/>
  <c r="N188" i="55"/>
  <c r="G138" i="55"/>
  <c r="L52" i="55"/>
  <c r="J161" i="55"/>
  <c r="N196" i="55"/>
  <c r="D161" i="55"/>
  <c r="K226" i="55"/>
  <c r="L58" i="55"/>
  <c r="C179" i="55"/>
  <c r="N209" i="55"/>
  <c r="L184" i="55"/>
  <c r="L203" i="55"/>
  <c r="P229" i="55"/>
  <c r="C196" i="55"/>
  <c r="G43" i="55"/>
  <c r="E22" i="55"/>
  <c r="L143" i="55"/>
  <c r="R93" i="51"/>
  <c r="P19" i="55"/>
  <c r="L167" i="55"/>
  <c r="J174" i="55"/>
  <c r="O279" i="55"/>
  <c r="E32" i="55"/>
  <c r="P83" i="55"/>
  <c r="L187" i="55"/>
  <c r="P29" i="55"/>
  <c r="P90" i="55"/>
  <c r="K251" i="55"/>
  <c r="M248" i="55"/>
  <c r="K254" i="55"/>
  <c r="Q3" i="55"/>
  <c r="F277" i="55"/>
  <c r="N57" i="55"/>
  <c r="K235" i="55"/>
  <c r="M41" i="55"/>
  <c r="Q47" i="55"/>
  <c r="N86" i="55"/>
  <c r="C42" i="55"/>
  <c r="D13" i="55"/>
  <c r="L112" i="55"/>
  <c r="L5" i="55"/>
  <c r="H43" i="55"/>
  <c r="J221" i="55"/>
  <c r="C260" i="55"/>
  <c r="C49" i="55"/>
  <c r="D58" i="55"/>
  <c r="D88" i="55"/>
  <c r="G196" i="55"/>
  <c r="D21" i="55"/>
  <c r="H11" i="55"/>
  <c r="L169" i="55"/>
  <c r="N274" i="55"/>
  <c r="E74" i="55"/>
  <c r="M86" i="55"/>
  <c r="Q240" i="55"/>
  <c r="O33" i="55"/>
  <c r="M133" i="55"/>
  <c r="D102" i="55"/>
  <c r="L242" i="55"/>
  <c r="E29" i="55"/>
  <c r="E112" i="55"/>
  <c r="N113" i="55"/>
  <c r="J62" i="55"/>
  <c r="K213" i="55"/>
  <c r="N208" i="55"/>
  <c r="C7" i="55"/>
  <c r="H267" i="55"/>
  <c r="D140" i="55"/>
  <c r="D25" i="55"/>
  <c r="K25" i="55"/>
  <c r="N64" i="55"/>
  <c r="Q277" i="55"/>
  <c r="P9" i="55"/>
  <c r="D177" i="55"/>
  <c r="N200" i="55"/>
  <c r="G282" i="55"/>
  <c r="H124" i="55"/>
  <c r="K120" i="55"/>
  <c r="G164" i="55"/>
  <c r="J15" i="55"/>
  <c r="P124" i="55"/>
  <c r="J102" i="55"/>
  <c r="O265" i="55"/>
  <c r="Q139" i="55"/>
  <c r="C40" i="55"/>
  <c r="S66" i="53"/>
  <c r="K135" i="55"/>
  <c r="S548" i="53"/>
  <c r="N101" i="55"/>
  <c r="D232" i="55"/>
  <c r="P266" i="55"/>
  <c r="L66" i="55"/>
  <c r="E144" i="55"/>
  <c r="N119" i="55"/>
  <c r="S515" i="53"/>
  <c r="J192" i="55"/>
  <c r="G140" i="55"/>
  <c r="J30" i="55"/>
  <c r="K278" i="55"/>
  <c r="J191" i="55"/>
  <c r="O182" i="55"/>
  <c r="P143" i="55"/>
  <c r="O74" i="55"/>
  <c r="G151" i="55"/>
  <c r="Q223" i="55"/>
  <c r="R165" i="51"/>
  <c r="F98" i="55"/>
  <c r="S362" i="53"/>
  <c r="J114" i="55"/>
  <c r="Q130" i="55"/>
  <c r="F239" i="55"/>
  <c r="L37" i="55"/>
  <c r="G107" i="55"/>
  <c r="G38" i="55"/>
  <c r="E225" i="55"/>
  <c r="H12" i="55"/>
  <c r="J193" i="55"/>
  <c r="E224" i="55"/>
  <c r="H81" i="55"/>
  <c r="M52" i="55"/>
  <c r="C172" i="55"/>
  <c r="L38" i="55"/>
  <c r="P233" i="55"/>
  <c r="K150" i="55"/>
  <c r="S102" i="38"/>
  <c r="F198" i="55"/>
  <c r="D258" i="55"/>
  <c r="C228" i="55"/>
  <c r="O283" i="55"/>
  <c r="S417" i="53"/>
  <c r="R163" i="43"/>
  <c r="Q263" i="55"/>
  <c r="L237" i="55"/>
  <c r="D230" i="55"/>
  <c r="Q254" i="55"/>
  <c r="L235" i="55"/>
  <c r="N43" i="55"/>
  <c r="J266" i="55"/>
  <c r="J263" i="55"/>
  <c r="D68" i="55"/>
  <c r="P165" i="55"/>
  <c r="F238" i="55"/>
  <c r="P21" i="55"/>
  <c r="S804" i="53"/>
  <c r="F197" i="55"/>
  <c r="P218" i="55"/>
  <c r="L95" i="55"/>
  <c r="L206" i="55"/>
  <c r="M184" i="55"/>
  <c r="J267" i="55"/>
  <c r="P89" i="55"/>
  <c r="F12" i="55"/>
  <c r="L271" i="55"/>
  <c r="Q20" i="55"/>
  <c r="J135" i="55"/>
  <c r="D130" i="55"/>
  <c r="E44" i="55"/>
  <c r="O143" i="55"/>
  <c r="K12" i="55"/>
  <c r="E20" i="55"/>
  <c r="H161" i="55"/>
  <c r="E18" i="55"/>
  <c r="P199" i="55"/>
  <c r="H198" i="55"/>
  <c r="R102" i="52"/>
  <c r="Q243" i="55"/>
  <c r="F220" i="55"/>
  <c r="R83" i="27"/>
  <c r="H138" i="55"/>
  <c r="Q214" i="55"/>
  <c r="J250" i="55"/>
  <c r="L127" i="55"/>
  <c r="G221" i="55"/>
  <c r="P160" i="55"/>
  <c r="H257" i="55"/>
  <c r="P258" i="55"/>
  <c r="J47" i="55"/>
  <c r="O168" i="55"/>
  <c r="O80" i="55"/>
  <c r="H99" i="55"/>
  <c r="D184" i="55"/>
  <c r="O257" i="55"/>
  <c r="K169" i="55"/>
  <c r="J148" i="55"/>
  <c r="C150" i="55"/>
  <c r="R152" i="43"/>
  <c r="J99" i="55"/>
  <c r="O252" i="55"/>
  <c r="H33" i="55"/>
  <c r="H272" i="55"/>
  <c r="N124" i="55"/>
  <c r="C110" i="55"/>
  <c r="O211" i="55"/>
  <c r="C259" i="55"/>
  <c r="C74" i="55"/>
  <c r="D47" i="55"/>
  <c r="E177" i="55"/>
  <c r="Q52" i="55"/>
  <c r="P121" i="55"/>
  <c r="D209" i="55"/>
  <c r="G56" i="55"/>
  <c r="L191" i="55"/>
  <c r="E72" i="55"/>
  <c r="J264" i="55"/>
  <c r="Q89" i="55"/>
  <c r="R165" i="43"/>
  <c r="N11" i="55"/>
  <c r="K216" i="55"/>
  <c r="P162" i="55"/>
  <c r="M258" i="55"/>
  <c r="J26" i="55"/>
  <c r="Q140" i="55"/>
  <c r="K223" i="55"/>
  <c r="D8" i="55"/>
  <c r="J68" i="55"/>
  <c r="G195" i="55"/>
  <c r="L7" i="55"/>
  <c r="L100" i="55"/>
  <c r="G73" i="55"/>
  <c r="M70" i="55"/>
  <c r="M3" i="55"/>
  <c r="J216" i="55"/>
  <c r="D143" i="55"/>
  <c r="E91" i="55"/>
  <c r="P252" i="55"/>
  <c r="J50" i="55"/>
  <c r="R347" i="43"/>
  <c r="F35" i="55"/>
  <c r="K13" i="55"/>
  <c r="G170" i="55"/>
  <c r="O266" i="55"/>
  <c r="G235" i="55"/>
  <c r="O244" i="55"/>
  <c r="E180" i="55"/>
  <c r="H168" i="55"/>
  <c r="N269" i="55"/>
  <c r="R160" i="51"/>
  <c r="H79" i="55"/>
  <c r="L18" i="55"/>
  <c r="E55" i="55"/>
  <c r="C249" i="55"/>
  <c r="F137" i="55"/>
  <c r="G152" i="55"/>
  <c r="N218" i="55"/>
  <c r="H250" i="55"/>
  <c r="C282" i="55"/>
  <c r="E75" i="55"/>
  <c r="E2" i="55"/>
  <c r="M229" i="55"/>
  <c r="M206" i="55"/>
  <c r="M90" i="55"/>
  <c r="O17" i="55"/>
  <c r="H41" i="55"/>
  <c r="K284" i="55"/>
  <c r="D272" i="55"/>
  <c r="P140" i="55"/>
  <c r="N155" i="55"/>
  <c r="H135" i="55"/>
  <c r="F22" i="55"/>
  <c r="D79" i="55"/>
  <c r="J29" i="55"/>
  <c r="N245" i="55"/>
  <c r="M163" i="55"/>
  <c r="F51" i="55"/>
  <c r="T22" i="44"/>
  <c r="P152" i="55"/>
  <c r="Q7" i="55"/>
  <c r="D124" i="55"/>
  <c r="K237" i="55"/>
  <c r="K154" i="55"/>
  <c r="G120" i="55"/>
  <c r="G270" i="55"/>
  <c r="Q136" i="55"/>
  <c r="K105" i="55"/>
  <c r="F205" i="55"/>
  <c r="S61" i="38"/>
  <c r="C203" i="55"/>
  <c r="M263" i="55"/>
  <c r="J213" i="55"/>
  <c r="F183" i="55"/>
  <c r="E161" i="55"/>
  <c r="J164" i="55"/>
  <c r="O89" i="55"/>
  <c r="L215" i="55"/>
  <c r="K212" i="55"/>
  <c r="G198" i="55"/>
  <c r="Q261" i="55"/>
  <c r="P151" i="55"/>
  <c r="L250" i="55"/>
  <c r="L138" i="55"/>
  <c r="G78" i="55"/>
  <c r="H194" i="55"/>
  <c r="F101" i="55"/>
  <c r="N206" i="55"/>
  <c r="Q143" i="55"/>
  <c r="K184" i="55"/>
  <c r="M265" i="55"/>
  <c r="G47" i="55"/>
  <c r="J234" i="55"/>
  <c r="D17" i="55"/>
  <c r="M103" i="55"/>
  <c r="K283" i="55"/>
  <c r="G59" i="55"/>
  <c r="L257" i="55"/>
  <c r="G284" i="55"/>
  <c r="F68" i="55"/>
  <c r="G141" i="55"/>
  <c r="E276" i="55"/>
  <c r="E151" i="55"/>
  <c r="F80" i="55"/>
  <c r="P105" i="55"/>
  <c r="G16" i="55"/>
  <c r="P203" i="55"/>
  <c r="N226" i="55"/>
  <c r="C216" i="55"/>
  <c r="K163" i="55"/>
  <c r="N137" i="55"/>
  <c r="Q241" i="55"/>
  <c r="C31" i="55"/>
  <c r="C176" i="55"/>
  <c r="J186" i="55"/>
  <c r="D166" i="55"/>
  <c r="M205" i="55"/>
  <c r="G148" i="55"/>
  <c r="D60" i="55"/>
  <c r="L82" i="55"/>
  <c r="E270" i="55"/>
  <c r="D200" i="55"/>
  <c r="F4" i="55"/>
  <c r="F229" i="55"/>
  <c r="H78" i="55"/>
  <c r="J121" i="55"/>
  <c r="D170" i="55"/>
  <c r="P168" i="55"/>
  <c r="E114" i="55"/>
  <c r="K15" i="55"/>
  <c r="L194" i="55"/>
  <c r="F180" i="55"/>
  <c r="O179" i="55"/>
  <c r="H190" i="55"/>
  <c r="J108" i="55"/>
  <c r="F202" i="55"/>
  <c r="N36" i="55"/>
  <c r="H223" i="55"/>
  <c r="N114" i="55"/>
  <c r="C5" i="55"/>
  <c r="O255" i="55"/>
  <c r="O220" i="55"/>
  <c r="H133" i="55"/>
  <c r="N138" i="55"/>
  <c r="F156" i="55"/>
  <c r="J93" i="55"/>
  <c r="P99" i="55"/>
  <c r="L42" i="55"/>
  <c r="E109" i="55"/>
  <c r="G263" i="55"/>
  <c r="E254" i="55"/>
  <c r="L111" i="55"/>
  <c r="P45" i="55"/>
  <c r="G81" i="55"/>
  <c r="Q264" i="55"/>
  <c r="F2" i="55"/>
  <c r="Q41" i="55"/>
  <c r="S502" i="53"/>
  <c r="E141" i="55"/>
  <c r="H28" i="55"/>
  <c r="L101" i="55"/>
  <c r="O64" i="55"/>
  <c r="H122" i="55"/>
  <c r="G211" i="55"/>
  <c r="C226" i="55"/>
  <c r="N72" i="55"/>
  <c r="K218" i="55"/>
  <c r="H61" i="55"/>
  <c r="S217" i="53"/>
  <c r="L146" i="55"/>
  <c r="M56" i="55"/>
  <c r="G79" i="55"/>
  <c r="E247" i="55"/>
  <c r="H169" i="55"/>
  <c r="N41" i="55"/>
  <c r="G167" i="55"/>
  <c r="L247" i="55"/>
  <c r="Q199" i="55"/>
  <c r="L55" i="55"/>
  <c r="H241" i="55"/>
  <c r="G251" i="55"/>
  <c r="G154" i="55"/>
  <c r="O115" i="55"/>
  <c r="E187" i="55"/>
  <c r="D172" i="55"/>
  <c r="G46" i="55"/>
  <c r="J259" i="55"/>
  <c r="L284" i="55"/>
  <c r="D224" i="55"/>
  <c r="C198" i="55"/>
  <c r="N48" i="55"/>
  <c r="Q128" i="55"/>
  <c r="C231" i="55"/>
  <c r="C76" i="55"/>
  <c r="N192" i="55"/>
  <c r="M33" i="55"/>
  <c r="H152" i="55"/>
  <c r="F94" i="55"/>
  <c r="O197" i="55"/>
  <c r="M95" i="55"/>
  <c r="M261" i="55"/>
  <c r="H251" i="55"/>
  <c r="P78" i="55"/>
  <c r="D145" i="55"/>
  <c r="E7" i="55"/>
  <c r="Q269" i="55"/>
  <c r="E99" i="55"/>
  <c r="H14" i="55"/>
  <c r="Q115" i="55"/>
  <c r="G3" i="55"/>
  <c r="O173" i="55"/>
  <c r="D187" i="55"/>
  <c r="G51" i="55"/>
  <c r="P126" i="55"/>
  <c r="M166" i="55"/>
  <c r="N135" i="55"/>
  <c r="H229" i="55"/>
  <c r="K132" i="55"/>
  <c r="N170" i="55"/>
  <c r="H220" i="55"/>
  <c r="C122" i="55"/>
  <c r="S577" i="53"/>
  <c r="K39" i="55"/>
  <c r="N140" i="55"/>
  <c r="E34" i="55"/>
  <c r="O253" i="55"/>
  <c r="D158" i="55"/>
  <c r="D237" i="55"/>
  <c r="K195" i="55"/>
  <c r="Q57" i="55"/>
  <c r="O203" i="55"/>
  <c r="G137" i="55"/>
  <c r="C275" i="55"/>
  <c r="J152" i="55"/>
  <c r="M91" i="55"/>
  <c r="O250" i="55"/>
  <c r="F15" i="55"/>
  <c r="F225" i="55"/>
  <c r="H64" i="55"/>
  <c r="J113" i="55"/>
  <c r="D236" i="55"/>
  <c r="K202" i="55"/>
  <c r="L219" i="55"/>
  <c r="G261" i="55"/>
  <c r="O104" i="55"/>
  <c r="S332" i="53"/>
  <c r="D190" i="55"/>
  <c r="P25" i="55"/>
  <c r="H170" i="55"/>
  <c r="G218" i="55"/>
  <c r="N129" i="55"/>
  <c r="L116" i="55"/>
  <c r="K196" i="55"/>
  <c r="C33" i="55"/>
  <c r="L226" i="55"/>
  <c r="Q117" i="55"/>
  <c r="P2" i="55"/>
  <c r="O186" i="55"/>
  <c r="H146" i="55"/>
  <c r="M200" i="55"/>
  <c r="N34" i="55"/>
  <c r="T33" i="44"/>
  <c r="D83" i="55"/>
  <c r="M20" i="55"/>
  <c r="F267" i="55"/>
  <c r="J173" i="55"/>
  <c r="H231" i="55"/>
  <c r="O57" i="55"/>
  <c r="N147" i="55"/>
  <c r="F72" i="55"/>
  <c r="L67" i="55"/>
  <c r="J150" i="55"/>
  <c r="L120" i="55"/>
  <c r="H27" i="37"/>
  <c r="P185" i="55"/>
  <c r="H34" i="55"/>
  <c r="O140" i="55"/>
  <c r="J203" i="55"/>
  <c r="L3" i="55"/>
  <c r="D191" i="55"/>
  <c r="J87" i="55"/>
  <c r="J189" i="55"/>
  <c r="P68" i="55"/>
  <c r="K236" i="55"/>
  <c r="Q54" i="55"/>
  <c r="E62" i="55"/>
  <c r="N22" i="55"/>
  <c r="L245" i="55"/>
  <c r="M279" i="55"/>
  <c r="L128" i="55"/>
  <c r="J151" i="55"/>
  <c r="E142" i="55"/>
  <c r="J188" i="55"/>
  <c r="E171" i="55"/>
  <c r="F279" i="55"/>
  <c r="Q137" i="55"/>
  <c r="D111" i="55"/>
  <c r="K62" i="55"/>
  <c r="F209" i="55"/>
  <c r="E9" i="55"/>
  <c r="Q91" i="55"/>
  <c r="K219" i="55"/>
  <c r="L204" i="55"/>
  <c r="O205" i="55"/>
  <c r="F228" i="55"/>
  <c r="F127" i="55"/>
  <c r="J183" i="55"/>
  <c r="K131" i="55"/>
  <c r="H246" i="55"/>
  <c r="O198" i="55"/>
  <c r="E82" i="55"/>
  <c r="H207" i="55"/>
  <c r="J49" i="55"/>
  <c r="Q103" i="55"/>
  <c r="L136" i="55"/>
  <c r="L199" i="55"/>
  <c r="M255" i="55"/>
  <c r="C241" i="55"/>
  <c r="R60" i="17"/>
  <c r="E76" i="55"/>
  <c r="S800" i="53"/>
  <c r="M35" i="55"/>
  <c r="L268" i="55"/>
  <c r="F56" i="55"/>
  <c r="M49" i="55"/>
  <c r="N77" i="55"/>
  <c r="C23" i="55"/>
  <c r="D18" i="55"/>
  <c r="P146" i="55"/>
  <c r="N107" i="55"/>
  <c r="P64" i="55"/>
  <c r="D6" i="55"/>
  <c r="L139" i="55"/>
  <c r="E111" i="55"/>
  <c r="E41" i="55"/>
  <c r="O71" i="55"/>
  <c r="K239" i="55"/>
  <c r="O276" i="55"/>
  <c r="E273" i="55"/>
  <c r="Q173" i="55"/>
  <c r="K162" i="55"/>
  <c r="F182" i="55"/>
  <c r="M129" i="55"/>
  <c r="O130" i="55"/>
  <c r="L223" i="55"/>
  <c r="O242" i="55"/>
  <c r="F42" i="55"/>
  <c r="E218" i="55"/>
  <c r="L31" i="55"/>
  <c r="E134" i="55"/>
  <c r="J145" i="55"/>
  <c r="R121" i="43"/>
  <c r="G165" i="55"/>
  <c r="G69" i="55"/>
  <c r="F162" i="55"/>
  <c r="M221" i="55"/>
  <c r="E3" i="55"/>
  <c r="H208" i="55"/>
  <c r="F145" i="55"/>
  <c r="M4" i="55"/>
  <c r="M104" i="55"/>
  <c r="H166" i="55"/>
  <c r="D52" i="55"/>
  <c r="L196" i="55"/>
  <c r="D86" i="55"/>
  <c r="J91" i="55"/>
  <c r="P148" i="55"/>
  <c r="E100" i="55"/>
  <c r="M88" i="55"/>
  <c r="G63" i="55"/>
  <c r="S31" i="53"/>
  <c r="D19" i="55"/>
  <c r="E125" i="55"/>
  <c r="D48" i="55"/>
  <c r="P238" i="55"/>
  <c r="C154" i="55"/>
  <c r="L156" i="55"/>
  <c r="K198" i="55"/>
  <c r="O249" i="55"/>
  <c r="F215" i="55"/>
  <c r="C32" i="41"/>
  <c r="G156" i="55"/>
  <c r="E178" i="55"/>
  <c r="O159" i="55"/>
  <c r="J222" i="55"/>
  <c r="O58" i="55"/>
  <c r="H48" i="55"/>
  <c r="M188" i="55"/>
  <c r="C209" i="55"/>
  <c r="O118" i="55"/>
  <c r="L137" i="55"/>
  <c r="L265" i="55"/>
  <c r="L238" i="55"/>
  <c r="L4" i="55"/>
  <c r="H126" i="55"/>
  <c r="O27" i="55"/>
  <c r="Q123" i="55"/>
  <c r="H2" i="55"/>
  <c r="K186" i="55"/>
  <c r="S692" i="53"/>
  <c r="L183" i="55"/>
  <c r="H273" i="55"/>
  <c r="Q127" i="55"/>
  <c r="F3" i="55"/>
  <c r="F47" i="55"/>
  <c r="M213" i="55"/>
  <c r="N263" i="55"/>
  <c r="K51" i="55"/>
  <c r="H280" i="55"/>
  <c r="N279" i="55"/>
  <c r="C266" i="55"/>
  <c r="F65" i="55"/>
  <c r="K116" i="55"/>
  <c r="O93" i="55"/>
  <c r="P3" i="55"/>
  <c r="D109" i="55"/>
  <c r="C148" i="55"/>
  <c r="K252" i="55"/>
  <c r="D108" i="55"/>
  <c r="C189" i="55"/>
  <c r="J18" i="55"/>
  <c r="L65" i="55"/>
  <c r="O213" i="55"/>
  <c r="E152" i="55"/>
  <c r="N163" i="55"/>
  <c r="E199" i="55"/>
  <c r="D92" i="55"/>
  <c r="H178" i="55"/>
  <c r="O247" i="55"/>
  <c r="R96" i="27"/>
  <c r="E63" i="55"/>
  <c r="M105" i="55"/>
  <c r="N109" i="55"/>
  <c r="K6" i="55"/>
  <c r="M31" i="55"/>
  <c r="G258" i="55"/>
  <c r="K56" i="55"/>
  <c r="R33" i="52"/>
  <c r="C168" i="55"/>
  <c r="O44" i="55"/>
  <c r="G77" i="55"/>
  <c r="R127" i="43"/>
  <c r="F245" i="55"/>
  <c r="Q13" i="55"/>
  <c r="D267" i="55"/>
  <c r="F109" i="55"/>
  <c r="N89" i="55"/>
  <c r="F179" i="55"/>
  <c r="K256" i="55"/>
  <c r="G281" i="55"/>
  <c r="F265" i="55"/>
  <c r="H228" i="55"/>
  <c r="D107" i="55"/>
  <c r="C87" i="55"/>
  <c r="R273" i="51"/>
  <c r="S446" i="53"/>
  <c r="K3" i="55"/>
  <c r="E228" i="55"/>
  <c r="J239" i="55"/>
  <c r="D100" i="55"/>
  <c r="Q226" i="55"/>
  <c r="D233" i="55"/>
  <c r="N42" i="55"/>
  <c r="H218" i="55"/>
  <c r="K128" i="55"/>
  <c r="J170" i="55"/>
  <c r="P153" i="55"/>
  <c r="S267" i="53"/>
  <c r="M170" i="55"/>
  <c r="P44" i="55"/>
  <c r="O237" i="55"/>
  <c r="P216" i="55"/>
  <c r="F59" i="55"/>
  <c r="E165" i="55"/>
  <c r="K178" i="55"/>
  <c r="G118" i="55"/>
  <c r="M22" i="55"/>
  <c r="K230" i="55"/>
  <c r="C102" i="55"/>
  <c r="R94" i="27"/>
  <c r="C60" i="55"/>
  <c r="N157" i="55"/>
  <c r="H189" i="55"/>
  <c r="Q46" i="55"/>
  <c r="J251" i="55"/>
  <c r="K35" i="55"/>
  <c r="M32" i="55"/>
  <c r="H148" i="55"/>
  <c r="O65" i="55"/>
  <c r="D221" i="55"/>
  <c r="M168" i="55"/>
  <c r="G209" i="55"/>
  <c r="C128" i="55"/>
  <c r="D193" i="55"/>
  <c r="K9" i="55"/>
  <c r="E119" i="55"/>
  <c r="F37" i="55"/>
  <c r="P198" i="55"/>
  <c r="C197" i="55"/>
  <c r="N270" i="55"/>
  <c r="E53" i="55"/>
  <c r="F57" i="55"/>
  <c r="N199" i="55"/>
  <c r="P132" i="55"/>
  <c r="Q234" i="55"/>
  <c r="G45" i="55"/>
  <c r="E246" i="55"/>
  <c r="O158" i="55"/>
  <c r="E282" i="55"/>
  <c r="D11" i="55"/>
  <c r="D213" i="55"/>
  <c r="E49" i="55"/>
  <c r="J171" i="55"/>
  <c r="S550" i="53"/>
  <c r="D2" i="55"/>
  <c r="G114" i="55"/>
  <c r="K73" i="55"/>
  <c r="L43" i="55"/>
  <c r="L280" i="55"/>
  <c r="G207" i="55"/>
  <c r="L154" i="55"/>
  <c r="J27" i="55"/>
  <c r="J271" i="55"/>
  <c r="S805" i="53"/>
  <c r="M278" i="55"/>
  <c r="K155" i="55"/>
  <c r="H26" i="55"/>
  <c r="Q281" i="55"/>
  <c r="J256" i="55"/>
  <c r="L132" i="55"/>
  <c r="N28" i="55"/>
  <c r="C151" i="55"/>
  <c r="F106" i="55"/>
  <c r="K30" i="55"/>
  <c r="G131" i="55"/>
  <c r="H80" i="55"/>
  <c r="H53" i="55"/>
  <c r="C251" i="55"/>
  <c r="F146" i="55"/>
  <c r="H264" i="55"/>
  <c r="N115" i="55"/>
  <c r="L149" i="55"/>
  <c r="P194" i="55"/>
  <c r="G232" i="55"/>
  <c r="R24" i="40"/>
  <c r="G200" i="55"/>
  <c r="Q231" i="55"/>
  <c r="Q268" i="55"/>
  <c r="C17" i="55"/>
  <c r="J166" i="55"/>
  <c r="C11" i="41"/>
  <c r="L145" i="55"/>
  <c r="P28" i="55"/>
  <c r="D229" i="55"/>
  <c r="C222" i="55"/>
  <c r="J23" i="55"/>
  <c r="T34" i="44"/>
  <c r="Q22" i="55"/>
  <c r="H183" i="55"/>
  <c r="S266" i="53"/>
  <c r="F45" i="55"/>
  <c r="R59" i="51"/>
  <c r="G67" i="55"/>
  <c r="C73" i="55"/>
  <c r="M187" i="55"/>
  <c r="P61" i="55"/>
  <c r="O153" i="55"/>
  <c r="R89" i="51"/>
  <c r="Q182" i="55"/>
  <c r="O36" i="55"/>
  <c r="J224" i="55"/>
  <c r="L200" i="55"/>
  <c r="F191" i="55"/>
  <c r="O14" i="55"/>
  <c r="E97" i="55"/>
  <c r="L249" i="55"/>
  <c r="K180" i="55"/>
  <c r="L217" i="55"/>
  <c r="C261" i="55"/>
  <c r="K110" i="55"/>
  <c r="C89" i="55"/>
  <c r="P119" i="55"/>
  <c r="D185" i="55"/>
  <c r="F113" i="55"/>
  <c r="Q109" i="55"/>
  <c r="Q257" i="55"/>
  <c r="M165" i="55"/>
  <c r="C80" i="55"/>
  <c r="N164" i="55"/>
  <c r="C16" i="41"/>
  <c r="G116" i="55"/>
  <c r="L131" i="55"/>
  <c r="E46" i="55"/>
  <c r="H15" i="55"/>
  <c r="M7" i="55"/>
  <c r="P205" i="55"/>
  <c r="J86" i="55"/>
  <c r="H75" i="55"/>
  <c r="Q37" i="55"/>
  <c r="J83" i="55"/>
  <c r="L11" i="55"/>
  <c r="C224" i="55"/>
  <c r="E127" i="55"/>
  <c r="C58" i="55"/>
  <c r="N120" i="55"/>
  <c r="J107" i="55"/>
  <c r="F117" i="55"/>
  <c r="D16" i="55"/>
  <c r="H214" i="55"/>
  <c r="E85" i="55"/>
  <c r="J220" i="55"/>
  <c r="F174" i="55"/>
  <c r="P276" i="55"/>
  <c r="C83" i="55"/>
  <c r="D64" i="55"/>
  <c r="O234" i="55"/>
  <c r="L96" i="55"/>
  <c r="E143" i="55"/>
  <c r="P10" i="55"/>
  <c r="L59" i="55"/>
  <c r="P107" i="55"/>
  <c r="E93" i="55"/>
  <c r="E136" i="55"/>
  <c r="D270" i="55"/>
  <c r="F33" i="55"/>
  <c r="O73" i="55"/>
  <c r="H77" i="55"/>
  <c r="C159" i="55"/>
  <c r="K126" i="55"/>
  <c r="Q118" i="55"/>
  <c r="S261" i="53"/>
  <c r="E120" i="55"/>
  <c r="C257" i="55"/>
  <c r="P243" i="55"/>
  <c r="C3" i="41"/>
  <c r="G97" i="55"/>
  <c r="H140" i="55"/>
  <c r="N87" i="55"/>
  <c r="C145" i="55"/>
  <c r="E242" i="55"/>
  <c r="F90" i="55"/>
  <c r="G52" i="55"/>
  <c r="S500" i="53"/>
  <c r="E179" i="55"/>
  <c r="F11" i="55"/>
  <c r="G132" i="55"/>
  <c r="J89" i="55"/>
  <c r="G276" i="55"/>
  <c r="H182" i="55"/>
  <c r="Q78" i="55"/>
  <c r="R79" i="27"/>
  <c r="G22" i="55"/>
  <c r="H7" i="55"/>
  <c r="L251" i="55"/>
  <c r="H195" i="55"/>
  <c r="M171" i="55"/>
  <c r="N190" i="55"/>
  <c r="F104" i="55"/>
  <c r="O207" i="55"/>
  <c r="O157" i="55"/>
  <c r="F18" i="55"/>
  <c r="E122" i="55"/>
  <c r="L160" i="55"/>
  <c r="M26" i="55"/>
  <c r="M53" i="55"/>
  <c r="P223" i="55"/>
  <c r="F67" i="55"/>
  <c r="P261" i="55"/>
  <c r="S139" i="38"/>
  <c r="R47" i="17"/>
  <c r="S138" i="38"/>
  <c r="C7" i="41"/>
  <c r="P222" i="55"/>
  <c r="K151" i="55"/>
  <c r="N281" i="55"/>
  <c r="R97" i="52"/>
  <c r="J60" i="55"/>
  <c r="N151" i="55"/>
  <c r="F171" i="55"/>
  <c r="K44" i="55"/>
  <c r="Q208" i="55"/>
  <c r="D178" i="55"/>
  <c r="O60" i="55"/>
  <c r="C43" i="55"/>
  <c r="F166" i="55"/>
  <c r="N65" i="55"/>
  <c r="D171" i="55"/>
  <c r="F234" i="55"/>
  <c r="S67" i="38"/>
  <c r="M74" i="55"/>
  <c r="J279" i="55"/>
  <c r="N108" i="55"/>
  <c r="D277" i="55"/>
  <c r="G4" i="55"/>
  <c r="S516" i="53"/>
  <c r="P104" i="55"/>
  <c r="C17" i="41"/>
  <c r="M186" i="55"/>
  <c r="K268" i="55"/>
  <c r="C165" i="55"/>
  <c r="H32" i="55"/>
  <c r="K86" i="55"/>
  <c r="N61" i="55"/>
  <c r="D24" i="55"/>
  <c r="O200" i="55"/>
  <c r="J233" i="55"/>
  <c r="S67" i="53"/>
  <c r="R23" i="51"/>
  <c r="G172" i="55"/>
  <c r="D91" i="55"/>
  <c r="R245" i="51"/>
  <c r="G48" i="55"/>
  <c r="N253" i="55"/>
  <c r="C78" i="55"/>
  <c r="O123" i="55"/>
  <c r="O113" i="55"/>
  <c r="P76" i="55"/>
  <c r="O90" i="55"/>
  <c r="J10" i="55"/>
  <c r="K143" i="55"/>
  <c r="R19" i="40"/>
  <c r="M228" i="55"/>
  <c r="P219" i="55"/>
  <c r="N214" i="55"/>
  <c r="D26" i="55"/>
  <c r="P196" i="55"/>
  <c r="M115" i="55"/>
  <c r="S806" i="53"/>
  <c r="K42" i="55"/>
  <c r="N125" i="55"/>
  <c r="E156" i="55"/>
  <c r="G32" i="55"/>
  <c r="M126" i="55"/>
  <c r="K139" i="55"/>
  <c r="R25" i="40"/>
  <c r="E123" i="55"/>
  <c r="O7" i="55"/>
  <c r="J258" i="55"/>
  <c r="G260" i="55"/>
  <c r="M11" i="55"/>
  <c r="N250" i="55"/>
  <c r="H270" i="55"/>
  <c r="G139" i="55"/>
  <c r="F186" i="55"/>
  <c r="K161" i="55"/>
  <c r="J100" i="55"/>
  <c r="F221" i="55"/>
  <c r="K103" i="55"/>
  <c r="R23" i="40"/>
  <c r="O98" i="55"/>
  <c r="G242" i="55"/>
  <c r="N66" i="55"/>
  <c r="N179" i="55"/>
  <c r="K72" i="55"/>
  <c r="O69" i="55"/>
  <c r="H123" i="55"/>
  <c r="D240" i="55"/>
  <c r="O2" i="55"/>
  <c r="P86" i="55"/>
  <c r="F204" i="55"/>
  <c r="P127" i="55"/>
  <c r="R2" i="55"/>
  <c r="J178" i="55"/>
  <c r="K189" i="55"/>
  <c r="C255" i="55"/>
  <c r="C123" i="55"/>
  <c r="J210" i="55"/>
  <c r="E59" i="55"/>
  <c r="T23" i="40" l="1"/>
  <c r="T25" i="40"/>
  <c r="T19" i="40"/>
  <c r="T23" i="51"/>
  <c r="U67" i="53"/>
  <c r="E17" i="41"/>
  <c r="E7" i="41"/>
  <c r="U138" i="38"/>
  <c r="U139" i="38"/>
  <c r="T79" i="27"/>
  <c r="U500" i="53"/>
  <c r="E3" i="41"/>
  <c r="U261" i="53"/>
  <c r="T89" i="51"/>
  <c r="U266" i="53"/>
  <c r="T24" i="40"/>
  <c r="U550" i="53"/>
  <c r="U267" i="53"/>
  <c r="U446" i="53"/>
  <c r="T127" i="43"/>
  <c r="T33" i="52"/>
  <c r="T121" i="43"/>
  <c r="U577" i="53"/>
  <c r="U217" i="53"/>
  <c r="U502" i="53"/>
  <c r="T160" i="51"/>
  <c r="U417" i="53"/>
  <c r="T165" i="51"/>
  <c r="U548" i="53"/>
  <c r="U66" i="53"/>
  <c r="T93" i="51"/>
  <c r="T150" i="43"/>
  <c r="U357" i="53"/>
  <c r="T81" i="27"/>
  <c r="U134" i="38"/>
  <c r="U140" i="38"/>
  <c r="U411" i="53"/>
  <c r="U579" i="53"/>
  <c r="T228" i="51"/>
  <c r="T43" i="17"/>
  <c r="U65" i="53"/>
  <c r="U635" i="53"/>
  <c r="V19" i="44"/>
  <c r="U447" i="53"/>
  <c r="U317" i="53"/>
  <c r="E8" i="41"/>
  <c r="U846" i="53"/>
  <c r="T166" i="51"/>
  <c r="U222" i="53"/>
  <c r="T270" i="51"/>
  <c r="U724" i="53"/>
  <c r="E15" i="41"/>
  <c r="T331" i="43"/>
  <c r="E6" i="41"/>
  <c r="U549" i="53"/>
  <c r="V17" i="44"/>
  <c r="U578" i="53"/>
  <c r="T126" i="43"/>
  <c r="U789" i="53"/>
  <c r="U223" i="53"/>
  <c r="U416" i="53"/>
  <c r="U867" i="53"/>
  <c r="U637" i="53"/>
  <c r="U840" i="53"/>
  <c r="J11" i="37"/>
  <c r="T44" i="51"/>
  <c r="U573" i="53"/>
  <c r="U730" i="53"/>
  <c r="T164" i="51"/>
  <c r="U442" i="53"/>
  <c r="T148" i="43"/>
  <c r="T166" i="43" s="1"/>
  <c r="T167" i="43" s="1"/>
  <c r="T169" i="43" s="1"/>
  <c r="U415" i="53"/>
  <c r="T31" i="52"/>
  <c r="T117" i="51"/>
  <c r="T94" i="51"/>
  <c r="U50" i="38"/>
  <c r="T268" i="51"/>
  <c r="T286" i="51" s="1"/>
  <c r="T287" i="51" s="1"/>
  <c r="T289" i="51" s="1"/>
  <c r="T45" i="17"/>
  <c r="T95" i="51"/>
  <c r="U221" i="53"/>
  <c r="U729" i="53"/>
  <c r="T333" i="43"/>
  <c r="U18" i="53"/>
  <c r="U359" i="53"/>
  <c r="U375" i="53" s="1"/>
  <c r="U376" i="53" s="1"/>
  <c r="U378" i="53" s="1"/>
  <c r="T188" i="51"/>
  <c r="T18" i="51"/>
  <c r="T86" i="52"/>
  <c r="T125" i="43"/>
  <c r="T115" i="51"/>
  <c r="T133" i="51" s="1"/>
  <c r="T134" i="51" s="1"/>
  <c r="T136" i="51" s="1"/>
  <c r="U265" i="53"/>
  <c r="U845" i="53"/>
  <c r="U869" i="53"/>
  <c r="U16" i="53"/>
  <c r="U34" i="53" s="1"/>
  <c r="U35" i="53" s="1"/>
  <c r="U37" i="53" s="1"/>
  <c r="U61" i="53"/>
  <c r="U93" i="38"/>
  <c r="U728" i="53"/>
  <c r="U315" i="53"/>
  <c r="U333" i="53" s="1"/>
  <c r="U334" i="53" s="1"/>
  <c r="U336" i="53" s="1"/>
  <c r="T341" i="53" s="1"/>
  <c r="E341" i="53" s="1"/>
  <c r="U791" i="53"/>
  <c r="T186" i="51"/>
  <c r="T204" i="51" s="1"/>
  <c r="T205" i="51" s="1"/>
  <c r="T207" i="51" s="1"/>
  <c r="R212" i="51" s="1"/>
  <c r="D212" i="51" s="1"/>
  <c r="T24" i="51"/>
  <c r="U544" i="53"/>
  <c r="T46" i="51"/>
  <c r="U676" i="53"/>
  <c r="U91" i="38"/>
  <c r="U448" i="53"/>
  <c r="T88" i="52"/>
  <c r="U678" i="53"/>
  <c r="U52" i="38"/>
  <c r="J13" i="37"/>
  <c r="T230" i="51"/>
  <c r="T22" i="51"/>
  <c r="U844" i="53"/>
  <c r="Q212" i="51"/>
  <c r="C212" i="51" s="1"/>
  <c r="S212" i="51"/>
  <c r="E212" i="51" s="1"/>
  <c r="U731" i="53"/>
  <c r="U268" i="53"/>
  <c r="Q341" i="53"/>
  <c r="B341" i="53" s="1"/>
  <c r="U694" i="53"/>
  <c r="U695" i="53" s="1"/>
  <c r="U697" i="53" s="1"/>
  <c r="T42" i="53"/>
  <c r="E42" i="53" s="1"/>
  <c r="Q42" i="53"/>
  <c r="B42" i="53" s="1"/>
  <c r="U42" i="53"/>
  <c r="F42" i="53" s="1"/>
  <c r="S42" i="53"/>
  <c r="D42" i="53" s="1"/>
  <c r="R42" i="53"/>
  <c r="C42" i="53" s="1"/>
  <c r="U383" i="53"/>
  <c r="F383" i="53" s="1"/>
  <c r="T383" i="53"/>
  <c r="E383" i="53" s="1"/>
  <c r="S383" i="53"/>
  <c r="D383" i="53" s="1"/>
  <c r="Q383" i="53"/>
  <c r="B383" i="53" s="1"/>
  <c r="R383" i="53"/>
  <c r="C383" i="53" s="1"/>
  <c r="U580" i="53"/>
  <c r="T62" i="51"/>
  <c r="T63" i="51" s="1"/>
  <c r="T65" i="51" s="1"/>
  <c r="U653" i="53"/>
  <c r="U654" i="53" s="1"/>
  <c r="U656" i="53" s="1"/>
  <c r="T167" i="51"/>
  <c r="T26" i="40"/>
  <c r="T96" i="51"/>
  <c r="S141" i="51"/>
  <c r="E141" i="51" s="1"/>
  <c r="Q141" i="51"/>
  <c r="C141" i="51" s="1"/>
  <c r="P141" i="51"/>
  <c r="B141" i="51" s="1"/>
  <c r="T141" i="51"/>
  <c r="F141" i="51" s="1"/>
  <c r="R141" i="51"/>
  <c r="D141" i="51" s="1"/>
  <c r="U551" i="53"/>
  <c r="U68" i="53"/>
  <c r="T25" i="51"/>
  <c r="T294" i="51"/>
  <c r="F289" i="51" s="1"/>
  <c r="P294" i="51"/>
  <c r="B289" i="51" s="1"/>
  <c r="R294" i="51"/>
  <c r="D289" i="51" s="1"/>
  <c r="Q294" i="51"/>
  <c r="C289" i="51" s="1"/>
  <c r="S294" i="51"/>
  <c r="E289" i="51" s="1"/>
  <c r="T49" i="52"/>
  <c r="T50" i="52" s="1"/>
  <c r="T52" i="52" s="1"/>
  <c r="U847" i="53"/>
  <c r="T174" i="43"/>
  <c r="F174" i="43" s="1"/>
  <c r="R174" i="43"/>
  <c r="D174" i="43" s="1"/>
  <c r="S174" i="43"/>
  <c r="E174" i="43" s="1"/>
  <c r="Q174" i="43"/>
  <c r="C174" i="43" s="1"/>
  <c r="P174" i="43"/>
  <c r="B174" i="43" s="1"/>
  <c r="U885" i="53"/>
  <c r="U886" i="53" s="1"/>
  <c r="U888" i="53" s="1"/>
  <c r="U807" i="53"/>
  <c r="U808" i="53" s="1"/>
  <c r="U810" i="53" s="1"/>
  <c r="T349" i="43"/>
  <c r="T350" i="43" s="1"/>
  <c r="T352" i="43" s="1"/>
  <c r="U518" i="53"/>
  <c r="U519" i="53" s="1"/>
  <c r="U521" i="53" s="1"/>
  <c r="W196" i="31"/>
  <c r="V196" i="31"/>
  <c r="U196" i="31"/>
  <c r="AE197" i="31"/>
  <c r="F197" i="31" s="1"/>
  <c r="AD197" i="31"/>
  <c r="E197" i="31" s="1"/>
  <c r="AC197" i="31"/>
  <c r="D197" i="31" s="1"/>
  <c r="AB197" i="31"/>
  <c r="C197" i="31" s="1"/>
  <c r="AA197" i="31"/>
  <c r="B197" i="31" s="1"/>
  <c r="Y192" i="31"/>
  <c r="X192" i="31"/>
  <c r="W192" i="31"/>
  <c r="V192" i="31"/>
  <c r="U192" i="31"/>
  <c r="Y190" i="31"/>
  <c r="X190" i="31"/>
  <c r="W190" i="31"/>
  <c r="V190" i="31"/>
  <c r="U190" i="31"/>
  <c r="W179" i="31"/>
  <c r="V179" i="31"/>
  <c r="U179" i="31"/>
  <c r="AA180" i="31"/>
  <c r="B180" i="31" s="1"/>
  <c r="Y173" i="31"/>
  <c r="X173" i="31"/>
  <c r="W173" i="31"/>
  <c r="V173" i="31"/>
  <c r="U173" i="31"/>
  <c r="S164" i="31"/>
  <c r="S163" i="31"/>
  <c r="S341" i="53" l="1"/>
  <c r="D341" i="53" s="1"/>
  <c r="V35" i="44"/>
  <c r="V36" i="44" s="1"/>
  <c r="V38" i="44" s="1"/>
  <c r="R341" i="53"/>
  <c r="C341" i="53" s="1"/>
  <c r="P212" i="51"/>
  <c r="B212" i="51" s="1"/>
  <c r="T212" i="51"/>
  <c r="F212" i="51" s="1"/>
  <c r="U224" i="53"/>
  <c r="T104" i="52"/>
  <c r="T105" i="52" s="1"/>
  <c r="T107" i="52" s="1"/>
  <c r="T246" i="51"/>
  <c r="T247" i="51" s="1"/>
  <c r="T249" i="51" s="1"/>
  <c r="U141" i="38"/>
  <c r="U341" i="53"/>
  <c r="F341" i="53" s="1"/>
  <c r="U449" i="53"/>
  <c r="T128" i="43"/>
  <c r="U418" i="53"/>
  <c r="R893" i="53"/>
  <c r="C893" i="53" s="1"/>
  <c r="Q893" i="53"/>
  <c r="B893" i="53" s="1"/>
  <c r="U893" i="53"/>
  <c r="T893" i="53"/>
  <c r="S893" i="53"/>
  <c r="D893" i="53" s="1"/>
  <c r="S852" i="53"/>
  <c r="D852" i="53" s="1"/>
  <c r="T852" i="53"/>
  <c r="E852" i="53" s="1"/>
  <c r="Q852" i="53"/>
  <c r="B852" i="53" s="1"/>
  <c r="U852" i="53"/>
  <c r="F852" i="53" s="1"/>
  <c r="R852" i="53"/>
  <c r="C852" i="53" s="1"/>
  <c r="T172" i="51"/>
  <c r="F172" i="51" s="1"/>
  <c r="Q172" i="51"/>
  <c r="C172" i="51" s="1"/>
  <c r="R172" i="51"/>
  <c r="D172" i="51" s="1"/>
  <c r="P172" i="51"/>
  <c r="B172" i="51" s="1"/>
  <c r="S172" i="51"/>
  <c r="E172" i="51" s="1"/>
  <c r="S367" i="43"/>
  <c r="E368" i="43" s="1"/>
  <c r="R357" i="43"/>
  <c r="T357" i="43"/>
  <c r="T367" i="43"/>
  <c r="F368" i="43" s="1"/>
  <c r="P357" i="43"/>
  <c r="Q357" i="43"/>
  <c r="S362" i="43"/>
  <c r="E367" i="43" s="1"/>
  <c r="R367" i="43"/>
  <c r="D368" i="43" s="1"/>
  <c r="P367" i="43"/>
  <c r="B368" i="43" s="1"/>
  <c r="P362" i="43"/>
  <c r="B367" i="43" s="1"/>
  <c r="Q362" i="43"/>
  <c r="C367" i="43" s="1"/>
  <c r="R362" i="43"/>
  <c r="D367" i="43" s="1"/>
  <c r="T362" i="43"/>
  <c r="F367" i="43" s="1"/>
  <c r="S357" i="43"/>
  <c r="Q367" i="43"/>
  <c r="C368" i="43" s="1"/>
  <c r="T57" i="52"/>
  <c r="F57" i="52" s="1"/>
  <c r="P57" i="52"/>
  <c r="B57" i="52" s="1"/>
  <c r="Q57" i="52"/>
  <c r="C57" i="52" s="1"/>
  <c r="S57" i="52"/>
  <c r="E57" i="52" s="1"/>
  <c r="R57" i="52"/>
  <c r="D57" i="52" s="1"/>
  <c r="P30" i="51"/>
  <c r="B30" i="51" s="1"/>
  <c r="Q30" i="51"/>
  <c r="C30" i="51" s="1"/>
  <c r="R30" i="51"/>
  <c r="D30" i="51" s="1"/>
  <c r="T30" i="51"/>
  <c r="F30" i="51" s="1"/>
  <c r="S30" i="51"/>
  <c r="E30" i="51" s="1"/>
  <c r="T101" i="51"/>
  <c r="F101" i="51" s="1"/>
  <c r="Q101" i="51"/>
  <c r="C101" i="51" s="1"/>
  <c r="S101" i="51"/>
  <c r="E101" i="51" s="1"/>
  <c r="R101" i="51"/>
  <c r="D101" i="51" s="1"/>
  <c r="P101" i="51"/>
  <c r="B101" i="51" s="1"/>
  <c r="U661" i="53"/>
  <c r="F661" i="53" s="1"/>
  <c r="T661" i="53"/>
  <c r="E661" i="53" s="1"/>
  <c r="Q661" i="53"/>
  <c r="B661" i="53" s="1"/>
  <c r="R661" i="53"/>
  <c r="C661" i="53" s="1"/>
  <c r="S661" i="53"/>
  <c r="D661" i="53" s="1"/>
  <c r="T526" i="53"/>
  <c r="E526" i="53" s="1"/>
  <c r="Q526" i="53"/>
  <c r="B526" i="53" s="1"/>
  <c r="U526" i="53"/>
  <c r="F526" i="53" s="1"/>
  <c r="R526" i="53"/>
  <c r="C526" i="53" s="1"/>
  <c r="S526" i="53"/>
  <c r="D526" i="53" s="1"/>
  <c r="T556" i="53"/>
  <c r="E556" i="53" s="1"/>
  <c r="S556" i="53"/>
  <c r="D556" i="53" s="1"/>
  <c r="R556" i="53"/>
  <c r="C556" i="53" s="1"/>
  <c r="U556" i="53"/>
  <c r="F556" i="53" s="1"/>
  <c r="Q556" i="53"/>
  <c r="B556" i="53" s="1"/>
  <c r="Q585" i="53"/>
  <c r="B585" i="53" s="1"/>
  <c r="R585" i="53"/>
  <c r="C585" i="53" s="1"/>
  <c r="T585" i="53"/>
  <c r="E585" i="53" s="1"/>
  <c r="S585" i="53"/>
  <c r="D585" i="53" s="1"/>
  <c r="U585" i="53"/>
  <c r="F585" i="53" s="1"/>
  <c r="R815" i="53"/>
  <c r="C815" i="53" s="1"/>
  <c r="S815" i="53"/>
  <c r="D815" i="53" s="1"/>
  <c r="T815" i="53"/>
  <c r="U815" i="53"/>
  <c r="Q815" i="53"/>
  <c r="B815" i="53" s="1"/>
  <c r="R73" i="53"/>
  <c r="C73" i="53" s="1"/>
  <c r="U73" i="53"/>
  <c r="F73" i="53" s="1"/>
  <c r="S73" i="53"/>
  <c r="D73" i="53" s="1"/>
  <c r="T73" i="53"/>
  <c r="E73" i="53" s="1"/>
  <c r="Q73" i="53"/>
  <c r="B73" i="53" s="1"/>
  <c r="T31" i="40"/>
  <c r="P31" i="40"/>
  <c r="S31" i="40"/>
  <c r="Q31" i="40"/>
  <c r="R31" i="40"/>
  <c r="Q70" i="51"/>
  <c r="C70" i="51" s="1"/>
  <c r="T70" i="51"/>
  <c r="F70" i="51" s="1"/>
  <c r="P70" i="51"/>
  <c r="B70" i="51" s="1"/>
  <c r="R70" i="51"/>
  <c r="D70" i="51" s="1"/>
  <c r="S70" i="51"/>
  <c r="E70" i="51" s="1"/>
  <c r="U702" i="53"/>
  <c r="F702" i="53" s="1"/>
  <c r="Q702" i="53"/>
  <c r="B702" i="53" s="1"/>
  <c r="T702" i="53"/>
  <c r="E702" i="53" s="1"/>
  <c r="R702" i="53"/>
  <c r="C702" i="53" s="1"/>
  <c r="S702" i="53"/>
  <c r="D702" i="53" s="1"/>
  <c r="T273" i="53"/>
  <c r="E273" i="53" s="1"/>
  <c r="U273" i="53"/>
  <c r="F273" i="53" s="1"/>
  <c r="S273" i="53"/>
  <c r="D273" i="53" s="1"/>
  <c r="Q273" i="53"/>
  <c r="B273" i="53" s="1"/>
  <c r="R273" i="53"/>
  <c r="C273" i="53" s="1"/>
  <c r="S736" i="53"/>
  <c r="D736" i="53" s="1"/>
  <c r="Q736" i="53"/>
  <c r="B736" i="53" s="1"/>
  <c r="U736" i="53"/>
  <c r="F736" i="53" s="1"/>
  <c r="T736" i="53"/>
  <c r="E736" i="53" s="1"/>
  <c r="R736" i="53"/>
  <c r="C736" i="53" s="1"/>
  <c r="AD163" i="31"/>
  <c r="S168" i="31" s="1"/>
  <c r="V163" i="31"/>
  <c r="O168" i="31" s="1"/>
  <c r="AB163" i="31"/>
  <c r="R168" i="31" s="1"/>
  <c r="R173" i="31" s="1"/>
  <c r="X163" i="31"/>
  <c r="P168" i="31" s="1"/>
  <c r="Z163" i="31"/>
  <c r="AB164" i="31"/>
  <c r="R185" i="31" s="1"/>
  <c r="R188" i="31" s="1"/>
  <c r="R189" i="31" s="1"/>
  <c r="X164" i="31"/>
  <c r="P185" i="31" s="1"/>
  <c r="P188" i="31" s="1"/>
  <c r="P189" i="31" s="1"/>
  <c r="AD164" i="31"/>
  <c r="S185" i="31" s="1"/>
  <c r="S188" i="31" s="1"/>
  <c r="S189" i="31" s="1"/>
  <c r="Z164" i="31"/>
  <c r="Q185" i="31" s="1"/>
  <c r="Q190" i="31" s="1"/>
  <c r="V164" i="31"/>
  <c r="O185" i="31" s="1"/>
  <c r="O188" i="31" s="1"/>
  <c r="O189" i="31" s="1"/>
  <c r="V197" i="31"/>
  <c r="C196" i="31" s="1"/>
  <c r="W197" i="31"/>
  <c r="D196" i="31" s="1"/>
  <c r="Q186" i="31"/>
  <c r="Q187" i="31" s="1"/>
  <c r="Q168" i="31"/>
  <c r="Q173" i="31" s="1"/>
  <c r="AD180" i="31"/>
  <c r="E180" i="31" s="1"/>
  <c r="AB180" i="31"/>
  <c r="C180" i="31" s="1"/>
  <c r="AE180" i="31"/>
  <c r="F180" i="31" s="1"/>
  <c r="AC180" i="31"/>
  <c r="D180" i="31" s="1"/>
  <c r="O186" i="31"/>
  <c r="O187" i="31" s="1"/>
  <c r="X197" i="31"/>
  <c r="U180" i="31"/>
  <c r="B179" i="31" s="1"/>
  <c r="V180" i="31"/>
  <c r="C179" i="31" s="1"/>
  <c r="P186" i="31"/>
  <c r="P187" i="31" s="1"/>
  <c r="P190" i="31"/>
  <c r="U197" i="31"/>
  <c r="B196" i="31" s="1"/>
  <c r="Y197" i="31"/>
  <c r="F196" i="31" s="1"/>
  <c r="Q88" i="38"/>
  <c r="Q87" i="38"/>
  <c r="U101" i="38" s="1"/>
  <c r="Q86" i="38"/>
  <c r="Q47" i="38"/>
  <c r="Q46" i="38"/>
  <c r="U60" i="38" s="1"/>
  <c r="Q45" i="38"/>
  <c r="R29" i="38"/>
  <c r="Q29" i="38"/>
  <c r="P29" i="38"/>
  <c r="O29" i="38"/>
  <c r="R28" i="38"/>
  <c r="Q28" i="38"/>
  <c r="P28" i="38"/>
  <c r="O28" i="38"/>
  <c r="R27" i="38"/>
  <c r="Q27" i="38"/>
  <c r="P27" i="38"/>
  <c r="O27" i="38"/>
  <c r="T26" i="38"/>
  <c r="R26" i="38"/>
  <c r="Q26" i="38"/>
  <c r="P26" i="38"/>
  <c r="O26" i="38"/>
  <c r="T25" i="38"/>
  <c r="R25" i="38"/>
  <c r="Q25" i="38"/>
  <c r="P25" i="38"/>
  <c r="O25" i="38"/>
  <c r="T24" i="38"/>
  <c r="R24" i="38"/>
  <c r="Q24" i="38"/>
  <c r="P24" i="38"/>
  <c r="O24" i="38"/>
  <c r="T23" i="38"/>
  <c r="R23" i="38"/>
  <c r="Q23" i="38"/>
  <c r="P23" i="38"/>
  <c r="O23" i="38"/>
  <c r="C6" i="15"/>
  <c r="P40" i="17"/>
  <c r="P39" i="17"/>
  <c r="T53" i="17" s="1"/>
  <c r="P38" i="17"/>
  <c r="Q24" i="17"/>
  <c r="P24" i="17"/>
  <c r="O24" i="17"/>
  <c r="N24" i="17"/>
  <c r="Q23" i="17"/>
  <c r="P23" i="17"/>
  <c r="O23" i="17"/>
  <c r="N23" i="17"/>
  <c r="Q22" i="17"/>
  <c r="P22" i="17"/>
  <c r="O22" i="17"/>
  <c r="N22" i="17"/>
  <c r="S21" i="17"/>
  <c r="Q21" i="17"/>
  <c r="P21" i="17"/>
  <c r="O21" i="17"/>
  <c r="N21" i="17"/>
  <c r="S20" i="17"/>
  <c r="Q20" i="17"/>
  <c r="P20" i="17"/>
  <c r="O20" i="17"/>
  <c r="N20" i="17"/>
  <c r="S19" i="17"/>
  <c r="Q19" i="17"/>
  <c r="P19" i="17"/>
  <c r="O19" i="17"/>
  <c r="N19" i="17"/>
  <c r="S18" i="17"/>
  <c r="Q18" i="17"/>
  <c r="P18" i="17"/>
  <c r="O18" i="17"/>
  <c r="N18" i="17"/>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7" i="4"/>
  <c r="L13" i="25"/>
  <c r="L14" i="25"/>
  <c r="L15" i="25"/>
  <c r="L16" i="25"/>
  <c r="L17" i="25"/>
  <c r="L18" i="25"/>
  <c r="L19" i="25"/>
  <c r="L20" i="25"/>
  <c r="L21" i="25"/>
  <c r="L22" i="25"/>
  <c r="L23" i="25"/>
  <c r="L24" i="25"/>
  <c r="L25" i="25"/>
  <c r="L26" i="25"/>
  <c r="L27" i="25"/>
  <c r="L28" i="25"/>
  <c r="L29" i="25"/>
  <c r="L30" i="25"/>
  <c r="L31" i="25"/>
  <c r="L32" i="25"/>
  <c r="L12" i="25"/>
  <c r="G59" i="37"/>
  <c r="F59" i="37"/>
  <c r="E59" i="37"/>
  <c r="D59" i="37"/>
  <c r="G58" i="37"/>
  <c r="F58" i="37"/>
  <c r="E58" i="37"/>
  <c r="D58" i="37"/>
  <c r="G57" i="37"/>
  <c r="F57" i="37"/>
  <c r="E57" i="37"/>
  <c r="D57" i="37"/>
  <c r="I56" i="37"/>
  <c r="G56" i="37"/>
  <c r="F56" i="37"/>
  <c r="E56" i="37"/>
  <c r="D56" i="37"/>
  <c r="I55" i="37"/>
  <c r="G55" i="37"/>
  <c r="F55" i="37"/>
  <c r="E55" i="37"/>
  <c r="D55" i="37"/>
  <c r="I54" i="37"/>
  <c r="G54" i="37"/>
  <c r="F54" i="37"/>
  <c r="E54" i="37"/>
  <c r="D54" i="37"/>
  <c r="I53" i="37"/>
  <c r="G53" i="37"/>
  <c r="F53" i="37"/>
  <c r="E53" i="37"/>
  <c r="D53" i="37"/>
  <c r="S124" i="27"/>
  <c r="S123" i="27"/>
  <c r="S122" i="27"/>
  <c r="Q127" i="27"/>
  <c r="P127" i="27"/>
  <c r="O127" i="27"/>
  <c r="N127" i="27"/>
  <c r="Q126" i="27"/>
  <c r="P126" i="27"/>
  <c r="O126" i="27"/>
  <c r="N126" i="27"/>
  <c r="Q125" i="27"/>
  <c r="P125" i="27"/>
  <c r="O125" i="27"/>
  <c r="N125" i="27"/>
  <c r="Q124" i="27"/>
  <c r="P124" i="27"/>
  <c r="O124" i="27"/>
  <c r="N124" i="27"/>
  <c r="Q123" i="27"/>
  <c r="P123" i="27"/>
  <c r="O123" i="27"/>
  <c r="N123" i="27"/>
  <c r="Q122" i="27"/>
  <c r="P122" i="27"/>
  <c r="O122" i="27"/>
  <c r="N122" i="27"/>
  <c r="Q121" i="27"/>
  <c r="P121" i="27"/>
  <c r="O121" i="27"/>
  <c r="N121" i="27"/>
  <c r="S121" i="27"/>
  <c r="F8" i="37"/>
  <c r="F7" i="37"/>
  <c r="J21" i="37" s="1"/>
  <c r="F6" i="37"/>
  <c r="H242" i="4"/>
  <c r="G243" i="4"/>
  <c r="F242" i="4"/>
  <c r="F243" i="4"/>
  <c r="E242" i="4"/>
  <c r="G242" i="4"/>
  <c r="H243" i="4"/>
  <c r="E243" i="4"/>
  <c r="Q47" i="44" l="1"/>
  <c r="Q43" i="44"/>
  <c r="R133" i="43"/>
  <c r="D133" i="43" s="1"/>
  <c r="T133" i="43"/>
  <c r="F133" i="43" s="1"/>
  <c r="Q133" i="43"/>
  <c r="C133" i="43" s="1"/>
  <c r="S133" i="43"/>
  <c r="E133" i="43" s="1"/>
  <c r="P133" i="43"/>
  <c r="B133" i="43" s="1"/>
  <c r="Q254" i="51"/>
  <c r="C254" i="51" s="1"/>
  <c r="P254" i="51"/>
  <c r="B254" i="51" s="1"/>
  <c r="R254" i="51"/>
  <c r="D254" i="51" s="1"/>
  <c r="S254" i="51"/>
  <c r="E254" i="51" s="1"/>
  <c r="T254" i="51"/>
  <c r="F254" i="51" s="1"/>
  <c r="R454" i="53"/>
  <c r="C454" i="53" s="1"/>
  <c r="U454" i="53"/>
  <c r="F454" i="53" s="1"/>
  <c r="Q454" i="53"/>
  <c r="B454" i="53" s="1"/>
  <c r="T454" i="53"/>
  <c r="E454" i="53" s="1"/>
  <c r="S454" i="53"/>
  <c r="D454" i="53" s="1"/>
  <c r="S112" i="52"/>
  <c r="E112" i="52" s="1"/>
  <c r="Q112" i="52"/>
  <c r="C112" i="52" s="1"/>
  <c r="T112" i="52"/>
  <c r="F112" i="52" s="1"/>
  <c r="R112" i="52"/>
  <c r="D112" i="52" s="1"/>
  <c r="P112" i="52"/>
  <c r="B112" i="52" s="1"/>
  <c r="T229" i="53"/>
  <c r="E229" i="53" s="1"/>
  <c r="Q229" i="53"/>
  <c r="B229" i="53" s="1"/>
  <c r="S229" i="53"/>
  <c r="D229" i="53" s="1"/>
  <c r="U229" i="53"/>
  <c r="F229" i="53" s="1"/>
  <c r="R229" i="53"/>
  <c r="C229" i="53" s="1"/>
  <c r="R423" i="53"/>
  <c r="C423" i="53" s="1"/>
  <c r="T423" i="53"/>
  <c r="E423" i="53" s="1"/>
  <c r="U423" i="53"/>
  <c r="F423" i="53" s="1"/>
  <c r="Q423" i="53"/>
  <c r="B423" i="53" s="1"/>
  <c r="S423" i="53"/>
  <c r="D423" i="53" s="1"/>
  <c r="R146" i="38"/>
  <c r="C146" i="38" s="1"/>
  <c r="S146" i="38"/>
  <c r="D146" i="38" s="1"/>
  <c r="Q146" i="38"/>
  <c r="B146" i="38" s="1"/>
  <c r="U146" i="38"/>
  <c r="F146" i="38" s="1"/>
  <c r="T146" i="38"/>
  <c r="E146" i="38" s="1"/>
  <c r="L1" i="52"/>
  <c r="L1" i="51"/>
  <c r="S171" i="31"/>
  <c r="S172" i="31" s="1"/>
  <c r="S169" i="31"/>
  <c r="S170" i="31" s="1"/>
  <c r="Q188" i="31"/>
  <c r="Q189" i="31" s="1"/>
  <c r="Q191" i="31" s="1"/>
  <c r="Q169" i="31"/>
  <c r="Q170" i="31" s="1"/>
  <c r="R186" i="31"/>
  <c r="R187" i="31" s="1"/>
  <c r="R190" i="31"/>
  <c r="R191" i="31" s="1"/>
  <c r="S186" i="31"/>
  <c r="S187" i="31" s="1"/>
  <c r="P173" i="31"/>
  <c r="P169" i="31"/>
  <c r="P170" i="31" s="1"/>
  <c r="I19" i="37"/>
  <c r="J19" i="37" s="1"/>
  <c r="I20" i="37"/>
  <c r="J20" i="37" s="1"/>
  <c r="T99" i="38"/>
  <c r="T100" i="38"/>
  <c r="U100" i="38" s="1"/>
  <c r="S52" i="17"/>
  <c r="T52" i="17" s="1"/>
  <c r="S51" i="17"/>
  <c r="T51" i="17" s="1"/>
  <c r="T59" i="38"/>
  <c r="U59" i="38" s="1"/>
  <c r="T58" i="38"/>
  <c r="U58" i="38" s="1"/>
  <c r="O190" i="31"/>
  <c r="O191" i="31" s="1"/>
  <c r="U191" i="31" s="1"/>
  <c r="U99" i="38"/>
  <c r="S190" i="31"/>
  <c r="R124" i="27"/>
  <c r="T124" i="27" s="1"/>
  <c r="R20" i="17"/>
  <c r="T20" i="17" s="1"/>
  <c r="E196" i="31"/>
  <c r="AY197" i="31"/>
  <c r="S173" i="31"/>
  <c r="R171" i="31"/>
  <c r="R172" i="31" s="1"/>
  <c r="R169" i="31"/>
  <c r="R170" i="31" s="1"/>
  <c r="X180" i="31"/>
  <c r="W180" i="31"/>
  <c r="D179" i="31" s="1"/>
  <c r="P171" i="31"/>
  <c r="P172" i="31" s="1"/>
  <c r="P174" i="31" s="1"/>
  <c r="V174" i="31" s="1"/>
  <c r="C177" i="31" s="1"/>
  <c r="Y180" i="31"/>
  <c r="F179" i="31" s="1"/>
  <c r="O173" i="31"/>
  <c r="O169" i="31"/>
  <c r="O170" i="31" s="1"/>
  <c r="O171" i="31"/>
  <c r="O172" i="31" s="1"/>
  <c r="Q171" i="31"/>
  <c r="Q172" i="31" s="1"/>
  <c r="Q174" i="31" s="1"/>
  <c r="H56" i="37"/>
  <c r="J56" i="37" s="1"/>
  <c r="H54" i="37"/>
  <c r="J54" i="37" s="1"/>
  <c r="H55" i="37"/>
  <c r="J55" i="37" s="1"/>
  <c r="P191" i="31"/>
  <c r="S26" i="38"/>
  <c r="U26" i="38" s="1"/>
  <c r="S25" i="38"/>
  <c r="U25" i="38" s="1"/>
  <c r="S24" i="38"/>
  <c r="U24" i="38" s="1"/>
  <c r="R19" i="17"/>
  <c r="T19" i="17" s="1"/>
  <c r="R21" i="17"/>
  <c r="T21" i="17" s="1"/>
  <c r="R123" i="27"/>
  <c r="T123" i="27" s="1"/>
  <c r="C22" i="41"/>
  <c r="C4" i="41"/>
  <c r="T43" i="44" l="1"/>
  <c r="D43" i="44" s="1"/>
  <c r="V43" i="44"/>
  <c r="F43" i="44" s="1"/>
  <c r="S43" i="44"/>
  <c r="C43" i="44" s="1"/>
  <c r="R43" i="44"/>
  <c r="U43" i="44"/>
  <c r="E43" i="44" s="1"/>
  <c r="V47" i="44"/>
  <c r="F47" i="44" s="1"/>
  <c r="R47" i="44"/>
  <c r="T47" i="44"/>
  <c r="D47" i="44" s="1"/>
  <c r="S47" i="44"/>
  <c r="C47" i="44" s="1"/>
  <c r="U47" i="44"/>
  <c r="E47" i="44" s="1"/>
  <c r="N1" i="52"/>
  <c r="N1" i="51"/>
  <c r="R174" i="31"/>
  <c r="AD174" i="31" s="1"/>
  <c r="E178" i="31" s="1"/>
  <c r="W191" i="31"/>
  <c r="D194" i="31" s="1"/>
  <c r="AC191" i="31"/>
  <c r="D195" i="31" s="1"/>
  <c r="S174" i="31"/>
  <c r="Y174" i="31" s="1"/>
  <c r="F177" i="31" s="1"/>
  <c r="S191" i="31"/>
  <c r="Y191" i="31" s="1"/>
  <c r="F194" i="31" s="1"/>
  <c r="U68" i="38"/>
  <c r="J29" i="37"/>
  <c r="AA191" i="31"/>
  <c r="B195" i="31" s="1"/>
  <c r="U109" i="38"/>
  <c r="T61" i="17"/>
  <c r="AE191" i="31"/>
  <c r="F195" i="31" s="1"/>
  <c r="B194" i="31"/>
  <c r="E179" i="31"/>
  <c r="AY180" i="31"/>
  <c r="AE174" i="31"/>
  <c r="F178" i="31" s="1"/>
  <c r="O174" i="31"/>
  <c r="U174" i="31" s="1"/>
  <c r="X174" i="31"/>
  <c r="E177" i="31" s="1"/>
  <c r="AD191" i="31"/>
  <c r="E195" i="31" s="1"/>
  <c r="X191" i="31"/>
  <c r="E194" i="31" s="1"/>
  <c r="W174" i="31"/>
  <c r="D177" i="31" s="1"/>
  <c r="AC174" i="31"/>
  <c r="D178" i="31" s="1"/>
  <c r="AB174" i="31"/>
  <c r="C178" i="31" s="1"/>
  <c r="V191" i="31"/>
  <c r="C194" i="31" s="1"/>
  <c r="AB191" i="31"/>
  <c r="C195" i="31" s="1"/>
  <c r="B43" i="44" l="1"/>
  <c r="AR43" i="44"/>
  <c r="M1" i="44" s="1"/>
  <c r="B47" i="44"/>
  <c r="AR47" i="44"/>
  <c r="B177" i="31"/>
  <c r="AY191" i="31"/>
  <c r="AA174" i="31"/>
  <c r="B178" i="31" s="1"/>
  <c r="L1" i="44" l="1"/>
  <c r="AY174" i="31"/>
  <c r="C20" i="41"/>
  <c r="N1" i="44" l="1"/>
  <c r="P75" i="27"/>
  <c r="T89" i="27" s="1"/>
  <c r="P76" i="27"/>
  <c r="P74" i="27"/>
  <c r="R122" i="27"/>
  <c r="S88" i="27" l="1"/>
  <c r="T88" i="27" s="1"/>
  <c r="S87" i="27"/>
  <c r="T87" i="27" s="1"/>
  <c r="T122" i="27"/>
  <c r="T97" i="27" l="1"/>
  <c r="T62" i="17"/>
  <c r="T64" i="17" s="1"/>
  <c r="T69" i="17" s="1"/>
  <c r="F69" i="17" s="1"/>
  <c r="J30" i="37"/>
  <c r="J32" i="37" s="1"/>
  <c r="G37" i="37" s="1"/>
  <c r="U69" i="38"/>
  <c r="U71" i="38" s="1"/>
  <c r="Q76" i="38" s="1"/>
  <c r="B76" i="38" s="1"/>
  <c r="U110" i="38"/>
  <c r="U112" i="38" s="1"/>
  <c r="U117" i="38" s="1"/>
  <c r="F118" i="38" s="1"/>
  <c r="N183" i="27"/>
  <c r="N185" i="27" s="1"/>
  <c r="F37" i="37" l="1"/>
  <c r="Q69" i="17"/>
  <c r="C69" i="17" s="1"/>
  <c r="S69" i="17"/>
  <c r="E69" i="17" s="1"/>
  <c r="R69" i="17"/>
  <c r="D69" i="17" s="1"/>
  <c r="P69" i="17"/>
  <c r="B69" i="17" s="1"/>
  <c r="I37" i="37"/>
  <c r="J37" i="37"/>
  <c r="H37" i="37"/>
  <c r="R76" i="38"/>
  <c r="C76" i="38" s="1"/>
  <c r="S76" i="38"/>
  <c r="D76" i="38" s="1"/>
  <c r="S117" i="38"/>
  <c r="D117" i="38" s="1"/>
  <c r="U76" i="38"/>
  <c r="F76" i="38" s="1"/>
  <c r="T76" i="38"/>
  <c r="E76" i="38" s="1"/>
  <c r="Q117" i="38"/>
  <c r="B117" i="38" s="1"/>
  <c r="R117" i="38"/>
  <c r="C117" i="38" s="1"/>
  <c r="T117" i="38"/>
  <c r="E118" i="38" s="1"/>
  <c r="T98" i="27"/>
  <c r="T100" i="27" s="1"/>
  <c r="T105" i="27" l="1"/>
  <c r="F105" i="27" s="1"/>
  <c r="P105" i="27"/>
  <c r="S105" i="27"/>
  <c r="E105" i="27" s="1"/>
  <c r="R105" i="27"/>
  <c r="D105" i="27" s="1"/>
  <c r="Q105" i="27"/>
  <c r="C105" i="27" s="1"/>
  <c r="Q32" i="27"/>
  <c r="R32" i="27"/>
  <c r="S32" i="27"/>
  <c r="T32" i="27"/>
  <c r="P32" i="27"/>
  <c r="P40" i="27" s="1"/>
  <c r="P45" i="27" l="1"/>
  <c r="P46" i="27" s="1"/>
  <c r="B105" i="27"/>
  <c r="AI105" i="27"/>
  <c r="AB47" i="27" l="1"/>
  <c r="V47" i="27"/>
  <c r="A3" i="34" l="1"/>
  <c r="A4" i="34"/>
  <c r="A5" i="34"/>
  <c r="A6" i="34"/>
  <c r="A7" i="34"/>
  <c r="A8" i="34"/>
  <c r="A9" i="34"/>
  <c r="A10" i="34"/>
  <c r="A11" i="34"/>
  <c r="A12" i="34"/>
  <c r="A13" i="34"/>
  <c r="A14" i="34"/>
  <c r="A15" i="34"/>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0" i="34"/>
  <c r="A71" i="34"/>
  <c r="A72" i="34"/>
  <c r="A73" i="34"/>
  <c r="A74" i="34"/>
  <c r="A75" i="34"/>
  <c r="A76" i="34"/>
  <c r="A77" i="34"/>
  <c r="A78" i="34"/>
  <c r="A79" i="34"/>
  <c r="A80" i="34"/>
  <c r="A81" i="34"/>
  <c r="A82" i="34"/>
  <c r="A83" i="34"/>
  <c r="A84" i="34"/>
  <c r="A85" i="34"/>
  <c r="A86" i="34"/>
  <c r="A87" i="34"/>
  <c r="A88" i="34"/>
  <c r="A89" i="34"/>
  <c r="A90" i="34"/>
  <c r="A91" i="34"/>
  <c r="A92" i="34"/>
  <c r="A93" i="34"/>
  <c r="A94" i="34"/>
  <c r="A95" i="34"/>
  <c r="A96" i="34"/>
  <c r="A97" i="34"/>
  <c r="A98" i="34"/>
  <c r="A99" i="34"/>
  <c r="A100" i="34"/>
  <c r="A101" i="34"/>
  <c r="A102" i="34"/>
  <c r="A103" i="34"/>
  <c r="A104" i="34"/>
  <c r="A105" i="34"/>
  <c r="A106" i="34"/>
  <c r="A107" i="34"/>
  <c r="A108" i="34"/>
  <c r="A109" i="34"/>
  <c r="A110" i="34"/>
  <c r="A111" i="34"/>
  <c r="A112" i="34"/>
  <c r="A113" i="34"/>
  <c r="A114" i="34"/>
  <c r="A115" i="34"/>
  <c r="A116" i="34"/>
  <c r="A117" i="34"/>
  <c r="A118" i="34"/>
  <c r="A119" i="34"/>
  <c r="A120" i="34"/>
  <c r="A121" i="34"/>
  <c r="A122" i="34"/>
  <c r="A123" i="34"/>
  <c r="A124" i="34"/>
  <c r="A125" i="34"/>
  <c r="A126" i="34"/>
  <c r="A127" i="34"/>
  <c r="A128" i="34"/>
  <c r="A129" i="34"/>
  <c r="A130" i="34"/>
  <c r="A131" i="34"/>
  <c r="A132" i="34"/>
  <c r="A133" i="34"/>
  <c r="A134" i="34"/>
  <c r="A135" i="34"/>
  <c r="A136" i="34"/>
  <c r="A137" i="34"/>
  <c r="A138" i="34"/>
  <c r="A139" i="34"/>
  <c r="A140" i="34"/>
  <c r="A141" i="34"/>
  <c r="A142" i="34"/>
  <c r="A143" i="34"/>
  <c r="A144" i="34"/>
  <c r="A145" i="34"/>
  <c r="A146" i="34"/>
  <c r="A147" i="34"/>
  <c r="A148" i="34"/>
  <c r="A149" i="34"/>
  <c r="A150" i="34"/>
  <c r="A151" i="34"/>
  <c r="A152" i="34"/>
  <c r="A153" i="34"/>
  <c r="A154" i="34"/>
  <c r="A155" i="34"/>
  <c r="A156" i="34"/>
  <c r="A157" i="34"/>
  <c r="A158" i="34"/>
  <c r="A159" i="34"/>
  <c r="A160" i="34"/>
  <c r="A161" i="34"/>
  <c r="A162" i="34"/>
  <c r="A163" i="34"/>
  <c r="A164" i="34"/>
  <c r="A165" i="34"/>
  <c r="A166" i="34"/>
  <c r="A167" i="34"/>
  <c r="A168" i="34"/>
  <c r="A169" i="34"/>
  <c r="A170" i="34"/>
  <c r="A171" i="34"/>
  <c r="A172" i="34"/>
  <c r="A173" i="34"/>
  <c r="A174" i="34"/>
  <c r="A175" i="34"/>
  <c r="A176" i="34"/>
  <c r="A177" i="34"/>
  <c r="A178" i="34"/>
  <c r="A179" i="34"/>
  <c r="A180" i="34"/>
  <c r="A181" i="34"/>
  <c r="A182" i="34"/>
  <c r="A183" i="34"/>
  <c r="A184" i="34"/>
  <c r="A185" i="34"/>
  <c r="A186" i="34"/>
  <c r="A187" i="34"/>
  <c r="A188" i="34"/>
  <c r="A189" i="34"/>
  <c r="A190" i="34"/>
  <c r="A191" i="34"/>
  <c r="A192" i="34"/>
  <c r="A193" i="34"/>
  <c r="A194" i="34"/>
  <c r="A195" i="34"/>
  <c r="A196" i="34"/>
  <c r="A197" i="34"/>
  <c r="A198" i="34"/>
  <c r="A199" i="34"/>
  <c r="A200" i="34"/>
  <c r="A201" i="34"/>
  <c r="A202" i="34"/>
  <c r="A203" i="34"/>
  <c r="A204" i="34"/>
  <c r="A205" i="34"/>
  <c r="A206" i="34"/>
  <c r="A207" i="34"/>
  <c r="A208" i="34"/>
  <c r="A209" i="34"/>
  <c r="A210" i="34"/>
  <c r="A211" i="34"/>
  <c r="A212" i="34"/>
  <c r="A213" i="34"/>
  <c r="A214" i="34"/>
  <c r="A215" i="34"/>
  <c r="A216" i="34"/>
  <c r="A217" i="34"/>
  <c r="A218" i="34"/>
  <c r="A219" i="34"/>
  <c r="A220" i="34"/>
  <c r="A221" i="34"/>
  <c r="A222" i="34"/>
  <c r="A223" i="34"/>
  <c r="A224" i="34"/>
  <c r="A225" i="34"/>
  <c r="A226" i="34"/>
  <c r="A227" i="34"/>
  <c r="A228" i="34"/>
  <c r="A229" i="34"/>
  <c r="A230" i="34"/>
  <c r="A231" i="34"/>
  <c r="A232" i="34"/>
  <c r="A233" i="34"/>
  <c r="A234" i="34"/>
  <c r="A235" i="34"/>
  <c r="A236" i="34"/>
  <c r="A237" i="34"/>
  <c r="A238" i="34"/>
  <c r="A239" i="34"/>
  <c r="A240" i="34"/>
  <c r="A241" i="34"/>
  <c r="A242" i="34"/>
  <c r="A243" i="34"/>
  <c r="A244" i="34"/>
  <c r="A245" i="34"/>
  <c r="A246" i="34"/>
  <c r="A247" i="34"/>
  <c r="A248" i="34"/>
  <c r="A249" i="34"/>
  <c r="A250" i="34"/>
  <c r="A251" i="34"/>
  <c r="A252" i="34"/>
  <c r="A253" i="34"/>
  <c r="A254" i="34"/>
  <c r="A255" i="34"/>
  <c r="A256" i="34"/>
  <c r="A257" i="34"/>
  <c r="A258" i="34"/>
  <c r="A259" i="34"/>
  <c r="A260" i="34"/>
  <c r="A261" i="34"/>
  <c r="A262" i="34"/>
  <c r="A263" i="34"/>
  <c r="A264" i="34"/>
  <c r="A265" i="34"/>
  <c r="A266" i="34"/>
  <c r="A267" i="34"/>
  <c r="A268" i="34"/>
  <c r="A269" i="34"/>
  <c r="A270" i="34"/>
  <c r="A271" i="34"/>
  <c r="A272" i="34"/>
  <c r="A273" i="34"/>
  <c r="A274" i="34"/>
  <c r="A275" i="34"/>
  <c r="A276" i="34"/>
  <c r="A277" i="34"/>
  <c r="A278" i="34"/>
  <c r="A279" i="34"/>
  <c r="A280" i="34"/>
  <c r="A281" i="34"/>
  <c r="A282" i="34"/>
  <c r="A283" i="34"/>
  <c r="A284" i="34"/>
  <c r="A285" i="34"/>
  <c r="A286" i="34"/>
  <c r="A287" i="34"/>
  <c r="A288" i="34"/>
  <c r="A289" i="34"/>
  <c r="A290" i="34"/>
  <c r="A291" i="34"/>
  <c r="A292" i="34"/>
  <c r="A293" i="34"/>
  <c r="A294" i="34"/>
  <c r="A295" i="34"/>
  <c r="A296" i="34"/>
  <c r="A297" i="34"/>
  <c r="A298" i="34"/>
  <c r="A299" i="34"/>
  <c r="A300" i="34"/>
  <c r="A301" i="34"/>
  <c r="A302" i="34"/>
  <c r="A303" i="34"/>
  <c r="A304" i="34"/>
  <c r="A305" i="34"/>
  <c r="A306" i="34"/>
  <c r="A307" i="34"/>
  <c r="A308" i="34"/>
  <c r="A309" i="34"/>
  <c r="A310" i="34"/>
  <c r="A311" i="34"/>
  <c r="A312" i="34"/>
  <c r="A313" i="34"/>
  <c r="A314" i="34"/>
  <c r="A315" i="34"/>
  <c r="A316" i="34"/>
  <c r="A317" i="34"/>
  <c r="A318" i="34"/>
  <c r="A319" i="34"/>
  <c r="A320" i="34"/>
  <c r="A321" i="34"/>
  <c r="A322" i="34"/>
  <c r="A323" i="34"/>
  <c r="A324" i="34"/>
  <c r="A325" i="34"/>
  <c r="A326" i="34"/>
  <c r="A327" i="34"/>
  <c r="A328" i="34"/>
  <c r="A329" i="34"/>
  <c r="A330" i="34"/>
  <c r="A331" i="34"/>
  <c r="A332" i="34"/>
  <c r="A333" i="34"/>
  <c r="A334" i="34"/>
  <c r="A335" i="34"/>
  <c r="A336" i="34"/>
  <c r="A337" i="34"/>
  <c r="A338" i="34"/>
  <c r="A339" i="34"/>
  <c r="A340" i="34"/>
  <c r="A341" i="34"/>
  <c r="A342" i="34"/>
  <c r="A343" i="34"/>
  <c r="A344" i="34"/>
  <c r="A345" i="34"/>
  <c r="A346" i="34"/>
  <c r="A347" i="34"/>
  <c r="A348" i="34"/>
  <c r="A349" i="34"/>
  <c r="A350" i="34"/>
  <c r="A351" i="34"/>
  <c r="A352" i="34"/>
  <c r="A353" i="34"/>
  <c r="A354" i="34"/>
  <c r="A355" i="34"/>
  <c r="A356" i="34"/>
  <c r="A357" i="34"/>
  <c r="A358" i="34"/>
  <c r="A359" i="34"/>
  <c r="A360" i="34"/>
  <c r="A361" i="34"/>
  <c r="A362" i="34"/>
  <c r="A363" i="34"/>
  <c r="A364" i="34"/>
  <c r="A365" i="34"/>
  <c r="A366" i="34"/>
  <c r="A367" i="34"/>
  <c r="A368" i="34"/>
  <c r="A369" i="34"/>
  <c r="A370" i="34"/>
  <c r="A371" i="34"/>
  <c r="A372" i="34"/>
  <c r="A373" i="34"/>
  <c r="A374" i="34"/>
  <c r="A375" i="34"/>
  <c r="A376" i="34"/>
  <c r="A377" i="34"/>
  <c r="A378" i="34"/>
  <c r="A379" i="34"/>
  <c r="A380" i="34"/>
  <c r="A381" i="34"/>
  <c r="A382" i="34"/>
  <c r="A383" i="34"/>
  <c r="A384" i="34"/>
  <c r="A385" i="34"/>
  <c r="A386" i="34"/>
  <c r="A387" i="34"/>
  <c r="A388" i="34"/>
  <c r="A389" i="34"/>
  <c r="A390" i="34"/>
  <c r="A391" i="34"/>
  <c r="A392" i="34"/>
  <c r="A393" i="34"/>
  <c r="A394" i="34"/>
  <c r="A395" i="34"/>
  <c r="A396" i="34"/>
  <c r="A397" i="34"/>
  <c r="A398" i="34"/>
  <c r="A399" i="34"/>
  <c r="A400" i="34"/>
  <c r="A401" i="34"/>
  <c r="A402" i="34"/>
  <c r="A403" i="34"/>
  <c r="A404" i="34"/>
  <c r="A405" i="34"/>
  <c r="A406" i="34"/>
  <c r="A407" i="34"/>
  <c r="A408" i="34"/>
  <c r="A409" i="34"/>
  <c r="A410" i="34"/>
  <c r="A411" i="34"/>
  <c r="A412" i="34"/>
  <c r="A413" i="34"/>
  <c r="A414" i="34"/>
  <c r="A415" i="34"/>
  <c r="A416" i="34"/>
  <c r="A417" i="34"/>
  <c r="A418" i="34"/>
  <c r="A419" i="34"/>
  <c r="A420" i="34"/>
  <c r="A421" i="34"/>
  <c r="A422" i="34"/>
  <c r="A423" i="34"/>
  <c r="A424" i="34"/>
  <c r="A425" i="34"/>
  <c r="A426" i="34"/>
  <c r="A427" i="34"/>
  <c r="A428" i="34"/>
  <c r="A429" i="34"/>
  <c r="A430" i="34"/>
  <c r="A431" i="34"/>
  <c r="A432" i="34"/>
  <c r="A433" i="34"/>
  <c r="A434" i="34"/>
  <c r="A435" i="34"/>
  <c r="A436" i="34"/>
  <c r="A437" i="34"/>
  <c r="A438" i="34"/>
  <c r="A439" i="34"/>
  <c r="A440" i="34"/>
  <c r="A441" i="34"/>
  <c r="A442" i="34"/>
  <c r="A443" i="34"/>
  <c r="A444" i="34"/>
  <c r="A445" i="34"/>
  <c r="A446" i="34"/>
  <c r="A447" i="34"/>
  <c r="A448" i="34"/>
  <c r="A449" i="34"/>
  <c r="A450" i="34"/>
  <c r="A451" i="34"/>
  <c r="A452" i="34"/>
  <c r="A453" i="34"/>
  <c r="A454" i="34"/>
  <c r="A455" i="34"/>
  <c r="A456" i="34"/>
  <c r="A457" i="34"/>
  <c r="A458" i="34"/>
  <c r="A459" i="34"/>
  <c r="A460" i="34"/>
  <c r="A461" i="34"/>
  <c r="A462" i="34"/>
  <c r="A463" i="34"/>
  <c r="A464" i="34"/>
  <c r="A465" i="34"/>
  <c r="A466" i="34"/>
  <c r="A467" i="34"/>
  <c r="A468" i="34"/>
  <c r="A469" i="34"/>
  <c r="A470" i="34"/>
  <c r="A471" i="34"/>
  <c r="A472" i="34"/>
  <c r="A473" i="34"/>
  <c r="A474" i="34"/>
  <c r="A475" i="34"/>
  <c r="A476" i="34"/>
  <c r="A477" i="34"/>
  <c r="A478" i="34"/>
  <c r="A479" i="34"/>
  <c r="A480" i="34"/>
  <c r="A481" i="34"/>
  <c r="A482" i="34"/>
  <c r="A483" i="34"/>
  <c r="A484" i="34"/>
  <c r="A485" i="34"/>
  <c r="A486" i="34"/>
  <c r="A487" i="34"/>
  <c r="A488" i="34"/>
  <c r="A489" i="34"/>
  <c r="A490" i="34"/>
  <c r="A491" i="34"/>
  <c r="A492" i="34"/>
  <c r="A493" i="34"/>
  <c r="A494" i="34"/>
  <c r="A495" i="34"/>
  <c r="A496" i="34"/>
  <c r="A497" i="34"/>
  <c r="A498" i="34"/>
  <c r="A499" i="34"/>
  <c r="A500" i="34"/>
  <c r="A501" i="34"/>
  <c r="A502" i="34"/>
  <c r="A503" i="34"/>
  <c r="A504" i="34"/>
  <c r="A505" i="34"/>
  <c r="A506" i="34"/>
  <c r="A507" i="34"/>
  <c r="A508" i="34"/>
  <c r="A509" i="34"/>
  <c r="A510" i="34"/>
  <c r="A511" i="34"/>
  <c r="A512" i="34"/>
  <c r="A513" i="34"/>
  <c r="A514" i="34"/>
  <c r="A515" i="34"/>
  <c r="A516" i="34"/>
  <c r="A517" i="34"/>
  <c r="A518" i="34"/>
  <c r="A519" i="34"/>
  <c r="A520" i="34"/>
  <c r="A521" i="34"/>
  <c r="A522" i="34"/>
  <c r="A523" i="34"/>
  <c r="A524" i="34"/>
  <c r="A525" i="34"/>
  <c r="A526" i="34"/>
  <c r="A527" i="34"/>
  <c r="A528" i="34"/>
  <c r="A529" i="34"/>
  <c r="A530" i="34"/>
  <c r="A531" i="34"/>
  <c r="A532" i="34"/>
  <c r="A533" i="34"/>
  <c r="A534" i="34"/>
  <c r="A535" i="34"/>
  <c r="A536" i="34"/>
  <c r="A537" i="34"/>
  <c r="A538" i="34"/>
  <c r="A539" i="34"/>
  <c r="A540" i="34"/>
  <c r="A541" i="34"/>
  <c r="A542" i="34"/>
  <c r="A543" i="34"/>
  <c r="A544" i="34"/>
  <c r="A545" i="34"/>
  <c r="A546" i="34"/>
  <c r="A547" i="34"/>
  <c r="A548" i="34"/>
  <c r="A549" i="34"/>
  <c r="A550" i="34"/>
  <c r="A551" i="34"/>
  <c r="A552" i="34"/>
  <c r="A553" i="34"/>
  <c r="A554" i="34"/>
  <c r="A555" i="34"/>
  <c r="A556" i="34"/>
  <c r="A557" i="34"/>
  <c r="A558" i="34"/>
  <c r="A559" i="34"/>
  <c r="A560" i="34"/>
  <c r="A561" i="34"/>
  <c r="A562" i="34"/>
  <c r="A563" i="34"/>
  <c r="A564" i="34"/>
  <c r="A565" i="34"/>
  <c r="A566" i="34"/>
  <c r="A567" i="34"/>
  <c r="A568" i="34"/>
  <c r="A569" i="34"/>
  <c r="A570" i="34"/>
  <c r="A571" i="34"/>
  <c r="A572" i="34"/>
  <c r="A573" i="34"/>
  <c r="A574" i="34"/>
  <c r="A575" i="34"/>
  <c r="A576" i="34"/>
  <c r="A577" i="34"/>
  <c r="A578" i="34"/>
  <c r="A579" i="34"/>
  <c r="A580" i="34"/>
  <c r="A581" i="34"/>
  <c r="A582" i="34"/>
  <c r="A583" i="34"/>
  <c r="A584" i="34"/>
  <c r="A585" i="34"/>
  <c r="A586" i="34"/>
  <c r="A587" i="34"/>
  <c r="A588" i="34"/>
  <c r="A589" i="34"/>
  <c r="A590" i="34"/>
  <c r="A591" i="34"/>
  <c r="A2" i="34"/>
  <c r="D33" i="25" l="1"/>
  <c r="B13" i="34"/>
  <c r="C13" i="34"/>
  <c r="D13" i="34"/>
  <c r="E13" i="34"/>
  <c r="F13" i="34"/>
  <c r="B14" i="34"/>
  <c r="C14" i="34"/>
  <c r="D14" i="34"/>
  <c r="E14" i="34"/>
  <c r="F14" i="34"/>
  <c r="B15" i="34"/>
  <c r="C15" i="34"/>
  <c r="D15" i="34"/>
  <c r="E15" i="34"/>
  <c r="F15" i="34"/>
  <c r="B16" i="34"/>
  <c r="C16" i="34"/>
  <c r="D16" i="34"/>
  <c r="E16" i="34"/>
  <c r="F16" i="34"/>
  <c r="B17" i="34"/>
  <c r="C17" i="34"/>
  <c r="D17" i="34"/>
  <c r="E17" i="34"/>
  <c r="F17" i="34"/>
  <c r="B18" i="34"/>
  <c r="C18" i="34"/>
  <c r="D18" i="34"/>
  <c r="E18" i="34"/>
  <c r="F18" i="34"/>
  <c r="B19" i="34"/>
  <c r="C19" i="34"/>
  <c r="D19" i="34"/>
  <c r="E19" i="34"/>
  <c r="F19" i="34"/>
  <c r="B20" i="34"/>
  <c r="C20" i="34"/>
  <c r="D20" i="34"/>
  <c r="E20" i="34"/>
  <c r="F20" i="34"/>
  <c r="B21" i="34"/>
  <c r="C21" i="34"/>
  <c r="D21" i="34"/>
  <c r="E21" i="34"/>
  <c r="F21" i="34"/>
  <c r="B22" i="34"/>
  <c r="C22" i="34"/>
  <c r="D22" i="34"/>
  <c r="E22" i="34"/>
  <c r="F22" i="34"/>
  <c r="B23" i="34"/>
  <c r="C23" i="34"/>
  <c r="D23" i="34"/>
  <c r="E23" i="34"/>
  <c r="F23" i="34"/>
  <c r="B24" i="34"/>
  <c r="C24" i="34"/>
  <c r="D24" i="34"/>
  <c r="E24" i="34"/>
  <c r="F24" i="34"/>
  <c r="B25" i="34"/>
  <c r="C25" i="34"/>
  <c r="D25" i="34"/>
  <c r="E25" i="34"/>
  <c r="F25" i="34"/>
  <c r="B26" i="34"/>
  <c r="C26" i="34"/>
  <c r="D26" i="34"/>
  <c r="E26" i="34"/>
  <c r="F26" i="34"/>
  <c r="B27" i="34"/>
  <c r="C27" i="34"/>
  <c r="D27" i="34"/>
  <c r="E27" i="34"/>
  <c r="F27" i="34"/>
  <c r="B28" i="34"/>
  <c r="C28" i="34"/>
  <c r="D28" i="34"/>
  <c r="E28" i="34"/>
  <c r="F28" i="34"/>
  <c r="B29" i="34"/>
  <c r="C29" i="34"/>
  <c r="D29" i="34"/>
  <c r="E29" i="34"/>
  <c r="F29" i="34"/>
  <c r="B30" i="34"/>
  <c r="C30" i="34"/>
  <c r="D30" i="34"/>
  <c r="E30" i="34"/>
  <c r="F30" i="34"/>
  <c r="B31" i="34"/>
  <c r="C31" i="34"/>
  <c r="D31" i="34"/>
  <c r="E31" i="34"/>
  <c r="F31" i="34"/>
  <c r="B32" i="34"/>
  <c r="C32" i="34"/>
  <c r="D32" i="34"/>
  <c r="E32" i="34"/>
  <c r="F32" i="34"/>
  <c r="B33" i="34"/>
  <c r="C33" i="34"/>
  <c r="D33" i="34"/>
  <c r="E33" i="34"/>
  <c r="F33" i="34"/>
  <c r="B34" i="34"/>
  <c r="C34" i="34"/>
  <c r="D34" i="34"/>
  <c r="E34" i="34"/>
  <c r="F34" i="34"/>
  <c r="B35" i="34"/>
  <c r="C35" i="34"/>
  <c r="D35" i="34"/>
  <c r="E35" i="34"/>
  <c r="F35" i="34"/>
  <c r="B36" i="34"/>
  <c r="C36" i="34"/>
  <c r="D36" i="34"/>
  <c r="E36" i="34"/>
  <c r="F36" i="34"/>
  <c r="B37" i="34"/>
  <c r="C37" i="34"/>
  <c r="D37" i="34"/>
  <c r="E37" i="34"/>
  <c r="F37" i="34"/>
  <c r="B38" i="34"/>
  <c r="C38" i="34"/>
  <c r="D38" i="34"/>
  <c r="E38" i="34"/>
  <c r="F38" i="34"/>
  <c r="B39" i="34"/>
  <c r="C39" i="34"/>
  <c r="D39" i="34"/>
  <c r="E39" i="34"/>
  <c r="F39" i="34"/>
  <c r="B40" i="34"/>
  <c r="C40" i="34"/>
  <c r="D40" i="34"/>
  <c r="E40" i="34"/>
  <c r="F40" i="34"/>
  <c r="B41" i="34"/>
  <c r="C41" i="34"/>
  <c r="D41" i="34"/>
  <c r="E41" i="34"/>
  <c r="F41" i="34"/>
  <c r="B42" i="34"/>
  <c r="C42" i="34"/>
  <c r="D42" i="34"/>
  <c r="E42" i="34"/>
  <c r="F42" i="34"/>
  <c r="B43" i="34"/>
  <c r="C43" i="34"/>
  <c r="D43" i="34"/>
  <c r="E43" i="34"/>
  <c r="F43" i="34"/>
  <c r="B44" i="34"/>
  <c r="C44" i="34"/>
  <c r="D44" i="34"/>
  <c r="E44" i="34"/>
  <c r="F44" i="34"/>
  <c r="B45" i="34"/>
  <c r="C45" i="34"/>
  <c r="D45" i="34"/>
  <c r="E45" i="34"/>
  <c r="F45" i="34"/>
  <c r="B46" i="34"/>
  <c r="C46" i="34"/>
  <c r="D46" i="34"/>
  <c r="E46" i="34"/>
  <c r="F46" i="34"/>
  <c r="B47" i="34"/>
  <c r="C47" i="34"/>
  <c r="D47" i="34"/>
  <c r="E47" i="34"/>
  <c r="F47" i="34"/>
  <c r="B48" i="34"/>
  <c r="C48" i="34"/>
  <c r="D48" i="34"/>
  <c r="E48" i="34"/>
  <c r="F48" i="34"/>
  <c r="B49" i="34"/>
  <c r="C49" i="34"/>
  <c r="D49" i="34"/>
  <c r="E49" i="34"/>
  <c r="F49" i="34"/>
  <c r="B50" i="34"/>
  <c r="C50" i="34"/>
  <c r="D50" i="34"/>
  <c r="E50" i="34"/>
  <c r="F50" i="34"/>
  <c r="B51" i="34"/>
  <c r="C51" i="34"/>
  <c r="D51" i="34"/>
  <c r="E51" i="34"/>
  <c r="F51" i="34"/>
  <c r="B52" i="34"/>
  <c r="C52" i="34"/>
  <c r="D52" i="34"/>
  <c r="E52" i="34"/>
  <c r="F52" i="34"/>
  <c r="B53" i="34"/>
  <c r="C53" i="34"/>
  <c r="D53" i="34"/>
  <c r="E53" i="34"/>
  <c r="F53" i="34"/>
  <c r="B54" i="34"/>
  <c r="C54" i="34"/>
  <c r="D54" i="34"/>
  <c r="E54" i="34"/>
  <c r="F54" i="34"/>
  <c r="B55" i="34"/>
  <c r="C55" i="34"/>
  <c r="D55" i="34"/>
  <c r="E55" i="34"/>
  <c r="F55" i="34"/>
  <c r="B56" i="34"/>
  <c r="C56" i="34"/>
  <c r="D56" i="34"/>
  <c r="E56" i="34"/>
  <c r="F56" i="34"/>
  <c r="B57" i="34"/>
  <c r="C57" i="34"/>
  <c r="D57" i="34"/>
  <c r="E57" i="34"/>
  <c r="F57" i="34"/>
  <c r="B58" i="34"/>
  <c r="C58" i="34"/>
  <c r="D58" i="34"/>
  <c r="E58" i="34"/>
  <c r="F58" i="34"/>
  <c r="B59" i="34"/>
  <c r="C59" i="34"/>
  <c r="D59" i="34"/>
  <c r="E59" i="34"/>
  <c r="F59" i="34"/>
  <c r="B60" i="34"/>
  <c r="C60" i="34"/>
  <c r="D60" i="34"/>
  <c r="E60" i="34"/>
  <c r="F60" i="34"/>
  <c r="B61" i="34"/>
  <c r="C61" i="34"/>
  <c r="D61" i="34"/>
  <c r="E61" i="34"/>
  <c r="F61" i="34"/>
  <c r="B62" i="34"/>
  <c r="C62" i="34"/>
  <c r="D62" i="34"/>
  <c r="E62" i="34"/>
  <c r="F62" i="34"/>
  <c r="B63" i="34"/>
  <c r="C63" i="34"/>
  <c r="D63" i="34"/>
  <c r="E63" i="34"/>
  <c r="F63" i="34"/>
  <c r="B64" i="34"/>
  <c r="C64" i="34"/>
  <c r="D64" i="34"/>
  <c r="E64" i="34"/>
  <c r="F64" i="34"/>
  <c r="B65" i="34"/>
  <c r="C65" i="34"/>
  <c r="D65" i="34"/>
  <c r="E65" i="34"/>
  <c r="F65" i="34"/>
  <c r="B66" i="34"/>
  <c r="C66" i="34"/>
  <c r="D66" i="34"/>
  <c r="E66" i="34"/>
  <c r="F66" i="34"/>
  <c r="B67" i="34"/>
  <c r="C67" i="34"/>
  <c r="D67" i="34"/>
  <c r="E67" i="34"/>
  <c r="F67" i="34"/>
  <c r="B68" i="34"/>
  <c r="C68" i="34"/>
  <c r="D68" i="34"/>
  <c r="E68" i="34"/>
  <c r="F68" i="34"/>
  <c r="B69" i="34"/>
  <c r="C69" i="34"/>
  <c r="D69" i="34"/>
  <c r="E69" i="34"/>
  <c r="F69" i="34"/>
  <c r="B70" i="34"/>
  <c r="C70" i="34"/>
  <c r="D70" i="34"/>
  <c r="E70" i="34"/>
  <c r="F70" i="34"/>
  <c r="B71" i="34"/>
  <c r="C71" i="34"/>
  <c r="D71" i="34"/>
  <c r="E71" i="34"/>
  <c r="F71" i="34"/>
  <c r="B72" i="34"/>
  <c r="C72" i="34"/>
  <c r="D72" i="34"/>
  <c r="E72" i="34"/>
  <c r="F72" i="34"/>
  <c r="B73" i="34"/>
  <c r="C73" i="34"/>
  <c r="D73" i="34"/>
  <c r="E73" i="34"/>
  <c r="F73" i="34"/>
  <c r="B74" i="34"/>
  <c r="C74" i="34"/>
  <c r="D74" i="34"/>
  <c r="E74" i="34"/>
  <c r="F74" i="34"/>
  <c r="B75" i="34"/>
  <c r="C75" i="34"/>
  <c r="D75" i="34"/>
  <c r="E75" i="34"/>
  <c r="F75" i="34"/>
  <c r="B76" i="34"/>
  <c r="C76" i="34"/>
  <c r="D76" i="34"/>
  <c r="E76" i="34"/>
  <c r="F76" i="34"/>
  <c r="B77" i="34"/>
  <c r="C77" i="34"/>
  <c r="D77" i="34"/>
  <c r="E77" i="34"/>
  <c r="F77" i="34"/>
  <c r="B78" i="34"/>
  <c r="C78" i="34"/>
  <c r="D78" i="34"/>
  <c r="E78" i="34"/>
  <c r="F78" i="34"/>
  <c r="B79" i="34"/>
  <c r="C79" i="34"/>
  <c r="D79" i="34"/>
  <c r="E79" i="34"/>
  <c r="F79" i="34"/>
  <c r="B80" i="34"/>
  <c r="C80" i="34"/>
  <c r="D80" i="34"/>
  <c r="E80" i="34"/>
  <c r="F80" i="34"/>
  <c r="B81" i="34"/>
  <c r="C81" i="34"/>
  <c r="D81" i="34"/>
  <c r="E81" i="34"/>
  <c r="F81" i="34"/>
  <c r="B82" i="34"/>
  <c r="C82" i="34"/>
  <c r="D82" i="34"/>
  <c r="E82" i="34"/>
  <c r="F82" i="34"/>
  <c r="B83" i="34"/>
  <c r="C83" i="34"/>
  <c r="D83" i="34"/>
  <c r="E83" i="34"/>
  <c r="F83" i="34"/>
  <c r="B84" i="34"/>
  <c r="C84" i="34"/>
  <c r="D84" i="34"/>
  <c r="E84" i="34"/>
  <c r="F84" i="34"/>
  <c r="B85" i="34"/>
  <c r="C85" i="34"/>
  <c r="D85" i="34"/>
  <c r="E85" i="34"/>
  <c r="F85" i="34"/>
  <c r="B86" i="34"/>
  <c r="C86" i="34"/>
  <c r="D86" i="34"/>
  <c r="E86" i="34"/>
  <c r="F86" i="34"/>
  <c r="B87" i="34"/>
  <c r="C87" i="34"/>
  <c r="D87" i="34"/>
  <c r="E87" i="34"/>
  <c r="F87" i="34"/>
  <c r="B88" i="34"/>
  <c r="C88" i="34"/>
  <c r="D88" i="34"/>
  <c r="E88" i="34"/>
  <c r="F88" i="34"/>
  <c r="B89" i="34"/>
  <c r="C89" i="34"/>
  <c r="D89" i="34"/>
  <c r="E89" i="34"/>
  <c r="F89" i="34"/>
  <c r="B90" i="34"/>
  <c r="C90" i="34"/>
  <c r="D90" i="34"/>
  <c r="E90" i="34"/>
  <c r="F90" i="34"/>
  <c r="B91" i="34"/>
  <c r="C91" i="34"/>
  <c r="D91" i="34"/>
  <c r="E91" i="34"/>
  <c r="F91" i="34"/>
  <c r="B92" i="34"/>
  <c r="C92" i="34"/>
  <c r="D92" i="34"/>
  <c r="E92" i="34"/>
  <c r="F92" i="34"/>
  <c r="B93" i="34"/>
  <c r="C93" i="34"/>
  <c r="D93" i="34"/>
  <c r="E93" i="34"/>
  <c r="F93" i="34"/>
  <c r="B94" i="34"/>
  <c r="C94" i="34"/>
  <c r="D94" i="34"/>
  <c r="E94" i="34"/>
  <c r="F94" i="34"/>
  <c r="B95" i="34"/>
  <c r="C95" i="34"/>
  <c r="D95" i="34"/>
  <c r="E95" i="34"/>
  <c r="F95" i="34"/>
  <c r="B96" i="34"/>
  <c r="C96" i="34"/>
  <c r="D96" i="34"/>
  <c r="E96" i="34"/>
  <c r="F96" i="34"/>
  <c r="B97" i="34"/>
  <c r="C97" i="34"/>
  <c r="D97" i="34"/>
  <c r="E97" i="34"/>
  <c r="F97" i="34"/>
  <c r="B98" i="34"/>
  <c r="C98" i="34"/>
  <c r="D98" i="34"/>
  <c r="E98" i="34"/>
  <c r="F98" i="34"/>
  <c r="B99" i="34"/>
  <c r="C99" i="34"/>
  <c r="D99" i="34"/>
  <c r="E99" i="34"/>
  <c r="F99" i="34"/>
  <c r="B100" i="34"/>
  <c r="C100" i="34"/>
  <c r="D100" i="34"/>
  <c r="E100" i="34"/>
  <c r="F100" i="34"/>
  <c r="B101" i="34"/>
  <c r="C101" i="34"/>
  <c r="D101" i="34"/>
  <c r="E101" i="34"/>
  <c r="F101" i="34"/>
  <c r="B102" i="34"/>
  <c r="C102" i="34"/>
  <c r="D102" i="34"/>
  <c r="E102" i="34"/>
  <c r="F102" i="34"/>
  <c r="B103" i="34"/>
  <c r="C103" i="34"/>
  <c r="D103" i="34"/>
  <c r="E103" i="34"/>
  <c r="F103" i="34"/>
  <c r="B104" i="34"/>
  <c r="C104" i="34"/>
  <c r="D104" i="34"/>
  <c r="E104" i="34"/>
  <c r="F104" i="34"/>
  <c r="B105" i="34"/>
  <c r="C105" i="34"/>
  <c r="D105" i="34"/>
  <c r="E105" i="34"/>
  <c r="F105" i="34"/>
  <c r="B106" i="34"/>
  <c r="C106" i="34"/>
  <c r="D106" i="34"/>
  <c r="E106" i="34"/>
  <c r="F106" i="34"/>
  <c r="B107" i="34"/>
  <c r="C107" i="34"/>
  <c r="D107" i="34"/>
  <c r="E107" i="34"/>
  <c r="F107" i="34"/>
  <c r="B108" i="34"/>
  <c r="C108" i="34"/>
  <c r="D108" i="34"/>
  <c r="E108" i="34"/>
  <c r="F108" i="34"/>
  <c r="B109" i="34"/>
  <c r="C109" i="34"/>
  <c r="D109" i="34"/>
  <c r="E109" i="34"/>
  <c r="F109" i="34"/>
  <c r="B110" i="34"/>
  <c r="C110" i="34"/>
  <c r="D110" i="34"/>
  <c r="E110" i="34"/>
  <c r="F110" i="34"/>
  <c r="B111" i="34"/>
  <c r="C111" i="34"/>
  <c r="D111" i="34"/>
  <c r="E111" i="34"/>
  <c r="F111" i="34"/>
  <c r="B112" i="34"/>
  <c r="C112" i="34"/>
  <c r="D112" i="34"/>
  <c r="E112" i="34"/>
  <c r="F112" i="34"/>
  <c r="B113" i="34"/>
  <c r="C113" i="34"/>
  <c r="D113" i="34"/>
  <c r="E113" i="34"/>
  <c r="F113" i="34"/>
  <c r="B114" i="34"/>
  <c r="C114" i="34"/>
  <c r="D114" i="34"/>
  <c r="E114" i="34"/>
  <c r="F114" i="34"/>
  <c r="B115" i="34"/>
  <c r="C115" i="34"/>
  <c r="D115" i="34"/>
  <c r="E115" i="34"/>
  <c r="F115" i="34"/>
  <c r="B116" i="34"/>
  <c r="C116" i="34"/>
  <c r="D116" i="34"/>
  <c r="E116" i="34"/>
  <c r="F116" i="34"/>
  <c r="B117" i="34"/>
  <c r="C117" i="34"/>
  <c r="D117" i="34"/>
  <c r="E117" i="34"/>
  <c r="F117" i="34"/>
  <c r="B118" i="34"/>
  <c r="C118" i="34"/>
  <c r="D118" i="34"/>
  <c r="E118" i="34"/>
  <c r="F118" i="34"/>
  <c r="B119" i="34"/>
  <c r="C119" i="34"/>
  <c r="D119" i="34"/>
  <c r="E119" i="34"/>
  <c r="F119" i="34"/>
  <c r="B120" i="34"/>
  <c r="C120" i="34"/>
  <c r="D120" i="34"/>
  <c r="E120" i="34"/>
  <c r="F120" i="34"/>
  <c r="B121" i="34"/>
  <c r="C121" i="34"/>
  <c r="D121" i="34"/>
  <c r="E121" i="34"/>
  <c r="F121" i="34"/>
  <c r="B122" i="34"/>
  <c r="C122" i="34"/>
  <c r="D122" i="34"/>
  <c r="E122" i="34"/>
  <c r="F122" i="34"/>
  <c r="B123" i="34"/>
  <c r="C123" i="34"/>
  <c r="D123" i="34"/>
  <c r="E123" i="34"/>
  <c r="F123" i="34"/>
  <c r="B124" i="34"/>
  <c r="C124" i="34"/>
  <c r="D124" i="34"/>
  <c r="E124" i="34"/>
  <c r="F124" i="34"/>
  <c r="B125" i="34"/>
  <c r="C125" i="34"/>
  <c r="D125" i="34"/>
  <c r="E125" i="34"/>
  <c r="F125" i="34"/>
  <c r="B126" i="34"/>
  <c r="C126" i="34"/>
  <c r="D126" i="34"/>
  <c r="E126" i="34"/>
  <c r="F126" i="34"/>
  <c r="B127" i="34"/>
  <c r="C127" i="34"/>
  <c r="D127" i="34"/>
  <c r="E127" i="34"/>
  <c r="F127" i="34"/>
  <c r="B128" i="34"/>
  <c r="C128" i="34"/>
  <c r="D128" i="34"/>
  <c r="E128" i="34"/>
  <c r="F128" i="34"/>
  <c r="B129" i="34"/>
  <c r="C129" i="34"/>
  <c r="D129" i="34"/>
  <c r="E129" i="34"/>
  <c r="F129" i="34"/>
  <c r="B130" i="34"/>
  <c r="C130" i="34"/>
  <c r="D130" i="34"/>
  <c r="E130" i="34"/>
  <c r="F130" i="34"/>
  <c r="B131" i="34"/>
  <c r="C131" i="34"/>
  <c r="D131" i="34"/>
  <c r="E131" i="34"/>
  <c r="F131" i="34"/>
  <c r="B132" i="34"/>
  <c r="C132" i="34"/>
  <c r="D132" i="34"/>
  <c r="E132" i="34"/>
  <c r="F132" i="34"/>
  <c r="B133" i="34"/>
  <c r="C133" i="34"/>
  <c r="D133" i="34"/>
  <c r="E133" i="34"/>
  <c r="F133" i="34"/>
  <c r="B134" i="34"/>
  <c r="C134" i="34"/>
  <c r="D134" i="34"/>
  <c r="E134" i="34"/>
  <c r="F134" i="34"/>
  <c r="B135" i="34"/>
  <c r="C135" i="34"/>
  <c r="D135" i="34"/>
  <c r="E135" i="34"/>
  <c r="F135" i="34"/>
  <c r="B136" i="34"/>
  <c r="C136" i="34"/>
  <c r="D136" i="34"/>
  <c r="E136" i="34"/>
  <c r="F136" i="34"/>
  <c r="B137" i="34"/>
  <c r="C137" i="34"/>
  <c r="D137" i="34"/>
  <c r="E137" i="34"/>
  <c r="F137" i="34"/>
  <c r="B138" i="34"/>
  <c r="C138" i="34"/>
  <c r="D138" i="34"/>
  <c r="E138" i="34"/>
  <c r="F138" i="34"/>
  <c r="B139" i="34"/>
  <c r="C139" i="34"/>
  <c r="D139" i="34"/>
  <c r="E139" i="34"/>
  <c r="F139" i="34"/>
  <c r="B140" i="34"/>
  <c r="C140" i="34"/>
  <c r="D140" i="34"/>
  <c r="E140" i="34"/>
  <c r="F140" i="34"/>
  <c r="B141" i="34"/>
  <c r="C141" i="34"/>
  <c r="D141" i="34"/>
  <c r="E141" i="34"/>
  <c r="F141" i="34"/>
  <c r="B142" i="34"/>
  <c r="C142" i="34"/>
  <c r="D142" i="34"/>
  <c r="E142" i="34"/>
  <c r="F142" i="34"/>
  <c r="B143" i="34"/>
  <c r="C143" i="34"/>
  <c r="D143" i="34"/>
  <c r="E143" i="34"/>
  <c r="F143" i="34"/>
  <c r="B144" i="34"/>
  <c r="C144" i="34"/>
  <c r="D144" i="34"/>
  <c r="E144" i="34"/>
  <c r="F144" i="34"/>
  <c r="B145" i="34"/>
  <c r="C145" i="34"/>
  <c r="D145" i="34"/>
  <c r="E145" i="34"/>
  <c r="F145" i="34"/>
  <c r="B146" i="34"/>
  <c r="C146" i="34"/>
  <c r="D146" i="34"/>
  <c r="E146" i="34"/>
  <c r="F146" i="34"/>
  <c r="B147" i="34"/>
  <c r="C147" i="34"/>
  <c r="D147" i="34"/>
  <c r="E147" i="34"/>
  <c r="F147" i="34"/>
  <c r="B148" i="34"/>
  <c r="C148" i="34"/>
  <c r="D148" i="34"/>
  <c r="E148" i="34"/>
  <c r="F148" i="34"/>
  <c r="B149" i="34"/>
  <c r="C149" i="34"/>
  <c r="D149" i="34"/>
  <c r="E149" i="34"/>
  <c r="F149" i="34"/>
  <c r="B150" i="34"/>
  <c r="C150" i="34"/>
  <c r="D150" i="34"/>
  <c r="E150" i="34"/>
  <c r="F150" i="34"/>
  <c r="B151" i="34"/>
  <c r="C151" i="34"/>
  <c r="D151" i="34"/>
  <c r="E151" i="34"/>
  <c r="F151" i="34"/>
  <c r="B152" i="34"/>
  <c r="C152" i="34"/>
  <c r="D152" i="34"/>
  <c r="E152" i="34"/>
  <c r="F152" i="34"/>
  <c r="B153" i="34"/>
  <c r="C153" i="34"/>
  <c r="D153" i="34"/>
  <c r="E153" i="34"/>
  <c r="F153" i="34"/>
  <c r="B154" i="34"/>
  <c r="C154" i="34"/>
  <c r="D154" i="34"/>
  <c r="E154" i="34"/>
  <c r="F154" i="34"/>
  <c r="B155" i="34"/>
  <c r="C155" i="34"/>
  <c r="D155" i="34"/>
  <c r="E155" i="34"/>
  <c r="F155" i="34"/>
  <c r="B156" i="34"/>
  <c r="C156" i="34"/>
  <c r="D156" i="34"/>
  <c r="E156" i="34"/>
  <c r="F156" i="34"/>
  <c r="B157" i="34"/>
  <c r="C157" i="34"/>
  <c r="D157" i="34"/>
  <c r="E157" i="34"/>
  <c r="F157" i="34"/>
  <c r="B158" i="34"/>
  <c r="C158" i="34"/>
  <c r="D158" i="34"/>
  <c r="E158" i="34"/>
  <c r="F158" i="34"/>
  <c r="B159" i="34"/>
  <c r="C159" i="34"/>
  <c r="D159" i="34"/>
  <c r="E159" i="34"/>
  <c r="F159" i="34"/>
  <c r="B160" i="34"/>
  <c r="C160" i="34"/>
  <c r="D160" i="34"/>
  <c r="E160" i="34"/>
  <c r="F160" i="34"/>
  <c r="B161" i="34"/>
  <c r="C161" i="34"/>
  <c r="D161" i="34"/>
  <c r="E161" i="34"/>
  <c r="F161" i="34"/>
  <c r="B162" i="34"/>
  <c r="C162" i="34"/>
  <c r="D162" i="34"/>
  <c r="E162" i="34"/>
  <c r="F162" i="34"/>
  <c r="B163" i="34"/>
  <c r="C163" i="34"/>
  <c r="D163" i="34"/>
  <c r="E163" i="34"/>
  <c r="F163" i="34"/>
  <c r="B164" i="34"/>
  <c r="C164" i="34"/>
  <c r="D164" i="34"/>
  <c r="E164" i="34"/>
  <c r="F164" i="34"/>
  <c r="B165" i="34"/>
  <c r="C165" i="34"/>
  <c r="D165" i="34"/>
  <c r="E165" i="34"/>
  <c r="F165" i="34"/>
  <c r="B166" i="34"/>
  <c r="C166" i="34"/>
  <c r="D166" i="34"/>
  <c r="E166" i="34"/>
  <c r="F166" i="34"/>
  <c r="B167" i="34"/>
  <c r="C167" i="34"/>
  <c r="D167" i="34"/>
  <c r="E167" i="34"/>
  <c r="F167" i="34"/>
  <c r="B168" i="34"/>
  <c r="C168" i="34"/>
  <c r="D168" i="34"/>
  <c r="E168" i="34"/>
  <c r="F168" i="34"/>
  <c r="B169" i="34"/>
  <c r="C169" i="34"/>
  <c r="D169" i="34"/>
  <c r="E169" i="34"/>
  <c r="F169" i="34"/>
  <c r="B170" i="34"/>
  <c r="C170" i="34"/>
  <c r="D170" i="34"/>
  <c r="E170" i="34"/>
  <c r="F170" i="34"/>
  <c r="B171" i="34"/>
  <c r="C171" i="34"/>
  <c r="D171" i="34"/>
  <c r="E171" i="34"/>
  <c r="F171" i="34"/>
  <c r="B172" i="34"/>
  <c r="C172" i="34"/>
  <c r="D172" i="34"/>
  <c r="E172" i="34"/>
  <c r="F172" i="34"/>
  <c r="B173" i="34"/>
  <c r="C173" i="34"/>
  <c r="D173" i="34"/>
  <c r="E173" i="34"/>
  <c r="F173" i="34"/>
  <c r="B174" i="34"/>
  <c r="C174" i="34"/>
  <c r="D174" i="34"/>
  <c r="E174" i="34"/>
  <c r="F174" i="34"/>
  <c r="B175" i="34"/>
  <c r="C175" i="34"/>
  <c r="D175" i="34"/>
  <c r="E175" i="34"/>
  <c r="F175" i="34"/>
  <c r="B176" i="34"/>
  <c r="C176" i="34"/>
  <c r="D176" i="34"/>
  <c r="E176" i="34"/>
  <c r="F176" i="34"/>
  <c r="B177" i="34"/>
  <c r="C177" i="34"/>
  <c r="D177" i="34"/>
  <c r="E177" i="34"/>
  <c r="F177" i="34"/>
  <c r="B178" i="34"/>
  <c r="C178" i="34"/>
  <c r="D178" i="34"/>
  <c r="E178" i="34"/>
  <c r="F178" i="34"/>
  <c r="B179" i="34"/>
  <c r="C179" i="34"/>
  <c r="D179" i="34"/>
  <c r="E179" i="34"/>
  <c r="F179" i="34"/>
  <c r="B180" i="34"/>
  <c r="C180" i="34"/>
  <c r="D180" i="34"/>
  <c r="E180" i="34"/>
  <c r="F180" i="34"/>
  <c r="B181" i="34"/>
  <c r="C181" i="34"/>
  <c r="D181" i="34"/>
  <c r="E181" i="34"/>
  <c r="F181" i="34"/>
  <c r="B182" i="34"/>
  <c r="C182" i="34"/>
  <c r="D182" i="34"/>
  <c r="E182" i="34"/>
  <c r="F182" i="34"/>
  <c r="B183" i="34"/>
  <c r="C183" i="34"/>
  <c r="D183" i="34"/>
  <c r="E183" i="34"/>
  <c r="F183" i="34"/>
  <c r="B184" i="34"/>
  <c r="C184" i="34"/>
  <c r="D184" i="34"/>
  <c r="E184" i="34"/>
  <c r="F184" i="34"/>
  <c r="B185" i="34"/>
  <c r="C185" i="34"/>
  <c r="D185" i="34"/>
  <c r="E185" i="34"/>
  <c r="F185" i="34"/>
  <c r="B186" i="34"/>
  <c r="C186" i="34"/>
  <c r="D186" i="34"/>
  <c r="E186" i="34"/>
  <c r="F186" i="34"/>
  <c r="B187" i="34"/>
  <c r="C187" i="34"/>
  <c r="D187" i="34"/>
  <c r="E187" i="34"/>
  <c r="F187" i="34"/>
  <c r="B188" i="34"/>
  <c r="C188" i="34"/>
  <c r="D188" i="34"/>
  <c r="E188" i="34"/>
  <c r="F188" i="34"/>
  <c r="B189" i="34"/>
  <c r="C189" i="34"/>
  <c r="D189" i="34"/>
  <c r="E189" i="34"/>
  <c r="F189" i="34"/>
  <c r="B190" i="34"/>
  <c r="C190" i="34"/>
  <c r="D190" i="34"/>
  <c r="E190" i="34"/>
  <c r="F190" i="34"/>
  <c r="B191" i="34"/>
  <c r="C191" i="34"/>
  <c r="D191" i="34"/>
  <c r="E191" i="34"/>
  <c r="F191" i="34"/>
  <c r="B192" i="34"/>
  <c r="C192" i="34"/>
  <c r="D192" i="34"/>
  <c r="E192" i="34"/>
  <c r="F192" i="34"/>
  <c r="B193" i="34"/>
  <c r="C193" i="34"/>
  <c r="D193" i="34"/>
  <c r="E193" i="34"/>
  <c r="F193" i="34"/>
  <c r="B194" i="34"/>
  <c r="C194" i="34"/>
  <c r="D194" i="34"/>
  <c r="E194" i="34"/>
  <c r="F194" i="34"/>
  <c r="B195" i="34"/>
  <c r="C195" i="34"/>
  <c r="D195" i="34"/>
  <c r="E195" i="34"/>
  <c r="F195" i="34"/>
  <c r="B196" i="34"/>
  <c r="C196" i="34"/>
  <c r="D196" i="34"/>
  <c r="E196" i="34"/>
  <c r="F196" i="34"/>
  <c r="B197" i="34"/>
  <c r="C197" i="34"/>
  <c r="D197" i="34"/>
  <c r="E197" i="34"/>
  <c r="F197" i="34"/>
  <c r="B198" i="34"/>
  <c r="C198" i="34"/>
  <c r="D198" i="34"/>
  <c r="E198" i="34"/>
  <c r="F198" i="34"/>
  <c r="B199" i="34"/>
  <c r="C199" i="34"/>
  <c r="D199" i="34"/>
  <c r="E199" i="34"/>
  <c r="F199" i="34"/>
  <c r="B200" i="34"/>
  <c r="C200" i="34"/>
  <c r="D200" i="34"/>
  <c r="E200" i="34"/>
  <c r="F200" i="34"/>
  <c r="B201" i="34"/>
  <c r="C201" i="34"/>
  <c r="D201" i="34"/>
  <c r="E201" i="34"/>
  <c r="F201" i="34"/>
  <c r="B202" i="34"/>
  <c r="C202" i="34"/>
  <c r="D202" i="34"/>
  <c r="E202" i="34"/>
  <c r="F202" i="34"/>
  <c r="B203" i="34"/>
  <c r="C203" i="34"/>
  <c r="D203" i="34"/>
  <c r="E203" i="34"/>
  <c r="F203" i="34"/>
  <c r="B204" i="34"/>
  <c r="C204" i="34"/>
  <c r="D204" i="34"/>
  <c r="E204" i="34"/>
  <c r="F204" i="34"/>
  <c r="B205" i="34"/>
  <c r="C205" i="34"/>
  <c r="D205" i="34"/>
  <c r="E205" i="34"/>
  <c r="F205" i="34"/>
  <c r="B206" i="34"/>
  <c r="C206" i="34"/>
  <c r="D206" i="34"/>
  <c r="E206" i="34"/>
  <c r="F206" i="34"/>
  <c r="B207" i="34"/>
  <c r="C207" i="34"/>
  <c r="D207" i="34"/>
  <c r="E207" i="34"/>
  <c r="F207" i="34"/>
  <c r="B208" i="34"/>
  <c r="C208" i="34"/>
  <c r="D208" i="34"/>
  <c r="E208" i="34"/>
  <c r="F208" i="34"/>
  <c r="B209" i="34"/>
  <c r="C209" i="34"/>
  <c r="D209" i="34"/>
  <c r="E209" i="34"/>
  <c r="F209" i="34"/>
  <c r="B210" i="34"/>
  <c r="C210" i="34"/>
  <c r="D210" i="34"/>
  <c r="E210" i="34"/>
  <c r="F210" i="34"/>
  <c r="B211" i="34"/>
  <c r="C211" i="34"/>
  <c r="D211" i="34"/>
  <c r="E211" i="34"/>
  <c r="F211" i="34"/>
  <c r="B212" i="34"/>
  <c r="C212" i="34"/>
  <c r="D212" i="34"/>
  <c r="E212" i="34"/>
  <c r="F212" i="34"/>
  <c r="B213" i="34"/>
  <c r="C213" i="34"/>
  <c r="D213" i="34"/>
  <c r="E213" i="34"/>
  <c r="F213" i="34"/>
  <c r="B214" i="34"/>
  <c r="C214" i="34"/>
  <c r="D214" i="34"/>
  <c r="E214" i="34"/>
  <c r="F214" i="34"/>
  <c r="B215" i="34"/>
  <c r="C215" i="34"/>
  <c r="D215" i="34"/>
  <c r="E215" i="34"/>
  <c r="F215" i="34"/>
  <c r="B216" i="34"/>
  <c r="C216" i="34"/>
  <c r="D216" i="34"/>
  <c r="E216" i="34"/>
  <c r="F216" i="34"/>
  <c r="B217" i="34"/>
  <c r="C217" i="34"/>
  <c r="D217" i="34"/>
  <c r="E217" i="34"/>
  <c r="F217" i="34"/>
  <c r="B218" i="34"/>
  <c r="C218" i="34"/>
  <c r="D218" i="34"/>
  <c r="E218" i="34"/>
  <c r="F218" i="34"/>
  <c r="B219" i="34"/>
  <c r="C219" i="34"/>
  <c r="D219" i="34"/>
  <c r="E219" i="34"/>
  <c r="F219" i="34"/>
  <c r="B220" i="34"/>
  <c r="C220" i="34"/>
  <c r="D220" i="34"/>
  <c r="E220" i="34"/>
  <c r="F220" i="34"/>
  <c r="B221" i="34"/>
  <c r="C221" i="34"/>
  <c r="D221" i="34"/>
  <c r="E221" i="34"/>
  <c r="F221" i="34"/>
  <c r="B222" i="34"/>
  <c r="C222" i="34"/>
  <c r="D222" i="34"/>
  <c r="E222" i="34"/>
  <c r="F222" i="34"/>
  <c r="B223" i="34"/>
  <c r="C223" i="34"/>
  <c r="D223" i="34"/>
  <c r="E223" i="34"/>
  <c r="F223" i="34"/>
  <c r="B224" i="34"/>
  <c r="C224" i="34"/>
  <c r="D224" i="34"/>
  <c r="E224" i="34"/>
  <c r="F224" i="34"/>
  <c r="B225" i="34"/>
  <c r="C225" i="34"/>
  <c r="D225" i="34"/>
  <c r="E225" i="34"/>
  <c r="F225" i="34"/>
  <c r="B226" i="34"/>
  <c r="C226" i="34"/>
  <c r="D226" i="34"/>
  <c r="E226" i="34"/>
  <c r="F226" i="34"/>
  <c r="B227" i="34"/>
  <c r="C227" i="34"/>
  <c r="D227" i="34"/>
  <c r="E227" i="34"/>
  <c r="F227" i="34"/>
  <c r="B228" i="34"/>
  <c r="C228" i="34"/>
  <c r="D228" i="34"/>
  <c r="E228" i="34"/>
  <c r="F228" i="34"/>
  <c r="B229" i="34"/>
  <c r="C229" i="34"/>
  <c r="D229" i="34"/>
  <c r="E229" i="34"/>
  <c r="F229" i="34"/>
  <c r="B230" i="34"/>
  <c r="C230" i="34"/>
  <c r="D230" i="34"/>
  <c r="E230" i="34"/>
  <c r="F230" i="34"/>
  <c r="B231" i="34"/>
  <c r="C231" i="34"/>
  <c r="D231" i="34"/>
  <c r="E231" i="34"/>
  <c r="F231" i="34"/>
  <c r="B232" i="34"/>
  <c r="C232" i="34"/>
  <c r="D232" i="34"/>
  <c r="E232" i="34"/>
  <c r="F232" i="34"/>
  <c r="B233" i="34"/>
  <c r="C233" i="34"/>
  <c r="D233" i="34"/>
  <c r="E233" i="34"/>
  <c r="F233" i="34"/>
  <c r="B234" i="34"/>
  <c r="C234" i="34"/>
  <c r="D234" i="34"/>
  <c r="E234" i="34"/>
  <c r="F234" i="34"/>
  <c r="B235" i="34"/>
  <c r="C235" i="34"/>
  <c r="D235" i="34"/>
  <c r="E235" i="34"/>
  <c r="F235" i="34"/>
  <c r="B236" i="34"/>
  <c r="C236" i="34"/>
  <c r="D236" i="34"/>
  <c r="E236" i="34"/>
  <c r="F236" i="34"/>
  <c r="B237" i="34"/>
  <c r="C237" i="34"/>
  <c r="D237" i="34"/>
  <c r="E237" i="34"/>
  <c r="F237" i="34"/>
  <c r="B238" i="34"/>
  <c r="C238" i="34"/>
  <c r="D238" i="34"/>
  <c r="E238" i="34"/>
  <c r="F238" i="34"/>
  <c r="B239" i="34"/>
  <c r="C239" i="34"/>
  <c r="D239" i="34"/>
  <c r="E239" i="34"/>
  <c r="F239" i="34"/>
  <c r="B240" i="34"/>
  <c r="C240" i="34"/>
  <c r="D240" i="34"/>
  <c r="E240" i="34"/>
  <c r="F240" i="34"/>
  <c r="B241" i="34"/>
  <c r="C241" i="34"/>
  <c r="D241" i="34"/>
  <c r="E241" i="34"/>
  <c r="F241" i="34"/>
  <c r="B242" i="34"/>
  <c r="C242" i="34"/>
  <c r="D242" i="34"/>
  <c r="E242" i="34"/>
  <c r="F242" i="34"/>
  <c r="B243" i="34"/>
  <c r="C243" i="34"/>
  <c r="D243" i="34"/>
  <c r="E243" i="34"/>
  <c r="F243" i="34"/>
  <c r="B244" i="34"/>
  <c r="C244" i="34"/>
  <c r="D244" i="34"/>
  <c r="E244" i="34"/>
  <c r="F244" i="34"/>
  <c r="B245" i="34"/>
  <c r="C245" i="34"/>
  <c r="D245" i="34"/>
  <c r="E245" i="34"/>
  <c r="F245" i="34"/>
  <c r="B246" i="34"/>
  <c r="C246" i="34"/>
  <c r="D246" i="34"/>
  <c r="E246" i="34"/>
  <c r="F246" i="34"/>
  <c r="B247" i="34"/>
  <c r="C247" i="34"/>
  <c r="D247" i="34"/>
  <c r="E247" i="34"/>
  <c r="F247" i="34"/>
  <c r="B248" i="34"/>
  <c r="C248" i="34"/>
  <c r="D248" i="34"/>
  <c r="E248" i="34"/>
  <c r="F248" i="34"/>
  <c r="B249" i="34"/>
  <c r="C249" i="34"/>
  <c r="D249" i="34"/>
  <c r="E249" i="34"/>
  <c r="F249" i="34"/>
  <c r="B250" i="34"/>
  <c r="C250" i="34"/>
  <c r="D250" i="34"/>
  <c r="E250" i="34"/>
  <c r="F250" i="34"/>
  <c r="B251" i="34"/>
  <c r="C251" i="34"/>
  <c r="D251" i="34"/>
  <c r="E251" i="34"/>
  <c r="F251" i="34"/>
  <c r="B252" i="34"/>
  <c r="C252" i="34"/>
  <c r="D252" i="34"/>
  <c r="E252" i="34"/>
  <c r="F252" i="34"/>
  <c r="B253" i="34"/>
  <c r="C253" i="34"/>
  <c r="D253" i="34"/>
  <c r="E253" i="34"/>
  <c r="F253" i="34"/>
  <c r="B254" i="34"/>
  <c r="C254" i="34"/>
  <c r="D254" i="34"/>
  <c r="E254" i="34"/>
  <c r="F254" i="34"/>
  <c r="B255" i="34"/>
  <c r="C255" i="34"/>
  <c r="D255" i="34"/>
  <c r="E255" i="34"/>
  <c r="F255" i="34"/>
  <c r="B256" i="34"/>
  <c r="C256" i="34"/>
  <c r="D256" i="34"/>
  <c r="E256" i="34"/>
  <c r="F256" i="34"/>
  <c r="B257" i="34"/>
  <c r="C257" i="34"/>
  <c r="D257" i="34"/>
  <c r="E257" i="34"/>
  <c r="F257" i="34"/>
  <c r="B258" i="34"/>
  <c r="C258" i="34"/>
  <c r="D258" i="34"/>
  <c r="E258" i="34"/>
  <c r="F258" i="34"/>
  <c r="B259" i="34"/>
  <c r="C259" i="34"/>
  <c r="D259" i="34"/>
  <c r="E259" i="34"/>
  <c r="F259" i="34"/>
  <c r="B260" i="34"/>
  <c r="C260" i="34"/>
  <c r="D260" i="34"/>
  <c r="E260" i="34"/>
  <c r="F260" i="34"/>
  <c r="B261" i="34"/>
  <c r="C261" i="34"/>
  <c r="D261" i="34"/>
  <c r="E261" i="34"/>
  <c r="F261" i="34"/>
  <c r="B262" i="34"/>
  <c r="C262" i="34"/>
  <c r="D262" i="34"/>
  <c r="E262" i="34"/>
  <c r="F262" i="34"/>
  <c r="B263" i="34"/>
  <c r="C263" i="34"/>
  <c r="D263" i="34"/>
  <c r="E263" i="34"/>
  <c r="F263" i="34"/>
  <c r="B264" i="34"/>
  <c r="C264" i="34"/>
  <c r="D264" i="34"/>
  <c r="E264" i="34"/>
  <c r="F264" i="34"/>
  <c r="B265" i="34"/>
  <c r="C265" i="34"/>
  <c r="D265" i="34"/>
  <c r="E265" i="34"/>
  <c r="F265" i="34"/>
  <c r="B266" i="34"/>
  <c r="C266" i="34"/>
  <c r="D266" i="34"/>
  <c r="E266" i="34"/>
  <c r="F266" i="34"/>
  <c r="B267" i="34"/>
  <c r="C267" i="34"/>
  <c r="D267" i="34"/>
  <c r="E267" i="34"/>
  <c r="F267" i="34"/>
  <c r="B268" i="34"/>
  <c r="C268" i="34"/>
  <c r="D268" i="34"/>
  <c r="E268" i="34"/>
  <c r="F268" i="34"/>
  <c r="B269" i="34"/>
  <c r="C269" i="34"/>
  <c r="D269" i="34"/>
  <c r="E269" i="34"/>
  <c r="F269" i="34"/>
  <c r="B270" i="34"/>
  <c r="C270" i="34"/>
  <c r="D270" i="34"/>
  <c r="E270" i="34"/>
  <c r="F270" i="34"/>
  <c r="B271" i="34"/>
  <c r="C271" i="34"/>
  <c r="D271" i="34"/>
  <c r="E271" i="34"/>
  <c r="F271" i="34"/>
  <c r="B272" i="34"/>
  <c r="C272" i="34"/>
  <c r="D272" i="34"/>
  <c r="E272" i="34"/>
  <c r="F272" i="34"/>
  <c r="B273" i="34"/>
  <c r="C273" i="34"/>
  <c r="D273" i="34"/>
  <c r="E273" i="34"/>
  <c r="F273" i="34"/>
  <c r="B274" i="34"/>
  <c r="C274" i="34"/>
  <c r="D274" i="34"/>
  <c r="E274" i="34"/>
  <c r="F274" i="34"/>
  <c r="B275" i="34"/>
  <c r="C275" i="34"/>
  <c r="D275" i="34"/>
  <c r="E275" i="34"/>
  <c r="F275" i="34"/>
  <c r="B276" i="34"/>
  <c r="C276" i="34"/>
  <c r="D276" i="34"/>
  <c r="E276" i="34"/>
  <c r="F276" i="34"/>
  <c r="B277" i="34"/>
  <c r="C277" i="34"/>
  <c r="D277" i="34"/>
  <c r="E277" i="34"/>
  <c r="F277" i="34"/>
  <c r="B278" i="34"/>
  <c r="C278" i="34"/>
  <c r="D278" i="34"/>
  <c r="E278" i="34"/>
  <c r="F278" i="34"/>
  <c r="B279" i="34"/>
  <c r="C279" i="34"/>
  <c r="D279" i="34"/>
  <c r="E279" i="34"/>
  <c r="F279" i="34"/>
  <c r="B280" i="34"/>
  <c r="C280" i="34"/>
  <c r="D280" i="34"/>
  <c r="E280" i="34"/>
  <c r="F280" i="34"/>
  <c r="B281" i="34"/>
  <c r="C281" i="34"/>
  <c r="D281" i="34"/>
  <c r="E281" i="34"/>
  <c r="F281" i="34"/>
  <c r="B282" i="34"/>
  <c r="C282" i="34"/>
  <c r="D282" i="34"/>
  <c r="E282" i="34"/>
  <c r="F282" i="34"/>
  <c r="B283" i="34"/>
  <c r="C283" i="34"/>
  <c r="D283" i="34"/>
  <c r="E283" i="34"/>
  <c r="F283" i="34"/>
  <c r="B284" i="34"/>
  <c r="C284" i="34"/>
  <c r="D284" i="34"/>
  <c r="E284" i="34"/>
  <c r="F284" i="34"/>
  <c r="B285" i="34"/>
  <c r="C285" i="34"/>
  <c r="D285" i="34"/>
  <c r="E285" i="34"/>
  <c r="F285" i="34"/>
  <c r="B286" i="34"/>
  <c r="C286" i="34"/>
  <c r="D286" i="34"/>
  <c r="E286" i="34"/>
  <c r="F286" i="34"/>
  <c r="B287" i="34"/>
  <c r="C287" i="34"/>
  <c r="D287" i="34"/>
  <c r="E287" i="34"/>
  <c r="F287" i="34"/>
  <c r="B288" i="34"/>
  <c r="C288" i="34"/>
  <c r="D288" i="34"/>
  <c r="E288" i="34"/>
  <c r="F288" i="34"/>
  <c r="B289" i="34"/>
  <c r="C289" i="34"/>
  <c r="D289" i="34"/>
  <c r="E289" i="34"/>
  <c r="F289" i="34"/>
  <c r="B290" i="34"/>
  <c r="C290" i="34"/>
  <c r="D290" i="34"/>
  <c r="E290" i="34"/>
  <c r="F290" i="34"/>
  <c r="B291" i="34"/>
  <c r="C291" i="34"/>
  <c r="D291" i="34"/>
  <c r="E291" i="34"/>
  <c r="F291" i="34"/>
  <c r="B292" i="34"/>
  <c r="C292" i="34"/>
  <c r="D292" i="34"/>
  <c r="E292" i="34"/>
  <c r="F292" i="34"/>
  <c r="B293" i="34"/>
  <c r="C293" i="34"/>
  <c r="D293" i="34"/>
  <c r="E293" i="34"/>
  <c r="F293" i="34"/>
  <c r="B294" i="34"/>
  <c r="C294" i="34"/>
  <c r="D294" i="34"/>
  <c r="E294" i="34"/>
  <c r="F294" i="34"/>
  <c r="B295" i="34"/>
  <c r="C295" i="34"/>
  <c r="D295" i="34"/>
  <c r="E295" i="34"/>
  <c r="F295" i="34"/>
  <c r="B296" i="34"/>
  <c r="C296" i="34"/>
  <c r="D296" i="34"/>
  <c r="E296" i="34"/>
  <c r="F296" i="34"/>
  <c r="B297" i="34"/>
  <c r="C297" i="34"/>
  <c r="D297" i="34"/>
  <c r="E297" i="34"/>
  <c r="F297" i="34"/>
  <c r="B298" i="34"/>
  <c r="C298" i="34"/>
  <c r="D298" i="34"/>
  <c r="E298" i="34"/>
  <c r="F298" i="34"/>
  <c r="B299" i="34"/>
  <c r="C299" i="34"/>
  <c r="D299" i="34"/>
  <c r="E299" i="34"/>
  <c r="F299" i="34"/>
  <c r="B300" i="34"/>
  <c r="C300" i="34"/>
  <c r="D300" i="34"/>
  <c r="E300" i="34"/>
  <c r="F300" i="34"/>
  <c r="B301" i="34"/>
  <c r="C301" i="34"/>
  <c r="D301" i="34"/>
  <c r="E301" i="34"/>
  <c r="F301" i="34"/>
  <c r="B302" i="34"/>
  <c r="C302" i="34"/>
  <c r="D302" i="34"/>
  <c r="E302" i="34"/>
  <c r="F302" i="34"/>
  <c r="B303" i="34"/>
  <c r="C303" i="34"/>
  <c r="D303" i="34"/>
  <c r="E303" i="34"/>
  <c r="F303" i="34"/>
  <c r="B304" i="34"/>
  <c r="C304" i="34"/>
  <c r="D304" i="34"/>
  <c r="E304" i="34"/>
  <c r="F304" i="34"/>
  <c r="B305" i="34"/>
  <c r="C305" i="34"/>
  <c r="D305" i="34"/>
  <c r="E305" i="34"/>
  <c r="F305" i="34"/>
  <c r="B306" i="34"/>
  <c r="C306" i="34"/>
  <c r="D306" i="34"/>
  <c r="E306" i="34"/>
  <c r="F306" i="34"/>
  <c r="B307" i="34"/>
  <c r="C307" i="34"/>
  <c r="D307" i="34"/>
  <c r="E307" i="34"/>
  <c r="F307" i="34"/>
  <c r="B308" i="34"/>
  <c r="C308" i="34"/>
  <c r="D308" i="34"/>
  <c r="E308" i="34"/>
  <c r="F308" i="34"/>
  <c r="B309" i="34"/>
  <c r="C309" i="34"/>
  <c r="D309" i="34"/>
  <c r="E309" i="34"/>
  <c r="F309" i="34"/>
  <c r="B310" i="34"/>
  <c r="C310" i="34"/>
  <c r="D310" i="34"/>
  <c r="E310" i="34"/>
  <c r="F310" i="34"/>
  <c r="B311" i="34"/>
  <c r="C311" i="34"/>
  <c r="D311" i="34"/>
  <c r="E311" i="34"/>
  <c r="F311" i="34"/>
  <c r="B312" i="34"/>
  <c r="C312" i="34"/>
  <c r="D312" i="34"/>
  <c r="E312" i="34"/>
  <c r="F312" i="34"/>
  <c r="B313" i="34"/>
  <c r="C313" i="34"/>
  <c r="D313" i="34"/>
  <c r="E313" i="34"/>
  <c r="F313" i="34"/>
  <c r="B314" i="34"/>
  <c r="C314" i="34"/>
  <c r="D314" i="34"/>
  <c r="E314" i="34"/>
  <c r="F314" i="34"/>
  <c r="B315" i="34"/>
  <c r="C315" i="34"/>
  <c r="D315" i="34"/>
  <c r="E315" i="34"/>
  <c r="F315" i="34"/>
  <c r="B316" i="34"/>
  <c r="C316" i="34"/>
  <c r="D316" i="34"/>
  <c r="E316" i="34"/>
  <c r="F316" i="34"/>
  <c r="B317" i="34"/>
  <c r="C317" i="34"/>
  <c r="D317" i="34"/>
  <c r="E317" i="34"/>
  <c r="F317" i="34"/>
  <c r="B318" i="34"/>
  <c r="C318" i="34"/>
  <c r="D318" i="34"/>
  <c r="E318" i="34"/>
  <c r="F318" i="34"/>
  <c r="B319" i="34"/>
  <c r="C319" i="34"/>
  <c r="D319" i="34"/>
  <c r="E319" i="34"/>
  <c r="F319" i="34"/>
  <c r="B320" i="34"/>
  <c r="C320" i="34"/>
  <c r="D320" i="34"/>
  <c r="E320" i="34"/>
  <c r="F320" i="34"/>
  <c r="B321" i="34"/>
  <c r="C321" i="34"/>
  <c r="D321" i="34"/>
  <c r="E321" i="34"/>
  <c r="F321" i="34"/>
  <c r="B322" i="34"/>
  <c r="C322" i="34"/>
  <c r="D322" i="34"/>
  <c r="E322" i="34"/>
  <c r="F322" i="34"/>
  <c r="B323" i="34"/>
  <c r="C323" i="34"/>
  <c r="D323" i="34"/>
  <c r="E323" i="34"/>
  <c r="F323" i="34"/>
  <c r="B324" i="34"/>
  <c r="C324" i="34"/>
  <c r="D324" i="34"/>
  <c r="E324" i="34"/>
  <c r="F324" i="34"/>
  <c r="B325" i="34"/>
  <c r="C325" i="34"/>
  <c r="D325" i="34"/>
  <c r="E325" i="34"/>
  <c r="F325" i="34"/>
  <c r="B326" i="34"/>
  <c r="C326" i="34"/>
  <c r="D326" i="34"/>
  <c r="E326" i="34"/>
  <c r="F326" i="34"/>
  <c r="B327" i="34"/>
  <c r="C327" i="34"/>
  <c r="D327" i="34"/>
  <c r="E327" i="34"/>
  <c r="F327" i="34"/>
  <c r="B328" i="34"/>
  <c r="C328" i="34"/>
  <c r="D328" i="34"/>
  <c r="E328" i="34"/>
  <c r="F328" i="34"/>
  <c r="B329" i="34"/>
  <c r="C329" i="34"/>
  <c r="D329" i="34"/>
  <c r="E329" i="34"/>
  <c r="F329" i="34"/>
  <c r="B330" i="34"/>
  <c r="C330" i="34"/>
  <c r="D330" i="34"/>
  <c r="E330" i="34"/>
  <c r="F330" i="34"/>
  <c r="B331" i="34"/>
  <c r="C331" i="34"/>
  <c r="D331" i="34"/>
  <c r="E331" i="34"/>
  <c r="F331" i="34"/>
  <c r="B332" i="34"/>
  <c r="C332" i="34"/>
  <c r="D332" i="34"/>
  <c r="E332" i="34"/>
  <c r="F332" i="34"/>
  <c r="B333" i="34"/>
  <c r="C333" i="34"/>
  <c r="D333" i="34"/>
  <c r="E333" i="34"/>
  <c r="F333" i="34"/>
  <c r="B334" i="34"/>
  <c r="C334" i="34"/>
  <c r="D334" i="34"/>
  <c r="E334" i="34"/>
  <c r="F334" i="34"/>
  <c r="B335" i="34"/>
  <c r="C335" i="34"/>
  <c r="D335" i="34"/>
  <c r="E335" i="34"/>
  <c r="F335" i="34"/>
  <c r="B336" i="34"/>
  <c r="C336" i="34"/>
  <c r="D336" i="34"/>
  <c r="E336" i="34"/>
  <c r="F336" i="34"/>
  <c r="B337" i="34"/>
  <c r="C337" i="34"/>
  <c r="D337" i="34"/>
  <c r="E337" i="34"/>
  <c r="F337" i="34"/>
  <c r="B338" i="34"/>
  <c r="C338" i="34"/>
  <c r="D338" i="34"/>
  <c r="E338" i="34"/>
  <c r="F338" i="34"/>
  <c r="B339" i="34"/>
  <c r="C339" i="34"/>
  <c r="D339" i="34"/>
  <c r="E339" i="34"/>
  <c r="F339" i="34"/>
  <c r="B340" i="34"/>
  <c r="C340" i="34"/>
  <c r="D340" i="34"/>
  <c r="E340" i="34"/>
  <c r="F340" i="34"/>
  <c r="B341" i="34"/>
  <c r="C341" i="34"/>
  <c r="D341" i="34"/>
  <c r="E341" i="34"/>
  <c r="F341" i="34"/>
  <c r="B342" i="34"/>
  <c r="C342" i="34"/>
  <c r="D342" i="34"/>
  <c r="E342" i="34"/>
  <c r="F342" i="34"/>
  <c r="B343" i="34"/>
  <c r="C343" i="34"/>
  <c r="D343" i="34"/>
  <c r="E343" i="34"/>
  <c r="F343" i="34"/>
  <c r="B344" i="34"/>
  <c r="C344" i="34"/>
  <c r="D344" i="34"/>
  <c r="E344" i="34"/>
  <c r="F344" i="34"/>
  <c r="B345" i="34"/>
  <c r="C345" i="34"/>
  <c r="D345" i="34"/>
  <c r="E345" i="34"/>
  <c r="F345" i="34"/>
  <c r="B346" i="34"/>
  <c r="C346" i="34"/>
  <c r="D346" i="34"/>
  <c r="E346" i="34"/>
  <c r="F346" i="34"/>
  <c r="B347" i="34"/>
  <c r="C347" i="34"/>
  <c r="D347" i="34"/>
  <c r="E347" i="34"/>
  <c r="F347" i="34"/>
  <c r="B348" i="34"/>
  <c r="C348" i="34"/>
  <c r="D348" i="34"/>
  <c r="E348" i="34"/>
  <c r="F348" i="34"/>
  <c r="B349" i="34"/>
  <c r="C349" i="34"/>
  <c r="D349" i="34"/>
  <c r="E349" i="34"/>
  <c r="F349" i="34"/>
  <c r="B350" i="34"/>
  <c r="C350" i="34"/>
  <c r="D350" i="34"/>
  <c r="E350" i="34"/>
  <c r="F350" i="34"/>
  <c r="B351" i="34"/>
  <c r="C351" i="34"/>
  <c r="D351" i="34"/>
  <c r="E351" i="34"/>
  <c r="F351" i="34"/>
  <c r="B352" i="34"/>
  <c r="C352" i="34"/>
  <c r="D352" i="34"/>
  <c r="E352" i="34"/>
  <c r="F352" i="34"/>
  <c r="B353" i="34"/>
  <c r="C353" i="34"/>
  <c r="D353" i="34"/>
  <c r="E353" i="34"/>
  <c r="F353" i="34"/>
  <c r="B354" i="34"/>
  <c r="C354" i="34"/>
  <c r="D354" i="34"/>
  <c r="E354" i="34"/>
  <c r="F354" i="34"/>
  <c r="B355" i="34"/>
  <c r="C355" i="34"/>
  <c r="D355" i="34"/>
  <c r="E355" i="34"/>
  <c r="F355" i="34"/>
  <c r="B356" i="34"/>
  <c r="C356" i="34"/>
  <c r="D356" i="34"/>
  <c r="E356" i="34"/>
  <c r="F356" i="34"/>
  <c r="B357" i="34"/>
  <c r="C357" i="34"/>
  <c r="D357" i="34"/>
  <c r="E357" i="34"/>
  <c r="F357" i="34"/>
  <c r="B358" i="34"/>
  <c r="C358" i="34"/>
  <c r="D358" i="34"/>
  <c r="E358" i="34"/>
  <c r="F358" i="34"/>
  <c r="B359" i="34"/>
  <c r="C359" i="34"/>
  <c r="D359" i="34"/>
  <c r="E359" i="34"/>
  <c r="F359" i="34"/>
  <c r="B360" i="34"/>
  <c r="C360" i="34"/>
  <c r="D360" i="34"/>
  <c r="E360" i="34"/>
  <c r="F360" i="34"/>
  <c r="B361" i="34"/>
  <c r="C361" i="34"/>
  <c r="D361" i="34"/>
  <c r="E361" i="34"/>
  <c r="F361" i="34"/>
  <c r="B362" i="34"/>
  <c r="C362" i="34"/>
  <c r="D362" i="34"/>
  <c r="E362" i="34"/>
  <c r="F362" i="34"/>
  <c r="B363" i="34"/>
  <c r="C363" i="34"/>
  <c r="D363" i="34"/>
  <c r="E363" i="34"/>
  <c r="F363" i="34"/>
  <c r="B364" i="34"/>
  <c r="C364" i="34"/>
  <c r="D364" i="34"/>
  <c r="E364" i="34"/>
  <c r="F364" i="34"/>
  <c r="B365" i="34"/>
  <c r="C365" i="34"/>
  <c r="D365" i="34"/>
  <c r="E365" i="34"/>
  <c r="F365" i="34"/>
  <c r="B366" i="34"/>
  <c r="C366" i="34"/>
  <c r="D366" i="34"/>
  <c r="E366" i="34"/>
  <c r="F366" i="34"/>
  <c r="B367" i="34"/>
  <c r="C367" i="34"/>
  <c r="D367" i="34"/>
  <c r="E367" i="34"/>
  <c r="F367" i="34"/>
  <c r="B368" i="34"/>
  <c r="C368" i="34"/>
  <c r="D368" i="34"/>
  <c r="E368" i="34"/>
  <c r="F368" i="34"/>
  <c r="B369" i="34"/>
  <c r="C369" i="34"/>
  <c r="D369" i="34"/>
  <c r="E369" i="34"/>
  <c r="F369" i="34"/>
  <c r="B370" i="34"/>
  <c r="C370" i="34"/>
  <c r="D370" i="34"/>
  <c r="E370" i="34"/>
  <c r="F370" i="34"/>
  <c r="B371" i="34"/>
  <c r="C371" i="34"/>
  <c r="D371" i="34"/>
  <c r="E371" i="34"/>
  <c r="F371" i="34"/>
  <c r="B372" i="34"/>
  <c r="C372" i="34"/>
  <c r="D372" i="34"/>
  <c r="E372" i="34"/>
  <c r="F372" i="34"/>
  <c r="B373" i="34"/>
  <c r="C373" i="34"/>
  <c r="D373" i="34"/>
  <c r="E373" i="34"/>
  <c r="F373" i="34"/>
  <c r="B374" i="34"/>
  <c r="C374" i="34"/>
  <c r="D374" i="34"/>
  <c r="E374" i="34"/>
  <c r="F374" i="34"/>
  <c r="B375" i="34"/>
  <c r="C375" i="34"/>
  <c r="D375" i="34"/>
  <c r="E375" i="34"/>
  <c r="F375" i="34"/>
  <c r="B376" i="34"/>
  <c r="C376" i="34"/>
  <c r="D376" i="34"/>
  <c r="E376" i="34"/>
  <c r="F376" i="34"/>
  <c r="B377" i="34"/>
  <c r="C377" i="34"/>
  <c r="D377" i="34"/>
  <c r="E377" i="34"/>
  <c r="F377" i="34"/>
  <c r="B378" i="34"/>
  <c r="C378" i="34"/>
  <c r="D378" i="34"/>
  <c r="E378" i="34"/>
  <c r="F378" i="34"/>
  <c r="B379" i="34"/>
  <c r="C379" i="34"/>
  <c r="D379" i="34"/>
  <c r="E379" i="34"/>
  <c r="F379" i="34"/>
  <c r="B380" i="34"/>
  <c r="C380" i="34"/>
  <c r="D380" i="34"/>
  <c r="E380" i="34"/>
  <c r="F380" i="34"/>
  <c r="B381" i="34"/>
  <c r="C381" i="34"/>
  <c r="D381" i="34"/>
  <c r="E381" i="34"/>
  <c r="F381" i="34"/>
  <c r="B382" i="34"/>
  <c r="C382" i="34"/>
  <c r="D382" i="34"/>
  <c r="E382" i="34"/>
  <c r="F382" i="34"/>
  <c r="B383" i="34"/>
  <c r="C383" i="34"/>
  <c r="D383" i="34"/>
  <c r="E383" i="34"/>
  <c r="F383" i="34"/>
  <c r="B384" i="34"/>
  <c r="C384" i="34"/>
  <c r="D384" i="34"/>
  <c r="E384" i="34"/>
  <c r="F384" i="34"/>
  <c r="B385" i="34"/>
  <c r="C385" i="34"/>
  <c r="D385" i="34"/>
  <c r="E385" i="34"/>
  <c r="F385" i="34"/>
  <c r="B386" i="34"/>
  <c r="C386" i="34"/>
  <c r="D386" i="34"/>
  <c r="E386" i="34"/>
  <c r="F386" i="34"/>
  <c r="B387" i="34"/>
  <c r="C387" i="34"/>
  <c r="D387" i="34"/>
  <c r="E387" i="34"/>
  <c r="F387" i="34"/>
  <c r="B388" i="34"/>
  <c r="C388" i="34"/>
  <c r="D388" i="34"/>
  <c r="E388" i="34"/>
  <c r="F388" i="34"/>
  <c r="B389" i="34"/>
  <c r="C389" i="34"/>
  <c r="D389" i="34"/>
  <c r="E389" i="34"/>
  <c r="F389" i="34"/>
  <c r="B390" i="34"/>
  <c r="C390" i="34"/>
  <c r="D390" i="34"/>
  <c r="E390" i="34"/>
  <c r="F390" i="34"/>
  <c r="B391" i="34"/>
  <c r="C391" i="34"/>
  <c r="D391" i="34"/>
  <c r="E391" i="34"/>
  <c r="F391" i="34"/>
  <c r="B392" i="34"/>
  <c r="C392" i="34"/>
  <c r="D392" i="34"/>
  <c r="E392" i="34"/>
  <c r="F392" i="34"/>
  <c r="B393" i="34"/>
  <c r="C393" i="34"/>
  <c r="D393" i="34"/>
  <c r="E393" i="34"/>
  <c r="F393" i="34"/>
  <c r="B394" i="34"/>
  <c r="C394" i="34"/>
  <c r="D394" i="34"/>
  <c r="E394" i="34"/>
  <c r="F394" i="34"/>
  <c r="B395" i="34"/>
  <c r="C395" i="34"/>
  <c r="D395" i="34"/>
  <c r="E395" i="34"/>
  <c r="F395" i="34"/>
  <c r="B396" i="34"/>
  <c r="C396" i="34"/>
  <c r="D396" i="34"/>
  <c r="E396" i="34"/>
  <c r="F396" i="34"/>
  <c r="B397" i="34"/>
  <c r="C397" i="34"/>
  <c r="D397" i="34"/>
  <c r="E397" i="34"/>
  <c r="F397" i="34"/>
  <c r="B398" i="34"/>
  <c r="C398" i="34"/>
  <c r="D398" i="34"/>
  <c r="E398" i="34"/>
  <c r="F398" i="34"/>
  <c r="B399" i="34"/>
  <c r="C399" i="34"/>
  <c r="D399" i="34"/>
  <c r="E399" i="34"/>
  <c r="F399" i="34"/>
  <c r="B400" i="34"/>
  <c r="C400" i="34"/>
  <c r="D400" i="34"/>
  <c r="E400" i="34"/>
  <c r="F400" i="34"/>
  <c r="B401" i="34"/>
  <c r="C401" i="34"/>
  <c r="D401" i="34"/>
  <c r="E401" i="34"/>
  <c r="F401" i="34"/>
  <c r="B402" i="34"/>
  <c r="C402" i="34"/>
  <c r="D402" i="34"/>
  <c r="E402" i="34"/>
  <c r="F402" i="34"/>
  <c r="B403" i="34"/>
  <c r="C403" i="34"/>
  <c r="D403" i="34"/>
  <c r="E403" i="34"/>
  <c r="F403" i="34"/>
  <c r="B404" i="34"/>
  <c r="C404" i="34"/>
  <c r="D404" i="34"/>
  <c r="E404" i="34"/>
  <c r="F404" i="34"/>
  <c r="B405" i="34"/>
  <c r="C405" i="34"/>
  <c r="D405" i="34"/>
  <c r="E405" i="34"/>
  <c r="F405" i="34"/>
  <c r="B406" i="34"/>
  <c r="C406" i="34"/>
  <c r="D406" i="34"/>
  <c r="E406" i="34"/>
  <c r="F406" i="34"/>
  <c r="B407" i="34"/>
  <c r="C407" i="34"/>
  <c r="D407" i="34"/>
  <c r="E407" i="34"/>
  <c r="F407" i="34"/>
  <c r="B408" i="34"/>
  <c r="C408" i="34"/>
  <c r="D408" i="34"/>
  <c r="E408" i="34"/>
  <c r="F408" i="34"/>
  <c r="B409" i="34"/>
  <c r="C409" i="34"/>
  <c r="D409" i="34"/>
  <c r="E409" i="34"/>
  <c r="F409" i="34"/>
  <c r="B410" i="34"/>
  <c r="C410" i="34"/>
  <c r="D410" i="34"/>
  <c r="E410" i="34"/>
  <c r="F410" i="34"/>
  <c r="B411" i="34"/>
  <c r="C411" i="34"/>
  <c r="D411" i="34"/>
  <c r="E411" i="34"/>
  <c r="F411" i="34"/>
  <c r="B412" i="34"/>
  <c r="C412" i="34"/>
  <c r="D412" i="34"/>
  <c r="E412" i="34"/>
  <c r="F412" i="34"/>
  <c r="B413" i="34"/>
  <c r="C413" i="34"/>
  <c r="D413" i="34"/>
  <c r="E413" i="34"/>
  <c r="F413" i="34"/>
  <c r="B414" i="34"/>
  <c r="C414" i="34"/>
  <c r="D414" i="34"/>
  <c r="E414" i="34"/>
  <c r="F414" i="34"/>
  <c r="B415" i="34"/>
  <c r="C415" i="34"/>
  <c r="D415" i="34"/>
  <c r="E415" i="34"/>
  <c r="F415" i="34"/>
  <c r="B416" i="34"/>
  <c r="C416" i="34"/>
  <c r="D416" i="34"/>
  <c r="E416" i="34"/>
  <c r="F416" i="34"/>
  <c r="B417" i="34"/>
  <c r="C417" i="34"/>
  <c r="D417" i="34"/>
  <c r="E417" i="34"/>
  <c r="F417" i="34"/>
  <c r="B418" i="34"/>
  <c r="C418" i="34"/>
  <c r="D418" i="34"/>
  <c r="E418" i="34"/>
  <c r="F418" i="34"/>
  <c r="B419" i="34"/>
  <c r="C419" i="34"/>
  <c r="D419" i="34"/>
  <c r="E419" i="34"/>
  <c r="F419" i="34"/>
  <c r="B420" i="34"/>
  <c r="C420" i="34"/>
  <c r="D420" i="34"/>
  <c r="E420" i="34"/>
  <c r="F420" i="34"/>
  <c r="B421" i="34"/>
  <c r="C421" i="34"/>
  <c r="D421" i="34"/>
  <c r="E421" i="34"/>
  <c r="F421" i="34"/>
  <c r="B422" i="34"/>
  <c r="C422" i="34"/>
  <c r="D422" i="34"/>
  <c r="E422" i="34"/>
  <c r="F422" i="34"/>
  <c r="B423" i="34"/>
  <c r="C423" i="34"/>
  <c r="D423" i="34"/>
  <c r="E423" i="34"/>
  <c r="F423" i="34"/>
  <c r="B424" i="34"/>
  <c r="C424" i="34"/>
  <c r="D424" i="34"/>
  <c r="E424" i="34"/>
  <c r="F424" i="34"/>
  <c r="B425" i="34"/>
  <c r="C425" i="34"/>
  <c r="D425" i="34"/>
  <c r="E425" i="34"/>
  <c r="F425" i="34"/>
  <c r="B426" i="34"/>
  <c r="C426" i="34"/>
  <c r="D426" i="34"/>
  <c r="E426" i="34"/>
  <c r="F426" i="34"/>
  <c r="B427" i="34"/>
  <c r="C427" i="34"/>
  <c r="D427" i="34"/>
  <c r="E427" i="34"/>
  <c r="F427" i="34"/>
  <c r="B428" i="34"/>
  <c r="C428" i="34"/>
  <c r="D428" i="34"/>
  <c r="E428" i="34"/>
  <c r="F428" i="34"/>
  <c r="B429" i="34"/>
  <c r="C429" i="34"/>
  <c r="D429" i="34"/>
  <c r="E429" i="34"/>
  <c r="F429" i="34"/>
  <c r="B430" i="34"/>
  <c r="C430" i="34"/>
  <c r="D430" i="34"/>
  <c r="E430" i="34"/>
  <c r="F430" i="34"/>
  <c r="B431" i="34"/>
  <c r="C431" i="34"/>
  <c r="D431" i="34"/>
  <c r="E431" i="34"/>
  <c r="F431" i="34"/>
  <c r="B432" i="34"/>
  <c r="C432" i="34"/>
  <c r="D432" i="34"/>
  <c r="E432" i="34"/>
  <c r="F432" i="34"/>
  <c r="B433" i="34"/>
  <c r="C433" i="34"/>
  <c r="D433" i="34"/>
  <c r="E433" i="34"/>
  <c r="F433" i="34"/>
  <c r="B434" i="34"/>
  <c r="C434" i="34"/>
  <c r="D434" i="34"/>
  <c r="E434" i="34"/>
  <c r="F434" i="34"/>
  <c r="B435" i="34"/>
  <c r="C435" i="34"/>
  <c r="D435" i="34"/>
  <c r="E435" i="34"/>
  <c r="F435" i="34"/>
  <c r="B436" i="34"/>
  <c r="C436" i="34"/>
  <c r="D436" i="34"/>
  <c r="E436" i="34"/>
  <c r="F436" i="34"/>
  <c r="B437" i="34"/>
  <c r="C437" i="34"/>
  <c r="D437" i="34"/>
  <c r="E437" i="34"/>
  <c r="F437" i="34"/>
  <c r="B438" i="34"/>
  <c r="C438" i="34"/>
  <c r="D438" i="34"/>
  <c r="E438" i="34"/>
  <c r="F438" i="34"/>
  <c r="B439" i="34"/>
  <c r="C439" i="34"/>
  <c r="D439" i="34"/>
  <c r="E439" i="34"/>
  <c r="F439" i="34"/>
  <c r="B440" i="34"/>
  <c r="C440" i="34"/>
  <c r="D440" i="34"/>
  <c r="E440" i="34"/>
  <c r="F440" i="34"/>
  <c r="B441" i="34"/>
  <c r="C441" i="34"/>
  <c r="D441" i="34"/>
  <c r="E441" i="34"/>
  <c r="F441" i="34"/>
  <c r="B442" i="34"/>
  <c r="C442" i="34"/>
  <c r="D442" i="34"/>
  <c r="E442" i="34"/>
  <c r="F442" i="34"/>
  <c r="B443" i="34"/>
  <c r="C443" i="34"/>
  <c r="D443" i="34"/>
  <c r="E443" i="34"/>
  <c r="F443" i="34"/>
  <c r="B444" i="34"/>
  <c r="C444" i="34"/>
  <c r="D444" i="34"/>
  <c r="E444" i="34"/>
  <c r="F444" i="34"/>
  <c r="B445" i="34"/>
  <c r="C445" i="34"/>
  <c r="D445" i="34"/>
  <c r="E445" i="34"/>
  <c r="F445" i="34"/>
  <c r="B446" i="34"/>
  <c r="C446" i="34"/>
  <c r="D446" i="34"/>
  <c r="E446" i="34"/>
  <c r="F446" i="34"/>
  <c r="B447" i="34"/>
  <c r="C447" i="34"/>
  <c r="D447" i="34"/>
  <c r="E447" i="34"/>
  <c r="F447" i="34"/>
  <c r="B448" i="34"/>
  <c r="C448" i="34"/>
  <c r="D448" i="34"/>
  <c r="E448" i="34"/>
  <c r="F448" i="34"/>
  <c r="B449" i="34"/>
  <c r="C449" i="34"/>
  <c r="D449" i="34"/>
  <c r="E449" i="34"/>
  <c r="F449" i="34"/>
  <c r="B450" i="34"/>
  <c r="C450" i="34"/>
  <c r="D450" i="34"/>
  <c r="E450" i="34"/>
  <c r="F450" i="34"/>
  <c r="B451" i="34"/>
  <c r="C451" i="34"/>
  <c r="D451" i="34"/>
  <c r="E451" i="34"/>
  <c r="F451" i="34"/>
  <c r="B452" i="34"/>
  <c r="C452" i="34"/>
  <c r="D452" i="34"/>
  <c r="E452" i="34"/>
  <c r="F452" i="34"/>
  <c r="B453" i="34"/>
  <c r="C453" i="34"/>
  <c r="D453" i="34"/>
  <c r="E453" i="34"/>
  <c r="F453" i="34"/>
  <c r="B454" i="34"/>
  <c r="C454" i="34"/>
  <c r="D454" i="34"/>
  <c r="E454" i="34"/>
  <c r="F454" i="34"/>
  <c r="B455" i="34"/>
  <c r="C455" i="34"/>
  <c r="D455" i="34"/>
  <c r="E455" i="34"/>
  <c r="F455" i="34"/>
  <c r="B456" i="34"/>
  <c r="C456" i="34"/>
  <c r="D456" i="34"/>
  <c r="E456" i="34"/>
  <c r="F456" i="34"/>
  <c r="B457" i="34"/>
  <c r="C457" i="34"/>
  <c r="D457" i="34"/>
  <c r="E457" i="34"/>
  <c r="F457" i="34"/>
  <c r="B458" i="34"/>
  <c r="C458" i="34"/>
  <c r="D458" i="34"/>
  <c r="E458" i="34"/>
  <c r="F458" i="34"/>
  <c r="B459" i="34"/>
  <c r="C459" i="34"/>
  <c r="D459" i="34"/>
  <c r="E459" i="34"/>
  <c r="F459" i="34"/>
  <c r="B460" i="34"/>
  <c r="C460" i="34"/>
  <c r="D460" i="34"/>
  <c r="E460" i="34"/>
  <c r="F460" i="34"/>
  <c r="B461" i="34"/>
  <c r="C461" i="34"/>
  <c r="D461" i="34"/>
  <c r="E461" i="34"/>
  <c r="F461" i="34"/>
  <c r="B462" i="34"/>
  <c r="C462" i="34"/>
  <c r="D462" i="34"/>
  <c r="E462" i="34"/>
  <c r="F462" i="34"/>
  <c r="B463" i="34"/>
  <c r="C463" i="34"/>
  <c r="D463" i="34"/>
  <c r="E463" i="34"/>
  <c r="F463" i="34"/>
  <c r="B464" i="34"/>
  <c r="C464" i="34"/>
  <c r="D464" i="34"/>
  <c r="E464" i="34"/>
  <c r="F464" i="34"/>
  <c r="B465" i="34"/>
  <c r="C465" i="34"/>
  <c r="D465" i="34"/>
  <c r="E465" i="34"/>
  <c r="F465" i="34"/>
  <c r="B466" i="34"/>
  <c r="C466" i="34"/>
  <c r="D466" i="34"/>
  <c r="E466" i="34"/>
  <c r="F466" i="34"/>
  <c r="B467" i="34"/>
  <c r="C467" i="34"/>
  <c r="D467" i="34"/>
  <c r="E467" i="34"/>
  <c r="F467" i="34"/>
  <c r="B468" i="34"/>
  <c r="C468" i="34"/>
  <c r="D468" i="34"/>
  <c r="E468" i="34"/>
  <c r="F468" i="34"/>
  <c r="B469" i="34"/>
  <c r="C469" i="34"/>
  <c r="D469" i="34"/>
  <c r="E469" i="34"/>
  <c r="F469" i="34"/>
  <c r="B470" i="34"/>
  <c r="C470" i="34"/>
  <c r="D470" i="34"/>
  <c r="E470" i="34"/>
  <c r="F470" i="34"/>
  <c r="B471" i="34"/>
  <c r="C471" i="34"/>
  <c r="D471" i="34"/>
  <c r="E471" i="34"/>
  <c r="F471" i="34"/>
  <c r="B472" i="34"/>
  <c r="C472" i="34"/>
  <c r="D472" i="34"/>
  <c r="E472" i="34"/>
  <c r="F472" i="34"/>
  <c r="B473" i="34"/>
  <c r="C473" i="34"/>
  <c r="D473" i="34"/>
  <c r="E473" i="34"/>
  <c r="F473" i="34"/>
  <c r="B474" i="34"/>
  <c r="C474" i="34"/>
  <c r="D474" i="34"/>
  <c r="E474" i="34"/>
  <c r="F474" i="34"/>
  <c r="B475" i="34"/>
  <c r="C475" i="34"/>
  <c r="D475" i="34"/>
  <c r="E475" i="34"/>
  <c r="F475" i="34"/>
  <c r="B476" i="34"/>
  <c r="C476" i="34"/>
  <c r="D476" i="34"/>
  <c r="E476" i="34"/>
  <c r="F476" i="34"/>
  <c r="B477" i="34"/>
  <c r="C477" i="34"/>
  <c r="D477" i="34"/>
  <c r="E477" i="34"/>
  <c r="F477" i="34"/>
  <c r="B478" i="34"/>
  <c r="C478" i="34"/>
  <c r="D478" i="34"/>
  <c r="E478" i="34"/>
  <c r="F478" i="34"/>
  <c r="B479" i="34"/>
  <c r="C479" i="34"/>
  <c r="D479" i="34"/>
  <c r="E479" i="34"/>
  <c r="F479" i="34"/>
  <c r="B480" i="34"/>
  <c r="C480" i="34"/>
  <c r="D480" i="34"/>
  <c r="E480" i="34"/>
  <c r="F480" i="34"/>
  <c r="B481" i="34"/>
  <c r="C481" i="34"/>
  <c r="D481" i="34"/>
  <c r="E481" i="34"/>
  <c r="F481" i="34"/>
  <c r="B482" i="34"/>
  <c r="C482" i="34"/>
  <c r="D482" i="34"/>
  <c r="E482" i="34"/>
  <c r="F482" i="34"/>
  <c r="B483" i="34"/>
  <c r="C483" i="34"/>
  <c r="D483" i="34"/>
  <c r="E483" i="34"/>
  <c r="F483" i="34"/>
  <c r="B484" i="34"/>
  <c r="C484" i="34"/>
  <c r="D484" i="34"/>
  <c r="E484" i="34"/>
  <c r="F484" i="34"/>
  <c r="B485" i="34"/>
  <c r="C485" i="34"/>
  <c r="D485" i="34"/>
  <c r="E485" i="34"/>
  <c r="F485" i="34"/>
  <c r="B486" i="34"/>
  <c r="C486" i="34"/>
  <c r="D486" i="34"/>
  <c r="E486" i="34"/>
  <c r="F486" i="34"/>
  <c r="B487" i="34"/>
  <c r="C487" i="34"/>
  <c r="D487" i="34"/>
  <c r="E487" i="34"/>
  <c r="F487" i="34"/>
  <c r="B488" i="34"/>
  <c r="C488" i="34"/>
  <c r="D488" i="34"/>
  <c r="E488" i="34"/>
  <c r="F488" i="34"/>
  <c r="B489" i="34"/>
  <c r="C489" i="34"/>
  <c r="D489" i="34"/>
  <c r="E489" i="34"/>
  <c r="F489" i="34"/>
  <c r="B490" i="34"/>
  <c r="C490" i="34"/>
  <c r="D490" i="34"/>
  <c r="E490" i="34"/>
  <c r="F490" i="34"/>
  <c r="B491" i="34"/>
  <c r="C491" i="34"/>
  <c r="D491" i="34"/>
  <c r="E491" i="34"/>
  <c r="F491" i="34"/>
  <c r="B492" i="34"/>
  <c r="C492" i="34"/>
  <c r="D492" i="34"/>
  <c r="E492" i="34"/>
  <c r="F492" i="34"/>
  <c r="B493" i="34"/>
  <c r="C493" i="34"/>
  <c r="D493" i="34"/>
  <c r="E493" i="34"/>
  <c r="F493" i="34"/>
  <c r="B494" i="34"/>
  <c r="C494" i="34"/>
  <c r="D494" i="34"/>
  <c r="E494" i="34"/>
  <c r="F494" i="34"/>
  <c r="B495" i="34"/>
  <c r="C495" i="34"/>
  <c r="D495" i="34"/>
  <c r="E495" i="34"/>
  <c r="F495" i="34"/>
  <c r="B496" i="34"/>
  <c r="C496" i="34"/>
  <c r="D496" i="34"/>
  <c r="E496" i="34"/>
  <c r="F496" i="34"/>
  <c r="B497" i="34"/>
  <c r="C497" i="34"/>
  <c r="D497" i="34"/>
  <c r="E497" i="34"/>
  <c r="F497" i="34"/>
  <c r="B498" i="34"/>
  <c r="C498" i="34"/>
  <c r="D498" i="34"/>
  <c r="E498" i="34"/>
  <c r="F498" i="34"/>
  <c r="B499" i="34"/>
  <c r="C499" i="34"/>
  <c r="D499" i="34"/>
  <c r="E499" i="34"/>
  <c r="F499" i="34"/>
  <c r="B500" i="34"/>
  <c r="C500" i="34"/>
  <c r="D500" i="34"/>
  <c r="E500" i="34"/>
  <c r="F500" i="34"/>
  <c r="B501" i="34"/>
  <c r="C501" i="34"/>
  <c r="D501" i="34"/>
  <c r="E501" i="34"/>
  <c r="F501" i="34"/>
  <c r="B502" i="34"/>
  <c r="C502" i="34"/>
  <c r="D502" i="34"/>
  <c r="E502" i="34"/>
  <c r="F502" i="34"/>
  <c r="B503" i="34"/>
  <c r="C503" i="34"/>
  <c r="D503" i="34"/>
  <c r="E503" i="34"/>
  <c r="F503" i="34"/>
  <c r="B504" i="34"/>
  <c r="C504" i="34"/>
  <c r="D504" i="34"/>
  <c r="E504" i="34"/>
  <c r="F504" i="34"/>
  <c r="B505" i="34"/>
  <c r="C505" i="34"/>
  <c r="D505" i="34"/>
  <c r="E505" i="34"/>
  <c r="F505" i="34"/>
  <c r="B506" i="34"/>
  <c r="C506" i="34"/>
  <c r="D506" i="34"/>
  <c r="E506" i="34"/>
  <c r="F506" i="34"/>
  <c r="B507" i="34"/>
  <c r="C507" i="34"/>
  <c r="D507" i="34"/>
  <c r="E507" i="34"/>
  <c r="F507" i="34"/>
  <c r="B508" i="34"/>
  <c r="C508" i="34"/>
  <c r="D508" i="34"/>
  <c r="E508" i="34"/>
  <c r="F508" i="34"/>
  <c r="B509" i="34"/>
  <c r="C509" i="34"/>
  <c r="D509" i="34"/>
  <c r="E509" i="34"/>
  <c r="F509" i="34"/>
  <c r="B510" i="34"/>
  <c r="C510" i="34"/>
  <c r="D510" i="34"/>
  <c r="E510" i="34"/>
  <c r="F510" i="34"/>
  <c r="B511" i="34"/>
  <c r="C511" i="34"/>
  <c r="D511" i="34"/>
  <c r="E511" i="34"/>
  <c r="F511" i="34"/>
  <c r="B512" i="34"/>
  <c r="C512" i="34"/>
  <c r="D512" i="34"/>
  <c r="E512" i="34"/>
  <c r="F512" i="34"/>
  <c r="B513" i="34"/>
  <c r="C513" i="34"/>
  <c r="D513" i="34"/>
  <c r="E513" i="34"/>
  <c r="F513" i="34"/>
  <c r="B514" i="34"/>
  <c r="C514" i="34"/>
  <c r="D514" i="34"/>
  <c r="E514" i="34"/>
  <c r="F514" i="34"/>
  <c r="B515" i="34"/>
  <c r="C515" i="34"/>
  <c r="D515" i="34"/>
  <c r="E515" i="34"/>
  <c r="F515" i="34"/>
  <c r="B516" i="34"/>
  <c r="C516" i="34"/>
  <c r="D516" i="34"/>
  <c r="E516" i="34"/>
  <c r="F516" i="34"/>
  <c r="B517" i="34"/>
  <c r="C517" i="34"/>
  <c r="D517" i="34"/>
  <c r="E517" i="34"/>
  <c r="F517" i="34"/>
  <c r="B518" i="34"/>
  <c r="C518" i="34"/>
  <c r="D518" i="34"/>
  <c r="E518" i="34"/>
  <c r="F518" i="34"/>
  <c r="B519" i="34"/>
  <c r="C519" i="34"/>
  <c r="D519" i="34"/>
  <c r="E519" i="34"/>
  <c r="F519" i="34"/>
  <c r="B520" i="34"/>
  <c r="C520" i="34"/>
  <c r="D520" i="34"/>
  <c r="E520" i="34"/>
  <c r="F520" i="34"/>
  <c r="B521" i="34"/>
  <c r="C521" i="34"/>
  <c r="D521" i="34"/>
  <c r="E521" i="34"/>
  <c r="F521" i="34"/>
  <c r="B522" i="34"/>
  <c r="C522" i="34"/>
  <c r="D522" i="34"/>
  <c r="E522" i="34"/>
  <c r="F522" i="34"/>
  <c r="B523" i="34"/>
  <c r="C523" i="34"/>
  <c r="D523" i="34"/>
  <c r="E523" i="34"/>
  <c r="F523" i="34"/>
  <c r="B524" i="34"/>
  <c r="C524" i="34"/>
  <c r="D524" i="34"/>
  <c r="E524" i="34"/>
  <c r="F524" i="34"/>
  <c r="B525" i="34"/>
  <c r="C525" i="34"/>
  <c r="D525" i="34"/>
  <c r="E525" i="34"/>
  <c r="F525" i="34"/>
  <c r="B526" i="34"/>
  <c r="C526" i="34"/>
  <c r="D526" i="34"/>
  <c r="E526" i="34"/>
  <c r="F526" i="34"/>
  <c r="B527" i="34"/>
  <c r="C527" i="34"/>
  <c r="D527" i="34"/>
  <c r="E527" i="34"/>
  <c r="F527" i="34"/>
  <c r="B528" i="34"/>
  <c r="C528" i="34"/>
  <c r="D528" i="34"/>
  <c r="E528" i="34"/>
  <c r="F528" i="34"/>
  <c r="B529" i="34"/>
  <c r="C529" i="34"/>
  <c r="D529" i="34"/>
  <c r="E529" i="34"/>
  <c r="F529" i="34"/>
  <c r="B530" i="34"/>
  <c r="C530" i="34"/>
  <c r="D530" i="34"/>
  <c r="E530" i="34"/>
  <c r="F530" i="34"/>
  <c r="B531" i="34"/>
  <c r="C531" i="34"/>
  <c r="D531" i="34"/>
  <c r="E531" i="34"/>
  <c r="F531" i="34"/>
  <c r="B532" i="34"/>
  <c r="C532" i="34"/>
  <c r="D532" i="34"/>
  <c r="E532" i="34"/>
  <c r="F532" i="34"/>
  <c r="B533" i="34"/>
  <c r="C533" i="34"/>
  <c r="D533" i="34"/>
  <c r="E533" i="34"/>
  <c r="F533" i="34"/>
  <c r="B534" i="34"/>
  <c r="C534" i="34"/>
  <c r="D534" i="34"/>
  <c r="E534" i="34"/>
  <c r="F534" i="34"/>
  <c r="B535" i="34"/>
  <c r="C535" i="34"/>
  <c r="D535" i="34"/>
  <c r="E535" i="34"/>
  <c r="F535" i="34"/>
  <c r="B536" i="34"/>
  <c r="C536" i="34"/>
  <c r="D536" i="34"/>
  <c r="E536" i="34"/>
  <c r="F536" i="34"/>
  <c r="B537" i="34"/>
  <c r="C537" i="34"/>
  <c r="D537" i="34"/>
  <c r="E537" i="34"/>
  <c r="F537" i="34"/>
  <c r="B538" i="34"/>
  <c r="C538" i="34"/>
  <c r="D538" i="34"/>
  <c r="E538" i="34"/>
  <c r="F538" i="34"/>
  <c r="B539" i="34"/>
  <c r="C539" i="34"/>
  <c r="D539" i="34"/>
  <c r="E539" i="34"/>
  <c r="F539" i="34"/>
  <c r="B540" i="34"/>
  <c r="C540" i="34"/>
  <c r="D540" i="34"/>
  <c r="E540" i="34"/>
  <c r="F540" i="34"/>
  <c r="B541" i="34"/>
  <c r="C541" i="34"/>
  <c r="D541" i="34"/>
  <c r="E541" i="34"/>
  <c r="F541" i="34"/>
  <c r="B542" i="34"/>
  <c r="C542" i="34"/>
  <c r="D542" i="34"/>
  <c r="E542" i="34"/>
  <c r="F542" i="34"/>
  <c r="B543" i="34"/>
  <c r="C543" i="34"/>
  <c r="D543" i="34"/>
  <c r="E543" i="34"/>
  <c r="F543" i="34"/>
  <c r="B544" i="34"/>
  <c r="C544" i="34"/>
  <c r="D544" i="34"/>
  <c r="E544" i="34"/>
  <c r="F544" i="34"/>
  <c r="B545" i="34"/>
  <c r="C545" i="34"/>
  <c r="D545" i="34"/>
  <c r="E545" i="34"/>
  <c r="F545" i="34"/>
  <c r="B546" i="34"/>
  <c r="C546" i="34"/>
  <c r="D546" i="34"/>
  <c r="E546" i="34"/>
  <c r="F546" i="34"/>
  <c r="B547" i="34"/>
  <c r="C547" i="34"/>
  <c r="D547" i="34"/>
  <c r="E547" i="34"/>
  <c r="F547" i="34"/>
  <c r="B548" i="34"/>
  <c r="C548" i="34"/>
  <c r="D548" i="34"/>
  <c r="E548" i="34"/>
  <c r="F548" i="34"/>
  <c r="B549" i="34"/>
  <c r="C549" i="34"/>
  <c r="D549" i="34"/>
  <c r="E549" i="34"/>
  <c r="F549" i="34"/>
  <c r="B550" i="34"/>
  <c r="C550" i="34"/>
  <c r="D550" i="34"/>
  <c r="E550" i="34"/>
  <c r="F550" i="34"/>
  <c r="B551" i="34"/>
  <c r="C551" i="34"/>
  <c r="D551" i="34"/>
  <c r="E551" i="34"/>
  <c r="F551" i="34"/>
  <c r="B552" i="34"/>
  <c r="C552" i="34"/>
  <c r="D552" i="34"/>
  <c r="E552" i="34"/>
  <c r="F552" i="34"/>
  <c r="B553" i="34"/>
  <c r="C553" i="34"/>
  <c r="D553" i="34"/>
  <c r="E553" i="34"/>
  <c r="F553" i="34"/>
  <c r="B554" i="34"/>
  <c r="C554" i="34"/>
  <c r="D554" i="34"/>
  <c r="E554" i="34"/>
  <c r="F554" i="34"/>
  <c r="B555" i="34"/>
  <c r="C555" i="34"/>
  <c r="D555" i="34"/>
  <c r="E555" i="34"/>
  <c r="F555" i="34"/>
  <c r="B556" i="34"/>
  <c r="C556" i="34"/>
  <c r="D556" i="34"/>
  <c r="E556" i="34"/>
  <c r="F556" i="34"/>
  <c r="B557" i="34"/>
  <c r="C557" i="34"/>
  <c r="D557" i="34"/>
  <c r="E557" i="34"/>
  <c r="F557" i="34"/>
  <c r="B558" i="34"/>
  <c r="C558" i="34"/>
  <c r="D558" i="34"/>
  <c r="E558" i="34"/>
  <c r="F558" i="34"/>
  <c r="B559" i="34"/>
  <c r="C559" i="34"/>
  <c r="D559" i="34"/>
  <c r="E559" i="34"/>
  <c r="F559" i="34"/>
  <c r="B560" i="34"/>
  <c r="C560" i="34"/>
  <c r="D560" i="34"/>
  <c r="E560" i="34"/>
  <c r="F560" i="34"/>
  <c r="B561" i="34"/>
  <c r="C561" i="34"/>
  <c r="D561" i="34"/>
  <c r="E561" i="34"/>
  <c r="F561" i="34"/>
  <c r="B562" i="34"/>
  <c r="C562" i="34"/>
  <c r="D562" i="34"/>
  <c r="E562" i="34"/>
  <c r="F562" i="34"/>
  <c r="B563" i="34"/>
  <c r="C563" i="34"/>
  <c r="D563" i="34"/>
  <c r="E563" i="34"/>
  <c r="F563" i="34"/>
  <c r="B564" i="34"/>
  <c r="C564" i="34"/>
  <c r="D564" i="34"/>
  <c r="E564" i="34"/>
  <c r="F564" i="34"/>
  <c r="B565" i="34"/>
  <c r="C565" i="34"/>
  <c r="D565" i="34"/>
  <c r="E565" i="34"/>
  <c r="F565" i="34"/>
  <c r="B566" i="34"/>
  <c r="C566" i="34"/>
  <c r="D566" i="34"/>
  <c r="E566" i="34"/>
  <c r="F566" i="34"/>
  <c r="B567" i="34"/>
  <c r="C567" i="34"/>
  <c r="D567" i="34"/>
  <c r="E567" i="34"/>
  <c r="F567" i="34"/>
  <c r="B568" i="34"/>
  <c r="C568" i="34"/>
  <c r="D568" i="34"/>
  <c r="E568" i="34"/>
  <c r="F568" i="34"/>
  <c r="B569" i="34"/>
  <c r="C569" i="34"/>
  <c r="D569" i="34"/>
  <c r="E569" i="34"/>
  <c r="F569" i="34"/>
  <c r="B570" i="34"/>
  <c r="C570" i="34"/>
  <c r="D570" i="34"/>
  <c r="E570" i="34"/>
  <c r="F570" i="34"/>
  <c r="B571" i="34"/>
  <c r="C571" i="34"/>
  <c r="D571" i="34"/>
  <c r="E571" i="34"/>
  <c r="F571" i="34"/>
  <c r="B572" i="34"/>
  <c r="C572" i="34"/>
  <c r="D572" i="34"/>
  <c r="E572" i="34"/>
  <c r="F572" i="34"/>
  <c r="B573" i="34"/>
  <c r="C573" i="34"/>
  <c r="D573" i="34"/>
  <c r="E573" i="34"/>
  <c r="F573" i="34"/>
  <c r="B574" i="34"/>
  <c r="C574" i="34"/>
  <c r="D574" i="34"/>
  <c r="E574" i="34"/>
  <c r="F574" i="34"/>
  <c r="B575" i="34"/>
  <c r="C575" i="34"/>
  <c r="D575" i="34"/>
  <c r="E575" i="34"/>
  <c r="F575" i="34"/>
  <c r="B576" i="34"/>
  <c r="C576" i="34"/>
  <c r="D576" i="34"/>
  <c r="E576" i="34"/>
  <c r="F576" i="34"/>
  <c r="B577" i="34"/>
  <c r="C577" i="34"/>
  <c r="D577" i="34"/>
  <c r="E577" i="34"/>
  <c r="F577" i="34"/>
  <c r="B578" i="34"/>
  <c r="C578" i="34"/>
  <c r="D578" i="34"/>
  <c r="E578" i="34"/>
  <c r="F578" i="34"/>
  <c r="B579" i="34"/>
  <c r="C579" i="34"/>
  <c r="D579" i="34"/>
  <c r="E579" i="34"/>
  <c r="F579" i="34"/>
  <c r="B580" i="34"/>
  <c r="C580" i="34"/>
  <c r="D580" i="34"/>
  <c r="E580" i="34"/>
  <c r="F580" i="34"/>
  <c r="B581" i="34"/>
  <c r="C581" i="34"/>
  <c r="D581" i="34"/>
  <c r="E581" i="34"/>
  <c r="F581" i="34"/>
  <c r="B582" i="34"/>
  <c r="C582" i="34"/>
  <c r="D582" i="34"/>
  <c r="E582" i="34"/>
  <c r="F582" i="34"/>
  <c r="B583" i="34"/>
  <c r="C583" i="34"/>
  <c r="D583" i="34"/>
  <c r="E583" i="34"/>
  <c r="F583" i="34"/>
  <c r="B584" i="34"/>
  <c r="C584" i="34"/>
  <c r="D584" i="34"/>
  <c r="E584" i="34"/>
  <c r="F584" i="34"/>
  <c r="B585" i="34"/>
  <c r="C585" i="34"/>
  <c r="D585" i="34"/>
  <c r="E585" i="34"/>
  <c r="F585" i="34"/>
  <c r="B586" i="34"/>
  <c r="C586" i="34"/>
  <c r="D586" i="34"/>
  <c r="E586" i="34"/>
  <c r="F586" i="34"/>
  <c r="B587" i="34"/>
  <c r="C587" i="34"/>
  <c r="D587" i="34"/>
  <c r="E587" i="34"/>
  <c r="F587" i="34"/>
  <c r="B588" i="34"/>
  <c r="C588" i="34"/>
  <c r="D588" i="34"/>
  <c r="E588" i="34"/>
  <c r="F588" i="34"/>
  <c r="B589" i="34"/>
  <c r="C589" i="34"/>
  <c r="D589" i="34"/>
  <c r="E589" i="34"/>
  <c r="F589" i="34"/>
  <c r="B590" i="34"/>
  <c r="C590" i="34"/>
  <c r="D590" i="34"/>
  <c r="E590" i="34"/>
  <c r="F590" i="34"/>
  <c r="C12" i="34"/>
  <c r="D12" i="34"/>
  <c r="E12" i="34"/>
  <c r="F12" i="34"/>
  <c r="B12" i="34"/>
  <c r="O178" i="27" l="1"/>
  <c r="N179" i="27" s="1"/>
  <c r="N190" i="27" s="1"/>
  <c r="N38" i="27" l="1"/>
  <c r="P201" i="27"/>
  <c r="W149" i="31"/>
  <c r="V149" i="31"/>
  <c r="U149" i="31"/>
  <c r="AV133" i="31"/>
  <c r="AW133" i="31" s="1"/>
  <c r="AT133" i="31"/>
  <c r="AU133" i="31" s="1"/>
  <c r="AR133" i="31"/>
  <c r="AS133" i="31" s="1"/>
  <c r="AP133" i="31"/>
  <c r="AQ133" i="31" s="1"/>
  <c r="AN133" i="31"/>
  <c r="AO133" i="31" s="1"/>
  <c r="AV132" i="31"/>
  <c r="AW132" i="31" s="1"/>
  <c r="AT132" i="31"/>
  <c r="AU132" i="31" s="1"/>
  <c r="AR132" i="31"/>
  <c r="AS132" i="31" s="1"/>
  <c r="AP132" i="31"/>
  <c r="AQ132" i="31" s="1"/>
  <c r="AN132" i="31"/>
  <c r="AO132" i="31" s="1"/>
  <c r="AV131" i="31"/>
  <c r="AW131" i="31" s="1"/>
  <c r="AT131" i="31"/>
  <c r="AU131" i="31" s="1"/>
  <c r="AR131" i="31"/>
  <c r="AS131" i="31" s="1"/>
  <c r="AP131" i="31"/>
  <c r="AQ131" i="31" s="1"/>
  <c r="AN131" i="31"/>
  <c r="AO131" i="31" s="1"/>
  <c r="AV130" i="31"/>
  <c r="AW130" i="31" s="1"/>
  <c r="AT130" i="31"/>
  <c r="AU130" i="31" s="1"/>
  <c r="AR130" i="31"/>
  <c r="AS130" i="31" s="1"/>
  <c r="AP130" i="31"/>
  <c r="AQ130" i="31" s="1"/>
  <c r="AN130" i="31"/>
  <c r="AO130" i="31" s="1"/>
  <c r="AV129" i="31"/>
  <c r="AW129" i="31" s="1"/>
  <c r="AT129" i="31"/>
  <c r="AU129" i="31" s="1"/>
  <c r="AR129" i="31"/>
  <c r="AS129" i="31" s="1"/>
  <c r="AP129" i="31"/>
  <c r="AQ129" i="31" s="1"/>
  <c r="AN129" i="31"/>
  <c r="AO129" i="31" s="1"/>
  <c r="AV128" i="31"/>
  <c r="AW128" i="31" s="1"/>
  <c r="AT128" i="31"/>
  <c r="AU128" i="31" s="1"/>
  <c r="AR128" i="31"/>
  <c r="AS128" i="31" s="1"/>
  <c r="AP128" i="31"/>
  <c r="AQ128" i="31" s="1"/>
  <c r="AN128" i="31"/>
  <c r="AO128" i="31" s="1"/>
  <c r="AV127" i="31"/>
  <c r="AW127" i="31" s="1"/>
  <c r="AT127" i="31"/>
  <c r="AU127" i="31" s="1"/>
  <c r="AR127" i="31"/>
  <c r="AS127" i="31" s="1"/>
  <c r="AP127" i="31"/>
  <c r="AQ127" i="31" s="1"/>
  <c r="AN127" i="31"/>
  <c r="AO127" i="31" s="1"/>
  <c r="AV126" i="31"/>
  <c r="AW126" i="31" s="1"/>
  <c r="AT126" i="31"/>
  <c r="AU126" i="31" s="1"/>
  <c r="AR126" i="31"/>
  <c r="AP126" i="31"/>
  <c r="AQ126" i="31" s="1"/>
  <c r="AN126" i="31"/>
  <c r="AO126" i="31" s="1"/>
  <c r="AV100" i="31"/>
  <c r="AW100" i="31" s="1"/>
  <c r="AT100" i="31"/>
  <c r="AU100" i="31" s="1"/>
  <c r="AR100" i="31"/>
  <c r="AS100" i="31" s="1"/>
  <c r="AP100" i="31"/>
  <c r="AQ100" i="31" s="1"/>
  <c r="AN100" i="31"/>
  <c r="AO100" i="31" s="1"/>
  <c r="AV99" i="31"/>
  <c r="AW99" i="31" s="1"/>
  <c r="AT99" i="31"/>
  <c r="AU99" i="31" s="1"/>
  <c r="AR99" i="31"/>
  <c r="AS99" i="31" s="1"/>
  <c r="AP99" i="31"/>
  <c r="AQ99" i="31" s="1"/>
  <c r="AN99" i="31"/>
  <c r="AO99" i="31" s="1"/>
  <c r="AV98" i="31"/>
  <c r="AW98" i="31" s="1"/>
  <c r="AT98" i="31"/>
  <c r="AU98" i="31" s="1"/>
  <c r="AR98" i="31"/>
  <c r="AS98" i="31" s="1"/>
  <c r="AP98" i="31"/>
  <c r="AQ98" i="31" s="1"/>
  <c r="AN98" i="31"/>
  <c r="AO98" i="31" s="1"/>
  <c r="AV97" i="31"/>
  <c r="AW97" i="31" s="1"/>
  <c r="AT97" i="31"/>
  <c r="AU97" i="31" s="1"/>
  <c r="AR97" i="31"/>
  <c r="AS97" i="31" s="1"/>
  <c r="AP97" i="31"/>
  <c r="AQ97" i="31" s="1"/>
  <c r="AN97" i="31"/>
  <c r="AO97" i="31" s="1"/>
  <c r="AV96" i="31"/>
  <c r="AW96" i="31" s="1"/>
  <c r="AT96" i="31"/>
  <c r="AU96" i="31" s="1"/>
  <c r="AR96" i="31"/>
  <c r="AS96" i="31" s="1"/>
  <c r="AP96" i="31"/>
  <c r="AQ96" i="31" s="1"/>
  <c r="AN96" i="31"/>
  <c r="AO96" i="31" s="1"/>
  <c r="AV95" i="31"/>
  <c r="AW95" i="31" s="1"/>
  <c r="AT95" i="31"/>
  <c r="AU95" i="31" s="1"/>
  <c r="AR95" i="31"/>
  <c r="AS95" i="31" s="1"/>
  <c r="AP95" i="31"/>
  <c r="AQ95" i="31" s="1"/>
  <c r="AN95" i="31"/>
  <c r="AO95" i="31" s="1"/>
  <c r="AV94" i="31"/>
  <c r="AW94" i="31" s="1"/>
  <c r="AT94" i="31"/>
  <c r="AU94" i="31" s="1"/>
  <c r="AR94" i="31"/>
  <c r="AS94" i="31" s="1"/>
  <c r="AP94" i="31"/>
  <c r="AQ94" i="31" s="1"/>
  <c r="AN94" i="31"/>
  <c r="AO94" i="31" s="1"/>
  <c r="AV93" i="31"/>
  <c r="AW93" i="31" s="1"/>
  <c r="AT93" i="31"/>
  <c r="AU93" i="31" s="1"/>
  <c r="AR93" i="31"/>
  <c r="AS93" i="31" s="1"/>
  <c r="AP93" i="31"/>
  <c r="AQ93" i="31" s="1"/>
  <c r="AN93" i="31"/>
  <c r="AO93" i="31" s="1"/>
  <c r="W116" i="31"/>
  <c r="V116" i="31"/>
  <c r="U116" i="31"/>
  <c r="Y84" i="31"/>
  <c r="X84" i="31"/>
  <c r="W84" i="31"/>
  <c r="V84" i="31"/>
  <c r="U84" i="31"/>
  <c r="AV26" i="31"/>
  <c r="AW26" i="31" s="1"/>
  <c r="AV27" i="31"/>
  <c r="AW27" i="31" s="1"/>
  <c r="AV28" i="31"/>
  <c r="AW28" i="31" s="1"/>
  <c r="AV29" i="31"/>
  <c r="AW29" i="31" s="1"/>
  <c r="AV30" i="31"/>
  <c r="AW30" i="31" s="1"/>
  <c r="AV31" i="31"/>
  <c r="AW31" i="31" s="1"/>
  <c r="AV32" i="31"/>
  <c r="AW32" i="31" s="1"/>
  <c r="AV33" i="31"/>
  <c r="AW33" i="31" s="1"/>
  <c r="AV34" i="31"/>
  <c r="AW34" i="31" s="1"/>
  <c r="AV35" i="31"/>
  <c r="AW35" i="31" s="1"/>
  <c r="AV36" i="31"/>
  <c r="AW36" i="31" s="1"/>
  <c r="AV37" i="31"/>
  <c r="AW37" i="31" s="1"/>
  <c r="AV38" i="31"/>
  <c r="AW38" i="31" s="1"/>
  <c r="AV39" i="31"/>
  <c r="AW39" i="31" s="1"/>
  <c r="AV40" i="31"/>
  <c r="AW40" i="31" s="1"/>
  <c r="AV41" i="31"/>
  <c r="AW41" i="31" s="1"/>
  <c r="AV42" i="31"/>
  <c r="AW42" i="31" s="1"/>
  <c r="AV43" i="31"/>
  <c r="AW43" i="31" s="1"/>
  <c r="AV44" i="31"/>
  <c r="AW44" i="31" s="1"/>
  <c r="AV45" i="31"/>
  <c r="AW45" i="31" s="1"/>
  <c r="AV46" i="31"/>
  <c r="AW46" i="31" s="1"/>
  <c r="AV47" i="31"/>
  <c r="AW47" i="31" s="1"/>
  <c r="AV48" i="31"/>
  <c r="AW48" i="31" s="1"/>
  <c r="AV49" i="31"/>
  <c r="AW49" i="31" s="1"/>
  <c r="AV50" i="31"/>
  <c r="AW50" i="31" s="1"/>
  <c r="AV51" i="31"/>
  <c r="AW51" i="31" s="1"/>
  <c r="AV52" i="31"/>
  <c r="AW52" i="31" s="1"/>
  <c r="AV53" i="31"/>
  <c r="AW53" i="31" s="1"/>
  <c r="AV54" i="31"/>
  <c r="AW54" i="31" s="1"/>
  <c r="AV55" i="31"/>
  <c r="AW55" i="31" s="1"/>
  <c r="AV56" i="31"/>
  <c r="AW56" i="31" s="1"/>
  <c r="AV57" i="31"/>
  <c r="AW57" i="31" s="1"/>
  <c r="AV58" i="31"/>
  <c r="AW58" i="31" s="1"/>
  <c r="AV59" i="31"/>
  <c r="AW59" i="31" s="1"/>
  <c r="AV60" i="31"/>
  <c r="AW60" i="31" s="1"/>
  <c r="AV61" i="31"/>
  <c r="AW61" i="31" s="1"/>
  <c r="AV62" i="31"/>
  <c r="AW62" i="31" s="1"/>
  <c r="AV63" i="31"/>
  <c r="AW63" i="31" s="1"/>
  <c r="AV64" i="31"/>
  <c r="AW64" i="31" s="1"/>
  <c r="AV65" i="31"/>
  <c r="AW65" i="31" s="1"/>
  <c r="AV66" i="31"/>
  <c r="AW66" i="31" s="1"/>
  <c r="AV67" i="31"/>
  <c r="AW67" i="31" s="1"/>
  <c r="AV68" i="31"/>
  <c r="AW68" i="31" s="1"/>
  <c r="AV25" i="31"/>
  <c r="AW25" i="31" s="1"/>
  <c r="AT26" i="31"/>
  <c r="AU26" i="31" s="1"/>
  <c r="AT27" i="31"/>
  <c r="AU27" i="31" s="1"/>
  <c r="AT28" i="31"/>
  <c r="AU28" i="31" s="1"/>
  <c r="AT29" i="31"/>
  <c r="AU29" i="31" s="1"/>
  <c r="AT30" i="31"/>
  <c r="AU30" i="31" s="1"/>
  <c r="AT31" i="31"/>
  <c r="AU31" i="31" s="1"/>
  <c r="AT32" i="31"/>
  <c r="AU32" i="31" s="1"/>
  <c r="AT33" i="31"/>
  <c r="AU33" i="31" s="1"/>
  <c r="AT34" i="31"/>
  <c r="AU34" i="31" s="1"/>
  <c r="AT35" i="31"/>
  <c r="AU35" i="31" s="1"/>
  <c r="AT36" i="31"/>
  <c r="AU36" i="31" s="1"/>
  <c r="AT37" i="31"/>
  <c r="AU37" i="31" s="1"/>
  <c r="AT38" i="31"/>
  <c r="AU38" i="31" s="1"/>
  <c r="AT39" i="31"/>
  <c r="AU39" i="31" s="1"/>
  <c r="AT40" i="31"/>
  <c r="AU40" i="31" s="1"/>
  <c r="AT41" i="31"/>
  <c r="AU41" i="31" s="1"/>
  <c r="AT42" i="31"/>
  <c r="AU42" i="31" s="1"/>
  <c r="AT43" i="31"/>
  <c r="AU43" i="31" s="1"/>
  <c r="AT44" i="31"/>
  <c r="AU44" i="31" s="1"/>
  <c r="AT45" i="31"/>
  <c r="AU45" i="31" s="1"/>
  <c r="AT46" i="31"/>
  <c r="AU46" i="31" s="1"/>
  <c r="AT47" i="31"/>
  <c r="AU47" i="31" s="1"/>
  <c r="AT48" i="31"/>
  <c r="AU48" i="31" s="1"/>
  <c r="AT49" i="31"/>
  <c r="AU49" i="31" s="1"/>
  <c r="AT50" i="31"/>
  <c r="AU50" i="31" s="1"/>
  <c r="AT51" i="31"/>
  <c r="AU51" i="31" s="1"/>
  <c r="AT52" i="31"/>
  <c r="AU52" i="31" s="1"/>
  <c r="AT53" i="31"/>
  <c r="AU53" i="31" s="1"/>
  <c r="AT54" i="31"/>
  <c r="AU54" i="31" s="1"/>
  <c r="AT55" i="31"/>
  <c r="AU55" i="31" s="1"/>
  <c r="AT56" i="31"/>
  <c r="AU56" i="31" s="1"/>
  <c r="AT57" i="31"/>
  <c r="AU57" i="31" s="1"/>
  <c r="AT58" i="31"/>
  <c r="AU58" i="31" s="1"/>
  <c r="AT59" i="31"/>
  <c r="AU59" i="31" s="1"/>
  <c r="AT60" i="31"/>
  <c r="AU60" i="31" s="1"/>
  <c r="AT61" i="31"/>
  <c r="AU61" i="31" s="1"/>
  <c r="AT62" i="31"/>
  <c r="AU62" i="31" s="1"/>
  <c r="AT63" i="31"/>
  <c r="AU63" i="31" s="1"/>
  <c r="AT64" i="31"/>
  <c r="AU64" i="31" s="1"/>
  <c r="AT65" i="31"/>
  <c r="AU65" i="31" s="1"/>
  <c r="AT66" i="31"/>
  <c r="AU66" i="31" s="1"/>
  <c r="AT67" i="31"/>
  <c r="AU67" i="31" s="1"/>
  <c r="AT68" i="31"/>
  <c r="AU68" i="31" s="1"/>
  <c r="AT25" i="31"/>
  <c r="AU25" i="31" s="1"/>
  <c r="AR26" i="31"/>
  <c r="AS26" i="31" s="1"/>
  <c r="AR27" i="31"/>
  <c r="AS27" i="31" s="1"/>
  <c r="AR28" i="31"/>
  <c r="AS28" i="31" s="1"/>
  <c r="AR29" i="31"/>
  <c r="AS29" i="31" s="1"/>
  <c r="AR30" i="31"/>
  <c r="AS30" i="31" s="1"/>
  <c r="AR31" i="31"/>
  <c r="AS31" i="31" s="1"/>
  <c r="AR32" i="31"/>
  <c r="AS32" i="31" s="1"/>
  <c r="AR33" i="31"/>
  <c r="AS33" i="31" s="1"/>
  <c r="AR34" i="31"/>
  <c r="AS34" i="31" s="1"/>
  <c r="AR35" i="31"/>
  <c r="AS35" i="31" s="1"/>
  <c r="AR36" i="31"/>
  <c r="AS36" i="31" s="1"/>
  <c r="AR37" i="31"/>
  <c r="AS37" i="31" s="1"/>
  <c r="AR38" i="31"/>
  <c r="AS38" i="31" s="1"/>
  <c r="AR39" i="31"/>
  <c r="AS39" i="31" s="1"/>
  <c r="AR40" i="31"/>
  <c r="AS40" i="31" s="1"/>
  <c r="AR41" i="31"/>
  <c r="AS41" i="31" s="1"/>
  <c r="AR42" i="31"/>
  <c r="AS42" i="31" s="1"/>
  <c r="AR43" i="31"/>
  <c r="AS43" i="31" s="1"/>
  <c r="AR44" i="31"/>
  <c r="AS44" i="31" s="1"/>
  <c r="AR45" i="31"/>
  <c r="AS45" i="31" s="1"/>
  <c r="AR46" i="31"/>
  <c r="AS46" i="31" s="1"/>
  <c r="AR47" i="31"/>
  <c r="AS47" i="31" s="1"/>
  <c r="AR48" i="31"/>
  <c r="AS48" i="31" s="1"/>
  <c r="AR49" i="31"/>
  <c r="AS49" i="31" s="1"/>
  <c r="AR50" i="31"/>
  <c r="AS50" i="31" s="1"/>
  <c r="AR51" i="31"/>
  <c r="AS51" i="31" s="1"/>
  <c r="AR52" i="31"/>
  <c r="AS52" i="31" s="1"/>
  <c r="AR53" i="31"/>
  <c r="AS53" i="31" s="1"/>
  <c r="AR54" i="31"/>
  <c r="AS54" i="31" s="1"/>
  <c r="AR55" i="31"/>
  <c r="AS55" i="31" s="1"/>
  <c r="AR56" i="31"/>
  <c r="AS56" i="31" s="1"/>
  <c r="AR57" i="31"/>
  <c r="AS57" i="31" s="1"/>
  <c r="AR58" i="31"/>
  <c r="AS58" i="31" s="1"/>
  <c r="AR59" i="31"/>
  <c r="AS59" i="31" s="1"/>
  <c r="AR60" i="31"/>
  <c r="AS60" i="31" s="1"/>
  <c r="AR61" i="31"/>
  <c r="AS61" i="31" s="1"/>
  <c r="AR62" i="31"/>
  <c r="AS62" i="31" s="1"/>
  <c r="AR63" i="31"/>
  <c r="AS63" i="31" s="1"/>
  <c r="AR64" i="31"/>
  <c r="AS64" i="31" s="1"/>
  <c r="AR65" i="31"/>
  <c r="AS65" i="31" s="1"/>
  <c r="AR66" i="31"/>
  <c r="AS66" i="31" s="1"/>
  <c r="AR67" i="31"/>
  <c r="AS67" i="31" s="1"/>
  <c r="AR68" i="31"/>
  <c r="AS68" i="31" s="1"/>
  <c r="AR25" i="31"/>
  <c r="AP26" i="31"/>
  <c r="AQ26" i="31" s="1"/>
  <c r="AP27" i="31"/>
  <c r="AQ27" i="31" s="1"/>
  <c r="AP28" i="31"/>
  <c r="AQ28" i="31" s="1"/>
  <c r="AP29" i="31"/>
  <c r="AQ29" i="31" s="1"/>
  <c r="AP30" i="31"/>
  <c r="AQ30" i="31" s="1"/>
  <c r="AP31" i="31"/>
  <c r="AQ31" i="31" s="1"/>
  <c r="AP32" i="31"/>
  <c r="AQ32" i="31" s="1"/>
  <c r="AP33" i="31"/>
  <c r="AQ33" i="31" s="1"/>
  <c r="AP34" i="31"/>
  <c r="AQ34" i="31" s="1"/>
  <c r="AP35" i="31"/>
  <c r="AQ35" i="31" s="1"/>
  <c r="AP36" i="31"/>
  <c r="AQ36" i="31" s="1"/>
  <c r="AP37" i="31"/>
  <c r="AQ37" i="31" s="1"/>
  <c r="AP38" i="31"/>
  <c r="AQ38" i="31" s="1"/>
  <c r="AP39" i="31"/>
  <c r="AQ39" i="31" s="1"/>
  <c r="AP40" i="31"/>
  <c r="AQ40" i="31" s="1"/>
  <c r="AP41" i="31"/>
  <c r="AQ41" i="31" s="1"/>
  <c r="AP42" i="31"/>
  <c r="AQ42" i="31" s="1"/>
  <c r="AP43" i="31"/>
  <c r="AQ43" i="31" s="1"/>
  <c r="AP44" i="31"/>
  <c r="AQ44" i="31" s="1"/>
  <c r="AP45" i="31"/>
  <c r="AQ45" i="31" s="1"/>
  <c r="AP46" i="31"/>
  <c r="AQ46" i="31" s="1"/>
  <c r="AP47" i="31"/>
  <c r="AQ47" i="31" s="1"/>
  <c r="AP48" i="31"/>
  <c r="AQ48" i="31" s="1"/>
  <c r="AP49" i="31"/>
  <c r="AQ49" i="31" s="1"/>
  <c r="AP50" i="31"/>
  <c r="AQ50" i="31" s="1"/>
  <c r="AP51" i="31"/>
  <c r="AQ51" i="31" s="1"/>
  <c r="AP52" i="31"/>
  <c r="AQ52" i="31" s="1"/>
  <c r="AP53" i="31"/>
  <c r="AQ53" i="31" s="1"/>
  <c r="AP54" i="31"/>
  <c r="AQ54" i="31" s="1"/>
  <c r="AP55" i="31"/>
  <c r="AQ55" i="31" s="1"/>
  <c r="AP56" i="31"/>
  <c r="AQ56" i="31" s="1"/>
  <c r="AP57" i="31"/>
  <c r="AQ57" i="31" s="1"/>
  <c r="AP58" i="31"/>
  <c r="AQ58" i="31" s="1"/>
  <c r="AP59" i="31"/>
  <c r="AQ59" i="31" s="1"/>
  <c r="AP60" i="31"/>
  <c r="AQ60" i="31" s="1"/>
  <c r="AP61" i="31"/>
  <c r="AQ61" i="31" s="1"/>
  <c r="AP62" i="31"/>
  <c r="AQ62" i="31" s="1"/>
  <c r="AP63" i="31"/>
  <c r="AQ63" i="31" s="1"/>
  <c r="AP64" i="31"/>
  <c r="AQ64" i="31" s="1"/>
  <c r="AP65" i="31"/>
  <c r="AQ65" i="31" s="1"/>
  <c r="AP66" i="31"/>
  <c r="AQ66" i="31" s="1"/>
  <c r="AP67" i="31"/>
  <c r="AQ67" i="31" s="1"/>
  <c r="AP68" i="31"/>
  <c r="AQ68" i="31" s="1"/>
  <c r="AP25" i="31"/>
  <c r="AQ25" i="31" s="1"/>
  <c r="AN26" i="31"/>
  <c r="AO26" i="31" s="1"/>
  <c r="AN27" i="31"/>
  <c r="AO27" i="31" s="1"/>
  <c r="AN28" i="31"/>
  <c r="AO28" i="31" s="1"/>
  <c r="AN29" i="31"/>
  <c r="AO29" i="31" s="1"/>
  <c r="AN30" i="31"/>
  <c r="AO30" i="31" s="1"/>
  <c r="AN31" i="31"/>
  <c r="AO31" i="31" s="1"/>
  <c r="AN32" i="31"/>
  <c r="AO32" i="31" s="1"/>
  <c r="AN33" i="31"/>
  <c r="AO33" i="31" s="1"/>
  <c r="AN34" i="31"/>
  <c r="AO34" i="31" s="1"/>
  <c r="AN35" i="31"/>
  <c r="AO35" i="31" s="1"/>
  <c r="AN36" i="31"/>
  <c r="AO36" i="31" s="1"/>
  <c r="AN37" i="31"/>
  <c r="AO37" i="31" s="1"/>
  <c r="AN38" i="31"/>
  <c r="AO38" i="31" s="1"/>
  <c r="AN39" i="31"/>
  <c r="AO39" i="31" s="1"/>
  <c r="AN40" i="31"/>
  <c r="AO40" i="31" s="1"/>
  <c r="AN41" i="31"/>
  <c r="AO41" i="31" s="1"/>
  <c r="AN42" i="31"/>
  <c r="AO42" i="31" s="1"/>
  <c r="AN43" i="31"/>
  <c r="AO43" i="31" s="1"/>
  <c r="AN44" i="31"/>
  <c r="AO44" i="31" s="1"/>
  <c r="AN45" i="31"/>
  <c r="AO45" i="31" s="1"/>
  <c r="AN46" i="31"/>
  <c r="AO46" i="31" s="1"/>
  <c r="AN47" i="31"/>
  <c r="AO47" i="31" s="1"/>
  <c r="AN48" i="31"/>
  <c r="AO48" i="31" s="1"/>
  <c r="AN49" i="31"/>
  <c r="AO49" i="31" s="1"/>
  <c r="AN50" i="31"/>
  <c r="AO50" i="31" s="1"/>
  <c r="AN51" i="31"/>
  <c r="AO51" i="31" s="1"/>
  <c r="AN52" i="31"/>
  <c r="AO52" i="31" s="1"/>
  <c r="AN53" i="31"/>
  <c r="AO53" i="31" s="1"/>
  <c r="AN54" i="31"/>
  <c r="AO54" i="31" s="1"/>
  <c r="AN55" i="31"/>
  <c r="AO55" i="31" s="1"/>
  <c r="AN56" i="31"/>
  <c r="AO56" i="31" s="1"/>
  <c r="AN57" i="31"/>
  <c r="AO57" i="31" s="1"/>
  <c r="AN58" i="31"/>
  <c r="AO58" i="31" s="1"/>
  <c r="AN59" i="31"/>
  <c r="AO59" i="31" s="1"/>
  <c r="AN60" i="31"/>
  <c r="AO60" i="31" s="1"/>
  <c r="AN61" i="31"/>
  <c r="AO61" i="31" s="1"/>
  <c r="AN62" i="31"/>
  <c r="AO62" i="31" s="1"/>
  <c r="AN63" i="31"/>
  <c r="AO63" i="31" s="1"/>
  <c r="AN64" i="31"/>
  <c r="AO64" i="31" s="1"/>
  <c r="AN65" i="31"/>
  <c r="AO65" i="31" s="1"/>
  <c r="AN66" i="31"/>
  <c r="AO66" i="31" s="1"/>
  <c r="AN67" i="31"/>
  <c r="AO67" i="31" s="1"/>
  <c r="AN68" i="31"/>
  <c r="AO68" i="31" s="1"/>
  <c r="AN25" i="31"/>
  <c r="AO25" i="31" s="1"/>
  <c r="X69" i="31"/>
  <c r="N36" i="26"/>
  <c r="AB69" i="26"/>
  <c r="C70" i="26" s="1"/>
  <c r="AD69" i="26"/>
  <c r="E70" i="26" s="1"/>
  <c r="AE69" i="26"/>
  <c r="F70" i="26" s="1"/>
  <c r="AA69" i="26"/>
  <c r="B70" i="26" s="1"/>
  <c r="Y81" i="26"/>
  <c r="X81" i="26"/>
  <c r="W81" i="26"/>
  <c r="V81" i="26"/>
  <c r="U81" i="26"/>
  <c r="AC69" i="26"/>
  <c r="D70" i="26" s="1"/>
  <c r="Y68" i="26"/>
  <c r="X68" i="26"/>
  <c r="W68" i="26"/>
  <c r="W69" i="26" s="1"/>
  <c r="D69" i="26" s="1"/>
  <c r="V68" i="26"/>
  <c r="U68" i="26"/>
  <c r="Y54" i="26"/>
  <c r="X54" i="26"/>
  <c r="W54" i="26"/>
  <c r="V54" i="26"/>
  <c r="U54" i="26"/>
  <c r="U43" i="26"/>
  <c r="Y43" i="26"/>
  <c r="X43" i="26"/>
  <c r="W43" i="26"/>
  <c r="V43" i="26"/>
  <c r="R58" i="27" l="1"/>
  <c r="T48" i="27"/>
  <c r="AF49" i="27" s="1"/>
  <c r="AF50" i="27" s="1"/>
  <c r="F50" i="27" s="1"/>
  <c r="P48" i="27"/>
  <c r="AB49" i="27" s="1"/>
  <c r="AB50" i="27" s="1"/>
  <c r="B50" i="27" s="1"/>
  <c r="T58" i="27"/>
  <c r="T60" i="27" s="1"/>
  <c r="Q58" i="27"/>
  <c r="S48" i="27"/>
  <c r="Y49" i="27" s="1"/>
  <c r="Y50" i="27" s="1"/>
  <c r="E52" i="27" s="1"/>
  <c r="P58" i="27"/>
  <c r="P60" i="27" s="1"/>
  <c r="S58" i="27"/>
  <c r="S60" i="27" s="1"/>
  <c r="R48" i="27"/>
  <c r="Q48" i="27"/>
  <c r="AC49" i="27" s="1"/>
  <c r="AC50" i="27" s="1"/>
  <c r="C50" i="27" s="1"/>
  <c r="V69" i="26"/>
  <c r="C69" i="26" s="1"/>
  <c r="AD59" i="27"/>
  <c r="AD60" i="27" s="1"/>
  <c r="D58" i="27" s="1"/>
  <c r="X59" i="27"/>
  <c r="X60" i="27" s="1"/>
  <c r="D60" i="27" s="1"/>
  <c r="R60" i="27"/>
  <c r="W49" i="27"/>
  <c r="W50" i="27" s="1"/>
  <c r="C52" i="27" s="1"/>
  <c r="V49" i="27"/>
  <c r="V50" i="27" s="1"/>
  <c r="B52" i="27" s="1"/>
  <c r="AE59" i="27"/>
  <c r="AE60" i="27" s="1"/>
  <c r="E58" i="27" s="1"/>
  <c r="AD49" i="27"/>
  <c r="AD50" i="27" s="1"/>
  <c r="D50" i="27" s="1"/>
  <c r="X49" i="27"/>
  <c r="X50" i="27" s="1"/>
  <c r="D52" i="27" s="1"/>
  <c r="R50" i="27"/>
  <c r="AF59" i="27"/>
  <c r="AF60" i="27" s="1"/>
  <c r="F58" i="27" s="1"/>
  <c r="AC59" i="27"/>
  <c r="AC60" i="27" s="1"/>
  <c r="C58" i="27" s="1"/>
  <c r="W59" i="27"/>
  <c r="W60" i="27" s="1"/>
  <c r="C60" i="27" s="1"/>
  <c r="Q60" i="27"/>
  <c r="AU134" i="31"/>
  <c r="R149" i="31" s="1"/>
  <c r="AD150" i="31" s="1"/>
  <c r="E151" i="31" s="1"/>
  <c r="AO134" i="31"/>
  <c r="O149" i="31" s="1"/>
  <c r="AA150" i="31" s="1"/>
  <c r="B151" i="31" s="1"/>
  <c r="AV134" i="31"/>
  <c r="AR134" i="31"/>
  <c r="AR69" i="31"/>
  <c r="AS25" i="31"/>
  <c r="AO101" i="31"/>
  <c r="O116" i="31" s="1"/>
  <c r="AA117" i="31" s="1"/>
  <c r="B118" i="31" s="1"/>
  <c r="AW101" i="31"/>
  <c r="S116" i="31" s="1"/>
  <c r="AE117" i="31" s="1"/>
  <c r="F118" i="31" s="1"/>
  <c r="AN134" i="31"/>
  <c r="AS126" i="31"/>
  <c r="AS134" i="31" s="1"/>
  <c r="Q149" i="31" s="1"/>
  <c r="AW134" i="31"/>
  <c r="S149" i="31" s="1"/>
  <c r="AE150" i="31" s="1"/>
  <c r="F151" i="31" s="1"/>
  <c r="AQ134" i="31"/>
  <c r="P149" i="31" s="1"/>
  <c r="AB150" i="31" s="1"/>
  <c r="C151" i="31" s="1"/>
  <c r="AT134" i="31"/>
  <c r="AP134" i="31"/>
  <c r="AQ101" i="31"/>
  <c r="P116" i="31" s="1"/>
  <c r="AB117" i="31" s="1"/>
  <c r="C118" i="31" s="1"/>
  <c r="AS101" i="31"/>
  <c r="Q116" i="31" s="1"/>
  <c r="W117" i="31" s="1"/>
  <c r="D117" i="31" s="1"/>
  <c r="AU101" i="31"/>
  <c r="R116" i="31" s="1"/>
  <c r="AD117" i="31" s="1"/>
  <c r="E118" i="31" s="1"/>
  <c r="AP101" i="31"/>
  <c r="AN101" i="31"/>
  <c r="AV101" i="31"/>
  <c r="AR101" i="31"/>
  <c r="AT101" i="31"/>
  <c r="AP69" i="31"/>
  <c r="AV69" i="31"/>
  <c r="AN69" i="31"/>
  <c r="AT69" i="31"/>
  <c r="X69" i="26"/>
  <c r="E69" i="26" s="1"/>
  <c r="Y69" i="26"/>
  <c r="F69" i="26" s="1"/>
  <c r="U69" i="26"/>
  <c r="B69" i="26" s="1"/>
  <c r="Y59" i="27" l="1"/>
  <c r="Y60" i="27" s="1"/>
  <c r="E60" i="27" s="1"/>
  <c r="P50" i="27"/>
  <c r="S50" i="27"/>
  <c r="T50" i="27"/>
  <c r="AE49" i="27"/>
  <c r="AE50" i="27" s="1"/>
  <c r="E50" i="27" s="1"/>
  <c r="Q50" i="27"/>
  <c r="Z49" i="27"/>
  <c r="Z50" i="27" s="1"/>
  <c r="F52" i="27" s="1"/>
  <c r="Z59" i="27"/>
  <c r="Z60" i="27" s="1"/>
  <c r="F60" i="27" s="1"/>
  <c r="V59" i="27"/>
  <c r="V60" i="27" s="1"/>
  <c r="B60" i="27" s="1"/>
  <c r="AB59" i="27"/>
  <c r="AB60" i="27" s="1"/>
  <c r="B58" i="27" s="1"/>
  <c r="AC62" i="27"/>
  <c r="X150" i="31"/>
  <c r="AC150" i="31"/>
  <c r="D151" i="31" s="1"/>
  <c r="W150" i="31"/>
  <c r="D150" i="31" s="1"/>
  <c r="X117" i="31"/>
  <c r="Y150" i="31"/>
  <c r="F150" i="31" s="1"/>
  <c r="U150" i="31"/>
  <c r="B150" i="31" s="1"/>
  <c r="U117" i="31"/>
  <c r="B117" i="31" s="1"/>
  <c r="V150" i="31"/>
  <c r="C150" i="31" s="1"/>
  <c r="AC117" i="31"/>
  <c r="D118" i="31" s="1"/>
  <c r="Y117" i="31"/>
  <c r="F117" i="31" s="1"/>
  <c r="V117" i="31"/>
  <c r="C117" i="31" s="1"/>
  <c r="AI69" i="26"/>
  <c r="E150" i="31" l="1"/>
  <c r="AY150" i="31"/>
  <c r="AY117" i="31"/>
  <c r="E117" i="31"/>
  <c r="N187" i="27"/>
  <c r="S201" i="27" l="1"/>
  <c r="Q201" i="27" l="1"/>
  <c r="T201" i="27"/>
  <c r="R201" i="27"/>
  <c r="S890" i="12"/>
  <c r="S848" i="12"/>
  <c r="U706" i="12"/>
  <c r="U704" i="12"/>
  <c r="U590" i="12"/>
  <c r="U589" i="12"/>
  <c r="U588" i="12"/>
  <c r="U587" i="12"/>
  <c r="U399" i="12"/>
  <c r="U400" i="12"/>
  <c r="U401" i="12"/>
  <c r="U398" i="12"/>
  <c r="U395" i="12"/>
  <c r="S307" i="12"/>
  <c r="S203" i="12"/>
  <c r="S141" i="12"/>
  <c r="A199" i="5"/>
  <c r="A198" i="5"/>
  <c r="M195" i="5"/>
  <c r="N195" i="5"/>
  <c r="O195" i="5"/>
  <c r="P195" i="5"/>
  <c r="Q195" i="5"/>
  <c r="R195" i="5"/>
  <c r="S195" i="5"/>
  <c r="T195" i="5"/>
  <c r="U195" i="5"/>
  <c r="I200" i="5" s="1"/>
  <c r="K200" i="5" s="1"/>
  <c r="L195" i="5"/>
  <c r="M194" i="5"/>
  <c r="N194" i="5"/>
  <c r="O194" i="5"/>
  <c r="P194" i="5"/>
  <c r="Q194" i="5"/>
  <c r="R194" i="5"/>
  <c r="S194" i="5"/>
  <c r="T194" i="5"/>
  <c r="U194" i="5"/>
  <c r="L194" i="5"/>
  <c r="M193" i="5"/>
  <c r="N193" i="5"/>
  <c r="O193" i="5"/>
  <c r="P193" i="5"/>
  <c r="Q193" i="5"/>
  <c r="R193" i="5"/>
  <c r="S193" i="5"/>
  <c r="T193" i="5"/>
  <c r="U193" i="5"/>
  <c r="L193" i="5"/>
  <c r="U183" i="5"/>
  <c r="I198" i="5" s="1"/>
  <c r="K198" i="5" s="1"/>
  <c r="U188" i="5"/>
  <c r="L182" i="5"/>
  <c r="M182" i="5"/>
  <c r="N182" i="5"/>
  <c r="O182" i="5"/>
  <c r="P182" i="5"/>
  <c r="Q182" i="5"/>
  <c r="R182" i="5"/>
  <c r="S182" i="5"/>
  <c r="T182" i="5"/>
  <c r="U182" i="5"/>
  <c r="M189" i="5"/>
  <c r="N189" i="5"/>
  <c r="O189" i="5"/>
  <c r="P189" i="5"/>
  <c r="Q189" i="5"/>
  <c r="R189" i="5"/>
  <c r="S189" i="5"/>
  <c r="T189" i="5"/>
  <c r="U189" i="5"/>
  <c r="I199" i="5" s="1"/>
  <c r="K199" i="5" s="1"/>
  <c r="L189" i="5"/>
  <c r="M188" i="5"/>
  <c r="N188" i="5"/>
  <c r="O188" i="5"/>
  <c r="P188" i="5"/>
  <c r="Q188" i="5"/>
  <c r="R188" i="5"/>
  <c r="S188" i="5"/>
  <c r="T188" i="5"/>
  <c r="L188" i="5"/>
  <c r="M187" i="5"/>
  <c r="N187" i="5"/>
  <c r="O187" i="5"/>
  <c r="P187" i="5"/>
  <c r="Q187" i="5"/>
  <c r="R187" i="5"/>
  <c r="S187" i="5"/>
  <c r="T187" i="5"/>
  <c r="U187" i="5"/>
  <c r="L187" i="5"/>
  <c r="M181" i="5"/>
  <c r="N181" i="5"/>
  <c r="O181" i="5"/>
  <c r="P181" i="5"/>
  <c r="Q181" i="5"/>
  <c r="R181" i="5"/>
  <c r="S181" i="5"/>
  <c r="T181" i="5"/>
  <c r="U181" i="5"/>
  <c r="M183" i="5"/>
  <c r="N183" i="5"/>
  <c r="O183" i="5"/>
  <c r="P183" i="5"/>
  <c r="Q183" i="5"/>
  <c r="R183" i="5"/>
  <c r="S183" i="5"/>
  <c r="T183" i="5"/>
  <c r="L183" i="5"/>
  <c r="L181" i="5"/>
  <c r="W168" i="5"/>
  <c r="AE176" i="5"/>
  <c r="AD176" i="5"/>
  <c r="AC176" i="5"/>
  <c r="AB176" i="5"/>
  <c r="AA176" i="5"/>
  <c r="Z176" i="5"/>
  <c r="Y176" i="5"/>
  <c r="X176" i="5"/>
  <c r="W176" i="5"/>
  <c r="AE175" i="5"/>
  <c r="AD175" i="5"/>
  <c r="AC175" i="5"/>
  <c r="AB175" i="5"/>
  <c r="AA175" i="5"/>
  <c r="Z175" i="5"/>
  <c r="Y175" i="5"/>
  <c r="X175" i="5"/>
  <c r="W175" i="5"/>
  <c r="AE174" i="5"/>
  <c r="AD174" i="5"/>
  <c r="AC174" i="5"/>
  <c r="AB174" i="5"/>
  <c r="AA174" i="5"/>
  <c r="Z174" i="5"/>
  <c r="Y174" i="5"/>
  <c r="X174" i="5"/>
  <c r="W174" i="5"/>
  <c r="AE170" i="5"/>
  <c r="AD170" i="5"/>
  <c r="AC170" i="5"/>
  <c r="AB170" i="5"/>
  <c r="AA170" i="5"/>
  <c r="Z170" i="5"/>
  <c r="Y170" i="5"/>
  <c r="X170" i="5"/>
  <c r="W170" i="5"/>
  <c r="AE169" i="5"/>
  <c r="AD169" i="5"/>
  <c r="AC169" i="5"/>
  <c r="AB169" i="5"/>
  <c r="AA169" i="5"/>
  <c r="Z169" i="5"/>
  <c r="Y169" i="5"/>
  <c r="X169" i="5"/>
  <c r="W169" i="5"/>
  <c r="AE168" i="5"/>
  <c r="AD168" i="5"/>
  <c r="AC168" i="5"/>
  <c r="AB168" i="5"/>
  <c r="AA168" i="5"/>
  <c r="Z168" i="5"/>
  <c r="Y168" i="5"/>
  <c r="X168" i="5"/>
  <c r="AE164" i="5"/>
  <c r="AD164" i="5"/>
  <c r="AC164" i="5"/>
  <c r="AB164" i="5"/>
  <c r="AA164" i="5"/>
  <c r="Z164" i="5"/>
  <c r="Y164" i="5"/>
  <c r="X164" i="5"/>
  <c r="W164" i="5"/>
  <c r="AE163" i="5"/>
  <c r="AD163" i="5"/>
  <c r="AC163" i="5"/>
  <c r="AB163" i="5"/>
  <c r="AA163" i="5"/>
  <c r="Z163" i="5"/>
  <c r="Y163" i="5"/>
  <c r="X163" i="5"/>
  <c r="W163" i="5"/>
  <c r="AE162" i="5"/>
  <c r="AD162" i="5"/>
  <c r="AC162" i="5"/>
  <c r="AB162" i="5"/>
  <c r="AA162" i="5"/>
  <c r="Z162" i="5"/>
  <c r="Y162" i="5"/>
  <c r="X162" i="5"/>
  <c r="W162" i="5"/>
  <c r="AG209" i="5"/>
  <c r="AG211" i="5"/>
  <c r="AG210" i="5"/>
  <c r="U210" i="5"/>
  <c r="AK210" i="5" s="1"/>
  <c r="AL210" i="5" s="1"/>
  <c r="AM210" i="5" s="1"/>
  <c r="AN210" i="5" s="1"/>
  <c r="AO210" i="5" s="1"/>
  <c r="AP210" i="5" s="1"/>
  <c r="U209" i="5"/>
  <c r="AH395" i="12" l="1"/>
  <c r="AA395" i="12"/>
  <c r="AF395" i="12"/>
  <c r="AC395" i="12"/>
  <c r="AG395" i="12"/>
  <c r="AD395" i="12"/>
  <c r="AI395" i="12"/>
  <c r="AB395" i="12"/>
  <c r="AJ395" i="12"/>
  <c r="Z395" i="12"/>
  <c r="AG162" i="5"/>
  <c r="U211" i="5"/>
  <c r="AK209" i="5"/>
  <c r="AL209" i="5" s="1"/>
  <c r="AG170" i="5"/>
  <c r="AF174" i="5"/>
  <c r="AG164" i="5"/>
  <c r="AG168" i="5"/>
  <c r="AG169" i="5"/>
  <c r="AG163" i="5"/>
  <c r="AG174" i="5"/>
  <c r="AF176" i="5"/>
  <c r="AF175" i="5"/>
  <c r="AG175" i="5"/>
  <c r="AG176" i="5"/>
  <c r="AF168" i="5"/>
  <c r="AK168" i="5" s="1"/>
  <c r="AL168" i="5" s="1"/>
  <c r="AM168" i="5" s="1"/>
  <c r="AN168" i="5" s="1"/>
  <c r="AO168" i="5" s="1"/>
  <c r="AP168" i="5" s="1"/>
  <c r="AF162" i="5"/>
  <c r="AK162" i="5" s="1"/>
  <c r="AF163" i="5"/>
  <c r="AK163" i="5" s="1"/>
  <c r="AF164" i="5"/>
  <c r="AK164" i="5" s="1"/>
  <c r="AF169" i="5"/>
  <c r="AK169" i="5" s="1"/>
  <c r="AF170" i="5"/>
  <c r="AK170" i="5" s="1"/>
  <c r="AL170" i="5" l="1"/>
  <c r="AM170" i="5" s="1"/>
  <c r="AN170" i="5" s="1"/>
  <c r="AO170" i="5" s="1"/>
  <c r="AP170" i="5" s="1"/>
  <c r="AL169" i="5"/>
  <c r="AM169" i="5" s="1"/>
  <c r="AN169" i="5" s="1"/>
  <c r="AO169" i="5" s="1"/>
  <c r="AP169" i="5" s="1"/>
  <c r="AK175" i="5"/>
  <c r="AL163" i="5"/>
  <c r="AL162" i="5"/>
  <c r="AK174" i="5"/>
  <c r="AL164" i="5"/>
  <c r="AK176" i="5"/>
  <c r="AL211" i="5"/>
  <c r="AM209" i="5"/>
  <c r="AK211" i="5"/>
  <c r="AL174" i="5" l="1"/>
  <c r="AM162" i="5"/>
  <c r="AM163" i="5"/>
  <c r="AL175" i="5"/>
  <c r="AM164" i="5"/>
  <c r="AL176" i="5"/>
  <c r="AN209" i="5"/>
  <c r="AM211" i="5"/>
  <c r="AN163" i="5" l="1"/>
  <c r="AM175" i="5"/>
  <c r="AN162" i="5"/>
  <c r="AM174" i="5"/>
  <c r="AM176" i="5"/>
  <c r="AN164" i="5"/>
  <c r="AO209" i="5"/>
  <c r="AN211" i="5"/>
  <c r="AN174" i="5" l="1"/>
  <c r="AO162" i="5"/>
  <c r="AO164" i="5"/>
  <c r="AN176" i="5"/>
  <c r="AO163" i="5"/>
  <c r="AN175" i="5"/>
  <c r="AP209" i="5"/>
  <c r="AP211" i="5" s="1"/>
  <c r="AO211" i="5"/>
  <c r="AP164" i="5" l="1"/>
  <c r="AP176" i="5" s="1"/>
  <c r="AO176" i="5"/>
  <c r="AO174" i="5"/>
  <c r="AP162" i="5"/>
  <c r="AP174" i="5" s="1"/>
  <c r="AP163" i="5"/>
  <c r="AP175" i="5" s="1"/>
  <c r="AO175" i="5"/>
  <c r="W369" i="17" l="1"/>
  <c r="V369" i="17"/>
  <c r="U369" i="17"/>
  <c r="T369" i="17"/>
  <c r="S369" i="17"/>
  <c r="N396" i="17"/>
  <c r="N395" i="17"/>
  <c r="N394" i="17"/>
  <c r="N393" i="17"/>
  <c r="AC393" i="17" s="1"/>
  <c r="N392" i="17"/>
  <c r="N379" i="17"/>
  <c r="R378" i="17"/>
  <c r="R377" i="17"/>
  <c r="R376" i="17"/>
  <c r="R375" i="17"/>
  <c r="R374" i="17"/>
  <c r="R373" i="17"/>
  <c r="N356" i="17"/>
  <c r="N355" i="17"/>
  <c r="N354" i="17"/>
  <c r="N353" i="17"/>
  <c r="AC353" i="17" s="1"/>
  <c r="N352" i="17"/>
  <c r="N339" i="17"/>
  <c r="R338" i="17"/>
  <c r="R337" i="17"/>
  <c r="R336" i="17"/>
  <c r="R335" i="17"/>
  <c r="R334" i="17"/>
  <c r="R333" i="17"/>
  <c r="W329" i="17"/>
  <c r="V329" i="17"/>
  <c r="U329" i="17"/>
  <c r="T329" i="17"/>
  <c r="S329" i="17"/>
  <c r="AA112" i="17"/>
  <c r="AA111" i="17"/>
  <c r="P107" i="17"/>
  <c r="AF104" i="17"/>
  <c r="AE104" i="17"/>
  <c r="AD104" i="17"/>
  <c r="AC104" i="17"/>
  <c r="AB104" i="17"/>
  <c r="V337" i="17" l="1"/>
  <c r="AG334" i="17"/>
  <c r="AG344" i="17" s="1"/>
  <c r="AG353" i="17" s="1"/>
  <c r="AF374" i="17"/>
  <c r="AF384" i="17" s="1"/>
  <c r="AF393" i="17" s="1"/>
  <c r="AD334" i="17"/>
  <c r="AD344" i="17" s="1"/>
  <c r="AD353" i="17" s="1"/>
  <c r="AH334" i="17"/>
  <c r="AH344" i="17" s="1"/>
  <c r="AH353" i="17" s="1"/>
  <c r="V373" i="17"/>
  <c r="AG374" i="17"/>
  <c r="AG384" i="17" s="1"/>
  <c r="AG393" i="17" s="1"/>
  <c r="AE334" i="17"/>
  <c r="AE344" i="17" s="1"/>
  <c r="AE353" i="17" s="1"/>
  <c r="AD374" i="17"/>
  <c r="AD384" i="17" s="1"/>
  <c r="AD393" i="17" s="1"/>
  <c r="AH374" i="17"/>
  <c r="AH384" i="17" s="1"/>
  <c r="AH393" i="17" s="1"/>
  <c r="AF334" i="17"/>
  <c r="AF344" i="17" s="1"/>
  <c r="AF353" i="17" s="1"/>
  <c r="AE374" i="17"/>
  <c r="AE384" i="17" s="1"/>
  <c r="AE393" i="17" s="1"/>
  <c r="AA337" i="17"/>
  <c r="V346" i="17" s="1"/>
  <c r="AA373" i="17"/>
  <c r="V107" i="17"/>
  <c r="AB107" i="17" s="1"/>
  <c r="W373" i="17"/>
  <c r="AB373" i="17" s="1"/>
  <c r="W377" i="17"/>
  <c r="AB377" i="17" s="1"/>
  <c r="W386" i="17" s="1"/>
  <c r="W375" i="17"/>
  <c r="U375" i="17"/>
  <c r="U373" i="17"/>
  <c r="Z373" i="17" s="1"/>
  <c r="U377" i="17"/>
  <c r="Z377" i="17" s="1"/>
  <c r="U386" i="17" s="1"/>
  <c r="S373" i="17"/>
  <c r="X373" i="17" s="1"/>
  <c r="S377" i="17"/>
  <c r="X377" i="17" s="1"/>
  <c r="S386" i="17" s="1"/>
  <c r="S375" i="17"/>
  <c r="X376" i="17" s="1"/>
  <c r="T377" i="17"/>
  <c r="Y377" i="17" s="1"/>
  <c r="T386" i="17" s="1"/>
  <c r="T373" i="17"/>
  <c r="Y373" i="17" s="1"/>
  <c r="T375" i="17"/>
  <c r="V375" i="17"/>
  <c r="V377" i="17"/>
  <c r="AA377" i="17" s="1"/>
  <c r="V386" i="17" s="1"/>
  <c r="S333" i="17"/>
  <c r="X333" i="17" s="1"/>
  <c r="S335" i="17"/>
  <c r="S337" i="17"/>
  <c r="X337" i="17" s="1"/>
  <c r="S346" i="17" s="1"/>
  <c r="T337" i="17"/>
  <c r="Y337" i="17" s="1"/>
  <c r="T346" i="17" s="1"/>
  <c r="T335" i="17"/>
  <c r="T333" i="17"/>
  <c r="Y333" i="17" s="1"/>
  <c r="W333" i="17"/>
  <c r="AB333" i="17" s="1"/>
  <c r="W337" i="17"/>
  <c r="AB337" i="17" s="1"/>
  <c r="W346" i="17" s="1"/>
  <c r="W335" i="17"/>
  <c r="U335" i="17"/>
  <c r="U333" i="17"/>
  <c r="Z333" i="17" s="1"/>
  <c r="U337" i="17"/>
  <c r="Z337" i="17" s="1"/>
  <c r="U346" i="17" s="1"/>
  <c r="V335" i="17"/>
  <c r="V333" i="17"/>
  <c r="AA333" i="17" s="1"/>
  <c r="S334" i="17" l="1"/>
  <c r="S374" i="17"/>
  <c r="T334" i="17"/>
  <c r="V334" i="17"/>
  <c r="AA334" i="17" s="1"/>
  <c r="AL393" i="17"/>
  <c r="AL353" i="17"/>
  <c r="T374" i="17"/>
  <c r="T378" i="17" s="1"/>
  <c r="Y378" i="17" s="1"/>
  <c r="AG399" i="17"/>
  <c r="AG400" i="17"/>
  <c r="AG398" i="17"/>
  <c r="AF358" i="17"/>
  <c r="AF359" i="17"/>
  <c r="AF360" i="17"/>
  <c r="S378" i="17"/>
  <c r="X378" i="17" s="1"/>
  <c r="AH360" i="17"/>
  <c r="AH359" i="17"/>
  <c r="AH358" i="17"/>
  <c r="AF400" i="17"/>
  <c r="AF399" i="17"/>
  <c r="AF398" i="17"/>
  <c r="AE399" i="17"/>
  <c r="AE398" i="17"/>
  <c r="AE400" i="17"/>
  <c r="W374" i="17"/>
  <c r="W378" i="17" s="1"/>
  <c r="AB378" i="17" s="1"/>
  <c r="V374" i="17"/>
  <c r="V378" i="17" s="1"/>
  <c r="AA378" i="17" s="1"/>
  <c r="S338" i="17"/>
  <c r="X338" i="17" s="1"/>
  <c r="AH398" i="17"/>
  <c r="AH400" i="17"/>
  <c r="AH399" i="17"/>
  <c r="T338" i="17"/>
  <c r="Y338" i="17" s="1"/>
  <c r="AD360" i="17"/>
  <c r="AD359" i="17"/>
  <c r="AD358" i="17"/>
  <c r="AG358" i="17"/>
  <c r="AG359" i="17"/>
  <c r="AG360" i="17"/>
  <c r="U334" i="17"/>
  <c r="U338" i="17" s="1"/>
  <c r="Z338" i="17" s="1"/>
  <c r="AD399" i="17"/>
  <c r="AD398" i="17"/>
  <c r="AD400" i="17"/>
  <c r="AE359" i="17"/>
  <c r="AE360" i="17"/>
  <c r="AE358" i="17"/>
  <c r="W334" i="17"/>
  <c r="W338" i="17" s="1"/>
  <c r="AB338" i="17" s="1"/>
  <c r="U374" i="17"/>
  <c r="U378" i="17" s="1"/>
  <c r="Z378" i="17" s="1"/>
  <c r="S383" i="17"/>
  <c r="AA376" i="17"/>
  <c r="V383" i="17" s="1"/>
  <c r="AA375" i="17"/>
  <c r="V385" i="17" s="1"/>
  <c r="Y374" i="17"/>
  <c r="X374" i="17"/>
  <c r="X375" i="17"/>
  <c r="Z374" i="17"/>
  <c r="AA374" i="17"/>
  <c r="V384" i="17" s="1"/>
  <c r="Y375" i="17"/>
  <c r="T385" i="17" s="1"/>
  <c r="Y376" i="17"/>
  <c r="T383" i="17" s="1"/>
  <c r="Z376" i="17"/>
  <c r="U383" i="17" s="1"/>
  <c r="Z375" i="17"/>
  <c r="U385" i="17" s="1"/>
  <c r="AB375" i="17"/>
  <c r="W385" i="17" s="1"/>
  <c r="AB376" i="17"/>
  <c r="W383" i="17" s="1"/>
  <c r="Z334" i="17"/>
  <c r="AB335" i="17"/>
  <c r="W345" i="17" s="1"/>
  <c r="AB336" i="17"/>
  <c r="W343" i="17" s="1"/>
  <c r="X335" i="17"/>
  <c r="S345" i="17" s="1"/>
  <c r="X336" i="17"/>
  <c r="S343" i="17" s="1"/>
  <c r="AA336" i="17"/>
  <c r="V343" i="17" s="1"/>
  <c r="AA335" i="17"/>
  <c r="V345" i="17" s="1"/>
  <c r="Y335" i="17"/>
  <c r="T345" i="17" s="1"/>
  <c r="Y336" i="17"/>
  <c r="T343" i="17" s="1"/>
  <c r="X334" i="17"/>
  <c r="Z336" i="17"/>
  <c r="U343" i="17" s="1"/>
  <c r="Z335" i="17"/>
  <c r="U345" i="17" s="1"/>
  <c r="Y334" i="17"/>
  <c r="AB334" i="17"/>
  <c r="A557" i="5"/>
  <c r="A554" i="5"/>
  <c r="A564" i="5"/>
  <c r="A566" i="5"/>
  <c r="A567" i="5"/>
  <c r="A563" i="5"/>
  <c r="A520" i="5"/>
  <c r="A519" i="5"/>
  <c r="A517" i="5"/>
  <c r="A516" i="5"/>
  <c r="A510" i="5"/>
  <c r="A509" i="5"/>
  <c r="A507" i="5"/>
  <c r="A506" i="5"/>
  <c r="V338" i="17" l="1"/>
  <c r="AA338" i="17" s="1"/>
  <c r="AB374" i="17"/>
  <c r="AG401" i="17"/>
  <c r="AD361" i="17"/>
  <c r="AD401" i="17"/>
  <c r="AG402" i="17"/>
  <c r="AQ402" i="17" s="1"/>
  <c r="AE401" i="17"/>
  <c r="AH401" i="17"/>
  <c r="AF401" i="17"/>
  <c r="AE361" i="17"/>
  <c r="AH361" i="17"/>
  <c r="AG361" i="17"/>
  <c r="AF361" i="17"/>
  <c r="U347" i="17"/>
  <c r="U344" i="17"/>
  <c r="W347" i="17"/>
  <c r="W344" i="17"/>
  <c r="T347" i="17"/>
  <c r="T344" i="17"/>
  <c r="S347" i="17"/>
  <c r="S344" i="17"/>
  <c r="V347" i="17"/>
  <c r="V344" i="17"/>
  <c r="W387" i="17"/>
  <c r="W384" i="17"/>
  <c r="U387" i="17"/>
  <c r="U384" i="17"/>
  <c r="T387" i="17"/>
  <c r="T384" i="17"/>
  <c r="S385" i="17"/>
  <c r="S387" i="17"/>
  <c r="S384" i="17"/>
  <c r="AB379" i="17"/>
  <c r="V387" i="17"/>
  <c r="Z379" i="17"/>
  <c r="Y379" i="17"/>
  <c r="Z339" i="17"/>
  <c r="Y339" i="17"/>
  <c r="N316" i="17"/>
  <c r="AC316" i="17" s="1"/>
  <c r="N317" i="17"/>
  <c r="N318" i="17"/>
  <c r="N319" i="17"/>
  <c r="N315" i="17"/>
  <c r="N280" i="17"/>
  <c r="AC280" i="17" s="1"/>
  <c r="N281" i="17"/>
  <c r="N282" i="17"/>
  <c r="N283" i="17"/>
  <c r="N205" i="17"/>
  <c r="N206" i="17"/>
  <c r="AC206" i="17" s="1"/>
  <c r="N207" i="17"/>
  <c r="N208" i="17"/>
  <c r="N209" i="17"/>
  <c r="N204" i="17"/>
  <c r="A480" i="5"/>
  <c r="A479" i="5"/>
  <c r="A477" i="5"/>
  <c r="A476" i="5"/>
  <c r="A470" i="5"/>
  <c r="A469" i="5"/>
  <c r="A467" i="5"/>
  <c r="A466" i="5"/>
  <c r="A500" i="5"/>
  <c r="A499" i="5"/>
  <c r="A497" i="5"/>
  <c r="A496" i="5"/>
  <c r="A487" i="5"/>
  <c r="A489" i="5"/>
  <c r="A490" i="5"/>
  <c r="A486" i="5"/>
  <c r="AE362" i="17" l="1"/>
  <c r="AO362" i="17" s="1"/>
  <c r="AF362" i="17"/>
  <c r="AP362" i="17" s="1"/>
  <c r="AF402" i="17"/>
  <c r="AP402" i="17" s="1"/>
  <c r="AL401" i="17"/>
  <c r="AD402" i="17"/>
  <c r="B402" i="17" s="1"/>
  <c r="AG362" i="17"/>
  <c r="AQ362" i="17" s="1"/>
  <c r="AH402" i="17"/>
  <c r="F402" i="17" s="1"/>
  <c r="E402" i="17"/>
  <c r="AH362" i="17"/>
  <c r="F362" i="17" s="1"/>
  <c r="AE402" i="17"/>
  <c r="AO402" i="17" s="1"/>
  <c r="AL361" i="17"/>
  <c r="AD362" i="17"/>
  <c r="B362" i="17" s="1"/>
  <c r="AN402" i="17"/>
  <c r="X339" i="17"/>
  <c r="AA339" i="17"/>
  <c r="AB339" i="17"/>
  <c r="AA379" i="17"/>
  <c r="X379" i="17"/>
  <c r="C402" i="17" l="1"/>
  <c r="D362" i="17"/>
  <c r="AN362" i="17"/>
  <c r="E362" i="17"/>
  <c r="D402" i="17"/>
  <c r="C362" i="17"/>
  <c r="C3" i="28"/>
  <c r="C4" i="28"/>
  <c r="C5" i="28"/>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2" i="28"/>
  <c r="D3" i="28"/>
  <c r="D4" i="28"/>
  <c r="D5" i="28"/>
  <c r="D6" i="28"/>
  <c r="D7" i="28"/>
  <c r="D8" i="28"/>
  <c r="D9" i="28"/>
  <c r="D10" i="28"/>
  <c r="D11" i="28"/>
  <c r="D12" i="28"/>
  <c r="D13" i="28"/>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2" i="28"/>
  <c r="C13" i="25"/>
  <c r="D13" i="25"/>
  <c r="C14" i="25"/>
  <c r="D14" i="25"/>
  <c r="C15" i="25"/>
  <c r="D15" i="25"/>
  <c r="C16" i="25"/>
  <c r="D16" i="25"/>
  <c r="C17" i="25"/>
  <c r="D17" i="25"/>
  <c r="C18" i="25"/>
  <c r="D18" i="25"/>
  <c r="C19" i="25"/>
  <c r="D19" i="25"/>
  <c r="C20" i="25"/>
  <c r="D20" i="25"/>
  <c r="C21" i="25"/>
  <c r="D21" i="25"/>
  <c r="C22" i="25"/>
  <c r="D22" i="25"/>
  <c r="C23" i="25"/>
  <c r="D23" i="25"/>
  <c r="C24" i="25"/>
  <c r="D24" i="25"/>
  <c r="C25" i="25"/>
  <c r="D25" i="25"/>
  <c r="C26" i="25"/>
  <c r="D26" i="25"/>
  <c r="C27" i="25"/>
  <c r="D27" i="25"/>
  <c r="C28" i="25"/>
  <c r="D28" i="25"/>
  <c r="C29" i="25"/>
  <c r="D29" i="25"/>
  <c r="C30" i="25"/>
  <c r="D30" i="25"/>
  <c r="C31" i="25"/>
  <c r="D31" i="25"/>
  <c r="C32" i="25"/>
  <c r="D32" i="25"/>
  <c r="D12" i="25"/>
  <c r="C12" i="25"/>
  <c r="D243" i="4" l="1"/>
  <c r="C243" i="4" s="1"/>
  <c r="D242" i="4"/>
  <c r="C242" i="4" s="1"/>
  <c r="D191" i="4"/>
  <c r="C191" i="4" s="1"/>
  <c r="D192" i="4"/>
  <c r="C192" i="4" s="1"/>
  <c r="A13" i="49" l="1"/>
  <c r="H14" i="25"/>
  <c r="H13" i="25"/>
  <c r="H12"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33" i="25"/>
  <c r="D122"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A30" i="20" l="1"/>
  <c r="A31" i="20"/>
  <c r="A32" i="20"/>
  <c r="A33" i="20"/>
  <c r="A34" i="20"/>
  <c r="A35" i="20"/>
  <c r="A36" i="20"/>
  <c r="A37" i="20"/>
  <c r="A38" i="20"/>
  <c r="A39" i="20"/>
  <c r="A40" i="20"/>
  <c r="A41" i="20"/>
  <c r="A42" i="20"/>
  <c r="A43" i="20"/>
  <c r="A44" i="20"/>
  <c r="A45" i="20"/>
  <c r="A46" i="20"/>
  <c r="A47" i="20"/>
  <c r="A48" i="20"/>
  <c r="A49" i="20"/>
  <c r="A3" i="20"/>
  <c r="A4" i="20" s="1"/>
  <c r="A5" i="20" s="1"/>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G270" i="4"/>
  <c r="G440" i="4"/>
  <c r="E125" i="4"/>
  <c r="E183" i="4"/>
  <c r="G292" i="4"/>
  <c r="E370" i="4"/>
  <c r="G596" i="4"/>
  <c r="G492" i="4"/>
  <c r="G185" i="4"/>
  <c r="E123" i="4"/>
  <c r="G45" i="4"/>
  <c r="E280" i="4"/>
  <c r="E98" i="4"/>
  <c r="E476" i="4"/>
  <c r="E395" i="4"/>
  <c r="E295" i="4"/>
  <c r="E519" i="4"/>
  <c r="G369" i="4"/>
  <c r="G34" i="4"/>
  <c r="E496" i="4"/>
  <c r="G250" i="4"/>
  <c r="G298" i="4"/>
  <c r="E170" i="4"/>
  <c r="G547" i="4"/>
  <c r="G117" i="4"/>
  <c r="E142" i="4"/>
  <c r="G134" i="4"/>
  <c r="E553" i="4"/>
  <c r="G400" i="4"/>
  <c r="E68" i="4"/>
  <c r="G81" i="4"/>
  <c r="E505" i="4"/>
  <c r="E322" i="4"/>
  <c r="G106" i="4"/>
  <c r="E535" i="4"/>
  <c r="E282" i="4"/>
  <c r="E136" i="4"/>
  <c r="E332" i="4"/>
  <c r="E22" i="4"/>
  <c r="E331" i="4"/>
  <c r="G512" i="4"/>
  <c r="E501" i="4"/>
  <c r="E468" i="4"/>
  <c r="E494" i="4"/>
  <c r="G153" i="4"/>
  <c r="G447" i="4"/>
  <c r="G187" i="4"/>
  <c r="G303" i="4"/>
  <c r="G230" i="4"/>
  <c r="E232" i="4"/>
  <c r="G373" i="4"/>
  <c r="E465" i="4"/>
  <c r="G362" i="4"/>
  <c r="E426" i="4"/>
  <c r="G138" i="4"/>
  <c r="E180" i="4"/>
  <c r="G429" i="4"/>
  <c r="E54" i="4"/>
  <c r="G584" i="4"/>
  <c r="G530" i="4"/>
  <c r="G225" i="4"/>
  <c r="S23" i="38"/>
  <c r="G248" i="4"/>
  <c r="E67" i="4"/>
  <c r="E291" i="4"/>
  <c r="E520" i="4"/>
  <c r="G278" i="4"/>
  <c r="E42" i="4"/>
  <c r="G461" i="4"/>
  <c r="E153" i="4"/>
  <c r="E23" i="4"/>
  <c r="G404" i="4"/>
  <c r="E229" i="4"/>
  <c r="E391" i="4"/>
  <c r="H29" i="4"/>
  <c r="E12" i="4"/>
  <c r="G220" i="4"/>
  <c r="G240" i="4"/>
  <c r="G201" i="4"/>
  <c r="E114" i="4"/>
  <c r="G269" i="4"/>
  <c r="G170" i="4"/>
  <c r="E411" i="4"/>
  <c r="G196" i="4"/>
  <c r="G381" i="4"/>
  <c r="G93" i="4"/>
  <c r="G157" i="4"/>
  <c r="G24" i="4"/>
  <c r="E258" i="4"/>
  <c r="E579" i="4"/>
  <c r="E56" i="4"/>
  <c r="G94" i="4"/>
  <c r="E47" i="4"/>
  <c r="E184" i="4"/>
  <c r="G144" i="4"/>
  <c r="G411" i="4"/>
  <c r="G12" i="4"/>
  <c r="E172" i="4"/>
  <c r="E289" i="4"/>
  <c r="R125" i="27"/>
  <c r="E85" i="4"/>
  <c r="E486" i="4"/>
  <c r="G448" i="4"/>
  <c r="G215" i="4"/>
  <c r="G478" i="4"/>
  <c r="G32" i="4"/>
  <c r="G347" i="4"/>
  <c r="E563" i="4"/>
  <c r="E249" i="4"/>
  <c r="E500" i="4"/>
  <c r="E222" i="4"/>
  <c r="G111" i="4"/>
  <c r="G305" i="4"/>
  <c r="G378" i="4"/>
  <c r="G30" i="4"/>
  <c r="G494" i="4"/>
  <c r="E234" i="4"/>
  <c r="G349" i="4"/>
  <c r="E93" i="4"/>
  <c r="G136" i="4"/>
  <c r="E510" i="4"/>
  <c r="E200" i="4"/>
  <c r="E508" i="4"/>
  <c r="E49" i="4"/>
  <c r="E89" i="4"/>
  <c r="E550" i="4"/>
  <c r="G140" i="4"/>
  <c r="G592" i="4"/>
  <c r="G253" i="4"/>
  <c r="G345" i="4"/>
  <c r="G377" i="4"/>
  <c r="E338" i="4"/>
  <c r="G525" i="4"/>
  <c r="G541" i="4"/>
  <c r="G454" i="4"/>
  <c r="E34" i="4"/>
  <c r="G490" i="4"/>
  <c r="E105" i="4"/>
  <c r="E94" i="4"/>
  <c r="E446" i="4"/>
  <c r="E14" i="4"/>
  <c r="G105" i="4"/>
  <c r="G82" i="4"/>
  <c r="E533" i="4"/>
  <c r="G484" i="4"/>
  <c r="E407" i="4"/>
  <c r="E409" i="4"/>
  <c r="E432" i="4"/>
  <c r="G595" i="4"/>
  <c r="G421" i="4"/>
  <c r="E594" i="4"/>
  <c r="G522" i="4"/>
  <c r="E384" i="4"/>
  <c r="E348" i="4"/>
  <c r="G450" i="4"/>
  <c r="G191" i="4"/>
  <c r="E564" i="4"/>
  <c r="E463" i="4"/>
  <c r="E189" i="4"/>
  <c r="G505" i="4"/>
  <c r="G348" i="4"/>
  <c r="G179" i="4"/>
  <c r="E401" i="4"/>
  <c r="E264" i="4"/>
  <c r="G403" i="4"/>
  <c r="G48" i="4"/>
  <c r="E115" i="4"/>
  <c r="E271" i="4"/>
  <c r="G326" i="4"/>
  <c r="E273" i="4"/>
  <c r="E556" i="4"/>
  <c r="E437" i="4"/>
  <c r="G37" i="4"/>
  <c r="G481" i="4"/>
  <c r="E547" i="4"/>
  <c r="E13" i="4"/>
  <c r="E163" i="4"/>
  <c r="G268" i="4"/>
  <c r="G544" i="4"/>
  <c r="G38" i="4"/>
  <c r="E464" i="4"/>
  <c r="E279" i="4"/>
  <c r="G374" i="4"/>
  <c r="G569" i="4"/>
  <c r="G20" i="4"/>
  <c r="E408" i="4"/>
  <c r="G306" i="4"/>
  <c r="E146" i="4"/>
  <c r="G604" i="4"/>
  <c r="G340" i="4"/>
  <c r="E569" i="4"/>
  <c r="G341" i="4"/>
  <c r="E376" i="4"/>
  <c r="E513" i="4"/>
  <c r="E227" i="4"/>
  <c r="G197" i="4"/>
  <c r="G371" i="4"/>
  <c r="G175" i="4"/>
  <c r="G172" i="4"/>
  <c r="E325" i="4"/>
  <c r="G246" i="4"/>
  <c r="E235" i="4"/>
  <c r="E551" i="4"/>
  <c r="G9" i="4"/>
  <c r="E124" i="4"/>
  <c r="E588" i="4"/>
  <c r="E523" i="4"/>
  <c r="G560" i="4"/>
  <c r="G70" i="4"/>
  <c r="G477" i="4"/>
  <c r="E193" i="4"/>
  <c r="G486" i="4"/>
  <c r="E488" i="4"/>
  <c r="G109" i="4"/>
  <c r="G221" i="4"/>
  <c r="G434" i="4"/>
  <c r="E570" i="4"/>
  <c r="G263" i="4"/>
  <c r="G87" i="4"/>
  <c r="E316" i="4"/>
  <c r="E230" i="4"/>
  <c r="E387" i="4"/>
  <c r="E371" i="4"/>
  <c r="E241" i="4"/>
  <c r="G310" i="4"/>
  <c r="E231" i="4"/>
  <c r="E27" i="4"/>
  <c r="E495" i="4"/>
  <c r="G346" i="4"/>
  <c r="E39" i="4"/>
  <c r="G334" i="4"/>
  <c r="E45" i="4"/>
  <c r="F30" i="4"/>
  <c r="G554" i="4"/>
  <c r="G535" i="4"/>
  <c r="E140" i="4"/>
  <c r="G281" i="4"/>
  <c r="G60" i="4"/>
  <c r="G333" i="4"/>
  <c r="E415" i="4"/>
  <c r="G500" i="4"/>
  <c r="G414" i="4"/>
  <c r="E340" i="4"/>
  <c r="E225" i="4"/>
  <c r="E287" i="4"/>
  <c r="E134" i="4"/>
  <c r="G192" i="4"/>
  <c r="E84" i="4"/>
  <c r="E427" i="4"/>
  <c r="G397" i="4"/>
  <c r="G471" i="4"/>
  <c r="G394" i="4"/>
  <c r="G77" i="4"/>
  <c r="G582" i="4"/>
  <c r="E97" i="4"/>
  <c r="G405" i="4"/>
  <c r="G357" i="4"/>
  <c r="E543" i="4"/>
  <c r="G33" i="4"/>
  <c r="E65" i="4"/>
  <c r="G284" i="4"/>
  <c r="G229" i="4"/>
  <c r="G563" i="4"/>
  <c r="G474" i="4"/>
  <c r="E112" i="4"/>
  <c r="G577" i="4"/>
  <c r="G26" i="4"/>
  <c r="G125" i="4"/>
  <c r="G216" i="4"/>
  <c r="E379" i="4"/>
  <c r="E548" i="4"/>
  <c r="E269" i="4"/>
  <c r="G308" i="4"/>
  <c r="E364" i="4"/>
  <c r="E417" i="4"/>
  <c r="E353" i="4"/>
  <c r="E347" i="4"/>
  <c r="G168" i="4"/>
  <c r="E374" i="4"/>
  <c r="E400" i="4"/>
  <c r="G249" i="4"/>
  <c r="E434" i="4"/>
  <c r="G423" i="4"/>
  <c r="E329" i="4"/>
  <c r="E433" i="4"/>
  <c r="E294" i="4"/>
  <c r="G146" i="4"/>
  <c r="H57" i="37"/>
  <c r="G468" i="4"/>
  <c r="E527" i="4"/>
  <c r="G527" i="4"/>
  <c r="E274" i="4"/>
  <c r="E102" i="4"/>
  <c r="G388" i="4"/>
  <c r="G532" i="4"/>
  <c r="G177" i="4"/>
  <c r="G380" i="4"/>
  <c r="G443" i="4"/>
  <c r="E311" i="4"/>
  <c r="R18" i="17"/>
  <c r="E503" i="4"/>
  <c r="E421" i="4"/>
  <c r="G174" i="4"/>
  <c r="E298" i="4"/>
  <c r="G433" i="4"/>
  <c r="E218" i="4"/>
  <c r="E62" i="4"/>
  <c r="H31" i="4"/>
  <c r="G591" i="4"/>
  <c r="E319" i="4"/>
  <c r="E175" i="4"/>
  <c r="E275" i="4"/>
  <c r="G262" i="4"/>
  <c r="E403" i="4"/>
  <c r="E363" i="4"/>
  <c r="E209" i="4"/>
  <c r="G387" i="4"/>
  <c r="G445" i="4"/>
  <c r="G315" i="4"/>
  <c r="E377" i="4"/>
  <c r="E453" i="4"/>
  <c r="E532" i="4"/>
  <c r="G330" i="4"/>
  <c r="E167" i="4"/>
  <c r="E133" i="4"/>
  <c r="E406" i="4"/>
  <c r="E602" i="4"/>
  <c r="G401" i="4"/>
  <c r="G531" i="4"/>
  <c r="G173" i="4"/>
  <c r="H28" i="4"/>
  <c r="G552" i="4"/>
  <c r="E597" i="4"/>
  <c r="F33" i="4"/>
  <c r="E164" i="4"/>
  <c r="E59" i="4"/>
  <c r="E346" i="4"/>
  <c r="E472" i="4"/>
  <c r="G13" i="4"/>
  <c r="G536" i="4"/>
  <c r="G361" i="4"/>
  <c r="G39" i="4"/>
  <c r="G210" i="4"/>
  <c r="E195" i="4"/>
  <c r="E132" i="4"/>
  <c r="G497" i="4"/>
  <c r="E578" i="4"/>
  <c r="G164" i="4"/>
  <c r="G234" i="4"/>
  <c r="E50" i="4"/>
  <c r="G23" i="4"/>
  <c r="G75" i="4"/>
  <c r="G272" i="4"/>
  <c r="E221" i="4"/>
  <c r="G52" i="4"/>
  <c r="E110" i="4"/>
  <c r="G44" i="4"/>
  <c r="G351" i="4"/>
  <c r="E327" i="4"/>
  <c r="R126" i="27"/>
  <c r="G599" i="4"/>
  <c r="G571" i="4"/>
  <c r="G540" i="4"/>
  <c r="E58" i="4"/>
  <c r="E506" i="4"/>
  <c r="G379" i="4"/>
  <c r="E83" i="4"/>
  <c r="E260" i="4"/>
  <c r="G573" i="4"/>
  <c r="G17" i="4"/>
  <c r="G603" i="4"/>
  <c r="G14" i="4"/>
  <c r="G190" i="4"/>
  <c r="E18" i="4"/>
  <c r="G231" i="4"/>
  <c r="G162" i="4"/>
  <c r="E372" i="4"/>
  <c r="E127" i="4"/>
  <c r="G579" i="4"/>
  <c r="E328" i="4"/>
  <c r="E32" i="4"/>
  <c r="G141" i="4"/>
  <c r="E51" i="4"/>
  <c r="G233" i="4"/>
  <c r="E382" i="4"/>
  <c r="E566" i="4"/>
  <c r="G301" i="4"/>
  <c r="E91" i="4"/>
  <c r="E560" i="4"/>
  <c r="G509" i="4"/>
  <c r="G104" i="4"/>
  <c r="E60" i="4"/>
  <c r="E240" i="4"/>
  <c r="E219" i="4"/>
  <c r="E78" i="4"/>
  <c r="E334" i="4"/>
  <c r="E601" i="4"/>
  <c r="E430" i="4"/>
  <c r="E585" i="4"/>
  <c r="E57" i="4"/>
  <c r="E419" i="4"/>
  <c r="E368" i="4"/>
  <c r="G337" i="4"/>
  <c r="G578" i="4"/>
  <c r="E250" i="4"/>
  <c r="E160" i="4"/>
  <c r="G19" i="4"/>
  <c r="E592" i="4"/>
  <c r="E48" i="4"/>
  <c r="E317" i="4"/>
  <c r="E507" i="4"/>
  <c r="H34" i="4"/>
  <c r="G516" i="4"/>
  <c r="G42" i="4"/>
  <c r="G534" i="4"/>
  <c r="E538" i="4"/>
  <c r="E357" i="4"/>
  <c r="G85" i="4"/>
  <c r="E220" i="4"/>
  <c r="E149" i="4"/>
  <c r="G489" i="4"/>
  <c r="E187" i="4"/>
  <c r="E475" i="4"/>
  <c r="E586" i="4"/>
  <c r="E451" i="4"/>
  <c r="G551" i="4"/>
  <c r="G224" i="4"/>
  <c r="E343" i="4"/>
  <c r="E37" i="4"/>
  <c r="F31" i="4"/>
  <c r="G436" i="4"/>
  <c r="G386" i="4"/>
  <c r="G182" i="4"/>
  <c r="E81" i="4"/>
  <c r="E413" i="4"/>
  <c r="R23" i="17"/>
  <c r="G425" i="4"/>
  <c r="G543" i="4"/>
  <c r="G107" i="4"/>
  <c r="G99" i="4"/>
  <c r="E435" i="4"/>
  <c r="E213" i="4"/>
  <c r="E603" i="4"/>
  <c r="E541" i="4"/>
  <c r="E410" i="4"/>
  <c r="E394" i="4"/>
  <c r="G200" i="4"/>
  <c r="E118" i="4"/>
  <c r="E244" i="4"/>
  <c r="E515" i="4"/>
  <c r="G463" i="4"/>
  <c r="G160" i="4"/>
  <c r="G223" i="4"/>
  <c r="G593" i="4"/>
  <c r="G115" i="4"/>
  <c r="E352" i="4"/>
  <c r="E10" i="4"/>
  <c r="E120" i="4"/>
  <c r="G295" i="4"/>
  <c r="G254" i="4"/>
  <c r="E301" i="4"/>
  <c r="G382" i="4"/>
  <c r="G148" i="4"/>
  <c r="G476" i="4"/>
  <c r="E161" i="4"/>
  <c r="G416" i="4"/>
  <c r="G71" i="4"/>
  <c r="E485" i="4"/>
  <c r="G84" i="4"/>
  <c r="E390" i="4"/>
  <c r="G339" i="4"/>
  <c r="E577" i="4"/>
  <c r="E487" i="4"/>
  <c r="E315" i="4"/>
  <c r="G370" i="4"/>
  <c r="E312" i="4"/>
  <c r="G28" i="4"/>
  <c r="E155" i="4"/>
  <c r="E148" i="4"/>
  <c r="G437" i="4"/>
  <c r="G353" i="4"/>
  <c r="G158" i="4"/>
  <c r="E414" i="4"/>
  <c r="H35" i="4"/>
  <c r="H30" i="4"/>
  <c r="E178" i="4"/>
  <c r="E108" i="4"/>
  <c r="G41" i="4"/>
  <c r="E307" i="4"/>
  <c r="E206" i="4"/>
  <c r="E460" i="4"/>
  <c r="G469" i="4"/>
  <c r="G199" i="4"/>
  <c r="G90" i="4"/>
  <c r="G561" i="4"/>
  <c r="E162" i="4"/>
  <c r="E166" i="4"/>
  <c r="E474" i="4"/>
  <c r="G546" i="4"/>
  <c r="E159" i="4"/>
  <c r="E80" i="4"/>
  <c r="E158" i="4"/>
  <c r="G147" i="4"/>
  <c r="G517" i="4"/>
  <c r="G325" i="4"/>
  <c r="G336" i="4"/>
  <c r="G161" i="4"/>
  <c r="E544" i="4"/>
  <c r="G59" i="4"/>
  <c r="E356" i="4"/>
  <c r="E129" i="4"/>
  <c r="E113" i="4"/>
  <c r="E337" i="4"/>
  <c r="G178" i="4"/>
  <c r="E92" i="4"/>
  <c r="G321" i="4"/>
  <c r="G277" i="4"/>
  <c r="E198" i="4"/>
  <c r="E581" i="4"/>
  <c r="G300" i="4"/>
  <c r="E109" i="4"/>
  <c r="G506" i="4"/>
  <c r="G342" i="4"/>
  <c r="G442" i="4"/>
  <c r="G128" i="4"/>
  <c r="G211" i="4"/>
  <c r="G372" i="4"/>
  <c r="E82" i="4"/>
  <c r="G290" i="4"/>
  <c r="G419" i="4"/>
  <c r="E333" i="4"/>
  <c r="E561" i="4"/>
  <c r="G483" i="4"/>
  <c r="E528" i="4"/>
  <c r="G297" i="4"/>
  <c r="G183" i="4"/>
  <c r="E117" i="4"/>
  <c r="G390" i="4"/>
  <c r="G559" i="4"/>
  <c r="G127" i="4"/>
  <c r="E247" i="4"/>
  <c r="G209" i="4"/>
  <c r="E224" i="4"/>
  <c r="E63" i="4"/>
  <c r="E190" i="4"/>
  <c r="E233" i="4"/>
  <c r="E499" i="4"/>
  <c r="E72" i="4"/>
  <c r="G15" i="4"/>
  <c r="H58" i="37"/>
  <c r="G102" i="4"/>
  <c r="G418" i="4"/>
  <c r="G456" i="4"/>
  <c r="G16" i="4"/>
  <c r="G244" i="4"/>
  <c r="G101" i="4"/>
  <c r="E447" i="4"/>
  <c r="E53" i="4"/>
  <c r="E546" i="4"/>
  <c r="G322" i="4"/>
  <c r="G480" i="4"/>
  <c r="E239" i="4"/>
  <c r="G570" i="4"/>
  <c r="E70" i="4"/>
  <c r="E25" i="4"/>
  <c r="G100" i="4"/>
  <c r="E261" i="4"/>
  <c r="E483" i="4"/>
  <c r="E321" i="4"/>
  <c r="E228" i="4"/>
  <c r="E139" i="4"/>
  <c r="E539" i="4"/>
  <c r="E43" i="4"/>
  <c r="E436" i="4"/>
  <c r="G95" i="4"/>
  <c r="G304" i="4"/>
  <c r="E302" i="4"/>
  <c r="E492" i="4"/>
  <c r="E480" i="4"/>
  <c r="G355" i="4"/>
  <c r="E396" i="4"/>
  <c r="E214" i="4"/>
  <c r="E20" i="4"/>
  <c r="G488" i="4"/>
  <c r="E385" i="4"/>
  <c r="G69" i="4"/>
  <c r="G395" i="4"/>
  <c r="G460" i="4"/>
  <c r="E107" i="4"/>
  <c r="E156" i="4"/>
  <c r="E88" i="4"/>
  <c r="G276" i="4"/>
  <c r="G431" i="4"/>
  <c r="E126" i="4"/>
  <c r="G383" i="4"/>
  <c r="E79" i="4"/>
  <c r="G473" i="4"/>
  <c r="G130" i="4"/>
  <c r="R22" i="17"/>
  <c r="E157" i="4"/>
  <c r="G588" i="4"/>
  <c r="G143" i="4"/>
  <c r="E450" i="4"/>
  <c r="G258" i="4"/>
  <c r="G452" i="4"/>
  <c r="E604" i="4"/>
  <c r="E238" i="4"/>
  <c r="G464" i="4"/>
  <c r="G66" i="4"/>
  <c r="G364" i="4"/>
  <c r="E360" i="4"/>
  <c r="G156" i="4"/>
  <c r="E147" i="4"/>
  <c r="G384" i="4"/>
  <c r="G46" i="4"/>
  <c r="E215" i="4"/>
  <c r="G575" i="4"/>
  <c r="G31" i="4"/>
  <c r="G226" i="4"/>
  <c r="G548" i="4"/>
  <c r="G110" i="4"/>
  <c r="G602" i="4"/>
  <c r="G392" i="4"/>
  <c r="G55" i="4"/>
  <c r="G260" i="4"/>
  <c r="G8" i="4"/>
  <c r="G68" i="4"/>
  <c r="G576" i="4"/>
  <c r="G257" i="4"/>
  <c r="E199" i="4"/>
  <c r="E277" i="4"/>
  <c r="E33" i="4"/>
  <c r="E135" i="4"/>
  <c r="G311" i="4"/>
  <c r="G235" i="4"/>
  <c r="E502" i="4"/>
  <c r="E540" i="4"/>
  <c r="E536" i="4"/>
  <c r="G238" i="4"/>
  <c r="E236" i="4"/>
  <c r="E365" i="4"/>
  <c r="G332" i="4"/>
  <c r="E8" i="4"/>
  <c r="E442" i="4"/>
  <c r="G261" i="4"/>
  <c r="G566" i="4"/>
  <c r="E173" i="4"/>
  <c r="E397" i="4"/>
  <c r="E429" i="4"/>
  <c r="G470" i="4"/>
  <c r="G520" i="4"/>
  <c r="G114" i="4"/>
  <c r="E490" i="4"/>
  <c r="G376" i="4"/>
  <c r="E595" i="4"/>
  <c r="G412" i="4"/>
  <c r="G198" i="4"/>
  <c r="G391" i="4"/>
  <c r="G507" i="4"/>
  <c r="G504" i="4"/>
  <c r="G135" i="4"/>
  <c r="E255" i="4"/>
  <c r="G206" i="4"/>
  <c r="G413" i="4"/>
  <c r="E341" i="4"/>
  <c r="G568" i="4"/>
  <c r="G64" i="4"/>
  <c r="E575" i="4"/>
  <c r="E9" i="4"/>
  <c r="G537" i="4"/>
  <c r="G166" i="4"/>
  <c r="G27" i="4"/>
  <c r="E314" i="4"/>
  <c r="G331" i="4"/>
  <c r="E31" i="4"/>
  <c r="E283" i="4"/>
  <c r="E361" i="4"/>
  <c r="E186" i="4"/>
  <c r="G514" i="4"/>
  <c r="E587" i="4"/>
  <c r="G335" i="4"/>
  <c r="E497" i="4"/>
  <c r="E7" i="4"/>
  <c r="G344" i="4"/>
  <c r="E308" i="4"/>
  <c r="E335" i="4"/>
  <c r="E517" i="4"/>
  <c r="E574" i="4"/>
  <c r="E525" i="4"/>
  <c r="E29" i="4"/>
  <c r="E580" i="4"/>
  <c r="G245" i="4"/>
  <c r="E354" i="4"/>
  <c r="E425" i="4"/>
  <c r="G119" i="4"/>
  <c r="E40" i="4"/>
  <c r="E431" i="4"/>
  <c r="E223" i="4"/>
  <c r="E185" i="4"/>
  <c r="G360" i="4"/>
  <c r="E511" i="4"/>
  <c r="G123" i="4"/>
  <c r="E342" i="4"/>
  <c r="G314" i="4"/>
  <c r="G79" i="4"/>
  <c r="E226" i="4"/>
  <c r="G86" i="4"/>
  <c r="G207" i="4"/>
  <c r="F34" i="4"/>
  <c r="G586" i="4"/>
  <c r="G57" i="4"/>
  <c r="G169" i="4"/>
  <c r="G122" i="4"/>
  <c r="E288" i="4"/>
  <c r="G406" i="4"/>
  <c r="G410" i="4"/>
  <c r="E75" i="4"/>
  <c r="E428" i="4"/>
  <c r="E596" i="4"/>
  <c r="S27" i="38"/>
  <c r="R121" i="27"/>
  <c r="G213" i="4"/>
  <c r="E568" i="4"/>
  <c r="G420" i="4"/>
  <c r="H36" i="4"/>
  <c r="E473" i="4"/>
  <c r="E303" i="4"/>
  <c r="G47" i="4"/>
  <c r="E562" i="4"/>
  <c r="G293" i="4"/>
  <c r="G88" i="4"/>
  <c r="E573" i="4"/>
  <c r="E554" i="4"/>
  <c r="E439" i="4"/>
  <c r="E26" i="4"/>
  <c r="E493" i="4"/>
  <c r="G11" i="4"/>
  <c r="E179" i="4"/>
  <c r="G446" i="4"/>
  <c r="G438" i="4"/>
  <c r="E116" i="4"/>
  <c r="H53" i="37"/>
  <c r="E498" i="4"/>
  <c r="G154" i="4"/>
  <c r="E263" i="4"/>
  <c r="G511" i="4"/>
  <c r="G312" i="4"/>
  <c r="G279" i="4"/>
  <c r="G601" i="4"/>
  <c r="E201" i="4"/>
  <c r="E188" i="4"/>
  <c r="G171" i="4"/>
  <c r="E557" i="4"/>
  <c r="G212" i="4"/>
  <c r="G132" i="4"/>
  <c r="G553" i="4"/>
  <c r="G415" i="4"/>
  <c r="G142" i="4"/>
  <c r="G428" i="4"/>
  <c r="G7" i="4"/>
  <c r="G324" i="4"/>
  <c r="E375" i="4"/>
  <c r="E565" i="4"/>
  <c r="E278" i="4"/>
  <c r="G475" i="4"/>
  <c r="G92" i="4"/>
  <c r="E318" i="4"/>
  <c r="E86" i="4"/>
  <c r="E19" i="4"/>
  <c r="G58" i="4"/>
  <c r="E405" i="4"/>
  <c r="G363" i="4"/>
  <c r="G466" i="4"/>
  <c r="G458" i="4"/>
  <c r="E28" i="4"/>
  <c r="G449" i="4"/>
  <c r="E16" i="4"/>
  <c r="E444" i="4"/>
  <c r="G542" i="4"/>
  <c r="G227" i="4"/>
  <c r="G524" i="4"/>
  <c r="E524" i="4"/>
  <c r="G307" i="4"/>
  <c r="E38" i="4"/>
  <c r="G594" i="4"/>
  <c r="G155" i="4"/>
  <c r="E509" i="4"/>
  <c r="E402" i="4"/>
  <c r="G36" i="4"/>
  <c r="E388" i="4"/>
  <c r="E514" i="4"/>
  <c r="E292" i="4"/>
  <c r="G585" i="4"/>
  <c r="E366" i="4"/>
  <c r="G499" i="4"/>
  <c r="G487" i="4"/>
  <c r="G139" i="4"/>
  <c r="E137" i="4"/>
  <c r="G53" i="4"/>
  <c r="E237" i="4"/>
  <c r="E259" i="4"/>
  <c r="G408" i="4"/>
  <c r="G202" i="4"/>
  <c r="E119" i="4"/>
  <c r="E383" i="4"/>
  <c r="G232" i="4"/>
  <c r="G356" i="4"/>
  <c r="G121" i="4"/>
  <c r="G328" i="4"/>
  <c r="E367" i="4"/>
  <c r="E73" i="4"/>
  <c r="G368" i="4"/>
  <c r="E268" i="4"/>
  <c r="E591" i="4"/>
  <c r="G479" i="4"/>
  <c r="E336" i="4"/>
  <c r="G218" i="4"/>
  <c r="G283" i="4"/>
  <c r="E344" i="4"/>
  <c r="G282" i="4"/>
  <c r="E549" i="4"/>
  <c r="G385" i="4"/>
  <c r="G78" i="4"/>
  <c r="G538" i="4"/>
  <c r="E204" i="4"/>
  <c r="G266" i="4"/>
  <c r="G393" i="4"/>
  <c r="E479" i="4"/>
  <c r="G491" i="4"/>
  <c r="G40" i="4"/>
  <c r="E504" i="4"/>
  <c r="G597" i="4"/>
  <c r="G193" i="4"/>
  <c r="F29" i="4"/>
  <c r="G435" i="4"/>
  <c r="E21" i="4"/>
  <c r="E584" i="4"/>
  <c r="E455" i="4"/>
  <c r="G590" i="4"/>
  <c r="G287" i="4"/>
  <c r="E211" i="4"/>
  <c r="E481" i="4"/>
  <c r="F37" i="4"/>
  <c r="G167" i="4"/>
  <c r="G10" i="4"/>
  <c r="E87" i="4"/>
  <c r="G318" i="4"/>
  <c r="E466" i="4"/>
  <c r="E571" i="4"/>
  <c r="E355" i="4"/>
  <c r="E101" i="4"/>
  <c r="E205" i="4"/>
  <c r="G49" i="4"/>
  <c r="G309" i="4"/>
  <c r="E471" i="4"/>
  <c r="G83" i="4"/>
  <c r="G409" i="4"/>
  <c r="E100" i="4"/>
  <c r="E555" i="4"/>
  <c r="G89" i="4"/>
  <c r="G427" i="4"/>
  <c r="G176" i="4"/>
  <c r="E369" i="4"/>
  <c r="E143" i="4"/>
  <c r="E246" i="4"/>
  <c r="E323" i="4"/>
  <c r="G503" i="4"/>
  <c r="E138" i="4"/>
  <c r="E122" i="4"/>
  <c r="G56" i="4"/>
  <c r="G76" i="4"/>
  <c r="G467" i="4"/>
  <c r="E55" i="4"/>
  <c r="G365" i="4"/>
  <c r="G241" i="4"/>
  <c r="G108" i="4"/>
  <c r="E77" i="4"/>
  <c r="G424" i="4"/>
  <c r="G501" i="4"/>
  <c r="E276" i="4"/>
  <c r="E478" i="4"/>
  <c r="E176" i="4"/>
  <c r="E216" i="4"/>
  <c r="G472" i="4"/>
  <c r="E104" i="4"/>
  <c r="E484" i="4"/>
  <c r="G302" i="4"/>
  <c r="E416" i="4"/>
  <c r="E297" i="4"/>
  <c r="G96" i="4"/>
  <c r="G399" i="4"/>
  <c r="E286" i="4"/>
  <c r="E281" i="4"/>
  <c r="S28" i="38"/>
  <c r="E24" i="4"/>
  <c r="G510" i="4"/>
  <c r="E74" i="4"/>
  <c r="E537" i="4"/>
  <c r="E458" i="4"/>
  <c r="G485" i="4"/>
  <c r="G600" i="4"/>
  <c r="G237" i="4"/>
  <c r="G587" i="4"/>
  <c r="E256" i="4"/>
  <c r="G533" i="4"/>
  <c r="G186" i="4"/>
  <c r="G407" i="4"/>
  <c r="G21" i="4"/>
  <c r="G43" i="4"/>
  <c r="H37" i="4"/>
  <c r="G343" i="4"/>
  <c r="G189" i="4"/>
  <c r="E583" i="4"/>
  <c r="E265" i="4"/>
  <c r="G163" i="4"/>
  <c r="G184" i="4"/>
  <c r="E330" i="4"/>
  <c r="G129" i="4"/>
  <c r="E106" i="4"/>
  <c r="E69" i="4"/>
  <c r="E121" i="4"/>
  <c r="E412" i="4"/>
  <c r="G521" i="4"/>
  <c r="G539" i="4"/>
  <c r="E267" i="4"/>
  <c r="E196" i="4"/>
  <c r="E534" i="4"/>
  <c r="G145" i="4"/>
  <c r="E217" i="4"/>
  <c r="E482" i="4"/>
  <c r="E518" i="4"/>
  <c r="F35" i="4"/>
  <c r="G426" i="4"/>
  <c r="E285" i="4"/>
  <c r="G273" i="4"/>
  <c r="E529" i="4"/>
  <c r="E339" i="4"/>
  <c r="E15" i="4"/>
  <c r="G359" i="4"/>
  <c r="G18" i="4"/>
  <c r="G482" i="4"/>
  <c r="E168" i="4"/>
  <c r="E452" i="4"/>
  <c r="G567" i="4"/>
  <c r="E349" i="4"/>
  <c r="E438" i="4"/>
  <c r="E245" i="4"/>
  <c r="E454" i="4"/>
  <c r="E582" i="4"/>
  <c r="E459" i="4"/>
  <c r="E362" i="4"/>
  <c r="G222" i="4"/>
  <c r="G583" i="4"/>
  <c r="E423" i="4"/>
  <c r="G515" i="4"/>
  <c r="E359" i="4"/>
  <c r="E202" i="4"/>
  <c r="G453" i="4"/>
  <c r="E152" i="4"/>
  <c r="F28" i="4"/>
  <c r="S29" i="38"/>
  <c r="G465" i="4"/>
  <c r="E572" i="4"/>
  <c r="E521" i="4"/>
  <c r="E210" i="4"/>
  <c r="G396" i="4"/>
  <c r="E558" i="4"/>
  <c r="E128" i="4"/>
  <c r="G51" i="4"/>
  <c r="E182" i="4"/>
  <c r="E441" i="4"/>
  <c r="G430" i="4"/>
  <c r="E600" i="4"/>
  <c r="E262" i="4"/>
  <c r="E103" i="4"/>
  <c r="E424" i="4"/>
  <c r="G228" i="4"/>
  <c r="E324" i="4"/>
  <c r="E207" i="4"/>
  <c r="E445" i="4"/>
  <c r="G149" i="4"/>
  <c r="G354" i="4"/>
  <c r="G264" i="4"/>
  <c r="G256" i="4"/>
  <c r="G338" i="4"/>
  <c r="E111" i="4"/>
  <c r="G496" i="4"/>
  <c r="G67" i="4"/>
  <c r="E64" i="4"/>
  <c r="G255" i="4"/>
  <c r="E212" i="4"/>
  <c r="G557" i="4"/>
  <c r="G288" i="4"/>
  <c r="G247" i="4"/>
  <c r="E36" i="4"/>
  <c r="G545" i="4"/>
  <c r="G493" i="4"/>
  <c r="G572" i="4"/>
  <c r="G180" i="4"/>
  <c r="E144" i="4"/>
  <c r="G462" i="4"/>
  <c r="E96" i="4"/>
  <c r="E90" i="4"/>
  <c r="G451" i="4"/>
  <c r="G317" i="4"/>
  <c r="E598" i="4"/>
  <c r="G327" i="4"/>
  <c r="E165" i="4"/>
  <c r="G581" i="4"/>
  <c r="E154" i="4"/>
  <c r="E530" i="4"/>
  <c r="E461" i="4"/>
  <c r="E522" i="4"/>
  <c r="G528" i="4"/>
  <c r="G120" i="4"/>
  <c r="E181" i="4"/>
  <c r="G366" i="4"/>
  <c r="E296" i="4"/>
  <c r="G65" i="4"/>
  <c r="G432" i="4"/>
  <c r="E310" i="4"/>
  <c r="G402" i="4"/>
  <c r="G439" i="4"/>
  <c r="G565" i="4"/>
  <c r="G455" i="4"/>
  <c r="E11" i="4"/>
  <c r="G112" i="4"/>
  <c r="G54" i="4"/>
  <c r="G259" i="4"/>
  <c r="G296" i="4"/>
  <c r="E393" i="4"/>
  <c r="E320" i="4"/>
  <c r="G457" i="4"/>
  <c r="G556" i="4"/>
  <c r="G574" i="4"/>
  <c r="E358" i="4"/>
  <c r="G523" i="4"/>
  <c r="G358" i="4"/>
  <c r="E326" i="4"/>
  <c r="E169" i="4"/>
  <c r="G165" i="4"/>
  <c r="E130" i="4"/>
  <c r="G181" i="4"/>
  <c r="R127" i="27"/>
  <c r="G320" i="4"/>
  <c r="E443" i="4"/>
  <c r="E526" i="4"/>
  <c r="E17" i="4"/>
  <c r="G203" i="4"/>
  <c r="G564" i="4"/>
  <c r="E194" i="4"/>
  <c r="E145" i="4"/>
  <c r="E141" i="4"/>
  <c r="G97" i="4"/>
  <c r="G389" i="4"/>
  <c r="E576" i="4"/>
  <c r="G219" i="4"/>
  <c r="G124" i="4"/>
  <c r="G502" i="4"/>
  <c r="E381" i="4"/>
  <c r="E299" i="4"/>
  <c r="E151" i="4"/>
  <c r="G580" i="4"/>
  <c r="E373" i="4"/>
  <c r="G316" i="4"/>
  <c r="G188" i="4"/>
  <c r="E293" i="4"/>
  <c r="E457" i="4"/>
  <c r="G289" i="4"/>
  <c r="E420" i="4"/>
  <c r="E516" i="4"/>
  <c r="G323" i="4"/>
  <c r="G417" i="4"/>
  <c r="G113" i="4"/>
  <c r="E270" i="4"/>
  <c r="E203" i="4"/>
  <c r="G398" i="4"/>
  <c r="F32" i="4"/>
  <c r="G422" i="4"/>
  <c r="G25" i="4"/>
  <c r="E66" i="4"/>
  <c r="G562" i="4"/>
  <c r="G62" i="4"/>
  <c r="E462" i="4"/>
  <c r="E171" i="4"/>
  <c r="E422" i="4"/>
  <c r="E448" i="4"/>
  <c r="E71" i="4"/>
  <c r="G294" i="4"/>
  <c r="G375" i="4"/>
  <c r="G267" i="4"/>
  <c r="E257" i="4"/>
  <c r="G252" i="4"/>
  <c r="G508" i="4"/>
  <c r="G280" i="4"/>
  <c r="G441" i="4"/>
  <c r="E208" i="4"/>
  <c r="G103" i="4"/>
  <c r="G151" i="4"/>
  <c r="G195" i="4"/>
  <c r="G519" i="4"/>
  <c r="E378" i="4"/>
  <c r="E351" i="4"/>
  <c r="G444" i="4"/>
  <c r="E52" i="4"/>
  <c r="F7" i="4"/>
  <c r="G265" i="4"/>
  <c r="E399" i="4"/>
  <c r="E545" i="4"/>
  <c r="E467" i="4"/>
  <c r="E418" i="4"/>
  <c r="G589" i="4"/>
  <c r="E489" i="4"/>
  <c r="E305" i="4"/>
  <c r="G159" i="4"/>
  <c r="E456" i="4"/>
  <c r="G50" i="4"/>
  <c r="E559" i="4"/>
  <c r="G555" i="4"/>
  <c r="G239" i="4"/>
  <c r="E542" i="4"/>
  <c r="H32" i="4"/>
  <c r="G63" i="4"/>
  <c r="G526" i="4"/>
  <c r="G217" i="4"/>
  <c r="E254" i="4"/>
  <c r="H59" i="37"/>
  <c r="E313" i="4"/>
  <c r="E272" i="4"/>
  <c r="G118" i="4"/>
  <c r="G73" i="4"/>
  <c r="E61" i="4"/>
  <c r="G598" i="4"/>
  <c r="G214" i="4"/>
  <c r="G459" i="4"/>
  <c r="G513" i="4"/>
  <c r="E30" i="4"/>
  <c r="E251" i="4"/>
  <c r="E95" i="4"/>
  <c r="G275" i="4"/>
  <c r="G35" i="4"/>
  <c r="E41" i="4"/>
  <c r="E449" i="4"/>
  <c r="E248" i="4"/>
  <c r="E599" i="4"/>
  <c r="G205" i="4"/>
  <c r="G98" i="4"/>
  <c r="G286" i="4"/>
  <c r="G22" i="4"/>
  <c r="G285" i="4"/>
  <c r="G352" i="4"/>
  <c r="G319" i="4"/>
  <c r="E306" i="4"/>
  <c r="E44" i="4"/>
  <c r="G80" i="4"/>
  <c r="G29" i="4"/>
  <c r="E350" i="4"/>
  <c r="E470" i="4"/>
  <c r="E290" i="4"/>
  <c r="G251" i="4"/>
  <c r="R24" i="17"/>
  <c r="F36" i="4"/>
  <c r="G152" i="4"/>
  <c r="E398" i="4"/>
  <c r="G61" i="4"/>
  <c r="E512" i="4"/>
  <c r="E284" i="4"/>
  <c r="G137" i="4"/>
  <c r="G116" i="4"/>
  <c r="E76" i="4"/>
  <c r="G91" i="4"/>
  <c r="E177" i="4"/>
  <c r="E345" i="4"/>
  <c r="H33" i="4"/>
  <c r="E531" i="4"/>
  <c r="G299" i="4"/>
  <c r="G367" i="4"/>
  <c r="E440" i="4"/>
  <c r="E593" i="4"/>
  <c r="E309" i="4"/>
  <c r="G150" i="4"/>
  <c r="G236" i="4"/>
  <c r="E253" i="4"/>
  <c r="G529" i="4"/>
  <c r="E590" i="4"/>
  <c r="E380" i="4"/>
  <c r="E552" i="4"/>
  <c r="G131" i="4"/>
  <c r="E35" i="4"/>
  <c r="G350" i="4"/>
  <c r="G194" i="4"/>
  <c r="E266" i="4"/>
  <c r="E99" i="4"/>
  <c r="E392" i="4"/>
  <c r="E300" i="4"/>
  <c r="G204" i="4"/>
  <c r="G72" i="4"/>
  <c r="G126" i="4"/>
  <c r="G498" i="4"/>
  <c r="E131" i="4"/>
  <c r="E46" i="4"/>
  <c r="G133" i="4"/>
  <c r="G550" i="4"/>
  <c r="G549" i="4"/>
  <c r="G291" i="4"/>
  <c r="E252" i="4"/>
  <c r="E491" i="4"/>
  <c r="E150" i="4"/>
  <c r="E389" i="4"/>
  <c r="E386" i="4"/>
  <c r="E477" i="4"/>
  <c r="E174" i="4"/>
  <c r="E589" i="4"/>
  <c r="G208" i="4"/>
  <c r="E404" i="4"/>
  <c r="G329" i="4"/>
  <c r="E567" i="4"/>
  <c r="E304" i="4"/>
  <c r="G271" i="4"/>
  <c r="E469" i="4"/>
  <c r="G274" i="4"/>
  <c r="G313" i="4"/>
  <c r="G558" i="4"/>
  <c r="G495" i="4"/>
  <c r="E197" i="4"/>
  <c r="G74" i="4"/>
  <c r="G518" i="4"/>
  <c r="D197" i="4" l="1"/>
  <c r="C197" i="4" s="1"/>
  <c r="D469" i="4"/>
  <c r="C469" i="4" s="1"/>
  <c r="D304" i="4"/>
  <c r="C304" i="4" s="1"/>
  <c r="D567" i="4"/>
  <c r="C567" i="4" s="1"/>
  <c r="D404" i="4"/>
  <c r="C404" i="4" s="1"/>
  <c r="D589" i="4"/>
  <c r="C589" i="4" s="1"/>
  <c r="D174" i="4"/>
  <c r="C174" i="4" s="1"/>
  <c r="D477" i="4"/>
  <c r="C477" i="4" s="1"/>
  <c r="D386" i="4"/>
  <c r="C386" i="4" s="1"/>
  <c r="D389" i="4"/>
  <c r="C389" i="4" s="1"/>
  <c r="D150" i="4"/>
  <c r="C150" i="4" s="1"/>
  <c r="D491" i="4"/>
  <c r="C491" i="4" s="1"/>
  <c r="D252" i="4"/>
  <c r="C252" i="4" s="1"/>
  <c r="D46" i="4"/>
  <c r="C46" i="4" s="1"/>
  <c r="D131" i="4"/>
  <c r="C131" i="4" s="1"/>
  <c r="D300" i="4"/>
  <c r="C300" i="4" s="1"/>
  <c r="D392" i="4"/>
  <c r="C392" i="4" s="1"/>
  <c r="D99" i="4"/>
  <c r="C99" i="4" s="1"/>
  <c r="D266" i="4"/>
  <c r="C266" i="4" s="1"/>
  <c r="D35" i="4"/>
  <c r="C35" i="4" s="1"/>
  <c r="D552" i="4"/>
  <c r="C552" i="4" s="1"/>
  <c r="D380" i="4"/>
  <c r="C380" i="4" s="1"/>
  <c r="D590" i="4"/>
  <c r="C590" i="4" s="1"/>
  <c r="D253" i="4"/>
  <c r="C253" i="4" s="1"/>
  <c r="D309" i="4"/>
  <c r="C309" i="4" s="1"/>
  <c r="D593" i="4"/>
  <c r="C593" i="4" s="1"/>
  <c r="D440" i="4"/>
  <c r="C440" i="4" s="1"/>
  <c r="D531" i="4"/>
  <c r="C531" i="4" s="1"/>
  <c r="D345" i="4"/>
  <c r="C345" i="4" s="1"/>
  <c r="D177" i="4"/>
  <c r="C177" i="4" s="1"/>
  <c r="D76" i="4"/>
  <c r="C76" i="4" s="1"/>
  <c r="D284" i="4"/>
  <c r="C284" i="4" s="1"/>
  <c r="D512" i="4"/>
  <c r="C512" i="4" s="1"/>
  <c r="D398" i="4"/>
  <c r="C398" i="4" s="1"/>
  <c r="T24" i="17"/>
  <c r="D290" i="4"/>
  <c r="C290" i="4" s="1"/>
  <c r="D470" i="4"/>
  <c r="C470" i="4" s="1"/>
  <c r="D350" i="4"/>
  <c r="C350" i="4" s="1"/>
  <c r="D44" i="4"/>
  <c r="C44" i="4" s="1"/>
  <c r="D306" i="4"/>
  <c r="C306" i="4" s="1"/>
  <c r="D599" i="4"/>
  <c r="C599" i="4" s="1"/>
  <c r="D248" i="4"/>
  <c r="C248" i="4" s="1"/>
  <c r="D449" i="4"/>
  <c r="C449" i="4" s="1"/>
  <c r="D41" i="4"/>
  <c r="C41" i="4" s="1"/>
  <c r="D95" i="4"/>
  <c r="C95" i="4" s="1"/>
  <c r="D251" i="4"/>
  <c r="C251" i="4" s="1"/>
  <c r="D30" i="4"/>
  <c r="C30" i="4" s="1"/>
  <c r="D61" i="4"/>
  <c r="C61" i="4" s="1"/>
  <c r="D272" i="4"/>
  <c r="C272" i="4" s="1"/>
  <c r="D313" i="4"/>
  <c r="C313" i="4" s="1"/>
  <c r="J59" i="37"/>
  <c r="D254" i="4"/>
  <c r="C254" i="4" s="1"/>
  <c r="D542" i="4"/>
  <c r="C542" i="4" s="1"/>
  <c r="D559" i="4"/>
  <c r="C559" i="4" s="1"/>
  <c r="D456" i="4"/>
  <c r="C456" i="4" s="1"/>
  <c r="D305" i="4"/>
  <c r="C305" i="4" s="1"/>
  <c r="D489" i="4"/>
  <c r="C489" i="4" s="1"/>
  <c r="D418" i="4"/>
  <c r="C418" i="4" s="1"/>
  <c r="D467" i="4"/>
  <c r="C467" i="4" s="1"/>
  <c r="D545" i="4"/>
  <c r="C545" i="4" s="1"/>
  <c r="D399" i="4"/>
  <c r="C399" i="4" s="1"/>
  <c r="A12" i="49"/>
  <c r="D52" i="4"/>
  <c r="C52" i="4" s="1"/>
  <c r="D351" i="4"/>
  <c r="C351" i="4" s="1"/>
  <c r="D378" i="4"/>
  <c r="C378" i="4" s="1"/>
  <c r="D208" i="4"/>
  <c r="C208" i="4" s="1"/>
  <c r="D257" i="4"/>
  <c r="C257" i="4" s="1"/>
  <c r="D71" i="4"/>
  <c r="C71" i="4" s="1"/>
  <c r="D448" i="4"/>
  <c r="C448" i="4" s="1"/>
  <c r="D422" i="4"/>
  <c r="C422" i="4" s="1"/>
  <c r="D171" i="4"/>
  <c r="C171" i="4" s="1"/>
  <c r="D462" i="4"/>
  <c r="C462" i="4" s="1"/>
  <c r="D66" i="4"/>
  <c r="C66" i="4" s="1"/>
  <c r="D203" i="4"/>
  <c r="C203" i="4" s="1"/>
  <c r="D270" i="4"/>
  <c r="C270" i="4" s="1"/>
  <c r="D516" i="4"/>
  <c r="C516" i="4" s="1"/>
  <c r="D420" i="4"/>
  <c r="C420" i="4" s="1"/>
  <c r="D457" i="4"/>
  <c r="C457" i="4" s="1"/>
  <c r="D293" i="4"/>
  <c r="C293" i="4" s="1"/>
  <c r="D373" i="4"/>
  <c r="C373" i="4" s="1"/>
  <c r="D151" i="4"/>
  <c r="C151" i="4" s="1"/>
  <c r="D299" i="4"/>
  <c r="C299" i="4" s="1"/>
  <c r="D381" i="4"/>
  <c r="C381" i="4" s="1"/>
  <c r="D576" i="4"/>
  <c r="C576" i="4" s="1"/>
  <c r="D141" i="4"/>
  <c r="C141" i="4" s="1"/>
  <c r="D145" i="4"/>
  <c r="C145" i="4" s="1"/>
  <c r="D194" i="4"/>
  <c r="C194" i="4" s="1"/>
  <c r="D17" i="4"/>
  <c r="C17" i="4" s="1"/>
  <c r="D526" i="4"/>
  <c r="C526" i="4" s="1"/>
  <c r="D443" i="4"/>
  <c r="C443" i="4" s="1"/>
  <c r="T127" i="27"/>
  <c r="D130" i="4"/>
  <c r="C130" i="4" s="1"/>
  <c r="D169" i="4"/>
  <c r="C169" i="4" s="1"/>
  <c r="D326" i="4"/>
  <c r="C326" i="4" s="1"/>
  <c r="D358" i="4"/>
  <c r="C358" i="4" s="1"/>
  <c r="D320" i="4"/>
  <c r="C320" i="4" s="1"/>
  <c r="D393" i="4"/>
  <c r="C393" i="4" s="1"/>
  <c r="D11" i="4"/>
  <c r="C11" i="4" s="1"/>
  <c r="D310" i="4"/>
  <c r="C310" i="4" s="1"/>
  <c r="D296" i="4"/>
  <c r="C296" i="4" s="1"/>
  <c r="D181" i="4"/>
  <c r="C181" i="4" s="1"/>
  <c r="D522" i="4"/>
  <c r="C522" i="4" s="1"/>
  <c r="D461" i="4"/>
  <c r="C461" i="4" s="1"/>
  <c r="D530" i="4"/>
  <c r="C530" i="4" s="1"/>
  <c r="D154" i="4"/>
  <c r="C154" i="4" s="1"/>
  <c r="D165" i="4"/>
  <c r="C165" i="4" s="1"/>
  <c r="D598" i="4"/>
  <c r="C598" i="4" s="1"/>
  <c r="D90" i="4"/>
  <c r="C90" i="4" s="1"/>
  <c r="D96" i="4"/>
  <c r="C96" i="4" s="1"/>
  <c r="D144" i="4"/>
  <c r="C144" i="4" s="1"/>
  <c r="D36" i="4"/>
  <c r="C36" i="4" s="1"/>
  <c r="D212" i="4"/>
  <c r="C212" i="4" s="1"/>
  <c r="D64" i="4"/>
  <c r="C64" i="4" s="1"/>
  <c r="D111" i="4"/>
  <c r="C111" i="4" s="1"/>
  <c r="D445" i="4"/>
  <c r="C445" i="4" s="1"/>
  <c r="D207" i="4"/>
  <c r="C207" i="4" s="1"/>
  <c r="D324" i="4"/>
  <c r="C324" i="4" s="1"/>
  <c r="D424" i="4"/>
  <c r="C424" i="4" s="1"/>
  <c r="D103" i="4"/>
  <c r="C103" i="4" s="1"/>
  <c r="D262" i="4"/>
  <c r="C262" i="4" s="1"/>
  <c r="D600" i="4"/>
  <c r="C600" i="4" s="1"/>
  <c r="D441" i="4"/>
  <c r="C441" i="4" s="1"/>
  <c r="D182" i="4"/>
  <c r="C182" i="4" s="1"/>
  <c r="D128" i="4"/>
  <c r="C128" i="4" s="1"/>
  <c r="D558" i="4"/>
  <c r="C558" i="4" s="1"/>
  <c r="D210" i="4"/>
  <c r="C210" i="4" s="1"/>
  <c r="D521" i="4"/>
  <c r="C521" i="4" s="1"/>
  <c r="D572" i="4"/>
  <c r="C572" i="4" s="1"/>
  <c r="U29" i="38"/>
  <c r="D152" i="4"/>
  <c r="C152" i="4" s="1"/>
  <c r="D202" i="4"/>
  <c r="C202" i="4" s="1"/>
  <c r="D359" i="4"/>
  <c r="C359" i="4" s="1"/>
  <c r="D423" i="4"/>
  <c r="C423" i="4" s="1"/>
  <c r="D362" i="4"/>
  <c r="C362" i="4" s="1"/>
  <c r="D459" i="4"/>
  <c r="C459" i="4" s="1"/>
  <c r="D582" i="4"/>
  <c r="C582" i="4" s="1"/>
  <c r="D454" i="4"/>
  <c r="C454" i="4" s="1"/>
  <c r="D245" i="4"/>
  <c r="C245" i="4" s="1"/>
  <c r="D438" i="4"/>
  <c r="C438" i="4" s="1"/>
  <c r="D349" i="4"/>
  <c r="C349" i="4" s="1"/>
  <c r="D452" i="4"/>
  <c r="C452" i="4" s="1"/>
  <c r="D168" i="4"/>
  <c r="C168" i="4" s="1"/>
  <c r="D15" i="4"/>
  <c r="C15" i="4" s="1"/>
  <c r="D339" i="4"/>
  <c r="C339" i="4" s="1"/>
  <c r="D529" i="4"/>
  <c r="C529" i="4" s="1"/>
  <c r="D285" i="4"/>
  <c r="C285" i="4" s="1"/>
  <c r="D518" i="4"/>
  <c r="C518" i="4" s="1"/>
  <c r="D482" i="4"/>
  <c r="C482" i="4" s="1"/>
  <c r="D217" i="4"/>
  <c r="C217" i="4" s="1"/>
  <c r="D534" i="4"/>
  <c r="C534" i="4" s="1"/>
  <c r="D196" i="4"/>
  <c r="C196" i="4" s="1"/>
  <c r="D267" i="4"/>
  <c r="C267" i="4" s="1"/>
  <c r="D412" i="4"/>
  <c r="C412" i="4" s="1"/>
  <c r="D121" i="4"/>
  <c r="C121" i="4" s="1"/>
  <c r="D69" i="4"/>
  <c r="C69" i="4" s="1"/>
  <c r="D106" i="4"/>
  <c r="C106" i="4" s="1"/>
  <c r="D330" i="4"/>
  <c r="C330" i="4" s="1"/>
  <c r="D265" i="4"/>
  <c r="C265" i="4" s="1"/>
  <c r="D583" i="4"/>
  <c r="C583" i="4" s="1"/>
  <c r="D256" i="4"/>
  <c r="C256" i="4" s="1"/>
  <c r="D458" i="4"/>
  <c r="C458" i="4" s="1"/>
  <c r="D537" i="4"/>
  <c r="C537" i="4" s="1"/>
  <c r="D74" i="4"/>
  <c r="C74" i="4" s="1"/>
  <c r="D24" i="4"/>
  <c r="C24" i="4" s="1"/>
  <c r="U28" i="38"/>
  <c r="D281" i="4"/>
  <c r="C281" i="4" s="1"/>
  <c r="D286" i="4"/>
  <c r="C286" i="4" s="1"/>
  <c r="D297" i="4"/>
  <c r="C297" i="4" s="1"/>
  <c r="D416" i="4"/>
  <c r="C416" i="4" s="1"/>
  <c r="D484" i="4"/>
  <c r="C484" i="4" s="1"/>
  <c r="D104" i="4"/>
  <c r="C104" i="4" s="1"/>
  <c r="D216" i="4"/>
  <c r="C216" i="4" s="1"/>
  <c r="D176" i="4"/>
  <c r="C176" i="4" s="1"/>
  <c r="D478" i="4"/>
  <c r="C478" i="4" s="1"/>
  <c r="D276" i="4"/>
  <c r="C276" i="4" s="1"/>
  <c r="D77" i="4"/>
  <c r="C77" i="4" s="1"/>
  <c r="D55" i="4"/>
  <c r="C55" i="4" s="1"/>
  <c r="D122" i="4"/>
  <c r="C122" i="4" s="1"/>
  <c r="D138" i="4"/>
  <c r="C138" i="4" s="1"/>
  <c r="D323" i="4"/>
  <c r="C323" i="4" s="1"/>
  <c r="D246" i="4"/>
  <c r="C246" i="4" s="1"/>
  <c r="D143" i="4"/>
  <c r="C143" i="4" s="1"/>
  <c r="D369" i="4"/>
  <c r="C369" i="4" s="1"/>
  <c r="D555" i="4"/>
  <c r="C555" i="4" s="1"/>
  <c r="D100" i="4"/>
  <c r="C100" i="4" s="1"/>
  <c r="D471" i="4"/>
  <c r="C471" i="4" s="1"/>
  <c r="D205" i="4"/>
  <c r="C205" i="4" s="1"/>
  <c r="D101" i="4"/>
  <c r="C101" i="4" s="1"/>
  <c r="D355" i="4"/>
  <c r="C355" i="4" s="1"/>
  <c r="D571" i="4"/>
  <c r="C571" i="4" s="1"/>
  <c r="D466" i="4"/>
  <c r="C466" i="4" s="1"/>
  <c r="D87" i="4"/>
  <c r="C87" i="4" s="1"/>
  <c r="D481" i="4"/>
  <c r="C481" i="4" s="1"/>
  <c r="D211" i="4"/>
  <c r="C211" i="4" s="1"/>
  <c r="D455" i="4"/>
  <c r="C455" i="4" s="1"/>
  <c r="D584" i="4"/>
  <c r="C584" i="4" s="1"/>
  <c r="D21" i="4"/>
  <c r="C21" i="4" s="1"/>
  <c r="D504" i="4"/>
  <c r="C504" i="4" s="1"/>
  <c r="D479" i="4"/>
  <c r="C479" i="4" s="1"/>
  <c r="D204" i="4"/>
  <c r="C204" i="4" s="1"/>
  <c r="D549" i="4"/>
  <c r="C549" i="4" s="1"/>
  <c r="D344" i="4"/>
  <c r="C344" i="4" s="1"/>
  <c r="D336" i="4"/>
  <c r="C336" i="4" s="1"/>
  <c r="D591" i="4"/>
  <c r="C591" i="4" s="1"/>
  <c r="D268" i="4"/>
  <c r="C268" i="4" s="1"/>
  <c r="D73" i="4"/>
  <c r="C73" i="4" s="1"/>
  <c r="D367" i="4"/>
  <c r="C367" i="4" s="1"/>
  <c r="D383" i="4"/>
  <c r="C383" i="4" s="1"/>
  <c r="D119" i="4"/>
  <c r="C119" i="4" s="1"/>
  <c r="D259" i="4"/>
  <c r="C259" i="4" s="1"/>
  <c r="D237" i="4"/>
  <c r="C237" i="4" s="1"/>
  <c r="D137" i="4"/>
  <c r="C137" i="4" s="1"/>
  <c r="D366" i="4"/>
  <c r="C366" i="4" s="1"/>
  <c r="D292" i="4"/>
  <c r="C292" i="4" s="1"/>
  <c r="D514" i="4"/>
  <c r="C514" i="4" s="1"/>
  <c r="D388" i="4"/>
  <c r="C388" i="4" s="1"/>
  <c r="D402" i="4"/>
  <c r="C402" i="4" s="1"/>
  <c r="D509" i="4"/>
  <c r="C509" i="4" s="1"/>
  <c r="D38" i="4"/>
  <c r="C38" i="4" s="1"/>
  <c r="D524" i="4"/>
  <c r="C524" i="4" s="1"/>
  <c r="D444" i="4"/>
  <c r="C444" i="4" s="1"/>
  <c r="D16" i="4"/>
  <c r="C16" i="4" s="1"/>
  <c r="D28" i="4"/>
  <c r="C28" i="4" s="1"/>
  <c r="D405" i="4"/>
  <c r="C405" i="4" s="1"/>
  <c r="D19" i="4"/>
  <c r="C19" i="4" s="1"/>
  <c r="D86" i="4"/>
  <c r="C86" i="4" s="1"/>
  <c r="D318" i="4"/>
  <c r="C318" i="4" s="1"/>
  <c r="D278" i="4"/>
  <c r="C278" i="4" s="1"/>
  <c r="D565" i="4"/>
  <c r="C565" i="4" s="1"/>
  <c r="D375" i="4"/>
  <c r="C375" i="4" s="1"/>
  <c r="D557" i="4"/>
  <c r="C557" i="4" s="1"/>
  <c r="D188" i="4"/>
  <c r="C188" i="4" s="1"/>
  <c r="D201" i="4"/>
  <c r="C201" i="4" s="1"/>
  <c r="D263" i="4"/>
  <c r="C263" i="4" s="1"/>
  <c r="D498" i="4"/>
  <c r="C498" i="4" s="1"/>
  <c r="J53" i="37"/>
  <c r="D116" i="4"/>
  <c r="C116" i="4" s="1"/>
  <c r="D179" i="4"/>
  <c r="C179" i="4" s="1"/>
  <c r="D493" i="4"/>
  <c r="C493" i="4" s="1"/>
  <c r="D26" i="4"/>
  <c r="C26" i="4" s="1"/>
  <c r="D439" i="4"/>
  <c r="C439" i="4" s="1"/>
  <c r="D554" i="4"/>
  <c r="C554" i="4" s="1"/>
  <c r="D573" i="4"/>
  <c r="C573" i="4" s="1"/>
  <c r="D562" i="4"/>
  <c r="C562" i="4" s="1"/>
  <c r="D303" i="4"/>
  <c r="C303" i="4" s="1"/>
  <c r="D473" i="4"/>
  <c r="C473" i="4" s="1"/>
  <c r="D568" i="4"/>
  <c r="C568" i="4" s="1"/>
  <c r="T121" i="27"/>
  <c r="U27" i="38"/>
  <c r="D596" i="4"/>
  <c r="C596" i="4" s="1"/>
  <c r="D428" i="4"/>
  <c r="C428" i="4" s="1"/>
  <c r="D75" i="4"/>
  <c r="C75" i="4" s="1"/>
  <c r="D288" i="4"/>
  <c r="C288" i="4" s="1"/>
  <c r="D226" i="4"/>
  <c r="C226" i="4" s="1"/>
  <c r="D342" i="4"/>
  <c r="C342" i="4" s="1"/>
  <c r="D511" i="4"/>
  <c r="C511" i="4" s="1"/>
  <c r="D185" i="4"/>
  <c r="C185" i="4" s="1"/>
  <c r="D223" i="4"/>
  <c r="C223" i="4" s="1"/>
  <c r="D431" i="4"/>
  <c r="C431" i="4" s="1"/>
  <c r="D40" i="4"/>
  <c r="C40" i="4" s="1"/>
  <c r="D425" i="4"/>
  <c r="C425" i="4" s="1"/>
  <c r="D354" i="4"/>
  <c r="C354" i="4" s="1"/>
  <c r="D580" i="4"/>
  <c r="C580" i="4" s="1"/>
  <c r="D29" i="4"/>
  <c r="C29" i="4" s="1"/>
  <c r="D525" i="4"/>
  <c r="C525" i="4" s="1"/>
  <c r="D574" i="4"/>
  <c r="C574" i="4" s="1"/>
  <c r="D517" i="4"/>
  <c r="C517" i="4" s="1"/>
  <c r="D335" i="4"/>
  <c r="C335" i="4" s="1"/>
  <c r="D308" i="4"/>
  <c r="C308" i="4" s="1"/>
  <c r="D7" i="4"/>
  <c r="C7" i="4" s="1"/>
  <c r="D497" i="4"/>
  <c r="C497" i="4" s="1"/>
  <c r="D587" i="4"/>
  <c r="C587" i="4" s="1"/>
  <c r="D186" i="4"/>
  <c r="C186" i="4" s="1"/>
  <c r="D361" i="4"/>
  <c r="C361" i="4" s="1"/>
  <c r="D283" i="4"/>
  <c r="C283" i="4" s="1"/>
  <c r="D31" i="4"/>
  <c r="C31" i="4" s="1"/>
  <c r="D314" i="4"/>
  <c r="C314" i="4" s="1"/>
  <c r="D9" i="4"/>
  <c r="C9" i="4" s="1"/>
  <c r="D575" i="4"/>
  <c r="C575" i="4" s="1"/>
  <c r="D341" i="4"/>
  <c r="C341" i="4" s="1"/>
  <c r="D255" i="4"/>
  <c r="C255" i="4" s="1"/>
  <c r="D595" i="4"/>
  <c r="C595" i="4" s="1"/>
  <c r="D490" i="4"/>
  <c r="C490" i="4" s="1"/>
  <c r="D429" i="4"/>
  <c r="C429" i="4" s="1"/>
  <c r="D397" i="4"/>
  <c r="C397" i="4" s="1"/>
  <c r="D173" i="4"/>
  <c r="C173" i="4" s="1"/>
  <c r="D442" i="4"/>
  <c r="C442" i="4" s="1"/>
  <c r="D8" i="4"/>
  <c r="C8" i="4" s="1"/>
  <c r="D365" i="4"/>
  <c r="C365" i="4" s="1"/>
  <c r="D236" i="4"/>
  <c r="C236" i="4" s="1"/>
  <c r="D536" i="4"/>
  <c r="C536" i="4" s="1"/>
  <c r="D540" i="4"/>
  <c r="C540" i="4" s="1"/>
  <c r="D502" i="4"/>
  <c r="C502" i="4" s="1"/>
  <c r="D135" i="4"/>
  <c r="C135" i="4" s="1"/>
  <c r="D33" i="4"/>
  <c r="C33" i="4" s="1"/>
  <c r="D277" i="4"/>
  <c r="C277" i="4" s="1"/>
  <c r="D199" i="4"/>
  <c r="C199" i="4" s="1"/>
  <c r="D215" i="4"/>
  <c r="C215" i="4" s="1"/>
  <c r="D147" i="4"/>
  <c r="C147" i="4" s="1"/>
  <c r="D360" i="4"/>
  <c r="C360" i="4" s="1"/>
  <c r="D238" i="4"/>
  <c r="C238" i="4" s="1"/>
  <c r="D604" i="4"/>
  <c r="C604" i="4" s="1"/>
  <c r="D450" i="4"/>
  <c r="C450" i="4" s="1"/>
  <c r="D157" i="4"/>
  <c r="C157" i="4" s="1"/>
  <c r="T22" i="17"/>
  <c r="D79" i="4"/>
  <c r="C79" i="4" s="1"/>
  <c r="D126" i="4"/>
  <c r="C126" i="4" s="1"/>
  <c r="D88" i="4"/>
  <c r="C88" i="4" s="1"/>
  <c r="D156" i="4"/>
  <c r="C156" i="4" s="1"/>
  <c r="D107" i="4"/>
  <c r="C107" i="4" s="1"/>
  <c r="D385" i="4"/>
  <c r="C385" i="4" s="1"/>
  <c r="D20" i="4"/>
  <c r="C20" i="4" s="1"/>
  <c r="D214" i="4"/>
  <c r="C214" i="4" s="1"/>
  <c r="D396" i="4"/>
  <c r="C396" i="4" s="1"/>
  <c r="D480" i="4"/>
  <c r="C480" i="4" s="1"/>
  <c r="D492" i="4"/>
  <c r="C492" i="4" s="1"/>
  <c r="D302" i="4"/>
  <c r="C302" i="4" s="1"/>
  <c r="D436" i="4"/>
  <c r="C436" i="4" s="1"/>
  <c r="D43" i="4"/>
  <c r="C43" i="4" s="1"/>
  <c r="D539" i="4"/>
  <c r="C539" i="4" s="1"/>
  <c r="D139" i="4"/>
  <c r="C139" i="4" s="1"/>
  <c r="D228" i="4"/>
  <c r="C228" i="4" s="1"/>
  <c r="D321" i="4"/>
  <c r="C321" i="4" s="1"/>
  <c r="D483" i="4"/>
  <c r="C483" i="4" s="1"/>
  <c r="D261" i="4"/>
  <c r="C261" i="4" s="1"/>
  <c r="D25" i="4"/>
  <c r="C25" i="4" s="1"/>
  <c r="D70" i="4"/>
  <c r="C70" i="4" s="1"/>
  <c r="D239" i="4"/>
  <c r="C239" i="4" s="1"/>
  <c r="D546" i="4"/>
  <c r="C546" i="4" s="1"/>
  <c r="D53" i="4"/>
  <c r="C53" i="4" s="1"/>
  <c r="D447" i="4"/>
  <c r="C447" i="4" s="1"/>
  <c r="J58" i="37"/>
  <c r="D72" i="4"/>
  <c r="C72" i="4" s="1"/>
  <c r="D499" i="4"/>
  <c r="C499" i="4" s="1"/>
  <c r="D233" i="4"/>
  <c r="C233" i="4" s="1"/>
  <c r="D190" i="4"/>
  <c r="C190" i="4" s="1"/>
  <c r="D63" i="4"/>
  <c r="C63" i="4" s="1"/>
  <c r="D224" i="4"/>
  <c r="C224" i="4" s="1"/>
  <c r="D247" i="4"/>
  <c r="C247" i="4" s="1"/>
  <c r="D117" i="4"/>
  <c r="C117" i="4" s="1"/>
  <c r="D528" i="4"/>
  <c r="C528" i="4" s="1"/>
  <c r="D561" i="4"/>
  <c r="C561" i="4" s="1"/>
  <c r="D333" i="4"/>
  <c r="C333" i="4" s="1"/>
  <c r="D82" i="4"/>
  <c r="C82" i="4" s="1"/>
  <c r="D109" i="4"/>
  <c r="C109" i="4" s="1"/>
  <c r="D581" i="4"/>
  <c r="C581" i="4" s="1"/>
  <c r="D198" i="4"/>
  <c r="C198" i="4" s="1"/>
  <c r="D92" i="4"/>
  <c r="C92" i="4" s="1"/>
  <c r="D337" i="4"/>
  <c r="C337" i="4" s="1"/>
  <c r="D113" i="4"/>
  <c r="C113" i="4" s="1"/>
  <c r="D129" i="4"/>
  <c r="C129" i="4" s="1"/>
  <c r="D356" i="4"/>
  <c r="C356" i="4" s="1"/>
  <c r="D544" i="4"/>
  <c r="C544" i="4" s="1"/>
  <c r="D158" i="4"/>
  <c r="C158" i="4" s="1"/>
  <c r="D80" i="4"/>
  <c r="C80" i="4" s="1"/>
  <c r="D159" i="4"/>
  <c r="C159" i="4" s="1"/>
  <c r="D474" i="4"/>
  <c r="C474" i="4" s="1"/>
  <c r="D166" i="4"/>
  <c r="C166" i="4" s="1"/>
  <c r="D162" i="4"/>
  <c r="C162" i="4" s="1"/>
  <c r="D460" i="4"/>
  <c r="C460" i="4" s="1"/>
  <c r="D206" i="4"/>
  <c r="C206" i="4" s="1"/>
  <c r="D307" i="4"/>
  <c r="C307" i="4" s="1"/>
  <c r="D108" i="4"/>
  <c r="C108" i="4" s="1"/>
  <c r="D178" i="4"/>
  <c r="C178" i="4" s="1"/>
  <c r="D414" i="4"/>
  <c r="C414" i="4" s="1"/>
  <c r="D148" i="4"/>
  <c r="C148" i="4" s="1"/>
  <c r="D155" i="4"/>
  <c r="C155" i="4" s="1"/>
  <c r="D312" i="4"/>
  <c r="C312" i="4" s="1"/>
  <c r="D315" i="4"/>
  <c r="C315" i="4" s="1"/>
  <c r="D487" i="4"/>
  <c r="C487" i="4" s="1"/>
  <c r="D577" i="4"/>
  <c r="C577" i="4" s="1"/>
  <c r="D390" i="4"/>
  <c r="C390" i="4" s="1"/>
  <c r="D485" i="4"/>
  <c r="C485" i="4" s="1"/>
  <c r="D161" i="4"/>
  <c r="C161" i="4" s="1"/>
  <c r="D301" i="4"/>
  <c r="C301" i="4" s="1"/>
  <c r="D120" i="4"/>
  <c r="C120" i="4" s="1"/>
  <c r="D10" i="4"/>
  <c r="C10" i="4" s="1"/>
  <c r="D352" i="4"/>
  <c r="C352" i="4" s="1"/>
  <c r="D515" i="4"/>
  <c r="C515" i="4" s="1"/>
  <c r="D244" i="4"/>
  <c r="C244" i="4" s="1"/>
  <c r="D118" i="4"/>
  <c r="C118" i="4" s="1"/>
  <c r="D394" i="4"/>
  <c r="C394" i="4" s="1"/>
  <c r="D410" i="4"/>
  <c r="C410" i="4" s="1"/>
  <c r="D541" i="4"/>
  <c r="C541" i="4" s="1"/>
  <c r="D603" i="4"/>
  <c r="C603" i="4" s="1"/>
  <c r="D213" i="4"/>
  <c r="C213" i="4" s="1"/>
  <c r="D435" i="4"/>
  <c r="C435" i="4" s="1"/>
  <c r="T23" i="17"/>
  <c r="D413" i="4"/>
  <c r="C413" i="4" s="1"/>
  <c r="D81" i="4"/>
  <c r="C81" i="4" s="1"/>
  <c r="D37" i="4"/>
  <c r="C37" i="4" s="1"/>
  <c r="D343" i="4"/>
  <c r="C343" i="4" s="1"/>
  <c r="D451" i="4"/>
  <c r="C451" i="4" s="1"/>
  <c r="D586" i="4"/>
  <c r="C586" i="4" s="1"/>
  <c r="D475" i="4"/>
  <c r="C475" i="4" s="1"/>
  <c r="D187" i="4"/>
  <c r="C187" i="4" s="1"/>
  <c r="D149" i="4"/>
  <c r="C149" i="4" s="1"/>
  <c r="D220" i="4"/>
  <c r="C220" i="4" s="1"/>
  <c r="D357" i="4"/>
  <c r="C357" i="4" s="1"/>
  <c r="D538" i="4"/>
  <c r="C538" i="4" s="1"/>
  <c r="D507" i="4"/>
  <c r="C507" i="4" s="1"/>
  <c r="D317" i="4"/>
  <c r="C317" i="4" s="1"/>
  <c r="D48" i="4"/>
  <c r="C48" i="4" s="1"/>
  <c r="D592" i="4"/>
  <c r="C592" i="4" s="1"/>
  <c r="D160" i="4"/>
  <c r="C160" i="4" s="1"/>
  <c r="D250" i="4"/>
  <c r="C250" i="4" s="1"/>
  <c r="D368" i="4"/>
  <c r="C368" i="4" s="1"/>
  <c r="D419" i="4"/>
  <c r="C419" i="4" s="1"/>
  <c r="D57" i="4"/>
  <c r="C57" i="4" s="1"/>
  <c r="D585" i="4"/>
  <c r="C585" i="4" s="1"/>
  <c r="D430" i="4"/>
  <c r="C430" i="4" s="1"/>
  <c r="D601" i="4"/>
  <c r="C601" i="4" s="1"/>
  <c r="D334" i="4"/>
  <c r="C334" i="4" s="1"/>
  <c r="D78" i="4"/>
  <c r="C78" i="4" s="1"/>
  <c r="D219" i="4"/>
  <c r="C219" i="4" s="1"/>
  <c r="D240" i="4"/>
  <c r="C240" i="4" s="1"/>
  <c r="D60" i="4"/>
  <c r="C60" i="4" s="1"/>
  <c r="D560" i="4"/>
  <c r="C560" i="4" s="1"/>
  <c r="D91" i="4"/>
  <c r="C91" i="4" s="1"/>
  <c r="D566" i="4"/>
  <c r="C566" i="4" s="1"/>
  <c r="D382" i="4"/>
  <c r="C382" i="4" s="1"/>
  <c r="D51" i="4"/>
  <c r="C51" i="4" s="1"/>
  <c r="D32" i="4"/>
  <c r="C32" i="4" s="1"/>
  <c r="D328" i="4"/>
  <c r="C328" i="4" s="1"/>
  <c r="D127" i="4"/>
  <c r="C127" i="4" s="1"/>
  <c r="D372" i="4"/>
  <c r="C372" i="4" s="1"/>
  <c r="D18" i="4"/>
  <c r="C18" i="4" s="1"/>
  <c r="D260" i="4"/>
  <c r="C260" i="4" s="1"/>
  <c r="D83" i="4"/>
  <c r="C83" i="4" s="1"/>
  <c r="D506" i="4"/>
  <c r="C506" i="4" s="1"/>
  <c r="D58" i="4"/>
  <c r="C58" i="4" s="1"/>
  <c r="T126" i="27"/>
  <c r="D327" i="4"/>
  <c r="C327" i="4" s="1"/>
  <c r="D110" i="4"/>
  <c r="C110" i="4" s="1"/>
  <c r="D221" i="4"/>
  <c r="C221" i="4" s="1"/>
  <c r="D50" i="4"/>
  <c r="C50" i="4" s="1"/>
  <c r="D578" i="4"/>
  <c r="C578" i="4" s="1"/>
  <c r="D132" i="4"/>
  <c r="C132" i="4" s="1"/>
  <c r="D195" i="4"/>
  <c r="C195" i="4" s="1"/>
  <c r="D472" i="4"/>
  <c r="C472" i="4" s="1"/>
  <c r="D346" i="4"/>
  <c r="C346" i="4" s="1"/>
  <c r="D59" i="4"/>
  <c r="C59" i="4" s="1"/>
  <c r="D164" i="4"/>
  <c r="C164" i="4" s="1"/>
  <c r="D597" i="4"/>
  <c r="C597" i="4" s="1"/>
  <c r="D602" i="4"/>
  <c r="C602" i="4" s="1"/>
  <c r="D406" i="4"/>
  <c r="C406" i="4" s="1"/>
  <c r="D133" i="4"/>
  <c r="C133" i="4" s="1"/>
  <c r="D167" i="4"/>
  <c r="C167" i="4" s="1"/>
  <c r="D532" i="4"/>
  <c r="C532" i="4" s="1"/>
  <c r="D453" i="4"/>
  <c r="C453" i="4" s="1"/>
  <c r="D377" i="4"/>
  <c r="C377" i="4" s="1"/>
  <c r="D209" i="4"/>
  <c r="C209" i="4" s="1"/>
  <c r="D363" i="4"/>
  <c r="C363" i="4" s="1"/>
  <c r="D403" i="4"/>
  <c r="C403" i="4" s="1"/>
  <c r="D275" i="4"/>
  <c r="C275" i="4" s="1"/>
  <c r="D175" i="4"/>
  <c r="C175" i="4" s="1"/>
  <c r="D319" i="4"/>
  <c r="C319" i="4" s="1"/>
  <c r="D62" i="4"/>
  <c r="C62" i="4" s="1"/>
  <c r="D218" i="4"/>
  <c r="C218" i="4" s="1"/>
  <c r="D298" i="4"/>
  <c r="C298" i="4" s="1"/>
  <c r="D421" i="4"/>
  <c r="C421" i="4" s="1"/>
  <c r="D503" i="4"/>
  <c r="C503" i="4" s="1"/>
  <c r="T18" i="17"/>
  <c r="D311" i="4"/>
  <c r="C311" i="4" s="1"/>
  <c r="D102" i="4"/>
  <c r="C102" i="4" s="1"/>
  <c r="D274" i="4"/>
  <c r="C274" i="4" s="1"/>
  <c r="D527" i="4"/>
  <c r="C527" i="4" s="1"/>
  <c r="J57" i="37"/>
  <c r="D294" i="4"/>
  <c r="C294" i="4" s="1"/>
  <c r="D433" i="4"/>
  <c r="C433" i="4" s="1"/>
  <c r="D329" i="4"/>
  <c r="C329" i="4" s="1"/>
  <c r="D434" i="4"/>
  <c r="C434" i="4" s="1"/>
  <c r="D400" i="4"/>
  <c r="C400" i="4" s="1"/>
  <c r="D374" i="4"/>
  <c r="C374" i="4" s="1"/>
  <c r="D347" i="4"/>
  <c r="C347" i="4" s="1"/>
  <c r="D353" i="4"/>
  <c r="C353" i="4" s="1"/>
  <c r="D417" i="4"/>
  <c r="C417" i="4" s="1"/>
  <c r="D364" i="4"/>
  <c r="C364" i="4" s="1"/>
  <c r="D269" i="4"/>
  <c r="C269" i="4" s="1"/>
  <c r="D548" i="4"/>
  <c r="C548" i="4" s="1"/>
  <c r="D379" i="4"/>
  <c r="C379" i="4" s="1"/>
  <c r="D112" i="4"/>
  <c r="C112" i="4" s="1"/>
  <c r="D65" i="4"/>
  <c r="C65" i="4" s="1"/>
  <c r="D543" i="4"/>
  <c r="C543" i="4" s="1"/>
  <c r="D97" i="4"/>
  <c r="C97" i="4" s="1"/>
  <c r="D427" i="4"/>
  <c r="C427" i="4" s="1"/>
  <c r="D84" i="4"/>
  <c r="C84" i="4" s="1"/>
  <c r="D134" i="4"/>
  <c r="C134" i="4" s="1"/>
  <c r="D287" i="4"/>
  <c r="C287" i="4" s="1"/>
  <c r="D225" i="4"/>
  <c r="C225" i="4" s="1"/>
  <c r="D340" i="4"/>
  <c r="C340" i="4" s="1"/>
  <c r="D415" i="4"/>
  <c r="C415" i="4" s="1"/>
  <c r="D140" i="4"/>
  <c r="C140" i="4" s="1"/>
  <c r="D45" i="4"/>
  <c r="C45" i="4" s="1"/>
  <c r="D39" i="4"/>
  <c r="C39" i="4" s="1"/>
  <c r="D495" i="4"/>
  <c r="C495" i="4" s="1"/>
  <c r="D27" i="4"/>
  <c r="C27" i="4" s="1"/>
  <c r="D231" i="4"/>
  <c r="C231" i="4" s="1"/>
  <c r="D241" i="4"/>
  <c r="C241" i="4" s="1"/>
  <c r="D371" i="4"/>
  <c r="C371" i="4" s="1"/>
  <c r="D387" i="4"/>
  <c r="C387" i="4" s="1"/>
  <c r="D230" i="4"/>
  <c r="C230" i="4" s="1"/>
  <c r="D316" i="4"/>
  <c r="C316" i="4" s="1"/>
  <c r="D570" i="4"/>
  <c r="C570" i="4" s="1"/>
  <c r="D488" i="4"/>
  <c r="C488" i="4" s="1"/>
  <c r="D193" i="4"/>
  <c r="C193" i="4" s="1"/>
  <c r="D523" i="4"/>
  <c r="C523" i="4" s="1"/>
  <c r="D588" i="4"/>
  <c r="C588" i="4" s="1"/>
  <c r="D124" i="4"/>
  <c r="C124" i="4" s="1"/>
  <c r="D551" i="4"/>
  <c r="C551" i="4" s="1"/>
  <c r="D235" i="4"/>
  <c r="C235" i="4" s="1"/>
  <c r="D325" i="4"/>
  <c r="C325" i="4" s="1"/>
  <c r="D227" i="4"/>
  <c r="C227" i="4" s="1"/>
  <c r="D513" i="4"/>
  <c r="C513" i="4" s="1"/>
  <c r="D376" i="4"/>
  <c r="C376" i="4" s="1"/>
  <c r="D569" i="4"/>
  <c r="C569" i="4" s="1"/>
  <c r="D146" i="4"/>
  <c r="C146" i="4" s="1"/>
  <c r="D408" i="4"/>
  <c r="C408" i="4" s="1"/>
  <c r="D279" i="4"/>
  <c r="C279" i="4" s="1"/>
  <c r="D464" i="4"/>
  <c r="C464" i="4" s="1"/>
  <c r="D163" i="4"/>
  <c r="C163" i="4" s="1"/>
  <c r="D13" i="4"/>
  <c r="C13" i="4" s="1"/>
  <c r="D547" i="4"/>
  <c r="C547" i="4" s="1"/>
  <c r="D437" i="4"/>
  <c r="C437" i="4" s="1"/>
  <c r="D556" i="4"/>
  <c r="C556" i="4" s="1"/>
  <c r="D273" i="4"/>
  <c r="C273" i="4" s="1"/>
  <c r="D271" i="4"/>
  <c r="C271" i="4" s="1"/>
  <c r="D115" i="4"/>
  <c r="C115" i="4" s="1"/>
  <c r="D264" i="4"/>
  <c r="C264" i="4" s="1"/>
  <c r="D401" i="4"/>
  <c r="C401" i="4" s="1"/>
  <c r="D189" i="4"/>
  <c r="C189" i="4" s="1"/>
  <c r="D463" i="4"/>
  <c r="C463" i="4" s="1"/>
  <c r="D564" i="4"/>
  <c r="C564" i="4" s="1"/>
  <c r="D348" i="4"/>
  <c r="C348" i="4" s="1"/>
  <c r="D384" i="4"/>
  <c r="C384" i="4" s="1"/>
  <c r="D594" i="4"/>
  <c r="C594" i="4" s="1"/>
  <c r="D432" i="4"/>
  <c r="C432" i="4" s="1"/>
  <c r="D409" i="4"/>
  <c r="C409" i="4" s="1"/>
  <c r="D407" i="4"/>
  <c r="C407" i="4" s="1"/>
  <c r="D533" i="4"/>
  <c r="C533" i="4" s="1"/>
  <c r="D14" i="4"/>
  <c r="C14" i="4" s="1"/>
  <c r="D446" i="4"/>
  <c r="C446" i="4" s="1"/>
  <c r="D94" i="4"/>
  <c r="C94" i="4" s="1"/>
  <c r="D105" i="4"/>
  <c r="C105" i="4" s="1"/>
  <c r="D34" i="4"/>
  <c r="C34" i="4" s="1"/>
  <c r="D338" i="4"/>
  <c r="C338" i="4" s="1"/>
  <c r="D550" i="4"/>
  <c r="C550" i="4" s="1"/>
  <c r="D89" i="4"/>
  <c r="C89" i="4" s="1"/>
  <c r="D49" i="4"/>
  <c r="C49" i="4" s="1"/>
  <c r="D508" i="4"/>
  <c r="C508" i="4" s="1"/>
  <c r="D200" i="4"/>
  <c r="C200" i="4" s="1"/>
  <c r="D510" i="4"/>
  <c r="C510" i="4" s="1"/>
  <c r="D93" i="4"/>
  <c r="C93" i="4" s="1"/>
  <c r="D234" i="4"/>
  <c r="C234" i="4" s="1"/>
  <c r="D222" i="4"/>
  <c r="C222" i="4" s="1"/>
  <c r="D500" i="4"/>
  <c r="C500" i="4" s="1"/>
  <c r="D249" i="4"/>
  <c r="C249" i="4" s="1"/>
  <c r="D563" i="4"/>
  <c r="C563" i="4" s="1"/>
  <c r="D486" i="4"/>
  <c r="C486" i="4" s="1"/>
  <c r="D85" i="4"/>
  <c r="C85" i="4" s="1"/>
  <c r="T125" i="27"/>
  <c r="D289" i="4"/>
  <c r="C289" i="4" s="1"/>
  <c r="D172" i="4"/>
  <c r="C172" i="4" s="1"/>
  <c r="D184" i="4"/>
  <c r="C184" i="4" s="1"/>
  <c r="D47" i="4"/>
  <c r="C47" i="4" s="1"/>
  <c r="D56" i="4"/>
  <c r="C56" i="4" s="1"/>
  <c r="D579" i="4"/>
  <c r="C579" i="4" s="1"/>
  <c r="D258" i="4"/>
  <c r="C258" i="4" s="1"/>
  <c r="D411" i="4"/>
  <c r="C411" i="4" s="1"/>
  <c r="D114" i="4"/>
  <c r="C114" i="4" s="1"/>
  <c r="D12" i="4"/>
  <c r="C12" i="4" s="1"/>
  <c r="D391" i="4"/>
  <c r="C391" i="4" s="1"/>
  <c r="D229" i="4"/>
  <c r="C229" i="4" s="1"/>
  <c r="D23" i="4"/>
  <c r="C23" i="4" s="1"/>
  <c r="D153" i="4"/>
  <c r="C153" i="4" s="1"/>
  <c r="D42" i="4"/>
  <c r="C42" i="4" s="1"/>
  <c r="D520" i="4"/>
  <c r="C520" i="4" s="1"/>
  <c r="D291" i="4"/>
  <c r="C291" i="4" s="1"/>
  <c r="D67" i="4"/>
  <c r="C67" i="4" s="1"/>
  <c r="U23" i="38"/>
  <c r="D54" i="4"/>
  <c r="C54" i="4" s="1"/>
  <c r="D180" i="4"/>
  <c r="C180" i="4" s="1"/>
  <c r="D426" i="4"/>
  <c r="C426" i="4" s="1"/>
  <c r="D465" i="4"/>
  <c r="C465" i="4" s="1"/>
  <c r="D232" i="4"/>
  <c r="C232" i="4" s="1"/>
  <c r="D494" i="4"/>
  <c r="C494" i="4" s="1"/>
  <c r="D468" i="4"/>
  <c r="C468" i="4" s="1"/>
  <c r="D501" i="4"/>
  <c r="C501" i="4" s="1"/>
  <c r="D331" i="4"/>
  <c r="C331" i="4" s="1"/>
  <c r="D22" i="4"/>
  <c r="C22" i="4" s="1"/>
  <c r="D332" i="4"/>
  <c r="C332" i="4" s="1"/>
  <c r="D136" i="4"/>
  <c r="C136" i="4" s="1"/>
  <c r="D282" i="4"/>
  <c r="C282" i="4" s="1"/>
  <c r="D535" i="4"/>
  <c r="C535" i="4" s="1"/>
  <c r="D322" i="4"/>
  <c r="C322" i="4" s="1"/>
  <c r="D505" i="4"/>
  <c r="C505" i="4" s="1"/>
  <c r="D68" i="4"/>
  <c r="C68" i="4" s="1"/>
  <c r="D553" i="4"/>
  <c r="C553" i="4" s="1"/>
  <c r="D142" i="4"/>
  <c r="C142" i="4" s="1"/>
  <c r="D170" i="4"/>
  <c r="C170" i="4" s="1"/>
  <c r="D496" i="4"/>
  <c r="C496" i="4" s="1"/>
  <c r="D519" i="4"/>
  <c r="C519" i="4" s="1"/>
  <c r="D295" i="4"/>
  <c r="C295" i="4" s="1"/>
  <c r="D395" i="4"/>
  <c r="C395" i="4" s="1"/>
  <c r="D476" i="4"/>
  <c r="C476" i="4" s="1"/>
  <c r="D98" i="4"/>
  <c r="C98" i="4" s="1"/>
  <c r="D280" i="4"/>
  <c r="C280" i="4" s="1"/>
  <c r="D123" i="4"/>
  <c r="C123" i="4" s="1"/>
  <c r="D370" i="4"/>
  <c r="C370" i="4" s="1"/>
  <c r="D183" i="4"/>
  <c r="C183" i="4" s="1"/>
  <c r="D125" i="4"/>
  <c r="C125" i="4" s="1"/>
  <c r="J60" i="37"/>
  <c r="J65" i="37" s="1"/>
  <c r="U30" i="38"/>
  <c r="S35" i="38" s="1"/>
  <c r="D35" i="38" s="1"/>
  <c r="T128" i="27"/>
  <c r="Q133" i="27" s="1"/>
  <c r="C133" i="27" s="1"/>
  <c r="G65" i="37"/>
  <c r="H65" i="37"/>
  <c r="I65" i="37"/>
  <c r="Q108" i="17"/>
  <c r="W108" i="17" s="1"/>
  <c r="AC108" i="17" s="1"/>
  <c r="R108" i="17"/>
  <c r="X108" i="17" s="1"/>
  <c r="AD108" i="17" s="1"/>
  <c r="S108" i="17"/>
  <c r="Y108" i="17" s="1"/>
  <c r="AE108" i="17" s="1"/>
  <c r="T108" i="17"/>
  <c r="P108" i="17"/>
  <c r="Q107" i="17"/>
  <c r="R107" i="17"/>
  <c r="X107" i="17" s="1"/>
  <c r="AD107" i="17" s="1"/>
  <c r="S107" i="17"/>
  <c r="Y107" i="17" s="1"/>
  <c r="AE107" i="17" s="1"/>
  <c r="T107" i="17"/>
  <c r="T25" i="17" l="1"/>
  <c r="T30" i="17" s="1"/>
  <c r="F30" i="17" s="1"/>
  <c r="F65" i="37"/>
  <c r="R35" i="38"/>
  <c r="C35" i="38" s="1"/>
  <c r="R133" i="27"/>
  <c r="D133" i="27" s="1"/>
  <c r="T133" i="27"/>
  <c r="F133" i="27" s="1"/>
  <c r="S133" i="27"/>
  <c r="E133" i="27" s="1"/>
  <c r="U35" i="38"/>
  <c r="F35" i="38" s="1"/>
  <c r="P133" i="27"/>
  <c r="B133" i="27" s="1"/>
  <c r="T35" i="38"/>
  <c r="E35" i="38" s="1"/>
  <c r="Q35" i="38"/>
  <c r="B35" i="38" s="1"/>
  <c r="Q30" i="17"/>
  <c r="C30" i="17" s="1"/>
  <c r="Z107" i="17"/>
  <c r="AF107" i="17" s="1"/>
  <c r="V108" i="17"/>
  <c r="AB108" i="17" s="1"/>
  <c r="Z108" i="17"/>
  <c r="AF108" i="17" s="1"/>
  <c r="W107" i="17"/>
  <c r="AC107" i="17" s="1"/>
  <c r="N302" i="17"/>
  <c r="R301" i="17"/>
  <c r="R300" i="17"/>
  <c r="R299" i="17"/>
  <c r="R298" i="17"/>
  <c r="R297" i="17"/>
  <c r="R296" i="17"/>
  <c r="N266" i="17"/>
  <c r="N162" i="17"/>
  <c r="N163" i="17"/>
  <c r="AC163" i="17" s="1"/>
  <c r="N164" i="17"/>
  <c r="N165" i="17"/>
  <c r="N166" i="17"/>
  <c r="N161" i="17"/>
  <c r="N279" i="17"/>
  <c r="R265" i="17"/>
  <c r="R264" i="17"/>
  <c r="R263" i="17"/>
  <c r="R262" i="17"/>
  <c r="R261" i="17"/>
  <c r="R260" i="17"/>
  <c r="R135" i="17"/>
  <c r="R136" i="17"/>
  <c r="R137" i="17"/>
  <c r="R138" i="17"/>
  <c r="R139" i="17"/>
  <c r="R140" i="17"/>
  <c r="R141" i="17"/>
  <c r="R142" i="17"/>
  <c r="R143" i="17"/>
  <c r="R144" i="17"/>
  <c r="R145" i="17"/>
  <c r="R146" i="17"/>
  <c r="N147" i="17"/>
  <c r="S30" i="17" l="1"/>
  <c r="E30" i="17" s="1"/>
  <c r="P30" i="17"/>
  <c r="B30" i="17" s="1"/>
  <c r="R30" i="17"/>
  <c r="D30" i="17" s="1"/>
  <c r="L1" i="38"/>
  <c r="N190" i="17"/>
  <c r="R189" i="17"/>
  <c r="R188" i="17"/>
  <c r="R187" i="17"/>
  <c r="R186" i="17"/>
  <c r="R185" i="17"/>
  <c r="W184" i="17"/>
  <c r="V184" i="17"/>
  <c r="U184" i="17"/>
  <c r="T184" i="17"/>
  <c r="R184" i="17"/>
  <c r="R183" i="17"/>
  <c r="R182" i="17"/>
  <c r="R181" i="17"/>
  <c r="R180" i="17"/>
  <c r="R179" i="17"/>
  <c r="R178" i="17"/>
  <c r="C18" i="41"/>
  <c r="N1" i="38" l="1"/>
  <c r="Y184" i="17"/>
  <c r="Z184" i="17"/>
  <c r="AA184" i="17"/>
  <c r="AB184" i="17"/>
  <c r="R239" i="17"/>
  <c r="R238" i="17"/>
  <c r="R222" i="17"/>
  <c r="R221" i="17"/>
  <c r="H119" i="8"/>
  <c r="H118" i="8"/>
  <c r="H117" i="8"/>
  <c r="H116" i="8"/>
  <c r="H115" i="8"/>
  <c r="H28" i="8"/>
  <c r="H27" i="8"/>
  <c r="H26" i="8"/>
  <c r="H25" i="8"/>
  <c r="H24" i="8"/>
  <c r="I115" i="8" l="1"/>
  <c r="I117" i="8"/>
  <c r="R550" i="5" s="1"/>
  <c r="I118" i="8"/>
  <c r="Q551" i="5" s="1"/>
  <c r="I116" i="8"/>
  <c r="I24" i="8"/>
  <c r="I26" i="8"/>
  <c r="I27" i="8"/>
  <c r="I25" i="8"/>
  <c r="B11" i="8"/>
  <c r="Y145" i="31"/>
  <c r="X145" i="31"/>
  <c r="W145" i="31"/>
  <c r="V145" i="31"/>
  <c r="U145" i="31"/>
  <c r="Y143" i="31"/>
  <c r="X143" i="31"/>
  <c r="W143" i="31"/>
  <c r="V143" i="31"/>
  <c r="U143" i="31"/>
  <c r="AJ134" i="31"/>
  <c r="W134" i="31"/>
  <c r="U134" i="31"/>
  <c r="T134" i="31"/>
  <c r="W133" i="31"/>
  <c r="U133" i="31"/>
  <c r="P133" i="31"/>
  <c r="T133" i="31" s="1"/>
  <c r="W132" i="31"/>
  <c r="U132" i="31"/>
  <c r="P132" i="31"/>
  <c r="T132" i="31" s="1"/>
  <c r="W131" i="31"/>
  <c r="U131" i="31"/>
  <c r="P131" i="31"/>
  <c r="T131" i="31" s="1"/>
  <c r="W130" i="31"/>
  <c r="U130" i="31"/>
  <c r="P130" i="31"/>
  <c r="T130" i="31" s="1"/>
  <c r="W129" i="31"/>
  <c r="U129" i="31"/>
  <c r="P129" i="31"/>
  <c r="T129" i="31" s="1"/>
  <c r="W128" i="31"/>
  <c r="U128" i="31"/>
  <c r="P128" i="31"/>
  <c r="T128" i="31" s="1"/>
  <c r="W127" i="31"/>
  <c r="U127" i="31"/>
  <c r="P127" i="31"/>
  <c r="T127" i="31" s="1"/>
  <c r="W126" i="31"/>
  <c r="U126" i="31"/>
  <c r="P126" i="31"/>
  <c r="T126" i="31" s="1"/>
  <c r="W125" i="31"/>
  <c r="U125" i="31"/>
  <c r="P125" i="31"/>
  <c r="T125" i="31" s="1"/>
  <c r="Y112" i="31"/>
  <c r="X112" i="31"/>
  <c r="W112" i="31"/>
  <c r="V112" i="31"/>
  <c r="U112" i="31"/>
  <c r="Y110" i="31"/>
  <c r="X110" i="31"/>
  <c r="W110" i="31"/>
  <c r="V110" i="31"/>
  <c r="U110" i="31"/>
  <c r="Y80" i="31"/>
  <c r="X80" i="31"/>
  <c r="W80" i="31"/>
  <c r="V80" i="31"/>
  <c r="U80" i="31"/>
  <c r="V78" i="31"/>
  <c r="W78" i="31"/>
  <c r="X78" i="31"/>
  <c r="Y78" i="31"/>
  <c r="U78" i="31"/>
  <c r="AJ101" i="31"/>
  <c r="P93" i="31"/>
  <c r="T93" i="31" s="1"/>
  <c r="P94" i="31"/>
  <c r="T94" i="31" s="1"/>
  <c r="AB94" i="31" s="1"/>
  <c r="P95" i="31"/>
  <c r="T95" i="31" s="1"/>
  <c r="P96" i="31"/>
  <c r="T96" i="31" s="1"/>
  <c r="AB96" i="31" s="1"/>
  <c r="P97" i="31"/>
  <c r="T97" i="31" s="1"/>
  <c r="P98" i="31"/>
  <c r="T98" i="31" s="1"/>
  <c r="AB98" i="31" s="1"/>
  <c r="P99" i="31"/>
  <c r="T99" i="31" s="1"/>
  <c r="P100" i="31"/>
  <c r="T100" i="31" s="1"/>
  <c r="AB100" i="31" s="1"/>
  <c r="P92" i="31"/>
  <c r="T92" i="31" s="1"/>
  <c r="U93" i="31"/>
  <c r="W93" i="31"/>
  <c r="U94" i="31"/>
  <c r="W94" i="31"/>
  <c r="U95" i="31"/>
  <c r="W95" i="31"/>
  <c r="U96" i="31"/>
  <c r="W96" i="31"/>
  <c r="U97" i="31"/>
  <c r="W97" i="31"/>
  <c r="U98" i="31"/>
  <c r="W98" i="31"/>
  <c r="U99" i="31"/>
  <c r="W99" i="31"/>
  <c r="U100" i="31"/>
  <c r="W100" i="31"/>
  <c r="T101" i="31"/>
  <c r="U101" i="31"/>
  <c r="W101" i="31"/>
  <c r="W92" i="31"/>
  <c r="U92" i="31"/>
  <c r="N461" i="5" l="1"/>
  <c r="N550" i="5"/>
  <c r="P462" i="5"/>
  <c r="R551" i="5"/>
  <c r="O461" i="5"/>
  <c r="P461" i="5"/>
  <c r="Q550" i="5"/>
  <c r="B10" i="8"/>
  <c r="R461" i="5"/>
  <c r="O550" i="5"/>
  <c r="M550" i="5"/>
  <c r="Q461" i="5"/>
  <c r="P550" i="5"/>
  <c r="B9" i="8"/>
  <c r="N462" i="5"/>
  <c r="Q462" i="5"/>
  <c r="M551" i="5"/>
  <c r="P551" i="5"/>
  <c r="O462" i="5"/>
  <c r="N551" i="5"/>
  <c r="B8" i="8"/>
  <c r="R462" i="5"/>
  <c r="O551" i="5"/>
  <c r="AL94" i="31"/>
  <c r="AI125" i="31"/>
  <c r="Z100" i="31"/>
  <c r="AI99" i="31"/>
  <c r="AI129" i="31"/>
  <c r="AI133" i="31"/>
  <c r="AL132" i="31"/>
  <c r="AL128" i="31"/>
  <c r="AF100" i="31"/>
  <c r="AC98" i="31"/>
  <c r="Z95" i="31"/>
  <c r="AC93" i="31"/>
  <c r="AI127" i="31"/>
  <c r="AI131" i="31"/>
  <c r="AL126" i="31"/>
  <c r="AL130" i="31"/>
  <c r="AL134" i="31"/>
  <c r="S146" i="31" s="1"/>
  <c r="Y146" i="31" s="1"/>
  <c r="F147" i="31" s="1"/>
  <c r="AK128" i="31"/>
  <c r="AE128" i="31"/>
  <c r="Y128" i="31"/>
  <c r="AB128" i="31"/>
  <c r="AH128" i="31"/>
  <c r="AH131" i="31"/>
  <c r="AB131" i="31"/>
  <c r="AK131" i="31"/>
  <c r="Y131" i="31"/>
  <c r="AE131" i="31"/>
  <c r="AH132" i="31"/>
  <c r="AK132" i="31"/>
  <c r="AE132" i="31"/>
  <c r="Y132" i="31"/>
  <c r="AB132" i="31"/>
  <c r="AE127" i="31"/>
  <c r="AH127" i="31"/>
  <c r="AB127" i="31"/>
  <c r="AK127" i="31"/>
  <c r="Y127" i="31"/>
  <c r="AK126" i="31"/>
  <c r="AE126" i="31"/>
  <c r="Y126" i="31"/>
  <c r="AB126" i="31"/>
  <c r="AH126" i="31"/>
  <c r="AH130" i="31"/>
  <c r="AK130" i="31"/>
  <c r="AE130" i="31"/>
  <c r="Y130" i="31"/>
  <c r="AB130" i="31"/>
  <c r="AE125" i="31"/>
  <c r="AH125" i="31"/>
  <c r="AB125" i="31"/>
  <c r="AK125" i="31"/>
  <c r="Y125" i="31"/>
  <c r="AH129" i="31"/>
  <c r="AB129" i="31"/>
  <c r="AE129" i="31"/>
  <c r="Y129" i="31"/>
  <c r="AK129" i="31"/>
  <c r="AE133" i="31"/>
  <c r="AH133" i="31"/>
  <c r="AB133" i="31"/>
  <c r="AK133" i="31"/>
  <c r="Y133" i="31"/>
  <c r="Z125" i="31"/>
  <c r="AF125" i="31"/>
  <c r="AL125" i="31"/>
  <c r="AC126" i="31"/>
  <c r="AI126" i="31"/>
  <c r="Z127" i="31"/>
  <c r="AF127" i="31"/>
  <c r="AL127" i="31"/>
  <c r="AC128" i="31"/>
  <c r="AI128" i="31"/>
  <c r="Z129" i="31"/>
  <c r="AF129" i="31"/>
  <c r="AL129" i="31"/>
  <c r="AC130" i="31"/>
  <c r="AI130" i="31"/>
  <c r="Z131" i="31"/>
  <c r="AF131" i="31"/>
  <c r="AL131" i="31"/>
  <c r="AC132" i="31"/>
  <c r="AI132" i="31"/>
  <c r="Z133" i="31"/>
  <c r="AF133" i="31"/>
  <c r="AL133" i="31"/>
  <c r="AC125" i="31"/>
  <c r="Z126" i="31"/>
  <c r="AF126" i="31"/>
  <c r="AC127" i="31"/>
  <c r="Z128" i="31"/>
  <c r="AF128" i="31"/>
  <c r="AC129" i="31"/>
  <c r="Z130" i="31"/>
  <c r="AF130" i="31"/>
  <c r="AC131" i="31"/>
  <c r="Z132" i="31"/>
  <c r="AF132" i="31"/>
  <c r="AC133" i="31"/>
  <c r="AL92" i="31"/>
  <c r="AC99" i="31"/>
  <c r="AC97" i="31"/>
  <c r="AC96" i="31"/>
  <c r="AL100" i="31"/>
  <c r="AL96" i="31"/>
  <c r="AF96" i="31"/>
  <c r="AL98" i="31"/>
  <c r="Z96" i="31"/>
  <c r="AI95" i="31"/>
  <c r="AF98" i="31"/>
  <c r="AC94" i="31"/>
  <c r="Z93" i="31"/>
  <c r="Z97" i="31"/>
  <c r="AC100" i="31"/>
  <c r="Z99" i="31"/>
  <c r="Z98" i="31"/>
  <c r="AI97" i="31"/>
  <c r="AC95" i="31"/>
  <c r="AF94" i="31"/>
  <c r="Z94" i="31"/>
  <c r="AI93" i="31"/>
  <c r="Y97" i="31"/>
  <c r="AE97" i="31"/>
  <c r="AK97" i="31"/>
  <c r="AB97" i="31"/>
  <c r="AH97" i="31"/>
  <c r="Y95" i="31"/>
  <c r="AE95" i="31"/>
  <c r="AK95" i="31"/>
  <c r="AB95" i="31"/>
  <c r="AH95" i="31"/>
  <c r="Y99" i="31"/>
  <c r="AE99" i="31"/>
  <c r="AK99" i="31"/>
  <c r="AB99" i="31"/>
  <c r="AH99" i="31"/>
  <c r="Y93" i="31"/>
  <c r="AE93" i="31"/>
  <c r="AK93" i="31"/>
  <c r="AB93" i="31"/>
  <c r="AH93" i="31"/>
  <c r="AK100" i="31"/>
  <c r="AE100" i="31"/>
  <c r="AK98" i="31"/>
  <c r="AE98" i="31"/>
  <c r="Y98" i="31"/>
  <c r="AK96" i="31"/>
  <c r="AE96" i="31"/>
  <c r="Y96" i="31"/>
  <c r="AK94" i="31"/>
  <c r="AE94" i="31"/>
  <c r="Y94" i="31"/>
  <c r="Y100" i="31"/>
  <c r="AL101" i="31"/>
  <c r="S113" i="31" s="1"/>
  <c r="AE113" i="31" s="1"/>
  <c r="F115" i="31" s="1"/>
  <c r="AI100" i="31"/>
  <c r="AL99" i="31"/>
  <c r="AF99" i="31"/>
  <c r="AI98" i="31"/>
  <c r="AL97" i="31"/>
  <c r="AF97" i="31"/>
  <c r="AI96" i="31"/>
  <c r="AL95" i="31"/>
  <c r="AF95" i="31"/>
  <c r="AI94" i="31"/>
  <c r="AL93" i="31"/>
  <c r="AF93" i="31"/>
  <c r="AH100" i="31"/>
  <c r="AH98" i="31"/>
  <c r="AH96" i="31"/>
  <c r="AH94" i="31"/>
  <c r="AK92" i="31"/>
  <c r="AE92" i="31"/>
  <c r="Y92" i="31"/>
  <c r="AH92" i="31"/>
  <c r="AB92" i="31"/>
  <c r="AC92" i="31"/>
  <c r="AI92" i="31"/>
  <c r="Z92" i="31"/>
  <c r="AF92" i="31"/>
  <c r="AE146" i="31" l="1"/>
  <c r="F148" i="31" s="1"/>
  <c r="AF101" i="31"/>
  <c r="Q113" i="31" s="1"/>
  <c r="W113" i="31" s="1"/>
  <c r="D114" i="31" s="1"/>
  <c r="AB101" i="31"/>
  <c r="P105" i="31" s="1"/>
  <c r="P106" i="31" s="1"/>
  <c r="P107" i="31" s="1"/>
  <c r="AK101" i="31"/>
  <c r="S105" i="31" s="1"/>
  <c r="S108" i="31" s="1"/>
  <c r="S109" i="31" s="1"/>
  <c r="AE134" i="31"/>
  <c r="Q138" i="31" s="1"/>
  <c r="Q141" i="31" s="1"/>
  <c r="Q142" i="31" s="1"/>
  <c r="Z101" i="31"/>
  <c r="O113" i="31" s="1"/>
  <c r="U113" i="31" s="1"/>
  <c r="AH101" i="31"/>
  <c r="R105" i="31" s="1"/>
  <c r="R108" i="31" s="1"/>
  <c r="R109" i="31" s="1"/>
  <c r="AI101" i="31"/>
  <c r="R113" i="31" s="1"/>
  <c r="AD113" i="31" s="1"/>
  <c r="E115" i="31" s="1"/>
  <c r="Y101" i="31"/>
  <c r="O105" i="31" s="1"/>
  <c r="AC101" i="31"/>
  <c r="P113" i="31" s="1"/>
  <c r="AB113" i="31" s="1"/>
  <c r="C115" i="31" s="1"/>
  <c r="AI134" i="31"/>
  <c r="R146" i="31" s="1"/>
  <c r="X146" i="31" s="1"/>
  <c r="E147" i="31" s="1"/>
  <c r="Y134" i="31"/>
  <c r="O138" i="31" s="1"/>
  <c r="AF134" i="31"/>
  <c r="Q146" i="31" s="1"/>
  <c r="AK134" i="31"/>
  <c r="S138" i="31" s="1"/>
  <c r="Z134" i="31"/>
  <c r="O146" i="31" s="1"/>
  <c r="AB134" i="31"/>
  <c r="P138" i="31" s="1"/>
  <c r="AC134" i="31"/>
  <c r="P146" i="31" s="1"/>
  <c r="AH134" i="31"/>
  <c r="R138" i="31" s="1"/>
  <c r="Y113" i="31"/>
  <c r="F114" i="31" s="1"/>
  <c r="AE101" i="31"/>
  <c r="Q105" i="31" s="1"/>
  <c r="Q106" i="31" s="1"/>
  <c r="Q107" i="31" s="1"/>
  <c r="P108" i="31" l="1"/>
  <c r="P109" i="31" s="1"/>
  <c r="R106" i="31"/>
  <c r="R107" i="31" s="1"/>
  <c r="B114" i="31"/>
  <c r="X113" i="31"/>
  <c r="E114" i="31" s="1"/>
  <c r="O108" i="31"/>
  <c r="O109" i="31" s="1"/>
  <c r="O106" i="31"/>
  <c r="O107" i="31" s="1"/>
  <c r="R110" i="31"/>
  <c r="P110" i="31"/>
  <c r="S110" i="31"/>
  <c r="AC113" i="31"/>
  <c r="D115" i="31" s="1"/>
  <c r="AA113" i="31"/>
  <c r="B115" i="31" s="1"/>
  <c r="V113" i="31"/>
  <c r="C114" i="31" s="1"/>
  <c r="Q139" i="31"/>
  <c r="Q140" i="31" s="1"/>
  <c r="Q108" i="31"/>
  <c r="Q109" i="31" s="1"/>
  <c r="S106" i="31"/>
  <c r="S107" i="31" s="1"/>
  <c r="Q143" i="31"/>
  <c r="AD146" i="31"/>
  <c r="E148" i="31" s="1"/>
  <c r="O110" i="31"/>
  <c r="Q110" i="31"/>
  <c r="O141" i="31"/>
  <c r="O142" i="31" s="1"/>
  <c r="O143" i="31"/>
  <c r="O139" i="31"/>
  <c r="O140" i="31" s="1"/>
  <c r="P141" i="31"/>
  <c r="P142" i="31" s="1"/>
  <c r="P143" i="31"/>
  <c r="P139" i="31"/>
  <c r="P140" i="31" s="1"/>
  <c r="U146" i="31"/>
  <c r="AA146" i="31"/>
  <c r="B148" i="31" s="1"/>
  <c r="S141" i="31"/>
  <c r="S142" i="31" s="1"/>
  <c r="S143" i="31"/>
  <c r="S139" i="31"/>
  <c r="S140" i="31" s="1"/>
  <c r="AB146" i="31"/>
  <c r="C148" i="31" s="1"/>
  <c r="V146" i="31"/>
  <c r="C147" i="31" s="1"/>
  <c r="R141" i="31"/>
  <c r="R142" i="31" s="1"/>
  <c r="R139" i="31"/>
  <c r="R140" i="31" s="1"/>
  <c r="R143" i="31"/>
  <c r="AC146" i="31"/>
  <c r="D148" i="31" s="1"/>
  <c r="W146" i="31"/>
  <c r="D147" i="31" s="1"/>
  <c r="P111" i="31" l="1"/>
  <c r="AB111" i="31" s="1"/>
  <c r="C113" i="31" s="1"/>
  <c r="R111" i="31"/>
  <c r="X111" i="31" s="1"/>
  <c r="E112" i="31" s="1"/>
  <c r="B147" i="31"/>
  <c r="AY146" i="31"/>
  <c r="AY113" i="31"/>
  <c r="S111" i="31"/>
  <c r="AE111" i="31" s="1"/>
  <c r="F113" i="31" s="1"/>
  <c r="P114" i="31"/>
  <c r="Q111" i="31"/>
  <c r="AC111" i="31" s="1"/>
  <c r="D113" i="31" s="1"/>
  <c r="O111" i="31"/>
  <c r="AA111" i="31" s="1"/>
  <c r="B113" i="31" s="1"/>
  <c r="Q144" i="31"/>
  <c r="AC144" i="31" s="1"/>
  <c r="D146" i="31" s="1"/>
  <c r="Y111" i="31"/>
  <c r="F112" i="31" s="1"/>
  <c r="O144" i="31"/>
  <c r="O147" i="31" s="1"/>
  <c r="P144" i="31"/>
  <c r="P147" i="31" s="1"/>
  <c r="S144" i="31"/>
  <c r="R144" i="31"/>
  <c r="AD111" i="31"/>
  <c r="E113" i="31" s="1"/>
  <c r="R114" i="31"/>
  <c r="AB114" i="31" l="1"/>
  <c r="V111" i="31"/>
  <c r="C112" i="31" s="1"/>
  <c r="S114" i="31"/>
  <c r="W144" i="31"/>
  <c r="D145" i="31" s="1"/>
  <c r="AA144" i="31"/>
  <c r="Q147" i="31"/>
  <c r="Q114" i="31"/>
  <c r="AC114" i="31"/>
  <c r="X114" i="31"/>
  <c r="Y114" i="31"/>
  <c r="AD114" i="31"/>
  <c r="W111" i="31"/>
  <c r="D112" i="31" s="1"/>
  <c r="AA114" i="31"/>
  <c r="AC147" i="31"/>
  <c r="AE114" i="31"/>
  <c r="O114" i="31"/>
  <c r="U111" i="31"/>
  <c r="U144" i="31"/>
  <c r="AB144" i="31"/>
  <c r="C146" i="31" s="1"/>
  <c r="V144" i="31"/>
  <c r="C145" i="31" s="1"/>
  <c r="AE144" i="31"/>
  <c r="F146" i="31" s="1"/>
  <c r="Y144" i="31"/>
  <c r="F145" i="31" s="1"/>
  <c r="S147" i="31"/>
  <c r="X144" i="31"/>
  <c r="E145" i="31" s="1"/>
  <c r="AD144" i="31"/>
  <c r="E146" i="31" s="1"/>
  <c r="R147" i="31"/>
  <c r="V114" i="31" l="1"/>
  <c r="AY111" i="31"/>
  <c r="B112" i="31"/>
  <c r="AA147" i="31"/>
  <c r="B146" i="31"/>
  <c r="AY144" i="31"/>
  <c r="B145" i="31"/>
  <c r="W147" i="31"/>
  <c r="Y147" i="31"/>
  <c r="AB147" i="31"/>
  <c r="W114" i="31"/>
  <c r="U114" i="31"/>
  <c r="AE147" i="31"/>
  <c r="V147" i="31"/>
  <c r="AD147" i="31"/>
  <c r="X147" i="31"/>
  <c r="U147" i="31"/>
  <c r="S97" i="18" l="1"/>
  <c r="S98" i="18"/>
  <c r="S99" i="18"/>
  <c r="S100" i="18"/>
  <c r="S101" i="18"/>
  <c r="S102" i="18"/>
  <c r="S103" i="18"/>
  <c r="S104" i="18"/>
  <c r="S105" i="18"/>
  <c r="S96" i="18"/>
  <c r="AI90" i="18"/>
  <c r="AG90" i="18"/>
  <c r="AE90" i="18"/>
  <c r="AC90" i="18"/>
  <c r="AA90" i="18"/>
  <c r="Y90" i="18"/>
  <c r="W90" i="18"/>
  <c r="U90" i="18"/>
  <c r="S90" i="18"/>
  <c r="Q90" i="18"/>
  <c r="AI89" i="18"/>
  <c r="AG89" i="18"/>
  <c r="AE89" i="18"/>
  <c r="AC89" i="18"/>
  <c r="AA89" i="18"/>
  <c r="Y89" i="18"/>
  <c r="W89" i="18"/>
  <c r="U89" i="18"/>
  <c r="S89" i="18"/>
  <c r="Q89" i="18"/>
  <c r="AI88" i="18"/>
  <c r="AG88" i="18"/>
  <c r="AE88" i="18"/>
  <c r="AC88" i="18"/>
  <c r="AA88" i="18"/>
  <c r="Y88" i="18"/>
  <c r="W88" i="18"/>
  <c r="U88" i="18"/>
  <c r="S88" i="18"/>
  <c r="Q88" i="18"/>
  <c r="AI87" i="18"/>
  <c r="AG87" i="18"/>
  <c r="AE87" i="18"/>
  <c r="AC87" i="18"/>
  <c r="AA87" i="18"/>
  <c r="Y87" i="18"/>
  <c r="W87" i="18"/>
  <c r="U87" i="18"/>
  <c r="S87" i="18"/>
  <c r="Q87" i="18"/>
  <c r="AI86" i="18"/>
  <c r="AG86" i="18"/>
  <c r="AE86" i="18"/>
  <c r="AC86" i="18"/>
  <c r="AA86" i="18"/>
  <c r="Y86" i="18"/>
  <c r="W86" i="18"/>
  <c r="U86" i="18"/>
  <c r="S86" i="18"/>
  <c r="Q86" i="18"/>
  <c r="AI85" i="18"/>
  <c r="AG85" i="18"/>
  <c r="AE85" i="18"/>
  <c r="AC85" i="18"/>
  <c r="AA85" i="18"/>
  <c r="Y85" i="18"/>
  <c r="W85" i="18"/>
  <c r="U85" i="18"/>
  <c r="S85" i="18"/>
  <c r="Q85" i="18"/>
  <c r="AI84" i="18"/>
  <c r="AG84" i="18"/>
  <c r="AE84" i="18"/>
  <c r="AC84" i="18"/>
  <c r="AA84" i="18"/>
  <c r="Y84" i="18"/>
  <c r="W84" i="18"/>
  <c r="U84" i="18"/>
  <c r="S84" i="18"/>
  <c r="Q84" i="18"/>
  <c r="AI83" i="18"/>
  <c r="AG83" i="18"/>
  <c r="AE83" i="18"/>
  <c r="AC83" i="18"/>
  <c r="AA83" i="18"/>
  <c r="Y83" i="18"/>
  <c r="W83" i="18"/>
  <c r="U83" i="18"/>
  <c r="S83" i="18"/>
  <c r="Q83" i="18"/>
  <c r="AI82" i="18"/>
  <c r="AG82" i="18"/>
  <c r="AE82" i="18"/>
  <c r="AC82" i="18"/>
  <c r="AA82" i="18"/>
  <c r="Y82" i="18"/>
  <c r="W82" i="18"/>
  <c r="U82" i="18"/>
  <c r="S82" i="18"/>
  <c r="Q82" i="18"/>
  <c r="AI81" i="18"/>
  <c r="AG81" i="18"/>
  <c r="AE81" i="18"/>
  <c r="AC81" i="18"/>
  <c r="AA81" i="18"/>
  <c r="Y81" i="18"/>
  <c r="W81" i="18"/>
  <c r="U81" i="18"/>
  <c r="S81" i="18"/>
  <c r="Q81" i="18"/>
  <c r="AI80" i="18"/>
  <c r="AG80" i="18"/>
  <c r="AE80" i="18"/>
  <c r="AC80" i="18"/>
  <c r="AA80" i="18"/>
  <c r="Y80" i="18"/>
  <c r="W80" i="18"/>
  <c r="U80" i="18"/>
  <c r="S80" i="18"/>
  <c r="Q80" i="18"/>
  <c r="AI79" i="18"/>
  <c r="AG79" i="18"/>
  <c r="AE79" i="18"/>
  <c r="AC79" i="18"/>
  <c r="AA79" i="18"/>
  <c r="Y79" i="18"/>
  <c r="W79" i="18"/>
  <c r="U79" i="18"/>
  <c r="S79" i="18"/>
  <c r="Q79" i="18"/>
  <c r="AI78" i="18"/>
  <c r="AG78" i="18"/>
  <c r="AE78" i="18"/>
  <c r="AC78" i="18"/>
  <c r="AA78" i="18"/>
  <c r="Y78" i="18"/>
  <c r="W78" i="18"/>
  <c r="U78" i="18"/>
  <c r="S78" i="18"/>
  <c r="Q78" i="18"/>
  <c r="AI77" i="18"/>
  <c r="AG77" i="18"/>
  <c r="AE77" i="18"/>
  <c r="AC77" i="18"/>
  <c r="AA77" i="18"/>
  <c r="Y77" i="18"/>
  <c r="W77" i="18"/>
  <c r="U77" i="18"/>
  <c r="S77" i="18"/>
  <c r="Q77" i="18"/>
  <c r="AI76" i="18"/>
  <c r="AG76" i="18"/>
  <c r="AE76" i="18"/>
  <c r="AC76" i="18"/>
  <c r="AA76" i="18"/>
  <c r="Y76" i="18"/>
  <c r="W76" i="18"/>
  <c r="U76" i="18"/>
  <c r="S76" i="18"/>
  <c r="Q76" i="18"/>
  <c r="AI75" i="18"/>
  <c r="AG75" i="18"/>
  <c r="AE75" i="18"/>
  <c r="AC75" i="18"/>
  <c r="AA75" i="18"/>
  <c r="Y75" i="18"/>
  <c r="W75" i="18"/>
  <c r="U75" i="18"/>
  <c r="S75" i="18"/>
  <c r="Q75" i="18"/>
  <c r="AI74" i="18"/>
  <c r="AG74" i="18"/>
  <c r="AE74" i="18"/>
  <c r="AC74" i="18"/>
  <c r="AA74" i="18"/>
  <c r="Y74" i="18"/>
  <c r="W74" i="18"/>
  <c r="U74" i="18"/>
  <c r="S74" i="18"/>
  <c r="Q74" i="18"/>
  <c r="AI73" i="18"/>
  <c r="AG73" i="18"/>
  <c r="AE73" i="18"/>
  <c r="AC73" i="18"/>
  <c r="AA73" i="18"/>
  <c r="Y73" i="18"/>
  <c r="W73" i="18"/>
  <c r="U73" i="18"/>
  <c r="S73" i="18"/>
  <c r="Q73" i="18"/>
  <c r="AI72" i="18"/>
  <c r="AG72" i="18"/>
  <c r="AE72" i="18"/>
  <c r="AC72" i="18"/>
  <c r="AA72" i="18"/>
  <c r="Y72" i="18"/>
  <c r="W72" i="18"/>
  <c r="U72" i="18"/>
  <c r="S72" i="18"/>
  <c r="Q72" i="18"/>
  <c r="AI71" i="18"/>
  <c r="AG71" i="18"/>
  <c r="AE71" i="18"/>
  <c r="AC71" i="18"/>
  <c r="AA71" i="18"/>
  <c r="Y71" i="18"/>
  <c r="W71" i="18"/>
  <c r="U71" i="18"/>
  <c r="S71" i="18"/>
  <c r="Q71" i="18"/>
  <c r="AI70" i="18"/>
  <c r="AG70" i="18"/>
  <c r="AE70" i="18"/>
  <c r="AC70" i="18"/>
  <c r="AA70" i="18"/>
  <c r="Y70" i="18"/>
  <c r="W70" i="18"/>
  <c r="U70" i="18"/>
  <c r="S70" i="18"/>
  <c r="Q70" i="18"/>
  <c r="AI69" i="18"/>
  <c r="AG69" i="18"/>
  <c r="AE69" i="18"/>
  <c r="AC69" i="18"/>
  <c r="AA69" i="18"/>
  <c r="Y69" i="18"/>
  <c r="W69" i="18"/>
  <c r="U69" i="18"/>
  <c r="S69" i="18"/>
  <c r="Q69" i="18"/>
  <c r="AI68" i="18"/>
  <c r="AG68" i="18"/>
  <c r="AE68" i="18"/>
  <c r="AC68" i="18"/>
  <c r="AA68" i="18"/>
  <c r="Y68" i="18"/>
  <c r="W68" i="18"/>
  <c r="U68" i="18"/>
  <c r="S68" i="18"/>
  <c r="Q68" i="18"/>
  <c r="AI67" i="18"/>
  <c r="AG67" i="18"/>
  <c r="AE67" i="18"/>
  <c r="AC67" i="18"/>
  <c r="AA67" i="18"/>
  <c r="Y67" i="18"/>
  <c r="W67" i="18"/>
  <c r="U67" i="18"/>
  <c r="S67" i="18"/>
  <c r="Q67" i="18"/>
  <c r="AI66" i="18"/>
  <c r="AG66" i="18"/>
  <c r="AE66" i="18"/>
  <c r="AC66" i="18"/>
  <c r="AA66" i="18"/>
  <c r="Y66" i="18"/>
  <c r="W66" i="18"/>
  <c r="U66" i="18"/>
  <c r="S66" i="18"/>
  <c r="Q66" i="18"/>
  <c r="AI65" i="18"/>
  <c r="AG65" i="18"/>
  <c r="AE65" i="18"/>
  <c r="AC65" i="18"/>
  <c r="AA65" i="18"/>
  <c r="Y65" i="18"/>
  <c r="W65" i="18"/>
  <c r="U65" i="18"/>
  <c r="S65" i="18"/>
  <c r="Q65" i="18"/>
  <c r="AI64" i="18"/>
  <c r="AG64" i="18"/>
  <c r="AE64" i="18"/>
  <c r="AC64" i="18"/>
  <c r="AA64" i="18"/>
  <c r="Y64" i="18"/>
  <c r="W64" i="18"/>
  <c r="U64" i="18"/>
  <c r="S64" i="18"/>
  <c r="Q64" i="18"/>
  <c r="AI63" i="18"/>
  <c r="AG63" i="18"/>
  <c r="AE63" i="18"/>
  <c r="AC63" i="18"/>
  <c r="AA63" i="18"/>
  <c r="Y63" i="18"/>
  <c r="W63" i="18"/>
  <c r="U63" i="18"/>
  <c r="S63" i="18"/>
  <c r="Q63" i="18"/>
  <c r="AI62" i="18"/>
  <c r="AG62" i="18"/>
  <c r="AE62" i="18"/>
  <c r="AC62" i="18"/>
  <c r="AA62" i="18"/>
  <c r="Y62" i="18"/>
  <c r="W62" i="18"/>
  <c r="U62" i="18"/>
  <c r="S62" i="18"/>
  <c r="Q62" i="18"/>
  <c r="AI61" i="18"/>
  <c r="AG61" i="18"/>
  <c r="AE61" i="18"/>
  <c r="AC61" i="18"/>
  <c r="AA61" i="18"/>
  <c r="Y61" i="18"/>
  <c r="W61" i="18"/>
  <c r="U61" i="18"/>
  <c r="S61" i="18"/>
  <c r="Q61" i="18"/>
  <c r="AI60" i="18"/>
  <c r="AG60" i="18"/>
  <c r="AE60" i="18"/>
  <c r="AC60" i="18"/>
  <c r="AA60" i="18"/>
  <c r="Y60" i="18"/>
  <c r="W60" i="18"/>
  <c r="U60" i="18"/>
  <c r="S60" i="18"/>
  <c r="Q60" i="18"/>
  <c r="AI59" i="18"/>
  <c r="AG59" i="18"/>
  <c r="AE59" i="18"/>
  <c r="AC59" i="18"/>
  <c r="AA59" i="18"/>
  <c r="Y59" i="18"/>
  <c r="W59" i="18"/>
  <c r="U59" i="18"/>
  <c r="S59" i="18"/>
  <c r="Q59" i="18"/>
  <c r="AI58" i="18"/>
  <c r="AG58" i="18"/>
  <c r="AE58" i="18"/>
  <c r="AC58" i="18"/>
  <c r="AA58" i="18"/>
  <c r="Y58" i="18"/>
  <c r="W58" i="18"/>
  <c r="U58" i="18"/>
  <c r="S58" i="18"/>
  <c r="Q58" i="18"/>
  <c r="AI57" i="18"/>
  <c r="AG57" i="18"/>
  <c r="AE57" i="18"/>
  <c r="AC57" i="18"/>
  <c r="AA57" i="18"/>
  <c r="Y57" i="18"/>
  <c r="W57" i="18"/>
  <c r="U57" i="18"/>
  <c r="S57" i="18"/>
  <c r="Q57" i="18"/>
  <c r="AI56" i="18"/>
  <c r="AG56" i="18"/>
  <c r="AE56" i="18"/>
  <c r="AC56" i="18"/>
  <c r="AA56" i="18"/>
  <c r="Y56" i="18"/>
  <c r="W56" i="18"/>
  <c r="U56" i="18"/>
  <c r="S56" i="18"/>
  <c r="Q56" i="18"/>
  <c r="AI55" i="18"/>
  <c r="AG55" i="18"/>
  <c r="AE55" i="18"/>
  <c r="AC55" i="18"/>
  <c r="AA55" i="18"/>
  <c r="Y55" i="18"/>
  <c r="W55" i="18"/>
  <c r="U55" i="18"/>
  <c r="S55" i="18"/>
  <c r="Q55" i="18"/>
  <c r="AI54" i="18"/>
  <c r="AG54" i="18"/>
  <c r="AE54" i="18"/>
  <c r="AC54" i="18"/>
  <c r="AA54" i="18"/>
  <c r="Y54" i="18"/>
  <c r="W54" i="18"/>
  <c r="U54" i="18"/>
  <c r="S54" i="18"/>
  <c r="Q54" i="18"/>
  <c r="AI53" i="18"/>
  <c r="AG53" i="18"/>
  <c r="AE53" i="18"/>
  <c r="AC53" i="18"/>
  <c r="AA53" i="18"/>
  <c r="Y53" i="18"/>
  <c r="W53" i="18"/>
  <c r="U53" i="18"/>
  <c r="S53" i="18"/>
  <c r="Q53" i="18"/>
  <c r="AI52" i="18"/>
  <c r="AG52" i="18"/>
  <c r="AE52" i="18"/>
  <c r="AC52" i="18"/>
  <c r="AA52" i="18"/>
  <c r="Y52" i="18"/>
  <c r="W52" i="18"/>
  <c r="U52" i="18"/>
  <c r="S52" i="18"/>
  <c r="Q52" i="18"/>
  <c r="AI51" i="18"/>
  <c r="AG51" i="18"/>
  <c r="AE51" i="18"/>
  <c r="AC51" i="18"/>
  <c r="AA51" i="18"/>
  <c r="Y51" i="18"/>
  <c r="W51" i="18"/>
  <c r="U51" i="18"/>
  <c r="S51" i="18"/>
  <c r="Q51" i="18"/>
  <c r="AI50" i="18"/>
  <c r="AG50" i="18"/>
  <c r="AE50" i="18"/>
  <c r="AC50" i="18"/>
  <c r="AA50" i="18"/>
  <c r="Y50" i="18"/>
  <c r="W50" i="18"/>
  <c r="U50" i="18"/>
  <c r="S50" i="18"/>
  <c r="Q50" i="18"/>
  <c r="AI49" i="18"/>
  <c r="AG49" i="18"/>
  <c r="AE49" i="18"/>
  <c r="AC49" i="18"/>
  <c r="AA49" i="18"/>
  <c r="Y49" i="18"/>
  <c r="W49" i="18"/>
  <c r="U49" i="18"/>
  <c r="S49" i="18"/>
  <c r="Q49" i="18"/>
  <c r="AI48" i="18"/>
  <c r="AG48" i="18"/>
  <c r="AE48" i="18"/>
  <c r="AC48" i="18"/>
  <c r="AA48" i="18"/>
  <c r="Y48" i="18"/>
  <c r="W48" i="18"/>
  <c r="U48" i="18"/>
  <c r="S48" i="18"/>
  <c r="Q48" i="18"/>
  <c r="AI47" i="18"/>
  <c r="AG47" i="18"/>
  <c r="AE47" i="18"/>
  <c r="AC47" i="18"/>
  <c r="AA47" i="18"/>
  <c r="Y47" i="18"/>
  <c r="W47" i="18"/>
  <c r="U47" i="18"/>
  <c r="S47" i="18"/>
  <c r="Q47" i="18"/>
  <c r="AI46" i="18"/>
  <c r="AG46" i="18"/>
  <c r="AE46" i="18"/>
  <c r="AC46" i="18"/>
  <c r="AA46" i="18"/>
  <c r="Y46" i="18"/>
  <c r="W46" i="18"/>
  <c r="U46" i="18"/>
  <c r="S46" i="18"/>
  <c r="Q46" i="18"/>
  <c r="AI45" i="18"/>
  <c r="AG45" i="18"/>
  <c r="AE45" i="18"/>
  <c r="AC45" i="18"/>
  <c r="AA45" i="18"/>
  <c r="Y45" i="18"/>
  <c r="W45" i="18"/>
  <c r="U45" i="18"/>
  <c r="S45" i="18"/>
  <c r="Q45" i="18"/>
  <c r="AI44" i="18"/>
  <c r="AG44" i="18"/>
  <c r="AE44" i="18"/>
  <c r="AC44" i="18"/>
  <c r="AA44" i="18"/>
  <c r="Y44" i="18"/>
  <c r="W44" i="18"/>
  <c r="U44" i="18"/>
  <c r="S44" i="18"/>
  <c r="Q44" i="18"/>
  <c r="AI43" i="18"/>
  <c r="AG43" i="18"/>
  <c r="AE43" i="18"/>
  <c r="AC43" i="18"/>
  <c r="AA43" i="18"/>
  <c r="Y43" i="18"/>
  <c r="W43" i="18"/>
  <c r="U43" i="18"/>
  <c r="S43" i="18"/>
  <c r="Q43" i="18"/>
  <c r="AI42" i="18"/>
  <c r="AG42" i="18"/>
  <c r="AE42" i="18"/>
  <c r="AC42" i="18"/>
  <c r="AA42" i="18"/>
  <c r="Y42" i="18"/>
  <c r="W42" i="18"/>
  <c r="U42" i="18"/>
  <c r="S42" i="18"/>
  <c r="Q42" i="18"/>
  <c r="AI41" i="18"/>
  <c r="AG41" i="18"/>
  <c r="AE41" i="18"/>
  <c r="AC41" i="18"/>
  <c r="AA41" i="18"/>
  <c r="Y41" i="18"/>
  <c r="W41" i="18"/>
  <c r="U41" i="18"/>
  <c r="S41" i="18"/>
  <c r="Q41" i="18"/>
  <c r="AI40" i="18"/>
  <c r="AG40" i="18"/>
  <c r="AE40" i="18"/>
  <c r="AC40" i="18"/>
  <c r="AA40" i="18"/>
  <c r="Y40" i="18"/>
  <c r="W40" i="18"/>
  <c r="U40" i="18"/>
  <c r="S40" i="18"/>
  <c r="Q40" i="18"/>
  <c r="AI39" i="18"/>
  <c r="AG39" i="18"/>
  <c r="AE39" i="18"/>
  <c r="AC39" i="18"/>
  <c r="AA39" i="18"/>
  <c r="Y39" i="18"/>
  <c r="W39" i="18"/>
  <c r="U39" i="18"/>
  <c r="S39" i="18"/>
  <c r="Q39" i="18"/>
  <c r="AI38" i="18"/>
  <c r="AG38" i="18"/>
  <c r="AE38" i="18"/>
  <c r="AC38" i="18"/>
  <c r="AA38" i="18"/>
  <c r="Y38" i="18"/>
  <c r="W38" i="18"/>
  <c r="U38" i="18"/>
  <c r="S38" i="18"/>
  <c r="Q38" i="18"/>
  <c r="AI37" i="18"/>
  <c r="AG37" i="18"/>
  <c r="AE37" i="18"/>
  <c r="AC37" i="18"/>
  <c r="AA37" i="18"/>
  <c r="Y37" i="18"/>
  <c r="W37" i="18"/>
  <c r="U37" i="18"/>
  <c r="S37" i="18"/>
  <c r="Q37" i="18"/>
  <c r="AI36" i="18"/>
  <c r="AG36" i="18"/>
  <c r="AE36" i="18"/>
  <c r="AC36" i="18"/>
  <c r="AA36" i="18"/>
  <c r="Y36" i="18"/>
  <c r="W36" i="18"/>
  <c r="U36" i="18"/>
  <c r="S36" i="18"/>
  <c r="Q36" i="18"/>
  <c r="AI35" i="18"/>
  <c r="AG35" i="18"/>
  <c r="AE35" i="18"/>
  <c r="AC35" i="18"/>
  <c r="AA35" i="18"/>
  <c r="Y35" i="18"/>
  <c r="W35" i="18"/>
  <c r="U35" i="18"/>
  <c r="S35" i="18"/>
  <c r="Q35" i="18"/>
  <c r="AI34" i="18"/>
  <c r="AG34" i="18"/>
  <c r="AE34" i="18"/>
  <c r="AC34" i="18"/>
  <c r="AA34" i="18"/>
  <c r="Y34" i="18"/>
  <c r="W34" i="18"/>
  <c r="U34" i="18"/>
  <c r="S34" i="18"/>
  <c r="Q34" i="18"/>
  <c r="AI33" i="18"/>
  <c r="AG33" i="18"/>
  <c r="AE33" i="18"/>
  <c r="AC33" i="18"/>
  <c r="AA33" i="18"/>
  <c r="Y33" i="18"/>
  <c r="W33" i="18"/>
  <c r="U33" i="18"/>
  <c r="S33" i="18"/>
  <c r="Q33" i="18"/>
  <c r="AI32" i="18"/>
  <c r="AG32" i="18"/>
  <c r="AE32" i="18"/>
  <c r="AC32" i="18"/>
  <c r="AA32" i="18"/>
  <c r="Y32" i="18"/>
  <c r="W32" i="18"/>
  <c r="U32" i="18"/>
  <c r="S32" i="18"/>
  <c r="Q32" i="18"/>
  <c r="AI31" i="18"/>
  <c r="AG31" i="18"/>
  <c r="AE31" i="18"/>
  <c r="AC31" i="18"/>
  <c r="AA31" i="18"/>
  <c r="Y31" i="18"/>
  <c r="W31" i="18"/>
  <c r="U31" i="18"/>
  <c r="S31" i="18"/>
  <c r="Q31" i="18"/>
  <c r="AI30" i="18"/>
  <c r="AG30" i="18"/>
  <c r="AE30" i="18"/>
  <c r="AC30" i="18"/>
  <c r="AA30" i="18"/>
  <c r="Y30" i="18"/>
  <c r="W30" i="18"/>
  <c r="U30" i="18"/>
  <c r="S30" i="18"/>
  <c r="Q30" i="18"/>
  <c r="AI29" i="18"/>
  <c r="AG29" i="18"/>
  <c r="AE29" i="18"/>
  <c r="AC29" i="18"/>
  <c r="AA29" i="18"/>
  <c r="Y29" i="18"/>
  <c r="W29" i="18"/>
  <c r="U29" i="18"/>
  <c r="S29" i="18"/>
  <c r="Q29" i="18"/>
  <c r="AI28" i="18"/>
  <c r="AG28" i="18"/>
  <c r="AE28" i="18"/>
  <c r="AC28" i="18"/>
  <c r="AA28" i="18"/>
  <c r="Y28" i="18"/>
  <c r="W28" i="18"/>
  <c r="U28" i="18"/>
  <c r="S28" i="18"/>
  <c r="Q28" i="18"/>
  <c r="AI27" i="18"/>
  <c r="AG27" i="18"/>
  <c r="AE27" i="18"/>
  <c r="AC27" i="18"/>
  <c r="AA27" i="18"/>
  <c r="Y27" i="18"/>
  <c r="W27" i="18"/>
  <c r="U27" i="18"/>
  <c r="S27" i="18"/>
  <c r="Q27" i="18"/>
  <c r="AI26" i="18"/>
  <c r="AG26" i="18"/>
  <c r="AE26" i="18"/>
  <c r="AC26" i="18"/>
  <c r="AA26" i="18"/>
  <c r="Y26" i="18"/>
  <c r="W26" i="18"/>
  <c r="U26" i="18"/>
  <c r="S26" i="18"/>
  <c r="Q26" i="18"/>
  <c r="AI25" i="18"/>
  <c r="AG25" i="18"/>
  <c r="AE25" i="18"/>
  <c r="AC25" i="18"/>
  <c r="AA25" i="18"/>
  <c r="Y25" i="18"/>
  <c r="W25" i="18"/>
  <c r="U25" i="18"/>
  <c r="S25" i="18"/>
  <c r="Q25" i="18"/>
  <c r="AI24" i="18"/>
  <c r="AG24" i="18"/>
  <c r="AE24" i="18"/>
  <c r="AC24" i="18"/>
  <c r="AA24" i="18"/>
  <c r="Y24" i="18"/>
  <c r="W24" i="18"/>
  <c r="U24" i="18"/>
  <c r="S24" i="18"/>
  <c r="Q24" i="18"/>
  <c r="AI23" i="18"/>
  <c r="AG23" i="18"/>
  <c r="AE23" i="18"/>
  <c r="AC23" i="18"/>
  <c r="AA23" i="18"/>
  <c r="Y23" i="18"/>
  <c r="W23" i="18"/>
  <c r="U23" i="18"/>
  <c r="S23" i="18"/>
  <c r="Q23" i="18"/>
  <c r="AI22" i="18"/>
  <c r="AG22" i="18"/>
  <c r="AE22" i="18"/>
  <c r="AC22" i="18"/>
  <c r="AA22" i="18"/>
  <c r="Y22" i="18"/>
  <c r="W22" i="18"/>
  <c r="U22" i="18"/>
  <c r="S22" i="18"/>
  <c r="Q22" i="18"/>
  <c r="AI21" i="18"/>
  <c r="AG21" i="18"/>
  <c r="AE21" i="18"/>
  <c r="AC21" i="18"/>
  <c r="AA21" i="18"/>
  <c r="Y21" i="18"/>
  <c r="W21" i="18"/>
  <c r="U21" i="18"/>
  <c r="S21" i="18"/>
  <c r="Q21" i="18"/>
  <c r="AI20" i="18"/>
  <c r="AG20" i="18"/>
  <c r="AE20" i="18"/>
  <c r="AC20" i="18"/>
  <c r="AA20" i="18"/>
  <c r="Y20" i="18"/>
  <c r="W20" i="18"/>
  <c r="U20" i="18"/>
  <c r="S20" i="18"/>
  <c r="Q20" i="18"/>
  <c r="AI19" i="18"/>
  <c r="AG19" i="18"/>
  <c r="AE19" i="18"/>
  <c r="AC19" i="18"/>
  <c r="AA19" i="18"/>
  <c r="Y19" i="18"/>
  <c r="W19" i="18"/>
  <c r="U19" i="18"/>
  <c r="S19" i="18"/>
  <c r="Q19" i="18"/>
  <c r="AI18" i="18"/>
  <c r="AG18" i="18"/>
  <c r="AE18" i="18"/>
  <c r="AC18" i="18"/>
  <c r="AA18" i="18"/>
  <c r="Y18" i="18"/>
  <c r="W18" i="18"/>
  <c r="U18" i="18"/>
  <c r="S18" i="18"/>
  <c r="Q18" i="18"/>
  <c r="AI17" i="18"/>
  <c r="AG17" i="18"/>
  <c r="AE17" i="18"/>
  <c r="AC17" i="18"/>
  <c r="AA17" i="18"/>
  <c r="Y17" i="18"/>
  <c r="W17" i="18"/>
  <c r="U17" i="18"/>
  <c r="S17" i="18"/>
  <c r="Q17" i="18"/>
  <c r="AI16" i="18"/>
  <c r="AG16" i="18"/>
  <c r="AE16" i="18"/>
  <c r="AC16" i="18"/>
  <c r="AA16" i="18"/>
  <c r="Y16" i="18"/>
  <c r="W16" i="18"/>
  <c r="U16" i="18"/>
  <c r="S16" i="18"/>
  <c r="Q16" i="18"/>
  <c r="AI15" i="18"/>
  <c r="AG15" i="18"/>
  <c r="AE15" i="18"/>
  <c r="AC15" i="18"/>
  <c r="AA15" i="18"/>
  <c r="Y15" i="18"/>
  <c r="W15" i="18"/>
  <c r="U15" i="18"/>
  <c r="S15" i="18"/>
  <c r="Q15" i="18"/>
  <c r="AI14" i="18"/>
  <c r="AG14" i="18"/>
  <c r="AE14" i="18"/>
  <c r="AC14" i="18"/>
  <c r="AA14" i="18"/>
  <c r="Y14" i="18"/>
  <c r="W14" i="18"/>
  <c r="U14" i="18"/>
  <c r="S14" i="18"/>
  <c r="Q14" i="18"/>
  <c r="AI13" i="18"/>
  <c r="AG13" i="18"/>
  <c r="AE13" i="18"/>
  <c r="AC13" i="18"/>
  <c r="AA13" i="18"/>
  <c r="Y13" i="18"/>
  <c r="W13" i="18"/>
  <c r="U13" i="18"/>
  <c r="S13" i="18"/>
  <c r="Q13" i="18"/>
  <c r="AI12" i="18"/>
  <c r="AG12" i="18"/>
  <c r="AE12" i="18"/>
  <c r="AC12" i="18"/>
  <c r="AA12" i="18"/>
  <c r="Y12" i="18"/>
  <c r="W12" i="18"/>
  <c r="U12" i="18"/>
  <c r="S12" i="18"/>
  <c r="Q12" i="18"/>
  <c r="AI11" i="18"/>
  <c r="AG11" i="18"/>
  <c r="AE11" i="18"/>
  <c r="AC11" i="18"/>
  <c r="AA11" i="18"/>
  <c r="Y11" i="18"/>
  <c r="W11" i="18"/>
  <c r="U11" i="18"/>
  <c r="S11" i="18"/>
  <c r="Q11" i="18"/>
  <c r="AI10" i="18"/>
  <c r="AG10" i="18"/>
  <c r="AE10" i="18"/>
  <c r="AC10" i="18"/>
  <c r="AA10" i="18"/>
  <c r="Y10" i="18"/>
  <c r="W10" i="18"/>
  <c r="U10" i="18"/>
  <c r="S10" i="18"/>
  <c r="Q10" i="18"/>
  <c r="AI9" i="18"/>
  <c r="AG9" i="18"/>
  <c r="AE9" i="18"/>
  <c r="AC9" i="18"/>
  <c r="AA9" i="18"/>
  <c r="Y9" i="18"/>
  <c r="W9" i="18"/>
  <c r="U9" i="18"/>
  <c r="S9" i="18"/>
  <c r="Q9" i="18"/>
  <c r="AI8" i="18"/>
  <c r="AG8" i="18"/>
  <c r="AE8" i="18"/>
  <c r="AC8" i="18"/>
  <c r="AA8" i="18"/>
  <c r="Y8" i="18"/>
  <c r="W8" i="18"/>
  <c r="U8" i="18"/>
  <c r="S8" i="18"/>
  <c r="Q8" i="18"/>
  <c r="AI7" i="18"/>
  <c r="AG7" i="18"/>
  <c r="AE7" i="18"/>
  <c r="AC7" i="18"/>
  <c r="AA7" i="18"/>
  <c r="Y7" i="18"/>
  <c r="W7" i="18"/>
  <c r="U7" i="18"/>
  <c r="S7" i="18"/>
  <c r="Q7" i="18"/>
  <c r="AI6" i="18"/>
  <c r="AG6" i="18"/>
  <c r="AE6" i="18"/>
  <c r="AC6" i="18"/>
  <c r="AA6" i="18"/>
  <c r="Y6" i="18"/>
  <c r="W6" i="18"/>
  <c r="U6" i="18"/>
  <c r="S6" i="18"/>
  <c r="Q6" i="18"/>
  <c r="AI5" i="18"/>
  <c r="AG5" i="18"/>
  <c r="AE5" i="18"/>
  <c r="AC5" i="18"/>
  <c r="AA5" i="18"/>
  <c r="Y5" i="18"/>
  <c r="W5" i="18"/>
  <c r="U5" i="18"/>
  <c r="S5" i="18"/>
  <c r="Q5" i="18"/>
  <c r="AC91" i="18" l="1"/>
  <c r="N102" i="18" s="1"/>
  <c r="T102" i="18" s="1"/>
  <c r="U91" i="18"/>
  <c r="N98" i="18" s="1"/>
  <c r="T98" i="18" s="1"/>
  <c r="W91" i="18"/>
  <c r="N99" i="18" s="1"/>
  <c r="T99" i="18" s="1"/>
  <c r="AE91" i="18"/>
  <c r="N103" i="18" s="1"/>
  <c r="T103" i="18" s="1"/>
  <c r="Q91" i="18"/>
  <c r="N96" i="18" s="1"/>
  <c r="T96" i="18" s="1"/>
  <c r="Y91" i="18"/>
  <c r="N100" i="18" s="1"/>
  <c r="T100" i="18" s="1"/>
  <c r="AG91" i="18"/>
  <c r="N104" i="18" s="1"/>
  <c r="T104" i="18" s="1"/>
  <c r="S91" i="18"/>
  <c r="N97" i="18" s="1"/>
  <c r="T97" i="18" s="1"/>
  <c r="AA91" i="18"/>
  <c r="N101" i="18" s="1"/>
  <c r="T101" i="18" s="1"/>
  <c r="AI91" i="18"/>
  <c r="N105" i="18" s="1"/>
  <c r="T105" i="18" s="1"/>
  <c r="AA97" i="18" l="1"/>
  <c r="Z97" i="18"/>
  <c r="AB97" i="18"/>
  <c r="AC97" i="18"/>
  <c r="AD97" i="18"/>
  <c r="AA103" i="18"/>
  <c r="AB103" i="18"/>
  <c r="AC103" i="18"/>
  <c r="Z103" i="18"/>
  <c r="AD103" i="18"/>
  <c r="AA104" i="18"/>
  <c r="AB104" i="18"/>
  <c r="AC104" i="18"/>
  <c r="AD104" i="18"/>
  <c r="Z104" i="18"/>
  <c r="AA99" i="18"/>
  <c r="AB99" i="18"/>
  <c r="AC99" i="18"/>
  <c r="Z99" i="18"/>
  <c r="AD99" i="18"/>
  <c r="AA105" i="18"/>
  <c r="Z105" i="18"/>
  <c r="AB105" i="18"/>
  <c r="AC105" i="18"/>
  <c r="AD105" i="18"/>
  <c r="AA100" i="18"/>
  <c r="AB100" i="18"/>
  <c r="AC100" i="18"/>
  <c r="AD100" i="18"/>
  <c r="Z100" i="18"/>
  <c r="AA98" i="18"/>
  <c r="AB98" i="18"/>
  <c r="Z98" i="18"/>
  <c r="AC98" i="18"/>
  <c r="AD98" i="18"/>
  <c r="AA101" i="18"/>
  <c r="Z101" i="18"/>
  <c r="AB101" i="18"/>
  <c r="AC101" i="18"/>
  <c r="AD101" i="18"/>
  <c r="AA96" i="18"/>
  <c r="AB96" i="18"/>
  <c r="Z96" i="18"/>
  <c r="AC96" i="18"/>
  <c r="AD96" i="18"/>
  <c r="AA102" i="18"/>
  <c r="AB102" i="18"/>
  <c r="Z102" i="18"/>
  <c r="AC102" i="18"/>
  <c r="AD102" i="18"/>
  <c r="R167" i="27"/>
  <c r="AA69" i="31" l="1"/>
  <c r="AD69" i="31"/>
  <c r="AG69" i="31"/>
  <c r="AJ69" i="31"/>
  <c r="W26" i="31"/>
  <c r="W27" i="31"/>
  <c r="W28" i="31"/>
  <c r="W29" i="31"/>
  <c r="W30" i="31"/>
  <c r="W32" i="31"/>
  <c r="W33" i="31"/>
  <c r="W36" i="31"/>
  <c r="W37" i="31"/>
  <c r="W38" i="31"/>
  <c r="W39" i="31"/>
  <c r="W40" i="31"/>
  <c r="W43" i="31"/>
  <c r="W45" i="31"/>
  <c r="W46" i="31"/>
  <c r="W48" i="31"/>
  <c r="W49" i="31"/>
  <c r="W50" i="31"/>
  <c r="W51" i="31"/>
  <c r="W53" i="31"/>
  <c r="W54" i="31"/>
  <c r="W56" i="31"/>
  <c r="W58" i="31"/>
  <c r="W59" i="31"/>
  <c r="W60" i="31"/>
  <c r="W61" i="31"/>
  <c r="W63" i="31"/>
  <c r="W64" i="31"/>
  <c r="W65" i="31"/>
  <c r="W66" i="31"/>
  <c r="W68" i="31"/>
  <c r="W25" i="31"/>
  <c r="U25" i="31"/>
  <c r="U26" i="31"/>
  <c r="U27" i="31"/>
  <c r="U28" i="31"/>
  <c r="U29" i="31"/>
  <c r="U30" i="31"/>
  <c r="U32" i="31"/>
  <c r="U33" i="31"/>
  <c r="U36" i="31"/>
  <c r="U37" i="31"/>
  <c r="U38" i="31"/>
  <c r="U39" i="31"/>
  <c r="U40" i="31"/>
  <c r="U43" i="31"/>
  <c r="U45" i="31"/>
  <c r="U46" i="31"/>
  <c r="U48" i="31"/>
  <c r="U49" i="31"/>
  <c r="U50" i="31"/>
  <c r="U51" i="31"/>
  <c r="U53" i="31"/>
  <c r="U54" i="31"/>
  <c r="U56" i="31"/>
  <c r="U58" i="31"/>
  <c r="U59" i="31"/>
  <c r="U60" i="31"/>
  <c r="U61" i="31"/>
  <c r="U63" i="31"/>
  <c r="U64" i="31"/>
  <c r="U65" i="31"/>
  <c r="U66" i="31"/>
  <c r="U68" i="31"/>
  <c r="U69" i="31"/>
  <c r="P26" i="31"/>
  <c r="T26" i="31" s="1"/>
  <c r="P27" i="31"/>
  <c r="T27" i="31" s="1"/>
  <c r="P28" i="31"/>
  <c r="T28" i="31" s="1"/>
  <c r="P29" i="31"/>
  <c r="T29" i="31" s="1"/>
  <c r="P30" i="31"/>
  <c r="T30" i="31" s="1"/>
  <c r="P31" i="31"/>
  <c r="T31" i="31" s="1"/>
  <c r="P32" i="31"/>
  <c r="T32" i="31" s="1"/>
  <c r="P33" i="31"/>
  <c r="T33" i="31" s="1"/>
  <c r="P34" i="31"/>
  <c r="T34" i="31" s="1"/>
  <c r="P35" i="31"/>
  <c r="T35" i="31" s="1"/>
  <c r="P36" i="31"/>
  <c r="T36" i="31" s="1"/>
  <c r="P37" i="31"/>
  <c r="T37" i="31" s="1"/>
  <c r="P38" i="31"/>
  <c r="T38" i="31" s="1"/>
  <c r="P39" i="31"/>
  <c r="T39" i="31" s="1"/>
  <c r="P40" i="31"/>
  <c r="T40" i="31" s="1"/>
  <c r="P41" i="31"/>
  <c r="T41" i="31" s="1"/>
  <c r="P42" i="31"/>
  <c r="T42" i="31" s="1"/>
  <c r="P43" i="31"/>
  <c r="T43" i="31" s="1"/>
  <c r="P44" i="31"/>
  <c r="T44" i="31" s="1"/>
  <c r="P45" i="31"/>
  <c r="T45" i="31" s="1"/>
  <c r="P46" i="31"/>
  <c r="T46" i="31" s="1"/>
  <c r="P47" i="31"/>
  <c r="T47" i="31" s="1"/>
  <c r="P48" i="31"/>
  <c r="T48" i="31" s="1"/>
  <c r="P49" i="31"/>
  <c r="T49" i="31" s="1"/>
  <c r="P50" i="31"/>
  <c r="T50" i="31" s="1"/>
  <c r="P51" i="31"/>
  <c r="T51" i="31" s="1"/>
  <c r="P52" i="31"/>
  <c r="T52" i="31" s="1"/>
  <c r="P53" i="31"/>
  <c r="T53" i="31" s="1"/>
  <c r="P54" i="31"/>
  <c r="T54" i="31" s="1"/>
  <c r="P55" i="31"/>
  <c r="T55" i="31" s="1"/>
  <c r="P56" i="31"/>
  <c r="T56" i="31" s="1"/>
  <c r="P57" i="31"/>
  <c r="T57" i="31" s="1"/>
  <c r="P58" i="31"/>
  <c r="T58" i="31" s="1"/>
  <c r="P59" i="31"/>
  <c r="T59" i="31" s="1"/>
  <c r="P60" i="31"/>
  <c r="T60" i="31" s="1"/>
  <c r="P61" i="31"/>
  <c r="T61" i="31" s="1"/>
  <c r="P62" i="31"/>
  <c r="T62" i="31" s="1"/>
  <c r="P63" i="31"/>
  <c r="T63" i="31" s="1"/>
  <c r="P64" i="31"/>
  <c r="T64" i="31" s="1"/>
  <c r="P65" i="31"/>
  <c r="T65" i="31" s="1"/>
  <c r="P66" i="31"/>
  <c r="T66" i="31" s="1"/>
  <c r="P67" i="31"/>
  <c r="T67" i="31" s="1"/>
  <c r="P68" i="31"/>
  <c r="T68" i="31" s="1"/>
  <c r="P25" i="31"/>
  <c r="T25" i="31" s="1"/>
  <c r="P24" i="31"/>
  <c r="U41" i="31"/>
  <c r="W34" i="31"/>
  <c r="Y64" i="31" l="1"/>
  <c r="Y52" i="31"/>
  <c r="Y40" i="31"/>
  <c r="Y28" i="31"/>
  <c r="AH67" i="31"/>
  <c r="AB63" i="31"/>
  <c r="AE59" i="31"/>
  <c r="AE55" i="31"/>
  <c r="AE51" i="31"/>
  <c r="Y47" i="31"/>
  <c r="AE43" i="31"/>
  <c r="Y39" i="31"/>
  <c r="AK35" i="31"/>
  <c r="Y31" i="31"/>
  <c r="AK27" i="31"/>
  <c r="Y56" i="31"/>
  <c r="Y48" i="31"/>
  <c r="Y32" i="31"/>
  <c r="Y68" i="31"/>
  <c r="Y60" i="31"/>
  <c r="Y44" i="31"/>
  <c r="AB36" i="31"/>
  <c r="AE25" i="31"/>
  <c r="AK65" i="31"/>
  <c r="AK61" i="31"/>
  <c r="AK57" i="31"/>
  <c r="AK53" i="31"/>
  <c r="AK49" i="31"/>
  <c r="AK45" i="31"/>
  <c r="AK41" i="31"/>
  <c r="AK37" i="31"/>
  <c r="AK33" i="31"/>
  <c r="AK29" i="31"/>
  <c r="AS69" i="31"/>
  <c r="Q84" i="31" s="1"/>
  <c r="AL56" i="31"/>
  <c r="AL32" i="31"/>
  <c r="AC27" i="31"/>
  <c r="AL64" i="31"/>
  <c r="AL48" i="31"/>
  <c r="AL40" i="31"/>
  <c r="AL36" i="31"/>
  <c r="AL60" i="31"/>
  <c r="AL68" i="31"/>
  <c r="AL58" i="31"/>
  <c r="AC51" i="31"/>
  <c r="AF39" i="31"/>
  <c r="AL28" i="31"/>
  <c r="U44" i="31"/>
  <c r="U52" i="31"/>
  <c r="AH25" i="31"/>
  <c r="AH41" i="31"/>
  <c r="AE37" i="31"/>
  <c r="AB49" i="31"/>
  <c r="AE45" i="31"/>
  <c r="W57" i="31"/>
  <c r="U55" i="31"/>
  <c r="U47" i="31"/>
  <c r="W52" i="31"/>
  <c r="U62" i="31"/>
  <c r="W41" i="31"/>
  <c r="AF41" i="31" s="1"/>
  <c r="U67" i="31"/>
  <c r="U35" i="31"/>
  <c r="U31" i="31"/>
  <c r="W44" i="31"/>
  <c r="AL44" i="31" s="1"/>
  <c r="U42" i="31"/>
  <c r="U34" i="31"/>
  <c r="AF34" i="31" s="1"/>
  <c r="W67" i="31"/>
  <c r="W55" i="31"/>
  <c r="AI55" i="31" s="1"/>
  <c r="W47" i="31"/>
  <c r="W35" i="31"/>
  <c r="W31" i="31"/>
  <c r="AF65" i="31"/>
  <c r="U57" i="31"/>
  <c r="AC53" i="31"/>
  <c r="AI29" i="31"/>
  <c r="AL25" i="31"/>
  <c r="W62" i="31"/>
  <c r="AL50" i="31"/>
  <c r="W42" i="31"/>
  <c r="AL26" i="31"/>
  <c r="AB57" i="31"/>
  <c r="AH33" i="31"/>
  <c r="AF49" i="31"/>
  <c r="AC37" i="31"/>
  <c r="Z25" i="31"/>
  <c r="AI51" i="31"/>
  <c r="AC61" i="31"/>
  <c r="AI53" i="31"/>
  <c r="AI45" i="31"/>
  <c r="AC33" i="31"/>
  <c r="AF66" i="31"/>
  <c r="AL54" i="31"/>
  <c r="AF50" i="31"/>
  <c r="AL46" i="31"/>
  <c r="AL38" i="31"/>
  <c r="AL30" i="31"/>
  <c r="AC25" i="31"/>
  <c r="AF25" i="31"/>
  <c r="AI25" i="31"/>
  <c r="Z44" i="31"/>
  <c r="AB32" i="31"/>
  <c r="AI68" i="31"/>
  <c r="AI56" i="31"/>
  <c r="AC48" i="31"/>
  <c r="AI40" i="31"/>
  <c r="Z32" i="31"/>
  <c r="Y55" i="31"/>
  <c r="Z36" i="31"/>
  <c r="AB28" i="31"/>
  <c r="AB51" i="31"/>
  <c r="AF28" i="31"/>
  <c r="AE39" i="31"/>
  <c r="AF60" i="31"/>
  <c r="Z59" i="31"/>
  <c r="Z51" i="31"/>
  <c r="Z43" i="31"/>
  <c r="Z27" i="31"/>
  <c r="Y63" i="31"/>
  <c r="Z60" i="31"/>
  <c r="Z28" i="31"/>
  <c r="AC29" i="31"/>
  <c r="AB41" i="31"/>
  <c r="AB65" i="31"/>
  <c r="AE29" i="31"/>
  <c r="AE53" i="31"/>
  <c r="AE61" i="31"/>
  <c r="AI46" i="31"/>
  <c r="AH57" i="31"/>
  <c r="AL66" i="31"/>
  <c r="Y36" i="31"/>
  <c r="AI32" i="31"/>
  <c r="AC64" i="31"/>
  <c r="AI60" i="31"/>
  <c r="AF36" i="31"/>
  <c r="Z68" i="31"/>
  <c r="AC40" i="31"/>
  <c r="AL53" i="31"/>
  <c r="AL49" i="31"/>
  <c r="AL45" i="31"/>
  <c r="AL37" i="31"/>
  <c r="AL33" i="31"/>
  <c r="AL29" i="31"/>
  <c r="AC45" i="31"/>
  <c r="AC56" i="31"/>
  <c r="AB67" i="31"/>
  <c r="AF33" i="31"/>
  <c r="AI30" i="31"/>
  <c r="AI37" i="31"/>
  <c r="AH49" i="31"/>
  <c r="AI64" i="31"/>
  <c r="AC46" i="31"/>
  <c r="AH27" i="31"/>
  <c r="AH43" i="31"/>
  <c r="AI48" i="31"/>
  <c r="AH59" i="31"/>
  <c r="AK43" i="31"/>
  <c r="AK51" i="31"/>
  <c r="AK59" i="31"/>
  <c r="AE67" i="31"/>
  <c r="AK67" i="31"/>
  <c r="AH55" i="31"/>
  <c r="AB55" i="31"/>
  <c r="AH47" i="31"/>
  <c r="AB47" i="31"/>
  <c r="AH39" i="31"/>
  <c r="AB39" i="31"/>
  <c r="AB35" i="31"/>
  <c r="AE35" i="31"/>
  <c r="AB31" i="31"/>
  <c r="AH31" i="31"/>
  <c r="AB27" i="31"/>
  <c r="AE27" i="31"/>
  <c r="AL63" i="31"/>
  <c r="AI63" i="31"/>
  <c r="AC63" i="31"/>
  <c r="AL59" i="31"/>
  <c r="AI59" i="31"/>
  <c r="AF59" i="31"/>
  <c r="AL51" i="31"/>
  <c r="AF51" i="31"/>
  <c r="AL43" i="31"/>
  <c r="AF43" i="31"/>
  <c r="AL39" i="31"/>
  <c r="AI39" i="31"/>
  <c r="AC39" i="31"/>
  <c r="AF35" i="31"/>
  <c r="AL27" i="31"/>
  <c r="AF27" i="31"/>
  <c r="Y67" i="31"/>
  <c r="Y59" i="31"/>
  <c r="Y51" i="31"/>
  <c r="Y43" i="31"/>
  <c r="Y35" i="31"/>
  <c r="Y27" i="31"/>
  <c r="Z64" i="31"/>
  <c r="Z56" i="31"/>
  <c r="Z48" i="31"/>
  <c r="Z40" i="31"/>
  <c r="AB43" i="31"/>
  <c r="AB59" i="31"/>
  <c r="AE31" i="31"/>
  <c r="AE47" i="31"/>
  <c r="AE63" i="31"/>
  <c r="AF68" i="31"/>
  <c r="AI27" i="31"/>
  <c r="AI38" i="31"/>
  <c r="AI43" i="31"/>
  <c r="AI54" i="31"/>
  <c r="AK66" i="31"/>
  <c r="AH66" i="31"/>
  <c r="AE66" i="31"/>
  <c r="AB66" i="31"/>
  <c r="Y66" i="31"/>
  <c r="AK62" i="31"/>
  <c r="AH62" i="31"/>
  <c r="AE62" i="31"/>
  <c r="AB62" i="31"/>
  <c r="Y62" i="31"/>
  <c r="AK58" i="31"/>
  <c r="AH58" i="31"/>
  <c r="AE58" i="31"/>
  <c r="AB58" i="31"/>
  <c r="Y58" i="31"/>
  <c r="AK54" i="31"/>
  <c r="AH54" i="31"/>
  <c r="AE54" i="31"/>
  <c r="AB54" i="31"/>
  <c r="Y54" i="31"/>
  <c r="AK50" i="31"/>
  <c r="AH50" i="31"/>
  <c r="AE50" i="31"/>
  <c r="AB50" i="31"/>
  <c r="Y50" i="31"/>
  <c r="AK46" i="31"/>
  <c r="AH46" i="31"/>
  <c r="AE46" i="31"/>
  <c r="AB46" i="31"/>
  <c r="Y46" i="31"/>
  <c r="AK42" i="31"/>
  <c r="AH42" i="31"/>
  <c r="AE42" i="31"/>
  <c r="AB42" i="31"/>
  <c r="Y42" i="31"/>
  <c r="AK38" i="31"/>
  <c r="AH38" i="31"/>
  <c r="AE38" i="31"/>
  <c r="AB38" i="31"/>
  <c r="Y38" i="31"/>
  <c r="AK34" i="31"/>
  <c r="AH34" i="31"/>
  <c r="AE34" i="31"/>
  <c r="Y34" i="31"/>
  <c r="AK30" i="31"/>
  <c r="AH30" i="31"/>
  <c r="AE30" i="31"/>
  <c r="Y30" i="31"/>
  <c r="AK26" i="31"/>
  <c r="AH26" i="31"/>
  <c r="AE26" i="31"/>
  <c r="Y26" i="31"/>
  <c r="AI66" i="31"/>
  <c r="AC66" i="31"/>
  <c r="Z66" i="31"/>
  <c r="AI58" i="31"/>
  <c r="AC58" i="31"/>
  <c r="Z58" i="31"/>
  <c r="AF54" i="31"/>
  <c r="Z54" i="31"/>
  <c r="AI50" i="31"/>
  <c r="AC50" i="31"/>
  <c r="Z50" i="31"/>
  <c r="AF46" i="31"/>
  <c r="Z46" i="31"/>
  <c r="AF38" i="31"/>
  <c r="Z38" i="31"/>
  <c r="AI34" i="31"/>
  <c r="AC34" i="31"/>
  <c r="Z34" i="31"/>
  <c r="AF30" i="31"/>
  <c r="AC30" i="31"/>
  <c r="Z30" i="31"/>
  <c r="AI26" i="31"/>
  <c r="AC26" i="31"/>
  <c r="Z26" i="31"/>
  <c r="Z63" i="31"/>
  <c r="Z39" i="31"/>
  <c r="AB26" i="31"/>
  <c r="AB30" i="31"/>
  <c r="AB34" i="31"/>
  <c r="AC38" i="31"/>
  <c r="AC43" i="31"/>
  <c r="AC54" i="31"/>
  <c r="AC59" i="31"/>
  <c r="AF26" i="31"/>
  <c r="AF58" i="31"/>
  <c r="AF63" i="31"/>
  <c r="AH35" i="31"/>
  <c r="AH51" i="31"/>
  <c r="AH63" i="31"/>
  <c r="AK31" i="31"/>
  <c r="AK39" i="31"/>
  <c r="AK47" i="31"/>
  <c r="AK55" i="31"/>
  <c r="AK63" i="31"/>
  <c r="AL65" i="31"/>
  <c r="AI65" i="31"/>
  <c r="AL61" i="31"/>
  <c r="AI61" i="31"/>
  <c r="AC28" i="31"/>
  <c r="AC32" i="31"/>
  <c r="AC36" i="31"/>
  <c r="AC49" i="31"/>
  <c r="AC60" i="31"/>
  <c r="AC65" i="31"/>
  <c r="AC68" i="31"/>
  <c r="AF29" i="31"/>
  <c r="AF32" i="31"/>
  <c r="AF37" i="31"/>
  <c r="AF40" i="31"/>
  <c r="AF45" i="31"/>
  <c r="AF48" i="31"/>
  <c r="AF53" i="31"/>
  <c r="AF56" i="31"/>
  <c r="AF61" i="31"/>
  <c r="AF64" i="31"/>
  <c r="AI28" i="31"/>
  <c r="AI33" i="31"/>
  <c r="AI36" i="31"/>
  <c r="AI49" i="31"/>
  <c r="AH61" i="31"/>
  <c r="AH65" i="31"/>
  <c r="AK25" i="31"/>
  <c r="AK68" i="31"/>
  <c r="AH68" i="31"/>
  <c r="AE68" i="31"/>
  <c r="AB68" i="31"/>
  <c r="AK64" i="31"/>
  <c r="AH64" i="31"/>
  <c r="AE64" i="31"/>
  <c r="AB64" i="31"/>
  <c r="AK60" i="31"/>
  <c r="AH60" i="31"/>
  <c r="AE60" i="31"/>
  <c r="AB60" i="31"/>
  <c r="AK56" i="31"/>
  <c r="AH56" i="31"/>
  <c r="AE56" i="31"/>
  <c r="AB56" i="31"/>
  <c r="AK52" i="31"/>
  <c r="AH52" i="31"/>
  <c r="AE52" i="31"/>
  <c r="AB52" i="31"/>
  <c r="AK48" i="31"/>
  <c r="AH48" i="31"/>
  <c r="AE48" i="31"/>
  <c r="AB48" i="31"/>
  <c r="AK44" i="31"/>
  <c r="AH44" i="31"/>
  <c r="AE44" i="31"/>
  <c r="AB44" i="31"/>
  <c r="AK40" i="31"/>
  <c r="AH40" i="31"/>
  <c r="AE40" i="31"/>
  <c r="AB40" i="31"/>
  <c r="AK36" i="31"/>
  <c r="AH36" i="31"/>
  <c r="AE36" i="31"/>
  <c r="AK32" i="31"/>
  <c r="AH32" i="31"/>
  <c r="AE32" i="31"/>
  <c r="AK28" i="31"/>
  <c r="AH28" i="31"/>
  <c r="AE28" i="31"/>
  <c r="Y25" i="31"/>
  <c r="Y65" i="31"/>
  <c r="Y61" i="31"/>
  <c r="Y57" i="31"/>
  <c r="Y53" i="31"/>
  <c r="Y49" i="31"/>
  <c r="Y45" i="31"/>
  <c r="Y41" i="31"/>
  <c r="Y37" i="31"/>
  <c r="Y33" i="31"/>
  <c r="Y29" i="31"/>
  <c r="Z65" i="31"/>
  <c r="Z61" i="31"/>
  <c r="Z53" i="31"/>
  <c r="Z49" i="31"/>
  <c r="Z45" i="31"/>
  <c r="Z37" i="31"/>
  <c r="Z33" i="31"/>
  <c r="Z29" i="31"/>
  <c r="AB25" i="31"/>
  <c r="AB29" i="31"/>
  <c r="AB33" i="31"/>
  <c r="AB37" i="31"/>
  <c r="AB45" i="31"/>
  <c r="AB53" i="31"/>
  <c r="AB61" i="31"/>
  <c r="AE33" i="31"/>
  <c r="AE41" i="31"/>
  <c r="AE49" i="31"/>
  <c r="AE57" i="31"/>
  <c r="AE65" i="31"/>
  <c r="AH29" i="31"/>
  <c r="AH37" i="31"/>
  <c r="AH45" i="31"/>
  <c r="AH53" i="31"/>
  <c r="T69" i="31"/>
  <c r="Z35" i="31" l="1"/>
  <c r="AC41" i="31"/>
  <c r="AF62" i="31"/>
  <c r="AL55" i="31"/>
  <c r="AC44" i="31"/>
  <c r="AC85" i="31"/>
  <c r="D86" i="31" s="1"/>
  <c r="W85" i="31"/>
  <c r="D85" i="31" s="1"/>
  <c r="AI44" i="31"/>
  <c r="Z55" i="31"/>
  <c r="AL41" i="31"/>
  <c r="AI41" i="31"/>
  <c r="Z41" i="31"/>
  <c r="AC35" i="31"/>
  <c r="AL35" i="31"/>
  <c r="AL34" i="31"/>
  <c r="AO69" i="31"/>
  <c r="O84" i="31" s="1"/>
  <c r="AU69" i="31"/>
  <c r="R84" i="31" s="1"/>
  <c r="AW69" i="31"/>
  <c r="S84" i="31" s="1"/>
  <c r="AQ69" i="31"/>
  <c r="P84" i="31" s="1"/>
  <c r="AI57" i="31"/>
  <c r="AF42" i="31"/>
  <c r="AL67" i="31"/>
  <c r="AF52" i="31"/>
  <c r="AF47" i="31"/>
  <c r="Z52" i="31"/>
  <c r="AC55" i="31"/>
  <c r="AL47" i="31"/>
  <c r="AI42" i="31"/>
  <c r="AI47" i="31"/>
  <c r="Z67" i="31"/>
  <c r="AC42" i="31"/>
  <c r="AI67" i="31"/>
  <c r="AC47" i="31"/>
  <c r="AI52" i="31"/>
  <c r="AC52" i="31"/>
  <c r="Z47" i="31"/>
  <c r="AF44" i="31"/>
  <c r="AL52" i="31"/>
  <c r="AC31" i="31"/>
  <c r="Z62" i="31"/>
  <c r="AF57" i="31"/>
  <c r="AF31" i="31"/>
  <c r="AI62" i="31"/>
  <c r="AI35" i="31"/>
  <c r="Z57" i="31"/>
  <c r="Z31" i="31"/>
  <c r="Z42" i="31"/>
  <c r="AF67" i="31"/>
  <c r="AC62" i="31"/>
  <c r="AL57" i="31"/>
  <c r="AL42" i="31"/>
  <c r="AL62" i="31"/>
  <c r="AC67" i="31"/>
  <c r="AL31" i="31"/>
  <c r="AC57" i="31"/>
  <c r="AI31" i="31"/>
  <c r="AF55" i="31"/>
  <c r="AE69" i="31"/>
  <c r="Q73" i="31" s="1"/>
  <c r="AH69" i="31"/>
  <c r="R73" i="31" s="1"/>
  <c r="AK69" i="31"/>
  <c r="S73" i="31" s="1"/>
  <c r="AB69" i="31"/>
  <c r="P73" i="31" s="1"/>
  <c r="Y69" i="31"/>
  <c r="O73" i="31" s="1"/>
  <c r="O74" i="31" s="1"/>
  <c r="AB85" i="31" l="1"/>
  <c r="C86" i="31" s="1"/>
  <c r="V85" i="31"/>
  <c r="C85" i="31" s="1"/>
  <c r="Y85" i="31"/>
  <c r="F85" i="31" s="1"/>
  <c r="AE85" i="31"/>
  <c r="F86" i="31" s="1"/>
  <c r="AD85" i="31"/>
  <c r="E86" i="31" s="1"/>
  <c r="X85" i="31"/>
  <c r="E85" i="31" s="1"/>
  <c r="AA85" i="31"/>
  <c r="B86" i="31" s="1"/>
  <c r="U85" i="31"/>
  <c r="AF69" i="31"/>
  <c r="Q81" i="31" s="1"/>
  <c r="AC81" i="31" s="1"/>
  <c r="D83" i="31" s="1"/>
  <c r="AI69" i="31"/>
  <c r="R81" i="31" s="1"/>
  <c r="X81" i="31" s="1"/>
  <c r="E82" i="31" s="1"/>
  <c r="AC69" i="31"/>
  <c r="P81" i="31" s="1"/>
  <c r="V81" i="31" s="1"/>
  <c r="C82" i="31" s="1"/>
  <c r="Z69" i="31"/>
  <c r="O81" i="31" s="1"/>
  <c r="AL69" i="31"/>
  <c r="S81" i="31" s="1"/>
  <c r="Y81" i="31" s="1"/>
  <c r="F82" i="31" s="1"/>
  <c r="P78" i="31"/>
  <c r="P74" i="31"/>
  <c r="P75" i="31" s="1"/>
  <c r="P76" i="31"/>
  <c r="P77" i="31" s="1"/>
  <c r="R76" i="31"/>
  <c r="R77" i="31" s="1"/>
  <c r="R74" i="31"/>
  <c r="R75" i="31" s="1"/>
  <c r="R78" i="31"/>
  <c r="O78" i="31"/>
  <c r="O76" i="31"/>
  <c r="O77" i="31" s="1"/>
  <c r="O75" i="31"/>
  <c r="S74" i="31"/>
  <c r="S75" i="31" s="1"/>
  <c r="S76" i="31"/>
  <c r="S77" i="31" s="1"/>
  <c r="S78" i="31"/>
  <c r="Q78" i="31"/>
  <c r="Q74" i="31"/>
  <c r="Q75" i="31" s="1"/>
  <c r="Q76" i="31"/>
  <c r="Q77" i="31" s="1"/>
  <c r="AY85" i="31" l="1"/>
  <c r="B85" i="31"/>
  <c r="W81" i="31"/>
  <c r="D82" i="31" s="1"/>
  <c r="AD81" i="31"/>
  <c r="E83" i="31" s="1"/>
  <c r="AB81" i="31"/>
  <c r="C83" i="31" s="1"/>
  <c r="AE81" i="31"/>
  <c r="F83" i="31" s="1"/>
  <c r="AA81" i="31"/>
  <c r="B83" i="31" s="1"/>
  <c r="U81" i="31"/>
  <c r="Q79" i="31"/>
  <c r="S79" i="31"/>
  <c r="P79" i="31"/>
  <c r="O79" i="31"/>
  <c r="O82" i="31" s="1"/>
  <c r="R79" i="31"/>
  <c r="B82" i="31" l="1"/>
  <c r="AY81" i="31"/>
  <c r="U79" i="31"/>
  <c r="AA79" i="31"/>
  <c r="B81" i="31" s="1"/>
  <c r="Y79" i="31"/>
  <c r="F80" i="31" s="1"/>
  <c r="AE79" i="31"/>
  <c r="F81" i="31" s="1"/>
  <c r="S82" i="31"/>
  <c r="AD79" i="31"/>
  <c r="E81" i="31" s="1"/>
  <c r="X79" i="31"/>
  <c r="E80" i="31" s="1"/>
  <c r="R82" i="31"/>
  <c r="AC79" i="31"/>
  <c r="D81" i="31" s="1"/>
  <c r="W79" i="31"/>
  <c r="D80" i="31" s="1"/>
  <c r="Q82" i="31"/>
  <c r="V79" i="31"/>
  <c r="C80" i="31" s="1"/>
  <c r="AB79" i="31"/>
  <c r="C81" i="31" s="1"/>
  <c r="P82" i="31"/>
  <c r="B80" i="31" l="1"/>
  <c r="L1" i="31" s="1"/>
  <c r="AY79" i="31"/>
  <c r="AA82" i="31"/>
  <c r="U82" i="31"/>
  <c r="AE82" i="31"/>
  <c r="Y82" i="31"/>
  <c r="X82" i="31"/>
  <c r="AD82" i="31"/>
  <c r="W82" i="31"/>
  <c r="AC82" i="31"/>
  <c r="AB82" i="31"/>
  <c r="V82" i="31"/>
  <c r="W69" i="31"/>
  <c r="C21" i="41"/>
  <c r="M1" i="31" l="1"/>
  <c r="R168" i="27"/>
  <c r="R171" i="27" s="1"/>
  <c r="N162" i="27"/>
  <c r="Q162" i="27" s="1"/>
  <c r="R149" i="27"/>
  <c r="R148" i="27"/>
  <c r="P144" i="27"/>
  <c r="O144" i="27"/>
  <c r="N144" i="27"/>
  <c r="R172" i="27" l="1"/>
  <c r="N188" i="27" s="1"/>
  <c r="R151" i="27"/>
  <c r="Q144" i="27"/>
  <c r="N47" i="26"/>
  <c r="U37" i="26"/>
  <c r="R152" i="27" l="1"/>
  <c r="R174" i="27" s="1"/>
  <c r="N73" i="26"/>
  <c r="S73" i="26" s="1"/>
  <c r="N60" i="26"/>
  <c r="O60" i="26" s="1"/>
  <c r="O64" i="26" s="1"/>
  <c r="Y76" i="26"/>
  <c r="X76" i="26"/>
  <c r="W76" i="26"/>
  <c r="V76" i="26"/>
  <c r="U76" i="26"/>
  <c r="Y74" i="26"/>
  <c r="X74" i="26"/>
  <c r="W74" i="26"/>
  <c r="V74" i="26"/>
  <c r="U74" i="26"/>
  <c r="Y63" i="26"/>
  <c r="X63" i="26"/>
  <c r="W63" i="26"/>
  <c r="V63" i="26"/>
  <c r="U63" i="26"/>
  <c r="Y61" i="26"/>
  <c r="X61" i="26"/>
  <c r="W61" i="26"/>
  <c r="V61" i="26"/>
  <c r="U61" i="26"/>
  <c r="Y50" i="26"/>
  <c r="X50" i="26"/>
  <c r="W50" i="26"/>
  <c r="V50" i="26"/>
  <c r="U50" i="26"/>
  <c r="Y48" i="26"/>
  <c r="X48" i="26"/>
  <c r="W48" i="26"/>
  <c r="V48" i="26"/>
  <c r="U48" i="26"/>
  <c r="Y39" i="26"/>
  <c r="X39" i="26"/>
  <c r="W39" i="26"/>
  <c r="V39" i="26"/>
  <c r="U39" i="26"/>
  <c r="V37" i="26"/>
  <c r="W37" i="26"/>
  <c r="X37" i="26"/>
  <c r="Y37" i="26"/>
  <c r="R47" i="26"/>
  <c r="R54" i="26" s="1"/>
  <c r="Q36" i="26"/>
  <c r="Q43" i="26" s="1"/>
  <c r="S77" i="26" l="1"/>
  <c r="Y77" i="26" s="1"/>
  <c r="AD55" i="26"/>
  <c r="E55" i="26" s="1"/>
  <c r="X55" i="26"/>
  <c r="E54" i="26" s="1"/>
  <c r="P60" i="26"/>
  <c r="P64" i="26" s="1"/>
  <c r="V64" i="26" s="1"/>
  <c r="AC44" i="26"/>
  <c r="D45" i="26" s="1"/>
  <c r="W44" i="26"/>
  <c r="D44" i="26" s="1"/>
  <c r="N191" i="27"/>
  <c r="N193" i="27" s="1"/>
  <c r="O47" i="26"/>
  <c r="O54" i="26" s="1"/>
  <c r="R73" i="26"/>
  <c r="Q73" i="26"/>
  <c r="Q60" i="26"/>
  <c r="Q64" i="26" s="1"/>
  <c r="W64" i="26" s="1"/>
  <c r="AE77" i="26"/>
  <c r="U64" i="26"/>
  <c r="AA64" i="26"/>
  <c r="AB64" i="26"/>
  <c r="S60" i="26"/>
  <c r="S64" i="26" s="1"/>
  <c r="O73" i="26"/>
  <c r="O75" i="26" s="1"/>
  <c r="P73" i="26"/>
  <c r="R60" i="26"/>
  <c r="O62" i="26"/>
  <c r="S75" i="26"/>
  <c r="P77" i="26"/>
  <c r="P62" i="26"/>
  <c r="O36" i="26"/>
  <c r="Q47" i="26"/>
  <c r="S36" i="26"/>
  <c r="S43" i="26" s="1"/>
  <c r="P47" i="26"/>
  <c r="P36" i="26"/>
  <c r="R51" i="26"/>
  <c r="R49" i="26"/>
  <c r="Q38" i="26"/>
  <c r="Q40" i="26"/>
  <c r="R36" i="26"/>
  <c r="R43" i="26" s="1"/>
  <c r="S47" i="26"/>
  <c r="S54" i="26" s="1"/>
  <c r="O49" i="26" l="1"/>
  <c r="Q199" i="27"/>
  <c r="C199" i="27" s="1"/>
  <c r="T199" i="27"/>
  <c r="F199" i="27" s="1"/>
  <c r="P199" i="27"/>
  <c r="S199" i="27"/>
  <c r="R199" i="27"/>
  <c r="D199" i="27" s="1"/>
  <c r="Q62" i="26"/>
  <c r="W62" i="26" s="1"/>
  <c r="W65" i="26" s="1"/>
  <c r="D65" i="26" s="1"/>
  <c r="P51" i="26"/>
  <c r="P54" i="26"/>
  <c r="AA82" i="26"/>
  <c r="B81" i="26" s="1"/>
  <c r="U82" i="26"/>
  <c r="AC82" i="26"/>
  <c r="D81" i="26" s="1"/>
  <c r="W82" i="26"/>
  <c r="D80" i="26" s="1"/>
  <c r="AE55" i="26"/>
  <c r="F55" i="26" s="1"/>
  <c r="Y55" i="26"/>
  <c r="F54" i="26" s="1"/>
  <c r="AD44" i="26"/>
  <c r="E45" i="26" s="1"/>
  <c r="X44" i="26"/>
  <c r="E44" i="26" s="1"/>
  <c r="Q49" i="26"/>
  <c r="AC49" i="26" s="1"/>
  <c r="Q54" i="26"/>
  <c r="AD82" i="26"/>
  <c r="E81" i="26" s="1"/>
  <c r="X82" i="26"/>
  <c r="E80" i="26" s="1"/>
  <c r="AE82" i="26"/>
  <c r="F81" i="26" s="1"/>
  <c r="Y82" i="26"/>
  <c r="F80" i="26" s="1"/>
  <c r="Y44" i="26"/>
  <c r="F44" i="26" s="1"/>
  <c r="AE44" i="26"/>
  <c r="F45" i="26" s="1"/>
  <c r="P40" i="26"/>
  <c r="AB40" i="26" s="1"/>
  <c r="P43" i="26"/>
  <c r="O38" i="26"/>
  <c r="O43" i="26"/>
  <c r="O40" i="26"/>
  <c r="P75" i="26"/>
  <c r="AB75" i="26" s="1"/>
  <c r="AA55" i="26"/>
  <c r="B55" i="26" s="1"/>
  <c r="U55" i="26"/>
  <c r="B199" i="27"/>
  <c r="E199" i="27"/>
  <c r="S62" i="26"/>
  <c r="Y62" i="26" s="1"/>
  <c r="Q77" i="26"/>
  <c r="Q75" i="26"/>
  <c r="AC64" i="26"/>
  <c r="R75" i="26"/>
  <c r="R77" i="26"/>
  <c r="AE64" i="26"/>
  <c r="Y64" i="26"/>
  <c r="AC38" i="26"/>
  <c r="W38" i="26"/>
  <c r="AB51" i="26"/>
  <c r="V51" i="26"/>
  <c r="U49" i="26"/>
  <c r="AA49" i="26"/>
  <c r="X49" i="26"/>
  <c r="AD49" i="26"/>
  <c r="AB77" i="26"/>
  <c r="V77" i="26"/>
  <c r="U62" i="26"/>
  <c r="U65" i="26" s="1"/>
  <c r="AA62" i="26"/>
  <c r="AA65" i="26" s="1"/>
  <c r="B66" i="26" s="1"/>
  <c r="AC40" i="26"/>
  <c r="W40" i="26"/>
  <c r="X51" i="26"/>
  <c r="AD51" i="26"/>
  <c r="V62" i="26"/>
  <c r="V65" i="26" s="1"/>
  <c r="C65" i="26" s="1"/>
  <c r="AB62" i="26"/>
  <c r="AB65" i="26" s="1"/>
  <c r="C66" i="26" s="1"/>
  <c r="Y75" i="26"/>
  <c r="AE75" i="26"/>
  <c r="R64" i="26"/>
  <c r="R62" i="26"/>
  <c r="O77" i="26"/>
  <c r="O65" i="26"/>
  <c r="S78" i="26"/>
  <c r="Q65" i="26"/>
  <c r="P65" i="26"/>
  <c r="R52" i="26"/>
  <c r="Q51" i="26"/>
  <c r="P38" i="26"/>
  <c r="O51" i="26"/>
  <c r="P49" i="26"/>
  <c r="S38" i="26"/>
  <c r="S40" i="26"/>
  <c r="Q41" i="26"/>
  <c r="S51" i="26"/>
  <c r="S49" i="26"/>
  <c r="R38" i="26"/>
  <c r="R40" i="26"/>
  <c r="P78" i="26" l="1"/>
  <c r="V75" i="26"/>
  <c r="V78" i="26" s="1"/>
  <c r="C77" i="26" s="1"/>
  <c r="AC41" i="26"/>
  <c r="D42" i="26" s="1"/>
  <c r="AB78" i="26"/>
  <c r="C78" i="26" s="1"/>
  <c r="AC62" i="26"/>
  <c r="AC65" i="26" s="1"/>
  <c r="D66" i="26" s="1"/>
  <c r="V40" i="26"/>
  <c r="S65" i="26"/>
  <c r="AE62" i="26"/>
  <c r="W49" i="26"/>
  <c r="O41" i="26"/>
  <c r="AB44" i="26"/>
  <c r="C45" i="26" s="1"/>
  <c r="V44" i="26"/>
  <c r="C44" i="26" s="1"/>
  <c r="AC55" i="26"/>
  <c r="D55" i="26" s="1"/>
  <c r="W55" i="26"/>
  <c r="D54" i="26" s="1"/>
  <c r="B80" i="26"/>
  <c r="B54" i="26"/>
  <c r="U44" i="26"/>
  <c r="AA44" i="26"/>
  <c r="B45" i="26" s="1"/>
  <c r="AB55" i="26"/>
  <c r="C55" i="26" s="1"/>
  <c r="V55" i="26"/>
  <c r="C54" i="26" s="1"/>
  <c r="AB82" i="26"/>
  <c r="C81" i="26" s="1"/>
  <c r="V82" i="26"/>
  <c r="C80" i="26" s="1"/>
  <c r="AI199" i="27"/>
  <c r="Q78" i="26"/>
  <c r="AC75" i="26"/>
  <c r="W75" i="26"/>
  <c r="W78" i="26" s="1"/>
  <c r="D77" i="26" s="1"/>
  <c r="Y65" i="26"/>
  <c r="F65" i="26" s="1"/>
  <c r="AD77" i="26"/>
  <c r="X77" i="26"/>
  <c r="AC77" i="26"/>
  <c r="W77" i="26"/>
  <c r="AE65" i="26"/>
  <c r="F66" i="26" s="1"/>
  <c r="AD75" i="26"/>
  <c r="X75" i="26"/>
  <c r="R78" i="26"/>
  <c r="Y38" i="26"/>
  <c r="AE38" i="26"/>
  <c r="U75" i="26"/>
  <c r="AA75" i="26"/>
  <c r="AE51" i="26"/>
  <c r="Y51" i="26"/>
  <c r="AA77" i="26"/>
  <c r="U77" i="26"/>
  <c r="U38" i="26"/>
  <c r="AA38" i="26"/>
  <c r="Y49" i="26"/>
  <c r="AE49" i="26"/>
  <c r="Q52" i="26"/>
  <c r="W51" i="26"/>
  <c r="W52" i="26" s="1"/>
  <c r="D51" i="26" s="1"/>
  <c r="AC51" i="26"/>
  <c r="AC52" i="26" s="1"/>
  <c r="D52" i="26" s="1"/>
  <c r="AB49" i="26"/>
  <c r="V49" i="26"/>
  <c r="X40" i="26"/>
  <c r="AD40" i="26"/>
  <c r="AD41" i="26" s="1"/>
  <c r="E42" i="26" s="1"/>
  <c r="O52" i="26"/>
  <c r="AA51" i="26"/>
  <c r="AA52" i="26" s="1"/>
  <c r="B52" i="26" s="1"/>
  <c r="U51" i="26"/>
  <c r="U52" i="26" s="1"/>
  <c r="AD62" i="26"/>
  <c r="X62" i="26"/>
  <c r="R65" i="26"/>
  <c r="U40" i="26"/>
  <c r="AA40" i="26"/>
  <c r="AD38" i="26"/>
  <c r="X38" i="26"/>
  <c r="Y40" i="26"/>
  <c r="AE40" i="26"/>
  <c r="V38" i="26"/>
  <c r="AB38" i="26"/>
  <c r="AB41" i="26" s="1"/>
  <c r="C42" i="26" s="1"/>
  <c r="O78" i="26"/>
  <c r="AD64" i="26"/>
  <c r="X64" i="26"/>
  <c r="B65" i="26"/>
  <c r="AE78" i="26"/>
  <c r="F78" i="26" s="1"/>
  <c r="Y78" i="26"/>
  <c r="F77" i="26" s="1"/>
  <c r="X52" i="26"/>
  <c r="E51" i="26" s="1"/>
  <c r="P52" i="26"/>
  <c r="S52" i="26"/>
  <c r="P41" i="26"/>
  <c r="W41" i="26"/>
  <c r="D41" i="26" s="1"/>
  <c r="AD52" i="26"/>
  <c r="E52" i="26" s="1"/>
  <c r="R41" i="26"/>
  <c r="S41" i="26"/>
  <c r="L1" i="11"/>
  <c r="C25" i="15" a="1"/>
  <c r="C25" i="15" s="1"/>
  <c r="A25" i="15" s="1"/>
  <c r="C12" i="41"/>
  <c r="V41" i="26" l="1"/>
  <c r="AA41" i="26"/>
  <c r="B42" i="26" s="1"/>
  <c r="X78" i="26"/>
  <c r="E77" i="26" s="1"/>
  <c r="X41" i="26"/>
  <c r="E41" i="26" s="1"/>
  <c r="U41" i="26"/>
  <c r="AD78" i="26"/>
  <c r="E78" i="26" s="1"/>
  <c r="AI82" i="26"/>
  <c r="B44" i="26"/>
  <c r="AI44" i="26"/>
  <c r="AI55" i="26"/>
  <c r="C26" i="15" a="1"/>
  <c r="C26" i="15" s="1"/>
  <c r="C64" i="15"/>
  <c r="AC78" i="26"/>
  <c r="D78" i="26" s="1"/>
  <c r="X65" i="26"/>
  <c r="U78" i="26"/>
  <c r="B77" i="26" s="1"/>
  <c r="AA78" i="26"/>
  <c r="B78" i="26" s="1"/>
  <c r="AD65" i="26"/>
  <c r="B51" i="26"/>
  <c r="C41" i="26"/>
  <c r="Y41" i="26"/>
  <c r="F41" i="26" s="1"/>
  <c r="Y52" i="26"/>
  <c r="F51" i="26" s="1"/>
  <c r="AE52" i="26"/>
  <c r="F52" i="26" s="1"/>
  <c r="AB52" i="26"/>
  <c r="C52" i="26" s="1"/>
  <c r="V52" i="26"/>
  <c r="C51" i="26" s="1"/>
  <c r="AE41" i="26"/>
  <c r="F42" i="26" s="1"/>
  <c r="C25" i="21"/>
  <c r="C64" i="21" s="1"/>
  <c r="C13" i="15"/>
  <c r="C13" i="21" s="1"/>
  <c r="C14" i="15"/>
  <c r="C14" i="21" s="1"/>
  <c r="C15" i="15"/>
  <c r="C15" i="21" s="1"/>
  <c r="E65" i="26" l="1"/>
  <c r="AI65" i="26"/>
  <c r="AI78" i="26"/>
  <c r="AI52" i="26"/>
  <c r="B41" i="26"/>
  <c r="AI41" i="26"/>
  <c r="C65" i="15"/>
  <c r="A26" i="15"/>
  <c r="C27" i="15" a="1"/>
  <c r="C27" i="15" s="1"/>
  <c r="A27" i="15" s="1"/>
  <c r="E66" i="26"/>
  <c r="C26" i="21"/>
  <c r="C65" i="21" s="1"/>
  <c r="L1" i="26" l="1"/>
  <c r="M1" i="26"/>
  <c r="C28" i="15" a="1"/>
  <c r="C28" i="15" s="1"/>
  <c r="C66" i="15"/>
  <c r="C27" i="21"/>
  <c r="C66" i="21" s="1"/>
  <c r="C9" i="41"/>
  <c r="N1" i="26" l="1"/>
  <c r="C67" i="15"/>
  <c r="A28" i="15"/>
  <c r="C29" i="15" a="1"/>
  <c r="C29" i="15" s="1"/>
  <c r="C28" i="21"/>
  <c r="C67" i="21" s="1"/>
  <c r="C68" i="15" l="1"/>
  <c r="A29" i="15"/>
  <c r="C29" i="21"/>
  <c r="C68" i="21" s="1"/>
  <c r="C30" i="15" a="1"/>
  <c r="C30" i="15" s="1"/>
  <c r="C69" i="15" l="1"/>
  <c r="A30" i="15"/>
  <c r="C31" i="15" a="1"/>
  <c r="C31" i="15" s="1"/>
  <c r="A31" i="15" s="1"/>
  <c r="C30" i="21"/>
  <c r="C69" i="21" s="1"/>
  <c r="C31" i="21" l="1"/>
  <c r="C70" i="21" s="1"/>
  <c r="C32" i="15" a="1"/>
  <c r="C32" i="15" s="1"/>
  <c r="C70" i="15"/>
  <c r="C71" i="15" l="1"/>
  <c r="A32" i="15"/>
  <c r="C32" i="21"/>
  <c r="C71" i="21" s="1"/>
  <c r="C33" i="15" a="1"/>
  <c r="C33" i="15" s="1"/>
  <c r="A33" i="15" s="1"/>
  <c r="C33" i="21" l="1"/>
  <c r="C72" i="21" s="1"/>
  <c r="C72" i="15"/>
  <c r="C34" i="15" a="1"/>
  <c r="C34" i="15" s="1"/>
  <c r="C35" i="15" l="1" a="1"/>
  <c r="C35" i="15" s="1"/>
  <c r="A35" i="15" s="1"/>
  <c r="A34" i="15"/>
  <c r="C73" i="15"/>
  <c r="C34" i="21"/>
  <c r="C73" i="21" s="1"/>
  <c r="C36" i="15" l="1" a="1"/>
  <c r="C36" i="15" s="1"/>
  <c r="A36" i="15" s="1"/>
  <c r="C35" i="21"/>
  <c r="C74" i="21" s="1"/>
  <c r="C74" i="15"/>
  <c r="C75" i="15" l="1"/>
  <c r="C37" i="15" a="1"/>
  <c r="C37" i="15" s="1"/>
  <c r="A37" i="15" s="1"/>
  <c r="C36" i="21"/>
  <c r="C75" i="21" s="1"/>
  <c r="C37" i="21" l="1"/>
  <c r="C76" i="21" s="1"/>
  <c r="C38" i="15" a="1"/>
  <c r="C38" i="15" s="1"/>
  <c r="A38" i="15" s="1"/>
  <c r="C76" i="15"/>
  <c r="F6" i="25"/>
  <c r="F7" i="25"/>
  <c r="F5" i="25"/>
  <c r="C38" i="21" l="1"/>
  <c r="C77" i="21" s="1"/>
  <c r="C39" i="15" a="1"/>
  <c r="C39" i="15" s="1"/>
  <c r="C78" i="15" s="1"/>
  <c r="C77" i="15"/>
  <c r="T899" i="12"/>
  <c r="U899" i="12"/>
  <c r="V899" i="12"/>
  <c r="W899" i="12"/>
  <c r="X899" i="12"/>
  <c r="T900" i="12"/>
  <c r="U900" i="12"/>
  <c r="V900" i="12"/>
  <c r="W900" i="12"/>
  <c r="X900" i="12"/>
  <c r="T901" i="12"/>
  <c r="U901" i="12"/>
  <c r="V901" i="12"/>
  <c r="W901" i="12"/>
  <c r="X901" i="12"/>
  <c r="T902" i="12"/>
  <c r="U902" i="12"/>
  <c r="V902" i="12"/>
  <c r="W902" i="12"/>
  <c r="X902" i="12"/>
  <c r="S913" i="12"/>
  <c r="S912" i="12"/>
  <c r="W912" i="12" s="1"/>
  <c r="S911" i="12"/>
  <c r="V911" i="12" s="1"/>
  <c r="S910" i="12"/>
  <c r="S889" i="12"/>
  <c r="S888" i="12"/>
  <c r="S887" i="12"/>
  <c r="S886" i="12"/>
  <c r="T857" i="12"/>
  <c r="U857" i="12"/>
  <c r="V857" i="12"/>
  <c r="W857" i="12"/>
  <c r="X857" i="12"/>
  <c r="T858" i="12"/>
  <c r="U858" i="12"/>
  <c r="V858" i="12"/>
  <c r="W858" i="12"/>
  <c r="X858" i="12"/>
  <c r="T859" i="12"/>
  <c r="U859" i="12"/>
  <c r="V859" i="12"/>
  <c r="W859" i="12"/>
  <c r="X859" i="12"/>
  <c r="T860" i="12"/>
  <c r="U860" i="12"/>
  <c r="V860" i="12"/>
  <c r="W860" i="12"/>
  <c r="X860" i="12"/>
  <c r="S845" i="12"/>
  <c r="S846" i="12"/>
  <c r="S844" i="12"/>
  <c r="S871" i="12"/>
  <c r="S870" i="12"/>
  <c r="S869" i="12"/>
  <c r="S868" i="12"/>
  <c r="V868" i="12" s="1"/>
  <c r="S847" i="12"/>
  <c r="T319" i="12"/>
  <c r="U319" i="12"/>
  <c r="V319" i="12"/>
  <c r="W319" i="12"/>
  <c r="X319" i="12"/>
  <c r="S306" i="12"/>
  <c r="S305" i="12"/>
  <c r="S304" i="12"/>
  <c r="S303" i="12"/>
  <c r="S302" i="12"/>
  <c r="S301" i="12"/>
  <c r="S300" i="12"/>
  <c r="S299" i="12"/>
  <c r="S298" i="12"/>
  <c r="S297" i="12"/>
  <c r="S296" i="12"/>
  <c r="S295" i="12"/>
  <c r="S294" i="12"/>
  <c r="S293" i="12"/>
  <c r="S292" i="12"/>
  <c r="S291" i="12"/>
  <c r="S290" i="12"/>
  <c r="S289" i="12"/>
  <c r="S288" i="12"/>
  <c r="M7" i="4"/>
  <c r="O7" i="4"/>
  <c r="Q7" i="4"/>
  <c r="M8" i="4"/>
  <c r="O8" i="4"/>
  <c r="Q8" i="4"/>
  <c r="M9" i="4"/>
  <c r="O9" i="4"/>
  <c r="Q9" i="4"/>
  <c r="M10" i="4"/>
  <c r="O10" i="4"/>
  <c r="Q10" i="4"/>
  <c r="M11" i="4"/>
  <c r="O11" i="4"/>
  <c r="Q11" i="4"/>
  <c r="M12" i="4"/>
  <c r="O12" i="4"/>
  <c r="Q12" i="4"/>
  <c r="M13" i="4"/>
  <c r="O13" i="4"/>
  <c r="Q13" i="4"/>
  <c r="M14" i="4"/>
  <c r="O14" i="4"/>
  <c r="Q14" i="4"/>
  <c r="O15" i="4"/>
  <c r="Q15" i="4" s="1"/>
  <c r="M16" i="4"/>
  <c r="O16" i="4"/>
  <c r="Q16" i="4"/>
  <c r="O17" i="4"/>
  <c r="Q17" i="4" s="1"/>
  <c r="M18" i="4"/>
  <c r="O18" i="4"/>
  <c r="Q18" i="4"/>
  <c r="M19" i="4"/>
  <c r="O19" i="4"/>
  <c r="Q19" i="4"/>
  <c r="M20" i="4"/>
  <c r="O20" i="4"/>
  <c r="Q20" i="4"/>
  <c r="M21" i="4"/>
  <c r="O21" i="4"/>
  <c r="Q21" i="4"/>
  <c r="M22" i="4"/>
  <c r="O22" i="4"/>
  <c r="Q22" i="4"/>
  <c r="M23" i="4"/>
  <c r="O23" i="4"/>
  <c r="Q23" i="4"/>
  <c r="M24" i="4"/>
  <c r="O24" i="4"/>
  <c r="Q24" i="4"/>
  <c r="M25" i="4"/>
  <c r="O25" i="4"/>
  <c r="Q25" i="4"/>
  <c r="M26" i="4"/>
  <c r="O26" i="4"/>
  <c r="Q26" i="4"/>
  <c r="M27" i="4"/>
  <c r="O27" i="4"/>
  <c r="Q27" i="4"/>
  <c r="M28" i="4"/>
  <c r="O28" i="4"/>
  <c r="Q28" i="4"/>
  <c r="M29" i="4"/>
  <c r="O29" i="4"/>
  <c r="Q29" i="4"/>
  <c r="M30" i="4"/>
  <c r="O30" i="4"/>
  <c r="Q30" i="4"/>
  <c r="M31" i="4"/>
  <c r="O31" i="4"/>
  <c r="Q31" i="4"/>
  <c r="M32" i="4"/>
  <c r="O32" i="4"/>
  <c r="Q32" i="4"/>
  <c r="M33" i="4"/>
  <c r="O33" i="4"/>
  <c r="Q33" i="4"/>
  <c r="M34" i="4"/>
  <c r="O34" i="4"/>
  <c r="Q34" i="4"/>
  <c r="M35" i="4"/>
  <c r="O35" i="4"/>
  <c r="Q35" i="4"/>
  <c r="M36" i="4"/>
  <c r="O36" i="4"/>
  <c r="Q36" i="4"/>
  <c r="M37" i="4"/>
  <c r="O37" i="4"/>
  <c r="Q37" i="4"/>
  <c r="M38" i="4"/>
  <c r="O38" i="4"/>
  <c r="Q38" i="4"/>
  <c r="M39" i="4"/>
  <c r="O39" i="4"/>
  <c r="Q39" i="4"/>
  <c r="M40" i="4"/>
  <c r="O40" i="4"/>
  <c r="Q40" i="4"/>
  <c r="M41" i="4"/>
  <c r="O41" i="4"/>
  <c r="Q41" i="4"/>
  <c r="M42" i="4"/>
  <c r="O42" i="4"/>
  <c r="Q42" i="4"/>
  <c r="M43" i="4"/>
  <c r="O43" i="4"/>
  <c r="Q43" i="4"/>
  <c r="M44" i="4"/>
  <c r="O44" i="4"/>
  <c r="Q44" i="4"/>
  <c r="M45" i="4"/>
  <c r="O45" i="4"/>
  <c r="Q45" i="4"/>
  <c r="M46" i="4"/>
  <c r="O46" i="4"/>
  <c r="Q46" i="4"/>
  <c r="M47" i="4"/>
  <c r="O47" i="4"/>
  <c r="Q47" i="4"/>
  <c r="M48" i="4"/>
  <c r="O48" i="4"/>
  <c r="Q48" i="4"/>
  <c r="M49" i="4"/>
  <c r="O49" i="4"/>
  <c r="Q49" i="4"/>
  <c r="M50" i="4"/>
  <c r="O50" i="4"/>
  <c r="Q50" i="4"/>
  <c r="M51" i="4"/>
  <c r="O51" i="4"/>
  <c r="Q51" i="4"/>
  <c r="M52" i="4"/>
  <c r="O52" i="4"/>
  <c r="Q52" i="4"/>
  <c r="M53" i="4"/>
  <c r="O53" i="4"/>
  <c r="Q53" i="4"/>
  <c r="M54" i="4"/>
  <c r="O54" i="4"/>
  <c r="Q54" i="4"/>
  <c r="M55" i="4"/>
  <c r="O55" i="4"/>
  <c r="Q55" i="4"/>
  <c r="M56" i="4"/>
  <c r="O56" i="4"/>
  <c r="Q56" i="4"/>
  <c r="M57" i="4"/>
  <c r="O57" i="4"/>
  <c r="Q57" i="4"/>
  <c r="M58" i="4"/>
  <c r="O58" i="4"/>
  <c r="Q58" i="4"/>
  <c r="M59" i="4"/>
  <c r="O59" i="4"/>
  <c r="Q59" i="4"/>
  <c r="M60" i="4"/>
  <c r="O60" i="4"/>
  <c r="Q60" i="4"/>
  <c r="M61" i="4"/>
  <c r="O61" i="4"/>
  <c r="Q61" i="4"/>
  <c r="M62" i="4"/>
  <c r="O62" i="4"/>
  <c r="Q62" i="4"/>
  <c r="M63" i="4"/>
  <c r="O63" i="4"/>
  <c r="Q63" i="4"/>
  <c r="M64" i="4"/>
  <c r="O64" i="4"/>
  <c r="Q64" i="4"/>
  <c r="M65" i="4"/>
  <c r="O65" i="4"/>
  <c r="Q65" i="4"/>
  <c r="M66" i="4"/>
  <c r="O66" i="4"/>
  <c r="Q66" i="4"/>
  <c r="M67" i="4"/>
  <c r="O67" i="4"/>
  <c r="Q67" i="4"/>
  <c r="M68" i="4"/>
  <c r="O68" i="4"/>
  <c r="Q68" i="4"/>
  <c r="M69" i="4"/>
  <c r="O69" i="4"/>
  <c r="Q69" i="4"/>
  <c r="M70" i="4"/>
  <c r="O70" i="4"/>
  <c r="Q70" i="4"/>
  <c r="M71" i="4"/>
  <c r="O71" i="4"/>
  <c r="Q71" i="4"/>
  <c r="M72" i="4"/>
  <c r="O72" i="4"/>
  <c r="Q72" i="4"/>
  <c r="M73" i="4"/>
  <c r="O73" i="4"/>
  <c r="Q73" i="4"/>
  <c r="M74" i="4"/>
  <c r="O74" i="4"/>
  <c r="Q74" i="4"/>
  <c r="M75" i="4"/>
  <c r="O75" i="4"/>
  <c r="Q75" i="4"/>
  <c r="M76" i="4"/>
  <c r="O76" i="4"/>
  <c r="Q76" i="4"/>
  <c r="M77" i="4"/>
  <c r="O77" i="4"/>
  <c r="Q77" i="4"/>
  <c r="M78" i="4"/>
  <c r="O78" i="4"/>
  <c r="Q78" i="4"/>
  <c r="M79" i="4"/>
  <c r="O79" i="4"/>
  <c r="Q79" i="4"/>
  <c r="M80" i="4"/>
  <c r="O80" i="4"/>
  <c r="Q80" i="4"/>
  <c r="M81" i="4"/>
  <c r="O81" i="4"/>
  <c r="Q81" i="4"/>
  <c r="M82" i="4"/>
  <c r="O82" i="4"/>
  <c r="Q82" i="4"/>
  <c r="M83" i="4"/>
  <c r="O83" i="4"/>
  <c r="Q83" i="4"/>
  <c r="M84" i="4"/>
  <c r="O84" i="4"/>
  <c r="Q84" i="4"/>
  <c r="M85" i="4"/>
  <c r="O85" i="4"/>
  <c r="Q85" i="4"/>
  <c r="M86" i="4"/>
  <c r="O86" i="4"/>
  <c r="Q86" i="4"/>
  <c r="M87" i="4"/>
  <c r="O87" i="4"/>
  <c r="Q87" i="4"/>
  <c r="M88" i="4"/>
  <c r="O88" i="4"/>
  <c r="Q88" i="4"/>
  <c r="M89" i="4"/>
  <c r="O89" i="4"/>
  <c r="Q89" i="4"/>
  <c r="M90" i="4"/>
  <c r="O90" i="4"/>
  <c r="Q90" i="4"/>
  <c r="M91" i="4"/>
  <c r="O91" i="4"/>
  <c r="Q91" i="4"/>
  <c r="M92" i="4"/>
  <c r="O92" i="4"/>
  <c r="Q92" i="4"/>
  <c r="M93" i="4"/>
  <c r="O93" i="4"/>
  <c r="Q93" i="4"/>
  <c r="M94" i="4"/>
  <c r="O94" i="4"/>
  <c r="Q94" i="4"/>
  <c r="M95" i="4"/>
  <c r="O95" i="4"/>
  <c r="Q95" i="4"/>
  <c r="M96" i="4"/>
  <c r="O96" i="4"/>
  <c r="Q96" i="4"/>
  <c r="M97" i="4"/>
  <c r="O97" i="4"/>
  <c r="Q97" i="4"/>
  <c r="M98" i="4"/>
  <c r="O98" i="4"/>
  <c r="Q98" i="4"/>
  <c r="M99" i="4"/>
  <c r="O99" i="4"/>
  <c r="Q99" i="4"/>
  <c r="M100" i="4"/>
  <c r="O100" i="4"/>
  <c r="Q100" i="4"/>
  <c r="M101" i="4"/>
  <c r="O101" i="4"/>
  <c r="Q101" i="4"/>
  <c r="M102" i="4"/>
  <c r="O102" i="4"/>
  <c r="Q102" i="4"/>
  <c r="M103" i="4"/>
  <c r="O103" i="4"/>
  <c r="Q103" i="4"/>
  <c r="M104" i="4"/>
  <c r="O104" i="4"/>
  <c r="Q104" i="4"/>
  <c r="M105" i="4"/>
  <c r="O105" i="4"/>
  <c r="Q105" i="4"/>
  <c r="M106" i="4"/>
  <c r="O106" i="4"/>
  <c r="Q106" i="4"/>
  <c r="M107" i="4"/>
  <c r="O107" i="4"/>
  <c r="Q107" i="4"/>
  <c r="M108" i="4"/>
  <c r="O108" i="4"/>
  <c r="Q108" i="4"/>
  <c r="M109" i="4"/>
  <c r="O109" i="4"/>
  <c r="Q109" i="4"/>
  <c r="M110" i="4"/>
  <c r="O110" i="4"/>
  <c r="Q110" i="4"/>
  <c r="M111" i="4"/>
  <c r="O111" i="4"/>
  <c r="Q111" i="4"/>
  <c r="M112" i="4"/>
  <c r="O112" i="4"/>
  <c r="Q112" i="4"/>
  <c r="M113" i="4"/>
  <c r="O113" i="4"/>
  <c r="Q113" i="4"/>
  <c r="M114" i="4"/>
  <c r="O114" i="4"/>
  <c r="Q114" i="4"/>
  <c r="M115" i="4"/>
  <c r="O115" i="4"/>
  <c r="Q115" i="4"/>
  <c r="M116" i="4"/>
  <c r="O116" i="4"/>
  <c r="Q116" i="4"/>
  <c r="M117" i="4"/>
  <c r="O117" i="4"/>
  <c r="Q117" i="4"/>
  <c r="M118" i="4"/>
  <c r="O118" i="4"/>
  <c r="Q118" i="4"/>
  <c r="M119" i="4"/>
  <c r="O119" i="4"/>
  <c r="Q119" i="4"/>
  <c r="M120" i="4"/>
  <c r="O120" i="4"/>
  <c r="Q120" i="4"/>
  <c r="M121" i="4"/>
  <c r="O121" i="4"/>
  <c r="Q121" i="4"/>
  <c r="M122" i="4"/>
  <c r="O122" i="4"/>
  <c r="Q122" i="4"/>
  <c r="M123" i="4"/>
  <c r="O123" i="4"/>
  <c r="Q123" i="4"/>
  <c r="M124" i="4"/>
  <c r="O124" i="4"/>
  <c r="Q124" i="4"/>
  <c r="M125" i="4"/>
  <c r="O125" i="4"/>
  <c r="Q125" i="4"/>
  <c r="M126" i="4"/>
  <c r="O126" i="4"/>
  <c r="Q126" i="4"/>
  <c r="M127" i="4"/>
  <c r="O127" i="4"/>
  <c r="Q127" i="4"/>
  <c r="M128" i="4"/>
  <c r="O128" i="4"/>
  <c r="Q128" i="4"/>
  <c r="M129" i="4"/>
  <c r="O129" i="4"/>
  <c r="Q129" i="4"/>
  <c r="M130" i="4"/>
  <c r="O130" i="4"/>
  <c r="Q130" i="4"/>
  <c r="M131" i="4"/>
  <c r="O131" i="4"/>
  <c r="Q131" i="4"/>
  <c r="M132" i="4"/>
  <c r="O132" i="4"/>
  <c r="Q132" i="4"/>
  <c r="M133" i="4"/>
  <c r="O133" i="4"/>
  <c r="Q133" i="4"/>
  <c r="M134" i="4"/>
  <c r="O134" i="4"/>
  <c r="Q134" i="4"/>
  <c r="M135" i="4"/>
  <c r="O135" i="4"/>
  <c r="Q135" i="4"/>
  <c r="M136" i="4"/>
  <c r="O136" i="4"/>
  <c r="Q136" i="4"/>
  <c r="M137" i="4"/>
  <c r="O137" i="4"/>
  <c r="Q137" i="4"/>
  <c r="M138" i="4"/>
  <c r="O138" i="4"/>
  <c r="Q138" i="4"/>
  <c r="M139" i="4"/>
  <c r="O139" i="4"/>
  <c r="Q139" i="4"/>
  <c r="M140" i="4"/>
  <c r="O140" i="4"/>
  <c r="Q140" i="4"/>
  <c r="M141" i="4"/>
  <c r="O141" i="4"/>
  <c r="Q141" i="4"/>
  <c r="M142" i="4"/>
  <c r="O142" i="4"/>
  <c r="Q142" i="4"/>
  <c r="M143" i="4"/>
  <c r="O143" i="4"/>
  <c r="Q143" i="4"/>
  <c r="M144" i="4"/>
  <c r="O144" i="4"/>
  <c r="Q144" i="4"/>
  <c r="M145" i="4"/>
  <c r="O145" i="4"/>
  <c r="Q145" i="4"/>
  <c r="M146" i="4"/>
  <c r="O146" i="4"/>
  <c r="Q146" i="4"/>
  <c r="M147" i="4"/>
  <c r="O147" i="4"/>
  <c r="Q147" i="4"/>
  <c r="M148" i="4"/>
  <c r="O148" i="4"/>
  <c r="Q148" i="4"/>
  <c r="M149" i="4"/>
  <c r="O149" i="4"/>
  <c r="Q149" i="4"/>
  <c r="M150" i="4"/>
  <c r="O150" i="4"/>
  <c r="Q150" i="4"/>
  <c r="M151" i="4"/>
  <c r="O151" i="4"/>
  <c r="Q151" i="4"/>
  <c r="M152" i="4"/>
  <c r="O152" i="4"/>
  <c r="Q152" i="4"/>
  <c r="M153" i="4"/>
  <c r="O153" i="4"/>
  <c r="Q153" i="4"/>
  <c r="M154" i="4"/>
  <c r="O154" i="4"/>
  <c r="Q154" i="4"/>
  <c r="M155" i="4"/>
  <c r="O155" i="4"/>
  <c r="Q155" i="4"/>
  <c r="M156" i="4"/>
  <c r="O156" i="4"/>
  <c r="Q156" i="4"/>
  <c r="M157" i="4"/>
  <c r="O157" i="4"/>
  <c r="Q157" i="4"/>
  <c r="M158" i="4"/>
  <c r="O158" i="4"/>
  <c r="Q158" i="4"/>
  <c r="M159" i="4"/>
  <c r="O159" i="4"/>
  <c r="Q159" i="4"/>
  <c r="M160" i="4"/>
  <c r="O160" i="4"/>
  <c r="Q160" i="4"/>
  <c r="M161" i="4"/>
  <c r="O161" i="4"/>
  <c r="Q161" i="4"/>
  <c r="M162" i="4"/>
  <c r="O162" i="4"/>
  <c r="Q162" i="4"/>
  <c r="M163" i="4"/>
  <c r="O163" i="4"/>
  <c r="Q163" i="4"/>
  <c r="M164" i="4"/>
  <c r="O164" i="4"/>
  <c r="Q164" i="4"/>
  <c r="M165" i="4"/>
  <c r="O165" i="4"/>
  <c r="Q165" i="4"/>
  <c r="M166" i="4"/>
  <c r="O166" i="4"/>
  <c r="Q166" i="4"/>
  <c r="M167" i="4"/>
  <c r="O167" i="4"/>
  <c r="Q167" i="4"/>
  <c r="M168" i="4"/>
  <c r="O168" i="4"/>
  <c r="Q168" i="4"/>
  <c r="M169" i="4"/>
  <c r="O169" i="4"/>
  <c r="Q169" i="4"/>
  <c r="M170" i="4"/>
  <c r="O170" i="4"/>
  <c r="Q170" i="4"/>
  <c r="M171" i="4"/>
  <c r="O171" i="4"/>
  <c r="Q171" i="4"/>
  <c r="M172" i="4"/>
  <c r="O172" i="4"/>
  <c r="Q172" i="4"/>
  <c r="M173" i="4"/>
  <c r="O173" i="4"/>
  <c r="Q173" i="4"/>
  <c r="M174" i="4"/>
  <c r="O174" i="4"/>
  <c r="Q174" i="4"/>
  <c r="M175" i="4"/>
  <c r="O175" i="4"/>
  <c r="Q175" i="4"/>
  <c r="M176" i="4"/>
  <c r="O176" i="4"/>
  <c r="Q176" i="4"/>
  <c r="M177" i="4"/>
  <c r="O177" i="4"/>
  <c r="Q177" i="4"/>
  <c r="M178" i="4"/>
  <c r="O178" i="4"/>
  <c r="Q178" i="4"/>
  <c r="M179" i="4"/>
  <c r="O179" i="4"/>
  <c r="Q179" i="4"/>
  <c r="M180" i="4"/>
  <c r="O180" i="4"/>
  <c r="Q180" i="4"/>
  <c r="M181" i="4"/>
  <c r="O181" i="4"/>
  <c r="Q181" i="4"/>
  <c r="M182" i="4"/>
  <c r="O182" i="4"/>
  <c r="Q182" i="4"/>
  <c r="M183" i="4"/>
  <c r="O183" i="4"/>
  <c r="Q183" i="4"/>
  <c r="M184" i="4"/>
  <c r="O184" i="4"/>
  <c r="Q184" i="4"/>
  <c r="M185" i="4"/>
  <c r="O185" i="4"/>
  <c r="Q185" i="4"/>
  <c r="M186" i="4"/>
  <c r="O186" i="4"/>
  <c r="Q186" i="4"/>
  <c r="M187" i="4"/>
  <c r="O187" i="4"/>
  <c r="Q187" i="4"/>
  <c r="M188" i="4"/>
  <c r="O188" i="4"/>
  <c r="Q188" i="4"/>
  <c r="M189" i="4"/>
  <c r="O189" i="4"/>
  <c r="Q189" i="4"/>
  <c r="M190" i="4"/>
  <c r="O190" i="4"/>
  <c r="Q190" i="4"/>
  <c r="M191" i="4"/>
  <c r="O191" i="4"/>
  <c r="Q191" i="4"/>
  <c r="M192" i="4"/>
  <c r="O192" i="4"/>
  <c r="Q192" i="4"/>
  <c r="M193" i="4"/>
  <c r="O193" i="4"/>
  <c r="Q193" i="4"/>
  <c r="M194" i="4"/>
  <c r="O194" i="4"/>
  <c r="Q194" i="4"/>
  <c r="M195" i="4"/>
  <c r="O195" i="4"/>
  <c r="Q195" i="4"/>
  <c r="M196" i="4"/>
  <c r="O196" i="4"/>
  <c r="Q196" i="4"/>
  <c r="M197" i="4"/>
  <c r="O197" i="4"/>
  <c r="Q197" i="4"/>
  <c r="M198" i="4"/>
  <c r="O198" i="4"/>
  <c r="Q198" i="4"/>
  <c r="M199" i="4"/>
  <c r="O199" i="4"/>
  <c r="Q199" i="4"/>
  <c r="M200" i="4"/>
  <c r="O200" i="4"/>
  <c r="Q200" i="4"/>
  <c r="M201" i="4"/>
  <c r="O201" i="4"/>
  <c r="Q201" i="4"/>
  <c r="M202" i="4"/>
  <c r="O202" i="4"/>
  <c r="Q202" i="4"/>
  <c r="M203" i="4"/>
  <c r="O203" i="4"/>
  <c r="Q203" i="4"/>
  <c r="M204" i="4"/>
  <c r="O204" i="4"/>
  <c r="Q204" i="4"/>
  <c r="M205" i="4"/>
  <c r="O205" i="4"/>
  <c r="Q205" i="4"/>
  <c r="M206" i="4"/>
  <c r="O206" i="4"/>
  <c r="Q206" i="4"/>
  <c r="M207" i="4"/>
  <c r="O207" i="4"/>
  <c r="Q207" i="4"/>
  <c r="M208" i="4"/>
  <c r="O208" i="4"/>
  <c r="Q208" i="4"/>
  <c r="M209" i="4"/>
  <c r="O209" i="4"/>
  <c r="Q209" i="4"/>
  <c r="M210" i="4"/>
  <c r="O210" i="4"/>
  <c r="Q210" i="4"/>
  <c r="M211" i="4"/>
  <c r="O211" i="4"/>
  <c r="Q211" i="4"/>
  <c r="M212" i="4"/>
  <c r="O212" i="4"/>
  <c r="Q212" i="4"/>
  <c r="M213" i="4"/>
  <c r="O213" i="4"/>
  <c r="Q213" i="4"/>
  <c r="M214" i="4"/>
  <c r="O214" i="4"/>
  <c r="Q214" i="4"/>
  <c r="M215" i="4"/>
  <c r="O215" i="4"/>
  <c r="Q215" i="4"/>
  <c r="M216" i="4"/>
  <c r="O216" i="4"/>
  <c r="Q216" i="4"/>
  <c r="M217" i="4"/>
  <c r="O217" i="4"/>
  <c r="Q217" i="4"/>
  <c r="M218" i="4"/>
  <c r="O218" i="4"/>
  <c r="Q218" i="4"/>
  <c r="M219" i="4"/>
  <c r="O219" i="4"/>
  <c r="Q219" i="4"/>
  <c r="M220" i="4"/>
  <c r="O220" i="4"/>
  <c r="Q220" i="4"/>
  <c r="M221" i="4"/>
  <c r="O221" i="4"/>
  <c r="Q221" i="4"/>
  <c r="M222" i="4"/>
  <c r="O222" i="4"/>
  <c r="Q222" i="4"/>
  <c r="M223" i="4"/>
  <c r="O223" i="4"/>
  <c r="Q223" i="4"/>
  <c r="M224" i="4"/>
  <c r="O224" i="4"/>
  <c r="Q224" i="4"/>
  <c r="M225" i="4"/>
  <c r="O225" i="4"/>
  <c r="Q225" i="4"/>
  <c r="M226" i="4"/>
  <c r="O226" i="4"/>
  <c r="Q226" i="4"/>
  <c r="M227" i="4"/>
  <c r="O227" i="4"/>
  <c r="Q227" i="4"/>
  <c r="M228" i="4"/>
  <c r="O228" i="4"/>
  <c r="Q228" i="4"/>
  <c r="M229" i="4"/>
  <c r="O229" i="4"/>
  <c r="Q229" i="4"/>
  <c r="M230" i="4"/>
  <c r="O230" i="4"/>
  <c r="Q230" i="4"/>
  <c r="M231" i="4"/>
  <c r="O231" i="4"/>
  <c r="Q231" i="4"/>
  <c r="M232" i="4"/>
  <c r="O232" i="4"/>
  <c r="Q232" i="4"/>
  <c r="M233" i="4"/>
  <c r="O233" i="4"/>
  <c r="Q233" i="4"/>
  <c r="M234" i="4"/>
  <c r="O234" i="4"/>
  <c r="Q234" i="4"/>
  <c r="M235" i="4"/>
  <c r="O235" i="4"/>
  <c r="Q235" i="4"/>
  <c r="M236" i="4"/>
  <c r="O236" i="4"/>
  <c r="Q236" i="4"/>
  <c r="M237" i="4"/>
  <c r="O237" i="4"/>
  <c r="Q237" i="4"/>
  <c r="M238" i="4"/>
  <c r="O238" i="4"/>
  <c r="Q238" i="4"/>
  <c r="M239" i="4"/>
  <c r="O239" i="4"/>
  <c r="Q239" i="4"/>
  <c r="M240" i="4"/>
  <c r="O240" i="4"/>
  <c r="Q240" i="4"/>
  <c r="M241" i="4"/>
  <c r="O241" i="4"/>
  <c r="Q241" i="4"/>
  <c r="M242" i="4"/>
  <c r="O242" i="4"/>
  <c r="Q242" i="4"/>
  <c r="M243" i="4"/>
  <c r="O243" i="4"/>
  <c r="Q243" i="4"/>
  <c r="M244" i="4"/>
  <c r="O244" i="4"/>
  <c r="Q244" i="4"/>
  <c r="M245" i="4"/>
  <c r="O245" i="4"/>
  <c r="Q245" i="4"/>
  <c r="M246" i="4"/>
  <c r="O246" i="4"/>
  <c r="Q246" i="4"/>
  <c r="M247" i="4"/>
  <c r="O247" i="4"/>
  <c r="Q247" i="4"/>
  <c r="M248" i="4"/>
  <c r="O248" i="4"/>
  <c r="Q248" i="4"/>
  <c r="M249" i="4"/>
  <c r="O249" i="4"/>
  <c r="Q249" i="4"/>
  <c r="M250" i="4"/>
  <c r="O250" i="4"/>
  <c r="Q250" i="4"/>
  <c r="M251" i="4"/>
  <c r="O251" i="4"/>
  <c r="Q251" i="4"/>
  <c r="M252" i="4"/>
  <c r="O252" i="4"/>
  <c r="Q252" i="4"/>
  <c r="M253" i="4"/>
  <c r="O253" i="4"/>
  <c r="Q253" i="4"/>
  <c r="M254" i="4"/>
  <c r="O254" i="4"/>
  <c r="Q254" i="4"/>
  <c r="M255" i="4"/>
  <c r="O255" i="4"/>
  <c r="Q255" i="4"/>
  <c r="M256" i="4"/>
  <c r="O256" i="4"/>
  <c r="Q256" i="4"/>
  <c r="M257" i="4"/>
  <c r="O257" i="4"/>
  <c r="Q257" i="4"/>
  <c r="M258" i="4"/>
  <c r="O258" i="4"/>
  <c r="Q258" i="4"/>
  <c r="M259" i="4"/>
  <c r="O259" i="4"/>
  <c r="Q259" i="4"/>
  <c r="M260" i="4"/>
  <c r="O260" i="4"/>
  <c r="Q260" i="4"/>
  <c r="M261" i="4"/>
  <c r="O261" i="4"/>
  <c r="Q261" i="4"/>
  <c r="M262" i="4"/>
  <c r="O262" i="4"/>
  <c r="Q262" i="4"/>
  <c r="M263" i="4"/>
  <c r="O263" i="4"/>
  <c r="Q263" i="4"/>
  <c r="M264" i="4"/>
  <c r="O264" i="4"/>
  <c r="Q264" i="4"/>
  <c r="M265" i="4"/>
  <c r="O265" i="4"/>
  <c r="Q265" i="4"/>
  <c r="M266" i="4"/>
  <c r="O266" i="4"/>
  <c r="Q266" i="4"/>
  <c r="M267" i="4"/>
  <c r="O267" i="4"/>
  <c r="Q267" i="4"/>
  <c r="M268" i="4"/>
  <c r="O268" i="4"/>
  <c r="Q268" i="4"/>
  <c r="M269" i="4"/>
  <c r="O269" i="4"/>
  <c r="Q269" i="4"/>
  <c r="M270" i="4"/>
  <c r="O270" i="4"/>
  <c r="Q270" i="4"/>
  <c r="M271" i="4"/>
  <c r="O271" i="4"/>
  <c r="Q271" i="4"/>
  <c r="M272" i="4"/>
  <c r="O272" i="4"/>
  <c r="Q272" i="4"/>
  <c r="M273" i="4"/>
  <c r="O273" i="4"/>
  <c r="Q273" i="4"/>
  <c r="M274" i="4"/>
  <c r="O274" i="4"/>
  <c r="Q274" i="4"/>
  <c r="M275" i="4"/>
  <c r="O275" i="4"/>
  <c r="Q275" i="4"/>
  <c r="M276" i="4"/>
  <c r="O276" i="4"/>
  <c r="Q276" i="4"/>
  <c r="M277" i="4"/>
  <c r="O277" i="4"/>
  <c r="Q277" i="4"/>
  <c r="M278" i="4"/>
  <c r="O278" i="4"/>
  <c r="Q278" i="4"/>
  <c r="M279" i="4"/>
  <c r="O279" i="4"/>
  <c r="Q279" i="4"/>
  <c r="M280" i="4"/>
  <c r="O280" i="4"/>
  <c r="Q280" i="4"/>
  <c r="M281" i="4"/>
  <c r="O281" i="4"/>
  <c r="Q281" i="4"/>
  <c r="M282" i="4"/>
  <c r="O282" i="4"/>
  <c r="Q282" i="4"/>
  <c r="M283" i="4"/>
  <c r="O283" i="4"/>
  <c r="Q283" i="4"/>
  <c r="M284" i="4"/>
  <c r="O284" i="4"/>
  <c r="Q284" i="4"/>
  <c r="M285" i="4"/>
  <c r="O285" i="4"/>
  <c r="Q285" i="4"/>
  <c r="M286" i="4"/>
  <c r="O286" i="4"/>
  <c r="Q286" i="4"/>
  <c r="M287" i="4"/>
  <c r="O287" i="4"/>
  <c r="Q287" i="4"/>
  <c r="M288" i="4"/>
  <c r="O288" i="4"/>
  <c r="Q288" i="4"/>
  <c r="M289" i="4"/>
  <c r="O289" i="4"/>
  <c r="Q289" i="4"/>
  <c r="M290" i="4"/>
  <c r="O290" i="4"/>
  <c r="Q290" i="4"/>
  <c r="M291" i="4"/>
  <c r="O291" i="4"/>
  <c r="Q291" i="4"/>
  <c r="M292" i="4"/>
  <c r="O292" i="4"/>
  <c r="Q292" i="4"/>
  <c r="M293" i="4"/>
  <c r="O293" i="4"/>
  <c r="Q293" i="4"/>
  <c r="M294" i="4"/>
  <c r="O294" i="4"/>
  <c r="Q294" i="4"/>
  <c r="M295" i="4"/>
  <c r="O295" i="4"/>
  <c r="Q295" i="4"/>
  <c r="M296" i="4"/>
  <c r="O296" i="4"/>
  <c r="Q296" i="4"/>
  <c r="M297" i="4"/>
  <c r="O297" i="4"/>
  <c r="Q297" i="4"/>
  <c r="M298" i="4"/>
  <c r="O298" i="4"/>
  <c r="Q298" i="4"/>
  <c r="M299" i="4"/>
  <c r="O299" i="4"/>
  <c r="Q299" i="4"/>
  <c r="M300" i="4"/>
  <c r="O300" i="4"/>
  <c r="Q300" i="4"/>
  <c r="M301" i="4"/>
  <c r="O301" i="4"/>
  <c r="Q301" i="4"/>
  <c r="M302" i="4"/>
  <c r="O302" i="4"/>
  <c r="Q302" i="4"/>
  <c r="M303" i="4"/>
  <c r="O303" i="4"/>
  <c r="Q303" i="4"/>
  <c r="M304" i="4"/>
  <c r="O304" i="4"/>
  <c r="Q304" i="4"/>
  <c r="M305" i="4"/>
  <c r="O305" i="4"/>
  <c r="Q305" i="4"/>
  <c r="M306" i="4"/>
  <c r="O306" i="4"/>
  <c r="Q306" i="4"/>
  <c r="M307" i="4"/>
  <c r="O307" i="4"/>
  <c r="Q307" i="4"/>
  <c r="M308" i="4"/>
  <c r="O308" i="4"/>
  <c r="Q308" i="4"/>
  <c r="M309" i="4"/>
  <c r="O309" i="4"/>
  <c r="Q309" i="4"/>
  <c r="M310" i="4"/>
  <c r="O310" i="4"/>
  <c r="Q310" i="4"/>
  <c r="M311" i="4"/>
  <c r="O311" i="4"/>
  <c r="Q311" i="4"/>
  <c r="M312" i="4"/>
  <c r="O312" i="4"/>
  <c r="Q312" i="4"/>
  <c r="M313" i="4"/>
  <c r="O313" i="4"/>
  <c r="Q313" i="4"/>
  <c r="M314" i="4"/>
  <c r="O314" i="4"/>
  <c r="Q314" i="4"/>
  <c r="M315" i="4"/>
  <c r="O315" i="4"/>
  <c r="Q315" i="4"/>
  <c r="M316" i="4"/>
  <c r="O316" i="4"/>
  <c r="Q316" i="4"/>
  <c r="M317" i="4"/>
  <c r="O317" i="4"/>
  <c r="Q317" i="4"/>
  <c r="M318" i="4"/>
  <c r="O318" i="4"/>
  <c r="Q318" i="4"/>
  <c r="M319" i="4"/>
  <c r="O319" i="4"/>
  <c r="Q319" i="4"/>
  <c r="M320" i="4"/>
  <c r="O320" i="4"/>
  <c r="Q320" i="4"/>
  <c r="M321" i="4"/>
  <c r="O321" i="4"/>
  <c r="Q321" i="4"/>
  <c r="M322" i="4"/>
  <c r="O322" i="4"/>
  <c r="Q322" i="4"/>
  <c r="M323" i="4"/>
  <c r="O323" i="4"/>
  <c r="Q323" i="4"/>
  <c r="M324" i="4"/>
  <c r="O324" i="4"/>
  <c r="Q324" i="4"/>
  <c r="M325" i="4"/>
  <c r="O325" i="4"/>
  <c r="Q325" i="4"/>
  <c r="M326" i="4"/>
  <c r="O326" i="4"/>
  <c r="Q326" i="4"/>
  <c r="M327" i="4"/>
  <c r="O327" i="4"/>
  <c r="Q327" i="4"/>
  <c r="M328" i="4"/>
  <c r="O328" i="4"/>
  <c r="Q328" i="4"/>
  <c r="M329" i="4"/>
  <c r="O329" i="4"/>
  <c r="Q329" i="4"/>
  <c r="M330" i="4"/>
  <c r="O330" i="4"/>
  <c r="Q330" i="4"/>
  <c r="M331" i="4"/>
  <c r="O331" i="4"/>
  <c r="Q331" i="4"/>
  <c r="M332" i="4"/>
  <c r="O332" i="4"/>
  <c r="Q332" i="4"/>
  <c r="M333" i="4"/>
  <c r="O333" i="4"/>
  <c r="Q333" i="4"/>
  <c r="M334" i="4"/>
  <c r="O334" i="4"/>
  <c r="Q334" i="4"/>
  <c r="M335" i="4"/>
  <c r="O335" i="4"/>
  <c r="Q335" i="4"/>
  <c r="M336" i="4"/>
  <c r="O336" i="4"/>
  <c r="Q336" i="4"/>
  <c r="M337" i="4"/>
  <c r="O337" i="4"/>
  <c r="Q337" i="4"/>
  <c r="M338" i="4"/>
  <c r="O338" i="4"/>
  <c r="Q338" i="4"/>
  <c r="M339" i="4"/>
  <c r="O339" i="4"/>
  <c r="Q339" i="4"/>
  <c r="M340" i="4"/>
  <c r="O340" i="4"/>
  <c r="Q340" i="4"/>
  <c r="M341" i="4"/>
  <c r="O341" i="4"/>
  <c r="Q341" i="4"/>
  <c r="M342" i="4"/>
  <c r="O342" i="4"/>
  <c r="Q342" i="4"/>
  <c r="M343" i="4"/>
  <c r="O343" i="4"/>
  <c r="Q343" i="4"/>
  <c r="M344" i="4"/>
  <c r="O344" i="4"/>
  <c r="Q344" i="4"/>
  <c r="M345" i="4"/>
  <c r="O345" i="4"/>
  <c r="Q345" i="4"/>
  <c r="M346" i="4"/>
  <c r="O346" i="4"/>
  <c r="Q346" i="4"/>
  <c r="M347" i="4"/>
  <c r="O347" i="4"/>
  <c r="Q347" i="4"/>
  <c r="M348" i="4"/>
  <c r="O348" i="4"/>
  <c r="Q348" i="4"/>
  <c r="M349" i="4"/>
  <c r="O349" i="4"/>
  <c r="Q349" i="4"/>
  <c r="M350" i="4"/>
  <c r="O350" i="4"/>
  <c r="Q350" i="4"/>
  <c r="M351" i="4"/>
  <c r="O351" i="4"/>
  <c r="Q351" i="4"/>
  <c r="M352" i="4"/>
  <c r="O352" i="4"/>
  <c r="Q352" i="4"/>
  <c r="M353" i="4"/>
  <c r="O353" i="4"/>
  <c r="Q353" i="4"/>
  <c r="M354" i="4"/>
  <c r="O354" i="4"/>
  <c r="Q354" i="4"/>
  <c r="M355" i="4"/>
  <c r="O355" i="4"/>
  <c r="Q355" i="4"/>
  <c r="M356" i="4"/>
  <c r="O356" i="4"/>
  <c r="Q356" i="4"/>
  <c r="M357" i="4"/>
  <c r="O357" i="4"/>
  <c r="Q357" i="4"/>
  <c r="M358" i="4"/>
  <c r="O358" i="4"/>
  <c r="Q358" i="4"/>
  <c r="M359" i="4"/>
  <c r="O359" i="4"/>
  <c r="Q359" i="4"/>
  <c r="M360" i="4"/>
  <c r="O360" i="4"/>
  <c r="Q360" i="4"/>
  <c r="M361" i="4"/>
  <c r="O361" i="4"/>
  <c r="Q361" i="4"/>
  <c r="M362" i="4"/>
  <c r="O362" i="4"/>
  <c r="Q362" i="4"/>
  <c r="M363" i="4"/>
  <c r="O363" i="4"/>
  <c r="Q363" i="4"/>
  <c r="M364" i="4"/>
  <c r="O364" i="4"/>
  <c r="Q364" i="4"/>
  <c r="M365" i="4"/>
  <c r="O365" i="4"/>
  <c r="Q365" i="4"/>
  <c r="M366" i="4"/>
  <c r="O366" i="4"/>
  <c r="Q366" i="4"/>
  <c r="M367" i="4"/>
  <c r="O367" i="4"/>
  <c r="Q367" i="4"/>
  <c r="M368" i="4"/>
  <c r="O368" i="4"/>
  <c r="Q368" i="4"/>
  <c r="M369" i="4"/>
  <c r="O369" i="4"/>
  <c r="Q369" i="4"/>
  <c r="M370" i="4"/>
  <c r="O370" i="4"/>
  <c r="Q370" i="4"/>
  <c r="M371" i="4"/>
  <c r="O371" i="4"/>
  <c r="Q371" i="4"/>
  <c r="M372" i="4"/>
  <c r="O372" i="4"/>
  <c r="Q372" i="4"/>
  <c r="M373" i="4"/>
  <c r="O373" i="4"/>
  <c r="Q373" i="4"/>
  <c r="M374" i="4"/>
  <c r="O374" i="4"/>
  <c r="Q374" i="4"/>
  <c r="M375" i="4"/>
  <c r="O375" i="4"/>
  <c r="Q375" i="4"/>
  <c r="M376" i="4"/>
  <c r="O376" i="4"/>
  <c r="Q376" i="4"/>
  <c r="M377" i="4"/>
  <c r="O377" i="4"/>
  <c r="Q377" i="4"/>
  <c r="M378" i="4"/>
  <c r="O378" i="4"/>
  <c r="Q378" i="4"/>
  <c r="M379" i="4"/>
  <c r="O379" i="4"/>
  <c r="Q379" i="4"/>
  <c r="M380" i="4"/>
  <c r="O380" i="4"/>
  <c r="Q380" i="4"/>
  <c r="M381" i="4"/>
  <c r="O381" i="4"/>
  <c r="Q381" i="4"/>
  <c r="M382" i="4"/>
  <c r="O382" i="4"/>
  <c r="Q382" i="4"/>
  <c r="M383" i="4"/>
  <c r="O383" i="4"/>
  <c r="Q383" i="4"/>
  <c r="M384" i="4"/>
  <c r="O384" i="4"/>
  <c r="Q384" i="4"/>
  <c r="M385" i="4"/>
  <c r="O385" i="4"/>
  <c r="Q385" i="4"/>
  <c r="M386" i="4"/>
  <c r="O386" i="4"/>
  <c r="Q386" i="4"/>
  <c r="M387" i="4"/>
  <c r="O387" i="4"/>
  <c r="Q387" i="4"/>
  <c r="M388" i="4"/>
  <c r="O388" i="4"/>
  <c r="Q388" i="4"/>
  <c r="M389" i="4"/>
  <c r="O389" i="4"/>
  <c r="Q389" i="4"/>
  <c r="M390" i="4"/>
  <c r="O390" i="4"/>
  <c r="Q390" i="4"/>
  <c r="M391" i="4"/>
  <c r="O391" i="4"/>
  <c r="Q391" i="4"/>
  <c r="M392" i="4"/>
  <c r="O392" i="4"/>
  <c r="Q392" i="4"/>
  <c r="M393" i="4"/>
  <c r="O393" i="4"/>
  <c r="Q393" i="4"/>
  <c r="M394" i="4"/>
  <c r="O394" i="4"/>
  <c r="Q394" i="4"/>
  <c r="M395" i="4"/>
  <c r="O395" i="4"/>
  <c r="Q395" i="4"/>
  <c r="M396" i="4"/>
  <c r="O396" i="4"/>
  <c r="Q396" i="4"/>
  <c r="M397" i="4"/>
  <c r="O397" i="4"/>
  <c r="Q397" i="4"/>
  <c r="M398" i="4"/>
  <c r="O398" i="4"/>
  <c r="Q398" i="4"/>
  <c r="M399" i="4"/>
  <c r="O399" i="4"/>
  <c r="Q399" i="4"/>
  <c r="M400" i="4"/>
  <c r="O400" i="4"/>
  <c r="Q400" i="4"/>
  <c r="M401" i="4"/>
  <c r="O401" i="4"/>
  <c r="Q401" i="4"/>
  <c r="M402" i="4"/>
  <c r="O402" i="4"/>
  <c r="Q402" i="4"/>
  <c r="M403" i="4"/>
  <c r="O403" i="4"/>
  <c r="Q403" i="4"/>
  <c r="M404" i="4"/>
  <c r="O404" i="4"/>
  <c r="Q404" i="4"/>
  <c r="M405" i="4"/>
  <c r="O405" i="4"/>
  <c r="Q405" i="4"/>
  <c r="M406" i="4"/>
  <c r="O406" i="4"/>
  <c r="Q406" i="4"/>
  <c r="M407" i="4"/>
  <c r="O407" i="4"/>
  <c r="Q407" i="4"/>
  <c r="M408" i="4"/>
  <c r="O408" i="4"/>
  <c r="Q408" i="4"/>
  <c r="M409" i="4"/>
  <c r="O409" i="4"/>
  <c r="Q409" i="4"/>
  <c r="M410" i="4"/>
  <c r="O410" i="4"/>
  <c r="Q410" i="4"/>
  <c r="M411" i="4"/>
  <c r="O411" i="4"/>
  <c r="Q411" i="4"/>
  <c r="M412" i="4"/>
  <c r="O412" i="4"/>
  <c r="Q412" i="4"/>
  <c r="M413" i="4"/>
  <c r="O413" i="4"/>
  <c r="Q413" i="4"/>
  <c r="M414" i="4"/>
  <c r="O414" i="4"/>
  <c r="Q414" i="4"/>
  <c r="M415" i="4"/>
  <c r="O415" i="4"/>
  <c r="Q415" i="4"/>
  <c r="M416" i="4"/>
  <c r="O416" i="4"/>
  <c r="Q416" i="4"/>
  <c r="M417" i="4"/>
  <c r="O417" i="4"/>
  <c r="Q417" i="4"/>
  <c r="M418" i="4"/>
  <c r="O418" i="4"/>
  <c r="Q418" i="4"/>
  <c r="M419" i="4"/>
  <c r="O419" i="4"/>
  <c r="Q419" i="4"/>
  <c r="M420" i="4"/>
  <c r="O420" i="4"/>
  <c r="Q420" i="4"/>
  <c r="M421" i="4"/>
  <c r="O421" i="4"/>
  <c r="Q421" i="4"/>
  <c r="M422" i="4"/>
  <c r="O422" i="4"/>
  <c r="Q422" i="4"/>
  <c r="M423" i="4"/>
  <c r="O423" i="4"/>
  <c r="Q423" i="4"/>
  <c r="M424" i="4"/>
  <c r="O424" i="4"/>
  <c r="Q424" i="4"/>
  <c r="M425" i="4"/>
  <c r="O425" i="4"/>
  <c r="Q425" i="4"/>
  <c r="M426" i="4"/>
  <c r="O426" i="4"/>
  <c r="Q426" i="4"/>
  <c r="M427" i="4"/>
  <c r="O427" i="4"/>
  <c r="Q427" i="4"/>
  <c r="M428" i="4"/>
  <c r="O428" i="4"/>
  <c r="Q428" i="4"/>
  <c r="M429" i="4"/>
  <c r="O429" i="4"/>
  <c r="Q429" i="4"/>
  <c r="M430" i="4"/>
  <c r="O430" i="4"/>
  <c r="Q430" i="4"/>
  <c r="M431" i="4"/>
  <c r="O431" i="4"/>
  <c r="Q431" i="4"/>
  <c r="M432" i="4"/>
  <c r="O432" i="4"/>
  <c r="Q432" i="4"/>
  <c r="M433" i="4"/>
  <c r="O433" i="4"/>
  <c r="Q433" i="4"/>
  <c r="M434" i="4"/>
  <c r="O434" i="4"/>
  <c r="Q434" i="4"/>
  <c r="M435" i="4"/>
  <c r="O435" i="4"/>
  <c r="Q435" i="4"/>
  <c r="M436" i="4"/>
  <c r="O436" i="4"/>
  <c r="Q436" i="4"/>
  <c r="M437" i="4"/>
  <c r="O437" i="4"/>
  <c r="Q437" i="4"/>
  <c r="M438" i="4"/>
  <c r="O438" i="4"/>
  <c r="Q438" i="4"/>
  <c r="M439" i="4"/>
  <c r="O439" i="4"/>
  <c r="Q439" i="4"/>
  <c r="M440" i="4"/>
  <c r="O440" i="4"/>
  <c r="Q440" i="4"/>
  <c r="M441" i="4"/>
  <c r="O441" i="4"/>
  <c r="Q441" i="4"/>
  <c r="M442" i="4"/>
  <c r="O442" i="4"/>
  <c r="Q442" i="4"/>
  <c r="M443" i="4"/>
  <c r="O443" i="4"/>
  <c r="Q443" i="4"/>
  <c r="M444" i="4"/>
  <c r="O444" i="4"/>
  <c r="Q444" i="4"/>
  <c r="M445" i="4"/>
  <c r="O445" i="4"/>
  <c r="Q445" i="4"/>
  <c r="M446" i="4"/>
  <c r="O446" i="4"/>
  <c r="Q446" i="4"/>
  <c r="M447" i="4"/>
  <c r="O447" i="4"/>
  <c r="Q447" i="4"/>
  <c r="M448" i="4"/>
  <c r="O448" i="4"/>
  <c r="Q448" i="4"/>
  <c r="M449" i="4"/>
  <c r="O449" i="4"/>
  <c r="Q449" i="4"/>
  <c r="M450" i="4"/>
  <c r="O450" i="4"/>
  <c r="Q450" i="4"/>
  <c r="M451" i="4"/>
  <c r="O451" i="4"/>
  <c r="Q451" i="4"/>
  <c r="M452" i="4"/>
  <c r="O452" i="4"/>
  <c r="Q452" i="4"/>
  <c r="M453" i="4"/>
  <c r="O453" i="4"/>
  <c r="Q453" i="4"/>
  <c r="M454" i="4"/>
  <c r="O454" i="4"/>
  <c r="Q454" i="4"/>
  <c r="M455" i="4"/>
  <c r="O455" i="4"/>
  <c r="Q455" i="4"/>
  <c r="M456" i="4"/>
  <c r="O456" i="4"/>
  <c r="Q456" i="4"/>
  <c r="M457" i="4"/>
  <c r="O457" i="4"/>
  <c r="Q457" i="4"/>
  <c r="M458" i="4"/>
  <c r="O458" i="4"/>
  <c r="Q458" i="4"/>
  <c r="M459" i="4"/>
  <c r="O459" i="4"/>
  <c r="Q459" i="4"/>
  <c r="M460" i="4"/>
  <c r="O460" i="4"/>
  <c r="Q460" i="4"/>
  <c r="M461" i="4"/>
  <c r="O461" i="4"/>
  <c r="Q461" i="4"/>
  <c r="M462" i="4"/>
  <c r="O462" i="4"/>
  <c r="Q462" i="4"/>
  <c r="M463" i="4"/>
  <c r="O463" i="4"/>
  <c r="Q463" i="4"/>
  <c r="M464" i="4"/>
  <c r="O464" i="4"/>
  <c r="Q464" i="4"/>
  <c r="M465" i="4"/>
  <c r="O465" i="4"/>
  <c r="Q465" i="4"/>
  <c r="M466" i="4"/>
  <c r="O466" i="4"/>
  <c r="Q466" i="4"/>
  <c r="M467" i="4"/>
  <c r="O467" i="4"/>
  <c r="Q467" i="4"/>
  <c r="M468" i="4"/>
  <c r="O468" i="4"/>
  <c r="Q468" i="4"/>
  <c r="M469" i="4"/>
  <c r="O469" i="4"/>
  <c r="Q469" i="4"/>
  <c r="M470" i="4"/>
  <c r="O470" i="4"/>
  <c r="Q470" i="4"/>
  <c r="M471" i="4"/>
  <c r="O471" i="4"/>
  <c r="Q471" i="4"/>
  <c r="M472" i="4"/>
  <c r="O472" i="4"/>
  <c r="Q472" i="4"/>
  <c r="M473" i="4"/>
  <c r="O473" i="4"/>
  <c r="Q473" i="4"/>
  <c r="M474" i="4"/>
  <c r="O474" i="4"/>
  <c r="Q474" i="4"/>
  <c r="M475" i="4"/>
  <c r="O475" i="4"/>
  <c r="Q475" i="4"/>
  <c r="M476" i="4"/>
  <c r="O476" i="4"/>
  <c r="Q476" i="4"/>
  <c r="M477" i="4"/>
  <c r="O477" i="4"/>
  <c r="Q477" i="4"/>
  <c r="M478" i="4"/>
  <c r="O478" i="4"/>
  <c r="Q478" i="4"/>
  <c r="M479" i="4"/>
  <c r="O479" i="4"/>
  <c r="Q479" i="4"/>
  <c r="M480" i="4"/>
  <c r="O480" i="4"/>
  <c r="Q480" i="4"/>
  <c r="M481" i="4"/>
  <c r="O481" i="4"/>
  <c r="Q481" i="4"/>
  <c r="M482" i="4"/>
  <c r="O482" i="4"/>
  <c r="Q482" i="4"/>
  <c r="M483" i="4"/>
  <c r="O483" i="4"/>
  <c r="Q483" i="4"/>
  <c r="M484" i="4"/>
  <c r="O484" i="4"/>
  <c r="Q484" i="4"/>
  <c r="M485" i="4"/>
  <c r="O485" i="4"/>
  <c r="Q485" i="4"/>
  <c r="M486" i="4"/>
  <c r="O486" i="4"/>
  <c r="Q486" i="4"/>
  <c r="M487" i="4"/>
  <c r="O487" i="4"/>
  <c r="Q487" i="4"/>
  <c r="M488" i="4"/>
  <c r="O488" i="4"/>
  <c r="Q488" i="4"/>
  <c r="M489" i="4"/>
  <c r="O489" i="4"/>
  <c r="Q489" i="4"/>
  <c r="M490" i="4"/>
  <c r="O490" i="4"/>
  <c r="Q490" i="4"/>
  <c r="M491" i="4"/>
  <c r="O491" i="4"/>
  <c r="Q491" i="4"/>
  <c r="M492" i="4"/>
  <c r="O492" i="4"/>
  <c r="Q492" i="4"/>
  <c r="M493" i="4"/>
  <c r="O493" i="4"/>
  <c r="Q493" i="4"/>
  <c r="M494" i="4"/>
  <c r="O494" i="4"/>
  <c r="Q494" i="4"/>
  <c r="M495" i="4"/>
  <c r="O495" i="4"/>
  <c r="Q495" i="4"/>
  <c r="M496" i="4"/>
  <c r="O496" i="4"/>
  <c r="Q496" i="4"/>
  <c r="M497" i="4"/>
  <c r="O497" i="4"/>
  <c r="Q497" i="4"/>
  <c r="M498" i="4"/>
  <c r="O498" i="4"/>
  <c r="Q498" i="4"/>
  <c r="M499" i="4"/>
  <c r="O499" i="4"/>
  <c r="Q499" i="4"/>
  <c r="M500" i="4"/>
  <c r="O500" i="4"/>
  <c r="Q500" i="4"/>
  <c r="M501" i="4"/>
  <c r="O501" i="4"/>
  <c r="Q501" i="4"/>
  <c r="M502" i="4"/>
  <c r="O502" i="4"/>
  <c r="Q502" i="4"/>
  <c r="M503" i="4"/>
  <c r="O503" i="4"/>
  <c r="Q503" i="4"/>
  <c r="M504" i="4"/>
  <c r="O504" i="4"/>
  <c r="Q504" i="4"/>
  <c r="M505" i="4"/>
  <c r="O505" i="4"/>
  <c r="Q505" i="4"/>
  <c r="M506" i="4"/>
  <c r="O506" i="4"/>
  <c r="Q506" i="4"/>
  <c r="M507" i="4"/>
  <c r="O507" i="4"/>
  <c r="Q507" i="4"/>
  <c r="M508" i="4"/>
  <c r="O508" i="4"/>
  <c r="Q508" i="4"/>
  <c r="M509" i="4"/>
  <c r="O509" i="4"/>
  <c r="Q509" i="4"/>
  <c r="M510" i="4"/>
  <c r="O510" i="4"/>
  <c r="Q510" i="4"/>
  <c r="M511" i="4"/>
  <c r="O511" i="4"/>
  <c r="Q511" i="4"/>
  <c r="M512" i="4"/>
  <c r="O512" i="4"/>
  <c r="Q512" i="4"/>
  <c r="M513" i="4"/>
  <c r="O513" i="4"/>
  <c r="Q513" i="4"/>
  <c r="M514" i="4"/>
  <c r="O514" i="4"/>
  <c r="Q514" i="4"/>
  <c r="M515" i="4"/>
  <c r="O515" i="4"/>
  <c r="Q515" i="4"/>
  <c r="M516" i="4"/>
  <c r="O516" i="4"/>
  <c r="Q516" i="4"/>
  <c r="M517" i="4"/>
  <c r="O517" i="4"/>
  <c r="Q517" i="4"/>
  <c r="M518" i="4"/>
  <c r="O518" i="4"/>
  <c r="Q518" i="4"/>
  <c r="M519" i="4"/>
  <c r="O519" i="4"/>
  <c r="Q519" i="4"/>
  <c r="M520" i="4"/>
  <c r="O520" i="4"/>
  <c r="Q520" i="4"/>
  <c r="M521" i="4"/>
  <c r="O521" i="4"/>
  <c r="Q521" i="4"/>
  <c r="M522" i="4"/>
  <c r="O522" i="4"/>
  <c r="Q522" i="4"/>
  <c r="M523" i="4"/>
  <c r="O523" i="4"/>
  <c r="Q523" i="4"/>
  <c r="M524" i="4"/>
  <c r="O524" i="4"/>
  <c r="Q524" i="4"/>
  <c r="M525" i="4"/>
  <c r="O525" i="4"/>
  <c r="Q525" i="4"/>
  <c r="M526" i="4"/>
  <c r="O526" i="4"/>
  <c r="Q526" i="4"/>
  <c r="M527" i="4"/>
  <c r="O527" i="4"/>
  <c r="Q527" i="4"/>
  <c r="M528" i="4"/>
  <c r="O528" i="4"/>
  <c r="Q528" i="4"/>
  <c r="M529" i="4"/>
  <c r="O529" i="4"/>
  <c r="Q529" i="4"/>
  <c r="M530" i="4"/>
  <c r="O530" i="4"/>
  <c r="Q530" i="4"/>
  <c r="M531" i="4"/>
  <c r="O531" i="4"/>
  <c r="Q531" i="4"/>
  <c r="M532" i="4"/>
  <c r="O532" i="4"/>
  <c r="Q532" i="4"/>
  <c r="M533" i="4"/>
  <c r="O533" i="4"/>
  <c r="Q533" i="4"/>
  <c r="M534" i="4"/>
  <c r="O534" i="4"/>
  <c r="Q534" i="4"/>
  <c r="M535" i="4"/>
  <c r="O535" i="4"/>
  <c r="Q535" i="4"/>
  <c r="M536" i="4"/>
  <c r="O536" i="4"/>
  <c r="Q536" i="4"/>
  <c r="M537" i="4"/>
  <c r="O537" i="4"/>
  <c r="Q537" i="4"/>
  <c r="M538" i="4"/>
  <c r="O538" i="4"/>
  <c r="Q538" i="4"/>
  <c r="M539" i="4"/>
  <c r="O539" i="4"/>
  <c r="Q539" i="4"/>
  <c r="M540" i="4"/>
  <c r="O540" i="4"/>
  <c r="Q540" i="4"/>
  <c r="M541" i="4"/>
  <c r="O541" i="4"/>
  <c r="Q541" i="4"/>
  <c r="M542" i="4"/>
  <c r="O542" i="4"/>
  <c r="Q542" i="4"/>
  <c r="M543" i="4"/>
  <c r="O543" i="4"/>
  <c r="Q543" i="4"/>
  <c r="M544" i="4"/>
  <c r="O544" i="4"/>
  <c r="Q544" i="4"/>
  <c r="M545" i="4"/>
  <c r="O545" i="4"/>
  <c r="Q545" i="4"/>
  <c r="M546" i="4"/>
  <c r="O546" i="4"/>
  <c r="Q546" i="4"/>
  <c r="M547" i="4"/>
  <c r="O547" i="4"/>
  <c r="Q547" i="4"/>
  <c r="M548" i="4"/>
  <c r="O548" i="4"/>
  <c r="Q548" i="4"/>
  <c r="M549" i="4"/>
  <c r="O549" i="4"/>
  <c r="Q549" i="4"/>
  <c r="M550" i="4"/>
  <c r="O550" i="4"/>
  <c r="Q550" i="4"/>
  <c r="M551" i="4"/>
  <c r="O551" i="4"/>
  <c r="Q551" i="4"/>
  <c r="M552" i="4"/>
  <c r="O552" i="4"/>
  <c r="Q552" i="4"/>
  <c r="M553" i="4"/>
  <c r="O553" i="4"/>
  <c r="Q553" i="4"/>
  <c r="M554" i="4"/>
  <c r="O554" i="4"/>
  <c r="Q554" i="4"/>
  <c r="M555" i="4"/>
  <c r="O555" i="4"/>
  <c r="Q555" i="4"/>
  <c r="M556" i="4"/>
  <c r="O556" i="4"/>
  <c r="Q556" i="4"/>
  <c r="M557" i="4"/>
  <c r="O557" i="4"/>
  <c r="Q557" i="4"/>
  <c r="M558" i="4"/>
  <c r="O558" i="4"/>
  <c r="Q558" i="4"/>
  <c r="M559" i="4"/>
  <c r="O559" i="4"/>
  <c r="Q559" i="4"/>
  <c r="M560" i="4"/>
  <c r="O560" i="4"/>
  <c r="Q560" i="4"/>
  <c r="M561" i="4"/>
  <c r="O561" i="4"/>
  <c r="Q561" i="4"/>
  <c r="M562" i="4"/>
  <c r="O562" i="4"/>
  <c r="Q562" i="4"/>
  <c r="M563" i="4"/>
  <c r="O563" i="4"/>
  <c r="Q563" i="4"/>
  <c r="M564" i="4"/>
  <c r="O564" i="4"/>
  <c r="Q564" i="4"/>
  <c r="M565" i="4"/>
  <c r="O565" i="4"/>
  <c r="Q565" i="4"/>
  <c r="M566" i="4"/>
  <c r="O566" i="4"/>
  <c r="Q566" i="4"/>
  <c r="M567" i="4"/>
  <c r="O567" i="4"/>
  <c r="Q567" i="4"/>
  <c r="M568" i="4"/>
  <c r="O568" i="4"/>
  <c r="Q568" i="4"/>
  <c r="M569" i="4"/>
  <c r="O569" i="4"/>
  <c r="Q569" i="4"/>
  <c r="M570" i="4"/>
  <c r="O570" i="4"/>
  <c r="Q570" i="4"/>
  <c r="M571" i="4"/>
  <c r="O571" i="4"/>
  <c r="Q571" i="4"/>
  <c r="M572" i="4"/>
  <c r="O572" i="4"/>
  <c r="Q572" i="4"/>
  <c r="M573" i="4"/>
  <c r="O573" i="4"/>
  <c r="Q573" i="4"/>
  <c r="M574" i="4"/>
  <c r="O574" i="4"/>
  <c r="Q574" i="4"/>
  <c r="M575" i="4"/>
  <c r="O575" i="4"/>
  <c r="Q575" i="4"/>
  <c r="M576" i="4"/>
  <c r="O576" i="4"/>
  <c r="Q576" i="4"/>
  <c r="M577" i="4"/>
  <c r="O577" i="4"/>
  <c r="Q577" i="4"/>
  <c r="M578" i="4"/>
  <c r="O578" i="4"/>
  <c r="Q578" i="4"/>
  <c r="M579" i="4"/>
  <c r="O579" i="4"/>
  <c r="Q579" i="4"/>
  <c r="M580" i="4"/>
  <c r="O580" i="4"/>
  <c r="Q580" i="4"/>
  <c r="M581" i="4"/>
  <c r="O581" i="4"/>
  <c r="Q581" i="4"/>
  <c r="M582" i="4"/>
  <c r="O582" i="4"/>
  <c r="Q582" i="4"/>
  <c r="M583" i="4"/>
  <c r="O583" i="4"/>
  <c r="Q583" i="4"/>
  <c r="M584" i="4"/>
  <c r="O584" i="4"/>
  <c r="Q584" i="4"/>
  <c r="M585" i="4"/>
  <c r="O585" i="4"/>
  <c r="Q585" i="4"/>
  <c r="M586" i="4"/>
  <c r="O586" i="4"/>
  <c r="Q586" i="4"/>
  <c r="M587" i="4"/>
  <c r="O587" i="4"/>
  <c r="Q587" i="4"/>
  <c r="M588" i="4"/>
  <c r="O588" i="4"/>
  <c r="Q588" i="4"/>
  <c r="M589" i="4"/>
  <c r="O589" i="4"/>
  <c r="Q589" i="4"/>
  <c r="M590" i="4"/>
  <c r="O590" i="4"/>
  <c r="Q590" i="4"/>
  <c r="M591" i="4"/>
  <c r="O591" i="4"/>
  <c r="Q591" i="4"/>
  <c r="M592" i="4"/>
  <c r="O592" i="4"/>
  <c r="Q592" i="4"/>
  <c r="M593" i="4"/>
  <c r="O593" i="4"/>
  <c r="Q593" i="4"/>
  <c r="M594" i="4"/>
  <c r="O594" i="4"/>
  <c r="Q594" i="4"/>
  <c r="M595" i="4"/>
  <c r="O595" i="4"/>
  <c r="Q595" i="4"/>
  <c r="M596" i="4"/>
  <c r="O596" i="4"/>
  <c r="Q596" i="4"/>
  <c r="M597" i="4"/>
  <c r="O597" i="4"/>
  <c r="Q597" i="4"/>
  <c r="M598" i="4"/>
  <c r="O598" i="4"/>
  <c r="Q598" i="4"/>
  <c r="M599" i="4"/>
  <c r="O599" i="4"/>
  <c r="Q599" i="4"/>
  <c r="M600" i="4"/>
  <c r="O600" i="4"/>
  <c r="Q600" i="4"/>
  <c r="M601" i="4"/>
  <c r="O601" i="4"/>
  <c r="Q601" i="4"/>
  <c r="M602" i="4"/>
  <c r="O602" i="4"/>
  <c r="Q602" i="4"/>
  <c r="M603" i="4"/>
  <c r="O603" i="4"/>
  <c r="Q603" i="4"/>
  <c r="M604" i="4"/>
  <c r="O604" i="4"/>
  <c r="Q604" i="4"/>
  <c r="V7" i="4"/>
  <c r="X7" i="4"/>
  <c r="Z7" i="4"/>
  <c r="V8" i="4"/>
  <c r="X8" i="4"/>
  <c r="Z8" i="4"/>
  <c r="V9" i="4"/>
  <c r="X9" i="4"/>
  <c r="Z9" i="4"/>
  <c r="V10" i="4"/>
  <c r="X10" i="4"/>
  <c r="Z10" i="4"/>
  <c r="V11" i="4"/>
  <c r="X11" i="4"/>
  <c r="Z11" i="4"/>
  <c r="V12" i="4"/>
  <c r="X12" i="4"/>
  <c r="Z12" i="4"/>
  <c r="V13" i="4"/>
  <c r="X13" i="4"/>
  <c r="Z13" i="4"/>
  <c r="V14" i="4"/>
  <c r="X14" i="4"/>
  <c r="Z14" i="4"/>
  <c r="V15" i="4"/>
  <c r="X15" i="4"/>
  <c r="Z15" i="4"/>
  <c r="V16" i="4"/>
  <c r="X16" i="4"/>
  <c r="Z16" i="4"/>
  <c r="V17" i="4"/>
  <c r="X17" i="4"/>
  <c r="Z17" i="4"/>
  <c r="V18" i="4"/>
  <c r="X18" i="4"/>
  <c r="Z18" i="4"/>
  <c r="V19" i="4"/>
  <c r="X19" i="4"/>
  <c r="Z19" i="4"/>
  <c r="V20" i="4"/>
  <c r="X20" i="4"/>
  <c r="Z20" i="4"/>
  <c r="V21" i="4"/>
  <c r="X21" i="4"/>
  <c r="Z21" i="4"/>
  <c r="V22" i="4"/>
  <c r="X22" i="4"/>
  <c r="Z22" i="4"/>
  <c r="V23" i="4"/>
  <c r="X23" i="4"/>
  <c r="Z23" i="4"/>
  <c r="V24" i="4"/>
  <c r="X24" i="4"/>
  <c r="Z24" i="4"/>
  <c r="V25" i="4"/>
  <c r="X25" i="4"/>
  <c r="Z25" i="4"/>
  <c r="V26" i="4"/>
  <c r="X26" i="4"/>
  <c r="Z26" i="4"/>
  <c r="V27" i="4"/>
  <c r="X27" i="4"/>
  <c r="Z27" i="4"/>
  <c r="V28" i="4"/>
  <c r="X28" i="4"/>
  <c r="Z28" i="4"/>
  <c r="V29" i="4"/>
  <c r="X29" i="4"/>
  <c r="Z29" i="4"/>
  <c r="V30" i="4"/>
  <c r="X30" i="4"/>
  <c r="Z30" i="4"/>
  <c r="V31" i="4"/>
  <c r="X31" i="4"/>
  <c r="Z31" i="4"/>
  <c r="V32" i="4"/>
  <c r="X32" i="4"/>
  <c r="Z32" i="4"/>
  <c r="V33" i="4"/>
  <c r="X33" i="4"/>
  <c r="Z33" i="4"/>
  <c r="V34" i="4"/>
  <c r="X34" i="4"/>
  <c r="Z34" i="4"/>
  <c r="V35" i="4"/>
  <c r="X35" i="4"/>
  <c r="Z35" i="4"/>
  <c r="V36" i="4"/>
  <c r="X36" i="4"/>
  <c r="Z36" i="4"/>
  <c r="V37" i="4"/>
  <c r="X37" i="4"/>
  <c r="Z37" i="4"/>
  <c r="V38" i="4"/>
  <c r="X38" i="4"/>
  <c r="Z38" i="4"/>
  <c r="V39" i="4"/>
  <c r="X39" i="4"/>
  <c r="Z39" i="4"/>
  <c r="V40" i="4"/>
  <c r="X40" i="4"/>
  <c r="Z40" i="4"/>
  <c r="V41" i="4"/>
  <c r="X41" i="4"/>
  <c r="Z41" i="4"/>
  <c r="V42" i="4"/>
  <c r="X42" i="4"/>
  <c r="Z42" i="4"/>
  <c r="V43" i="4"/>
  <c r="X43" i="4"/>
  <c r="Z43" i="4"/>
  <c r="V44" i="4"/>
  <c r="X44" i="4"/>
  <c r="Z44" i="4"/>
  <c r="V45" i="4"/>
  <c r="X45" i="4"/>
  <c r="Z45" i="4"/>
  <c r="V46" i="4"/>
  <c r="X46" i="4"/>
  <c r="Z46" i="4"/>
  <c r="V47" i="4"/>
  <c r="X47" i="4"/>
  <c r="Z47" i="4"/>
  <c r="V48" i="4"/>
  <c r="X48" i="4"/>
  <c r="Z48" i="4"/>
  <c r="V49" i="4"/>
  <c r="X49" i="4"/>
  <c r="Z49" i="4"/>
  <c r="V50" i="4"/>
  <c r="X50" i="4"/>
  <c r="Z50" i="4"/>
  <c r="V51" i="4"/>
  <c r="X51" i="4"/>
  <c r="Z51" i="4"/>
  <c r="V52" i="4"/>
  <c r="X52" i="4"/>
  <c r="Z52" i="4"/>
  <c r="V53" i="4"/>
  <c r="X53" i="4"/>
  <c r="Z53" i="4"/>
  <c r="V54" i="4"/>
  <c r="X54" i="4"/>
  <c r="Z54" i="4"/>
  <c r="V55" i="4"/>
  <c r="X55" i="4"/>
  <c r="Z55" i="4"/>
  <c r="V56" i="4"/>
  <c r="X56" i="4"/>
  <c r="Z56" i="4"/>
  <c r="V57" i="4"/>
  <c r="X57" i="4"/>
  <c r="Z57" i="4"/>
  <c r="V58" i="4"/>
  <c r="X58" i="4"/>
  <c r="Z58" i="4"/>
  <c r="V59" i="4"/>
  <c r="X59" i="4"/>
  <c r="Z59" i="4"/>
  <c r="V60" i="4"/>
  <c r="X60" i="4"/>
  <c r="Z60" i="4"/>
  <c r="V61" i="4"/>
  <c r="X61" i="4"/>
  <c r="Z61" i="4"/>
  <c r="V62" i="4"/>
  <c r="X62" i="4"/>
  <c r="Z62" i="4"/>
  <c r="V63" i="4"/>
  <c r="X63" i="4"/>
  <c r="Z63" i="4"/>
  <c r="V64" i="4"/>
  <c r="X64" i="4"/>
  <c r="Z64" i="4"/>
  <c r="V65" i="4"/>
  <c r="X65" i="4"/>
  <c r="Z65" i="4"/>
  <c r="V66" i="4"/>
  <c r="X66" i="4"/>
  <c r="Z66" i="4"/>
  <c r="V67" i="4"/>
  <c r="X67" i="4"/>
  <c r="Z67" i="4"/>
  <c r="V68" i="4"/>
  <c r="X68" i="4"/>
  <c r="Z68" i="4"/>
  <c r="V69" i="4"/>
  <c r="X69" i="4"/>
  <c r="Z69" i="4"/>
  <c r="V70" i="4"/>
  <c r="X70" i="4"/>
  <c r="Z70" i="4"/>
  <c r="V71" i="4"/>
  <c r="X71" i="4"/>
  <c r="Z71" i="4"/>
  <c r="V72" i="4"/>
  <c r="X72" i="4"/>
  <c r="Z72" i="4"/>
  <c r="V73" i="4"/>
  <c r="X73" i="4"/>
  <c r="Z73" i="4"/>
  <c r="V74" i="4"/>
  <c r="X74" i="4"/>
  <c r="Z74" i="4"/>
  <c r="V75" i="4"/>
  <c r="X75" i="4"/>
  <c r="Z75" i="4"/>
  <c r="V76" i="4"/>
  <c r="X76" i="4"/>
  <c r="Z76" i="4"/>
  <c r="V77" i="4"/>
  <c r="X77" i="4"/>
  <c r="Z77" i="4"/>
  <c r="V78" i="4"/>
  <c r="X78" i="4"/>
  <c r="Z78" i="4"/>
  <c r="V79" i="4"/>
  <c r="X79" i="4"/>
  <c r="Z79" i="4"/>
  <c r="V80" i="4"/>
  <c r="X80" i="4"/>
  <c r="Z80" i="4"/>
  <c r="V81" i="4"/>
  <c r="X81" i="4"/>
  <c r="Z81" i="4"/>
  <c r="V82" i="4"/>
  <c r="X82" i="4"/>
  <c r="Z82" i="4"/>
  <c r="V83" i="4"/>
  <c r="X83" i="4"/>
  <c r="Z83" i="4"/>
  <c r="V84" i="4"/>
  <c r="X84" i="4"/>
  <c r="Z84" i="4"/>
  <c r="V85" i="4"/>
  <c r="X85" i="4"/>
  <c r="Z85" i="4"/>
  <c r="V86" i="4"/>
  <c r="X86" i="4"/>
  <c r="Z86" i="4"/>
  <c r="V87" i="4"/>
  <c r="X87" i="4"/>
  <c r="Z87" i="4"/>
  <c r="V88" i="4"/>
  <c r="X88" i="4"/>
  <c r="Z88" i="4"/>
  <c r="V89" i="4"/>
  <c r="X89" i="4"/>
  <c r="Z89" i="4"/>
  <c r="V90" i="4"/>
  <c r="X90" i="4"/>
  <c r="Z90" i="4"/>
  <c r="V91" i="4"/>
  <c r="X91" i="4"/>
  <c r="Z91" i="4"/>
  <c r="V92" i="4"/>
  <c r="X92" i="4"/>
  <c r="Z92" i="4"/>
  <c r="V93" i="4"/>
  <c r="X93" i="4"/>
  <c r="Z93" i="4"/>
  <c r="V94" i="4"/>
  <c r="X94" i="4"/>
  <c r="Z94" i="4"/>
  <c r="V95" i="4"/>
  <c r="X95" i="4"/>
  <c r="Z95" i="4"/>
  <c r="V96" i="4"/>
  <c r="X96" i="4"/>
  <c r="Z96" i="4"/>
  <c r="V97" i="4"/>
  <c r="X97" i="4"/>
  <c r="Z97" i="4"/>
  <c r="V98" i="4"/>
  <c r="X98" i="4"/>
  <c r="Z98" i="4"/>
  <c r="V99" i="4"/>
  <c r="X99" i="4"/>
  <c r="Z99" i="4"/>
  <c r="V100" i="4"/>
  <c r="X100" i="4"/>
  <c r="Z100" i="4"/>
  <c r="V101" i="4"/>
  <c r="X101" i="4"/>
  <c r="Z101" i="4"/>
  <c r="V102" i="4"/>
  <c r="X102" i="4"/>
  <c r="Z102" i="4"/>
  <c r="V103" i="4"/>
  <c r="X103" i="4"/>
  <c r="Z103" i="4"/>
  <c r="V104" i="4"/>
  <c r="X104" i="4"/>
  <c r="Z104" i="4"/>
  <c r="V105" i="4"/>
  <c r="X105" i="4"/>
  <c r="Z105" i="4"/>
  <c r="V106" i="4"/>
  <c r="X106" i="4"/>
  <c r="Z106" i="4"/>
  <c r="V107" i="4"/>
  <c r="X107" i="4"/>
  <c r="Z107" i="4"/>
  <c r="V108" i="4"/>
  <c r="X108" i="4"/>
  <c r="Z108" i="4"/>
  <c r="V109" i="4"/>
  <c r="X109" i="4"/>
  <c r="Z109" i="4"/>
  <c r="V110" i="4"/>
  <c r="X110" i="4"/>
  <c r="Z110" i="4"/>
  <c r="V111" i="4"/>
  <c r="X111" i="4"/>
  <c r="Z111" i="4"/>
  <c r="V112" i="4"/>
  <c r="X112" i="4"/>
  <c r="Z112" i="4"/>
  <c r="V113" i="4"/>
  <c r="X113" i="4"/>
  <c r="Z113" i="4"/>
  <c r="V114" i="4"/>
  <c r="X114" i="4"/>
  <c r="Z114" i="4"/>
  <c r="V115" i="4"/>
  <c r="X115" i="4"/>
  <c r="Z115" i="4"/>
  <c r="V116" i="4"/>
  <c r="X116" i="4"/>
  <c r="Z116" i="4"/>
  <c r="V117" i="4"/>
  <c r="X117" i="4"/>
  <c r="Z117" i="4"/>
  <c r="V118" i="4"/>
  <c r="X118" i="4"/>
  <c r="Z118" i="4"/>
  <c r="V119" i="4"/>
  <c r="X119" i="4"/>
  <c r="Z119" i="4"/>
  <c r="V120" i="4"/>
  <c r="X120" i="4"/>
  <c r="Z120" i="4"/>
  <c r="V121" i="4"/>
  <c r="X121" i="4"/>
  <c r="Z121" i="4"/>
  <c r="V122" i="4"/>
  <c r="X122" i="4"/>
  <c r="Z122" i="4"/>
  <c r="V123" i="4"/>
  <c r="X123" i="4"/>
  <c r="Z123" i="4"/>
  <c r="V124" i="4"/>
  <c r="X124" i="4"/>
  <c r="Z124" i="4"/>
  <c r="V125" i="4"/>
  <c r="X125" i="4"/>
  <c r="Z125" i="4"/>
  <c r="V126" i="4"/>
  <c r="X126" i="4"/>
  <c r="Z126" i="4"/>
  <c r="V127" i="4"/>
  <c r="X127" i="4"/>
  <c r="Z127" i="4"/>
  <c r="V128" i="4"/>
  <c r="X128" i="4"/>
  <c r="Z128" i="4"/>
  <c r="V129" i="4"/>
  <c r="X129" i="4"/>
  <c r="Z129" i="4"/>
  <c r="V130" i="4"/>
  <c r="X130" i="4"/>
  <c r="Z130" i="4"/>
  <c r="V131" i="4"/>
  <c r="X131" i="4"/>
  <c r="Z131" i="4"/>
  <c r="V132" i="4"/>
  <c r="X132" i="4"/>
  <c r="Z132" i="4"/>
  <c r="V133" i="4"/>
  <c r="X133" i="4"/>
  <c r="Z133" i="4"/>
  <c r="V134" i="4"/>
  <c r="X134" i="4"/>
  <c r="Z134" i="4"/>
  <c r="V135" i="4"/>
  <c r="X135" i="4"/>
  <c r="Z135" i="4"/>
  <c r="V136" i="4"/>
  <c r="X136" i="4"/>
  <c r="Z136" i="4"/>
  <c r="V137" i="4"/>
  <c r="X137" i="4"/>
  <c r="Z137" i="4"/>
  <c r="V138" i="4"/>
  <c r="X138" i="4"/>
  <c r="Z138" i="4"/>
  <c r="V139" i="4"/>
  <c r="X139" i="4"/>
  <c r="Z139" i="4"/>
  <c r="V140" i="4"/>
  <c r="X140" i="4"/>
  <c r="Z140" i="4"/>
  <c r="V141" i="4"/>
  <c r="X141" i="4"/>
  <c r="Z141" i="4"/>
  <c r="V142" i="4"/>
  <c r="X142" i="4"/>
  <c r="Z142" i="4"/>
  <c r="V143" i="4"/>
  <c r="X143" i="4"/>
  <c r="Z143" i="4"/>
  <c r="V144" i="4"/>
  <c r="X144" i="4"/>
  <c r="Z144" i="4"/>
  <c r="V145" i="4"/>
  <c r="X145" i="4"/>
  <c r="Z145" i="4"/>
  <c r="V146" i="4"/>
  <c r="X146" i="4"/>
  <c r="Z146" i="4"/>
  <c r="V147" i="4"/>
  <c r="X147" i="4"/>
  <c r="Z147" i="4"/>
  <c r="V148" i="4"/>
  <c r="X148" i="4"/>
  <c r="Z148" i="4"/>
  <c r="V149" i="4"/>
  <c r="X149" i="4"/>
  <c r="Z149" i="4"/>
  <c r="V150" i="4"/>
  <c r="X150" i="4"/>
  <c r="Z150" i="4"/>
  <c r="V151" i="4"/>
  <c r="X151" i="4"/>
  <c r="Z151" i="4"/>
  <c r="V152" i="4"/>
  <c r="X152" i="4"/>
  <c r="Z152" i="4"/>
  <c r="V153" i="4"/>
  <c r="X153" i="4"/>
  <c r="Z153" i="4"/>
  <c r="V154" i="4"/>
  <c r="X154" i="4"/>
  <c r="Z154" i="4"/>
  <c r="V155" i="4"/>
  <c r="X155" i="4"/>
  <c r="Z155" i="4"/>
  <c r="V156" i="4"/>
  <c r="X156" i="4"/>
  <c r="Z156" i="4"/>
  <c r="V157" i="4"/>
  <c r="X157" i="4"/>
  <c r="Z157" i="4"/>
  <c r="V158" i="4"/>
  <c r="X158" i="4"/>
  <c r="Z158" i="4"/>
  <c r="V159" i="4"/>
  <c r="X159" i="4"/>
  <c r="Z159" i="4"/>
  <c r="V160" i="4"/>
  <c r="X160" i="4"/>
  <c r="Z160" i="4"/>
  <c r="V161" i="4"/>
  <c r="X161" i="4"/>
  <c r="Z161" i="4"/>
  <c r="V162" i="4"/>
  <c r="X162" i="4"/>
  <c r="Z162" i="4"/>
  <c r="V163" i="4"/>
  <c r="X163" i="4"/>
  <c r="Z163" i="4"/>
  <c r="V164" i="4"/>
  <c r="X164" i="4"/>
  <c r="Z164" i="4"/>
  <c r="V165" i="4"/>
  <c r="X165" i="4"/>
  <c r="Z165" i="4"/>
  <c r="V166" i="4"/>
  <c r="X166" i="4"/>
  <c r="Z166" i="4"/>
  <c r="V167" i="4"/>
  <c r="X167" i="4"/>
  <c r="Z167" i="4"/>
  <c r="V168" i="4"/>
  <c r="X168" i="4"/>
  <c r="Z168" i="4"/>
  <c r="V169" i="4"/>
  <c r="X169" i="4"/>
  <c r="Z169" i="4"/>
  <c r="V170" i="4"/>
  <c r="X170" i="4"/>
  <c r="Z170" i="4"/>
  <c r="V171" i="4"/>
  <c r="X171" i="4"/>
  <c r="Z171" i="4"/>
  <c r="V172" i="4"/>
  <c r="X172" i="4"/>
  <c r="Z172" i="4"/>
  <c r="V173" i="4"/>
  <c r="X173" i="4"/>
  <c r="Z173" i="4"/>
  <c r="V174" i="4"/>
  <c r="X174" i="4"/>
  <c r="Z174" i="4"/>
  <c r="V175" i="4"/>
  <c r="X175" i="4"/>
  <c r="Z175" i="4"/>
  <c r="V176" i="4"/>
  <c r="X176" i="4"/>
  <c r="Z176" i="4"/>
  <c r="V177" i="4"/>
  <c r="X177" i="4"/>
  <c r="Z177" i="4"/>
  <c r="V178" i="4"/>
  <c r="X178" i="4"/>
  <c r="Z178" i="4"/>
  <c r="V179" i="4"/>
  <c r="X179" i="4"/>
  <c r="Z179" i="4"/>
  <c r="V180" i="4"/>
  <c r="X180" i="4"/>
  <c r="Z180" i="4"/>
  <c r="V181" i="4"/>
  <c r="X181" i="4"/>
  <c r="Z181" i="4"/>
  <c r="V182" i="4"/>
  <c r="X182" i="4"/>
  <c r="Z182" i="4"/>
  <c r="V183" i="4"/>
  <c r="X183" i="4"/>
  <c r="Z183" i="4"/>
  <c r="V184" i="4"/>
  <c r="X184" i="4"/>
  <c r="Z184" i="4"/>
  <c r="V185" i="4"/>
  <c r="X185" i="4"/>
  <c r="Z185" i="4"/>
  <c r="V186" i="4"/>
  <c r="X186" i="4"/>
  <c r="Z186" i="4"/>
  <c r="V187" i="4"/>
  <c r="X187" i="4"/>
  <c r="Z187" i="4"/>
  <c r="V188" i="4"/>
  <c r="X188" i="4"/>
  <c r="Z188" i="4"/>
  <c r="V189" i="4"/>
  <c r="X189" i="4"/>
  <c r="Z189" i="4"/>
  <c r="V190" i="4"/>
  <c r="X190" i="4"/>
  <c r="Z190" i="4"/>
  <c r="V191" i="4"/>
  <c r="X191" i="4"/>
  <c r="Z191" i="4"/>
  <c r="V192" i="4"/>
  <c r="X192" i="4"/>
  <c r="Z192" i="4"/>
  <c r="V193" i="4"/>
  <c r="X193" i="4"/>
  <c r="Z193" i="4"/>
  <c r="V194" i="4"/>
  <c r="X194" i="4"/>
  <c r="Z194" i="4"/>
  <c r="V195" i="4"/>
  <c r="X195" i="4"/>
  <c r="Z195" i="4"/>
  <c r="V196" i="4"/>
  <c r="X196" i="4"/>
  <c r="Z196" i="4"/>
  <c r="V197" i="4"/>
  <c r="X197" i="4"/>
  <c r="Z197" i="4"/>
  <c r="V198" i="4"/>
  <c r="X198" i="4"/>
  <c r="Z198" i="4"/>
  <c r="V199" i="4"/>
  <c r="X199" i="4"/>
  <c r="Z199" i="4"/>
  <c r="V200" i="4"/>
  <c r="X200" i="4"/>
  <c r="Z200" i="4"/>
  <c r="V201" i="4"/>
  <c r="X201" i="4"/>
  <c r="Z201" i="4"/>
  <c r="V202" i="4"/>
  <c r="X202" i="4"/>
  <c r="Z202" i="4"/>
  <c r="V203" i="4"/>
  <c r="X203" i="4"/>
  <c r="Z203" i="4"/>
  <c r="V204" i="4"/>
  <c r="X204" i="4"/>
  <c r="Z204" i="4"/>
  <c r="V205" i="4"/>
  <c r="X205" i="4"/>
  <c r="Z205" i="4"/>
  <c r="V206" i="4"/>
  <c r="X206" i="4"/>
  <c r="Z206" i="4"/>
  <c r="V207" i="4"/>
  <c r="X207" i="4"/>
  <c r="Z207" i="4"/>
  <c r="V208" i="4"/>
  <c r="X208" i="4"/>
  <c r="Z208" i="4"/>
  <c r="V209" i="4"/>
  <c r="X209" i="4"/>
  <c r="Z209" i="4"/>
  <c r="V210" i="4"/>
  <c r="X210" i="4"/>
  <c r="Z210" i="4"/>
  <c r="V211" i="4"/>
  <c r="X211" i="4"/>
  <c r="Z211" i="4"/>
  <c r="V212" i="4"/>
  <c r="X212" i="4"/>
  <c r="Z212" i="4"/>
  <c r="V213" i="4"/>
  <c r="X213" i="4"/>
  <c r="Z213" i="4"/>
  <c r="V214" i="4"/>
  <c r="X214" i="4"/>
  <c r="Z214" i="4"/>
  <c r="V215" i="4"/>
  <c r="X215" i="4"/>
  <c r="Z215" i="4"/>
  <c r="V216" i="4"/>
  <c r="X216" i="4"/>
  <c r="Z216" i="4"/>
  <c r="V217" i="4"/>
  <c r="X217" i="4"/>
  <c r="Z217" i="4"/>
  <c r="V218" i="4"/>
  <c r="X218" i="4"/>
  <c r="Z218" i="4"/>
  <c r="V219" i="4"/>
  <c r="X219" i="4"/>
  <c r="Z219" i="4"/>
  <c r="V220" i="4"/>
  <c r="X220" i="4"/>
  <c r="Z220" i="4"/>
  <c r="V221" i="4"/>
  <c r="X221" i="4"/>
  <c r="Z221" i="4"/>
  <c r="V222" i="4"/>
  <c r="X222" i="4"/>
  <c r="Z222" i="4"/>
  <c r="V223" i="4"/>
  <c r="X223" i="4"/>
  <c r="Z223" i="4"/>
  <c r="V224" i="4"/>
  <c r="X224" i="4"/>
  <c r="Z224" i="4"/>
  <c r="V225" i="4"/>
  <c r="X225" i="4"/>
  <c r="Z225" i="4"/>
  <c r="V226" i="4"/>
  <c r="X226" i="4"/>
  <c r="Z226" i="4"/>
  <c r="V227" i="4"/>
  <c r="X227" i="4"/>
  <c r="Z227" i="4"/>
  <c r="V228" i="4"/>
  <c r="X228" i="4"/>
  <c r="Z228" i="4"/>
  <c r="V229" i="4"/>
  <c r="X229" i="4"/>
  <c r="Z229" i="4"/>
  <c r="V230" i="4"/>
  <c r="X230" i="4"/>
  <c r="Z230" i="4"/>
  <c r="V231" i="4"/>
  <c r="X231" i="4"/>
  <c r="Z231" i="4"/>
  <c r="V232" i="4"/>
  <c r="X232" i="4"/>
  <c r="Z232" i="4"/>
  <c r="V233" i="4"/>
  <c r="X233" i="4"/>
  <c r="Z233" i="4"/>
  <c r="V234" i="4"/>
  <c r="X234" i="4"/>
  <c r="Z234" i="4"/>
  <c r="V235" i="4"/>
  <c r="X235" i="4"/>
  <c r="Z235" i="4"/>
  <c r="V236" i="4"/>
  <c r="X236" i="4"/>
  <c r="Z236" i="4"/>
  <c r="V237" i="4"/>
  <c r="X237" i="4"/>
  <c r="Z237" i="4"/>
  <c r="V238" i="4"/>
  <c r="X238" i="4"/>
  <c r="Z238" i="4"/>
  <c r="V239" i="4"/>
  <c r="X239" i="4"/>
  <c r="Z239" i="4"/>
  <c r="V240" i="4"/>
  <c r="X240" i="4"/>
  <c r="Z240" i="4"/>
  <c r="V241" i="4"/>
  <c r="X241" i="4"/>
  <c r="Z241" i="4"/>
  <c r="V242" i="4"/>
  <c r="X242" i="4"/>
  <c r="Z242" i="4"/>
  <c r="V243" i="4"/>
  <c r="X243" i="4"/>
  <c r="Z243" i="4"/>
  <c r="V244" i="4"/>
  <c r="X244" i="4"/>
  <c r="Z244" i="4"/>
  <c r="V245" i="4"/>
  <c r="X245" i="4"/>
  <c r="Z245" i="4"/>
  <c r="V246" i="4"/>
  <c r="X246" i="4"/>
  <c r="Z246" i="4"/>
  <c r="V247" i="4"/>
  <c r="X247" i="4"/>
  <c r="Z247" i="4"/>
  <c r="V248" i="4"/>
  <c r="X248" i="4"/>
  <c r="Z248" i="4"/>
  <c r="V249" i="4"/>
  <c r="X249" i="4"/>
  <c r="Z249" i="4"/>
  <c r="V250" i="4"/>
  <c r="X250" i="4"/>
  <c r="Z250" i="4"/>
  <c r="V251" i="4"/>
  <c r="X251" i="4"/>
  <c r="Z251" i="4"/>
  <c r="V252" i="4"/>
  <c r="X252" i="4"/>
  <c r="Z252" i="4"/>
  <c r="V253" i="4"/>
  <c r="X253" i="4"/>
  <c r="Z253" i="4"/>
  <c r="V254" i="4"/>
  <c r="X254" i="4"/>
  <c r="Z254" i="4"/>
  <c r="V255" i="4"/>
  <c r="X255" i="4"/>
  <c r="Z255" i="4"/>
  <c r="V256" i="4"/>
  <c r="X256" i="4"/>
  <c r="Z256" i="4"/>
  <c r="V257" i="4"/>
  <c r="X257" i="4"/>
  <c r="Z257" i="4"/>
  <c r="V258" i="4"/>
  <c r="X258" i="4"/>
  <c r="Z258" i="4"/>
  <c r="V259" i="4"/>
  <c r="X259" i="4"/>
  <c r="Z259" i="4"/>
  <c r="V260" i="4"/>
  <c r="X260" i="4"/>
  <c r="Z260" i="4"/>
  <c r="V261" i="4"/>
  <c r="X261" i="4"/>
  <c r="Z261" i="4"/>
  <c r="V262" i="4"/>
  <c r="X262" i="4"/>
  <c r="Z262" i="4"/>
  <c r="V263" i="4"/>
  <c r="X263" i="4"/>
  <c r="Z263" i="4"/>
  <c r="V264" i="4"/>
  <c r="X264" i="4"/>
  <c r="Z264" i="4"/>
  <c r="V265" i="4"/>
  <c r="X265" i="4"/>
  <c r="Z265" i="4"/>
  <c r="V266" i="4"/>
  <c r="X266" i="4"/>
  <c r="Z266" i="4"/>
  <c r="V267" i="4"/>
  <c r="X267" i="4"/>
  <c r="Z267" i="4"/>
  <c r="V268" i="4"/>
  <c r="X268" i="4"/>
  <c r="Z268" i="4"/>
  <c r="V269" i="4"/>
  <c r="X269" i="4"/>
  <c r="Z269" i="4"/>
  <c r="V270" i="4"/>
  <c r="X270" i="4"/>
  <c r="Z270" i="4"/>
  <c r="V271" i="4"/>
  <c r="X271" i="4"/>
  <c r="Z271" i="4"/>
  <c r="V272" i="4"/>
  <c r="X272" i="4"/>
  <c r="Z272" i="4"/>
  <c r="V273" i="4"/>
  <c r="X273" i="4"/>
  <c r="Z273" i="4"/>
  <c r="V274" i="4"/>
  <c r="X274" i="4"/>
  <c r="Z274" i="4"/>
  <c r="V275" i="4"/>
  <c r="X275" i="4"/>
  <c r="Z275" i="4"/>
  <c r="V276" i="4"/>
  <c r="X276" i="4"/>
  <c r="Z276" i="4"/>
  <c r="V277" i="4"/>
  <c r="X277" i="4"/>
  <c r="Z277" i="4"/>
  <c r="V278" i="4"/>
  <c r="X278" i="4"/>
  <c r="Z278" i="4"/>
  <c r="V279" i="4"/>
  <c r="X279" i="4"/>
  <c r="Z279" i="4"/>
  <c r="V280" i="4"/>
  <c r="X280" i="4"/>
  <c r="Z280" i="4"/>
  <c r="V281" i="4"/>
  <c r="X281" i="4"/>
  <c r="Z281" i="4"/>
  <c r="V282" i="4"/>
  <c r="X282" i="4"/>
  <c r="Z282" i="4"/>
  <c r="V283" i="4"/>
  <c r="X283" i="4"/>
  <c r="Z283" i="4"/>
  <c r="V284" i="4"/>
  <c r="X284" i="4"/>
  <c r="Z284" i="4"/>
  <c r="V285" i="4"/>
  <c r="X285" i="4"/>
  <c r="Z285" i="4"/>
  <c r="V286" i="4"/>
  <c r="X286" i="4"/>
  <c r="Z286" i="4"/>
  <c r="V287" i="4"/>
  <c r="X287" i="4"/>
  <c r="Z287" i="4"/>
  <c r="V288" i="4"/>
  <c r="X288" i="4"/>
  <c r="Z288" i="4"/>
  <c r="V289" i="4"/>
  <c r="X289" i="4"/>
  <c r="Z289" i="4"/>
  <c r="V290" i="4"/>
  <c r="X290" i="4"/>
  <c r="Z290" i="4"/>
  <c r="V291" i="4"/>
  <c r="X291" i="4"/>
  <c r="Z291" i="4"/>
  <c r="V292" i="4"/>
  <c r="X292" i="4"/>
  <c r="Z292" i="4"/>
  <c r="V293" i="4"/>
  <c r="X293" i="4"/>
  <c r="Z293" i="4"/>
  <c r="V294" i="4"/>
  <c r="X294" i="4"/>
  <c r="Z294" i="4"/>
  <c r="V295" i="4"/>
  <c r="X295" i="4"/>
  <c r="Z295" i="4"/>
  <c r="V296" i="4"/>
  <c r="X296" i="4"/>
  <c r="Z296" i="4"/>
  <c r="V297" i="4"/>
  <c r="X297" i="4"/>
  <c r="Z297" i="4"/>
  <c r="V298" i="4"/>
  <c r="X298" i="4"/>
  <c r="Z298" i="4"/>
  <c r="V299" i="4"/>
  <c r="X299" i="4"/>
  <c r="Z299" i="4"/>
  <c r="V300" i="4"/>
  <c r="X300" i="4"/>
  <c r="Z300" i="4"/>
  <c r="V301" i="4"/>
  <c r="X301" i="4"/>
  <c r="Z301" i="4"/>
  <c r="V302" i="4"/>
  <c r="X302" i="4"/>
  <c r="Z302" i="4"/>
  <c r="V303" i="4"/>
  <c r="X303" i="4"/>
  <c r="Z303" i="4"/>
  <c r="V304" i="4"/>
  <c r="X304" i="4"/>
  <c r="Z304" i="4"/>
  <c r="V305" i="4"/>
  <c r="X305" i="4"/>
  <c r="Z305" i="4"/>
  <c r="V306" i="4"/>
  <c r="X306" i="4"/>
  <c r="Z306" i="4"/>
  <c r="V307" i="4"/>
  <c r="X307" i="4"/>
  <c r="Z307" i="4"/>
  <c r="V308" i="4"/>
  <c r="X308" i="4"/>
  <c r="Z308" i="4"/>
  <c r="V309" i="4"/>
  <c r="X309" i="4"/>
  <c r="Z309" i="4"/>
  <c r="V310" i="4"/>
  <c r="X310" i="4"/>
  <c r="Z310" i="4"/>
  <c r="V311" i="4"/>
  <c r="X311" i="4"/>
  <c r="Z311" i="4"/>
  <c r="V312" i="4"/>
  <c r="X312" i="4"/>
  <c r="Z312" i="4"/>
  <c r="V313" i="4"/>
  <c r="X313" i="4"/>
  <c r="Z313" i="4"/>
  <c r="V314" i="4"/>
  <c r="X314" i="4"/>
  <c r="Z314" i="4"/>
  <c r="V315" i="4"/>
  <c r="X315" i="4"/>
  <c r="Z315" i="4"/>
  <c r="V316" i="4"/>
  <c r="X316" i="4"/>
  <c r="Z316" i="4"/>
  <c r="V317" i="4"/>
  <c r="X317" i="4"/>
  <c r="Z317" i="4"/>
  <c r="V318" i="4"/>
  <c r="X318" i="4"/>
  <c r="Z318" i="4"/>
  <c r="V319" i="4"/>
  <c r="X319" i="4"/>
  <c r="Z319" i="4"/>
  <c r="V320" i="4"/>
  <c r="X320" i="4"/>
  <c r="Z320" i="4"/>
  <c r="V321" i="4"/>
  <c r="X321" i="4"/>
  <c r="Z321" i="4"/>
  <c r="V322" i="4"/>
  <c r="X322" i="4"/>
  <c r="Z322" i="4"/>
  <c r="V323" i="4"/>
  <c r="X323" i="4"/>
  <c r="Z323" i="4"/>
  <c r="V324" i="4"/>
  <c r="X324" i="4"/>
  <c r="Z324" i="4"/>
  <c r="V325" i="4"/>
  <c r="X325" i="4"/>
  <c r="Z325" i="4"/>
  <c r="V326" i="4"/>
  <c r="X326" i="4"/>
  <c r="Z326" i="4"/>
  <c r="V327" i="4"/>
  <c r="X327" i="4"/>
  <c r="Z327" i="4"/>
  <c r="V328" i="4"/>
  <c r="X328" i="4"/>
  <c r="Z328" i="4"/>
  <c r="V329" i="4"/>
  <c r="X329" i="4"/>
  <c r="Z329" i="4"/>
  <c r="V330" i="4"/>
  <c r="X330" i="4"/>
  <c r="Z330" i="4"/>
  <c r="V331" i="4"/>
  <c r="X331" i="4"/>
  <c r="Z331" i="4"/>
  <c r="V332" i="4"/>
  <c r="X332" i="4"/>
  <c r="Z332" i="4"/>
  <c r="V333" i="4"/>
  <c r="X333" i="4"/>
  <c r="Z333" i="4"/>
  <c r="V334" i="4"/>
  <c r="X334" i="4"/>
  <c r="Z334" i="4"/>
  <c r="V335" i="4"/>
  <c r="X335" i="4"/>
  <c r="Z335" i="4"/>
  <c r="V336" i="4"/>
  <c r="X336" i="4"/>
  <c r="Z336" i="4"/>
  <c r="V337" i="4"/>
  <c r="X337" i="4"/>
  <c r="Z337" i="4"/>
  <c r="V338" i="4"/>
  <c r="X338" i="4"/>
  <c r="Z338" i="4"/>
  <c r="V339" i="4"/>
  <c r="X339" i="4"/>
  <c r="Z339" i="4"/>
  <c r="V340" i="4"/>
  <c r="X340" i="4"/>
  <c r="Z340" i="4"/>
  <c r="V341" i="4"/>
  <c r="X341" i="4"/>
  <c r="Z341" i="4"/>
  <c r="V342" i="4"/>
  <c r="X342" i="4"/>
  <c r="Z342" i="4"/>
  <c r="V343" i="4"/>
  <c r="X343" i="4"/>
  <c r="Z343" i="4"/>
  <c r="V344" i="4"/>
  <c r="X344" i="4"/>
  <c r="Z344" i="4"/>
  <c r="V345" i="4"/>
  <c r="X345" i="4"/>
  <c r="Z345" i="4"/>
  <c r="V346" i="4"/>
  <c r="X346" i="4"/>
  <c r="Z346" i="4"/>
  <c r="V347" i="4"/>
  <c r="X347" i="4"/>
  <c r="Z347" i="4"/>
  <c r="V348" i="4"/>
  <c r="X348" i="4"/>
  <c r="Z348" i="4"/>
  <c r="V349" i="4"/>
  <c r="X349" i="4"/>
  <c r="Z349" i="4"/>
  <c r="V350" i="4"/>
  <c r="X350" i="4"/>
  <c r="Z350" i="4"/>
  <c r="V351" i="4"/>
  <c r="X351" i="4"/>
  <c r="Z351" i="4"/>
  <c r="V352" i="4"/>
  <c r="X352" i="4"/>
  <c r="Z352" i="4"/>
  <c r="V353" i="4"/>
  <c r="X353" i="4"/>
  <c r="Z353" i="4"/>
  <c r="V354" i="4"/>
  <c r="X354" i="4"/>
  <c r="Z354" i="4"/>
  <c r="V355" i="4"/>
  <c r="X355" i="4"/>
  <c r="Z355" i="4"/>
  <c r="V356" i="4"/>
  <c r="X356" i="4"/>
  <c r="Z356" i="4"/>
  <c r="V357" i="4"/>
  <c r="X357" i="4"/>
  <c r="Z357" i="4"/>
  <c r="V358" i="4"/>
  <c r="X358" i="4"/>
  <c r="Z358" i="4"/>
  <c r="V359" i="4"/>
  <c r="X359" i="4"/>
  <c r="Z359" i="4"/>
  <c r="V360" i="4"/>
  <c r="X360" i="4"/>
  <c r="Z360" i="4"/>
  <c r="V361" i="4"/>
  <c r="X361" i="4"/>
  <c r="Z361" i="4"/>
  <c r="V362" i="4"/>
  <c r="X362" i="4"/>
  <c r="Z362" i="4"/>
  <c r="V363" i="4"/>
  <c r="X363" i="4"/>
  <c r="Z363" i="4"/>
  <c r="V364" i="4"/>
  <c r="X364" i="4"/>
  <c r="Z364" i="4"/>
  <c r="V365" i="4"/>
  <c r="X365" i="4"/>
  <c r="Z365" i="4"/>
  <c r="V366" i="4"/>
  <c r="X366" i="4"/>
  <c r="Z366" i="4"/>
  <c r="V367" i="4"/>
  <c r="X367" i="4"/>
  <c r="Z367" i="4"/>
  <c r="V368" i="4"/>
  <c r="X368" i="4"/>
  <c r="Z368" i="4"/>
  <c r="V369" i="4"/>
  <c r="X369" i="4"/>
  <c r="Z369" i="4"/>
  <c r="V370" i="4"/>
  <c r="X370" i="4"/>
  <c r="Z370" i="4"/>
  <c r="V371" i="4"/>
  <c r="X371" i="4"/>
  <c r="Z371" i="4"/>
  <c r="V372" i="4"/>
  <c r="X372" i="4"/>
  <c r="Z372" i="4"/>
  <c r="V373" i="4"/>
  <c r="X373" i="4"/>
  <c r="Z373" i="4"/>
  <c r="V374" i="4"/>
  <c r="X374" i="4"/>
  <c r="Z374" i="4"/>
  <c r="V375" i="4"/>
  <c r="X375" i="4"/>
  <c r="Z375" i="4"/>
  <c r="V376" i="4"/>
  <c r="X376" i="4"/>
  <c r="Z376" i="4"/>
  <c r="V377" i="4"/>
  <c r="X377" i="4"/>
  <c r="Z377" i="4"/>
  <c r="V378" i="4"/>
  <c r="X378" i="4"/>
  <c r="Z378" i="4"/>
  <c r="V379" i="4"/>
  <c r="X379" i="4"/>
  <c r="Z379" i="4"/>
  <c r="V380" i="4"/>
  <c r="X380" i="4"/>
  <c r="Z380" i="4"/>
  <c r="V381" i="4"/>
  <c r="X381" i="4"/>
  <c r="Z381" i="4"/>
  <c r="V382" i="4"/>
  <c r="X382" i="4"/>
  <c r="Z382" i="4"/>
  <c r="V383" i="4"/>
  <c r="X383" i="4"/>
  <c r="Z383" i="4"/>
  <c r="V384" i="4"/>
  <c r="X384" i="4"/>
  <c r="Z384" i="4"/>
  <c r="V385" i="4"/>
  <c r="X385" i="4"/>
  <c r="Z385" i="4"/>
  <c r="V386" i="4"/>
  <c r="X386" i="4"/>
  <c r="Z386" i="4"/>
  <c r="V387" i="4"/>
  <c r="X387" i="4"/>
  <c r="Z387" i="4"/>
  <c r="V388" i="4"/>
  <c r="X388" i="4"/>
  <c r="Z388" i="4"/>
  <c r="V389" i="4"/>
  <c r="X389" i="4"/>
  <c r="Z389" i="4"/>
  <c r="V390" i="4"/>
  <c r="X390" i="4"/>
  <c r="Z390" i="4"/>
  <c r="V391" i="4"/>
  <c r="X391" i="4"/>
  <c r="Z391" i="4"/>
  <c r="V392" i="4"/>
  <c r="X392" i="4"/>
  <c r="Z392" i="4"/>
  <c r="V393" i="4"/>
  <c r="X393" i="4"/>
  <c r="Z393" i="4"/>
  <c r="V394" i="4"/>
  <c r="X394" i="4"/>
  <c r="Z394" i="4"/>
  <c r="V395" i="4"/>
  <c r="X395" i="4"/>
  <c r="Z395" i="4"/>
  <c r="V396" i="4"/>
  <c r="X396" i="4"/>
  <c r="Z396" i="4"/>
  <c r="V397" i="4"/>
  <c r="X397" i="4"/>
  <c r="Z397" i="4"/>
  <c r="V398" i="4"/>
  <c r="X398" i="4"/>
  <c r="Z398" i="4"/>
  <c r="V399" i="4"/>
  <c r="X399" i="4"/>
  <c r="Z399" i="4"/>
  <c r="V400" i="4"/>
  <c r="X400" i="4"/>
  <c r="Z400" i="4"/>
  <c r="V401" i="4"/>
  <c r="X401" i="4"/>
  <c r="Z401" i="4"/>
  <c r="V402" i="4"/>
  <c r="X402" i="4"/>
  <c r="Z402" i="4"/>
  <c r="V403" i="4"/>
  <c r="X403" i="4"/>
  <c r="Z403" i="4"/>
  <c r="V404" i="4"/>
  <c r="X404" i="4"/>
  <c r="Z404" i="4"/>
  <c r="V405" i="4"/>
  <c r="X405" i="4"/>
  <c r="Z405" i="4"/>
  <c r="V406" i="4"/>
  <c r="X406" i="4"/>
  <c r="Z406" i="4"/>
  <c r="V407" i="4"/>
  <c r="X407" i="4"/>
  <c r="Z407" i="4"/>
  <c r="V408" i="4"/>
  <c r="X408" i="4"/>
  <c r="Z408" i="4"/>
  <c r="V409" i="4"/>
  <c r="X409" i="4"/>
  <c r="Z409" i="4"/>
  <c r="V410" i="4"/>
  <c r="X410" i="4"/>
  <c r="Z410" i="4"/>
  <c r="V411" i="4"/>
  <c r="X411" i="4"/>
  <c r="Z411" i="4"/>
  <c r="V412" i="4"/>
  <c r="X412" i="4"/>
  <c r="Z412" i="4"/>
  <c r="V413" i="4"/>
  <c r="X413" i="4"/>
  <c r="Z413" i="4"/>
  <c r="V414" i="4"/>
  <c r="X414" i="4"/>
  <c r="Z414" i="4"/>
  <c r="V415" i="4"/>
  <c r="X415" i="4"/>
  <c r="Z415" i="4"/>
  <c r="V416" i="4"/>
  <c r="X416" i="4"/>
  <c r="Z416" i="4"/>
  <c r="V417" i="4"/>
  <c r="X417" i="4"/>
  <c r="Z417" i="4"/>
  <c r="V418" i="4"/>
  <c r="X418" i="4"/>
  <c r="Z418" i="4"/>
  <c r="V419" i="4"/>
  <c r="X419" i="4"/>
  <c r="Z419" i="4"/>
  <c r="V420" i="4"/>
  <c r="X420" i="4"/>
  <c r="Z420" i="4"/>
  <c r="V421" i="4"/>
  <c r="X421" i="4"/>
  <c r="Z421" i="4"/>
  <c r="V422" i="4"/>
  <c r="X422" i="4"/>
  <c r="Z422" i="4"/>
  <c r="V423" i="4"/>
  <c r="X423" i="4"/>
  <c r="Z423" i="4"/>
  <c r="V424" i="4"/>
  <c r="X424" i="4"/>
  <c r="Z424" i="4"/>
  <c r="V425" i="4"/>
  <c r="X425" i="4"/>
  <c r="Z425" i="4"/>
  <c r="V426" i="4"/>
  <c r="X426" i="4"/>
  <c r="Z426" i="4"/>
  <c r="V427" i="4"/>
  <c r="X427" i="4"/>
  <c r="Z427" i="4"/>
  <c r="V428" i="4"/>
  <c r="X428" i="4"/>
  <c r="Z428" i="4"/>
  <c r="V429" i="4"/>
  <c r="X429" i="4"/>
  <c r="Z429" i="4"/>
  <c r="V430" i="4"/>
  <c r="X430" i="4"/>
  <c r="Z430" i="4"/>
  <c r="V431" i="4"/>
  <c r="X431" i="4"/>
  <c r="Z431" i="4"/>
  <c r="V432" i="4"/>
  <c r="X432" i="4"/>
  <c r="Z432" i="4"/>
  <c r="V433" i="4"/>
  <c r="X433" i="4"/>
  <c r="Z433" i="4"/>
  <c r="V434" i="4"/>
  <c r="X434" i="4"/>
  <c r="Z434" i="4"/>
  <c r="V435" i="4"/>
  <c r="X435" i="4"/>
  <c r="Z435" i="4"/>
  <c r="V436" i="4"/>
  <c r="X436" i="4"/>
  <c r="Z436" i="4"/>
  <c r="V437" i="4"/>
  <c r="X437" i="4"/>
  <c r="Z437" i="4"/>
  <c r="V438" i="4"/>
  <c r="X438" i="4"/>
  <c r="Z438" i="4"/>
  <c r="V439" i="4"/>
  <c r="X439" i="4"/>
  <c r="Z439" i="4"/>
  <c r="V440" i="4"/>
  <c r="X440" i="4"/>
  <c r="Z440" i="4"/>
  <c r="V441" i="4"/>
  <c r="X441" i="4"/>
  <c r="Z441" i="4"/>
  <c r="V442" i="4"/>
  <c r="X442" i="4"/>
  <c r="Z442" i="4"/>
  <c r="V443" i="4"/>
  <c r="X443" i="4"/>
  <c r="Z443" i="4"/>
  <c r="V444" i="4"/>
  <c r="X444" i="4"/>
  <c r="Z444" i="4"/>
  <c r="V445" i="4"/>
  <c r="X445" i="4"/>
  <c r="Z445" i="4"/>
  <c r="V446" i="4"/>
  <c r="X446" i="4"/>
  <c r="Z446" i="4"/>
  <c r="V447" i="4"/>
  <c r="X447" i="4"/>
  <c r="Z447" i="4"/>
  <c r="V448" i="4"/>
  <c r="X448" i="4"/>
  <c r="Z448" i="4"/>
  <c r="V449" i="4"/>
  <c r="X449" i="4"/>
  <c r="Z449" i="4"/>
  <c r="V450" i="4"/>
  <c r="X450" i="4"/>
  <c r="Z450" i="4"/>
  <c r="V451" i="4"/>
  <c r="X451" i="4"/>
  <c r="Z451" i="4"/>
  <c r="V452" i="4"/>
  <c r="X452" i="4"/>
  <c r="Z452" i="4"/>
  <c r="V453" i="4"/>
  <c r="X453" i="4"/>
  <c r="Z453" i="4"/>
  <c r="V454" i="4"/>
  <c r="X454" i="4"/>
  <c r="Z454" i="4"/>
  <c r="V455" i="4"/>
  <c r="X455" i="4"/>
  <c r="Z455" i="4"/>
  <c r="V456" i="4"/>
  <c r="X456" i="4"/>
  <c r="Z456" i="4"/>
  <c r="V457" i="4"/>
  <c r="X457" i="4"/>
  <c r="Z457" i="4"/>
  <c r="V458" i="4"/>
  <c r="X458" i="4"/>
  <c r="Z458" i="4"/>
  <c r="V459" i="4"/>
  <c r="X459" i="4"/>
  <c r="Z459" i="4"/>
  <c r="V460" i="4"/>
  <c r="X460" i="4"/>
  <c r="Z460" i="4"/>
  <c r="V461" i="4"/>
  <c r="X461" i="4"/>
  <c r="Z461" i="4"/>
  <c r="V462" i="4"/>
  <c r="X462" i="4"/>
  <c r="Z462" i="4"/>
  <c r="V463" i="4"/>
  <c r="X463" i="4"/>
  <c r="Z463" i="4"/>
  <c r="V464" i="4"/>
  <c r="X464" i="4"/>
  <c r="Z464" i="4"/>
  <c r="V465" i="4"/>
  <c r="X465" i="4"/>
  <c r="Z465" i="4"/>
  <c r="V466" i="4"/>
  <c r="X466" i="4"/>
  <c r="Z466" i="4"/>
  <c r="V467" i="4"/>
  <c r="X467" i="4"/>
  <c r="Z467" i="4"/>
  <c r="V468" i="4"/>
  <c r="X468" i="4"/>
  <c r="Z468" i="4"/>
  <c r="V469" i="4"/>
  <c r="X469" i="4"/>
  <c r="Z469" i="4"/>
  <c r="V470" i="4"/>
  <c r="X470" i="4"/>
  <c r="Z470" i="4"/>
  <c r="V471" i="4"/>
  <c r="X471" i="4"/>
  <c r="Z471" i="4"/>
  <c r="V472" i="4"/>
  <c r="X472" i="4"/>
  <c r="Z472" i="4"/>
  <c r="V473" i="4"/>
  <c r="X473" i="4"/>
  <c r="Z473" i="4"/>
  <c r="V474" i="4"/>
  <c r="X474" i="4"/>
  <c r="Z474" i="4"/>
  <c r="V475" i="4"/>
  <c r="X475" i="4"/>
  <c r="Z475" i="4"/>
  <c r="V476" i="4"/>
  <c r="X476" i="4"/>
  <c r="Z476" i="4"/>
  <c r="V477" i="4"/>
  <c r="X477" i="4"/>
  <c r="Z477" i="4"/>
  <c r="V478" i="4"/>
  <c r="X478" i="4"/>
  <c r="Z478" i="4"/>
  <c r="V479" i="4"/>
  <c r="X479" i="4"/>
  <c r="Z479" i="4"/>
  <c r="V480" i="4"/>
  <c r="X480" i="4"/>
  <c r="Z480" i="4"/>
  <c r="V481" i="4"/>
  <c r="X481" i="4"/>
  <c r="Z481" i="4"/>
  <c r="V482" i="4"/>
  <c r="X482" i="4"/>
  <c r="Z482" i="4"/>
  <c r="V483" i="4"/>
  <c r="X483" i="4"/>
  <c r="Z483" i="4"/>
  <c r="V484" i="4"/>
  <c r="X484" i="4"/>
  <c r="Z484" i="4"/>
  <c r="V485" i="4"/>
  <c r="X485" i="4"/>
  <c r="Z485" i="4"/>
  <c r="V486" i="4"/>
  <c r="X486" i="4"/>
  <c r="Z486" i="4"/>
  <c r="V487" i="4"/>
  <c r="X487" i="4"/>
  <c r="Z487" i="4"/>
  <c r="V488" i="4"/>
  <c r="X488" i="4"/>
  <c r="Z488" i="4"/>
  <c r="V489" i="4"/>
  <c r="X489" i="4"/>
  <c r="Z489" i="4"/>
  <c r="V490" i="4"/>
  <c r="X490" i="4"/>
  <c r="Z490" i="4"/>
  <c r="V491" i="4"/>
  <c r="X491" i="4"/>
  <c r="Z491" i="4"/>
  <c r="V492" i="4"/>
  <c r="X492" i="4"/>
  <c r="Z492" i="4"/>
  <c r="V493" i="4"/>
  <c r="X493" i="4"/>
  <c r="Z493" i="4"/>
  <c r="V494" i="4"/>
  <c r="X494" i="4"/>
  <c r="Z494" i="4"/>
  <c r="V495" i="4"/>
  <c r="X495" i="4"/>
  <c r="Z495" i="4"/>
  <c r="V496" i="4"/>
  <c r="X496" i="4"/>
  <c r="Z496" i="4"/>
  <c r="V497" i="4"/>
  <c r="X497" i="4"/>
  <c r="Z497" i="4"/>
  <c r="V498" i="4"/>
  <c r="X498" i="4"/>
  <c r="Z498" i="4"/>
  <c r="V499" i="4"/>
  <c r="X499" i="4"/>
  <c r="Z499" i="4"/>
  <c r="V500" i="4"/>
  <c r="X500" i="4"/>
  <c r="Z500" i="4"/>
  <c r="V501" i="4"/>
  <c r="X501" i="4"/>
  <c r="Z501" i="4"/>
  <c r="V502" i="4"/>
  <c r="X502" i="4"/>
  <c r="Z502" i="4"/>
  <c r="V503" i="4"/>
  <c r="X503" i="4"/>
  <c r="Z503" i="4"/>
  <c r="V504" i="4"/>
  <c r="X504" i="4"/>
  <c r="Z504" i="4"/>
  <c r="V505" i="4"/>
  <c r="X505" i="4"/>
  <c r="Z505" i="4"/>
  <c r="V506" i="4"/>
  <c r="X506" i="4"/>
  <c r="Z506" i="4"/>
  <c r="V507" i="4"/>
  <c r="X507" i="4"/>
  <c r="Z507" i="4"/>
  <c r="V508" i="4"/>
  <c r="X508" i="4"/>
  <c r="Z508" i="4"/>
  <c r="V509" i="4"/>
  <c r="X509" i="4"/>
  <c r="Z509" i="4"/>
  <c r="V510" i="4"/>
  <c r="X510" i="4"/>
  <c r="Z510" i="4"/>
  <c r="V511" i="4"/>
  <c r="X511" i="4"/>
  <c r="Z511" i="4"/>
  <c r="V512" i="4"/>
  <c r="X512" i="4"/>
  <c r="Z512" i="4"/>
  <c r="V513" i="4"/>
  <c r="X513" i="4"/>
  <c r="Z513" i="4"/>
  <c r="V514" i="4"/>
  <c r="X514" i="4"/>
  <c r="Z514" i="4"/>
  <c r="V515" i="4"/>
  <c r="X515" i="4"/>
  <c r="Z515" i="4"/>
  <c r="V516" i="4"/>
  <c r="X516" i="4"/>
  <c r="Z516" i="4"/>
  <c r="V517" i="4"/>
  <c r="X517" i="4"/>
  <c r="Z517" i="4"/>
  <c r="V518" i="4"/>
  <c r="X518" i="4"/>
  <c r="Z518" i="4"/>
  <c r="V519" i="4"/>
  <c r="X519" i="4"/>
  <c r="Z519" i="4"/>
  <c r="V520" i="4"/>
  <c r="X520" i="4"/>
  <c r="Z520" i="4"/>
  <c r="V521" i="4"/>
  <c r="X521" i="4"/>
  <c r="Z521" i="4"/>
  <c r="V522" i="4"/>
  <c r="X522" i="4"/>
  <c r="Z522" i="4"/>
  <c r="V523" i="4"/>
  <c r="X523" i="4"/>
  <c r="Z523" i="4"/>
  <c r="V524" i="4"/>
  <c r="X524" i="4"/>
  <c r="Z524" i="4"/>
  <c r="V525" i="4"/>
  <c r="X525" i="4"/>
  <c r="Z525" i="4"/>
  <c r="V526" i="4"/>
  <c r="X526" i="4"/>
  <c r="Z526" i="4"/>
  <c r="V527" i="4"/>
  <c r="X527" i="4"/>
  <c r="Z527" i="4"/>
  <c r="V528" i="4"/>
  <c r="X528" i="4"/>
  <c r="Z528" i="4"/>
  <c r="V529" i="4"/>
  <c r="X529" i="4"/>
  <c r="Z529" i="4"/>
  <c r="V530" i="4"/>
  <c r="X530" i="4"/>
  <c r="Z530" i="4"/>
  <c r="V531" i="4"/>
  <c r="X531" i="4"/>
  <c r="Z531" i="4"/>
  <c r="V532" i="4"/>
  <c r="X532" i="4"/>
  <c r="Z532" i="4"/>
  <c r="V533" i="4"/>
  <c r="X533" i="4"/>
  <c r="Z533" i="4"/>
  <c r="V534" i="4"/>
  <c r="X534" i="4"/>
  <c r="Z534" i="4"/>
  <c r="V535" i="4"/>
  <c r="X535" i="4"/>
  <c r="Z535" i="4"/>
  <c r="V536" i="4"/>
  <c r="X536" i="4"/>
  <c r="Z536" i="4"/>
  <c r="V537" i="4"/>
  <c r="X537" i="4"/>
  <c r="Z537" i="4"/>
  <c r="V538" i="4"/>
  <c r="X538" i="4"/>
  <c r="Z538" i="4"/>
  <c r="V539" i="4"/>
  <c r="X539" i="4"/>
  <c r="Z539" i="4"/>
  <c r="V540" i="4"/>
  <c r="X540" i="4"/>
  <c r="Z540" i="4"/>
  <c r="V541" i="4"/>
  <c r="X541" i="4"/>
  <c r="Z541" i="4"/>
  <c r="V542" i="4"/>
  <c r="X542" i="4"/>
  <c r="Z542" i="4"/>
  <c r="V543" i="4"/>
  <c r="X543" i="4"/>
  <c r="Z543" i="4"/>
  <c r="V544" i="4"/>
  <c r="X544" i="4"/>
  <c r="Z544" i="4"/>
  <c r="V545" i="4"/>
  <c r="X545" i="4"/>
  <c r="Z545" i="4"/>
  <c r="V546" i="4"/>
  <c r="X546" i="4"/>
  <c r="Z546" i="4"/>
  <c r="V547" i="4"/>
  <c r="X547" i="4"/>
  <c r="Z547" i="4"/>
  <c r="V548" i="4"/>
  <c r="X548" i="4"/>
  <c r="Z548" i="4"/>
  <c r="V549" i="4"/>
  <c r="X549" i="4"/>
  <c r="Z549" i="4"/>
  <c r="V550" i="4"/>
  <c r="X550" i="4"/>
  <c r="Z550" i="4"/>
  <c r="V551" i="4"/>
  <c r="X551" i="4"/>
  <c r="Z551" i="4"/>
  <c r="V552" i="4"/>
  <c r="X552" i="4"/>
  <c r="Z552" i="4"/>
  <c r="V553" i="4"/>
  <c r="X553" i="4"/>
  <c r="Z553" i="4"/>
  <c r="V554" i="4"/>
  <c r="X554" i="4"/>
  <c r="Z554" i="4"/>
  <c r="V555" i="4"/>
  <c r="X555" i="4"/>
  <c r="Z555" i="4"/>
  <c r="V556" i="4"/>
  <c r="X556" i="4"/>
  <c r="Z556" i="4"/>
  <c r="V557" i="4"/>
  <c r="X557" i="4"/>
  <c r="Z557" i="4"/>
  <c r="V558" i="4"/>
  <c r="X558" i="4"/>
  <c r="Z558" i="4"/>
  <c r="V559" i="4"/>
  <c r="X559" i="4"/>
  <c r="Z559" i="4"/>
  <c r="V560" i="4"/>
  <c r="X560" i="4"/>
  <c r="Z560" i="4"/>
  <c r="V561" i="4"/>
  <c r="X561" i="4"/>
  <c r="Z561" i="4"/>
  <c r="V562" i="4"/>
  <c r="X562" i="4"/>
  <c r="Z562" i="4"/>
  <c r="V563" i="4"/>
  <c r="X563" i="4"/>
  <c r="Z563" i="4"/>
  <c r="V564" i="4"/>
  <c r="X564" i="4"/>
  <c r="Z564" i="4"/>
  <c r="V565" i="4"/>
  <c r="X565" i="4"/>
  <c r="Z565" i="4"/>
  <c r="V566" i="4"/>
  <c r="X566" i="4"/>
  <c r="Z566" i="4"/>
  <c r="V567" i="4"/>
  <c r="X567" i="4"/>
  <c r="Z567" i="4"/>
  <c r="V568" i="4"/>
  <c r="X568" i="4"/>
  <c r="Z568" i="4"/>
  <c r="V569" i="4"/>
  <c r="X569" i="4"/>
  <c r="Z569" i="4"/>
  <c r="V570" i="4"/>
  <c r="X570" i="4"/>
  <c r="Z570" i="4"/>
  <c r="V571" i="4"/>
  <c r="X571" i="4"/>
  <c r="Z571" i="4"/>
  <c r="V572" i="4"/>
  <c r="X572" i="4"/>
  <c r="Z572" i="4"/>
  <c r="V573" i="4"/>
  <c r="X573" i="4"/>
  <c r="Z573" i="4"/>
  <c r="V574" i="4"/>
  <c r="X574" i="4"/>
  <c r="Z574" i="4"/>
  <c r="V575" i="4"/>
  <c r="X575" i="4"/>
  <c r="Z575" i="4"/>
  <c r="V576" i="4"/>
  <c r="X576" i="4"/>
  <c r="Z576" i="4"/>
  <c r="V577" i="4"/>
  <c r="X577" i="4"/>
  <c r="Z577" i="4"/>
  <c r="V578" i="4"/>
  <c r="X578" i="4"/>
  <c r="Z578" i="4"/>
  <c r="V579" i="4"/>
  <c r="X579" i="4"/>
  <c r="Z579" i="4"/>
  <c r="V580" i="4"/>
  <c r="X580" i="4"/>
  <c r="Z580" i="4"/>
  <c r="V581" i="4"/>
  <c r="X581" i="4"/>
  <c r="Z581" i="4"/>
  <c r="V582" i="4"/>
  <c r="X582" i="4"/>
  <c r="Z582" i="4"/>
  <c r="V583" i="4"/>
  <c r="X583" i="4"/>
  <c r="Z583" i="4"/>
  <c r="V584" i="4"/>
  <c r="X584" i="4"/>
  <c r="Z584" i="4"/>
  <c r="V585" i="4"/>
  <c r="X585" i="4"/>
  <c r="Z585" i="4"/>
  <c r="V586" i="4"/>
  <c r="X586" i="4"/>
  <c r="Z586" i="4"/>
  <c r="V587" i="4"/>
  <c r="X587" i="4"/>
  <c r="Z587" i="4"/>
  <c r="V588" i="4"/>
  <c r="X588" i="4"/>
  <c r="Z588" i="4"/>
  <c r="V589" i="4"/>
  <c r="X589" i="4"/>
  <c r="Z589" i="4"/>
  <c r="V590" i="4"/>
  <c r="X590" i="4"/>
  <c r="Z590" i="4"/>
  <c r="V591" i="4"/>
  <c r="X591" i="4"/>
  <c r="Z591" i="4"/>
  <c r="V592" i="4"/>
  <c r="X592" i="4"/>
  <c r="Z592" i="4"/>
  <c r="V593" i="4"/>
  <c r="X593" i="4"/>
  <c r="Z593" i="4"/>
  <c r="V594" i="4"/>
  <c r="X594" i="4"/>
  <c r="Z594" i="4"/>
  <c r="V595" i="4"/>
  <c r="X595" i="4"/>
  <c r="Z595" i="4"/>
  <c r="V596" i="4"/>
  <c r="X596" i="4"/>
  <c r="Z596" i="4"/>
  <c r="V597" i="4"/>
  <c r="X597" i="4"/>
  <c r="Z597" i="4"/>
  <c r="V598" i="4"/>
  <c r="X598" i="4"/>
  <c r="Z598" i="4"/>
  <c r="V599" i="4"/>
  <c r="X599" i="4"/>
  <c r="Z599" i="4"/>
  <c r="V600" i="4"/>
  <c r="X600" i="4"/>
  <c r="Z600" i="4"/>
  <c r="V601" i="4"/>
  <c r="X601" i="4"/>
  <c r="Z601" i="4"/>
  <c r="V602" i="4"/>
  <c r="X602" i="4"/>
  <c r="Z602" i="4"/>
  <c r="V603" i="4"/>
  <c r="X603" i="4"/>
  <c r="Z603" i="4"/>
  <c r="V604" i="4"/>
  <c r="X604" i="4"/>
  <c r="Z604" i="4"/>
  <c r="AE7" i="4"/>
  <c r="AG7" i="4"/>
  <c r="AI7" i="4"/>
  <c r="AE8" i="4"/>
  <c r="AG8" i="4"/>
  <c r="AI8" i="4"/>
  <c r="AE9" i="4"/>
  <c r="AG9" i="4"/>
  <c r="AI9" i="4"/>
  <c r="AE10" i="4"/>
  <c r="AG10" i="4"/>
  <c r="AI10" i="4"/>
  <c r="AE11" i="4"/>
  <c r="AG11" i="4"/>
  <c r="AI11" i="4"/>
  <c r="AE12" i="4"/>
  <c r="AG12" i="4"/>
  <c r="AI12" i="4"/>
  <c r="AE13" i="4"/>
  <c r="AG13" i="4"/>
  <c r="AI13" i="4"/>
  <c r="AE14" i="4"/>
  <c r="AG14" i="4"/>
  <c r="AI14" i="4"/>
  <c r="AE15" i="4"/>
  <c r="AG15" i="4"/>
  <c r="AI15" i="4"/>
  <c r="AE16" i="4"/>
  <c r="AG16" i="4"/>
  <c r="AI16" i="4"/>
  <c r="AE17" i="4"/>
  <c r="AG17" i="4"/>
  <c r="AI17" i="4"/>
  <c r="AE18" i="4"/>
  <c r="AG18" i="4"/>
  <c r="AI18" i="4"/>
  <c r="AE19" i="4"/>
  <c r="AG19" i="4"/>
  <c r="AI19" i="4"/>
  <c r="AE20" i="4"/>
  <c r="AG20" i="4"/>
  <c r="AI20" i="4"/>
  <c r="AE21" i="4"/>
  <c r="AG21" i="4"/>
  <c r="AI21" i="4"/>
  <c r="AE22" i="4"/>
  <c r="AG22" i="4"/>
  <c r="AI22" i="4"/>
  <c r="AE23" i="4"/>
  <c r="AG23" i="4"/>
  <c r="AI23" i="4"/>
  <c r="AE24" i="4"/>
  <c r="AG24" i="4"/>
  <c r="AI24" i="4"/>
  <c r="AE25" i="4"/>
  <c r="AG25" i="4"/>
  <c r="AI25" i="4"/>
  <c r="AE26" i="4"/>
  <c r="AG26" i="4"/>
  <c r="AI26" i="4"/>
  <c r="AE27" i="4"/>
  <c r="AG27" i="4"/>
  <c r="AI27" i="4"/>
  <c r="AE28" i="4"/>
  <c r="AG28" i="4"/>
  <c r="AI28" i="4"/>
  <c r="AE29" i="4"/>
  <c r="AG29" i="4"/>
  <c r="AI29" i="4"/>
  <c r="AE30" i="4"/>
  <c r="AG30" i="4"/>
  <c r="AI30" i="4"/>
  <c r="AE31" i="4"/>
  <c r="AG31" i="4"/>
  <c r="AI31" i="4"/>
  <c r="AE32" i="4"/>
  <c r="AG32" i="4"/>
  <c r="AI32" i="4"/>
  <c r="AE33" i="4"/>
  <c r="AG33" i="4"/>
  <c r="AI33" i="4"/>
  <c r="AE34" i="4"/>
  <c r="AG34" i="4"/>
  <c r="AI34" i="4"/>
  <c r="AE35" i="4"/>
  <c r="AG35" i="4"/>
  <c r="AI35" i="4"/>
  <c r="AE36" i="4"/>
  <c r="AG36" i="4"/>
  <c r="AI36" i="4"/>
  <c r="AE37" i="4"/>
  <c r="AG37" i="4"/>
  <c r="AI37" i="4"/>
  <c r="AE38" i="4"/>
  <c r="AG38" i="4"/>
  <c r="AI38" i="4"/>
  <c r="AE39" i="4"/>
  <c r="AG39" i="4"/>
  <c r="AI39" i="4"/>
  <c r="AE40" i="4"/>
  <c r="AG40" i="4"/>
  <c r="AI40" i="4"/>
  <c r="AE41" i="4"/>
  <c r="AG41" i="4"/>
  <c r="AI41" i="4"/>
  <c r="AE42" i="4"/>
  <c r="AG42" i="4"/>
  <c r="AI42" i="4"/>
  <c r="AE43" i="4"/>
  <c r="AG43" i="4"/>
  <c r="AI43" i="4"/>
  <c r="AE44" i="4"/>
  <c r="AG44" i="4"/>
  <c r="AI44" i="4"/>
  <c r="AE45" i="4"/>
  <c r="AG45" i="4"/>
  <c r="AI45" i="4"/>
  <c r="AE46" i="4"/>
  <c r="AG46" i="4"/>
  <c r="AI46" i="4"/>
  <c r="AE47" i="4"/>
  <c r="AG47" i="4"/>
  <c r="AI47" i="4"/>
  <c r="AE48" i="4"/>
  <c r="AG48" i="4"/>
  <c r="AI48" i="4"/>
  <c r="AE49" i="4"/>
  <c r="AG49" i="4"/>
  <c r="AI49" i="4"/>
  <c r="AE50" i="4"/>
  <c r="AG50" i="4"/>
  <c r="AI50" i="4"/>
  <c r="AE51" i="4"/>
  <c r="AG51" i="4"/>
  <c r="AI51" i="4"/>
  <c r="AE52" i="4"/>
  <c r="AG52" i="4"/>
  <c r="AI52" i="4"/>
  <c r="AE53" i="4"/>
  <c r="AG53" i="4"/>
  <c r="AI53" i="4"/>
  <c r="AE54" i="4"/>
  <c r="AG54" i="4"/>
  <c r="AI54" i="4"/>
  <c r="AE55" i="4"/>
  <c r="AG55" i="4"/>
  <c r="AI55" i="4"/>
  <c r="AE56" i="4"/>
  <c r="AG56" i="4"/>
  <c r="AI56" i="4"/>
  <c r="AE57" i="4"/>
  <c r="AG57" i="4"/>
  <c r="AI57" i="4"/>
  <c r="AE58" i="4"/>
  <c r="AG58" i="4"/>
  <c r="AI58" i="4"/>
  <c r="AE59" i="4"/>
  <c r="AG59" i="4"/>
  <c r="AI59" i="4"/>
  <c r="AE60" i="4"/>
  <c r="AG60" i="4"/>
  <c r="AI60" i="4"/>
  <c r="AE61" i="4"/>
  <c r="AG61" i="4"/>
  <c r="AI61" i="4"/>
  <c r="AE62" i="4"/>
  <c r="AG62" i="4"/>
  <c r="AI62" i="4"/>
  <c r="AE63" i="4"/>
  <c r="AG63" i="4"/>
  <c r="AI63" i="4"/>
  <c r="AE64" i="4"/>
  <c r="AG64" i="4"/>
  <c r="AI64" i="4"/>
  <c r="AE65" i="4"/>
  <c r="AG65" i="4"/>
  <c r="AI65" i="4"/>
  <c r="AE66" i="4"/>
  <c r="AG66" i="4"/>
  <c r="AI66" i="4"/>
  <c r="AE67" i="4"/>
  <c r="AG67" i="4"/>
  <c r="AI67" i="4"/>
  <c r="AE68" i="4"/>
  <c r="AG68" i="4"/>
  <c r="AI68" i="4"/>
  <c r="AE69" i="4"/>
  <c r="AG69" i="4"/>
  <c r="AI69" i="4"/>
  <c r="AE70" i="4"/>
  <c r="AG70" i="4"/>
  <c r="AI70" i="4"/>
  <c r="AE71" i="4"/>
  <c r="AG71" i="4"/>
  <c r="AI71" i="4"/>
  <c r="AE72" i="4"/>
  <c r="AG72" i="4"/>
  <c r="AI72" i="4"/>
  <c r="AE73" i="4"/>
  <c r="AG73" i="4"/>
  <c r="AI73" i="4"/>
  <c r="AE74" i="4"/>
  <c r="AG74" i="4"/>
  <c r="AI74" i="4"/>
  <c r="AE75" i="4"/>
  <c r="AG75" i="4"/>
  <c r="AI75" i="4"/>
  <c r="AE76" i="4"/>
  <c r="AG76" i="4"/>
  <c r="AI76" i="4"/>
  <c r="AE77" i="4"/>
  <c r="AG77" i="4"/>
  <c r="AI77" i="4"/>
  <c r="AE78" i="4"/>
  <c r="AG78" i="4"/>
  <c r="AI78" i="4"/>
  <c r="AE79" i="4"/>
  <c r="AG79" i="4"/>
  <c r="AI79" i="4"/>
  <c r="AE80" i="4"/>
  <c r="AG80" i="4"/>
  <c r="AI80" i="4"/>
  <c r="AE81" i="4"/>
  <c r="AG81" i="4"/>
  <c r="AI81" i="4"/>
  <c r="AE82" i="4"/>
  <c r="AG82" i="4"/>
  <c r="AI82" i="4"/>
  <c r="AE83" i="4"/>
  <c r="AG83" i="4"/>
  <c r="AI83" i="4"/>
  <c r="AE84" i="4"/>
  <c r="AG84" i="4"/>
  <c r="AI84" i="4"/>
  <c r="AE85" i="4"/>
  <c r="AG85" i="4"/>
  <c r="AI85" i="4"/>
  <c r="AE86" i="4"/>
  <c r="AG86" i="4"/>
  <c r="AI86" i="4"/>
  <c r="AE87" i="4"/>
  <c r="AG87" i="4"/>
  <c r="AI87" i="4"/>
  <c r="AE88" i="4"/>
  <c r="AG88" i="4"/>
  <c r="AI88" i="4"/>
  <c r="AE89" i="4"/>
  <c r="AG89" i="4"/>
  <c r="AI89" i="4"/>
  <c r="AE90" i="4"/>
  <c r="AG90" i="4"/>
  <c r="AI90" i="4"/>
  <c r="AE91" i="4"/>
  <c r="AG91" i="4"/>
  <c r="AI91" i="4"/>
  <c r="AE92" i="4"/>
  <c r="AG92" i="4"/>
  <c r="AI92" i="4"/>
  <c r="AE93" i="4"/>
  <c r="AG93" i="4"/>
  <c r="AI93" i="4"/>
  <c r="AE94" i="4"/>
  <c r="AG94" i="4"/>
  <c r="AI94" i="4"/>
  <c r="AE95" i="4"/>
  <c r="AG95" i="4"/>
  <c r="AI95" i="4"/>
  <c r="AE96" i="4"/>
  <c r="AG96" i="4"/>
  <c r="AI96" i="4"/>
  <c r="AE97" i="4"/>
  <c r="AG97" i="4"/>
  <c r="AI97" i="4"/>
  <c r="AE98" i="4"/>
  <c r="AG98" i="4"/>
  <c r="AI98" i="4"/>
  <c r="AE99" i="4"/>
  <c r="AG99" i="4"/>
  <c r="AI99" i="4"/>
  <c r="AE100" i="4"/>
  <c r="AG100" i="4"/>
  <c r="AI100" i="4"/>
  <c r="AE101" i="4"/>
  <c r="AG101" i="4"/>
  <c r="AI101" i="4"/>
  <c r="AE102" i="4"/>
  <c r="AG102" i="4"/>
  <c r="AI102" i="4"/>
  <c r="AE103" i="4"/>
  <c r="AG103" i="4"/>
  <c r="AI103" i="4"/>
  <c r="AE104" i="4"/>
  <c r="AG104" i="4"/>
  <c r="AI104" i="4"/>
  <c r="AE105" i="4"/>
  <c r="AG105" i="4"/>
  <c r="AI105" i="4"/>
  <c r="AE106" i="4"/>
  <c r="AG106" i="4"/>
  <c r="AI106" i="4"/>
  <c r="AE107" i="4"/>
  <c r="AG107" i="4"/>
  <c r="AI107" i="4"/>
  <c r="AE108" i="4"/>
  <c r="AG108" i="4"/>
  <c r="AI108" i="4"/>
  <c r="AE109" i="4"/>
  <c r="AG109" i="4"/>
  <c r="AI109" i="4"/>
  <c r="AE110" i="4"/>
  <c r="AG110" i="4"/>
  <c r="AI110" i="4"/>
  <c r="AE111" i="4"/>
  <c r="AG111" i="4"/>
  <c r="AI111" i="4"/>
  <c r="AE112" i="4"/>
  <c r="AG112" i="4"/>
  <c r="AI112" i="4"/>
  <c r="AE113" i="4"/>
  <c r="AG113" i="4"/>
  <c r="AI113" i="4"/>
  <c r="AE114" i="4"/>
  <c r="AG114" i="4"/>
  <c r="AI114" i="4"/>
  <c r="AE115" i="4"/>
  <c r="AG115" i="4"/>
  <c r="AI115" i="4"/>
  <c r="AE116" i="4"/>
  <c r="AG116" i="4"/>
  <c r="AI116" i="4"/>
  <c r="AE117" i="4"/>
  <c r="AG117" i="4"/>
  <c r="AI117" i="4"/>
  <c r="AE118" i="4"/>
  <c r="AG118" i="4"/>
  <c r="AI118" i="4"/>
  <c r="AE119" i="4"/>
  <c r="AG119" i="4"/>
  <c r="AI119" i="4"/>
  <c r="AE120" i="4"/>
  <c r="AG120" i="4"/>
  <c r="AI120" i="4"/>
  <c r="AE121" i="4"/>
  <c r="AG121" i="4"/>
  <c r="AI121" i="4"/>
  <c r="AE122" i="4"/>
  <c r="AG122" i="4"/>
  <c r="AI122" i="4"/>
  <c r="AE123" i="4"/>
  <c r="AG123" i="4"/>
  <c r="AI123" i="4"/>
  <c r="AE124" i="4"/>
  <c r="AG124" i="4"/>
  <c r="AI124" i="4"/>
  <c r="AE125" i="4"/>
  <c r="AG125" i="4"/>
  <c r="AI125" i="4"/>
  <c r="AE126" i="4"/>
  <c r="AG126" i="4"/>
  <c r="AI126" i="4"/>
  <c r="AE127" i="4"/>
  <c r="AG127" i="4"/>
  <c r="AI127" i="4"/>
  <c r="AE128" i="4"/>
  <c r="AG128" i="4"/>
  <c r="AI128" i="4"/>
  <c r="AE129" i="4"/>
  <c r="AG129" i="4"/>
  <c r="AI129" i="4"/>
  <c r="AE130" i="4"/>
  <c r="AG130" i="4"/>
  <c r="AI130" i="4"/>
  <c r="AE131" i="4"/>
  <c r="AG131" i="4"/>
  <c r="AI131" i="4"/>
  <c r="AE132" i="4"/>
  <c r="AG132" i="4"/>
  <c r="AI132" i="4"/>
  <c r="AE133" i="4"/>
  <c r="AG133" i="4"/>
  <c r="AI133" i="4"/>
  <c r="AE134" i="4"/>
  <c r="AG134" i="4"/>
  <c r="AI134" i="4"/>
  <c r="AE135" i="4"/>
  <c r="AG135" i="4"/>
  <c r="AI135" i="4"/>
  <c r="AE136" i="4"/>
  <c r="AG136" i="4"/>
  <c r="AI136" i="4"/>
  <c r="AE137" i="4"/>
  <c r="AG137" i="4"/>
  <c r="AI137" i="4"/>
  <c r="AE138" i="4"/>
  <c r="AG138" i="4"/>
  <c r="AI138" i="4"/>
  <c r="AE139" i="4"/>
  <c r="AG139" i="4"/>
  <c r="AI139" i="4"/>
  <c r="AE140" i="4"/>
  <c r="AG140" i="4"/>
  <c r="AI140" i="4"/>
  <c r="AE141" i="4"/>
  <c r="AG141" i="4"/>
  <c r="AI141" i="4"/>
  <c r="AE142" i="4"/>
  <c r="AG142" i="4"/>
  <c r="AI142" i="4"/>
  <c r="AE143" i="4"/>
  <c r="AG143" i="4"/>
  <c r="AI143" i="4"/>
  <c r="AE144" i="4"/>
  <c r="AG144" i="4"/>
  <c r="AI144" i="4"/>
  <c r="AE145" i="4"/>
  <c r="AG145" i="4"/>
  <c r="AI145" i="4"/>
  <c r="AE146" i="4"/>
  <c r="AG146" i="4"/>
  <c r="AI146" i="4"/>
  <c r="AE147" i="4"/>
  <c r="AG147" i="4"/>
  <c r="AI147" i="4"/>
  <c r="AE148" i="4"/>
  <c r="AG148" i="4"/>
  <c r="AI148" i="4"/>
  <c r="AE149" i="4"/>
  <c r="AG149" i="4"/>
  <c r="AI149" i="4"/>
  <c r="AE150" i="4"/>
  <c r="AG150" i="4"/>
  <c r="AI150" i="4"/>
  <c r="AE151" i="4"/>
  <c r="AG151" i="4"/>
  <c r="AI151" i="4"/>
  <c r="AE152" i="4"/>
  <c r="AG152" i="4"/>
  <c r="AI152" i="4"/>
  <c r="AE153" i="4"/>
  <c r="AG153" i="4"/>
  <c r="AI153" i="4"/>
  <c r="AE154" i="4"/>
  <c r="AG154" i="4"/>
  <c r="AI154" i="4"/>
  <c r="AE155" i="4"/>
  <c r="AG155" i="4"/>
  <c r="AI155" i="4"/>
  <c r="AE156" i="4"/>
  <c r="AG156" i="4"/>
  <c r="AI156" i="4"/>
  <c r="AE157" i="4"/>
  <c r="AG157" i="4"/>
  <c r="AI157" i="4"/>
  <c r="AE158" i="4"/>
  <c r="AG158" i="4"/>
  <c r="AI158" i="4"/>
  <c r="AE159" i="4"/>
  <c r="AG159" i="4"/>
  <c r="AI159" i="4"/>
  <c r="AE160" i="4"/>
  <c r="AG160" i="4"/>
  <c r="AI160" i="4"/>
  <c r="AE161" i="4"/>
  <c r="AG161" i="4"/>
  <c r="AI161" i="4"/>
  <c r="AE162" i="4"/>
  <c r="AG162" i="4"/>
  <c r="AI162" i="4"/>
  <c r="AE163" i="4"/>
  <c r="AG163" i="4"/>
  <c r="AI163" i="4"/>
  <c r="AE164" i="4"/>
  <c r="AG164" i="4"/>
  <c r="AI164" i="4"/>
  <c r="AE165" i="4"/>
  <c r="AG165" i="4"/>
  <c r="AI165" i="4"/>
  <c r="AE166" i="4"/>
  <c r="AG166" i="4"/>
  <c r="AI166" i="4"/>
  <c r="AE167" i="4"/>
  <c r="AG167" i="4"/>
  <c r="AI167" i="4"/>
  <c r="AE168" i="4"/>
  <c r="AG168" i="4"/>
  <c r="AI168" i="4"/>
  <c r="AE169" i="4"/>
  <c r="AG169" i="4"/>
  <c r="AI169" i="4"/>
  <c r="AE170" i="4"/>
  <c r="AG170" i="4"/>
  <c r="AI170" i="4"/>
  <c r="AE171" i="4"/>
  <c r="AG171" i="4"/>
  <c r="AI171" i="4"/>
  <c r="AE172" i="4"/>
  <c r="AG172" i="4"/>
  <c r="AI172" i="4"/>
  <c r="AE173" i="4"/>
  <c r="AG173" i="4"/>
  <c r="AI173" i="4"/>
  <c r="AE174" i="4"/>
  <c r="AG174" i="4"/>
  <c r="AI174" i="4"/>
  <c r="AE175" i="4"/>
  <c r="AG175" i="4"/>
  <c r="AI175" i="4"/>
  <c r="AE176" i="4"/>
  <c r="AG176" i="4"/>
  <c r="AI176" i="4"/>
  <c r="AE177" i="4"/>
  <c r="AG177" i="4"/>
  <c r="AI177" i="4"/>
  <c r="AE178" i="4"/>
  <c r="AG178" i="4"/>
  <c r="AI178" i="4"/>
  <c r="AE179" i="4"/>
  <c r="AG179" i="4"/>
  <c r="AI179" i="4"/>
  <c r="AE180" i="4"/>
  <c r="AG180" i="4"/>
  <c r="AI180" i="4"/>
  <c r="AE181" i="4"/>
  <c r="AG181" i="4"/>
  <c r="AI181" i="4"/>
  <c r="AE182" i="4"/>
  <c r="AG182" i="4"/>
  <c r="AI182" i="4"/>
  <c r="AE183" i="4"/>
  <c r="AG183" i="4"/>
  <c r="AI183" i="4"/>
  <c r="AE184" i="4"/>
  <c r="AG184" i="4"/>
  <c r="AI184" i="4"/>
  <c r="AE185" i="4"/>
  <c r="AG185" i="4"/>
  <c r="AI185" i="4"/>
  <c r="AE186" i="4"/>
  <c r="AG186" i="4"/>
  <c r="AI186" i="4"/>
  <c r="AE187" i="4"/>
  <c r="AG187" i="4"/>
  <c r="AI187" i="4"/>
  <c r="AE188" i="4"/>
  <c r="AG188" i="4"/>
  <c r="AI188" i="4"/>
  <c r="AE189" i="4"/>
  <c r="AG189" i="4"/>
  <c r="AI189" i="4"/>
  <c r="AE190" i="4"/>
  <c r="AG190" i="4"/>
  <c r="AI190" i="4"/>
  <c r="AE191" i="4"/>
  <c r="AG191" i="4"/>
  <c r="AI191" i="4"/>
  <c r="AE192" i="4"/>
  <c r="AG192" i="4"/>
  <c r="AI192" i="4"/>
  <c r="AE193" i="4"/>
  <c r="AG193" i="4"/>
  <c r="AI193" i="4"/>
  <c r="AE194" i="4"/>
  <c r="AG194" i="4"/>
  <c r="AI194" i="4"/>
  <c r="AE195" i="4"/>
  <c r="AG195" i="4"/>
  <c r="AI195" i="4"/>
  <c r="AE196" i="4"/>
  <c r="AG196" i="4"/>
  <c r="AI196" i="4"/>
  <c r="AE197" i="4"/>
  <c r="AG197" i="4"/>
  <c r="AI197" i="4"/>
  <c r="AE198" i="4"/>
  <c r="AG198" i="4"/>
  <c r="AI198" i="4"/>
  <c r="AE199" i="4"/>
  <c r="AG199" i="4"/>
  <c r="AI199" i="4"/>
  <c r="AE200" i="4"/>
  <c r="AG200" i="4"/>
  <c r="AI200" i="4"/>
  <c r="AE201" i="4"/>
  <c r="AG201" i="4"/>
  <c r="AI201" i="4"/>
  <c r="AE202" i="4"/>
  <c r="AG202" i="4"/>
  <c r="AI202" i="4"/>
  <c r="AE203" i="4"/>
  <c r="AG203" i="4"/>
  <c r="AI203" i="4"/>
  <c r="AE204" i="4"/>
  <c r="AG204" i="4"/>
  <c r="AI204" i="4"/>
  <c r="AE205" i="4"/>
  <c r="AG205" i="4"/>
  <c r="AI205" i="4"/>
  <c r="AE206" i="4"/>
  <c r="AG206" i="4"/>
  <c r="AI206" i="4"/>
  <c r="AE207" i="4"/>
  <c r="AG207" i="4"/>
  <c r="AI207" i="4"/>
  <c r="AE208" i="4"/>
  <c r="AG208" i="4"/>
  <c r="AI208" i="4"/>
  <c r="AE209" i="4"/>
  <c r="AG209" i="4"/>
  <c r="AI209" i="4"/>
  <c r="AE210" i="4"/>
  <c r="AG210" i="4"/>
  <c r="AI210" i="4"/>
  <c r="AE211" i="4"/>
  <c r="AG211" i="4"/>
  <c r="AI211" i="4"/>
  <c r="AE212" i="4"/>
  <c r="AG212" i="4"/>
  <c r="AI212" i="4"/>
  <c r="AE213" i="4"/>
  <c r="AG213" i="4"/>
  <c r="AI213" i="4"/>
  <c r="AE214" i="4"/>
  <c r="AG214" i="4"/>
  <c r="AI214" i="4"/>
  <c r="AE215" i="4"/>
  <c r="AG215" i="4"/>
  <c r="AI215" i="4"/>
  <c r="AE216" i="4"/>
  <c r="AG216" i="4"/>
  <c r="AI216" i="4"/>
  <c r="AE217" i="4"/>
  <c r="AG217" i="4"/>
  <c r="AI217" i="4"/>
  <c r="AE218" i="4"/>
  <c r="AG218" i="4"/>
  <c r="AI218" i="4"/>
  <c r="AE219" i="4"/>
  <c r="AG219" i="4"/>
  <c r="AI219" i="4"/>
  <c r="AE220" i="4"/>
  <c r="AG220" i="4"/>
  <c r="AI220" i="4"/>
  <c r="AE221" i="4"/>
  <c r="AG221" i="4"/>
  <c r="AI221" i="4"/>
  <c r="AE222" i="4"/>
  <c r="AG222" i="4"/>
  <c r="AI222" i="4"/>
  <c r="AE223" i="4"/>
  <c r="AG223" i="4"/>
  <c r="AI223" i="4"/>
  <c r="AE224" i="4"/>
  <c r="AG224" i="4"/>
  <c r="AI224" i="4"/>
  <c r="AE225" i="4"/>
  <c r="AG225" i="4"/>
  <c r="AI225" i="4"/>
  <c r="AE226" i="4"/>
  <c r="AG226" i="4"/>
  <c r="AI226" i="4"/>
  <c r="AE227" i="4"/>
  <c r="AG227" i="4"/>
  <c r="AI227" i="4"/>
  <c r="AE228" i="4"/>
  <c r="AG228" i="4"/>
  <c r="AI228" i="4"/>
  <c r="AE229" i="4"/>
  <c r="AG229" i="4"/>
  <c r="AI229" i="4"/>
  <c r="AE230" i="4"/>
  <c r="AG230" i="4"/>
  <c r="AI230" i="4"/>
  <c r="AE231" i="4"/>
  <c r="AG231" i="4"/>
  <c r="AI231" i="4"/>
  <c r="AE232" i="4"/>
  <c r="AG232" i="4"/>
  <c r="AI232" i="4"/>
  <c r="AE233" i="4"/>
  <c r="AG233" i="4"/>
  <c r="AI233" i="4"/>
  <c r="AE234" i="4"/>
  <c r="AG234" i="4"/>
  <c r="AI234" i="4"/>
  <c r="AE235" i="4"/>
  <c r="AG235" i="4"/>
  <c r="AI235" i="4"/>
  <c r="AE236" i="4"/>
  <c r="AG236" i="4"/>
  <c r="AI236" i="4"/>
  <c r="AE237" i="4"/>
  <c r="AG237" i="4"/>
  <c r="AI237" i="4"/>
  <c r="AE238" i="4"/>
  <c r="AG238" i="4"/>
  <c r="AI238" i="4"/>
  <c r="AE239" i="4"/>
  <c r="AG239" i="4"/>
  <c r="AI239" i="4"/>
  <c r="AE240" i="4"/>
  <c r="AG240" i="4"/>
  <c r="AI240" i="4"/>
  <c r="AE241" i="4"/>
  <c r="AG241" i="4"/>
  <c r="AI241" i="4"/>
  <c r="AE242" i="4"/>
  <c r="AG242" i="4"/>
  <c r="AI242" i="4"/>
  <c r="AE243" i="4"/>
  <c r="AG243" i="4"/>
  <c r="AI243" i="4"/>
  <c r="AE244" i="4"/>
  <c r="AG244" i="4"/>
  <c r="AI244" i="4"/>
  <c r="AE245" i="4"/>
  <c r="AG245" i="4"/>
  <c r="AI245" i="4"/>
  <c r="AE246" i="4"/>
  <c r="AG246" i="4"/>
  <c r="AI246" i="4"/>
  <c r="AE247" i="4"/>
  <c r="AG247" i="4"/>
  <c r="AI247" i="4"/>
  <c r="AE248" i="4"/>
  <c r="AG248" i="4"/>
  <c r="AI248" i="4"/>
  <c r="AE249" i="4"/>
  <c r="AG249" i="4"/>
  <c r="AI249" i="4"/>
  <c r="AE250" i="4"/>
  <c r="AG250" i="4"/>
  <c r="AI250" i="4"/>
  <c r="AE251" i="4"/>
  <c r="AG251" i="4"/>
  <c r="AI251" i="4"/>
  <c r="AE252" i="4"/>
  <c r="AG252" i="4"/>
  <c r="AI252" i="4"/>
  <c r="AE253" i="4"/>
  <c r="AG253" i="4"/>
  <c r="AI253" i="4"/>
  <c r="AE254" i="4"/>
  <c r="AG254" i="4"/>
  <c r="AI254" i="4"/>
  <c r="AE255" i="4"/>
  <c r="AG255" i="4"/>
  <c r="AI255" i="4"/>
  <c r="AE256" i="4"/>
  <c r="AG256" i="4"/>
  <c r="AI256" i="4"/>
  <c r="AE257" i="4"/>
  <c r="AG257" i="4"/>
  <c r="AI257" i="4"/>
  <c r="AE258" i="4"/>
  <c r="AG258" i="4"/>
  <c r="AI258" i="4"/>
  <c r="AE259" i="4"/>
  <c r="AG259" i="4"/>
  <c r="AI259" i="4"/>
  <c r="AE260" i="4"/>
  <c r="AG260" i="4"/>
  <c r="AI260" i="4"/>
  <c r="AE261" i="4"/>
  <c r="AG261" i="4"/>
  <c r="AI261" i="4"/>
  <c r="AE262" i="4"/>
  <c r="AG262" i="4"/>
  <c r="AI262" i="4"/>
  <c r="AE263" i="4"/>
  <c r="AG263" i="4"/>
  <c r="AI263" i="4"/>
  <c r="AE264" i="4"/>
  <c r="AG264" i="4"/>
  <c r="AI264" i="4"/>
  <c r="AE265" i="4"/>
  <c r="AG265" i="4"/>
  <c r="AI265" i="4"/>
  <c r="AE266" i="4"/>
  <c r="AG266" i="4"/>
  <c r="AI266" i="4"/>
  <c r="AE267" i="4"/>
  <c r="AG267" i="4"/>
  <c r="AI267" i="4"/>
  <c r="AE268" i="4"/>
  <c r="AG268" i="4"/>
  <c r="AI268" i="4"/>
  <c r="AE269" i="4"/>
  <c r="AG269" i="4"/>
  <c r="AI269" i="4"/>
  <c r="AE270" i="4"/>
  <c r="AG270" i="4"/>
  <c r="AI270" i="4"/>
  <c r="AE271" i="4"/>
  <c r="AG271" i="4"/>
  <c r="AI271" i="4"/>
  <c r="AE272" i="4"/>
  <c r="AG272" i="4"/>
  <c r="AI272" i="4"/>
  <c r="AE273" i="4"/>
  <c r="AG273" i="4"/>
  <c r="AI273" i="4"/>
  <c r="AE274" i="4"/>
  <c r="AG274" i="4"/>
  <c r="AI274" i="4"/>
  <c r="AE275" i="4"/>
  <c r="AG275" i="4"/>
  <c r="AI275" i="4"/>
  <c r="AE276" i="4"/>
  <c r="AG276" i="4"/>
  <c r="AI276" i="4"/>
  <c r="AE277" i="4"/>
  <c r="AG277" i="4"/>
  <c r="AI277" i="4"/>
  <c r="AE278" i="4"/>
  <c r="AG278" i="4"/>
  <c r="AI278" i="4"/>
  <c r="AE279" i="4"/>
  <c r="AG279" i="4"/>
  <c r="AI279" i="4"/>
  <c r="AE280" i="4"/>
  <c r="AG280" i="4"/>
  <c r="AI280" i="4"/>
  <c r="AE281" i="4"/>
  <c r="AG281" i="4"/>
  <c r="AI281" i="4"/>
  <c r="AE282" i="4"/>
  <c r="AG282" i="4"/>
  <c r="AI282" i="4"/>
  <c r="AE283" i="4"/>
  <c r="AG283" i="4"/>
  <c r="AI283" i="4"/>
  <c r="AE284" i="4"/>
  <c r="AG284" i="4"/>
  <c r="AI284" i="4"/>
  <c r="AE285" i="4"/>
  <c r="AG285" i="4"/>
  <c r="AI285" i="4"/>
  <c r="AE286" i="4"/>
  <c r="AG286" i="4"/>
  <c r="AI286" i="4"/>
  <c r="AE287" i="4"/>
  <c r="AG287" i="4"/>
  <c r="AI287" i="4"/>
  <c r="AE288" i="4"/>
  <c r="AG288" i="4"/>
  <c r="AI288" i="4"/>
  <c r="AE289" i="4"/>
  <c r="AG289" i="4"/>
  <c r="AI289" i="4"/>
  <c r="AE290" i="4"/>
  <c r="AG290" i="4"/>
  <c r="AI290" i="4"/>
  <c r="AE291" i="4"/>
  <c r="AG291" i="4"/>
  <c r="AI291" i="4"/>
  <c r="AE292" i="4"/>
  <c r="AG292" i="4"/>
  <c r="AI292" i="4"/>
  <c r="AE293" i="4"/>
  <c r="AG293" i="4"/>
  <c r="AI293" i="4"/>
  <c r="AE294" i="4"/>
  <c r="AG294" i="4"/>
  <c r="AI294" i="4"/>
  <c r="AE295" i="4"/>
  <c r="AG295" i="4"/>
  <c r="AI295" i="4"/>
  <c r="AE296" i="4"/>
  <c r="AG296" i="4"/>
  <c r="AI296" i="4"/>
  <c r="AE297" i="4"/>
  <c r="AG297" i="4"/>
  <c r="AI297" i="4"/>
  <c r="AE298" i="4"/>
  <c r="AG298" i="4"/>
  <c r="AI298" i="4"/>
  <c r="AE299" i="4"/>
  <c r="AG299" i="4"/>
  <c r="AI299" i="4"/>
  <c r="AE300" i="4"/>
  <c r="AG300" i="4"/>
  <c r="AI300" i="4"/>
  <c r="AE301" i="4"/>
  <c r="AG301" i="4"/>
  <c r="AI301" i="4"/>
  <c r="AE302" i="4"/>
  <c r="AG302" i="4"/>
  <c r="AI302" i="4"/>
  <c r="AE303" i="4"/>
  <c r="AG303" i="4"/>
  <c r="AI303" i="4"/>
  <c r="AE304" i="4"/>
  <c r="AG304" i="4"/>
  <c r="AI304" i="4"/>
  <c r="AE305" i="4"/>
  <c r="AG305" i="4"/>
  <c r="AI305" i="4"/>
  <c r="AE306" i="4"/>
  <c r="AG306" i="4"/>
  <c r="AI306" i="4"/>
  <c r="AE307" i="4"/>
  <c r="AG307" i="4"/>
  <c r="AI307" i="4"/>
  <c r="AE308" i="4"/>
  <c r="AG308" i="4"/>
  <c r="AI308" i="4"/>
  <c r="AE309" i="4"/>
  <c r="AG309" i="4"/>
  <c r="AI309" i="4"/>
  <c r="AE310" i="4"/>
  <c r="AG310" i="4"/>
  <c r="AI310" i="4"/>
  <c r="AE311" i="4"/>
  <c r="AG311" i="4"/>
  <c r="AI311" i="4"/>
  <c r="AE312" i="4"/>
  <c r="AG312" i="4"/>
  <c r="AI312" i="4"/>
  <c r="AE313" i="4"/>
  <c r="AG313" i="4"/>
  <c r="AI313" i="4"/>
  <c r="AE314" i="4"/>
  <c r="AG314" i="4"/>
  <c r="AI314" i="4"/>
  <c r="AE315" i="4"/>
  <c r="AG315" i="4"/>
  <c r="AI315" i="4"/>
  <c r="AE316" i="4"/>
  <c r="AG316" i="4"/>
  <c r="AI316" i="4"/>
  <c r="AE317" i="4"/>
  <c r="AG317" i="4"/>
  <c r="AI317" i="4"/>
  <c r="AE318" i="4"/>
  <c r="AG318" i="4"/>
  <c r="AI318" i="4"/>
  <c r="AE319" i="4"/>
  <c r="AG319" i="4"/>
  <c r="AI319" i="4"/>
  <c r="AE320" i="4"/>
  <c r="AG320" i="4"/>
  <c r="AI320" i="4"/>
  <c r="AE321" i="4"/>
  <c r="AG321" i="4"/>
  <c r="AI321" i="4"/>
  <c r="AE322" i="4"/>
  <c r="AG322" i="4"/>
  <c r="AI322" i="4"/>
  <c r="AE323" i="4"/>
  <c r="AG323" i="4"/>
  <c r="AI323" i="4"/>
  <c r="AE324" i="4"/>
  <c r="AG324" i="4"/>
  <c r="AI324" i="4"/>
  <c r="AE325" i="4"/>
  <c r="AG325" i="4"/>
  <c r="AI325" i="4"/>
  <c r="AE326" i="4"/>
  <c r="AG326" i="4"/>
  <c r="AI326" i="4"/>
  <c r="AE327" i="4"/>
  <c r="AG327" i="4"/>
  <c r="AI327" i="4"/>
  <c r="AE328" i="4"/>
  <c r="AG328" i="4"/>
  <c r="AI328" i="4"/>
  <c r="AE329" i="4"/>
  <c r="AG329" i="4"/>
  <c r="AI329" i="4"/>
  <c r="AE330" i="4"/>
  <c r="AG330" i="4"/>
  <c r="AI330" i="4"/>
  <c r="AE331" i="4"/>
  <c r="AG331" i="4"/>
  <c r="AI331" i="4"/>
  <c r="AE332" i="4"/>
  <c r="AG332" i="4"/>
  <c r="AI332" i="4"/>
  <c r="AE333" i="4"/>
  <c r="AG333" i="4"/>
  <c r="AI333" i="4"/>
  <c r="AE334" i="4"/>
  <c r="AG334" i="4"/>
  <c r="AI334" i="4"/>
  <c r="AE335" i="4"/>
  <c r="AG335" i="4"/>
  <c r="AI335" i="4"/>
  <c r="AE336" i="4"/>
  <c r="AG336" i="4"/>
  <c r="AI336" i="4"/>
  <c r="AE337" i="4"/>
  <c r="AG337" i="4"/>
  <c r="AI337" i="4"/>
  <c r="AE338" i="4"/>
  <c r="AG338" i="4"/>
  <c r="AI338" i="4"/>
  <c r="AE339" i="4"/>
  <c r="AG339" i="4"/>
  <c r="AI339" i="4"/>
  <c r="AE340" i="4"/>
  <c r="AG340" i="4"/>
  <c r="AI340" i="4"/>
  <c r="AE341" i="4"/>
  <c r="AG341" i="4"/>
  <c r="AI341" i="4"/>
  <c r="AE342" i="4"/>
  <c r="AG342" i="4"/>
  <c r="AI342" i="4"/>
  <c r="AE343" i="4"/>
  <c r="AG343" i="4"/>
  <c r="AI343" i="4"/>
  <c r="AE344" i="4"/>
  <c r="AG344" i="4"/>
  <c r="AI344" i="4"/>
  <c r="AE345" i="4"/>
  <c r="AG345" i="4"/>
  <c r="AI345" i="4"/>
  <c r="AE346" i="4"/>
  <c r="AG346" i="4"/>
  <c r="AI346" i="4"/>
  <c r="AE347" i="4"/>
  <c r="AG347" i="4"/>
  <c r="AI347" i="4"/>
  <c r="AE348" i="4"/>
  <c r="AG348" i="4"/>
  <c r="AI348" i="4"/>
  <c r="AE349" i="4"/>
  <c r="AG349" i="4"/>
  <c r="AI349" i="4"/>
  <c r="AE350" i="4"/>
  <c r="AG350" i="4"/>
  <c r="AI350" i="4"/>
  <c r="AE351" i="4"/>
  <c r="AG351" i="4"/>
  <c r="AI351" i="4"/>
  <c r="AE352" i="4"/>
  <c r="AG352" i="4"/>
  <c r="AI352" i="4"/>
  <c r="AE353" i="4"/>
  <c r="AG353" i="4"/>
  <c r="AI353" i="4"/>
  <c r="AE354" i="4"/>
  <c r="AG354" i="4"/>
  <c r="AI354" i="4"/>
  <c r="AE355" i="4"/>
  <c r="AG355" i="4"/>
  <c r="AI355" i="4"/>
  <c r="AE356" i="4"/>
  <c r="AG356" i="4"/>
  <c r="AI356" i="4"/>
  <c r="AE357" i="4"/>
  <c r="AG357" i="4"/>
  <c r="AI357" i="4"/>
  <c r="AE358" i="4"/>
  <c r="AG358" i="4"/>
  <c r="AI358" i="4"/>
  <c r="AE359" i="4"/>
  <c r="AG359" i="4"/>
  <c r="AI359" i="4"/>
  <c r="AE360" i="4"/>
  <c r="AG360" i="4"/>
  <c r="AI360" i="4"/>
  <c r="AE361" i="4"/>
  <c r="AG361" i="4"/>
  <c r="AI361" i="4"/>
  <c r="AE362" i="4"/>
  <c r="AG362" i="4"/>
  <c r="AI362" i="4"/>
  <c r="AE363" i="4"/>
  <c r="AG363" i="4"/>
  <c r="AI363" i="4"/>
  <c r="AE364" i="4"/>
  <c r="AG364" i="4"/>
  <c r="AI364" i="4"/>
  <c r="AE365" i="4"/>
  <c r="AG365" i="4"/>
  <c r="AI365" i="4"/>
  <c r="AE366" i="4"/>
  <c r="AG366" i="4"/>
  <c r="AI366" i="4"/>
  <c r="AE367" i="4"/>
  <c r="AG367" i="4"/>
  <c r="AI367" i="4"/>
  <c r="AE368" i="4"/>
  <c r="AG368" i="4"/>
  <c r="AI368" i="4"/>
  <c r="AE369" i="4"/>
  <c r="AG369" i="4"/>
  <c r="AI369" i="4"/>
  <c r="AE370" i="4"/>
  <c r="AG370" i="4"/>
  <c r="AI370" i="4"/>
  <c r="AE371" i="4"/>
  <c r="AG371" i="4"/>
  <c r="AI371" i="4"/>
  <c r="AE372" i="4"/>
  <c r="AG372" i="4"/>
  <c r="AI372" i="4"/>
  <c r="AE373" i="4"/>
  <c r="AG373" i="4"/>
  <c r="AI373" i="4"/>
  <c r="AE374" i="4"/>
  <c r="AG374" i="4"/>
  <c r="AI374" i="4"/>
  <c r="AE375" i="4"/>
  <c r="AG375" i="4"/>
  <c r="AI375" i="4"/>
  <c r="AE376" i="4"/>
  <c r="AG376" i="4"/>
  <c r="AI376" i="4"/>
  <c r="AE377" i="4"/>
  <c r="AG377" i="4"/>
  <c r="AI377" i="4"/>
  <c r="AE378" i="4"/>
  <c r="AG378" i="4"/>
  <c r="AI378" i="4"/>
  <c r="AE379" i="4"/>
  <c r="AG379" i="4"/>
  <c r="AI379" i="4"/>
  <c r="AE380" i="4"/>
  <c r="AG380" i="4"/>
  <c r="AI380" i="4"/>
  <c r="AE381" i="4"/>
  <c r="AG381" i="4"/>
  <c r="AI381" i="4"/>
  <c r="AE382" i="4"/>
  <c r="AG382" i="4"/>
  <c r="AI382" i="4"/>
  <c r="AE383" i="4"/>
  <c r="AG383" i="4"/>
  <c r="AI383" i="4"/>
  <c r="AE384" i="4"/>
  <c r="AG384" i="4"/>
  <c r="AI384" i="4"/>
  <c r="AE385" i="4"/>
  <c r="AG385" i="4"/>
  <c r="AI385" i="4"/>
  <c r="AE386" i="4"/>
  <c r="AG386" i="4"/>
  <c r="AI386" i="4"/>
  <c r="AE387" i="4"/>
  <c r="AG387" i="4"/>
  <c r="AI387" i="4"/>
  <c r="AE388" i="4"/>
  <c r="AG388" i="4"/>
  <c r="AI388" i="4"/>
  <c r="AE389" i="4"/>
  <c r="AG389" i="4"/>
  <c r="AI389" i="4"/>
  <c r="AE390" i="4"/>
  <c r="AG390" i="4"/>
  <c r="AI390" i="4"/>
  <c r="AE391" i="4"/>
  <c r="AG391" i="4"/>
  <c r="AI391" i="4"/>
  <c r="AE392" i="4"/>
  <c r="AG392" i="4"/>
  <c r="AI392" i="4"/>
  <c r="AE393" i="4"/>
  <c r="AG393" i="4"/>
  <c r="AI393" i="4"/>
  <c r="AE394" i="4"/>
  <c r="AG394" i="4"/>
  <c r="AI394" i="4"/>
  <c r="AE395" i="4"/>
  <c r="AG395" i="4"/>
  <c r="AI395" i="4"/>
  <c r="AE396" i="4"/>
  <c r="AG396" i="4"/>
  <c r="AI396" i="4"/>
  <c r="AE397" i="4"/>
  <c r="AG397" i="4"/>
  <c r="AI397" i="4"/>
  <c r="AE398" i="4"/>
  <c r="AG398" i="4"/>
  <c r="AI398" i="4"/>
  <c r="AE399" i="4"/>
  <c r="AG399" i="4"/>
  <c r="AI399" i="4"/>
  <c r="AE400" i="4"/>
  <c r="AG400" i="4"/>
  <c r="AI400" i="4"/>
  <c r="AE401" i="4"/>
  <c r="AG401" i="4"/>
  <c r="AI401" i="4"/>
  <c r="AE402" i="4"/>
  <c r="AG402" i="4"/>
  <c r="AI402" i="4"/>
  <c r="AE403" i="4"/>
  <c r="AG403" i="4"/>
  <c r="AI403" i="4"/>
  <c r="AE404" i="4"/>
  <c r="AG404" i="4"/>
  <c r="AI404" i="4"/>
  <c r="AE405" i="4"/>
  <c r="AG405" i="4"/>
  <c r="AI405" i="4"/>
  <c r="AE406" i="4"/>
  <c r="AG406" i="4"/>
  <c r="AI406" i="4"/>
  <c r="AE407" i="4"/>
  <c r="AG407" i="4"/>
  <c r="AI407" i="4"/>
  <c r="AE408" i="4"/>
  <c r="AG408" i="4"/>
  <c r="AI408" i="4"/>
  <c r="AE409" i="4"/>
  <c r="AG409" i="4"/>
  <c r="AI409" i="4"/>
  <c r="AE410" i="4"/>
  <c r="AG410" i="4"/>
  <c r="AI410" i="4"/>
  <c r="AE411" i="4"/>
  <c r="AG411" i="4"/>
  <c r="AI411" i="4"/>
  <c r="AE412" i="4"/>
  <c r="AG412" i="4"/>
  <c r="AI412" i="4"/>
  <c r="AE413" i="4"/>
  <c r="AG413" i="4"/>
  <c r="AI413" i="4"/>
  <c r="AE414" i="4"/>
  <c r="AG414" i="4"/>
  <c r="AI414" i="4"/>
  <c r="AE415" i="4"/>
  <c r="AG415" i="4"/>
  <c r="AI415" i="4"/>
  <c r="AE416" i="4"/>
  <c r="AG416" i="4"/>
  <c r="AI416" i="4"/>
  <c r="AE417" i="4"/>
  <c r="AG417" i="4"/>
  <c r="AI417" i="4"/>
  <c r="AE418" i="4"/>
  <c r="AG418" i="4"/>
  <c r="AI418" i="4"/>
  <c r="AE419" i="4"/>
  <c r="AG419" i="4"/>
  <c r="AI419" i="4"/>
  <c r="AE420" i="4"/>
  <c r="AG420" i="4"/>
  <c r="AI420" i="4"/>
  <c r="AE421" i="4"/>
  <c r="AG421" i="4"/>
  <c r="AI421" i="4"/>
  <c r="AE422" i="4"/>
  <c r="AG422" i="4"/>
  <c r="AI422" i="4"/>
  <c r="AE423" i="4"/>
  <c r="AG423" i="4"/>
  <c r="AI423" i="4"/>
  <c r="AE424" i="4"/>
  <c r="AG424" i="4"/>
  <c r="AI424" i="4"/>
  <c r="AE425" i="4"/>
  <c r="AG425" i="4"/>
  <c r="AI425" i="4"/>
  <c r="AE426" i="4"/>
  <c r="AG426" i="4"/>
  <c r="AI426" i="4"/>
  <c r="AE427" i="4"/>
  <c r="AG427" i="4"/>
  <c r="AI427" i="4"/>
  <c r="AE428" i="4"/>
  <c r="AG428" i="4"/>
  <c r="AI428" i="4"/>
  <c r="AE429" i="4"/>
  <c r="AG429" i="4"/>
  <c r="AI429" i="4"/>
  <c r="AE430" i="4"/>
  <c r="AG430" i="4"/>
  <c r="AI430" i="4"/>
  <c r="AE431" i="4"/>
  <c r="AG431" i="4"/>
  <c r="AI431" i="4"/>
  <c r="AE432" i="4"/>
  <c r="AG432" i="4"/>
  <c r="AI432" i="4"/>
  <c r="AE433" i="4"/>
  <c r="AG433" i="4"/>
  <c r="AI433" i="4"/>
  <c r="AE434" i="4"/>
  <c r="AG434" i="4"/>
  <c r="AI434" i="4"/>
  <c r="AE435" i="4"/>
  <c r="AG435" i="4"/>
  <c r="AI435" i="4"/>
  <c r="AE436" i="4"/>
  <c r="AG436" i="4"/>
  <c r="AI436" i="4"/>
  <c r="AE437" i="4"/>
  <c r="AG437" i="4"/>
  <c r="AI437" i="4"/>
  <c r="AE438" i="4"/>
  <c r="AG438" i="4"/>
  <c r="AI438" i="4"/>
  <c r="AE439" i="4"/>
  <c r="AG439" i="4"/>
  <c r="AI439" i="4"/>
  <c r="AE440" i="4"/>
  <c r="AG440" i="4"/>
  <c r="AI440" i="4"/>
  <c r="AE441" i="4"/>
  <c r="AG441" i="4"/>
  <c r="AI441" i="4"/>
  <c r="AE442" i="4"/>
  <c r="AG442" i="4"/>
  <c r="AI442" i="4"/>
  <c r="AE443" i="4"/>
  <c r="AG443" i="4"/>
  <c r="AI443" i="4"/>
  <c r="AE444" i="4"/>
  <c r="AG444" i="4"/>
  <c r="AI444" i="4"/>
  <c r="AE445" i="4"/>
  <c r="AG445" i="4"/>
  <c r="AI445" i="4"/>
  <c r="AE446" i="4"/>
  <c r="AG446" i="4"/>
  <c r="AI446" i="4"/>
  <c r="AE447" i="4"/>
  <c r="AG447" i="4"/>
  <c r="AI447" i="4"/>
  <c r="AE448" i="4"/>
  <c r="AG448" i="4"/>
  <c r="AI448" i="4"/>
  <c r="AE449" i="4"/>
  <c r="AG449" i="4"/>
  <c r="AI449" i="4"/>
  <c r="AE450" i="4"/>
  <c r="AG450" i="4"/>
  <c r="AI450" i="4"/>
  <c r="AE451" i="4"/>
  <c r="AG451" i="4"/>
  <c r="AI451" i="4"/>
  <c r="AE452" i="4"/>
  <c r="AG452" i="4"/>
  <c r="AI452" i="4"/>
  <c r="AE453" i="4"/>
  <c r="AG453" i="4"/>
  <c r="AI453" i="4"/>
  <c r="AE454" i="4"/>
  <c r="AG454" i="4"/>
  <c r="AI454" i="4"/>
  <c r="AE455" i="4"/>
  <c r="AG455" i="4"/>
  <c r="AI455" i="4"/>
  <c r="AE456" i="4"/>
  <c r="AG456" i="4"/>
  <c r="AI456" i="4"/>
  <c r="AE457" i="4"/>
  <c r="AG457" i="4"/>
  <c r="AI457" i="4"/>
  <c r="AE458" i="4"/>
  <c r="AG458" i="4"/>
  <c r="AI458" i="4"/>
  <c r="AE459" i="4"/>
  <c r="AG459" i="4"/>
  <c r="AI459" i="4"/>
  <c r="AE460" i="4"/>
  <c r="AG460" i="4"/>
  <c r="AI460" i="4"/>
  <c r="AE461" i="4"/>
  <c r="AG461" i="4"/>
  <c r="AI461" i="4"/>
  <c r="AE462" i="4"/>
  <c r="AG462" i="4"/>
  <c r="AI462" i="4"/>
  <c r="AE463" i="4"/>
  <c r="AG463" i="4"/>
  <c r="AI463" i="4"/>
  <c r="AE464" i="4"/>
  <c r="AG464" i="4"/>
  <c r="AI464" i="4"/>
  <c r="AE465" i="4"/>
  <c r="AG465" i="4"/>
  <c r="AI465" i="4"/>
  <c r="AE466" i="4"/>
  <c r="AG466" i="4"/>
  <c r="AI466" i="4"/>
  <c r="AE467" i="4"/>
  <c r="AG467" i="4"/>
  <c r="AI467" i="4"/>
  <c r="AE468" i="4"/>
  <c r="AG468" i="4"/>
  <c r="AI468" i="4"/>
  <c r="AE469" i="4"/>
  <c r="AG469" i="4"/>
  <c r="AI469" i="4"/>
  <c r="AE470" i="4"/>
  <c r="AG470" i="4"/>
  <c r="AI470" i="4"/>
  <c r="AE471" i="4"/>
  <c r="AG471" i="4"/>
  <c r="AI471" i="4"/>
  <c r="AE472" i="4"/>
  <c r="AG472" i="4"/>
  <c r="AI472" i="4"/>
  <c r="AE473" i="4"/>
  <c r="AG473" i="4"/>
  <c r="AI473" i="4"/>
  <c r="AE474" i="4"/>
  <c r="AG474" i="4"/>
  <c r="AI474" i="4"/>
  <c r="AE475" i="4"/>
  <c r="AG475" i="4"/>
  <c r="AI475" i="4"/>
  <c r="AE476" i="4"/>
  <c r="AG476" i="4"/>
  <c r="AI476" i="4"/>
  <c r="AE477" i="4"/>
  <c r="AG477" i="4"/>
  <c r="AI477" i="4"/>
  <c r="AE478" i="4"/>
  <c r="AG478" i="4"/>
  <c r="AI478" i="4"/>
  <c r="AE479" i="4"/>
  <c r="AG479" i="4"/>
  <c r="AI479" i="4"/>
  <c r="AE480" i="4"/>
  <c r="AG480" i="4"/>
  <c r="AI480" i="4"/>
  <c r="AE481" i="4"/>
  <c r="AG481" i="4"/>
  <c r="AI481" i="4"/>
  <c r="AE482" i="4"/>
  <c r="AG482" i="4"/>
  <c r="AI482" i="4"/>
  <c r="AE483" i="4"/>
  <c r="AG483" i="4"/>
  <c r="AI483" i="4"/>
  <c r="AE484" i="4"/>
  <c r="AG484" i="4"/>
  <c r="AI484" i="4"/>
  <c r="AE485" i="4"/>
  <c r="AG485" i="4"/>
  <c r="AI485" i="4"/>
  <c r="AE486" i="4"/>
  <c r="AG486" i="4"/>
  <c r="AI486" i="4"/>
  <c r="AE487" i="4"/>
  <c r="AG487" i="4"/>
  <c r="AI487" i="4"/>
  <c r="AE488" i="4"/>
  <c r="AG488" i="4"/>
  <c r="AI488" i="4"/>
  <c r="AE489" i="4"/>
  <c r="AG489" i="4"/>
  <c r="AI489" i="4"/>
  <c r="AE490" i="4"/>
  <c r="AG490" i="4"/>
  <c r="AI490" i="4"/>
  <c r="AE491" i="4"/>
  <c r="AG491" i="4"/>
  <c r="AI491" i="4"/>
  <c r="AE492" i="4"/>
  <c r="AG492" i="4"/>
  <c r="AI492" i="4"/>
  <c r="AE493" i="4"/>
  <c r="AG493" i="4"/>
  <c r="AI493" i="4"/>
  <c r="AE494" i="4"/>
  <c r="AG494" i="4"/>
  <c r="AI494" i="4"/>
  <c r="AE495" i="4"/>
  <c r="AG495" i="4"/>
  <c r="AI495" i="4"/>
  <c r="AE496" i="4"/>
  <c r="AG496" i="4"/>
  <c r="AI496" i="4"/>
  <c r="AE497" i="4"/>
  <c r="AG497" i="4"/>
  <c r="AI497" i="4"/>
  <c r="AE498" i="4"/>
  <c r="AG498" i="4"/>
  <c r="AI498" i="4"/>
  <c r="AE499" i="4"/>
  <c r="AG499" i="4"/>
  <c r="AI499" i="4"/>
  <c r="AE500" i="4"/>
  <c r="AG500" i="4"/>
  <c r="AI500" i="4"/>
  <c r="AE501" i="4"/>
  <c r="AG501" i="4"/>
  <c r="AI501" i="4"/>
  <c r="AE502" i="4"/>
  <c r="AG502" i="4"/>
  <c r="AI502" i="4"/>
  <c r="AE503" i="4"/>
  <c r="AG503" i="4"/>
  <c r="AI503" i="4"/>
  <c r="AE504" i="4"/>
  <c r="AG504" i="4"/>
  <c r="AI504" i="4"/>
  <c r="AE505" i="4"/>
  <c r="AG505" i="4"/>
  <c r="AI505" i="4"/>
  <c r="AE506" i="4"/>
  <c r="AG506" i="4"/>
  <c r="AI506" i="4"/>
  <c r="AE507" i="4"/>
  <c r="AG507" i="4"/>
  <c r="AI507" i="4"/>
  <c r="AE508" i="4"/>
  <c r="AG508" i="4"/>
  <c r="AI508" i="4"/>
  <c r="AE509" i="4"/>
  <c r="AG509" i="4"/>
  <c r="AI509" i="4"/>
  <c r="AE510" i="4"/>
  <c r="AG510" i="4"/>
  <c r="AI510" i="4"/>
  <c r="AE511" i="4"/>
  <c r="AG511" i="4"/>
  <c r="AI511" i="4"/>
  <c r="AE512" i="4"/>
  <c r="AG512" i="4"/>
  <c r="AI512" i="4"/>
  <c r="AE513" i="4"/>
  <c r="AG513" i="4"/>
  <c r="AI513" i="4"/>
  <c r="AE514" i="4"/>
  <c r="AG514" i="4"/>
  <c r="AI514" i="4"/>
  <c r="AE515" i="4"/>
  <c r="AG515" i="4"/>
  <c r="AI515" i="4"/>
  <c r="AE516" i="4"/>
  <c r="AG516" i="4"/>
  <c r="AI516" i="4"/>
  <c r="AE517" i="4"/>
  <c r="AG517" i="4"/>
  <c r="AI517" i="4"/>
  <c r="AE518" i="4"/>
  <c r="AG518" i="4"/>
  <c r="AI518" i="4"/>
  <c r="AE519" i="4"/>
  <c r="AG519" i="4"/>
  <c r="AI519" i="4"/>
  <c r="AE520" i="4"/>
  <c r="AG520" i="4"/>
  <c r="AI520" i="4"/>
  <c r="AE521" i="4"/>
  <c r="AG521" i="4"/>
  <c r="AI521" i="4"/>
  <c r="AE522" i="4"/>
  <c r="AG522" i="4"/>
  <c r="AI522" i="4"/>
  <c r="AE523" i="4"/>
  <c r="AG523" i="4"/>
  <c r="AI523" i="4"/>
  <c r="AE524" i="4"/>
  <c r="AG524" i="4"/>
  <c r="AI524" i="4"/>
  <c r="AE525" i="4"/>
  <c r="AG525" i="4"/>
  <c r="AI525" i="4"/>
  <c r="AE526" i="4"/>
  <c r="AG526" i="4"/>
  <c r="AI526" i="4"/>
  <c r="AE527" i="4"/>
  <c r="AG527" i="4"/>
  <c r="AI527" i="4"/>
  <c r="AE528" i="4"/>
  <c r="AG528" i="4"/>
  <c r="AI528" i="4"/>
  <c r="AE529" i="4"/>
  <c r="AG529" i="4"/>
  <c r="AI529" i="4"/>
  <c r="AE530" i="4"/>
  <c r="AG530" i="4"/>
  <c r="AI530" i="4"/>
  <c r="AE531" i="4"/>
  <c r="AG531" i="4"/>
  <c r="AI531" i="4"/>
  <c r="AE532" i="4"/>
  <c r="AG532" i="4"/>
  <c r="AI532" i="4"/>
  <c r="AE533" i="4"/>
  <c r="AG533" i="4"/>
  <c r="AI533" i="4"/>
  <c r="AE534" i="4"/>
  <c r="AG534" i="4"/>
  <c r="AI534" i="4"/>
  <c r="AE535" i="4"/>
  <c r="AG535" i="4"/>
  <c r="AI535" i="4"/>
  <c r="AE536" i="4"/>
  <c r="AG536" i="4"/>
  <c r="AI536" i="4"/>
  <c r="AE537" i="4"/>
  <c r="AG537" i="4"/>
  <c r="AI537" i="4"/>
  <c r="AE538" i="4"/>
  <c r="AG538" i="4"/>
  <c r="AI538" i="4"/>
  <c r="AE539" i="4"/>
  <c r="AG539" i="4"/>
  <c r="AI539" i="4"/>
  <c r="AE540" i="4"/>
  <c r="AG540" i="4"/>
  <c r="AI540" i="4"/>
  <c r="AE541" i="4"/>
  <c r="AG541" i="4"/>
  <c r="AI541" i="4"/>
  <c r="AE542" i="4"/>
  <c r="AG542" i="4"/>
  <c r="AI542" i="4"/>
  <c r="AE543" i="4"/>
  <c r="AG543" i="4"/>
  <c r="AI543" i="4"/>
  <c r="AE544" i="4"/>
  <c r="AG544" i="4"/>
  <c r="AI544" i="4"/>
  <c r="AE545" i="4"/>
  <c r="AG545" i="4"/>
  <c r="AI545" i="4"/>
  <c r="AE546" i="4"/>
  <c r="AG546" i="4"/>
  <c r="AI546" i="4"/>
  <c r="AE547" i="4"/>
  <c r="AG547" i="4"/>
  <c r="AI547" i="4"/>
  <c r="AE548" i="4"/>
  <c r="AG548" i="4"/>
  <c r="AI548" i="4"/>
  <c r="AE549" i="4"/>
  <c r="AG549" i="4"/>
  <c r="AI549" i="4"/>
  <c r="AE550" i="4"/>
  <c r="AG550" i="4"/>
  <c r="AI550" i="4"/>
  <c r="AE551" i="4"/>
  <c r="AG551" i="4"/>
  <c r="AI551" i="4"/>
  <c r="AE552" i="4"/>
  <c r="AG552" i="4"/>
  <c r="AI552" i="4"/>
  <c r="AE553" i="4"/>
  <c r="AG553" i="4"/>
  <c r="AI553" i="4"/>
  <c r="AE554" i="4"/>
  <c r="AG554" i="4"/>
  <c r="AI554" i="4"/>
  <c r="AE555" i="4"/>
  <c r="AG555" i="4"/>
  <c r="AI555" i="4"/>
  <c r="AE556" i="4"/>
  <c r="AG556" i="4"/>
  <c r="AI556" i="4"/>
  <c r="AE557" i="4"/>
  <c r="AG557" i="4"/>
  <c r="AI557" i="4"/>
  <c r="AE558" i="4"/>
  <c r="AG558" i="4"/>
  <c r="AI558" i="4"/>
  <c r="AE559" i="4"/>
  <c r="AG559" i="4"/>
  <c r="AI559" i="4"/>
  <c r="AE560" i="4"/>
  <c r="AG560" i="4"/>
  <c r="AI560" i="4"/>
  <c r="AE561" i="4"/>
  <c r="AG561" i="4"/>
  <c r="AI561" i="4"/>
  <c r="AE562" i="4"/>
  <c r="AG562" i="4"/>
  <c r="AI562" i="4"/>
  <c r="AE563" i="4"/>
  <c r="AG563" i="4"/>
  <c r="AI563" i="4"/>
  <c r="AE564" i="4"/>
  <c r="AG564" i="4"/>
  <c r="AI564" i="4"/>
  <c r="AE565" i="4"/>
  <c r="AG565" i="4"/>
  <c r="AI565" i="4"/>
  <c r="AE566" i="4"/>
  <c r="AG566" i="4"/>
  <c r="AI566" i="4"/>
  <c r="AE567" i="4"/>
  <c r="AG567" i="4"/>
  <c r="AI567" i="4"/>
  <c r="AE568" i="4"/>
  <c r="AG568" i="4"/>
  <c r="AI568" i="4"/>
  <c r="AE569" i="4"/>
  <c r="AG569" i="4"/>
  <c r="AI569" i="4"/>
  <c r="AE570" i="4"/>
  <c r="AG570" i="4"/>
  <c r="AI570" i="4"/>
  <c r="AE571" i="4"/>
  <c r="AG571" i="4"/>
  <c r="AI571" i="4"/>
  <c r="AE572" i="4"/>
  <c r="AG572" i="4"/>
  <c r="AI572" i="4"/>
  <c r="AE573" i="4"/>
  <c r="AG573" i="4"/>
  <c r="AI573" i="4"/>
  <c r="AE574" i="4"/>
  <c r="AG574" i="4"/>
  <c r="AI574" i="4"/>
  <c r="AE575" i="4"/>
  <c r="AG575" i="4"/>
  <c r="AI575" i="4"/>
  <c r="AE576" i="4"/>
  <c r="AG576" i="4"/>
  <c r="AI576" i="4"/>
  <c r="AE577" i="4"/>
  <c r="AG577" i="4"/>
  <c r="AI577" i="4"/>
  <c r="AE578" i="4"/>
  <c r="AG578" i="4"/>
  <c r="AI578" i="4"/>
  <c r="AE579" i="4"/>
  <c r="AG579" i="4"/>
  <c r="AI579" i="4"/>
  <c r="AE580" i="4"/>
  <c r="AG580" i="4"/>
  <c r="AI580" i="4"/>
  <c r="AE581" i="4"/>
  <c r="AG581" i="4"/>
  <c r="AI581" i="4"/>
  <c r="AE582" i="4"/>
  <c r="AG582" i="4"/>
  <c r="AI582" i="4"/>
  <c r="AE583" i="4"/>
  <c r="AG583" i="4"/>
  <c r="AI583" i="4"/>
  <c r="AE584" i="4"/>
  <c r="AG584" i="4"/>
  <c r="AI584" i="4"/>
  <c r="AE585" i="4"/>
  <c r="AG585" i="4"/>
  <c r="AI585" i="4"/>
  <c r="AE586" i="4"/>
  <c r="AG586" i="4"/>
  <c r="AI586" i="4"/>
  <c r="AE587" i="4"/>
  <c r="AG587" i="4"/>
  <c r="AI587" i="4"/>
  <c r="AE588" i="4"/>
  <c r="AG588" i="4"/>
  <c r="AI588" i="4"/>
  <c r="AE589" i="4"/>
  <c r="AG589" i="4"/>
  <c r="AI589" i="4"/>
  <c r="AE590" i="4"/>
  <c r="AG590" i="4"/>
  <c r="AI590" i="4"/>
  <c r="AE591" i="4"/>
  <c r="AG591" i="4"/>
  <c r="AI591" i="4"/>
  <c r="AE592" i="4"/>
  <c r="AG592" i="4"/>
  <c r="AI592" i="4"/>
  <c r="AE593" i="4"/>
  <c r="AG593" i="4"/>
  <c r="AI593" i="4"/>
  <c r="AE594" i="4"/>
  <c r="AG594" i="4"/>
  <c r="AI594" i="4"/>
  <c r="AE595" i="4"/>
  <c r="AG595" i="4"/>
  <c r="AI595" i="4"/>
  <c r="AE596" i="4"/>
  <c r="AG596" i="4"/>
  <c r="AI596" i="4"/>
  <c r="AE597" i="4"/>
  <c r="AG597" i="4"/>
  <c r="AI597" i="4"/>
  <c r="AE598" i="4"/>
  <c r="AG598" i="4"/>
  <c r="AI598" i="4"/>
  <c r="AE599" i="4"/>
  <c r="AG599" i="4"/>
  <c r="AI599" i="4"/>
  <c r="AE600" i="4"/>
  <c r="AG600" i="4"/>
  <c r="AI600" i="4"/>
  <c r="AE601" i="4"/>
  <c r="AG601" i="4"/>
  <c r="AI601" i="4"/>
  <c r="AE602" i="4"/>
  <c r="AG602" i="4"/>
  <c r="AI602" i="4"/>
  <c r="AE603" i="4"/>
  <c r="AG603" i="4"/>
  <c r="AI603" i="4"/>
  <c r="AE604" i="4"/>
  <c r="AG604" i="4"/>
  <c r="AI604" i="4"/>
  <c r="AN7" i="4"/>
  <c r="AP7" i="4"/>
  <c r="AR7" i="4"/>
  <c r="AN8" i="4"/>
  <c r="AP8" i="4"/>
  <c r="AR8" i="4"/>
  <c r="AN9" i="4"/>
  <c r="AP9" i="4"/>
  <c r="AR9" i="4"/>
  <c r="AN10" i="4"/>
  <c r="AP10" i="4"/>
  <c r="AR10" i="4"/>
  <c r="AN11" i="4"/>
  <c r="AP11" i="4"/>
  <c r="AR11" i="4"/>
  <c r="AN12" i="4"/>
  <c r="AP12" i="4"/>
  <c r="AR12" i="4"/>
  <c r="AN13" i="4"/>
  <c r="AP13" i="4"/>
  <c r="AR13" i="4"/>
  <c r="AN14" i="4"/>
  <c r="AP14" i="4"/>
  <c r="AR14" i="4"/>
  <c r="AN15" i="4"/>
  <c r="AP15" i="4"/>
  <c r="AR15" i="4"/>
  <c r="AN16" i="4"/>
  <c r="AP16" i="4"/>
  <c r="AR16" i="4"/>
  <c r="AN17" i="4"/>
  <c r="AP17" i="4"/>
  <c r="AR17" i="4"/>
  <c r="AN18" i="4"/>
  <c r="AP18" i="4"/>
  <c r="AR18" i="4"/>
  <c r="AN19" i="4"/>
  <c r="AP19" i="4"/>
  <c r="AR19" i="4"/>
  <c r="AN20" i="4"/>
  <c r="AP20" i="4"/>
  <c r="AR20" i="4"/>
  <c r="AN21" i="4"/>
  <c r="AP21" i="4"/>
  <c r="AR21" i="4"/>
  <c r="AN22" i="4"/>
  <c r="AP22" i="4"/>
  <c r="AR22" i="4"/>
  <c r="AN23" i="4"/>
  <c r="AP23" i="4"/>
  <c r="AR23" i="4"/>
  <c r="AN24" i="4"/>
  <c r="AP24" i="4"/>
  <c r="AR24" i="4"/>
  <c r="AN25" i="4"/>
  <c r="AP25" i="4"/>
  <c r="AR25" i="4"/>
  <c r="AN26" i="4"/>
  <c r="AP26" i="4"/>
  <c r="AR26" i="4"/>
  <c r="AN27" i="4"/>
  <c r="AP27" i="4"/>
  <c r="AR27" i="4"/>
  <c r="AN28" i="4"/>
  <c r="AP28" i="4"/>
  <c r="AR28" i="4"/>
  <c r="AN29" i="4"/>
  <c r="AP29" i="4"/>
  <c r="AR29" i="4"/>
  <c r="AN30" i="4"/>
  <c r="AP30" i="4"/>
  <c r="AR30" i="4"/>
  <c r="AN31" i="4"/>
  <c r="AP31" i="4"/>
  <c r="AR31" i="4"/>
  <c r="AN32" i="4"/>
  <c r="AP32" i="4"/>
  <c r="AR32" i="4"/>
  <c r="AN33" i="4"/>
  <c r="AP33" i="4"/>
  <c r="AR33" i="4"/>
  <c r="AN34" i="4"/>
  <c r="AP34" i="4"/>
  <c r="AR34" i="4"/>
  <c r="AN35" i="4"/>
  <c r="AP35" i="4"/>
  <c r="AR35" i="4"/>
  <c r="AN36" i="4"/>
  <c r="AP36" i="4"/>
  <c r="AR36" i="4"/>
  <c r="AN37" i="4"/>
  <c r="AP37" i="4"/>
  <c r="AR37" i="4"/>
  <c r="AN38" i="4"/>
  <c r="AP38" i="4"/>
  <c r="AR38" i="4"/>
  <c r="AN39" i="4"/>
  <c r="AP39" i="4"/>
  <c r="AR39" i="4"/>
  <c r="AN40" i="4"/>
  <c r="AP40" i="4"/>
  <c r="AR40" i="4"/>
  <c r="AN41" i="4"/>
  <c r="AP41" i="4"/>
  <c r="AR41" i="4"/>
  <c r="AN42" i="4"/>
  <c r="AP42" i="4"/>
  <c r="AR42" i="4"/>
  <c r="AN43" i="4"/>
  <c r="AP43" i="4"/>
  <c r="AR43" i="4"/>
  <c r="AN44" i="4"/>
  <c r="AP44" i="4"/>
  <c r="AR44" i="4"/>
  <c r="AN45" i="4"/>
  <c r="AP45" i="4"/>
  <c r="AR45" i="4"/>
  <c r="AN46" i="4"/>
  <c r="AP46" i="4"/>
  <c r="AR46" i="4"/>
  <c r="AN47" i="4"/>
  <c r="AP47" i="4"/>
  <c r="AR47" i="4"/>
  <c r="AN48" i="4"/>
  <c r="AP48" i="4"/>
  <c r="AR48" i="4"/>
  <c r="AN49" i="4"/>
  <c r="AP49" i="4"/>
  <c r="AR49" i="4"/>
  <c r="AN50" i="4"/>
  <c r="AP50" i="4"/>
  <c r="AR50" i="4"/>
  <c r="AN51" i="4"/>
  <c r="AP51" i="4"/>
  <c r="AR51" i="4"/>
  <c r="AN52" i="4"/>
  <c r="AP52" i="4"/>
  <c r="AR52" i="4"/>
  <c r="AN53" i="4"/>
  <c r="AP53" i="4"/>
  <c r="AR53" i="4"/>
  <c r="AN54" i="4"/>
  <c r="AP54" i="4"/>
  <c r="AR54" i="4"/>
  <c r="AN55" i="4"/>
  <c r="AP55" i="4"/>
  <c r="AR55" i="4"/>
  <c r="AN56" i="4"/>
  <c r="AP56" i="4"/>
  <c r="AR56" i="4"/>
  <c r="AN57" i="4"/>
  <c r="AP57" i="4"/>
  <c r="AR57" i="4"/>
  <c r="AN58" i="4"/>
  <c r="AP58" i="4"/>
  <c r="AR58" i="4"/>
  <c r="AN59" i="4"/>
  <c r="AP59" i="4"/>
  <c r="AR59" i="4"/>
  <c r="AN60" i="4"/>
  <c r="AP60" i="4"/>
  <c r="AR60" i="4"/>
  <c r="AN61" i="4"/>
  <c r="AP61" i="4"/>
  <c r="AR61" i="4"/>
  <c r="AN62" i="4"/>
  <c r="AP62" i="4"/>
  <c r="AR62" i="4"/>
  <c r="AN63" i="4"/>
  <c r="AP63" i="4"/>
  <c r="AR63" i="4"/>
  <c r="AN64" i="4"/>
  <c r="AP64" i="4"/>
  <c r="AR64" i="4"/>
  <c r="AN65" i="4"/>
  <c r="AP65" i="4"/>
  <c r="AR65" i="4"/>
  <c r="AN66" i="4"/>
  <c r="AP66" i="4"/>
  <c r="AR66" i="4"/>
  <c r="AN67" i="4"/>
  <c r="AP67" i="4"/>
  <c r="AR67" i="4"/>
  <c r="AN68" i="4"/>
  <c r="AP68" i="4"/>
  <c r="AR68" i="4"/>
  <c r="AN69" i="4"/>
  <c r="AP69" i="4"/>
  <c r="AR69" i="4"/>
  <c r="AN70" i="4"/>
  <c r="AP70" i="4"/>
  <c r="AR70" i="4"/>
  <c r="AN71" i="4"/>
  <c r="AP71" i="4"/>
  <c r="AR71" i="4"/>
  <c r="AN72" i="4"/>
  <c r="AP72" i="4"/>
  <c r="AR72" i="4"/>
  <c r="AN73" i="4"/>
  <c r="AP73" i="4"/>
  <c r="AR73" i="4"/>
  <c r="AN74" i="4"/>
  <c r="AP74" i="4"/>
  <c r="AR74" i="4"/>
  <c r="AN75" i="4"/>
  <c r="AP75" i="4"/>
  <c r="AR75" i="4"/>
  <c r="AN76" i="4"/>
  <c r="AP76" i="4"/>
  <c r="AR76" i="4"/>
  <c r="AN77" i="4"/>
  <c r="AP77" i="4"/>
  <c r="AR77" i="4"/>
  <c r="AN78" i="4"/>
  <c r="AP78" i="4"/>
  <c r="AR78" i="4"/>
  <c r="AN79" i="4"/>
  <c r="AP79" i="4"/>
  <c r="AR79" i="4"/>
  <c r="AN80" i="4"/>
  <c r="AP80" i="4"/>
  <c r="AR80" i="4"/>
  <c r="AN81" i="4"/>
  <c r="AP81" i="4"/>
  <c r="AR81" i="4"/>
  <c r="AN82" i="4"/>
  <c r="AP82" i="4"/>
  <c r="AR82" i="4"/>
  <c r="AN83" i="4"/>
  <c r="AP83" i="4"/>
  <c r="AR83" i="4"/>
  <c r="AN84" i="4"/>
  <c r="AP84" i="4"/>
  <c r="AR84" i="4"/>
  <c r="AN85" i="4"/>
  <c r="AP85" i="4"/>
  <c r="AR85" i="4"/>
  <c r="AN86" i="4"/>
  <c r="AP86" i="4"/>
  <c r="AR86" i="4"/>
  <c r="AN87" i="4"/>
  <c r="AP87" i="4"/>
  <c r="AR87" i="4"/>
  <c r="AN88" i="4"/>
  <c r="AP88" i="4"/>
  <c r="AR88" i="4"/>
  <c r="AN89" i="4"/>
  <c r="AP89" i="4"/>
  <c r="AR89" i="4"/>
  <c r="AN90" i="4"/>
  <c r="AP90" i="4"/>
  <c r="AR90" i="4"/>
  <c r="AN91" i="4"/>
  <c r="AP91" i="4"/>
  <c r="AR91" i="4"/>
  <c r="AN92" i="4"/>
  <c r="AP92" i="4"/>
  <c r="AR92" i="4"/>
  <c r="AN93" i="4"/>
  <c r="AP93" i="4"/>
  <c r="AR93" i="4"/>
  <c r="AN94" i="4"/>
  <c r="AP94" i="4"/>
  <c r="AR94" i="4"/>
  <c r="AN95" i="4"/>
  <c r="AP95" i="4"/>
  <c r="AR95" i="4"/>
  <c r="AN96" i="4"/>
  <c r="AP96" i="4"/>
  <c r="AR96" i="4"/>
  <c r="AN97" i="4"/>
  <c r="AP97" i="4"/>
  <c r="AR97" i="4"/>
  <c r="AN98" i="4"/>
  <c r="AP98" i="4"/>
  <c r="AR98" i="4"/>
  <c r="AN99" i="4"/>
  <c r="AP99" i="4"/>
  <c r="AR99" i="4"/>
  <c r="AN100" i="4"/>
  <c r="AP100" i="4"/>
  <c r="AR100" i="4"/>
  <c r="AN101" i="4"/>
  <c r="AP101" i="4"/>
  <c r="AR101" i="4"/>
  <c r="AN102" i="4"/>
  <c r="AP102" i="4"/>
  <c r="AR102" i="4"/>
  <c r="AN103" i="4"/>
  <c r="AP103" i="4"/>
  <c r="AR103" i="4"/>
  <c r="AN104" i="4"/>
  <c r="AP104" i="4"/>
  <c r="AR104" i="4"/>
  <c r="AN105" i="4"/>
  <c r="AP105" i="4"/>
  <c r="AR105" i="4"/>
  <c r="AN106" i="4"/>
  <c r="AP106" i="4"/>
  <c r="AR106" i="4"/>
  <c r="AN107" i="4"/>
  <c r="AP107" i="4"/>
  <c r="AR107" i="4"/>
  <c r="AN108" i="4"/>
  <c r="AP108" i="4"/>
  <c r="AR108" i="4"/>
  <c r="AN109" i="4"/>
  <c r="AP109" i="4"/>
  <c r="AR109" i="4"/>
  <c r="AN110" i="4"/>
  <c r="AP110" i="4"/>
  <c r="AR110" i="4"/>
  <c r="AN111" i="4"/>
  <c r="AP111" i="4"/>
  <c r="AR111" i="4"/>
  <c r="AN112" i="4"/>
  <c r="AP112" i="4"/>
  <c r="AR112" i="4"/>
  <c r="AN113" i="4"/>
  <c r="AP113" i="4"/>
  <c r="AR113" i="4"/>
  <c r="AN114" i="4"/>
  <c r="AP114" i="4"/>
  <c r="AR114" i="4"/>
  <c r="AN115" i="4"/>
  <c r="AP115" i="4"/>
  <c r="AR115" i="4"/>
  <c r="AN116" i="4"/>
  <c r="AP116" i="4"/>
  <c r="AR116" i="4"/>
  <c r="AN117" i="4"/>
  <c r="AP117" i="4"/>
  <c r="AR117" i="4"/>
  <c r="AN118" i="4"/>
  <c r="AP118" i="4"/>
  <c r="AR118" i="4"/>
  <c r="AN119" i="4"/>
  <c r="AP119" i="4"/>
  <c r="AR119" i="4"/>
  <c r="AN120" i="4"/>
  <c r="AP120" i="4"/>
  <c r="AR120" i="4"/>
  <c r="AN121" i="4"/>
  <c r="AP121" i="4"/>
  <c r="AR121" i="4"/>
  <c r="AN122" i="4"/>
  <c r="AP122" i="4"/>
  <c r="AR122" i="4"/>
  <c r="AN123" i="4"/>
  <c r="AP123" i="4"/>
  <c r="AR123" i="4"/>
  <c r="AN124" i="4"/>
  <c r="AP124" i="4"/>
  <c r="AR124" i="4"/>
  <c r="AN125" i="4"/>
  <c r="AP125" i="4"/>
  <c r="AR125" i="4"/>
  <c r="AN126" i="4"/>
  <c r="AP126" i="4"/>
  <c r="AR126" i="4"/>
  <c r="AN127" i="4"/>
  <c r="AP127" i="4"/>
  <c r="AR127" i="4"/>
  <c r="AN128" i="4"/>
  <c r="AP128" i="4"/>
  <c r="AR128" i="4"/>
  <c r="AN129" i="4"/>
  <c r="AP129" i="4"/>
  <c r="AR129" i="4"/>
  <c r="AN130" i="4"/>
  <c r="AP130" i="4"/>
  <c r="AR130" i="4"/>
  <c r="AN131" i="4"/>
  <c r="AP131" i="4"/>
  <c r="AR131" i="4"/>
  <c r="AN132" i="4"/>
  <c r="AP132" i="4"/>
  <c r="AR132" i="4"/>
  <c r="AN133" i="4"/>
  <c r="AP133" i="4"/>
  <c r="AR133" i="4"/>
  <c r="AN134" i="4"/>
  <c r="AP134" i="4"/>
  <c r="AR134" i="4"/>
  <c r="AN135" i="4"/>
  <c r="AP135" i="4"/>
  <c r="AR135" i="4"/>
  <c r="AN136" i="4"/>
  <c r="AP136" i="4"/>
  <c r="AR136" i="4"/>
  <c r="AN137" i="4"/>
  <c r="AP137" i="4"/>
  <c r="AR137" i="4"/>
  <c r="AN138" i="4"/>
  <c r="AP138" i="4"/>
  <c r="AR138" i="4"/>
  <c r="AN139" i="4"/>
  <c r="AP139" i="4"/>
  <c r="AR139" i="4"/>
  <c r="AN140" i="4"/>
  <c r="AP140" i="4"/>
  <c r="AR140" i="4"/>
  <c r="AN141" i="4"/>
  <c r="AP141" i="4"/>
  <c r="AR141" i="4"/>
  <c r="AN142" i="4"/>
  <c r="AP142" i="4"/>
  <c r="AR142" i="4"/>
  <c r="AN143" i="4"/>
  <c r="AP143" i="4"/>
  <c r="AR143" i="4"/>
  <c r="AN144" i="4"/>
  <c r="AP144" i="4"/>
  <c r="AR144" i="4"/>
  <c r="AN145" i="4"/>
  <c r="AP145" i="4"/>
  <c r="AR145" i="4"/>
  <c r="AN146" i="4"/>
  <c r="AP146" i="4"/>
  <c r="AR146" i="4"/>
  <c r="AN147" i="4"/>
  <c r="AP147" i="4"/>
  <c r="AR147" i="4"/>
  <c r="AN148" i="4"/>
  <c r="AP148" i="4"/>
  <c r="AR148" i="4"/>
  <c r="AN149" i="4"/>
  <c r="AP149" i="4"/>
  <c r="AR149" i="4"/>
  <c r="AN150" i="4"/>
  <c r="AP150" i="4"/>
  <c r="AR150" i="4"/>
  <c r="AN151" i="4"/>
  <c r="AP151" i="4"/>
  <c r="AR151" i="4"/>
  <c r="AN152" i="4"/>
  <c r="AP152" i="4"/>
  <c r="AR152" i="4"/>
  <c r="AN153" i="4"/>
  <c r="AP153" i="4"/>
  <c r="AR153" i="4"/>
  <c r="AN154" i="4"/>
  <c r="AP154" i="4"/>
  <c r="AR154" i="4"/>
  <c r="AN155" i="4"/>
  <c r="AP155" i="4"/>
  <c r="AR155" i="4"/>
  <c r="AN156" i="4"/>
  <c r="AP156" i="4"/>
  <c r="AR156" i="4"/>
  <c r="AN157" i="4"/>
  <c r="AP157" i="4"/>
  <c r="AR157" i="4"/>
  <c r="AN158" i="4"/>
  <c r="AP158" i="4"/>
  <c r="AR158" i="4"/>
  <c r="AN159" i="4"/>
  <c r="AP159" i="4"/>
  <c r="AR159" i="4"/>
  <c r="AN160" i="4"/>
  <c r="AP160" i="4"/>
  <c r="AR160" i="4"/>
  <c r="AN161" i="4"/>
  <c r="AP161" i="4"/>
  <c r="AR161" i="4"/>
  <c r="AN162" i="4"/>
  <c r="AP162" i="4"/>
  <c r="AR162" i="4"/>
  <c r="AN163" i="4"/>
  <c r="AP163" i="4"/>
  <c r="AR163" i="4"/>
  <c r="AN164" i="4"/>
  <c r="AP164" i="4"/>
  <c r="AR164" i="4"/>
  <c r="AN165" i="4"/>
  <c r="AP165" i="4"/>
  <c r="AR165" i="4"/>
  <c r="AN166" i="4"/>
  <c r="AP166" i="4"/>
  <c r="AR166" i="4"/>
  <c r="AN167" i="4"/>
  <c r="AP167" i="4"/>
  <c r="AR167" i="4"/>
  <c r="AN168" i="4"/>
  <c r="AP168" i="4"/>
  <c r="AR168" i="4"/>
  <c r="AN169" i="4"/>
  <c r="AP169" i="4"/>
  <c r="AR169" i="4"/>
  <c r="AN170" i="4"/>
  <c r="AP170" i="4"/>
  <c r="AR170" i="4"/>
  <c r="AN171" i="4"/>
  <c r="AP171" i="4"/>
  <c r="AR171" i="4"/>
  <c r="AN172" i="4"/>
  <c r="AP172" i="4"/>
  <c r="AR172" i="4"/>
  <c r="AN173" i="4"/>
  <c r="AP173" i="4"/>
  <c r="AR173" i="4"/>
  <c r="AN174" i="4"/>
  <c r="AP174" i="4"/>
  <c r="AR174" i="4"/>
  <c r="AN175" i="4"/>
  <c r="AP175" i="4"/>
  <c r="AR175" i="4"/>
  <c r="AN176" i="4"/>
  <c r="AP176" i="4"/>
  <c r="AR176" i="4"/>
  <c r="AN177" i="4"/>
  <c r="AP177" i="4"/>
  <c r="AR177" i="4"/>
  <c r="AN178" i="4"/>
  <c r="AP178" i="4"/>
  <c r="AR178" i="4"/>
  <c r="AN179" i="4"/>
  <c r="AP179" i="4"/>
  <c r="AR179" i="4"/>
  <c r="AN180" i="4"/>
  <c r="AP180" i="4"/>
  <c r="AR180" i="4"/>
  <c r="AN181" i="4"/>
  <c r="AP181" i="4"/>
  <c r="AR181" i="4"/>
  <c r="AN182" i="4"/>
  <c r="AP182" i="4"/>
  <c r="AR182" i="4"/>
  <c r="AN183" i="4"/>
  <c r="AP183" i="4"/>
  <c r="AR183" i="4"/>
  <c r="AN184" i="4"/>
  <c r="AP184" i="4"/>
  <c r="AR184" i="4"/>
  <c r="AN185" i="4"/>
  <c r="AP185" i="4"/>
  <c r="AR185" i="4"/>
  <c r="AN186" i="4"/>
  <c r="AP186" i="4"/>
  <c r="AR186" i="4"/>
  <c r="AN187" i="4"/>
  <c r="AP187" i="4"/>
  <c r="AR187" i="4"/>
  <c r="AN188" i="4"/>
  <c r="AP188" i="4"/>
  <c r="AR188" i="4"/>
  <c r="AN189" i="4"/>
  <c r="AP189" i="4"/>
  <c r="AR189" i="4"/>
  <c r="AN190" i="4"/>
  <c r="AP190" i="4"/>
  <c r="AR190" i="4"/>
  <c r="AN191" i="4"/>
  <c r="AP191" i="4"/>
  <c r="AR191" i="4"/>
  <c r="AN192" i="4"/>
  <c r="AP192" i="4"/>
  <c r="AR192" i="4"/>
  <c r="AN193" i="4"/>
  <c r="AP193" i="4"/>
  <c r="AR193" i="4"/>
  <c r="AN194" i="4"/>
  <c r="AP194" i="4"/>
  <c r="AR194" i="4"/>
  <c r="AN195" i="4"/>
  <c r="AP195" i="4"/>
  <c r="AR195" i="4"/>
  <c r="AN196" i="4"/>
  <c r="AP196" i="4"/>
  <c r="AR196" i="4"/>
  <c r="AN197" i="4"/>
  <c r="AP197" i="4"/>
  <c r="AR197" i="4"/>
  <c r="AN198" i="4"/>
  <c r="AP198" i="4"/>
  <c r="AR198" i="4"/>
  <c r="AN199" i="4"/>
  <c r="AP199" i="4"/>
  <c r="AR199" i="4"/>
  <c r="AN200" i="4"/>
  <c r="AP200" i="4"/>
  <c r="AR200" i="4"/>
  <c r="AN201" i="4"/>
  <c r="AP201" i="4"/>
  <c r="AR201" i="4"/>
  <c r="AN202" i="4"/>
  <c r="AP202" i="4"/>
  <c r="AR202" i="4"/>
  <c r="AN203" i="4"/>
  <c r="AP203" i="4"/>
  <c r="AR203" i="4"/>
  <c r="AN204" i="4"/>
  <c r="AP204" i="4"/>
  <c r="AR204" i="4"/>
  <c r="AN205" i="4"/>
  <c r="AP205" i="4"/>
  <c r="AR205" i="4"/>
  <c r="AN206" i="4"/>
  <c r="AP206" i="4"/>
  <c r="AR206" i="4"/>
  <c r="AN207" i="4"/>
  <c r="AP207" i="4"/>
  <c r="AR207" i="4"/>
  <c r="AN208" i="4"/>
  <c r="AP208" i="4"/>
  <c r="AR208" i="4"/>
  <c r="AN209" i="4"/>
  <c r="AP209" i="4"/>
  <c r="AR209" i="4"/>
  <c r="AN210" i="4"/>
  <c r="AP210" i="4"/>
  <c r="AR210" i="4"/>
  <c r="AN211" i="4"/>
  <c r="AP211" i="4"/>
  <c r="AR211" i="4"/>
  <c r="AN212" i="4"/>
  <c r="AP212" i="4"/>
  <c r="AR212" i="4"/>
  <c r="AN213" i="4"/>
  <c r="AP213" i="4"/>
  <c r="AR213" i="4"/>
  <c r="AN214" i="4"/>
  <c r="AP214" i="4"/>
  <c r="AR214" i="4"/>
  <c r="AN215" i="4"/>
  <c r="AP215" i="4"/>
  <c r="AR215" i="4"/>
  <c r="AN216" i="4"/>
  <c r="AP216" i="4"/>
  <c r="AR216" i="4"/>
  <c r="AN217" i="4"/>
  <c r="AP217" i="4"/>
  <c r="AR217" i="4"/>
  <c r="AN218" i="4"/>
  <c r="AP218" i="4"/>
  <c r="AR218" i="4"/>
  <c r="AN219" i="4"/>
  <c r="AP219" i="4"/>
  <c r="AR219" i="4"/>
  <c r="AN220" i="4"/>
  <c r="AP220" i="4"/>
  <c r="AR220" i="4"/>
  <c r="AN221" i="4"/>
  <c r="AP221" i="4"/>
  <c r="AR221" i="4"/>
  <c r="AN222" i="4"/>
  <c r="AP222" i="4"/>
  <c r="AR222" i="4"/>
  <c r="AN223" i="4"/>
  <c r="AP223" i="4"/>
  <c r="AR223" i="4"/>
  <c r="AN224" i="4"/>
  <c r="AP224" i="4"/>
  <c r="AR224" i="4"/>
  <c r="AN225" i="4"/>
  <c r="AP225" i="4"/>
  <c r="AR225" i="4"/>
  <c r="AN226" i="4"/>
  <c r="AP226" i="4"/>
  <c r="AR226" i="4"/>
  <c r="AN227" i="4"/>
  <c r="AP227" i="4"/>
  <c r="AR227" i="4"/>
  <c r="AN228" i="4"/>
  <c r="AP228" i="4"/>
  <c r="AR228" i="4"/>
  <c r="AN229" i="4"/>
  <c r="AP229" i="4"/>
  <c r="AR229" i="4"/>
  <c r="AN230" i="4"/>
  <c r="AP230" i="4"/>
  <c r="AR230" i="4"/>
  <c r="AN231" i="4"/>
  <c r="AP231" i="4"/>
  <c r="AR231" i="4"/>
  <c r="AN232" i="4"/>
  <c r="AP232" i="4"/>
  <c r="AR232" i="4"/>
  <c r="AN233" i="4"/>
  <c r="AP233" i="4"/>
  <c r="AR233" i="4"/>
  <c r="AN234" i="4"/>
  <c r="AP234" i="4"/>
  <c r="AR234" i="4"/>
  <c r="AN235" i="4"/>
  <c r="AP235" i="4"/>
  <c r="AR235" i="4"/>
  <c r="AN236" i="4"/>
  <c r="AP236" i="4"/>
  <c r="AR236" i="4"/>
  <c r="AN237" i="4"/>
  <c r="AP237" i="4"/>
  <c r="AR237" i="4"/>
  <c r="AN238" i="4"/>
  <c r="AP238" i="4"/>
  <c r="AR238" i="4"/>
  <c r="AN239" i="4"/>
  <c r="AP239" i="4"/>
  <c r="AR239" i="4"/>
  <c r="AN240" i="4"/>
  <c r="AP240" i="4"/>
  <c r="AR240" i="4"/>
  <c r="AN241" i="4"/>
  <c r="AP241" i="4"/>
  <c r="AR241" i="4"/>
  <c r="AN242" i="4"/>
  <c r="AP242" i="4"/>
  <c r="AR242" i="4"/>
  <c r="AN243" i="4"/>
  <c r="AP243" i="4"/>
  <c r="AR243" i="4"/>
  <c r="AN244" i="4"/>
  <c r="AP244" i="4"/>
  <c r="AR244" i="4"/>
  <c r="AN245" i="4"/>
  <c r="AP245" i="4"/>
  <c r="AR245" i="4"/>
  <c r="AN246" i="4"/>
  <c r="AP246" i="4"/>
  <c r="AR246" i="4"/>
  <c r="AN247" i="4"/>
  <c r="AP247" i="4"/>
  <c r="AR247" i="4"/>
  <c r="AN248" i="4"/>
  <c r="AP248" i="4"/>
  <c r="AR248" i="4"/>
  <c r="AN249" i="4"/>
  <c r="AP249" i="4"/>
  <c r="AR249" i="4"/>
  <c r="AN250" i="4"/>
  <c r="AP250" i="4"/>
  <c r="AR250" i="4"/>
  <c r="AN251" i="4"/>
  <c r="AP251" i="4"/>
  <c r="AR251" i="4"/>
  <c r="AN252" i="4"/>
  <c r="AP252" i="4"/>
  <c r="AR252" i="4"/>
  <c r="AN253" i="4"/>
  <c r="AP253" i="4"/>
  <c r="AR253" i="4"/>
  <c r="AN254" i="4"/>
  <c r="AP254" i="4"/>
  <c r="AR254" i="4"/>
  <c r="AN255" i="4"/>
  <c r="AP255" i="4"/>
  <c r="AR255" i="4"/>
  <c r="AN256" i="4"/>
  <c r="AP256" i="4"/>
  <c r="AR256" i="4"/>
  <c r="AN257" i="4"/>
  <c r="AP257" i="4"/>
  <c r="AR257" i="4"/>
  <c r="AN258" i="4"/>
  <c r="AP258" i="4"/>
  <c r="AR258" i="4"/>
  <c r="AN259" i="4"/>
  <c r="AP259" i="4"/>
  <c r="AR259" i="4"/>
  <c r="AN260" i="4"/>
  <c r="AP260" i="4"/>
  <c r="AR260" i="4"/>
  <c r="AN261" i="4"/>
  <c r="AP261" i="4"/>
  <c r="AR261" i="4"/>
  <c r="AN262" i="4"/>
  <c r="AP262" i="4"/>
  <c r="AR262" i="4"/>
  <c r="AN263" i="4"/>
  <c r="AP263" i="4"/>
  <c r="AR263" i="4"/>
  <c r="AN264" i="4"/>
  <c r="AP264" i="4"/>
  <c r="AR264" i="4"/>
  <c r="AN265" i="4"/>
  <c r="AP265" i="4"/>
  <c r="AR265" i="4"/>
  <c r="AN266" i="4"/>
  <c r="AP266" i="4"/>
  <c r="AR266" i="4"/>
  <c r="AN267" i="4"/>
  <c r="AP267" i="4"/>
  <c r="AR267" i="4"/>
  <c r="AN268" i="4"/>
  <c r="AP268" i="4"/>
  <c r="AR268" i="4"/>
  <c r="AN269" i="4"/>
  <c r="AP269" i="4"/>
  <c r="AR269" i="4"/>
  <c r="AN270" i="4"/>
  <c r="AP270" i="4"/>
  <c r="AR270" i="4"/>
  <c r="AN271" i="4"/>
  <c r="AP271" i="4"/>
  <c r="AR271" i="4"/>
  <c r="AN272" i="4"/>
  <c r="AP272" i="4"/>
  <c r="AR272" i="4"/>
  <c r="AN273" i="4"/>
  <c r="AP273" i="4"/>
  <c r="AR273" i="4"/>
  <c r="AN274" i="4"/>
  <c r="AP274" i="4"/>
  <c r="AR274" i="4"/>
  <c r="AN275" i="4"/>
  <c r="AP275" i="4"/>
  <c r="AR275" i="4"/>
  <c r="AN276" i="4"/>
  <c r="AP276" i="4"/>
  <c r="AR276" i="4"/>
  <c r="AN277" i="4"/>
  <c r="AP277" i="4"/>
  <c r="AR277" i="4"/>
  <c r="AN278" i="4"/>
  <c r="AP278" i="4"/>
  <c r="AR278" i="4"/>
  <c r="AN279" i="4"/>
  <c r="AP279" i="4"/>
  <c r="AR279" i="4"/>
  <c r="AN280" i="4"/>
  <c r="AP280" i="4"/>
  <c r="AR280" i="4"/>
  <c r="AN281" i="4"/>
  <c r="AP281" i="4"/>
  <c r="AR281" i="4"/>
  <c r="AN282" i="4"/>
  <c r="AP282" i="4"/>
  <c r="AR282" i="4"/>
  <c r="AN283" i="4"/>
  <c r="AP283" i="4"/>
  <c r="AR283" i="4"/>
  <c r="AN284" i="4"/>
  <c r="AP284" i="4"/>
  <c r="AR284" i="4"/>
  <c r="AN285" i="4"/>
  <c r="AP285" i="4"/>
  <c r="AR285" i="4"/>
  <c r="AN286" i="4"/>
  <c r="AP286" i="4"/>
  <c r="AR286" i="4"/>
  <c r="AN287" i="4"/>
  <c r="AP287" i="4"/>
  <c r="AR287" i="4"/>
  <c r="AN288" i="4"/>
  <c r="AP288" i="4"/>
  <c r="AR288" i="4"/>
  <c r="AN289" i="4"/>
  <c r="AP289" i="4"/>
  <c r="AR289" i="4"/>
  <c r="AN290" i="4"/>
  <c r="AP290" i="4"/>
  <c r="AR290" i="4"/>
  <c r="AN291" i="4"/>
  <c r="AP291" i="4"/>
  <c r="AR291" i="4"/>
  <c r="AN292" i="4"/>
  <c r="AP292" i="4"/>
  <c r="AR292" i="4"/>
  <c r="AN293" i="4"/>
  <c r="AP293" i="4"/>
  <c r="AR293" i="4"/>
  <c r="AN294" i="4"/>
  <c r="AP294" i="4"/>
  <c r="AR294" i="4"/>
  <c r="AN295" i="4"/>
  <c r="AP295" i="4"/>
  <c r="AR295" i="4"/>
  <c r="AN296" i="4"/>
  <c r="AP296" i="4"/>
  <c r="AR296" i="4"/>
  <c r="AN297" i="4"/>
  <c r="AP297" i="4"/>
  <c r="AR297" i="4"/>
  <c r="AN298" i="4"/>
  <c r="AP298" i="4"/>
  <c r="AR298" i="4"/>
  <c r="AN299" i="4"/>
  <c r="AP299" i="4"/>
  <c r="AR299" i="4"/>
  <c r="AN300" i="4"/>
  <c r="AP300" i="4"/>
  <c r="AR300" i="4"/>
  <c r="AN301" i="4"/>
  <c r="AP301" i="4"/>
  <c r="AR301" i="4"/>
  <c r="AN302" i="4"/>
  <c r="AP302" i="4"/>
  <c r="AR302" i="4"/>
  <c r="AN303" i="4"/>
  <c r="AP303" i="4"/>
  <c r="AR303" i="4"/>
  <c r="AN304" i="4"/>
  <c r="AP304" i="4"/>
  <c r="AR304" i="4"/>
  <c r="AN305" i="4"/>
  <c r="AP305" i="4"/>
  <c r="AR305" i="4"/>
  <c r="AN306" i="4"/>
  <c r="AP306" i="4"/>
  <c r="AR306" i="4"/>
  <c r="AN307" i="4"/>
  <c r="AP307" i="4"/>
  <c r="AR307" i="4"/>
  <c r="AN308" i="4"/>
  <c r="AP308" i="4"/>
  <c r="AR308" i="4"/>
  <c r="AN309" i="4"/>
  <c r="AP309" i="4"/>
  <c r="AR309" i="4"/>
  <c r="AN310" i="4"/>
  <c r="AP310" i="4"/>
  <c r="AR310" i="4"/>
  <c r="AN311" i="4"/>
  <c r="AP311" i="4"/>
  <c r="AR311" i="4"/>
  <c r="AN312" i="4"/>
  <c r="AP312" i="4"/>
  <c r="AR312" i="4"/>
  <c r="AN313" i="4"/>
  <c r="AP313" i="4"/>
  <c r="AR313" i="4"/>
  <c r="AN314" i="4"/>
  <c r="AP314" i="4"/>
  <c r="AR314" i="4"/>
  <c r="AN315" i="4"/>
  <c r="AP315" i="4"/>
  <c r="AR315" i="4"/>
  <c r="AN316" i="4"/>
  <c r="AP316" i="4"/>
  <c r="AR316" i="4"/>
  <c r="AN317" i="4"/>
  <c r="AP317" i="4"/>
  <c r="AR317" i="4"/>
  <c r="AN318" i="4"/>
  <c r="AP318" i="4"/>
  <c r="AR318" i="4"/>
  <c r="AN319" i="4"/>
  <c r="AP319" i="4"/>
  <c r="AR319" i="4"/>
  <c r="AN320" i="4"/>
  <c r="AP320" i="4"/>
  <c r="AR320" i="4"/>
  <c r="AN321" i="4"/>
  <c r="AP321" i="4"/>
  <c r="AR321" i="4"/>
  <c r="AN322" i="4"/>
  <c r="AP322" i="4"/>
  <c r="AR322" i="4"/>
  <c r="AN323" i="4"/>
  <c r="AP323" i="4"/>
  <c r="AR323" i="4"/>
  <c r="AN324" i="4"/>
  <c r="AP324" i="4"/>
  <c r="AR324" i="4"/>
  <c r="AN325" i="4"/>
  <c r="AP325" i="4"/>
  <c r="AR325" i="4"/>
  <c r="AN326" i="4"/>
  <c r="AP326" i="4"/>
  <c r="AR326" i="4"/>
  <c r="AN327" i="4"/>
  <c r="AP327" i="4"/>
  <c r="AR327" i="4"/>
  <c r="AN328" i="4"/>
  <c r="AP328" i="4"/>
  <c r="AR328" i="4"/>
  <c r="AN329" i="4"/>
  <c r="AP329" i="4"/>
  <c r="AR329" i="4"/>
  <c r="AN330" i="4"/>
  <c r="AP330" i="4"/>
  <c r="AR330" i="4"/>
  <c r="AN331" i="4"/>
  <c r="AP331" i="4"/>
  <c r="AR331" i="4"/>
  <c r="AN332" i="4"/>
  <c r="AP332" i="4"/>
  <c r="AR332" i="4"/>
  <c r="AN333" i="4"/>
  <c r="AP333" i="4"/>
  <c r="AR333" i="4"/>
  <c r="AN334" i="4"/>
  <c r="AP334" i="4"/>
  <c r="AR334" i="4"/>
  <c r="AN335" i="4"/>
  <c r="AP335" i="4"/>
  <c r="AR335" i="4"/>
  <c r="AN336" i="4"/>
  <c r="AP336" i="4"/>
  <c r="AR336" i="4"/>
  <c r="AN337" i="4"/>
  <c r="AP337" i="4"/>
  <c r="AR337" i="4"/>
  <c r="AN338" i="4"/>
  <c r="AP338" i="4"/>
  <c r="AR338" i="4"/>
  <c r="AN339" i="4"/>
  <c r="AP339" i="4"/>
  <c r="AR339" i="4"/>
  <c r="AN340" i="4"/>
  <c r="AP340" i="4"/>
  <c r="AR340" i="4"/>
  <c r="AN341" i="4"/>
  <c r="AP341" i="4"/>
  <c r="AR341" i="4"/>
  <c r="AN342" i="4"/>
  <c r="AP342" i="4"/>
  <c r="AR342" i="4"/>
  <c r="AN343" i="4"/>
  <c r="AP343" i="4"/>
  <c r="AR343" i="4"/>
  <c r="AN344" i="4"/>
  <c r="AP344" i="4"/>
  <c r="AR344" i="4"/>
  <c r="AN345" i="4"/>
  <c r="AP345" i="4"/>
  <c r="AR345" i="4"/>
  <c r="AN346" i="4"/>
  <c r="AP346" i="4"/>
  <c r="AR346" i="4"/>
  <c r="AN347" i="4"/>
  <c r="AP347" i="4"/>
  <c r="AR347" i="4"/>
  <c r="AN348" i="4"/>
  <c r="AP348" i="4"/>
  <c r="AR348" i="4"/>
  <c r="AN349" i="4"/>
  <c r="AP349" i="4"/>
  <c r="AR349" i="4"/>
  <c r="AN350" i="4"/>
  <c r="AP350" i="4"/>
  <c r="AR350" i="4"/>
  <c r="AN351" i="4"/>
  <c r="AP351" i="4"/>
  <c r="AR351" i="4"/>
  <c r="AN352" i="4"/>
  <c r="AP352" i="4"/>
  <c r="AR352" i="4"/>
  <c r="AN353" i="4"/>
  <c r="AP353" i="4"/>
  <c r="AR353" i="4"/>
  <c r="AN354" i="4"/>
  <c r="AP354" i="4"/>
  <c r="AR354" i="4"/>
  <c r="AN355" i="4"/>
  <c r="AP355" i="4"/>
  <c r="AR355" i="4"/>
  <c r="AN356" i="4"/>
  <c r="AP356" i="4"/>
  <c r="AR356" i="4"/>
  <c r="AN357" i="4"/>
  <c r="AP357" i="4"/>
  <c r="AR357" i="4"/>
  <c r="AN358" i="4"/>
  <c r="AP358" i="4"/>
  <c r="AR358" i="4"/>
  <c r="AN359" i="4"/>
  <c r="AP359" i="4"/>
  <c r="AR359" i="4"/>
  <c r="AN360" i="4"/>
  <c r="AP360" i="4"/>
  <c r="AR360" i="4"/>
  <c r="AN361" i="4"/>
  <c r="AP361" i="4"/>
  <c r="AR361" i="4"/>
  <c r="AN362" i="4"/>
  <c r="AP362" i="4"/>
  <c r="AR362" i="4"/>
  <c r="AN363" i="4"/>
  <c r="AP363" i="4"/>
  <c r="AR363" i="4"/>
  <c r="AN364" i="4"/>
  <c r="AP364" i="4"/>
  <c r="AR364" i="4"/>
  <c r="AN365" i="4"/>
  <c r="AP365" i="4"/>
  <c r="AR365" i="4"/>
  <c r="AN366" i="4"/>
  <c r="AP366" i="4"/>
  <c r="AR366" i="4"/>
  <c r="AN367" i="4"/>
  <c r="AP367" i="4"/>
  <c r="AR367" i="4"/>
  <c r="AN368" i="4"/>
  <c r="AP368" i="4"/>
  <c r="AR368" i="4"/>
  <c r="AN369" i="4"/>
  <c r="AP369" i="4"/>
  <c r="AR369" i="4"/>
  <c r="AN370" i="4"/>
  <c r="AP370" i="4"/>
  <c r="AR370" i="4"/>
  <c r="AN371" i="4"/>
  <c r="AP371" i="4"/>
  <c r="AR371" i="4"/>
  <c r="AN372" i="4"/>
  <c r="AP372" i="4"/>
  <c r="AR372" i="4"/>
  <c r="AN373" i="4"/>
  <c r="AP373" i="4"/>
  <c r="AR373" i="4"/>
  <c r="AN374" i="4"/>
  <c r="AP374" i="4"/>
  <c r="AR374" i="4"/>
  <c r="AN375" i="4"/>
  <c r="AP375" i="4"/>
  <c r="AR375" i="4"/>
  <c r="AN376" i="4"/>
  <c r="AP376" i="4"/>
  <c r="AR376" i="4"/>
  <c r="AN377" i="4"/>
  <c r="AP377" i="4"/>
  <c r="AR377" i="4"/>
  <c r="AN378" i="4"/>
  <c r="AP378" i="4"/>
  <c r="AR378" i="4"/>
  <c r="AN379" i="4"/>
  <c r="AP379" i="4"/>
  <c r="AR379" i="4"/>
  <c r="AN380" i="4"/>
  <c r="AP380" i="4"/>
  <c r="AR380" i="4"/>
  <c r="AN381" i="4"/>
  <c r="AP381" i="4"/>
  <c r="AR381" i="4"/>
  <c r="AN382" i="4"/>
  <c r="AP382" i="4"/>
  <c r="AR382" i="4"/>
  <c r="AN383" i="4"/>
  <c r="AP383" i="4"/>
  <c r="AR383" i="4"/>
  <c r="AN384" i="4"/>
  <c r="AP384" i="4"/>
  <c r="AR384" i="4"/>
  <c r="AN385" i="4"/>
  <c r="AP385" i="4"/>
  <c r="AR385" i="4"/>
  <c r="AN386" i="4"/>
  <c r="AP386" i="4"/>
  <c r="AR386" i="4"/>
  <c r="AN387" i="4"/>
  <c r="AP387" i="4"/>
  <c r="AR387" i="4"/>
  <c r="AN388" i="4"/>
  <c r="AP388" i="4"/>
  <c r="AR388" i="4"/>
  <c r="AN389" i="4"/>
  <c r="AP389" i="4"/>
  <c r="AR389" i="4"/>
  <c r="AN390" i="4"/>
  <c r="AP390" i="4"/>
  <c r="AR390" i="4"/>
  <c r="AN391" i="4"/>
  <c r="AP391" i="4"/>
  <c r="AR391" i="4"/>
  <c r="AN392" i="4"/>
  <c r="AP392" i="4"/>
  <c r="AR392" i="4"/>
  <c r="AN393" i="4"/>
  <c r="AP393" i="4"/>
  <c r="AR393" i="4"/>
  <c r="AN394" i="4"/>
  <c r="AP394" i="4"/>
  <c r="AR394" i="4"/>
  <c r="AN395" i="4"/>
  <c r="AP395" i="4"/>
  <c r="AR395" i="4"/>
  <c r="AN396" i="4"/>
  <c r="AP396" i="4"/>
  <c r="AR396" i="4"/>
  <c r="AN397" i="4"/>
  <c r="AP397" i="4"/>
  <c r="AR397" i="4"/>
  <c r="AN398" i="4"/>
  <c r="AP398" i="4"/>
  <c r="AR398" i="4"/>
  <c r="AN399" i="4"/>
  <c r="AP399" i="4"/>
  <c r="AR399" i="4"/>
  <c r="AN400" i="4"/>
  <c r="AP400" i="4"/>
  <c r="AR400" i="4"/>
  <c r="AN401" i="4"/>
  <c r="AP401" i="4"/>
  <c r="AR401" i="4"/>
  <c r="AN402" i="4"/>
  <c r="AP402" i="4"/>
  <c r="AR402" i="4"/>
  <c r="AN403" i="4"/>
  <c r="AP403" i="4"/>
  <c r="AR403" i="4"/>
  <c r="AN404" i="4"/>
  <c r="AP404" i="4"/>
  <c r="AR404" i="4"/>
  <c r="AN405" i="4"/>
  <c r="AP405" i="4"/>
  <c r="AR405" i="4"/>
  <c r="AN406" i="4"/>
  <c r="AP406" i="4"/>
  <c r="AR406" i="4"/>
  <c r="AN407" i="4"/>
  <c r="AP407" i="4"/>
  <c r="AR407" i="4"/>
  <c r="AN408" i="4"/>
  <c r="AP408" i="4"/>
  <c r="AR408" i="4"/>
  <c r="AN409" i="4"/>
  <c r="AP409" i="4"/>
  <c r="AR409" i="4"/>
  <c r="AN410" i="4"/>
  <c r="AP410" i="4"/>
  <c r="AR410" i="4"/>
  <c r="AN411" i="4"/>
  <c r="AP411" i="4"/>
  <c r="AR411" i="4"/>
  <c r="AN412" i="4"/>
  <c r="AP412" i="4"/>
  <c r="AR412" i="4"/>
  <c r="AN413" i="4"/>
  <c r="AP413" i="4"/>
  <c r="AR413" i="4"/>
  <c r="AN414" i="4"/>
  <c r="AP414" i="4"/>
  <c r="AR414" i="4"/>
  <c r="AN415" i="4"/>
  <c r="AP415" i="4"/>
  <c r="AR415" i="4"/>
  <c r="AN416" i="4"/>
  <c r="AP416" i="4"/>
  <c r="AR416" i="4"/>
  <c r="AN417" i="4"/>
  <c r="AP417" i="4"/>
  <c r="AR417" i="4"/>
  <c r="AN418" i="4"/>
  <c r="AP418" i="4"/>
  <c r="AR418" i="4"/>
  <c r="AN419" i="4"/>
  <c r="AP419" i="4"/>
  <c r="AR419" i="4"/>
  <c r="AN420" i="4"/>
  <c r="AP420" i="4"/>
  <c r="AR420" i="4"/>
  <c r="AN421" i="4"/>
  <c r="AP421" i="4"/>
  <c r="AR421" i="4"/>
  <c r="AN422" i="4"/>
  <c r="AP422" i="4"/>
  <c r="AR422" i="4"/>
  <c r="AN423" i="4"/>
  <c r="AP423" i="4"/>
  <c r="AR423" i="4"/>
  <c r="AN424" i="4"/>
  <c r="AP424" i="4"/>
  <c r="AR424" i="4"/>
  <c r="AN425" i="4"/>
  <c r="AP425" i="4"/>
  <c r="AR425" i="4"/>
  <c r="AN426" i="4"/>
  <c r="AP426" i="4"/>
  <c r="AR426" i="4"/>
  <c r="AN427" i="4"/>
  <c r="AP427" i="4"/>
  <c r="AR427" i="4"/>
  <c r="AN428" i="4"/>
  <c r="AP428" i="4"/>
  <c r="AR428" i="4"/>
  <c r="AN429" i="4"/>
  <c r="AP429" i="4"/>
  <c r="AR429" i="4"/>
  <c r="AN430" i="4"/>
  <c r="AP430" i="4"/>
  <c r="AR430" i="4"/>
  <c r="AN431" i="4"/>
  <c r="AP431" i="4"/>
  <c r="AR431" i="4"/>
  <c r="AN432" i="4"/>
  <c r="AP432" i="4"/>
  <c r="AR432" i="4"/>
  <c r="AN433" i="4"/>
  <c r="AP433" i="4"/>
  <c r="AR433" i="4"/>
  <c r="AN434" i="4"/>
  <c r="AP434" i="4"/>
  <c r="AR434" i="4"/>
  <c r="AN435" i="4"/>
  <c r="AP435" i="4"/>
  <c r="AR435" i="4"/>
  <c r="AN436" i="4"/>
  <c r="AP436" i="4"/>
  <c r="AR436" i="4"/>
  <c r="AN437" i="4"/>
  <c r="AP437" i="4"/>
  <c r="AR437" i="4"/>
  <c r="AN438" i="4"/>
  <c r="AP438" i="4"/>
  <c r="AR438" i="4"/>
  <c r="AN439" i="4"/>
  <c r="AP439" i="4"/>
  <c r="AR439" i="4"/>
  <c r="AN440" i="4"/>
  <c r="AP440" i="4"/>
  <c r="AR440" i="4"/>
  <c r="AN441" i="4"/>
  <c r="AP441" i="4"/>
  <c r="AR441" i="4"/>
  <c r="AN442" i="4"/>
  <c r="AP442" i="4"/>
  <c r="AR442" i="4"/>
  <c r="AN443" i="4"/>
  <c r="AP443" i="4"/>
  <c r="AR443" i="4"/>
  <c r="AN444" i="4"/>
  <c r="AP444" i="4"/>
  <c r="AR444" i="4"/>
  <c r="AN445" i="4"/>
  <c r="AP445" i="4"/>
  <c r="AR445" i="4"/>
  <c r="AN446" i="4"/>
  <c r="AP446" i="4"/>
  <c r="AR446" i="4"/>
  <c r="AN447" i="4"/>
  <c r="AP447" i="4"/>
  <c r="AR447" i="4"/>
  <c r="AN448" i="4"/>
  <c r="AP448" i="4"/>
  <c r="AR448" i="4"/>
  <c r="AN449" i="4"/>
  <c r="AP449" i="4"/>
  <c r="AR449" i="4"/>
  <c r="AN450" i="4"/>
  <c r="AP450" i="4"/>
  <c r="AR450" i="4"/>
  <c r="AN451" i="4"/>
  <c r="AP451" i="4"/>
  <c r="AR451" i="4"/>
  <c r="AN452" i="4"/>
  <c r="AP452" i="4"/>
  <c r="AR452" i="4"/>
  <c r="AN453" i="4"/>
  <c r="AP453" i="4"/>
  <c r="AR453" i="4"/>
  <c r="AN454" i="4"/>
  <c r="AP454" i="4"/>
  <c r="AR454" i="4"/>
  <c r="AN455" i="4"/>
  <c r="AP455" i="4"/>
  <c r="AR455" i="4"/>
  <c r="AN456" i="4"/>
  <c r="AP456" i="4"/>
  <c r="AR456" i="4"/>
  <c r="AN457" i="4"/>
  <c r="AP457" i="4"/>
  <c r="AR457" i="4"/>
  <c r="AN458" i="4"/>
  <c r="AP458" i="4"/>
  <c r="AR458" i="4"/>
  <c r="AN459" i="4"/>
  <c r="AP459" i="4"/>
  <c r="AR459" i="4"/>
  <c r="AN460" i="4"/>
  <c r="AP460" i="4"/>
  <c r="AR460" i="4"/>
  <c r="AN461" i="4"/>
  <c r="AP461" i="4"/>
  <c r="AR461" i="4"/>
  <c r="AN462" i="4"/>
  <c r="AP462" i="4"/>
  <c r="AR462" i="4"/>
  <c r="AN463" i="4"/>
  <c r="AP463" i="4"/>
  <c r="AR463" i="4"/>
  <c r="AN464" i="4"/>
  <c r="AP464" i="4"/>
  <c r="AR464" i="4"/>
  <c r="AN465" i="4"/>
  <c r="AP465" i="4"/>
  <c r="AR465" i="4"/>
  <c r="AN466" i="4"/>
  <c r="AP466" i="4"/>
  <c r="AR466" i="4"/>
  <c r="AN467" i="4"/>
  <c r="AP467" i="4"/>
  <c r="AR467" i="4"/>
  <c r="AN468" i="4"/>
  <c r="AP468" i="4"/>
  <c r="AR468" i="4"/>
  <c r="AN469" i="4"/>
  <c r="AP469" i="4"/>
  <c r="AR469" i="4"/>
  <c r="AN470" i="4"/>
  <c r="AP470" i="4"/>
  <c r="AR470" i="4"/>
  <c r="AN471" i="4"/>
  <c r="AP471" i="4"/>
  <c r="AR471" i="4"/>
  <c r="AN472" i="4"/>
  <c r="AP472" i="4"/>
  <c r="AR472" i="4"/>
  <c r="AN473" i="4"/>
  <c r="AP473" i="4"/>
  <c r="AR473" i="4"/>
  <c r="AN474" i="4"/>
  <c r="AP474" i="4"/>
  <c r="AR474" i="4"/>
  <c r="AN475" i="4"/>
  <c r="AP475" i="4"/>
  <c r="AR475" i="4"/>
  <c r="AN476" i="4"/>
  <c r="AP476" i="4"/>
  <c r="AR476" i="4"/>
  <c r="AN477" i="4"/>
  <c r="AP477" i="4"/>
  <c r="AR477" i="4"/>
  <c r="AN478" i="4"/>
  <c r="AP478" i="4"/>
  <c r="AR478" i="4"/>
  <c r="AN479" i="4"/>
  <c r="AP479" i="4"/>
  <c r="AR479" i="4"/>
  <c r="AN480" i="4"/>
  <c r="AP480" i="4"/>
  <c r="AR480" i="4"/>
  <c r="AN481" i="4"/>
  <c r="AP481" i="4"/>
  <c r="AR481" i="4"/>
  <c r="AN482" i="4"/>
  <c r="AP482" i="4"/>
  <c r="AR482" i="4"/>
  <c r="AN483" i="4"/>
  <c r="AP483" i="4"/>
  <c r="AR483" i="4"/>
  <c r="AN484" i="4"/>
  <c r="AP484" i="4"/>
  <c r="AR484" i="4"/>
  <c r="AN485" i="4"/>
  <c r="AP485" i="4"/>
  <c r="AR485" i="4"/>
  <c r="AN486" i="4"/>
  <c r="AP486" i="4"/>
  <c r="AR486" i="4"/>
  <c r="AN487" i="4"/>
  <c r="AP487" i="4"/>
  <c r="AR487" i="4"/>
  <c r="AN488" i="4"/>
  <c r="AP488" i="4"/>
  <c r="AR488" i="4"/>
  <c r="AN489" i="4"/>
  <c r="AP489" i="4"/>
  <c r="AR489" i="4"/>
  <c r="AN490" i="4"/>
  <c r="AP490" i="4"/>
  <c r="AR490" i="4"/>
  <c r="AN491" i="4"/>
  <c r="AP491" i="4"/>
  <c r="AR491" i="4"/>
  <c r="AN492" i="4"/>
  <c r="AP492" i="4"/>
  <c r="AR492" i="4"/>
  <c r="AN493" i="4"/>
  <c r="AP493" i="4"/>
  <c r="AR493" i="4"/>
  <c r="AN494" i="4"/>
  <c r="AP494" i="4"/>
  <c r="AR494" i="4"/>
  <c r="AN495" i="4"/>
  <c r="AP495" i="4"/>
  <c r="AR495" i="4"/>
  <c r="AN496" i="4"/>
  <c r="AP496" i="4"/>
  <c r="AR496" i="4"/>
  <c r="AN497" i="4"/>
  <c r="AP497" i="4"/>
  <c r="AR497" i="4"/>
  <c r="AN498" i="4"/>
  <c r="AP498" i="4"/>
  <c r="AR498" i="4"/>
  <c r="AN499" i="4"/>
  <c r="AP499" i="4"/>
  <c r="AR499" i="4"/>
  <c r="AN500" i="4"/>
  <c r="AP500" i="4"/>
  <c r="AR500" i="4"/>
  <c r="AN501" i="4"/>
  <c r="AP501" i="4"/>
  <c r="AR501" i="4"/>
  <c r="AN502" i="4"/>
  <c r="AP502" i="4"/>
  <c r="AR502" i="4"/>
  <c r="AN503" i="4"/>
  <c r="AP503" i="4"/>
  <c r="AR503" i="4"/>
  <c r="AN504" i="4"/>
  <c r="AP504" i="4"/>
  <c r="AR504" i="4"/>
  <c r="AN505" i="4"/>
  <c r="AP505" i="4"/>
  <c r="AR505" i="4"/>
  <c r="AN506" i="4"/>
  <c r="AP506" i="4"/>
  <c r="AR506" i="4"/>
  <c r="AN507" i="4"/>
  <c r="AP507" i="4"/>
  <c r="AR507" i="4"/>
  <c r="AN508" i="4"/>
  <c r="AP508" i="4"/>
  <c r="AR508" i="4"/>
  <c r="AN509" i="4"/>
  <c r="AP509" i="4"/>
  <c r="AR509" i="4"/>
  <c r="AN510" i="4"/>
  <c r="AP510" i="4"/>
  <c r="AR510" i="4"/>
  <c r="AN511" i="4"/>
  <c r="AP511" i="4"/>
  <c r="AR511" i="4"/>
  <c r="AN512" i="4"/>
  <c r="AP512" i="4"/>
  <c r="AR512" i="4"/>
  <c r="AN513" i="4"/>
  <c r="AP513" i="4"/>
  <c r="AR513" i="4"/>
  <c r="AN514" i="4"/>
  <c r="AP514" i="4"/>
  <c r="AR514" i="4"/>
  <c r="AN515" i="4"/>
  <c r="AP515" i="4"/>
  <c r="AR515" i="4"/>
  <c r="AN516" i="4"/>
  <c r="AP516" i="4"/>
  <c r="AR516" i="4"/>
  <c r="AN517" i="4"/>
  <c r="AP517" i="4"/>
  <c r="AR517" i="4"/>
  <c r="AN518" i="4"/>
  <c r="AP518" i="4"/>
  <c r="AR518" i="4"/>
  <c r="AN519" i="4"/>
  <c r="AP519" i="4"/>
  <c r="AR519" i="4"/>
  <c r="AN520" i="4"/>
  <c r="AP520" i="4"/>
  <c r="AR520" i="4"/>
  <c r="AN521" i="4"/>
  <c r="AP521" i="4"/>
  <c r="AR521" i="4"/>
  <c r="AN522" i="4"/>
  <c r="AP522" i="4"/>
  <c r="AR522" i="4"/>
  <c r="AN523" i="4"/>
  <c r="AP523" i="4"/>
  <c r="AR523" i="4"/>
  <c r="AN524" i="4"/>
  <c r="AP524" i="4"/>
  <c r="AR524" i="4"/>
  <c r="AN525" i="4"/>
  <c r="AP525" i="4"/>
  <c r="AR525" i="4"/>
  <c r="AN526" i="4"/>
  <c r="AP526" i="4"/>
  <c r="AR526" i="4"/>
  <c r="AN527" i="4"/>
  <c r="AP527" i="4"/>
  <c r="AR527" i="4"/>
  <c r="AN528" i="4"/>
  <c r="AP528" i="4"/>
  <c r="AR528" i="4"/>
  <c r="AN529" i="4"/>
  <c r="AP529" i="4"/>
  <c r="AR529" i="4"/>
  <c r="AN530" i="4"/>
  <c r="AP530" i="4"/>
  <c r="AR530" i="4"/>
  <c r="AN531" i="4"/>
  <c r="AP531" i="4"/>
  <c r="AR531" i="4"/>
  <c r="AN532" i="4"/>
  <c r="AP532" i="4"/>
  <c r="AR532" i="4"/>
  <c r="AN533" i="4"/>
  <c r="AP533" i="4"/>
  <c r="AR533" i="4"/>
  <c r="AN534" i="4"/>
  <c r="AP534" i="4"/>
  <c r="AR534" i="4"/>
  <c r="AN535" i="4"/>
  <c r="AP535" i="4"/>
  <c r="AR535" i="4"/>
  <c r="AN536" i="4"/>
  <c r="AP536" i="4"/>
  <c r="AR536" i="4"/>
  <c r="AN537" i="4"/>
  <c r="AP537" i="4"/>
  <c r="AR537" i="4"/>
  <c r="AN538" i="4"/>
  <c r="AP538" i="4"/>
  <c r="AR538" i="4"/>
  <c r="AN539" i="4"/>
  <c r="AP539" i="4"/>
  <c r="AR539" i="4"/>
  <c r="AN540" i="4"/>
  <c r="AP540" i="4"/>
  <c r="AR540" i="4"/>
  <c r="AN541" i="4"/>
  <c r="AP541" i="4"/>
  <c r="AR541" i="4"/>
  <c r="AN542" i="4"/>
  <c r="AP542" i="4"/>
  <c r="AR542" i="4"/>
  <c r="AN543" i="4"/>
  <c r="AP543" i="4"/>
  <c r="AR543" i="4"/>
  <c r="AN544" i="4"/>
  <c r="AP544" i="4"/>
  <c r="AR544" i="4"/>
  <c r="AN545" i="4"/>
  <c r="AP545" i="4"/>
  <c r="AR545" i="4"/>
  <c r="AN546" i="4"/>
  <c r="AP546" i="4"/>
  <c r="AR546" i="4"/>
  <c r="AN547" i="4"/>
  <c r="AP547" i="4"/>
  <c r="AR547" i="4"/>
  <c r="AN548" i="4"/>
  <c r="AP548" i="4"/>
  <c r="AR548" i="4"/>
  <c r="AN549" i="4"/>
  <c r="AP549" i="4"/>
  <c r="AR549" i="4"/>
  <c r="AN550" i="4"/>
  <c r="AP550" i="4"/>
  <c r="AR550" i="4"/>
  <c r="AN551" i="4"/>
  <c r="AP551" i="4"/>
  <c r="AR551" i="4"/>
  <c r="AN552" i="4"/>
  <c r="AP552" i="4"/>
  <c r="AR552" i="4"/>
  <c r="AN553" i="4"/>
  <c r="AP553" i="4"/>
  <c r="AR553" i="4"/>
  <c r="AN554" i="4"/>
  <c r="AP554" i="4"/>
  <c r="AR554" i="4"/>
  <c r="AN555" i="4"/>
  <c r="AP555" i="4"/>
  <c r="AR555" i="4"/>
  <c r="AN556" i="4"/>
  <c r="AP556" i="4"/>
  <c r="AR556" i="4"/>
  <c r="AN557" i="4"/>
  <c r="AP557" i="4"/>
  <c r="AR557" i="4"/>
  <c r="AN558" i="4"/>
  <c r="AP558" i="4"/>
  <c r="AR558" i="4"/>
  <c r="AN559" i="4"/>
  <c r="AP559" i="4"/>
  <c r="AR559" i="4"/>
  <c r="AN560" i="4"/>
  <c r="AP560" i="4"/>
  <c r="AR560" i="4"/>
  <c r="AN561" i="4"/>
  <c r="AP561" i="4"/>
  <c r="AR561" i="4"/>
  <c r="AN562" i="4"/>
  <c r="AP562" i="4"/>
  <c r="AR562" i="4"/>
  <c r="AN563" i="4"/>
  <c r="AP563" i="4"/>
  <c r="AR563" i="4"/>
  <c r="AN564" i="4"/>
  <c r="AP564" i="4"/>
  <c r="AR564" i="4"/>
  <c r="AN565" i="4"/>
  <c r="AP565" i="4"/>
  <c r="AR565" i="4"/>
  <c r="AN566" i="4"/>
  <c r="AP566" i="4"/>
  <c r="AR566" i="4"/>
  <c r="AN567" i="4"/>
  <c r="AP567" i="4"/>
  <c r="AR567" i="4"/>
  <c r="AN568" i="4"/>
  <c r="AP568" i="4"/>
  <c r="AR568" i="4"/>
  <c r="AN569" i="4"/>
  <c r="AP569" i="4"/>
  <c r="AR569" i="4"/>
  <c r="AN570" i="4"/>
  <c r="AP570" i="4"/>
  <c r="AR570" i="4"/>
  <c r="AN571" i="4"/>
  <c r="AP571" i="4"/>
  <c r="AR571" i="4"/>
  <c r="AN572" i="4"/>
  <c r="AP572" i="4"/>
  <c r="AR572" i="4"/>
  <c r="AN573" i="4"/>
  <c r="AP573" i="4"/>
  <c r="AR573" i="4"/>
  <c r="AN574" i="4"/>
  <c r="AP574" i="4"/>
  <c r="AR574" i="4"/>
  <c r="AN575" i="4"/>
  <c r="AP575" i="4"/>
  <c r="AR575" i="4"/>
  <c r="AN576" i="4"/>
  <c r="AP576" i="4"/>
  <c r="AR576" i="4"/>
  <c r="AN577" i="4"/>
  <c r="AP577" i="4"/>
  <c r="AR577" i="4"/>
  <c r="AN578" i="4"/>
  <c r="AP578" i="4"/>
  <c r="AR578" i="4"/>
  <c r="AN579" i="4"/>
  <c r="AP579" i="4"/>
  <c r="AR579" i="4"/>
  <c r="AN580" i="4"/>
  <c r="AP580" i="4"/>
  <c r="AR580" i="4"/>
  <c r="AN581" i="4"/>
  <c r="AP581" i="4"/>
  <c r="AR581" i="4"/>
  <c r="AN582" i="4"/>
  <c r="AP582" i="4"/>
  <c r="AR582" i="4"/>
  <c r="AN583" i="4"/>
  <c r="AP583" i="4"/>
  <c r="AR583" i="4"/>
  <c r="AN584" i="4"/>
  <c r="AP584" i="4"/>
  <c r="AR584" i="4"/>
  <c r="AN585" i="4"/>
  <c r="AP585" i="4"/>
  <c r="AR585" i="4"/>
  <c r="AN586" i="4"/>
  <c r="AP586" i="4"/>
  <c r="AR586" i="4"/>
  <c r="AN587" i="4"/>
  <c r="AP587" i="4"/>
  <c r="AR587" i="4"/>
  <c r="AN588" i="4"/>
  <c r="AP588" i="4"/>
  <c r="AR588" i="4"/>
  <c r="AN589" i="4"/>
  <c r="AP589" i="4"/>
  <c r="AR589" i="4"/>
  <c r="AN590" i="4"/>
  <c r="AP590" i="4"/>
  <c r="AR590" i="4"/>
  <c r="AN591" i="4"/>
  <c r="AP591" i="4"/>
  <c r="AR591" i="4"/>
  <c r="AN592" i="4"/>
  <c r="AP592" i="4"/>
  <c r="AR592" i="4"/>
  <c r="AN593" i="4"/>
  <c r="AP593" i="4"/>
  <c r="AR593" i="4"/>
  <c r="AN594" i="4"/>
  <c r="AP594" i="4"/>
  <c r="AR594" i="4"/>
  <c r="AN595" i="4"/>
  <c r="AP595" i="4"/>
  <c r="AR595" i="4"/>
  <c r="AN596" i="4"/>
  <c r="AP596" i="4"/>
  <c r="AR596" i="4"/>
  <c r="AN597" i="4"/>
  <c r="AP597" i="4"/>
  <c r="AR597" i="4"/>
  <c r="AN598" i="4"/>
  <c r="AP598" i="4"/>
  <c r="AR598" i="4"/>
  <c r="AN599" i="4"/>
  <c r="AP599" i="4"/>
  <c r="AR599" i="4"/>
  <c r="AN600" i="4"/>
  <c r="AP600" i="4"/>
  <c r="AR600" i="4"/>
  <c r="AN601" i="4"/>
  <c r="AP601" i="4"/>
  <c r="AR601" i="4"/>
  <c r="AN602" i="4"/>
  <c r="AP602" i="4"/>
  <c r="AR602" i="4"/>
  <c r="AN603" i="4"/>
  <c r="AP603" i="4"/>
  <c r="AR603" i="4"/>
  <c r="AN604" i="4"/>
  <c r="AP604" i="4"/>
  <c r="AR604" i="4"/>
  <c r="AW7" i="4"/>
  <c r="AY7" i="4"/>
  <c r="BA7" i="4"/>
  <c r="AW8" i="4"/>
  <c r="AY8" i="4"/>
  <c r="BA8" i="4"/>
  <c r="AW9" i="4"/>
  <c r="AY9" i="4"/>
  <c r="BA9" i="4"/>
  <c r="AW10" i="4"/>
  <c r="AY10" i="4"/>
  <c r="BA10" i="4"/>
  <c r="AW11" i="4"/>
  <c r="AY11" i="4"/>
  <c r="BA11" i="4"/>
  <c r="AW12" i="4"/>
  <c r="AY12" i="4"/>
  <c r="BA12" i="4"/>
  <c r="AW13" i="4"/>
  <c r="AY13" i="4"/>
  <c r="BA13" i="4"/>
  <c r="AW14" i="4"/>
  <c r="AY14" i="4"/>
  <c r="BA14" i="4"/>
  <c r="AW15" i="4"/>
  <c r="AY15" i="4"/>
  <c r="BA15" i="4"/>
  <c r="AW16" i="4"/>
  <c r="AY16" i="4"/>
  <c r="BA16" i="4"/>
  <c r="AW17" i="4"/>
  <c r="AY17" i="4"/>
  <c r="BA17" i="4"/>
  <c r="AW18" i="4"/>
  <c r="AY18" i="4"/>
  <c r="BA18" i="4"/>
  <c r="AW19" i="4"/>
  <c r="AY19" i="4"/>
  <c r="BA19" i="4"/>
  <c r="AW20" i="4"/>
  <c r="AY20" i="4"/>
  <c r="BA20" i="4"/>
  <c r="AW21" i="4"/>
  <c r="AY21" i="4"/>
  <c r="BA21" i="4"/>
  <c r="AW22" i="4"/>
  <c r="AY22" i="4"/>
  <c r="BA22" i="4"/>
  <c r="AW23" i="4"/>
  <c r="AY23" i="4"/>
  <c r="BA23" i="4"/>
  <c r="AW24" i="4"/>
  <c r="AY24" i="4"/>
  <c r="BA24" i="4"/>
  <c r="AW25" i="4"/>
  <c r="AY25" i="4"/>
  <c r="BA25" i="4"/>
  <c r="AW26" i="4"/>
  <c r="AY26" i="4"/>
  <c r="BA26" i="4"/>
  <c r="AW27" i="4"/>
  <c r="AY27" i="4"/>
  <c r="BA27" i="4"/>
  <c r="AW28" i="4"/>
  <c r="AY28" i="4"/>
  <c r="BA28" i="4"/>
  <c r="AW29" i="4"/>
  <c r="AY29" i="4"/>
  <c r="BA29" i="4"/>
  <c r="AW30" i="4"/>
  <c r="AY30" i="4"/>
  <c r="BA30" i="4"/>
  <c r="AW31" i="4"/>
  <c r="AY31" i="4"/>
  <c r="BA31" i="4"/>
  <c r="AW32" i="4"/>
  <c r="AY32" i="4"/>
  <c r="BA32" i="4"/>
  <c r="AW33" i="4"/>
  <c r="AY33" i="4"/>
  <c r="BA33" i="4"/>
  <c r="AW34" i="4"/>
  <c r="AY34" i="4"/>
  <c r="BA34" i="4"/>
  <c r="AW35" i="4"/>
  <c r="AY35" i="4"/>
  <c r="BA35" i="4"/>
  <c r="AW36" i="4"/>
  <c r="AY36" i="4"/>
  <c r="BA36" i="4"/>
  <c r="AW37" i="4"/>
  <c r="AY37" i="4"/>
  <c r="BA37" i="4"/>
  <c r="AW38" i="4"/>
  <c r="AY38" i="4"/>
  <c r="BA38" i="4"/>
  <c r="AW39" i="4"/>
  <c r="AY39" i="4"/>
  <c r="BA39" i="4"/>
  <c r="AW40" i="4"/>
  <c r="AY40" i="4"/>
  <c r="BA40" i="4"/>
  <c r="AW41" i="4"/>
  <c r="AY41" i="4"/>
  <c r="BA41" i="4"/>
  <c r="AW42" i="4"/>
  <c r="AY42" i="4"/>
  <c r="BA42" i="4"/>
  <c r="AW43" i="4"/>
  <c r="AY43" i="4"/>
  <c r="BA43" i="4"/>
  <c r="AW44" i="4"/>
  <c r="AY44" i="4"/>
  <c r="BA44" i="4"/>
  <c r="AW45" i="4"/>
  <c r="AY45" i="4"/>
  <c r="BA45" i="4"/>
  <c r="AW46" i="4"/>
  <c r="AY46" i="4"/>
  <c r="BA46" i="4"/>
  <c r="AW47" i="4"/>
  <c r="AY47" i="4"/>
  <c r="BA47" i="4"/>
  <c r="AW48" i="4"/>
  <c r="AY48" i="4"/>
  <c r="BA48" i="4"/>
  <c r="AW49" i="4"/>
  <c r="AY49" i="4"/>
  <c r="BA49" i="4"/>
  <c r="AW50" i="4"/>
  <c r="AY50" i="4"/>
  <c r="BA50" i="4"/>
  <c r="AW51" i="4"/>
  <c r="AY51" i="4"/>
  <c r="BA51" i="4"/>
  <c r="AW52" i="4"/>
  <c r="AY52" i="4"/>
  <c r="BA52" i="4"/>
  <c r="AW53" i="4"/>
  <c r="AY53" i="4"/>
  <c r="BA53" i="4"/>
  <c r="AW54" i="4"/>
  <c r="AY54" i="4"/>
  <c r="BA54" i="4"/>
  <c r="AW55" i="4"/>
  <c r="AY55" i="4"/>
  <c r="BA55" i="4"/>
  <c r="AW56" i="4"/>
  <c r="AY56" i="4"/>
  <c r="BA56" i="4"/>
  <c r="AW57" i="4"/>
  <c r="AY57" i="4"/>
  <c r="BA57" i="4"/>
  <c r="AW58" i="4"/>
  <c r="AY58" i="4"/>
  <c r="BA58" i="4"/>
  <c r="AW59" i="4"/>
  <c r="AY59" i="4"/>
  <c r="BA59" i="4"/>
  <c r="AW60" i="4"/>
  <c r="AY60" i="4"/>
  <c r="BA60" i="4"/>
  <c r="AW61" i="4"/>
  <c r="AY61" i="4"/>
  <c r="BA61" i="4"/>
  <c r="AW62" i="4"/>
  <c r="AY62" i="4"/>
  <c r="BA62" i="4"/>
  <c r="AW63" i="4"/>
  <c r="AY63" i="4"/>
  <c r="BA63" i="4"/>
  <c r="AW64" i="4"/>
  <c r="AY64" i="4"/>
  <c r="BA64" i="4"/>
  <c r="AW65" i="4"/>
  <c r="AY65" i="4"/>
  <c r="BA65" i="4"/>
  <c r="AW66" i="4"/>
  <c r="AY66" i="4"/>
  <c r="BA66" i="4"/>
  <c r="AW67" i="4"/>
  <c r="AY67" i="4"/>
  <c r="BA67" i="4"/>
  <c r="AW68" i="4"/>
  <c r="AY68" i="4"/>
  <c r="BA68" i="4"/>
  <c r="AW69" i="4"/>
  <c r="AY69" i="4"/>
  <c r="BA69" i="4"/>
  <c r="AW70" i="4"/>
  <c r="AY70" i="4"/>
  <c r="BA70" i="4"/>
  <c r="AW71" i="4"/>
  <c r="AY71" i="4"/>
  <c r="BA71" i="4"/>
  <c r="AW72" i="4"/>
  <c r="AY72" i="4"/>
  <c r="BA72" i="4"/>
  <c r="AW73" i="4"/>
  <c r="AY73" i="4"/>
  <c r="BA73" i="4"/>
  <c r="AW74" i="4"/>
  <c r="AY74" i="4"/>
  <c r="BA74" i="4"/>
  <c r="AW75" i="4"/>
  <c r="AY75" i="4"/>
  <c r="BA75" i="4"/>
  <c r="AW76" i="4"/>
  <c r="AY76" i="4"/>
  <c r="BA76" i="4"/>
  <c r="AW77" i="4"/>
  <c r="AY77" i="4"/>
  <c r="BA77" i="4"/>
  <c r="AW78" i="4"/>
  <c r="AY78" i="4"/>
  <c r="BA78" i="4"/>
  <c r="AW79" i="4"/>
  <c r="AY79" i="4"/>
  <c r="BA79" i="4"/>
  <c r="AW80" i="4"/>
  <c r="AY80" i="4"/>
  <c r="BA80" i="4"/>
  <c r="AW81" i="4"/>
  <c r="AY81" i="4"/>
  <c r="BA81" i="4"/>
  <c r="AW82" i="4"/>
  <c r="AY82" i="4"/>
  <c r="BA82" i="4"/>
  <c r="AW83" i="4"/>
  <c r="AY83" i="4"/>
  <c r="BA83" i="4"/>
  <c r="AW84" i="4"/>
  <c r="AY84" i="4"/>
  <c r="BA84" i="4"/>
  <c r="AW85" i="4"/>
  <c r="AY85" i="4"/>
  <c r="BA85" i="4"/>
  <c r="AW86" i="4"/>
  <c r="AY86" i="4"/>
  <c r="BA86" i="4"/>
  <c r="AW87" i="4"/>
  <c r="AY87" i="4"/>
  <c r="BA87" i="4"/>
  <c r="AW88" i="4"/>
  <c r="AY88" i="4"/>
  <c r="BA88" i="4"/>
  <c r="AW89" i="4"/>
  <c r="AY89" i="4"/>
  <c r="BA89" i="4"/>
  <c r="AW90" i="4"/>
  <c r="AY90" i="4"/>
  <c r="BA90" i="4"/>
  <c r="AW91" i="4"/>
  <c r="AY91" i="4"/>
  <c r="BA91" i="4"/>
  <c r="AW92" i="4"/>
  <c r="AY92" i="4"/>
  <c r="BA92" i="4"/>
  <c r="AW93" i="4"/>
  <c r="AY93" i="4"/>
  <c r="BA93" i="4"/>
  <c r="AW94" i="4"/>
  <c r="AY94" i="4"/>
  <c r="BA94" i="4"/>
  <c r="AW95" i="4"/>
  <c r="AY95" i="4"/>
  <c r="BA95" i="4"/>
  <c r="AW96" i="4"/>
  <c r="AY96" i="4"/>
  <c r="BA96" i="4"/>
  <c r="AW97" i="4"/>
  <c r="AY97" i="4"/>
  <c r="BA97" i="4"/>
  <c r="AW98" i="4"/>
  <c r="AY98" i="4"/>
  <c r="BA98" i="4"/>
  <c r="AW99" i="4"/>
  <c r="AY99" i="4"/>
  <c r="BA99" i="4"/>
  <c r="AW100" i="4"/>
  <c r="AY100" i="4"/>
  <c r="BA100" i="4"/>
  <c r="AW101" i="4"/>
  <c r="AY101" i="4"/>
  <c r="BA101" i="4"/>
  <c r="AW102" i="4"/>
  <c r="AY102" i="4"/>
  <c r="BA102" i="4"/>
  <c r="AW103" i="4"/>
  <c r="AY103" i="4"/>
  <c r="BA103" i="4"/>
  <c r="AW104" i="4"/>
  <c r="AY104" i="4"/>
  <c r="BA104" i="4"/>
  <c r="AW105" i="4"/>
  <c r="AY105" i="4"/>
  <c r="BA105" i="4"/>
  <c r="AW106" i="4"/>
  <c r="AY106" i="4"/>
  <c r="BA106" i="4"/>
  <c r="AW107" i="4"/>
  <c r="AY107" i="4"/>
  <c r="BA107" i="4"/>
  <c r="AW108" i="4"/>
  <c r="AY108" i="4"/>
  <c r="BA108" i="4"/>
  <c r="AW109" i="4"/>
  <c r="AY109" i="4"/>
  <c r="BA109" i="4"/>
  <c r="AW110" i="4"/>
  <c r="AY110" i="4"/>
  <c r="BA110" i="4"/>
  <c r="AW111" i="4"/>
  <c r="AY111" i="4"/>
  <c r="BA111" i="4"/>
  <c r="AW112" i="4"/>
  <c r="AY112" i="4"/>
  <c r="BA112" i="4"/>
  <c r="AW113" i="4"/>
  <c r="AY113" i="4"/>
  <c r="BA113" i="4"/>
  <c r="AW114" i="4"/>
  <c r="AY114" i="4"/>
  <c r="BA114" i="4"/>
  <c r="AW115" i="4"/>
  <c r="AY115" i="4"/>
  <c r="BA115" i="4"/>
  <c r="AW116" i="4"/>
  <c r="AY116" i="4"/>
  <c r="BA116" i="4"/>
  <c r="AW117" i="4"/>
  <c r="AY117" i="4"/>
  <c r="BA117" i="4"/>
  <c r="AW118" i="4"/>
  <c r="AY118" i="4"/>
  <c r="BA118" i="4"/>
  <c r="AW119" i="4"/>
  <c r="AY119" i="4"/>
  <c r="BA119" i="4"/>
  <c r="AW120" i="4"/>
  <c r="AY120" i="4"/>
  <c r="BA120" i="4"/>
  <c r="AW121" i="4"/>
  <c r="AY121" i="4"/>
  <c r="BA121" i="4"/>
  <c r="AW122" i="4"/>
  <c r="AY122" i="4"/>
  <c r="BA122" i="4"/>
  <c r="AW123" i="4"/>
  <c r="AY123" i="4"/>
  <c r="BA123" i="4"/>
  <c r="AW124" i="4"/>
  <c r="AY124" i="4"/>
  <c r="BA124" i="4"/>
  <c r="AW125" i="4"/>
  <c r="AY125" i="4"/>
  <c r="BA125" i="4"/>
  <c r="AW126" i="4"/>
  <c r="AY126" i="4"/>
  <c r="BA126" i="4"/>
  <c r="AW127" i="4"/>
  <c r="AY127" i="4"/>
  <c r="BA127" i="4"/>
  <c r="AW128" i="4"/>
  <c r="AY128" i="4"/>
  <c r="BA128" i="4"/>
  <c r="AW129" i="4"/>
  <c r="AY129" i="4"/>
  <c r="BA129" i="4"/>
  <c r="AW130" i="4"/>
  <c r="AY130" i="4"/>
  <c r="BA130" i="4"/>
  <c r="AW131" i="4"/>
  <c r="AY131" i="4"/>
  <c r="BA131" i="4"/>
  <c r="AW132" i="4"/>
  <c r="AY132" i="4"/>
  <c r="BA132" i="4"/>
  <c r="AW133" i="4"/>
  <c r="AY133" i="4"/>
  <c r="BA133" i="4"/>
  <c r="AW134" i="4"/>
  <c r="AY134" i="4"/>
  <c r="BA134" i="4"/>
  <c r="AW135" i="4"/>
  <c r="AY135" i="4"/>
  <c r="BA135" i="4"/>
  <c r="AW136" i="4"/>
  <c r="AY136" i="4"/>
  <c r="BA136" i="4"/>
  <c r="AW137" i="4"/>
  <c r="AY137" i="4"/>
  <c r="BA137" i="4"/>
  <c r="AW138" i="4"/>
  <c r="AY138" i="4"/>
  <c r="BA138" i="4"/>
  <c r="AW139" i="4"/>
  <c r="AY139" i="4"/>
  <c r="BA139" i="4"/>
  <c r="AW140" i="4"/>
  <c r="AY140" i="4"/>
  <c r="BA140" i="4"/>
  <c r="AW141" i="4"/>
  <c r="AY141" i="4"/>
  <c r="BA141" i="4"/>
  <c r="AW142" i="4"/>
  <c r="AY142" i="4"/>
  <c r="BA142" i="4"/>
  <c r="AW143" i="4"/>
  <c r="AY143" i="4"/>
  <c r="BA143" i="4"/>
  <c r="AW144" i="4"/>
  <c r="AY144" i="4"/>
  <c r="BA144" i="4"/>
  <c r="AW145" i="4"/>
  <c r="AY145" i="4"/>
  <c r="BA145" i="4"/>
  <c r="AW146" i="4"/>
  <c r="AY146" i="4"/>
  <c r="BA146" i="4"/>
  <c r="AW147" i="4"/>
  <c r="AY147" i="4"/>
  <c r="BA147" i="4"/>
  <c r="AW148" i="4"/>
  <c r="AY148" i="4"/>
  <c r="BA148" i="4"/>
  <c r="AW149" i="4"/>
  <c r="AY149" i="4"/>
  <c r="BA149" i="4"/>
  <c r="AW150" i="4"/>
  <c r="AY150" i="4"/>
  <c r="BA150" i="4"/>
  <c r="AW151" i="4"/>
  <c r="AY151" i="4"/>
  <c r="BA151" i="4"/>
  <c r="AW152" i="4"/>
  <c r="AY152" i="4"/>
  <c r="BA152" i="4"/>
  <c r="AW153" i="4"/>
  <c r="AY153" i="4"/>
  <c r="BA153" i="4"/>
  <c r="AW154" i="4"/>
  <c r="AY154" i="4"/>
  <c r="BA154" i="4"/>
  <c r="AW155" i="4"/>
  <c r="AY155" i="4"/>
  <c r="BA155" i="4"/>
  <c r="AW156" i="4"/>
  <c r="AY156" i="4"/>
  <c r="BA156" i="4"/>
  <c r="AW157" i="4"/>
  <c r="AY157" i="4"/>
  <c r="BA157" i="4"/>
  <c r="AW158" i="4"/>
  <c r="AY158" i="4"/>
  <c r="BA158" i="4"/>
  <c r="AW159" i="4"/>
  <c r="AY159" i="4"/>
  <c r="BA159" i="4"/>
  <c r="AW160" i="4"/>
  <c r="AY160" i="4"/>
  <c r="BA160" i="4"/>
  <c r="AW161" i="4"/>
  <c r="AY161" i="4"/>
  <c r="BA161" i="4"/>
  <c r="AW162" i="4"/>
  <c r="AY162" i="4"/>
  <c r="BA162" i="4"/>
  <c r="AW163" i="4"/>
  <c r="AY163" i="4"/>
  <c r="BA163" i="4"/>
  <c r="AW164" i="4"/>
  <c r="AY164" i="4"/>
  <c r="BA164" i="4"/>
  <c r="AW165" i="4"/>
  <c r="AY165" i="4"/>
  <c r="BA165" i="4"/>
  <c r="AW166" i="4"/>
  <c r="AY166" i="4"/>
  <c r="BA166" i="4"/>
  <c r="AW167" i="4"/>
  <c r="AY167" i="4"/>
  <c r="BA167" i="4"/>
  <c r="AW168" i="4"/>
  <c r="AY168" i="4"/>
  <c r="BA168" i="4"/>
  <c r="AW169" i="4"/>
  <c r="AY169" i="4"/>
  <c r="BA169" i="4"/>
  <c r="AW170" i="4"/>
  <c r="AY170" i="4"/>
  <c r="BA170" i="4"/>
  <c r="AW171" i="4"/>
  <c r="AY171" i="4"/>
  <c r="BA171" i="4"/>
  <c r="AW172" i="4"/>
  <c r="AY172" i="4"/>
  <c r="BA172" i="4"/>
  <c r="AW173" i="4"/>
  <c r="AY173" i="4"/>
  <c r="BA173" i="4"/>
  <c r="AW174" i="4"/>
  <c r="AY174" i="4"/>
  <c r="BA174" i="4"/>
  <c r="AW175" i="4"/>
  <c r="AY175" i="4"/>
  <c r="BA175" i="4"/>
  <c r="AW176" i="4"/>
  <c r="AY176" i="4"/>
  <c r="BA176" i="4"/>
  <c r="AW177" i="4"/>
  <c r="AY177" i="4"/>
  <c r="BA177" i="4"/>
  <c r="AW178" i="4"/>
  <c r="AY178" i="4"/>
  <c r="BA178" i="4"/>
  <c r="AW179" i="4"/>
  <c r="AY179" i="4"/>
  <c r="BA179" i="4"/>
  <c r="AW180" i="4"/>
  <c r="AY180" i="4"/>
  <c r="BA180" i="4"/>
  <c r="AW181" i="4"/>
  <c r="AY181" i="4"/>
  <c r="BA181" i="4"/>
  <c r="AW182" i="4"/>
  <c r="AY182" i="4"/>
  <c r="BA182" i="4"/>
  <c r="AW183" i="4"/>
  <c r="AY183" i="4"/>
  <c r="BA183" i="4"/>
  <c r="AW184" i="4"/>
  <c r="AY184" i="4"/>
  <c r="BA184" i="4"/>
  <c r="AW185" i="4"/>
  <c r="AY185" i="4"/>
  <c r="BA185" i="4"/>
  <c r="AW186" i="4"/>
  <c r="AY186" i="4"/>
  <c r="BA186" i="4"/>
  <c r="AW187" i="4"/>
  <c r="AY187" i="4"/>
  <c r="BA187" i="4"/>
  <c r="AW188" i="4"/>
  <c r="AY188" i="4"/>
  <c r="BA188" i="4"/>
  <c r="AW189" i="4"/>
  <c r="AY189" i="4"/>
  <c r="BA189" i="4"/>
  <c r="AW190" i="4"/>
  <c r="AY190" i="4"/>
  <c r="BA190" i="4"/>
  <c r="AW191" i="4"/>
  <c r="AY191" i="4"/>
  <c r="BA191" i="4"/>
  <c r="AW192" i="4"/>
  <c r="AY192" i="4"/>
  <c r="BA192" i="4"/>
  <c r="AW193" i="4"/>
  <c r="AY193" i="4"/>
  <c r="BA193" i="4"/>
  <c r="AW194" i="4"/>
  <c r="AY194" i="4"/>
  <c r="BA194" i="4"/>
  <c r="AW195" i="4"/>
  <c r="AY195" i="4"/>
  <c r="BA195" i="4"/>
  <c r="AW196" i="4"/>
  <c r="AY196" i="4"/>
  <c r="BA196" i="4"/>
  <c r="AW197" i="4"/>
  <c r="AY197" i="4"/>
  <c r="BA197" i="4"/>
  <c r="AW198" i="4"/>
  <c r="AY198" i="4"/>
  <c r="BA198" i="4"/>
  <c r="AW199" i="4"/>
  <c r="AY199" i="4"/>
  <c r="BA199" i="4"/>
  <c r="AW200" i="4"/>
  <c r="AY200" i="4"/>
  <c r="BA200" i="4"/>
  <c r="AW201" i="4"/>
  <c r="AY201" i="4"/>
  <c r="BA201" i="4"/>
  <c r="AW202" i="4"/>
  <c r="AY202" i="4"/>
  <c r="BA202" i="4"/>
  <c r="AW203" i="4"/>
  <c r="AY203" i="4"/>
  <c r="BA203" i="4"/>
  <c r="AW204" i="4"/>
  <c r="AY204" i="4"/>
  <c r="BA204" i="4"/>
  <c r="AW205" i="4"/>
  <c r="AY205" i="4"/>
  <c r="BA205" i="4"/>
  <c r="AW206" i="4"/>
  <c r="AY206" i="4"/>
  <c r="BA206" i="4"/>
  <c r="AW207" i="4"/>
  <c r="AY207" i="4"/>
  <c r="BA207" i="4"/>
  <c r="AW208" i="4"/>
  <c r="AY208" i="4"/>
  <c r="BA208" i="4"/>
  <c r="AW209" i="4"/>
  <c r="AY209" i="4"/>
  <c r="BA209" i="4"/>
  <c r="AW210" i="4"/>
  <c r="AY210" i="4"/>
  <c r="BA210" i="4"/>
  <c r="AW211" i="4"/>
  <c r="AY211" i="4"/>
  <c r="BA211" i="4"/>
  <c r="AW212" i="4"/>
  <c r="AY212" i="4"/>
  <c r="BA212" i="4"/>
  <c r="AW213" i="4"/>
  <c r="AY213" i="4"/>
  <c r="BA213" i="4"/>
  <c r="AW214" i="4"/>
  <c r="AY214" i="4"/>
  <c r="BA214" i="4"/>
  <c r="AW215" i="4"/>
  <c r="AY215" i="4"/>
  <c r="BA215" i="4"/>
  <c r="AW216" i="4"/>
  <c r="AY216" i="4"/>
  <c r="BA216" i="4"/>
  <c r="AW217" i="4"/>
  <c r="AY217" i="4"/>
  <c r="BA217" i="4"/>
  <c r="AW218" i="4"/>
  <c r="AY218" i="4"/>
  <c r="BA218" i="4"/>
  <c r="AW219" i="4"/>
  <c r="AY219" i="4"/>
  <c r="BA219" i="4"/>
  <c r="AW220" i="4"/>
  <c r="AY220" i="4"/>
  <c r="BA220" i="4"/>
  <c r="AW221" i="4"/>
  <c r="AY221" i="4"/>
  <c r="BA221" i="4"/>
  <c r="AW222" i="4"/>
  <c r="AY222" i="4"/>
  <c r="BA222" i="4"/>
  <c r="AW223" i="4"/>
  <c r="AY223" i="4"/>
  <c r="BA223" i="4"/>
  <c r="AW224" i="4"/>
  <c r="AY224" i="4"/>
  <c r="BA224" i="4"/>
  <c r="AW225" i="4"/>
  <c r="AY225" i="4"/>
  <c r="BA225" i="4"/>
  <c r="AW226" i="4"/>
  <c r="AY226" i="4"/>
  <c r="BA226" i="4"/>
  <c r="AW227" i="4"/>
  <c r="AY227" i="4"/>
  <c r="BA227" i="4"/>
  <c r="AW228" i="4"/>
  <c r="AY228" i="4"/>
  <c r="BA228" i="4"/>
  <c r="AW229" i="4"/>
  <c r="AY229" i="4"/>
  <c r="BA229" i="4"/>
  <c r="AW230" i="4"/>
  <c r="AY230" i="4"/>
  <c r="BA230" i="4"/>
  <c r="AW231" i="4"/>
  <c r="AY231" i="4"/>
  <c r="BA231" i="4"/>
  <c r="AW232" i="4"/>
  <c r="AY232" i="4"/>
  <c r="BA232" i="4"/>
  <c r="AW233" i="4"/>
  <c r="AY233" i="4"/>
  <c r="BA233" i="4"/>
  <c r="AW234" i="4"/>
  <c r="AY234" i="4"/>
  <c r="BA234" i="4"/>
  <c r="AW235" i="4"/>
  <c r="AY235" i="4"/>
  <c r="BA235" i="4"/>
  <c r="AW236" i="4"/>
  <c r="AY236" i="4"/>
  <c r="BA236" i="4"/>
  <c r="AW237" i="4"/>
  <c r="AY237" i="4"/>
  <c r="BA237" i="4"/>
  <c r="AW238" i="4"/>
  <c r="AY238" i="4"/>
  <c r="BA238" i="4"/>
  <c r="AW239" i="4"/>
  <c r="AY239" i="4"/>
  <c r="BA239" i="4"/>
  <c r="AW240" i="4"/>
  <c r="AY240" i="4"/>
  <c r="BA240" i="4"/>
  <c r="AW241" i="4"/>
  <c r="AY241" i="4"/>
  <c r="BA241" i="4"/>
  <c r="AW242" i="4"/>
  <c r="AY242" i="4"/>
  <c r="BA242" i="4"/>
  <c r="AW243" i="4"/>
  <c r="AY243" i="4"/>
  <c r="BA243" i="4"/>
  <c r="AW244" i="4"/>
  <c r="AY244" i="4"/>
  <c r="BA244" i="4"/>
  <c r="AW245" i="4"/>
  <c r="AY245" i="4"/>
  <c r="BA245" i="4"/>
  <c r="AW246" i="4"/>
  <c r="AY246" i="4"/>
  <c r="BA246" i="4"/>
  <c r="AW247" i="4"/>
  <c r="AY247" i="4"/>
  <c r="BA247" i="4"/>
  <c r="AW248" i="4"/>
  <c r="AY248" i="4"/>
  <c r="BA248" i="4"/>
  <c r="AW249" i="4"/>
  <c r="AY249" i="4"/>
  <c r="BA249" i="4"/>
  <c r="AW250" i="4"/>
  <c r="AY250" i="4"/>
  <c r="BA250" i="4"/>
  <c r="AW251" i="4"/>
  <c r="AY251" i="4"/>
  <c r="BA251" i="4"/>
  <c r="AW252" i="4"/>
  <c r="AY252" i="4"/>
  <c r="BA252" i="4"/>
  <c r="AW253" i="4"/>
  <c r="AY253" i="4"/>
  <c r="BA253" i="4"/>
  <c r="AW254" i="4"/>
  <c r="AY254" i="4"/>
  <c r="BA254" i="4"/>
  <c r="AW255" i="4"/>
  <c r="AY255" i="4"/>
  <c r="BA255" i="4"/>
  <c r="AW256" i="4"/>
  <c r="AY256" i="4"/>
  <c r="BA256" i="4"/>
  <c r="AW257" i="4"/>
  <c r="AY257" i="4"/>
  <c r="BA257" i="4"/>
  <c r="AW258" i="4"/>
  <c r="AY258" i="4"/>
  <c r="BA258" i="4"/>
  <c r="AW259" i="4"/>
  <c r="AY259" i="4"/>
  <c r="BA259" i="4"/>
  <c r="AW260" i="4"/>
  <c r="AY260" i="4"/>
  <c r="BA260" i="4"/>
  <c r="AW261" i="4"/>
  <c r="AY261" i="4"/>
  <c r="BA261" i="4"/>
  <c r="AW262" i="4"/>
  <c r="AY262" i="4"/>
  <c r="BA262" i="4"/>
  <c r="AW263" i="4"/>
  <c r="AY263" i="4"/>
  <c r="BA263" i="4"/>
  <c r="AW264" i="4"/>
  <c r="AY264" i="4"/>
  <c r="BA264" i="4"/>
  <c r="AW265" i="4"/>
  <c r="AY265" i="4"/>
  <c r="BA265" i="4"/>
  <c r="AW266" i="4"/>
  <c r="AY266" i="4"/>
  <c r="BA266" i="4"/>
  <c r="AW267" i="4"/>
  <c r="AY267" i="4"/>
  <c r="BA267" i="4"/>
  <c r="AW268" i="4"/>
  <c r="AY268" i="4"/>
  <c r="BA268" i="4"/>
  <c r="AW269" i="4"/>
  <c r="AY269" i="4"/>
  <c r="BA269" i="4"/>
  <c r="AW270" i="4"/>
  <c r="AY270" i="4"/>
  <c r="BA270" i="4"/>
  <c r="AW271" i="4"/>
  <c r="AY271" i="4"/>
  <c r="BA271" i="4"/>
  <c r="AW272" i="4"/>
  <c r="AY272" i="4"/>
  <c r="BA272" i="4"/>
  <c r="AW273" i="4"/>
  <c r="AY273" i="4"/>
  <c r="BA273" i="4"/>
  <c r="AW274" i="4"/>
  <c r="AY274" i="4"/>
  <c r="BA274" i="4"/>
  <c r="AW275" i="4"/>
  <c r="AY275" i="4"/>
  <c r="BA275" i="4"/>
  <c r="AW276" i="4"/>
  <c r="AY276" i="4"/>
  <c r="BA276" i="4"/>
  <c r="AW277" i="4"/>
  <c r="AY277" i="4"/>
  <c r="BA277" i="4"/>
  <c r="AW278" i="4"/>
  <c r="AY278" i="4"/>
  <c r="BA278" i="4"/>
  <c r="AW279" i="4"/>
  <c r="AY279" i="4"/>
  <c r="BA279" i="4"/>
  <c r="AW280" i="4"/>
  <c r="AY280" i="4"/>
  <c r="BA280" i="4"/>
  <c r="AW281" i="4"/>
  <c r="AY281" i="4"/>
  <c r="BA281" i="4"/>
  <c r="AW282" i="4"/>
  <c r="AY282" i="4"/>
  <c r="BA282" i="4"/>
  <c r="AW283" i="4"/>
  <c r="AY283" i="4"/>
  <c r="BA283" i="4"/>
  <c r="AW284" i="4"/>
  <c r="AY284" i="4"/>
  <c r="BA284" i="4"/>
  <c r="AW285" i="4"/>
  <c r="AY285" i="4"/>
  <c r="BA285" i="4"/>
  <c r="AW286" i="4"/>
  <c r="AY286" i="4"/>
  <c r="BA286" i="4"/>
  <c r="AW287" i="4"/>
  <c r="AY287" i="4"/>
  <c r="BA287" i="4"/>
  <c r="AW288" i="4"/>
  <c r="AY288" i="4"/>
  <c r="BA288" i="4"/>
  <c r="AW289" i="4"/>
  <c r="AY289" i="4"/>
  <c r="BA289" i="4"/>
  <c r="AW290" i="4"/>
  <c r="AY290" i="4"/>
  <c r="BA290" i="4"/>
  <c r="AW291" i="4"/>
  <c r="AY291" i="4"/>
  <c r="BA291" i="4"/>
  <c r="AW292" i="4"/>
  <c r="AY292" i="4"/>
  <c r="BA292" i="4"/>
  <c r="AW293" i="4"/>
  <c r="AY293" i="4"/>
  <c r="BA293" i="4"/>
  <c r="AW294" i="4"/>
  <c r="AY294" i="4"/>
  <c r="BA294" i="4"/>
  <c r="AW295" i="4"/>
  <c r="AY295" i="4"/>
  <c r="BA295" i="4"/>
  <c r="AW296" i="4"/>
  <c r="AY296" i="4"/>
  <c r="BA296" i="4"/>
  <c r="AW297" i="4"/>
  <c r="AY297" i="4"/>
  <c r="BA297" i="4"/>
  <c r="AW298" i="4"/>
  <c r="AY298" i="4"/>
  <c r="BA298" i="4"/>
  <c r="AW299" i="4"/>
  <c r="AY299" i="4"/>
  <c r="BA299" i="4"/>
  <c r="AW300" i="4"/>
  <c r="AY300" i="4"/>
  <c r="BA300" i="4"/>
  <c r="AW301" i="4"/>
  <c r="AY301" i="4"/>
  <c r="BA301" i="4"/>
  <c r="AW302" i="4"/>
  <c r="AY302" i="4"/>
  <c r="BA302" i="4"/>
  <c r="AW303" i="4"/>
  <c r="AY303" i="4"/>
  <c r="BA303" i="4"/>
  <c r="AW304" i="4"/>
  <c r="AY304" i="4"/>
  <c r="BA304" i="4"/>
  <c r="AW305" i="4"/>
  <c r="AY305" i="4"/>
  <c r="BA305" i="4"/>
  <c r="AW306" i="4"/>
  <c r="AY306" i="4"/>
  <c r="BA306" i="4"/>
  <c r="AW307" i="4"/>
  <c r="AY307" i="4"/>
  <c r="BA307" i="4"/>
  <c r="AW308" i="4"/>
  <c r="AY308" i="4"/>
  <c r="BA308" i="4"/>
  <c r="AW309" i="4"/>
  <c r="AY309" i="4"/>
  <c r="BA309" i="4"/>
  <c r="AW310" i="4"/>
  <c r="AY310" i="4"/>
  <c r="BA310" i="4"/>
  <c r="AW311" i="4"/>
  <c r="AY311" i="4"/>
  <c r="BA311" i="4"/>
  <c r="AW312" i="4"/>
  <c r="AY312" i="4"/>
  <c r="BA312" i="4"/>
  <c r="AW313" i="4"/>
  <c r="AY313" i="4"/>
  <c r="BA313" i="4"/>
  <c r="AW314" i="4"/>
  <c r="AY314" i="4"/>
  <c r="BA314" i="4"/>
  <c r="AW315" i="4"/>
  <c r="AY315" i="4"/>
  <c r="BA315" i="4"/>
  <c r="AW316" i="4"/>
  <c r="AY316" i="4"/>
  <c r="BA316" i="4"/>
  <c r="AW317" i="4"/>
  <c r="AY317" i="4"/>
  <c r="BA317" i="4"/>
  <c r="AW318" i="4"/>
  <c r="AY318" i="4"/>
  <c r="BA318" i="4"/>
  <c r="AW319" i="4"/>
  <c r="AY319" i="4"/>
  <c r="BA319" i="4"/>
  <c r="AW320" i="4"/>
  <c r="AY320" i="4"/>
  <c r="BA320" i="4"/>
  <c r="AW321" i="4"/>
  <c r="AY321" i="4"/>
  <c r="BA321" i="4"/>
  <c r="AW322" i="4"/>
  <c r="AY322" i="4"/>
  <c r="BA322" i="4"/>
  <c r="AW323" i="4"/>
  <c r="AY323" i="4"/>
  <c r="BA323" i="4"/>
  <c r="AW324" i="4"/>
  <c r="AY324" i="4"/>
  <c r="BA324" i="4"/>
  <c r="AW325" i="4"/>
  <c r="AY325" i="4"/>
  <c r="BA325" i="4"/>
  <c r="AW326" i="4"/>
  <c r="AY326" i="4"/>
  <c r="BA326" i="4"/>
  <c r="AW327" i="4"/>
  <c r="AY327" i="4"/>
  <c r="BA327" i="4"/>
  <c r="AW328" i="4"/>
  <c r="AY328" i="4"/>
  <c r="BA328" i="4"/>
  <c r="AW329" i="4"/>
  <c r="AY329" i="4"/>
  <c r="BA329" i="4"/>
  <c r="AW330" i="4"/>
  <c r="AY330" i="4"/>
  <c r="BA330" i="4"/>
  <c r="AW331" i="4"/>
  <c r="AY331" i="4"/>
  <c r="BA331" i="4"/>
  <c r="AW332" i="4"/>
  <c r="AY332" i="4"/>
  <c r="BA332" i="4"/>
  <c r="AW333" i="4"/>
  <c r="AY333" i="4"/>
  <c r="BA333" i="4"/>
  <c r="AW334" i="4"/>
  <c r="AY334" i="4"/>
  <c r="BA334" i="4"/>
  <c r="AW335" i="4"/>
  <c r="AY335" i="4"/>
  <c r="BA335" i="4"/>
  <c r="AW336" i="4"/>
  <c r="AY336" i="4"/>
  <c r="BA336" i="4"/>
  <c r="AW337" i="4"/>
  <c r="AY337" i="4"/>
  <c r="BA337" i="4"/>
  <c r="AW338" i="4"/>
  <c r="AY338" i="4"/>
  <c r="BA338" i="4"/>
  <c r="AW339" i="4"/>
  <c r="AY339" i="4"/>
  <c r="BA339" i="4"/>
  <c r="AW340" i="4"/>
  <c r="AY340" i="4"/>
  <c r="BA340" i="4"/>
  <c r="AW341" i="4"/>
  <c r="AY341" i="4"/>
  <c r="BA341" i="4"/>
  <c r="AW342" i="4"/>
  <c r="AY342" i="4"/>
  <c r="BA342" i="4"/>
  <c r="AW343" i="4"/>
  <c r="AY343" i="4"/>
  <c r="BA343" i="4"/>
  <c r="AW344" i="4"/>
  <c r="AY344" i="4"/>
  <c r="BA344" i="4"/>
  <c r="AW345" i="4"/>
  <c r="AY345" i="4"/>
  <c r="BA345" i="4"/>
  <c r="AW346" i="4"/>
  <c r="AY346" i="4"/>
  <c r="BA346" i="4"/>
  <c r="AW347" i="4"/>
  <c r="AY347" i="4"/>
  <c r="BA347" i="4"/>
  <c r="AW348" i="4"/>
  <c r="AY348" i="4"/>
  <c r="BA348" i="4"/>
  <c r="AW349" i="4"/>
  <c r="AY349" i="4"/>
  <c r="BA349" i="4"/>
  <c r="AW350" i="4"/>
  <c r="AY350" i="4"/>
  <c r="BA350" i="4"/>
  <c r="AW351" i="4"/>
  <c r="AY351" i="4"/>
  <c r="BA351" i="4"/>
  <c r="AW352" i="4"/>
  <c r="AY352" i="4"/>
  <c r="BA352" i="4"/>
  <c r="AW353" i="4"/>
  <c r="AY353" i="4"/>
  <c r="BA353" i="4"/>
  <c r="AW354" i="4"/>
  <c r="AY354" i="4"/>
  <c r="BA354" i="4"/>
  <c r="AW355" i="4"/>
  <c r="AY355" i="4"/>
  <c r="BA355" i="4"/>
  <c r="AW356" i="4"/>
  <c r="AY356" i="4"/>
  <c r="BA356" i="4"/>
  <c r="AW357" i="4"/>
  <c r="AY357" i="4"/>
  <c r="BA357" i="4"/>
  <c r="AW358" i="4"/>
  <c r="AY358" i="4"/>
  <c r="BA358" i="4"/>
  <c r="AW359" i="4"/>
  <c r="AY359" i="4"/>
  <c r="BA359" i="4"/>
  <c r="AW360" i="4"/>
  <c r="AY360" i="4"/>
  <c r="BA360" i="4"/>
  <c r="AW361" i="4"/>
  <c r="AY361" i="4"/>
  <c r="BA361" i="4"/>
  <c r="AW362" i="4"/>
  <c r="AY362" i="4"/>
  <c r="BA362" i="4"/>
  <c r="AW363" i="4"/>
  <c r="AY363" i="4"/>
  <c r="BA363" i="4"/>
  <c r="AW364" i="4"/>
  <c r="AY364" i="4"/>
  <c r="BA364" i="4"/>
  <c r="AW365" i="4"/>
  <c r="AY365" i="4"/>
  <c r="BA365" i="4"/>
  <c r="AW366" i="4"/>
  <c r="AY366" i="4"/>
  <c r="BA366" i="4"/>
  <c r="AW367" i="4"/>
  <c r="AY367" i="4"/>
  <c r="BA367" i="4"/>
  <c r="AW368" i="4"/>
  <c r="AY368" i="4"/>
  <c r="BA368" i="4"/>
  <c r="AW369" i="4"/>
  <c r="AY369" i="4"/>
  <c r="BA369" i="4"/>
  <c r="AW370" i="4"/>
  <c r="AY370" i="4"/>
  <c r="BA370" i="4"/>
  <c r="AW371" i="4"/>
  <c r="AY371" i="4"/>
  <c r="BA371" i="4"/>
  <c r="AW372" i="4"/>
  <c r="AY372" i="4"/>
  <c r="BA372" i="4"/>
  <c r="AW373" i="4"/>
  <c r="AY373" i="4"/>
  <c r="BA373" i="4"/>
  <c r="AW374" i="4"/>
  <c r="AY374" i="4"/>
  <c r="BA374" i="4"/>
  <c r="AW375" i="4"/>
  <c r="AY375" i="4"/>
  <c r="BA375" i="4"/>
  <c r="AW376" i="4"/>
  <c r="AY376" i="4"/>
  <c r="BA376" i="4"/>
  <c r="AW377" i="4"/>
  <c r="AY377" i="4"/>
  <c r="BA377" i="4"/>
  <c r="AW378" i="4"/>
  <c r="AY378" i="4"/>
  <c r="BA378" i="4"/>
  <c r="AW379" i="4"/>
  <c r="AY379" i="4"/>
  <c r="BA379" i="4"/>
  <c r="AW380" i="4"/>
  <c r="AY380" i="4"/>
  <c r="BA380" i="4"/>
  <c r="AW381" i="4"/>
  <c r="AY381" i="4"/>
  <c r="BA381" i="4"/>
  <c r="AW382" i="4"/>
  <c r="AY382" i="4"/>
  <c r="BA382" i="4"/>
  <c r="AW383" i="4"/>
  <c r="AY383" i="4"/>
  <c r="BA383" i="4"/>
  <c r="AW384" i="4"/>
  <c r="AY384" i="4"/>
  <c r="BA384" i="4"/>
  <c r="AW385" i="4"/>
  <c r="AY385" i="4"/>
  <c r="BA385" i="4"/>
  <c r="AW386" i="4"/>
  <c r="AY386" i="4"/>
  <c r="BA386" i="4"/>
  <c r="AW387" i="4"/>
  <c r="AY387" i="4"/>
  <c r="BA387" i="4"/>
  <c r="AW388" i="4"/>
  <c r="AY388" i="4"/>
  <c r="BA388" i="4"/>
  <c r="AW389" i="4"/>
  <c r="AY389" i="4"/>
  <c r="BA389" i="4"/>
  <c r="AW390" i="4"/>
  <c r="AY390" i="4"/>
  <c r="BA390" i="4"/>
  <c r="AW391" i="4"/>
  <c r="AY391" i="4"/>
  <c r="BA391" i="4"/>
  <c r="AW392" i="4"/>
  <c r="AY392" i="4"/>
  <c r="BA392" i="4"/>
  <c r="AW393" i="4"/>
  <c r="AY393" i="4"/>
  <c r="BA393" i="4"/>
  <c r="AW394" i="4"/>
  <c r="AY394" i="4"/>
  <c r="BA394" i="4"/>
  <c r="AW395" i="4"/>
  <c r="AY395" i="4"/>
  <c r="BA395" i="4"/>
  <c r="AW396" i="4"/>
  <c r="AY396" i="4"/>
  <c r="BA396" i="4"/>
  <c r="AW397" i="4"/>
  <c r="AY397" i="4"/>
  <c r="BA397" i="4"/>
  <c r="AW398" i="4"/>
  <c r="AY398" i="4"/>
  <c r="BA398" i="4"/>
  <c r="AW399" i="4"/>
  <c r="AY399" i="4"/>
  <c r="BA399" i="4"/>
  <c r="AW400" i="4"/>
  <c r="AY400" i="4"/>
  <c r="BA400" i="4"/>
  <c r="AW401" i="4"/>
  <c r="AY401" i="4"/>
  <c r="BA401" i="4"/>
  <c r="AW402" i="4"/>
  <c r="AY402" i="4"/>
  <c r="BA402" i="4"/>
  <c r="AW403" i="4"/>
  <c r="AY403" i="4"/>
  <c r="BA403" i="4"/>
  <c r="AW404" i="4"/>
  <c r="AY404" i="4"/>
  <c r="BA404" i="4"/>
  <c r="AW405" i="4"/>
  <c r="AY405" i="4"/>
  <c r="BA405" i="4"/>
  <c r="AW406" i="4"/>
  <c r="AY406" i="4"/>
  <c r="BA406" i="4"/>
  <c r="AW407" i="4"/>
  <c r="AY407" i="4"/>
  <c r="BA407" i="4"/>
  <c r="AW408" i="4"/>
  <c r="AY408" i="4"/>
  <c r="BA408" i="4"/>
  <c r="AW409" i="4"/>
  <c r="AY409" i="4"/>
  <c r="BA409" i="4"/>
  <c r="AW410" i="4"/>
  <c r="AY410" i="4"/>
  <c r="BA410" i="4"/>
  <c r="AW411" i="4"/>
  <c r="AY411" i="4"/>
  <c r="BA411" i="4"/>
  <c r="AW412" i="4"/>
  <c r="AY412" i="4"/>
  <c r="BA412" i="4"/>
  <c r="AW413" i="4"/>
  <c r="AY413" i="4"/>
  <c r="BA413" i="4"/>
  <c r="AW414" i="4"/>
  <c r="AY414" i="4"/>
  <c r="BA414" i="4"/>
  <c r="AW415" i="4"/>
  <c r="AY415" i="4"/>
  <c r="BA415" i="4"/>
  <c r="AW416" i="4"/>
  <c r="AY416" i="4"/>
  <c r="BA416" i="4"/>
  <c r="AW417" i="4"/>
  <c r="AY417" i="4"/>
  <c r="BA417" i="4"/>
  <c r="AW418" i="4"/>
  <c r="AY418" i="4"/>
  <c r="BA418" i="4"/>
  <c r="AW419" i="4"/>
  <c r="AY419" i="4"/>
  <c r="BA419" i="4"/>
  <c r="AW420" i="4"/>
  <c r="AY420" i="4"/>
  <c r="BA420" i="4"/>
  <c r="AW421" i="4"/>
  <c r="AY421" i="4"/>
  <c r="BA421" i="4"/>
  <c r="AW422" i="4"/>
  <c r="AY422" i="4"/>
  <c r="BA422" i="4"/>
  <c r="AW423" i="4"/>
  <c r="AY423" i="4"/>
  <c r="BA423" i="4"/>
  <c r="AW424" i="4"/>
  <c r="AY424" i="4"/>
  <c r="BA424" i="4"/>
  <c r="AW425" i="4"/>
  <c r="AY425" i="4"/>
  <c r="BA425" i="4"/>
  <c r="AW426" i="4"/>
  <c r="AY426" i="4"/>
  <c r="BA426" i="4"/>
  <c r="AW427" i="4"/>
  <c r="AY427" i="4"/>
  <c r="BA427" i="4"/>
  <c r="AW428" i="4"/>
  <c r="AY428" i="4"/>
  <c r="BA428" i="4"/>
  <c r="AW429" i="4"/>
  <c r="AY429" i="4"/>
  <c r="BA429" i="4"/>
  <c r="AW430" i="4"/>
  <c r="AY430" i="4"/>
  <c r="BA430" i="4"/>
  <c r="AW431" i="4"/>
  <c r="AY431" i="4"/>
  <c r="BA431" i="4"/>
  <c r="AW432" i="4"/>
  <c r="AY432" i="4"/>
  <c r="BA432" i="4"/>
  <c r="AW433" i="4"/>
  <c r="AY433" i="4"/>
  <c r="BA433" i="4"/>
  <c r="AW434" i="4"/>
  <c r="AY434" i="4"/>
  <c r="BA434" i="4"/>
  <c r="AW435" i="4"/>
  <c r="AY435" i="4"/>
  <c r="BA435" i="4"/>
  <c r="AW436" i="4"/>
  <c r="AY436" i="4"/>
  <c r="BA436" i="4"/>
  <c r="AW437" i="4"/>
  <c r="AY437" i="4"/>
  <c r="BA437" i="4"/>
  <c r="AW438" i="4"/>
  <c r="AY438" i="4"/>
  <c r="BA438" i="4"/>
  <c r="AW439" i="4"/>
  <c r="AY439" i="4"/>
  <c r="BA439" i="4"/>
  <c r="AW440" i="4"/>
  <c r="AY440" i="4"/>
  <c r="BA440" i="4"/>
  <c r="AW441" i="4"/>
  <c r="AY441" i="4"/>
  <c r="BA441" i="4"/>
  <c r="AW442" i="4"/>
  <c r="AY442" i="4"/>
  <c r="BA442" i="4"/>
  <c r="AW443" i="4"/>
  <c r="AY443" i="4"/>
  <c r="BA443" i="4"/>
  <c r="AW444" i="4"/>
  <c r="AY444" i="4"/>
  <c r="BA444" i="4"/>
  <c r="AW445" i="4"/>
  <c r="AY445" i="4"/>
  <c r="BA445" i="4"/>
  <c r="AW446" i="4"/>
  <c r="AY446" i="4"/>
  <c r="BA446" i="4"/>
  <c r="AW447" i="4"/>
  <c r="AY447" i="4"/>
  <c r="BA447" i="4"/>
  <c r="AW448" i="4"/>
  <c r="AY448" i="4"/>
  <c r="BA448" i="4"/>
  <c r="AW449" i="4"/>
  <c r="AY449" i="4"/>
  <c r="BA449" i="4"/>
  <c r="AW450" i="4"/>
  <c r="AY450" i="4"/>
  <c r="BA450" i="4"/>
  <c r="AW451" i="4"/>
  <c r="AY451" i="4"/>
  <c r="BA451" i="4"/>
  <c r="AW452" i="4"/>
  <c r="AY452" i="4"/>
  <c r="BA452" i="4"/>
  <c r="AW453" i="4"/>
  <c r="AY453" i="4"/>
  <c r="BA453" i="4"/>
  <c r="AW454" i="4"/>
  <c r="AY454" i="4"/>
  <c r="BA454" i="4"/>
  <c r="AW455" i="4"/>
  <c r="AY455" i="4"/>
  <c r="BA455" i="4"/>
  <c r="AW456" i="4"/>
  <c r="AY456" i="4"/>
  <c r="BA456" i="4"/>
  <c r="AW457" i="4"/>
  <c r="AY457" i="4"/>
  <c r="BA457" i="4"/>
  <c r="AW458" i="4"/>
  <c r="AY458" i="4"/>
  <c r="BA458" i="4"/>
  <c r="AW459" i="4"/>
  <c r="AY459" i="4"/>
  <c r="BA459" i="4"/>
  <c r="AW460" i="4"/>
  <c r="AY460" i="4"/>
  <c r="BA460" i="4"/>
  <c r="AW461" i="4"/>
  <c r="AY461" i="4"/>
  <c r="BA461" i="4"/>
  <c r="AW462" i="4"/>
  <c r="AY462" i="4"/>
  <c r="BA462" i="4"/>
  <c r="AW463" i="4"/>
  <c r="AY463" i="4"/>
  <c r="BA463" i="4"/>
  <c r="AW464" i="4"/>
  <c r="AY464" i="4"/>
  <c r="BA464" i="4"/>
  <c r="AW465" i="4"/>
  <c r="AY465" i="4"/>
  <c r="BA465" i="4"/>
  <c r="AW466" i="4"/>
  <c r="AY466" i="4"/>
  <c r="BA466" i="4"/>
  <c r="AW467" i="4"/>
  <c r="AY467" i="4"/>
  <c r="BA467" i="4"/>
  <c r="AW468" i="4"/>
  <c r="AY468" i="4"/>
  <c r="BA468" i="4"/>
  <c r="AW469" i="4"/>
  <c r="AY469" i="4"/>
  <c r="BA469" i="4"/>
  <c r="AW470" i="4"/>
  <c r="AY470" i="4"/>
  <c r="BA470" i="4"/>
  <c r="AW471" i="4"/>
  <c r="AY471" i="4"/>
  <c r="BA471" i="4"/>
  <c r="AW472" i="4"/>
  <c r="AY472" i="4"/>
  <c r="BA472" i="4"/>
  <c r="AW473" i="4"/>
  <c r="AY473" i="4"/>
  <c r="BA473" i="4"/>
  <c r="AW474" i="4"/>
  <c r="AY474" i="4"/>
  <c r="BA474" i="4"/>
  <c r="AW475" i="4"/>
  <c r="AY475" i="4"/>
  <c r="BA475" i="4"/>
  <c r="AW476" i="4"/>
  <c r="AY476" i="4"/>
  <c r="BA476" i="4"/>
  <c r="AW477" i="4"/>
  <c r="AY477" i="4"/>
  <c r="BA477" i="4"/>
  <c r="AW478" i="4"/>
  <c r="AY478" i="4"/>
  <c r="BA478" i="4"/>
  <c r="AW479" i="4"/>
  <c r="AY479" i="4"/>
  <c r="BA479" i="4"/>
  <c r="AW480" i="4"/>
  <c r="AY480" i="4"/>
  <c r="BA480" i="4"/>
  <c r="AW481" i="4"/>
  <c r="AY481" i="4"/>
  <c r="BA481" i="4"/>
  <c r="AW482" i="4"/>
  <c r="AY482" i="4"/>
  <c r="BA482" i="4"/>
  <c r="AW483" i="4"/>
  <c r="AY483" i="4"/>
  <c r="BA483" i="4"/>
  <c r="AW484" i="4"/>
  <c r="AY484" i="4"/>
  <c r="BA484" i="4"/>
  <c r="AW485" i="4"/>
  <c r="AY485" i="4"/>
  <c r="BA485" i="4"/>
  <c r="AW486" i="4"/>
  <c r="AY486" i="4"/>
  <c r="BA486" i="4"/>
  <c r="AW487" i="4"/>
  <c r="AY487" i="4"/>
  <c r="BA487" i="4"/>
  <c r="AW488" i="4"/>
  <c r="AY488" i="4"/>
  <c r="BA488" i="4"/>
  <c r="AW489" i="4"/>
  <c r="AY489" i="4"/>
  <c r="BA489" i="4"/>
  <c r="AW490" i="4"/>
  <c r="AY490" i="4"/>
  <c r="BA490" i="4"/>
  <c r="AW491" i="4"/>
  <c r="AY491" i="4"/>
  <c r="BA491" i="4"/>
  <c r="AW492" i="4"/>
  <c r="AY492" i="4"/>
  <c r="BA492" i="4"/>
  <c r="AW493" i="4"/>
  <c r="AY493" i="4"/>
  <c r="BA493" i="4"/>
  <c r="AW494" i="4"/>
  <c r="AY494" i="4"/>
  <c r="BA494" i="4"/>
  <c r="AW495" i="4"/>
  <c r="AY495" i="4"/>
  <c r="BA495" i="4"/>
  <c r="AW496" i="4"/>
  <c r="AY496" i="4"/>
  <c r="BA496" i="4"/>
  <c r="AW497" i="4"/>
  <c r="AY497" i="4"/>
  <c r="BA497" i="4"/>
  <c r="AW498" i="4"/>
  <c r="AY498" i="4"/>
  <c r="BA498" i="4"/>
  <c r="AW499" i="4"/>
  <c r="AY499" i="4"/>
  <c r="BA499" i="4"/>
  <c r="AW500" i="4"/>
  <c r="AY500" i="4"/>
  <c r="BA500" i="4"/>
  <c r="AW501" i="4"/>
  <c r="AY501" i="4"/>
  <c r="BA501" i="4"/>
  <c r="AW502" i="4"/>
  <c r="AY502" i="4"/>
  <c r="BA502" i="4"/>
  <c r="AW503" i="4"/>
  <c r="AY503" i="4"/>
  <c r="BA503" i="4"/>
  <c r="AW504" i="4"/>
  <c r="AY504" i="4"/>
  <c r="BA504" i="4"/>
  <c r="AW505" i="4"/>
  <c r="AY505" i="4"/>
  <c r="BA505" i="4"/>
  <c r="AW506" i="4"/>
  <c r="AY506" i="4"/>
  <c r="BA506" i="4"/>
  <c r="AW507" i="4"/>
  <c r="AY507" i="4"/>
  <c r="BA507" i="4"/>
  <c r="AW508" i="4"/>
  <c r="AY508" i="4"/>
  <c r="BA508" i="4"/>
  <c r="AW509" i="4"/>
  <c r="AY509" i="4"/>
  <c r="BA509" i="4"/>
  <c r="AW510" i="4"/>
  <c r="AY510" i="4"/>
  <c r="BA510" i="4"/>
  <c r="AW511" i="4"/>
  <c r="AY511" i="4"/>
  <c r="BA511" i="4"/>
  <c r="AW512" i="4"/>
  <c r="AY512" i="4"/>
  <c r="BA512" i="4"/>
  <c r="AW513" i="4"/>
  <c r="AY513" i="4"/>
  <c r="BA513" i="4"/>
  <c r="AW514" i="4"/>
  <c r="AY514" i="4"/>
  <c r="BA514" i="4"/>
  <c r="AW515" i="4"/>
  <c r="AY515" i="4"/>
  <c r="BA515" i="4"/>
  <c r="AW516" i="4"/>
  <c r="AY516" i="4"/>
  <c r="BA516" i="4"/>
  <c r="AW517" i="4"/>
  <c r="AY517" i="4"/>
  <c r="BA517" i="4"/>
  <c r="AW518" i="4"/>
  <c r="AY518" i="4"/>
  <c r="BA518" i="4"/>
  <c r="AW519" i="4"/>
  <c r="AY519" i="4"/>
  <c r="BA519" i="4"/>
  <c r="AW520" i="4"/>
  <c r="AY520" i="4"/>
  <c r="BA520" i="4"/>
  <c r="AW521" i="4"/>
  <c r="AY521" i="4"/>
  <c r="BA521" i="4"/>
  <c r="AW522" i="4"/>
  <c r="AY522" i="4"/>
  <c r="BA522" i="4"/>
  <c r="AW523" i="4"/>
  <c r="AY523" i="4"/>
  <c r="BA523" i="4"/>
  <c r="AW524" i="4"/>
  <c r="AY524" i="4"/>
  <c r="BA524" i="4"/>
  <c r="AW525" i="4"/>
  <c r="AY525" i="4"/>
  <c r="BA525" i="4"/>
  <c r="AW526" i="4"/>
  <c r="AY526" i="4"/>
  <c r="BA526" i="4"/>
  <c r="AW527" i="4"/>
  <c r="AY527" i="4"/>
  <c r="BA527" i="4"/>
  <c r="AW528" i="4"/>
  <c r="AY528" i="4"/>
  <c r="BA528" i="4"/>
  <c r="AW529" i="4"/>
  <c r="AY529" i="4"/>
  <c r="BA529" i="4"/>
  <c r="AW530" i="4"/>
  <c r="AY530" i="4"/>
  <c r="BA530" i="4"/>
  <c r="AW531" i="4"/>
  <c r="AY531" i="4"/>
  <c r="BA531" i="4"/>
  <c r="AW532" i="4"/>
  <c r="AY532" i="4"/>
  <c r="BA532" i="4"/>
  <c r="AW533" i="4"/>
  <c r="AY533" i="4"/>
  <c r="BA533" i="4"/>
  <c r="AW534" i="4"/>
  <c r="AY534" i="4"/>
  <c r="BA534" i="4"/>
  <c r="AW535" i="4"/>
  <c r="AY535" i="4"/>
  <c r="BA535" i="4"/>
  <c r="AW536" i="4"/>
  <c r="AY536" i="4"/>
  <c r="BA536" i="4"/>
  <c r="AW537" i="4"/>
  <c r="AY537" i="4"/>
  <c r="BA537" i="4"/>
  <c r="AW538" i="4"/>
  <c r="AY538" i="4"/>
  <c r="BA538" i="4"/>
  <c r="AW539" i="4"/>
  <c r="AY539" i="4"/>
  <c r="BA539" i="4"/>
  <c r="AW540" i="4"/>
  <c r="AY540" i="4"/>
  <c r="BA540" i="4"/>
  <c r="AW541" i="4"/>
  <c r="AY541" i="4"/>
  <c r="BA541" i="4"/>
  <c r="AW542" i="4"/>
  <c r="AY542" i="4"/>
  <c r="BA542" i="4"/>
  <c r="AW543" i="4"/>
  <c r="AY543" i="4"/>
  <c r="BA543" i="4"/>
  <c r="AW544" i="4"/>
  <c r="AY544" i="4"/>
  <c r="BA544" i="4"/>
  <c r="AW545" i="4"/>
  <c r="AY545" i="4"/>
  <c r="BA545" i="4"/>
  <c r="AW546" i="4"/>
  <c r="AY546" i="4"/>
  <c r="BA546" i="4"/>
  <c r="AW547" i="4"/>
  <c r="AY547" i="4"/>
  <c r="BA547" i="4"/>
  <c r="AW548" i="4"/>
  <c r="AY548" i="4"/>
  <c r="BA548" i="4"/>
  <c r="AW549" i="4"/>
  <c r="AY549" i="4"/>
  <c r="BA549" i="4"/>
  <c r="AW550" i="4"/>
  <c r="AY550" i="4"/>
  <c r="BA550" i="4"/>
  <c r="AW551" i="4"/>
  <c r="AY551" i="4"/>
  <c r="BA551" i="4"/>
  <c r="AW552" i="4"/>
  <c r="AY552" i="4"/>
  <c r="BA552" i="4"/>
  <c r="AW553" i="4"/>
  <c r="AY553" i="4"/>
  <c r="BA553" i="4"/>
  <c r="AW554" i="4"/>
  <c r="AY554" i="4"/>
  <c r="BA554" i="4"/>
  <c r="AW555" i="4"/>
  <c r="AY555" i="4"/>
  <c r="BA555" i="4"/>
  <c r="AW556" i="4"/>
  <c r="AY556" i="4"/>
  <c r="BA556" i="4"/>
  <c r="AW557" i="4"/>
  <c r="AY557" i="4"/>
  <c r="BA557" i="4"/>
  <c r="AW558" i="4"/>
  <c r="AY558" i="4"/>
  <c r="BA558" i="4"/>
  <c r="AW559" i="4"/>
  <c r="AY559" i="4"/>
  <c r="BA559" i="4"/>
  <c r="AW560" i="4"/>
  <c r="AY560" i="4"/>
  <c r="BA560" i="4"/>
  <c r="AW561" i="4"/>
  <c r="AY561" i="4"/>
  <c r="BA561" i="4"/>
  <c r="AW562" i="4"/>
  <c r="AY562" i="4"/>
  <c r="BA562" i="4"/>
  <c r="AW563" i="4"/>
  <c r="AY563" i="4"/>
  <c r="BA563" i="4"/>
  <c r="AW564" i="4"/>
  <c r="AY564" i="4"/>
  <c r="BA564" i="4"/>
  <c r="AW565" i="4"/>
  <c r="AY565" i="4"/>
  <c r="BA565" i="4"/>
  <c r="AW566" i="4"/>
  <c r="AY566" i="4"/>
  <c r="BA566" i="4"/>
  <c r="AW567" i="4"/>
  <c r="AY567" i="4"/>
  <c r="BA567" i="4"/>
  <c r="AW568" i="4"/>
  <c r="AY568" i="4"/>
  <c r="BA568" i="4"/>
  <c r="AW569" i="4"/>
  <c r="AY569" i="4"/>
  <c r="BA569" i="4"/>
  <c r="AW570" i="4"/>
  <c r="AY570" i="4"/>
  <c r="BA570" i="4"/>
  <c r="AW571" i="4"/>
  <c r="AY571" i="4"/>
  <c r="BA571" i="4"/>
  <c r="AW572" i="4"/>
  <c r="AY572" i="4"/>
  <c r="BA572" i="4"/>
  <c r="AW573" i="4"/>
  <c r="AY573" i="4"/>
  <c r="BA573" i="4"/>
  <c r="AW574" i="4"/>
  <c r="AY574" i="4"/>
  <c r="BA574" i="4"/>
  <c r="AW575" i="4"/>
  <c r="AY575" i="4"/>
  <c r="BA575" i="4"/>
  <c r="AW576" i="4"/>
  <c r="AY576" i="4"/>
  <c r="BA576" i="4"/>
  <c r="AW577" i="4"/>
  <c r="AY577" i="4"/>
  <c r="BA577" i="4"/>
  <c r="AW578" i="4"/>
  <c r="AY578" i="4"/>
  <c r="BA578" i="4"/>
  <c r="AW579" i="4"/>
  <c r="AY579" i="4"/>
  <c r="BA579" i="4"/>
  <c r="AW580" i="4"/>
  <c r="AY580" i="4"/>
  <c r="BA580" i="4"/>
  <c r="AW581" i="4"/>
  <c r="AY581" i="4"/>
  <c r="BA581" i="4"/>
  <c r="AW582" i="4"/>
  <c r="AY582" i="4"/>
  <c r="BA582" i="4"/>
  <c r="AW583" i="4"/>
  <c r="AY583" i="4"/>
  <c r="BA583" i="4"/>
  <c r="AW584" i="4"/>
  <c r="AY584" i="4"/>
  <c r="BA584" i="4"/>
  <c r="AW585" i="4"/>
  <c r="AY585" i="4"/>
  <c r="BA585" i="4"/>
  <c r="AW586" i="4"/>
  <c r="AY586" i="4"/>
  <c r="BA586" i="4"/>
  <c r="AW587" i="4"/>
  <c r="AY587" i="4"/>
  <c r="BA587" i="4"/>
  <c r="AW588" i="4"/>
  <c r="AY588" i="4"/>
  <c r="BA588" i="4"/>
  <c r="AW589" i="4"/>
  <c r="AY589" i="4"/>
  <c r="BA589" i="4"/>
  <c r="AW590" i="4"/>
  <c r="AY590" i="4"/>
  <c r="BA590" i="4"/>
  <c r="AW591" i="4"/>
  <c r="AY591" i="4"/>
  <c r="BA591" i="4"/>
  <c r="AW592" i="4"/>
  <c r="AY592" i="4"/>
  <c r="BA592" i="4"/>
  <c r="AW593" i="4"/>
  <c r="AY593" i="4"/>
  <c r="BA593" i="4"/>
  <c r="AW594" i="4"/>
  <c r="AY594" i="4"/>
  <c r="BA594" i="4"/>
  <c r="AW595" i="4"/>
  <c r="AY595" i="4"/>
  <c r="BA595" i="4"/>
  <c r="AW596" i="4"/>
  <c r="AY596" i="4"/>
  <c r="BA596" i="4"/>
  <c r="AW597" i="4"/>
  <c r="AY597" i="4"/>
  <c r="BA597" i="4"/>
  <c r="AW598" i="4"/>
  <c r="AY598" i="4"/>
  <c r="BA598" i="4"/>
  <c r="AW599" i="4"/>
  <c r="AY599" i="4"/>
  <c r="BA599" i="4"/>
  <c r="AW600" i="4"/>
  <c r="AY600" i="4"/>
  <c r="BA600" i="4"/>
  <c r="AW601" i="4"/>
  <c r="AY601" i="4"/>
  <c r="BA601" i="4"/>
  <c r="AW602" i="4"/>
  <c r="AY602" i="4"/>
  <c r="BA602" i="4"/>
  <c r="AW603" i="4"/>
  <c r="AY603" i="4"/>
  <c r="BA603" i="4"/>
  <c r="AW604" i="4"/>
  <c r="AY604" i="4"/>
  <c r="BA604" i="4"/>
  <c r="T254" i="12"/>
  <c r="U254" i="12"/>
  <c r="V254" i="12"/>
  <c r="W254" i="12"/>
  <c r="X254" i="12"/>
  <c r="T255" i="12"/>
  <c r="U255" i="12"/>
  <c r="V255" i="12"/>
  <c r="W255" i="12"/>
  <c r="X255" i="12"/>
  <c r="T256" i="12"/>
  <c r="U256" i="12"/>
  <c r="V256" i="12"/>
  <c r="W256" i="12"/>
  <c r="X256" i="12"/>
  <c r="T257" i="12"/>
  <c r="U257" i="12"/>
  <c r="V257" i="12"/>
  <c r="W257" i="12"/>
  <c r="X257" i="12"/>
  <c r="T258" i="12"/>
  <c r="U258" i="12"/>
  <c r="V258" i="12"/>
  <c r="W258" i="12"/>
  <c r="X258" i="12"/>
  <c r="S269" i="12"/>
  <c r="S268" i="12"/>
  <c r="S267" i="12"/>
  <c r="S266" i="12"/>
  <c r="W266" i="12" s="1"/>
  <c r="S265" i="12"/>
  <c r="S245" i="12"/>
  <c r="S244" i="12"/>
  <c r="S243" i="12"/>
  <c r="AE743" i="12"/>
  <c r="Y743" i="12"/>
  <c r="AE742" i="12"/>
  <c r="AE741" i="12"/>
  <c r="AE740" i="12"/>
  <c r="AE739" i="12"/>
  <c r="AE738" i="12"/>
  <c r="AE737" i="12"/>
  <c r="AE736" i="12"/>
  <c r="AE735" i="12"/>
  <c r="AE734" i="12"/>
  <c r="AE733" i="12"/>
  <c r="AE732" i="12"/>
  <c r="AE731" i="12"/>
  <c r="AE730" i="12"/>
  <c r="AE729"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AJ654" i="12"/>
  <c r="AI654" i="12"/>
  <c r="AH654" i="12"/>
  <c r="AG654" i="12"/>
  <c r="AF654" i="12"/>
  <c r="AD654" i="12"/>
  <c r="AC654" i="12"/>
  <c r="AB654" i="12"/>
  <c r="AA654" i="12"/>
  <c r="Z654" i="12"/>
  <c r="AJ652" i="12"/>
  <c r="AI652" i="12"/>
  <c r="AH652" i="12"/>
  <c r="AG652" i="12"/>
  <c r="AF652" i="12"/>
  <c r="AJ650" i="12"/>
  <c r="AI650" i="12"/>
  <c r="AH650" i="12"/>
  <c r="AG650" i="12"/>
  <c r="AF650" i="12"/>
  <c r="AJ648" i="12"/>
  <c r="AI648" i="12"/>
  <c r="AH648" i="12"/>
  <c r="AG648" i="12"/>
  <c r="AF648" i="12"/>
  <c r="AJ646" i="12"/>
  <c r="AI646" i="12"/>
  <c r="AH646" i="12"/>
  <c r="AG646" i="12"/>
  <c r="AF646" i="12"/>
  <c r="U464" i="12"/>
  <c r="U465" i="12"/>
  <c r="U466" i="12"/>
  <c r="U467" i="12"/>
  <c r="U468" i="12"/>
  <c r="U469" i="12"/>
  <c r="U470" i="12"/>
  <c r="U471" i="12"/>
  <c r="AD471" i="12" s="1"/>
  <c r="U472" i="12"/>
  <c r="AG472" i="12" s="1"/>
  <c r="U473" i="12"/>
  <c r="AI473" i="12" s="1"/>
  <c r="U474" i="12"/>
  <c r="AF474" i="12" s="1"/>
  <c r="U463" i="12"/>
  <c r="U355" i="12"/>
  <c r="U356" i="12"/>
  <c r="U357" i="12"/>
  <c r="U358" i="12"/>
  <c r="U359" i="12"/>
  <c r="U360" i="12"/>
  <c r="U361" i="12"/>
  <c r="U362" i="12"/>
  <c r="U363" i="12"/>
  <c r="U364" i="12"/>
  <c r="U365" i="12"/>
  <c r="U366" i="12"/>
  <c r="U367" i="12"/>
  <c r="U368" i="12"/>
  <c r="U369" i="12"/>
  <c r="U370" i="12"/>
  <c r="U371" i="12"/>
  <c r="U372" i="12"/>
  <c r="U373" i="12"/>
  <c r="U374" i="12"/>
  <c r="U375" i="12"/>
  <c r="U376" i="12"/>
  <c r="U377" i="12"/>
  <c r="U378" i="12"/>
  <c r="U379" i="12"/>
  <c r="U380" i="12"/>
  <c r="U381" i="12"/>
  <c r="U382" i="12"/>
  <c r="U383" i="12"/>
  <c r="U384" i="12"/>
  <c r="U385" i="12"/>
  <c r="U386" i="12"/>
  <c r="U387" i="12"/>
  <c r="U388" i="12"/>
  <c r="U389" i="12"/>
  <c r="U390" i="12"/>
  <c r="U391" i="12"/>
  <c r="U392" i="12"/>
  <c r="U393" i="12"/>
  <c r="U394" i="12"/>
  <c r="U396" i="12"/>
  <c r="U397" i="12"/>
  <c r="U354" i="12"/>
  <c r="AJ609" i="12"/>
  <c r="AI609" i="12"/>
  <c r="AH609" i="12"/>
  <c r="AG609" i="12"/>
  <c r="AF609" i="12"/>
  <c r="Z609" i="12"/>
  <c r="AA609" i="12"/>
  <c r="AB609" i="12"/>
  <c r="AC609" i="12"/>
  <c r="AD609" i="12"/>
  <c r="U544" i="12"/>
  <c r="U545" i="12"/>
  <c r="U546" i="12"/>
  <c r="U547" i="12"/>
  <c r="U548" i="12"/>
  <c r="U549" i="12"/>
  <c r="U550" i="12"/>
  <c r="U551" i="12"/>
  <c r="U552" i="12"/>
  <c r="U553" i="12"/>
  <c r="U554" i="12"/>
  <c r="U555" i="12"/>
  <c r="U556" i="12"/>
  <c r="U557" i="12"/>
  <c r="U558" i="12"/>
  <c r="U559" i="12"/>
  <c r="U560" i="12"/>
  <c r="U561" i="12"/>
  <c r="U562" i="12"/>
  <c r="U563" i="12"/>
  <c r="U564" i="12"/>
  <c r="U565" i="12"/>
  <c r="U566" i="12"/>
  <c r="U567" i="12"/>
  <c r="U568" i="12"/>
  <c r="U569" i="12"/>
  <c r="U570" i="12"/>
  <c r="U571" i="12"/>
  <c r="U572" i="12"/>
  <c r="U573" i="12"/>
  <c r="U574" i="12"/>
  <c r="U575" i="12"/>
  <c r="U576" i="12"/>
  <c r="U577" i="12"/>
  <c r="U578" i="12"/>
  <c r="U579" i="12"/>
  <c r="U580" i="12"/>
  <c r="U581" i="12"/>
  <c r="U582" i="12"/>
  <c r="U583" i="12"/>
  <c r="U584" i="12"/>
  <c r="U585" i="12"/>
  <c r="U586" i="12"/>
  <c r="U543" i="12"/>
  <c r="AE627" i="12"/>
  <c r="Y627" i="12"/>
  <c r="AE626" i="12"/>
  <c r="AE625" i="12"/>
  <c r="AE624" i="12"/>
  <c r="AE623" i="12"/>
  <c r="AE622" i="12"/>
  <c r="AE621" i="12"/>
  <c r="AE620" i="12"/>
  <c r="AE619" i="12"/>
  <c r="AE618" i="12"/>
  <c r="AE617" i="12"/>
  <c r="AE616" i="12"/>
  <c r="AE615" i="12"/>
  <c r="AE614" i="12"/>
  <c r="AE613" i="12"/>
  <c r="AJ538" i="12"/>
  <c r="AI538" i="12"/>
  <c r="AH538" i="12"/>
  <c r="AG538" i="12"/>
  <c r="AF538" i="12"/>
  <c r="AD538" i="12"/>
  <c r="AC538" i="12"/>
  <c r="AB538" i="12"/>
  <c r="AA538" i="12"/>
  <c r="Z538" i="12"/>
  <c r="AJ536" i="12"/>
  <c r="AI536" i="12"/>
  <c r="AH536" i="12"/>
  <c r="AG536" i="12"/>
  <c r="AF536" i="12"/>
  <c r="AJ534" i="12"/>
  <c r="AI534" i="12"/>
  <c r="AH534" i="12"/>
  <c r="AG534" i="12"/>
  <c r="AF534" i="12"/>
  <c r="AJ532" i="12"/>
  <c r="AI532" i="12"/>
  <c r="AH532" i="12"/>
  <c r="AG532" i="12"/>
  <c r="AF532" i="12"/>
  <c r="AJ530" i="12"/>
  <c r="AI530" i="12"/>
  <c r="AH530" i="12"/>
  <c r="AG530" i="12"/>
  <c r="AF530" i="12"/>
  <c r="AE425" i="12"/>
  <c r="AE426" i="12"/>
  <c r="AE424" i="12"/>
  <c r="AR94" i="21"/>
  <c r="AK94" i="21"/>
  <c r="AD94" i="21"/>
  <c r="W94" i="21"/>
  <c r="P94" i="21"/>
  <c r="I94" i="21"/>
  <c r="I94" i="15"/>
  <c r="P94" i="15"/>
  <c r="W94" i="15"/>
  <c r="AD94" i="15"/>
  <c r="AK94" i="15"/>
  <c r="AR94" i="15"/>
  <c r="AI563" i="12" l="1"/>
  <c r="AC563" i="12"/>
  <c r="AF563" i="12"/>
  <c r="AJ563" i="12"/>
  <c r="Z563" i="12"/>
  <c r="AD563" i="12"/>
  <c r="AA563" i="12"/>
  <c r="AG563" i="12"/>
  <c r="AH563" i="12"/>
  <c r="AB563" i="12"/>
  <c r="AF586" i="12"/>
  <c r="AJ586" i="12"/>
  <c r="Z586" i="12"/>
  <c r="AD586" i="12"/>
  <c r="AG586" i="12"/>
  <c r="AA586" i="12"/>
  <c r="AH586" i="12"/>
  <c r="AB586" i="12"/>
  <c r="AC586" i="12"/>
  <c r="AI586" i="12"/>
  <c r="AI374" i="12"/>
  <c r="AF374" i="12"/>
  <c r="AJ374" i="12"/>
  <c r="AB374" i="12"/>
  <c r="AD374" i="12"/>
  <c r="AA374" i="12"/>
  <c r="AC374" i="12"/>
  <c r="AG374" i="12"/>
  <c r="Z374" i="12"/>
  <c r="AH374" i="12"/>
  <c r="AF673" i="12"/>
  <c r="AJ673" i="12"/>
  <c r="AB673" i="12"/>
  <c r="AG673" i="12"/>
  <c r="AC673" i="12"/>
  <c r="AD673" i="12"/>
  <c r="AH673" i="12"/>
  <c r="AI673" i="12"/>
  <c r="Z673" i="12"/>
  <c r="AA673" i="12"/>
  <c r="AF685" i="12"/>
  <c r="AJ685" i="12"/>
  <c r="AG685" i="12"/>
  <c r="AH685" i="12"/>
  <c r="AA685" i="12"/>
  <c r="AI685" i="12"/>
  <c r="AB685" i="12"/>
  <c r="Z685" i="12"/>
  <c r="AC685" i="12"/>
  <c r="AD685" i="12"/>
  <c r="AF701" i="12"/>
  <c r="AJ701" i="12"/>
  <c r="AG701" i="12"/>
  <c r="AH701" i="12"/>
  <c r="AA701" i="12"/>
  <c r="AI701" i="12"/>
  <c r="AB701" i="12"/>
  <c r="Z701" i="12"/>
  <c r="AC701" i="12"/>
  <c r="AD701" i="12"/>
  <c r="AG585" i="12"/>
  <c r="AA585" i="12"/>
  <c r="AH585" i="12"/>
  <c r="AB585" i="12"/>
  <c r="AC585" i="12"/>
  <c r="AI585" i="12"/>
  <c r="AJ585" i="12"/>
  <c r="AF585" i="12"/>
  <c r="AD585" i="12"/>
  <c r="Z585" i="12"/>
  <c r="AG569" i="12"/>
  <c r="AA569" i="12"/>
  <c r="AH569" i="12"/>
  <c r="AB569" i="12"/>
  <c r="AC569" i="12"/>
  <c r="AJ569" i="12"/>
  <c r="AF569" i="12"/>
  <c r="AD569" i="12"/>
  <c r="AI569" i="12"/>
  <c r="Z569" i="12"/>
  <c r="AG557" i="12"/>
  <c r="Z557" i="12"/>
  <c r="AD557" i="12"/>
  <c r="AH557" i="12"/>
  <c r="AA557" i="12"/>
  <c r="AI557" i="12"/>
  <c r="AB557" i="12"/>
  <c r="AF557" i="12"/>
  <c r="AC557" i="12"/>
  <c r="AJ557" i="12"/>
  <c r="AI702" i="12"/>
  <c r="AF702" i="12"/>
  <c r="AJ702" i="12"/>
  <c r="Z702" i="12"/>
  <c r="AD702" i="12"/>
  <c r="AA702" i="12"/>
  <c r="AG702" i="12"/>
  <c r="AB702" i="12"/>
  <c r="AH702" i="12"/>
  <c r="AC702" i="12"/>
  <c r="AG368" i="12"/>
  <c r="AH368" i="12"/>
  <c r="AI368" i="12"/>
  <c r="Z368" i="12"/>
  <c r="AD368" i="12"/>
  <c r="AJ368" i="12"/>
  <c r="AA368" i="12"/>
  <c r="AB368" i="12"/>
  <c r="AF368" i="12"/>
  <c r="AC368" i="12"/>
  <c r="AH584" i="12"/>
  <c r="AB584" i="12"/>
  <c r="AI584" i="12"/>
  <c r="AC584" i="12"/>
  <c r="AJ584" i="12"/>
  <c r="Z584" i="12"/>
  <c r="AA584" i="12"/>
  <c r="AF584" i="12"/>
  <c r="AD584" i="12"/>
  <c r="AG584" i="12"/>
  <c r="AF397" i="12"/>
  <c r="AJ397" i="12"/>
  <c r="AC397" i="12"/>
  <c r="AH397" i="12"/>
  <c r="AA397" i="12"/>
  <c r="AB397" i="12"/>
  <c r="AG397" i="12"/>
  <c r="Z397" i="12"/>
  <c r="AD397" i="12"/>
  <c r="AI397" i="12"/>
  <c r="AG380" i="12"/>
  <c r="Z380" i="12"/>
  <c r="AD380" i="12"/>
  <c r="AF380" i="12"/>
  <c r="AH380" i="12"/>
  <c r="AA380" i="12"/>
  <c r="AI380" i="12"/>
  <c r="AB380" i="12"/>
  <c r="AJ380" i="12"/>
  <c r="AC380" i="12"/>
  <c r="AH679" i="12"/>
  <c r="Z679" i="12"/>
  <c r="AD679" i="12"/>
  <c r="AI679" i="12"/>
  <c r="AF679" i="12"/>
  <c r="AB679" i="12"/>
  <c r="AG679" i="12"/>
  <c r="AC679" i="12"/>
  <c r="AJ679" i="12"/>
  <c r="AA679" i="12"/>
  <c r="AG396" i="12"/>
  <c r="Z396" i="12"/>
  <c r="AD396" i="12"/>
  <c r="AJ396" i="12"/>
  <c r="AH396" i="12"/>
  <c r="AA396" i="12"/>
  <c r="AI396" i="12"/>
  <c r="AB396" i="12"/>
  <c r="AF396" i="12"/>
  <c r="AC396" i="12"/>
  <c r="AG700" i="12"/>
  <c r="AH700" i="12"/>
  <c r="AB700" i="12"/>
  <c r="AF700" i="12"/>
  <c r="AC700" i="12"/>
  <c r="AD700" i="12"/>
  <c r="AI700" i="12"/>
  <c r="AJ700" i="12"/>
  <c r="Z700" i="12"/>
  <c r="AA700" i="12"/>
  <c r="C40" i="15" a="1"/>
  <c r="C40" i="15" s="1"/>
  <c r="A39" i="15"/>
  <c r="C39" i="21"/>
  <c r="C78" i="21" s="1"/>
  <c r="W913" i="12"/>
  <c r="V913" i="12"/>
  <c r="V910" i="12"/>
  <c r="U911" i="12"/>
  <c r="X870" i="12"/>
  <c r="U910" i="12"/>
  <c r="AB472" i="12"/>
  <c r="AH472" i="12"/>
  <c r="X869" i="12"/>
  <c r="T869" i="12"/>
  <c r="X911" i="12"/>
  <c r="U913" i="12"/>
  <c r="W911" i="12"/>
  <c r="X910" i="12"/>
  <c r="T910" i="12"/>
  <c r="T870" i="12"/>
  <c r="U870" i="12"/>
  <c r="V912" i="12"/>
  <c r="X913" i="12"/>
  <c r="T913" i="12"/>
  <c r="U912" i="12"/>
  <c r="W910" i="12"/>
  <c r="V871" i="12"/>
  <c r="X912" i="12"/>
  <c r="T912" i="12"/>
  <c r="AC472" i="12"/>
  <c r="V870" i="12"/>
  <c r="W869" i="12"/>
  <c r="T911" i="12"/>
  <c r="W268" i="12"/>
  <c r="U868" i="12"/>
  <c r="U869" i="12"/>
  <c r="AC743" i="12"/>
  <c r="V869" i="12"/>
  <c r="X267" i="12"/>
  <c r="W871" i="12"/>
  <c r="T871" i="12"/>
  <c r="X871" i="12"/>
  <c r="X265" i="12"/>
  <c r="V269" i="12"/>
  <c r="T868" i="12"/>
  <c r="X868" i="12"/>
  <c r="U871" i="12"/>
  <c r="W870" i="12"/>
  <c r="W868" i="12"/>
  <c r="AG473" i="12"/>
  <c r="AA472" i="12"/>
  <c r="AD474" i="12"/>
  <c r="V267" i="12"/>
  <c r="X268" i="12"/>
  <c r="T268" i="12"/>
  <c r="U267" i="12"/>
  <c r="V266" i="12"/>
  <c r="W265" i="12"/>
  <c r="W269" i="12"/>
  <c r="U266" i="12"/>
  <c r="V268" i="12"/>
  <c r="W267" i="12"/>
  <c r="X266" i="12"/>
  <c r="T266" i="12"/>
  <c r="V265" i="12"/>
  <c r="T267" i="12"/>
  <c r="U269" i="12"/>
  <c r="U265" i="12"/>
  <c r="X269" i="12"/>
  <c r="T269" i="12"/>
  <c r="U268" i="12"/>
  <c r="T265" i="12"/>
  <c r="AH743" i="12"/>
  <c r="AF627" i="12"/>
  <c r="AF743" i="12"/>
  <c r="AJ743" i="12"/>
  <c r="AA474" i="12"/>
  <c r="AB473" i="12"/>
  <c r="AJ471" i="12"/>
  <c r="AA473" i="12"/>
  <c r="AF473" i="12"/>
  <c r="AI743" i="12"/>
  <c r="W725" i="12"/>
  <c r="U725" i="12"/>
  <c r="Z743" i="12"/>
  <c r="AD743" i="12"/>
  <c r="AA743" i="12"/>
  <c r="AG743" i="12"/>
  <c r="AB743" i="12"/>
  <c r="V725" i="12"/>
  <c r="T725" i="12"/>
  <c r="X725" i="12"/>
  <c r="AJ627" i="12"/>
  <c r="AH627" i="12"/>
  <c r="AG471" i="12"/>
  <c r="AI471" i="12"/>
  <c r="AA471" i="12"/>
  <c r="AH471" i="12"/>
  <c r="AB471" i="12"/>
  <c r="AC471" i="12"/>
  <c r="AH474" i="12"/>
  <c r="AJ474" i="12"/>
  <c r="AB474" i="12"/>
  <c r="AI474" i="12"/>
  <c r="AC474" i="12"/>
  <c r="Z474" i="12"/>
  <c r="Z471" i="12"/>
  <c r="AG474" i="12"/>
  <c r="AI627" i="12"/>
  <c r="AF471" i="12"/>
  <c r="AD473" i="12"/>
  <c r="Z473" i="12"/>
  <c r="AH473" i="12"/>
  <c r="AJ472" i="12"/>
  <c r="AF472" i="12"/>
  <c r="AC473" i="12"/>
  <c r="AD472" i="12"/>
  <c r="Z472" i="12"/>
  <c r="AI472" i="12"/>
  <c r="AJ473" i="12"/>
  <c r="U609" i="12"/>
  <c r="AA627" i="12"/>
  <c r="AC627" i="12"/>
  <c r="AD627" i="12"/>
  <c r="Z627" i="12"/>
  <c r="AG627" i="12"/>
  <c r="W609" i="12"/>
  <c r="AB627" i="12"/>
  <c r="V609" i="12"/>
  <c r="T609" i="12"/>
  <c r="X609" i="12"/>
  <c r="A40" i="15" l="1"/>
  <c r="C79" i="15"/>
  <c r="C40" i="21"/>
  <c r="C79" i="21" s="1"/>
  <c r="C41" i="15" a="1"/>
  <c r="C41" i="15" s="1"/>
  <c r="C42" i="15" l="1" a="1"/>
  <c r="C42" i="15" s="1"/>
  <c r="A41" i="15"/>
  <c r="C41" i="21"/>
  <c r="C80" i="21" s="1"/>
  <c r="C80" i="15"/>
  <c r="A42" i="15" l="1"/>
  <c r="C42" i="21"/>
  <c r="C81" i="21" s="1"/>
  <c r="C81" i="15"/>
  <c r="C43" i="15" a="1"/>
  <c r="C43" i="15" s="1"/>
  <c r="C44" i="15" l="1" a="1"/>
  <c r="C44" i="15" s="1"/>
  <c r="A43" i="15"/>
  <c r="C43" i="21"/>
  <c r="C82" i="21" s="1"/>
  <c r="C82" i="15"/>
  <c r="C45" i="15" l="1" a="1"/>
  <c r="C45" i="15" s="1"/>
  <c r="C46" i="15" s="1" a="1"/>
  <c r="C46" i="15" s="1"/>
  <c r="A44" i="15"/>
  <c r="C44" i="21"/>
  <c r="C83" i="21" s="1"/>
  <c r="C83" i="15"/>
  <c r="A46" i="15" l="1"/>
  <c r="C46" i="21"/>
  <c r="C85" i="21" s="1"/>
  <c r="C85" i="15"/>
  <c r="A45" i="15"/>
  <c r="C45" i="21"/>
  <c r="C84" i="21" s="1"/>
  <c r="C84" i="15"/>
  <c r="C47" i="15" a="1"/>
  <c r="C47" i="15" s="1"/>
  <c r="C48" i="15" s="1" a="1"/>
  <c r="C48" i="15" s="1"/>
  <c r="A48" i="15" l="1"/>
  <c r="C48" i="21"/>
  <c r="C87" i="21" s="1"/>
  <c r="C87" i="15"/>
  <c r="A47" i="15"/>
  <c r="C47" i="21"/>
  <c r="C86" i="21" s="1"/>
  <c r="C86" i="15"/>
  <c r="C49" i="15" a="1"/>
  <c r="C49" i="15" s="1"/>
  <c r="A49" i="15" s="1"/>
  <c r="C88" i="15" l="1"/>
  <c r="C49" i="21"/>
  <c r="C88" i="21" s="1"/>
  <c r="C50" i="15" a="1"/>
  <c r="C50" i="15" s="1"/>
  <c r="C51" i="15" s="1" a="1"/>
  <c r="C51" i="15" s="1"/>
  <c r="A51" i="15" s="1"/>
  <c r="S4" i="7"/>
  <c r="S5"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T2" i="7"/>
  <c r="T3" i="7"/>
  <c r="T4" i="7"/>
  <c r="T5" i="7"/>
  <c r="R5" i="7" s="1"/>
  <c r="T6" i="7"/>
  <c r="T7" i="7"/>
  <c r="T8" i="7"/>
  <c r="T9" i="7"/>
  <c r="T10" i="7"/>
  <c r="R10" i="7" s="1"/>
  <c r="T11" i="7"/>
  <c r="T12" i="7"/>
  <c r="T13" i="7"/>
  <c r="T14" i="7"/>
  <c r="R14" i="7" s="1"/>
  <c r="T15" i="7"/>
  <c r="T16" i="7"/>
  <c r="T17" i="7"/>
  <c r="T18" i="7"/>
  <c r="R18" i="7" s="1"/>
  <c r="T19" i="7"/>
  <c r="T20" i="7"/>
  <c r="T21" i="7"/>
  <c r="T22" i="7"/>
  <c r="R22" i="7" s="1"/>
  <c r="T23" i="7"/>
  <c r="T24" i="7"/>
  <c r="T25" i="7"/>
  <c r="T26" i="7"/>
  <c r="R26" i="7" s="1"/>
  <c r="T27" i="7"/>
  <c r="T28" i="7"/>
  <c r="T29" i="7"/>
  <c r="T30" i="7"/>
  <c r="R30" i="7" s="1"/>
  <c r="T31" i="7"/>
  <c r="T32" i="7"/>
  <c r="T33" i="7"/>
  <c r="T34" i="7"/>
  <c r="R34" i="7" s="1"/>
  <c r="T35" i="7"/>
  <c r="T36" i="7"/>
  <c r="T37" i="7"/>
  <c r="T38" i="7"/>
  <c r="R38" i="7" s="1"/>
  <c r="T39" i="7"/>
  <c r="T40" i="7"/>
  <c r="T41" i="7"/>
  <c r="T42" i="7"/>
  <c r="R42" i="7" s="1"/>
  <c r="T43" i="7"/>
  <c r="T44" i="7"/>
  <c r="T45" i="7"/>
  <c r="T46" i="7"/>
  <c r="R46" i="7" s="1"/>
  <c r="T47" i="7"/>
  <c r="T48" i="7"/>
  <c r="T49" i="7"/>
  <c r="T50" i="7"/>
  <c r="R50" i="7" s="1"/>
  <c r="T51" i="7"/>
  <c r="T52" i="7"/>
  <c r="T53" i="7"/>
  <c r="T54" i="7"/>
  <c r="R54" i="7" s="1"/>
  <c r="T55" i="7"/>
  <c r="T56" i="7"/>
  <c r="T57" i="7"/>
  <c r="T58" i="7"/>
  <c r="R58" i="7" s="1"/>
  <c r="T59" i="7"/>
  <c r="T60" i="7"/>
  <c r="T61" i="7"/>
  <c r="T62" i="7"/>
  <c r="R62" i="7" s="1"/>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AF391" i="7"/>
  <c r="AF2" i="7"/>
  <c r="AF3" i="7"/>
  <c r="AF4" i="7"/>
  <c r="AF5" i="7"/>
  <c r="AF338" i="7"/>
  <c r="AF339" i="7"/>
  <c r="AF6" i="7"/>
  <c r="AF340" i="7"/>
  <c r="AF341" i="7"/>
  <c r="AF7" i="7"/>
  <c r="AF8" i="7"/>
  <c r="AF9" i="7"/>
  <c r="AF344" i="7"/>
  <c r="AF489" i="7"/>
  <c r="AF539" i="7"/>
  <c r="AF551" i="7"/>
  <c r="AF10" i="7"/>
  <c r="AF11" i="7"/>
  <c r="AF528" i="7"/>
  <c r="AF345" i="7"/>
  <c r="AF500" i="7"/>
  <c r="AF12" i="7"/>
  <c r="AF13" i="7"/>
  <c r="AF333" i="7"/>
  <c r="AF334" i="7"/>
  <c r="AF335" i="7"/>
  <c r="AF336" i="7"/>
  <c r="AF337" i="7"/>
  <c r="AF461" i="7"/>
  <c r="AF462" i="7"/>
  <c r="AF516" i="7"/>
  <c r="AF473" i="7"/>
  <c r="AF14" i="7"/>
  <c r="AF15" i="7"/>
  <c r="AF16" i="7"/>
  <c r="AF17" i="7"/>
  <c r="AF18" i="7"/>
  <c r="AF19" i="7"/>
  <c r="AF20" i="7"/>
  <c r="AF21" i="7"/>
  <c r="AF22" i="7"/>
  <c r="AF23" i="7"/>
  <c r="AF24" i="7"/>
  <c r="AF25" i="7"/>
  <c r="AF26" i="7"/>
  <c r="AF27" i="7"/>
  <c r="AF28" i="7"/>
  <c r="AF29" i="7"/>
  <c r="AF381" i="7"/>
  <c r="AF392" i="7"/>
  <c r="AF30" i="7"/>
  <c r="AF382" i="7"/>
  <c r="AF379" i="7"/>
  <c r="AF31" i="7"/>
  <c r="AF32" i="7"/>
  <c r="AF490" i="7"/>
  <c r="AF33" i="7"/>
  <c r="AF34" i="7"/>
  <c r="AF35" i="7"/>
  <c r="AF36" i="7"/>
  <c r="AF37" i="7"/>
  <c r="AF38" i="7"/>
  <c r="AF39" i="7"/>
  <c r="AF393" i="7"/>
  <c r="AF352" i="7"/>
  <c r="AF40" i="7"/>
  <c r="AF41" i="7"/>
  <c r="AF375" i="7"/>
  <c r="AF394" i="7"/>
  <c r="AF395" i="7"/>
  <c r="AF353" i="7"/>
  <c r="AF553" i="7"/>
  <c r="AF354" i="7"/>
  <c r="AF42" i="7"/>
  <c r="AF43" i="7"/>
  <c r="AF44" i="7"/>
  <c r="AF45" i="7"/>
  <c r="AF46" i="7"/>
  <c r="AF439" i="7"/>
  <c r="AF396" i="7"/>
  <c r="AF543" i="7"/>
  <c r="AF47" i="7"/>
  <c r="AF48" i="7"/>
  <c r="AF544" i="7"/>
  <c r="AF49" i="7"/>
  <c r="AF50" i="7"/>
  <c r="AF342" i="7"/>
  <c r="AF51" i="7"/>
  <c r="AF52" i="7"/>
  <c r="AF53" i="7"/>
  <c r="AF54" i="7"/>
  <c r="AF503" i="7"/>
  <c r="AF513" i="7"/>
  <c r="AF346" i="7"/>
  <c r="AF433" i="7"/>
  <c r="AF491" i="7"/>
  <c r="AF502" i="7"/>
  <c r="AF509" i="7"/>
  <c r="AF434" i="7"/>
  <c r="AF397" i="7"/>
  <c r="AF398" i="7"/>
  <c r="AF55" i="7"/>
  <c r="AF56" i="7"/>
  <c r="AF57" i="7"/>
  <c r="AF58" i="7"/>
  <c r="AF59" i="7"/>
  <c r="AF60" i="7"/>
  <c r="AF61" i="7"/>
  <c r="AF62" i="7"/>
  <c r="AF63" i="7"/>
  <c r="AF64" i="7"/>
  <c r="AF65" i="7"/>
  <c r="AF66" i="7"/>
  <c r="AF67" i="7"/>
  <c r="AF538" i="7"/>
  <c r="AF463" i="7"/>
  <c r="AF68" i="7"/>
  <c r="AF69" i="7"/>
  <c r="AF477" i="7"/>
  <c r="AF504" i="7"/>
  <c r="AF457" i="7"/>
  <c r="AF458" i="7"/>
  <c r="AF70" i="7"/>
  <c r="AF529" i="7"/>
  <c r="AF523" i="7"/>
  <c r="AF71" i="7"/>
  <c r="AF533" i="7"/>
  <c r="AF510" i="7"/>
  <c r="AF464" i="7"/>
  <c r="AF440" i="7"/>
  <c r="AF441" i="7"/>
  <c r="AF442" i="7"/>
  <c r="S2" i="7" s="1"/>
  <c r="AF72" i="7"/>
  <c r="AF73" i="7"/>
  <c r="AF411" i="7"/>
  <c r="AF383" i="7"/>
  <c r="AF384" i="7"/>
  <c r="AF385" i="7"/>
  <c r="AF399" i="7"/>
  <c r="AF400" i="7"/>
  <c r="AF401" i="7"/>
  <c r="AF355" i="7"/>
  <c r="AF74" i="7"/>
  <c r="AF75" i="7"/>
  <c r="AF522" i="7"/>
  <c r="AF76" i="7"/>
  <c r="AF77" i="7"/>
  <c r="AF78" i="7"/>
  <c r="AF356" i="7"/>
  <c r="AF357" i="7"/>
  <c r="AF358" i="7"/>
  <c r="AF359" i="7"/>
  <c r="AF360" i="7"/>
  <c r="AF361" i="7"/>
  <c r="AF517" i="7"/>
  <c r="AF465" i="7"/>
  <c r="AF435" i="7"/>
  <c r="AF535" i="7"/>
  <c r="AF530" i="7"/>
  <c r="AF79" i="7"/>
  <c r="AF80" i="7"/>
  <c r="AF81" i="7"/>
  <c r="AF82" i="7"/>
  <c r="AF83" i="7"/>
  <c r="AF84" i="7"/>
  <c r="AF85" i="7"/>
  <c r="AF86" i="7"/>
  <c r="AF87" i="7"/>
  <c r="AF343" i="7"/>
  <c r="AF88" i="7"/>
  <c r="AF466" i="7"/>
  <c r="AF89" i="7"/>
  <c r="AF90" i="7"/>
  <c r="AF91" i="7"/>
  <c r="AF92" i="7"/>
  <c r="AF552" i="7"/>
  <c r="AF93" i="7"/>
  <c r="AF94" i="7"/>
  <c r="AF95" i="7"/>
  <c r="AF96" i="7"/>
  <c r="AF537" i="7"/>
  <c r="AF97" i="7"/>
  <c r="AF98" i="7"/>
  <c r="AF99" i="7"/>
  <c r="AF100" i="7"/>
  <c r="AF101" i="7"/>
  <c r="AF102" i="7"/>
  <c r="AF103" i="7"/>
  <c r="AF540" i="7"/>
  <c r="AF541" i="7"/>
  <c r="AF104" i="7"/>
  <c r="AF105" i="7"/>
  <c r="AF106" i="7"/>
  <c r="AF107" i="7"/>
  <c r="AF108" i="7"/>
  <c r="AF109" i="7"/>
  <c r="AF110" i="7"/>
  <c r="AF111" i="7"/>
  <c r="AF112" i="7"/>
  <c r="AF113" i="7"/>
  <c r="AF478" i="7"/>
  <c r="AF114" i="7"/>
  <c r="AF115" i="7"/>
  <c r="AF555" i="7"/>
  <c r="AF116" i="7"/>
  <c r="AF556" i="7"/>
  <c r="AF557" i="7"/>
  <c r="AF558" i="7"/>
  <c r="AF559" i="7"/>
  <c r="AF560" i="7"/>
  <c r="AF443" i="7"/>
  <c r="AF444" i="7"/>
  <c r="AF117" i="7"/>
  <c r="AF118" i="7"/>
  <c r="AF119" i="7"/>
  <c r="AF120" i="7"/>
  <c r="AF121" i="7"/>
  <c r="AF122" i="7"/>
  <c r="AF123" i="7"/>
  <c r="AF124" i="7"/>
  <c r="AF125" i="7"/>
  <c r="AF126" i="7"/>
  <c r="AF127" i="7"/>
  <c r="AF128" i="7"/>
  <c r="AF129" i="7"/>
  <c r="AF130" i="7"/>
  <c r="AF131" i="7"/>
  <c r="AF132" i="7"/>
  <c r="AF133" i="7"/>
  <c r="AF134" i="7"/>
  <c r="AF135" i="7"/>
  <c r="AF362" i="7"/>
  <c r="AF363" i="7"/>
  <c r="AF364" i="7"/>
  <c r="AF365" i="7"/>
  <c r="AF390" i="7"/>
  <c r="AF136" i="7"/>
  <c r="AF137" i="7"/>
  <c r="AF138" i="7"/>
  <c r="AF139" i="7"/>
  <c r="AF140" i="7"/>
  <c r="AF141" i="7"/>
  <c r="AF142" i="7"/>
  <c r="AF143" i="7"/>
  <c r="AF144" i="7"/>
  <c r="AF467" i="7"/>
  <c r="AF445" i="7"/>
  <c r="AF145" i="7"/>
  <c r="AF146" i="7"/>
  <c r="AF147" i="7"/>
  <c r="AF148" i="7"/>
  <c r="AF149" i="7"/>
  <c r="AF150" i="7"/>
  <c r="AF151" i="7"/>
  <c r="AF152" i="7"/>
  <c r="AF153" i="7"/>
  <c r="AF432" i="7"/>
  <c r="AF154" i="7"/>
  <c r="AF155" i="7"/>
  <c r="AF156" i="7"/>
  <c r="AF505" i="7"/>
  <c r="AF524" i="7"/>
  <c r="AF501" i="7"/>
  <c r="AF157" i="7"/>
  <c r="AF158" i="7"/>
  <c r="AF159" i="7"/>
  <c r="AF160" i="7"/>
  <c r="AF161" i="7"/>
  <c r="AF162" i="7"/>
  <c r="AF163" i="7"/>
  <c r="AF164" i="7"/>
  <c r="AF165" i="7"/>
  <c r="AF166" i="7"/>
  <c r="AF167" i="7"/>
  <c r="AF168" i="7"/>
  <c r="AF169" i="7"/>
  <c r="AF170" i="7"/>
  <c r="AF531" i="7"/>
  <c r="AF534" i="7"/>
  <c r="AF171" i="7"/>
  <c r="AF347" i="7"/>
  <c r="AF532" i="7"/>
  <c r="AF419" i="7"/>
  <c r="AF172" i="7"/>
  <c r="AF173" i="7"/>
  <c r="AF174" i="7"/>
  <c r="AF175" i="7"/>
  <c r="AF176" i="7"/>
  <c r="AF177" i="7"/>
  <c r="AF178" i="7"/>
  <c r="AF429" i="7"/>
  <c r="AF179" i="7"/>
  <c r="AF180" i="7"/>
  <c r="AF181" i="7"/>
  <c r="AF420" i="7"/>
  <c r="AF182" i="7"/>
  <c r="AF183" i="7"/>
  <c r="AF184" i="7"/>
  <c r="AF185" i="7"/>
  <c r="AF186" i="7"/>
  <c r="AF492" i="7"/>
  <c r="AF421" i="7"/>
  <c r="AF422" i="7"/>
  <c r="S6" i="7" s="1"/>
  <c r="AF423" i="7"/>
  <c r="AF187" i="7"/>
  <c r="AF475" i="7"/>
  <c r="AF386" i="7"/>
  <c r="AF436" i="7"/>
  <c r="AF188" i="7"/>
  <c r="AF402" i="7"/>
  <c r="AF520" i="7"/>
  <c r="AF468" i="7"/>
  <c r="AF418" i="7"/>
  <c r="AF189" i="7"/>
  <c r="AF511" i="7"/>
  <c r="AF554" i="7"/>
  <c r="AF366" i="7"/>
  <c r="AF545" i="7"/>
  <c r="AF370" i="7"/>
  <c r="AF190" i="7"/>
  <c r="AF191" i="7"/>
  <c r="AF192" i="7"/>
  <c r="AF193" i="7"/>
  <c r="AF194" i="7"/>
  <c r="AF493" i="7"/>
  <c r="AF195" i="7"/>
  <c r="AF196" i="7"/>
  <c r="AF197" i="7"/>
  <c r="AF198" i="7"/>
  <c r="AF199" i="7"/>
  <c r="AF494" i="7"/>
  <c r="AF200" i="7"/>
  <c r="AF412" i="7"/>
  <c r="AF413" i="7"/>
  <c r="AF201" i="7"/>
  <c r="AF542" i="7"/>
  <c r="AF546" i="7"/>
  <c r="AF547" i="7"/>
  <c r="AF202" i="7"/>
  <c r="AF203" i="7"/>
  <c r="AF204" i="7"/>
  <c r="AF205" i="7"/>
  <c r="AF479" i="7"/>
  <c r="AF348" i="7"/>
  <c r="AF437" i="7"/>
  <c r="AF367" i="7"/>
  <c r="AF518" i="7"/>
  <c r="AF495" i="7"/>
  <c r="AF496" i="7"/>
  <c r="AF414" i="7"/>
  <c r="AF371" i="7"/>
  <c r="AF372" i="7"/>
  <c r="AF373" i="7"/>
  <c r="AF349" i="7"/>
  <c r="AF476" i="7"/>
  <c r="AF206" i="7"/>
  <c r="AF207" i="7"/>
  <c r="AF208" i="7"/>
  <c r="AF431" i="7"/>
  <c r="AF497" i="7"/>
  <c r="AF424" i="7"/>
  <c r="AF209" i="7"/>
  <c r="AF485" i="7"/>
  <c r="AF446" i="7"/>
  <c r="AF548" i="7"/>
  <c r="AF210" i="7"/>
  <c r="AF211" i="7"/>
  <c r="AF212" i="7"/>
  <c r="AF474" i="7"/>
  <c r="AF403" i="7"/>
  <c r="AF405" i="7"/>
  <c r="AF213" i="7"/>
  <c r="AF214" i="7"/>
  <c r="AF215" i="7"/>
  <c r="AF216" i="7"/>
  <c r="AF217" i="7"/>
  <c r="AF218" i="7"/>
  <c r="AF219" i="7"/>
  <c r="AF220" i="7"/>
  <c r="AF221" i="7"/>
  <c r="AF222" i="7"/>
  <c r="AF223" i="7"/>
  <c r="AF224" i="7"/>
  <c r="AF225" i="7"/>
  <c r="AF410" i="7"/>
  <c r="AF226" i="7"/>
  <c r="AF227" i="7"/>
  <c r="AF228" i="7"/>
  <c r="AF229" i="7"/>
  <c r="AF230" i="7"/>
  <c r="AF447" i="7"/>
  <c r="AF448" i="7"/>
  <c r="S3" i="7" s="1"/>
  <c r="AF231" i="7"/>
  <c r="AF232" i="7"/>
  <c r="AF233" i="7"/>
  <c r="AF234" i="7"/>
  <c r="AF235" i="7"/>
  <c r="AF236" i="7"/>
  <c r="AF237" i="7"/>
  <c r="AF238" i="7"/>
  <c r="AF239" i="7"/>
  <c r="AF508" i="7"/>
  <c r="AF526" i="7"/>
  <c r="AF527" i="7"/>
  <c r="AF406" i="7"/>
  <c r="AF407" i="7"/>
  <c r="AF512" i="7"/>
  <c r="AF514" i="7"/>
  <c r="AF240" i="7"/>
  <c r="AF241" i="7"/>
  <c r="AF242" i="7"/>
  <c r="AF243" i="7"/>
  <c r="AF244" i="7"/>
  <c r="AF245" i="7"/>
  <c r="AF246" i="7"/>
  <c r="AF247" i="7"/>
  <c r="AF248" i="7"/>
  <c r="AF368" i="7"/>
  <c r="AF249" i="7"/>
  <c r="AF521" i="7"/>
  <c r="AF250" i="7"/>
  <c r="AF251" i="7"/>
  <c r="AF252" i="7"/>
  <c r="AF253" i="7"/>
  <c r="AF254" i="7"/>
  <c r="AF255" i="7"/>
  <c r="AF256" i="7"/>
  <c r="AF438" i="7"/>
  <c r="AF469" i="7"/>
  <c r="AF486" i="7"/>
  <c r="AF487" i="7"/>
  <c r="AF257" i="7"/>
  <c r="AF380" i="7"/>
  <c r="AF258" i="7"/>
  <c r="AF507" i="7"/>
  <c r="AF430" i="7"/>
  <c r="AF259" i="7"/>
  <c r="AF260" i="7"/>
  <c r="AF261" i="7"/>
  <c r="AF262" i="7"/>
  <c r="AF263" i="7"/>
  <c r="AF264" i="7"/>
  <c r="AF265" i="7"/>
  <c r="AF449" i="7"/>
  <c r="AF266" i="7"/>
  <c r="AF267" i="7"/>
  <c r="AF268" i="7"/>
  <c r="AF269" i="7"/>
  <c r="AF270" i="7"/>
  <c r="AF549" i="7"/>
  <c r="AF271" i="7"/>
  <c r="AF272" i="7"/>
  <c r="AF273" i="7"/>
  <c r="AF274" i="7"/>
  <c r="AF275" i="7"/>
  <c r="AF450" i="7"/>
  <c r="AF451" i="7"/>
  <c r="AF452" i="7"/>
  <c r="AF519" i="7"/>
  <c r="AF453" i="7"/>
  <c r="AF276" i="7"/>
  <c r="AF350" i="7"/>
  <c r="AF277" i="7"/>
  <c r="AF278" i="7"/>
  <c r="AF279" i="7"/>
  <c r="AF425" i="7"/>
  <c r="AF488" i="7"/>
  <c r="AF280" i="7"/>
  <c r="AF281" i="7"/>
  <c r="AF282" i="7"/>
  <c r="AF283" i="7"/>
  <c r="AF284" i="7"/>
  <c r="AF285" i="7"/>
  <c r="AF286" i="7"/>
  <c r="AF287" i="7"/>
  <c r="AF288" i="7"/>
  <c r="AF459" i="7"/>
  <c r="AF289" i="7"/>
  <c r="AF426" i="7"/>
  <c r="AF427" i="7"/>
  <c r="AF404" i="7"/>
  <c r="AF376" i="7"/>
  <c r="AF377" i="7"/>
  <c r="AF378" i="7"/>
  <c r="AF480" i="7"/>
  <c r="AF481" i="7"/>
  <c r="AF482" i="7"/>
  <c r="AF483" i="7"/>
  <c r="AF484" i="7"/>
  <c r="AF415" i="7"/>
  <c r="AF416" i="7"/>
  <c r="AF417" i="7"/>
  <c r="AF387" i="7"/>
  <c r="AF408" i="7"/>
  <c r="AF409" i="7"/>
  <c r="AF388" i="7"/>
  <c r="AF389" i="7"/>
  <c r="AF290" i="7"/>
  <c r="AF291" i="7"/>
  <c r="AF292" i="7"/>
  <c r="AF293" i="7"/>
  <c r="AF294" i="7"/>
  <c r="AF295" i="7"/>
  <c r="AF296" i="7"/>
  <c r="AF297" i="7"/>
  <c r="AF498" i="7"/>
  <c r="AF506" i="7"/>
  <c r="AF298" i="7"/>
  <c r="AF299" i="7"/>
  <c r="AF550" i="7"/>
  <c r="AF460" i="7"/>
  <c r="AF525" i="7"/>
  <c r="AF300" i="7"/>
  <c r="AF301" i="7"/>
  <c r="AF302" i="7"/>
  <c r="AF303" i="7"/>
  <c r="AF304" i="7"/>
  <c r="AF305" i="7"/>
  <c r="AF306" i="7"/>
  <c r="AF307" i="7"/>
  <c r="AF308" i="7"/>
  <c r="AF309" i="7"/>
  <c r="AF536" i="7"/>
  <c r="AF310" i="7"/>
  <c r="AF311" i="7"/>
  <c r="AF499" i="7"/>
  <c r="AF312" i="7"/>
  <c r="AF313" i="7"/>
  <c r="AF454" i="7"/>
  <c r="AF455" i="7"/>
  <c r="AF456" i="7"/>
  <c r="AF515" i="7"/>
  <c r="AF314" i="7"/>
  <c r="AF315" i="7"/>
  <c r="AF316" i="7"/>
  <c r="AF317" i="7"/>
  <c r="AF318" i="7"/>
  <c r="AF319" i="7"/>
  <c r="AF320" i="7"/>
  <c r="AF321" i="7"/>
  <c r="AF322" i="7"/>
  <c r="AF323" i="7"/>
  <c r="AF324" i="7"/>
  <c r="AF325" i="7"/>
  <c r="AF326" i="7"/>
  <c r="AF327" i="7"/>
  <c r="AF328" i="7"/>
  <c r="AF369" i="7"/>
  <c r="AF351" i="7"/>
  <c r="AF329" i="7"/>
  <c r="AF330" i="7"/>
  <c r="AF331" i="7"/>
  <c r="AF374" i="7"/>
  <c r="AF428" i="7"/>
  <c r="AF332" i="7"/>
  <c r="AF470" i="7"/>
  <c r="AF471" i="7"/>
  <c r="AF472" i="7"/>
  <c r="R61" i="7" l="1"/>
  <c r="R57" i="7"/>
  <c r="R53" i="7"/>
  <c r="R49" i="7"/>
  <c r="R45" i="7"/>
  <c r="R41" i="7"/>
  <c r="R37" i="7"/>
  <c r="R33" i="7"/>
  <c r="R29" i="7"/>
  <c r="R25" i="7"/>
  <c r="R21" i="7"/>
  <c r="R17" i="7"/>
  <c r="R13" i="7"/>
  <c r="R9" i="7"/>
  <c r="R4" i="7"/>
  <c r="C89" i="15"/>
  <c r="A50" i="15"/>
  <c r="C50" i="21"/>
  <c r="C89" i="21" s="1"/>
  <c r="C51" i="21"/>
  <c r="C90" i="21" s="1"/>
  <c r="C90" i="15"/>
  <c r="C52" i="15" a="1"/>
  <c r="C52" i="15" s="1"/>
  <c r="A52" i="15" s="1"/>
  <c r="R598" i="7"/>
  <c r="R582" i="7"/>
  <c r="R574" i="7"/>
  <c r="R566" i="7"/>
  <c r="R558" i="7"/>
  <c r="R550" i="7"/>
  <c r="R542" i="7"/>
  <c r="R534" i="7"/>
  <c r="R526" i="7"/>
  <c r="R518" i="7"/>
  <c r="R510" i="7"/>
  <c r="R502" i="7"/>
  <c r="R494" i="7"/>
  <c r="R486" i="7"/>
  <c r="R478" i="7"/>
  <c r="R470" i="7"/>
  <c r="R462" i="7"/>
  <c r="R454" i="7"/>
  <c r="R446" i="7"/>
  <c r="R438" i="7"/>
  <c r="R430" i="7"/>
  <c r="R422" i="7"/>
  <c r="R410" i="7"/>
  <c r="R594" i="7"/>
  <c r="R586" i="7"/>
  <c r="R578" i="7"/>
  <c r="R570" i="7"/>
  <c r="R562" i="7"/>
  <c r="R554" i="7"/>
  <c r="R546" i="7"/>
  <c r="R538" i="7"/>
  <c r="R530" i="7"/>
  <c r="R522" i="7"/>
  <c r="R514" i="7"/>
  <c r="R506" i="7"/>
  <c r="R498" i="7"/>
  <c r="R490" i="7"/>
  <c r="R482" i="7"/>
  <c r="R474" i="7"/>
  <c r="R466" i="7"/>
  <c r="R458" i="7"/>
  <c r="R450" i="7"/>
  <c r="R442" i="7"/>
  <c r="R434" i="7"/>
  <c r="R426" i="7"/>
  <c r="R418" i="7"/>
  <c r="R414" i="7"/>
  <c r="R406" i="7"/>
  <c r="R590" i="7"/>
  <c r="R209" i="7"/>
  <c r="R205" i="7"/>
  <c r="R201" i="7"/>
  <c r="R197" i="7"/>
  <c r="R193" i="7"/>
  <c r="R189" i="7"/>
  <c r="R185" i="7"/>
  <c r="R181" i="7"/>
  <c r="R177" i="7"/>
  <c r="R173" i="7"/>
  <c r="R169" i="7"/>
  <c r="R165" i="7"/>
  <c r="R161" i="7"/>
  <c r="R157" i="7"/>
  <c r="R153" i="7"/>
  <c r="R149" i="7"/>
  <c r="R145" i="7"/>
  <c r="R141" i="7"/>
  <c r="R137" i="7"/>
  <c r="R133" i="7"/>
  <c r="R129" i="7"/>
  <c r="R125" i="7"/>
  <c r="R121" i="7"/>
  <c r="R117" i="7"/>
  <c r="R113" i="7"/>
  <c r="R109" i="7"/>
  <c r="R105" i="7"/>
  <c r="R101" i="7"/>
  <c r="R97" i="7"/>
  <c r="R93" i="7"/>
  <c r="R89" i="7"/>
  <c r="R85" i="7"/>
  <c r="R81" i="7"/>
  <c r="R77" i="7"/>
  <c r="R73" i="7"/>
  <c r="R69" i="7"/>
  <c r="R65" i="7"/>
  <c r="R402" i="7"/>
  <c r="R398" i="7"/>
  <c r="R394" i="7"/>
  <c r="R390" i="7"/>
  <c r="R386" i="7"/>
  <c r="R382" i="7"/>
  <c r="R378" i="7"/>
  <c r="R374" i="7"/>
  <c r="R370" i="7"/>
  <c r="R366" i="7"/>
  <c r="R362" i="7"/>
  <c r="R358" i="7"/>
  <c r="R354" i="7"/>
  <c r="R350" i="7"/>
  <c r="R346" i="7"/>
  <c r="R342" i="7"/>
  <c r="R338" i="7"/>
  <c r="R334" i="7"/>
  <c r="R330" i="7"/>
  <c r="R326" i="7"/>
  <c r="R322" i="7"/>
  <c r="R318" i="7"/>
  <c r="R314" i="7"/>
  <c r="R310" i="7"/>
  <c r="R306" i="7"/>
  <c r="R302" i="7"/>
  <c r="R298" i="7"/>
  <c r="R294" i="7"/>
  <c r="R290" i="7"/>
  <c r="R286" i="7"/>
  <c r="R282" i="7"/>
  <c r="R278" i="7"/>
  <c r="R274" i="7"/>
  <c r="R270" i="7"/>
  <c r="R266" i="7"/>
  <c r="R262" i="7"/>
  <c r="R258" i="7"/>
  <c r="R254" i="7"/>
  <c r="R250" i="7"/>
  <c r="R246" i="7"/>
  <c r="R242" i="7"/>
  <c r="R238" i="7"/>
  <c r="R234" i="7"/>
  <c r="R230" i="7"/>
  <c r="R226" i="7"/>
  <c r="R222" i="7"/>
  <c r="R218" i="7"/>
  <c r="R214" i="7"/>
  <c r="R210" i="7"/>
  <c r="R206" i="7"/>
  <c r="R202" i="7"/>
  <c r="R198" i="7"/>
  <c r="R194" i="7"/>
  <c r="R190" i="7"/>
  <c r="R186" i="7"/>
  <c r="R182" i="7"/>
  <c r="R178" i="7"/>
  <c r="R174" i="7"/>
  <c r="R170" i="7"/>
  <c r="R166" i="7"/>
  <c r="R162" i="7"/>
  <c r="R158" i="7"/>
  <c r="R154" i="7"/>
  <c r="R150" i="7"/>
  <c r="R146" i="7"/>
  <c r="R142" i="7"/>
  <c r="R138" i="7"/>
  <c r="R134" i="7"/>
  <c r="R130" i="7"/>
  <c r="R126" i="7"/>
  <c r="R122" i="7"/>
  <c r="R118" i="7"/>
  <c r="R114" i="7"/>
  <c r="R110" i="7"/>
  <c r="R106" i="7"/>
  <c r="R102" i="7"/>
  <c r="R98" i="7"/>
  <c r="R94" i="7"/>
  <c r="R90" i="7"/>
  <c r="R86" i="7"/>
  <c r="R82" i="7"/>
  <c r="R78" i="7"/>
  <c r="R74" i="7"/>
  <c r="R70" i="7"/>
  <c r="R66" i="7"/>
  <c r="R593" i="7"/>
  <c r="R585" i="7"/>
  <c r="R577" i="7"/>
  <c r="R557" i="7"/>
  <c r="R597" i="7"/>
  <c r="R589" i="7"/>
  <c r="R581" i="7"/>
  <c r="R573" i="7"/>
  <c r="R569" i="7"/>
  <c r="R565" i="7"/>
  <c r="R561" i="7"/>
  <c r="R553" i="7"/>
  <c r="R549" i="7"/>
  <c r="R545" i="7"/>
  <c r="R541" i="7"/>
  <c r="R537" i="7"/>
  <c r="R533" i="7"/>
  <c r="R529" i="7"/>
  <c r="R525" i="7"/>
  <c r="R521" i="7"/>
  <c r="R517" i="7"/>
  <c r="R513" i="7"/>
  <c r="R509" i="7"/>
  <c r="R505" i="7"/>
  <c r="R501" i="7"/>
  <c r="R497" i="7"/>
  <c r="R493" i="7"/>
  <c r="R489" i="7"/>
  <c r="R485" i="7"/>
  <c r="R481" i="7"/>
  <c r="R477" i="7"/>
  <c r="R473" i="7"/>
  <c r="R469" i="7"/>
  <c r="R465" i="7"/>
  <c r="R461" i="7"/>
  <c r="R457" i="7"/>
  <c r="R453" i="7"/>
  <c r="R449" i="7"/>
  <c r="R445" i="7"/>
  <c r="R441" i="7"/>
  <c r="R437" i="7"/>
  <c r="R433" i="7"/>
  <c r="R429" i="7"/>
  <c r="R425" i="7"/>
  <c r="R421" i="7"/>
  <c r="R417" i="7"/>
  <c r="R413" i="7"/>
  <c r="R409" i="7"/>
  <c r="R405" i="7"/>
  <c r="R401" i="7"/>
  <c r="R397" i="7"/>
  <c r="R393" i="7"/>
  <c r="R389" i="7"/>
  <c r="R385" i="7"/>
  <c r="R381" i="7"/>
  <c r="R377" i="7"/>
  <c r="R373" i="7"/>
  <c r="R369" i="7"/>
  <c r="R365" i="7"/>
  <c r="R361" i="7"/>
  <c r="R357" i="7"/>
  <c r="R353" i="7"/>
  <c r="R349" i="7"/>
  <c r="R345" i="7"/>
  <c r="R341" i="7"/>
  <c r="R337" i="7"/>
  <c r="R333" i="7"/>
  <c r="R329" i="7"/>
  <c r="R325" i="7"/>
  <c r="R321" i="7"/>
  <c r="R317" i="7"/>
  <c r="R313" i="7"/>
  <c r="R309" i="7"/>
  <c r="R305" i="7"/>
  <c r="R301" i="7"/>
  <c r="R297" i="7"/>
  <c r="R293" i="7"/>
  <c r="R289" i="7"/>
  <c r="R285" i="7"/>
  <c r="R281" i="7"/>
  <c r="R277" i="7"/>
  <c r="R273" i="7"/>
  <c r="R269" i="7"/>
  <c r="R265" i="7"/>
  <c r="R261" i="7"/>
  <c r="R257" i="7"/>
  <c r="R253" i="7"/>
  <c r="R249" i="7"/>
  <c r="R245" i="7"/>
  <c r="R241" i="7"/>
  <c r="R237" i="7"/>
  <c r="R233" i="7"/>
  <c r="R229" i="7"/>
  <c r="R225" i="7"/>
  <c r="R221" i="7"/>
  <c r="R217" i="7"/>
  <c r="R213" i="7"/>
  <c r="R3" i="7"/>
  <c r="R28" i="7"/>
  <c r="R24" i="7"/>
  <c r="R20" i="7"/>
  <c r="R16" i="7"/>
  <c r="R12" i="7"/>
  <c r="R8" i="7"/>
  <c r="R599" i="7"/>
  <c r="R595" i="7"/>
  <c r="R591" i="7"/>
  <c r="R587" i="7"/>
  <c r="R583" i="7"/>
  <c r="R579" i="7"/>
  <c r="R575" i="7"/>
  <c r="R571" i="7"/>
  <c r="R567" i="7"/>
  <c r="R563" i="7"/>
  <c r="R559" i="7"/>
  <c r="R555" i="7"/>
  <c r="R551" i="7"/>
  <c r="R547" i="7"/>
  <c r="R543" i="7"/>
  <c r="R539" i="7"/>
  <c r="R535" i="7"/>
  <c r="R531" i="7"/>
  <c r="R527" i="7"/>
  <c r="R523" i="7"/>
  <c r="R519" i="7"/>
  <c r="R515" i="7"/>
  <c r="R511" i="7"/>
  <c r="R507" i="7"/>
  <c r="R503" i="7"/>
  <c r="R499" i="7"/>
  <c r="R495" i="7"/>
  <c r="R491" i="7"/>
  <c r="R63" i="7"/>
  <c r="R59" i="7"/>
  <c r="R55" i="7"/>
  <c r="R51" i="7"/>
  <c r="R47" i="7"/>
  <c r="R43" i="7"/>
  <c r="R39" i="7"/>
  <c r="R35" i="7"/>
  <c r="R31" i="7"/>
  <c r="R27" i="7"/>
  <c r="R23" i="7"/>
  <c r="R19" i="7"/>
  <c r="R15" i="7"/>
  <c r="R11" i="7"/>
  <c r="R7" i="7"/>
  <c r="R592" i="7"/>
  <c r="R584" i="7"/>
  <c r="R576" i="7"/>
  <c r="R568" i="7"/>
  <c r="R560" i="7"/>
  <c r="R552" i="7"/>
  <c r="R544" i="7"/>
  <c r="R536" i="7"/>
  <c r="R528" i="7"/>
  <c r="R520" i="7"/>
  <c r="R512" i="7"/>
  <c r="R504" i="7"/>
  <c r="R496" i="7"/>
  <c r="R488" i="7"/>
  <c r="R480" i="7"/>
  <c r="R472" i="7"/>
  <c r="R464" i="7"/>
  <c r="R456" i="7"/>
  <c r="R448" i="7"/>
  <c r="R440" i="7"/>
  <c r="R432" i="7"/>
  <c r="R424" i="7"/>
  <c r="R416" i="7"/>
  <c r="R408" i="7"/>
  <c r="R400" i="7"/>
  <c r="R388" i="7"/>
  <c r="R2" i="7"/>
  <c r="R596" i="7"/>
  <c r="R588" i="7"/>
  <c r="R580" i="7"/>
  <c r="R572" i="7"/>
  <c r="R564" i="7"/>
  <c r="R556" i="7"/>
  <c r="R548" i="7"/>
  <c r="R540" i="7"/>
  <c r="R532" i="7"/>
  <c r="R524" i="7"/>
  <c r="R516" i="7"/>
  <c r="R508" i="7"/>
  <c r="R500" i="7"/>
  <c r="R492" i="7"/>
  <c r="R484" i="7"/>
  <c r="R476" i="7"/>
  <c r="R468" i="7"/>
  <c r="R460" i="7"/>
  <c r="R452" i="7"/>
  <c r="R444" i="7"/>
  <c r="R436" i="7"/>
  <c r="R428" i="7"/>
  <c r="R420" i="7"/>
  <c r="R412" i="7"/>
  <c r="R404" i="7"/>
  <c r="R396" i="7"/>
  <c r="R392" i="7"/>
  <c r="R380" i="7"/>
  <c r="R384" i="7"/>
  <c r="R376" i="7"/>
  <c r="R372" i="7"/>
  <c r="R368" i="7"/>
  <c r="R360" i="7"/>
  <c r="R356" i="7"/>
  <c r="R352" i="7"/>
  <c r="R344" i="7"/>
  <c r="R340" i="7"/>
  <c r="R336" i="7"/>
  <c r="R332" i="7"/>
  <c r="R328" i="7"/>
  <c r="R324" i="7"/>
  <c r="R320" i="7"/>
  <c r="R312" i="7"/>
  <c r="R308" i="7"/>
  <c r="R304" i="7"/>
  <c r="R300" i="7"/>
  <c r="R296" i="7"/>
  <c r="R292" i="7"/>
  <c r="R288" i="7"/>
  <c r="R284" i="7"/>
  <c r="R280" i="7"/>
  <c r="R276" i="7"/>
  <c r="R272" i="7"/>
  <c r="R268" i="7"/>
  <c r="R264" i="7"/>
  <c r="R260" i="7"/>
  <c r="R256" i="7"/>
  <c r="R252" i="7"/>
  <c r="R248" i="7"/>
  <c r="R244" i="7"/>
  <c r="R240" i="7"/>
  <c r="R236" i="7"/>
  <c r="R232" i="7"/>
  <c r="R228" i="7"/>
  <c r="R224" i="7"/>
  <c r="R220" i="7"/>
  <c r="R216" i="7"/>
  <c r="R212" i="7"/>
  <c r="R208" i="7"/>
  <c r="R204" i="7"/>
  <c r="R200" i="7"/>
  <c r="R196" i="7"/>
  <c r="R192" i="7"/>
  <c r="R188" i="7"/>
  <c r="R184" i="7"/>
  <c r="R180" i="7"/>
  <c r="R176" i="7"/>
  <c r="R172" i="7"/>
  <c r="R168" i="7"/>
  <c r="R164" i="7"/>
  <c r="R160" i="7"/>
  <c r="R156" i="7"/>
  <c r="R152" i="7"/>
  <c r="R148" i="7"/>
  <c r="R144" i="7"/>
  <c r="R140" i="7"/>
  <c r="R136" i="7"/>
  <c r="R132" i="7"/>
  <c r="R128" i="7"/>
  <c r="R124" i="7"/>
  <c r="R120" i="7"/>
  <c r="R116" i="7"/>
  <c r="R112" i="7"/>
  <c r="R108" i="7"/>
  <c r="R104" i="7"/>
  <c r="R100" i="7"/>
  <c r="R96" i="7"/>
  <c r="R92" i="7"/>
  <c r="R88" i="7"/>
  <c r="R84" i="7"/>
  <c r="R80" i="7"/>
  <c r="R76" i="7"/>
  <c r="R72" i="7"/>
  <c r="R68" i="7"/>
  <c r="R64" i="7"/>
  <c r="R60" i="7"/>
  <c r="R56" i="7"/>
  <c r="R52" i="7"/>
  <c r="R48" i="7"/>
  <c r="R44" i="7"/>
  <c r="R40" i="7"/>
  <c r="R36" i="7"/>
  <c r="R32" i="7"/>
  <c r="R364" i="7"/>
  <c r="R348" i="7"/>
  <c r="R316" i="7"/>
  <c r="R6" i="7"/>
  <c r="R487" i="7"/>
  <c r="R483" i="7"/>
  <c r="R479" i="7"/>
  <c r="R475" i="7"/>
  <c r="R471" i="7"/>
  <c r="R467" i="7"/>
  <c r="R463" i="7"/>
  <c r="R459" i="7"/>
  <c r="R455" i="7"/>
  <c r="R451" i="7"/>
  <c r="R447" i="7"/>
  <c r="R443" i="7"/>
  <c r="R439" i="7"/>
  <c r="R435" i="7"/>
  <c r="R431" i="7"/>
  <c r="R427" i="7"/>
  <c r="R423" i="7"/>
  <c r="R419" i="7"/>
  <c r="R415" i="7"/>
  <c r="R411" i="7"/>
  <c r="R407" i="7"/>
  <c r="R403" i="7"/>
  <c r="R399" i="7"/>
  <c r="R395" i="7"/>
  <c r="R391" i="7"/>
  <c r="R387" i="7"/>
  <c r="R383" i="7"/>
  <c r="R379" i="7"/>
  <c r="R375" i="7"/>
  <c r="R371" i="7"/>
  <c r="R367" i="7"/>
  <c r="R363" i="7"/>
  <c r="R359" i="7"/>
  <c r="R355" i="7"/>
  <c r="R351" i="7"/>
  <c r="R347" i="7"/>
  <c r="R343" i="7"/>
  <c r="R339" i="7"/>
  <c r="R335" i="7"/>
  <c r="R331" i="7"/>
  <c r="R327" i="7"/>
  <c r="R323" i="7"/>
  <c r="R319" i="7"/>
  <c r="R315" i="7"/>
  <c r="R311" i="7"/>
  <c r="R307" i="7"/>
  <c r="R303" i="7"/>
  <c r="R299" i="7"/>
  <c r="R295" i="7"/>
  <c r="R291" i="7"/>
  <c r="R287" i="7"/>
  <c r="R283" i="7"/>
  <c r="R279" i="7"/>
  <c r="R275" i="7"/>
  <c r="R271" i="7"/>
  <c r="R267" i="7"/>
  <c r="R263" i="7"/>
  <c r="R259" i="7"/>
  <c r="R255" i="7"/>
  <c r="R251" i="7"/>
  <c r="R247" i="7"/>
  <c r="R243" i="7"/>
  <c r="R239" i="7"/>
  <c r="R235" i="7"/>
  <c r="R231" i="7"/>
  <c r="R227" i="7"/>
  <c r="R223" i="7"/>
  <c r="R219" i="7"/>
  <c r="R215" i="7"/>
  <c r="R211" i="7"/>
  <c r="R207" i="7"/>
  <c r="R203" i="7"/>
  <c r="R199" i="7"/>
  <c r="R195" i="7"/>
  <c r="R191" i="7"/>
  <c r="R187" i="7"/>
  <c r="R183" i="7"/>
  <c r="R179" i="7"/>
  <c r="R175" i="7"/>
  <c r="R171" i="7"/>
  <c r="R167" i="7"/>
  <c r="R163" i="7"/>
  <c r="R159" i="7"/>
  <c r="R155" i="7"/>
  <c r="R151" i="7"/>
  <c r="R147" i="7"/>
  <c r="R143" i="7"/>
  <c r="R139" i="7"/>
  <c r="R135" i="7"/>
  <c r="R131" i="7"/>
  <c r="R127" i="7"/>
  <c r="R123" i="7"/>
  <c r="R119" i="7"/>
  <c r="R115" i="7"/>
  <c r="R111" i="7"/>
  <c r="R107" i="7"/>
  <c r="R103" i="7"/>
  <c r="R99" i="7"/>
  <c r="R95" i="7"/>
  <c r="R91" i="7"/>
  <c r="R87" i="7"/>
  <c r="R83" i="7"/>
  <c r="R79" i="7"/>
  <c r="R75" i="7"/>
  <c r="R71" i="7"/>
  <c r="R67" i="7"/>
  <c r="C53" i="15" l="1" a="1"/>
  <c r="C53" i="15" s="1"/>
  <c r="C91" i="15"/>
  <c r="C52" i="21"/>
  <c r="C91" i="21" s="1"/>
  <c r="I582" i="13"/>
  <c r="K582" i="13"/>
  <c r="I583" i="13"/>
  <c r="K583" i="13"/>
  <c r="I584" i="13"/>
  <c r="K584" i="13"/>
  <c r="I585" i="13"/>
  <c r="K585" i="13"/>
  <c r="I586" i="13"/>
  <c r="K586" i="13"/>
  <c r="I587" i="13"/>
  <c r="K587" i="13"/>
  <c r="I588" i="13"/>
  <c r="K588" i="13"/>
  <c r="I589" i="13"/>
  <c r="K589" i="13"/>
  <c r="I590" i="13"/>
  <c r="K590" i="13"/>
  <c r="I591" i="13"/>
  <c r="K591" i="13"/>
  <c r="I592" i="13"/>
  <c r="K592" i="13"/>
  <c r="I593" i="13"/>
  <c r="K593" i="13"/>
  <c r="I594" i="13"/>
  <c r="K594" i="13"/>
  <c r="I595" i="13"/>
  <c r="K595" i="13"/>
  <c r="I596" i="13"/>
  <c r="K596" i="13"/>
  <c r="I597" i="13"/>
  <c r="K597" i="13"/>
  <c r="I598" i="13"/>
  <c r="K598" i="13"/>
  <c r="I599" i="13"/>
  <c r="K599" i="13"/>
  <c r="C54" i="15" l="1" a="1"/>
  <c r="C54" i="15" s="1"/>
  <c r="A54" i="15" s="1"/>
  <c r="A53" i="15"/>
  <c r="C53" i="21"/>
  <c r="C92" i="21" s="1"/>
  <c r="C92" i="15"/>
  <c r="AJ347" i="12"/>
  <c r="AI347" i="12"/>
  <c r="AH347" i="12"/>
  <c r="AG347" i="12"/>
  <c r="AF347" i="12"/>
  <c r="AE816" i="12"/>
  <c r="Y816" i="12"/>
  <c r="AE815" i="12"/>
  <c r="Y815" i="12"/>
  <c r="AE814" i="12"/>
  <c r="Y814" i="12"/>
  <c r="AE813" i="12"/>
  <c r="Y813" i="12"/>
  <c r="AE812" i="12"/>
  <c r="Y812" i="12"/>
  <c r="AE811" i="12"/>
  <c r="AE810" i="12"/>
  <c r="AE809" i="12"/>
  <c r="AE808" i="12"/>
  <c r="AE807" i="12"/>
  <c r="AE806" i="12"/>
  <c r="AE805" i="12"/>
  <c r="AE804" i="12"/>
  <c r="AJ800" i="12"/>
  <c r="AI800" i="12"/>
  <c r="AH800" i="12"/>
  <c r="AG800" i="12"/>
  <c r="AF800" i="12"/>
  <c r="AD800" i="12"/>
  <c r="AC800" i="12"/>
  <c r="AB800" i="12"/>
  <c r="AA800" i="12"/>
  <c r="Z800" i="12"/>
  <c r="AJ799" i="12"/>
  <c r="AI799" i="12"/>
  <c r="AH799" i="12"/>
  <c r="AG799" i="12"/>
  <c r="AF799" i="12"/>
  <c r="AD799" i="12"/>
  <c r="AC799" i="12"/>
  <c r="AB799" i="12"/>
  <c r="AA799" i="12"/>
  <c r="Z799" i="12"/>
  <c r="AJ798" i="12"/>
  <c r="AI798" i="12"/>
  <c r="AH798" i="12"/>
  <c r="AG798" i="12"/>
  <c r="AF798" i="12"/>
  <c r="AD798" i="12"/>
  <c r="AC798" i="12"/>
  <c r="AB798" i="12"/>
  <c r="AA798" i="12"/>
  <c r="Z798" i="12"/>
  <c r="AJ797" i="12"/>
  <c r="AI797" i="12"/>
  <c r="AH797" i="12"/>
  <c r="AG797" i="12"/>
  <c r="AF797" i="12"/>
  <c r="AD797" i="12"/>
  <c r="AC797" i="12"/>
  <c r="AB797" i="12"/>
  <c r="AA797" i="12"/>
  <c r="Z797" i="12"/>
  <c r="AJ796" i="12"/>
  <c r="AI796" i="12"/>
  <c r="AH796" i="12"/>
  <c r="AG796" i="12"/>
  <c r="AF796" i="12"/>
  <c r="AD796" i="12"/>
  <c r="AC796" i="12"/>
  <c r="AB796" i="12"/>
  <c r="AA796" i="12"/>
  <c r="Z796" i="12"/>
  <c r="U779" i="12"/>
  <c r="AG779" i="12" s="1"/>
  <c r="U778" i="12"/>
  <c r="AI778" i="12" s="1"/>
  <c r="U777" i="12"/>
  <c r="AG777" i="12" s="1"/>
  <c r="U776" i="12"/>
  <c r="AI776" i="12" s="1"/>
  <c r="U775" i="12"/>
  <c r="U774" i="12"/>
  <c r="U773" i="12"/>
  <c r="U772" i="12"/>
  <c r="U771" i="12"/>
  <c r="U770" i="12"/>
  <c r="U769" i="12"/>
  <c r="U768" i="12"/>
  <c r="AJ762" i="12"/>
  <c r="AI762" i="12"/>
  <c r="AH762" i="12"/>
  <c r="AG762" i="12"/>
  <c r="AF762" i="12"/>
  <c r="AE511" i="12"/>
  <c r="Y511" i="12"/>
  <c r="AE510" i="12"/>
  <c r="Y510" i="12"/>
  <c r="AE509" i="12"/>
  <c r="Y509" i="12"/>
  <c r="AE508" i="12"/>
  <c r="Y508" i="12"/>
  <c r="AE507" i="12"/>
  <c r="Y507" i="12"/>
  <c r="AE506" i="12"/>
  <c r="AE505" i="12"/>
  <c r="AE504" i="12"/>
  <c r="AE503" i="12"/>
  <c r="AE502" i="12"/>
  <c r="AE501" i="12"/>
  <c r="AE500" i="12"/>
  <c r="AE499" i="12"/>
  <c r="AJ495" i="12"/>
  <c r="AI495" i="12"/>
  <c r="AH495" i="12"/>
  <c r="AG495" i="12"/>
  <c r="AF495" i="12"/>
  <c r="AD495" i="12"/>
  <c r="AC495" i="12"/>
  <c r="AB495" i="12"/>
  <c r="AA495" i="12"/>
  <c r="Z495" i="12"/>
  <c r="AJ494" i="12"/>
  <c r="AI494" i="12"/>
  <c r="AH494" i="12"/>
  <c r="AG494" i="12"/>
  <c r="AF494" i="12"/>
  <c r="AD494" i="12"/>
  <c r="AC494" i="12"/>
  <c r="AB494" i="12"/>
  <c r="AA494" i="12"/>
  <c r="Z494" i="12"/>
  <c r="AJ493" i="12"/>
  <c r="AI493" i="12"/>
  <c r="AH493" i="12"/>
  <c r="AG493" i="12"/>
  <c r="AF493" i="12"/>
  <c r="AD493" i="12"/>
  <c r="AC493" i="12"/>
  <c r="AB493" i="12"/>
  <c r="AA493" i="12"/>
  <c r="Z493" i="12"/>
  <c r="AJ492" i="12"/>
  <c r="AI492" i="12"/>
  <c r="AH492" i="12"/>
  <c r="AG492" i="12"/>
  <c r="AF492" i="12"/>
  <c r="AD492" i="12"/>
  <c r="AC492" i="12"/>
  <c r="AB492" i="12"/>
  <c r="AA492" i="12"/>
  <c r="Z492" i="12"/>
  <c r="AJ491" i="12"/>
  <c r="AI491" i="12"/>
  <c r="AH491" i="12"/>
  <c r="AG491" i="12"/>
  <c r="AF491" i="12"/>
  <c r="AD491" i="12"/>
  <c r="AC491" i="12"/>
  <c r="AB491" i="12"/>
  <c r="AA491" i="12"/>
  <c r="Z491" i="12"/>
  <c r="C93" i="15" l="1"/>
  <c r="C54" i="21"/>
  <c r="C93" i="21" s="1"/>
  <c r="AB507" i="12"/>
  <c r="AB814" i="12"/>
  <c r="AH812" i="12"/>
  <c r="AH816" i="12"/>
  <c r="AF778" i="12"/>
  <c r="AH779" i="12"/>
  <c r="AJ778" i="12"/>
  <c r="AG816" i="12"/>
  <c r="AD779" i="12"/>
  <c r="AI814" i="12"/>
  <c r="AI816" i="12"/>
  <c r="AG814" i="12"/>
  <c r="AC510" i="12"/>
  <c r="AI812" i="12"/>
  <c r="Z510" i="12"/>
  <c r="AD510" i="12"/>
  <c r="AF812" i="12"/>
  <c r="AJ812" i="12"/>
  <c r="AF814" i="12"/>
  <c r="AJ814" i="12"/>
  <c r="AB508" i="12"/>
  <c r="AB510" i="12"/>
  <c r="AH813" i="12"/>
  <c r="AA776" i="12"/>
  <c r="AH815" i="12"/>
  <c r="AF776" i="12"/>
  <c r="AA510" i="12"/>
  <c r="AJ776" i="12"/>
  <c r="Z779" i="12"/>
  <c r="AI779" i="12"/>
  <c r="AA778" i="12"/>
  <c r="AC779" i="12"/>
  <c r="AH507" i="12"/>
  <c r="AH511" i="12"/>
  <c r="AG511" i="12"/>
  <c r="AA814" i="12"/>
  <c r="AA816" i="12"/>
  <c r="AH508" i="12"/>
  <c r="AB815" i="12"/>
  <c r="AC777" i="12"/>
  <c r="AH777" i="12"/>
  <c r="AA812" i="12"/>
  <c r="AB776" i="12"/>
  <c r="AG776" i="12"/>
  <c r="Z777" i="12"/>
  <c r="AD777" i="12"/>
  <c r="AI777" i="12"/>
  <c r="AB778" i="12"/>
  <c r="AG778" i="12"/>
  <c r="AI507" i="12"/>
  <c r="AI511" i="12"/>
  <c r="AC812" i="12"/>
  <c r="AC814" i="12"/>
  <c r="AC816" i="12"/>
  <c r="AC776" i="12"/>
  <c r="AH776" i="12"/>
  <c r="AA777" i="12"/>
  <c r="AF777" i="12"/>
  <c r="AJ777" i="12"/>
  <c r="AC778" i="12"/>
  <c r="AH778" i="12"/>
  <c r="AA779" i="12"/>
  <c r="AF779" i="12"/>
  <c r="AJ779" i="12"/>
  <c r="AF511" i="12"/>
  <c r="AJ511" i="12"/>
  <c r="Z812" i="12"/>
  <c r="AD812" i="12"/>
  <c r="Z816" i="12"/>
  <c r="AD816" i="12"/>
  <c r="Z776" i="12"/>
  <c r="AD776" i="12"/>
  <c r="AB777" i="12"/>
  <c r="Z778" i="12"/>
  <c r="AD778" i="12"/>
  <c r="AB779" i="12"/>
  <c r="AI508" i="12"/>
  <c r="AC815" i="12"/>
  <c r="AF508" i="12"/>
  <c r="AJ508" i="12"/>
  <c r="AF510" i="12"/>
  <c r="AJ510" i="12"/>
  <c r="AB813" i="12"/>
  <c r="AG508" i="12"/>
  <c r="AG510" i="12"/>
  <c r="AF507" i="12"/>
  <c r="AJ507" i="12"/>
  <c r="AC508" i="12"/>
  <c r="AF509" i="12"/>
  <c r="AJ509" i="12"/>
  <c r="AH510" i="12"/>
  <c r="Z813" i="12"/>
  <c r="AD813" i="12"/>
  <c r="Z815" i="12"/>
  <c r="AD815" i="12"/>
  <c r="AG507" i="12"/>
  <c r="Z508" i="12"/>
  <c r="AD508" i="12"/>
  <c r="AB509" i="12"/>
  <c r="AG509" i="12"/>
  <c r="AI510" i="12"/>
  <c r="AB511" i="12"/>
  <c r="AA813" i="12"/>
  <c r="AA508" i="12"/>
  <c r="AH509" i="12"/>
  <c r="AI509" i="12"/>
  <c r="AC507" i="12"/>
  <c r="AC509" i="12"/>
  <c r="AC511" i="12"/>
  <c r="AI813" i="12"/>
  <c r="Z507" i="12"/>
  <c r="AD507" i="12"/>
  <c r="Z509" i="12"/>
  <c r="AD509" i="12"/>
  <c r="Z511" i="12"/>
  <c r="AD511" i="12"/>
  <c r="AF813" i="12"/>
  <c r="AJ813" i="12"/>
  <c r="AF815" i="12"/>
  <c r="AJ815" i="12"/>
  <c r="AA507" i="12"/>
  <c r="AA509" i="12"/>
  <c r="AA511" i="12"/>
  <c r="T798" i="12"/>
  <c r="X798" i="12"/>
  <c r="AG815" i="12"/>
  <c r="X796" i="12"/>
  <c r="W799" i="12"/>
  <c r="V799" i="12"/>
  <c r="V798" i="12"/>
  <c r="AI815" i="12"/>
  <c r="U799" i="12"/>
  <c r="AH814" i="12"/>
  <c r="T800" i="12"/>
  <c r="T796" i="12"/>
  <c r="U797" i="12"/>
  <c r="W798" i="12"/>
  <c r="W800" i="12"/>
  <c r="AG813" i="12"/>
  <c r="X800" i="12"/>
  <c r="W796" i="12"/>
  <c r="AB812" i="12"/>
  <c r="V796" i="12"/>
  <c r="AG812" i="12"/>
  <c r="U796" i="12"/>
  <c r="T797" i="12"/>
  <c r="V797" i="12"/>
  <c r="U798" i="12"/>
  <c r="X799" i="12"/>
  <c r="U800" i="12"/>
  <c r="AF816" i="12"/>
  <c r="AJ816" i="12"/>
  <c r="Z814" i="12"/>
  <c r="AA815" i="12"/>
  <c r="X797" i="12"/>
  <c r="AC813" i="12"/>
  <c r="W797" i="12"/>
  <c r="T799" i="12"/>
  <c r="AB816" i="12"/>
  <c r="V800" i="12"/>
  <c r="AD814" i="12"/>
  <c r="AJ457" i="12"/>
  <c r="AI457" i="12"/>
  <c r="AH457" i="12"/>
  <c r="AG457" i="12"/>
  <c r="AF457" i="12"/>
  <c r="AE427" i="12"/>
  <c r="AE428" i="12"/>
  <c r="AE429" i="12"/>
  <c r="AE430" i="12"/>
  <c r="AE431" i="12"/>
  <c r="AE432" i="12"/>
  <c r="AE433" i="12"/>
  <c r="AE434" i="12"/>
  <c r="AE435" i="12"/>
  <c r="AE436" i="12"/>
  <c r="AE437" i="12"/>
  <c r="AE438" i="12"/>
  <c r="Y438" i="12"/>
  <c r="AJ420" i="12"/>
  <c r="AI420" i="12"/>
  <c r="AH420" i="12"/>
  <c r="AG420" i="12"/>
  <c r="AF420" i="12"/>
  <c r="Z420" i="12"/>
  <c r="AA420" i="12"/>
  <c r="AB420" i="12"/>
  <c r="AC420" i="12"/>
  <c r="AD420" i="12"/>
  <c r="H7" i="4"/>
  <c r="W495" i="12" l="1"/>
  <c r="V495" i="12"/>
  <c r="T495" i="12"/>
  <c r="X495" i="12"/>
  <c r="U495" i="12"/>
  <c r="AF438" i="12"/>
  <c r="AI438" i="12"/>
  <c r="AH438" i="12"/>
  <c r="V420" i="12"/>
  <c r="T420" i="12"/>
  <c r="AJ438" i="12"/>
  <c r="W420" i="12"/>
  <c r="U420" i="12"/>
  <c r="AG438" i="12"/>
  <c r="Z438" i="12"/>
  <c r="AB438" i="12"/>
  <c r="AA438" i="12"/>
  <c r="AC438" i="12"/>
  <c r="AD438" i="12"/>
  <c r="X420" i="12"/>
  <c r="F24" i="4"/>
  <c r="H24" i="4"/>
  <c r="AJ345" i="12" l="1"/>
  <c r="AI345" i="12"/>
  <c r="AH345" i="12"/>
  <c r="AG345" i="12"/>
  <c r="AF345" i="12"/>
  <c r="AJ343" i="12"/>
  <c r="AI343" i="12"/>
  <c r="AH343" i="12"/>
  <c r="AG343" i="12"/>
  <c r="AF343" i="12"/>
  <c r="AG341" i="12"/>
  <c r="AH341" i="12"/>
  <c r="AI341" i="12"/>
  <c r="AJ341" i="12"/>
  <c r="AF341" i="12"/>
  <c r="AJ349" i="12"/>
  <c r="AI349" i="12"/>
  <c r="AH349" i="12"/>
  <c r="AG349" i="12"/>
  <c r="AF349" i="12"/>
  <c r="AD349" i="12"/>
  <c r="AC349" i="12"/>
  <c r="AB349" i="12"/>
  <c r="AA349" i="12"/>
  <c r="Z349" i="12"/>
  <c r="S202" i="12" l="1"/>
  <c r="S201" i="12"/>
  <c r="S200" i="12"/>
  <c r="S199" i="12"/>
  <c r="S198" i="12"/>
  <c r="S197" i="12"/>
  <c r="S196" i="12"/>
  <c r="S195" i="12"/>
  <c r="S194" i="12"/>
  <c r="S193" i="12"/>
  <c r="S192" i="12"/>
  <c r="S191" i="12"/>
  <c r="S190" i="12"/>
  <c r="S189" i="12"/>
  <c r="S188" i="12"/>
  <c r="S187" i="12"/>
  <c r="S186" i="12"/>
  <c r="S185" i="12"/>
  <c r="S184" i="12"/>
  <c r="I13" i="13"/>
  <c r="K13" i="13"/>
  <c r="I14" i="13"/>
  <c r="K14" i="13"/>
  <c r="I15" i="13"/>
  <c r="K15" i="13"/>
  <c r="I16" i="13"/>
  <c r="K16" i="13"/>
  <c r="I17" i="13"/>
  <c r="K17" i="13"/>
  <c r="I18" i="13"/>
  <c r="K18" i="13"/>
  <c r="I19" i="13"/>
  <c r="K19" i="13"/>
  <c r="I20" i="13"/>
  <c r="K20" i="13"/>
  <c r="I21" i="13"/>
  <c r="K21" i="13"/>
  <c r="I22" i="13"/>
  <c r="K22" i="13"/>
  <c r="I23" i="13"/>
  <c r="K23" i="13"/>
  <c r="I24" i="13"/>
  <c r="K24" i="13"/>
  <c r="I25" i="13"/>
  <c r="K25" i="13"/>
  <c r="I26" i="13"/>
  <c r="K26" i="13"/>
  <c r="I27" i="13"/>
  <c r="K27" i="13"/>
  <c r="I28" i="13"/>
  <c r="K28" i="13"/>
  <c r="I29" i="13"/>
  <c r="K29" i="13"/>
  <c r="I30" i="13"/>
  <c r="K30" i="13"/>
  <c r="I31" i="13"/>
  <c r="K31" i="13"/>
  <c r="I32" i="13"/>
  <c r="K32" i="13"/>
  <c r="I33" i="13"/>
  <c r="K33" i="13"/>
  <c r="I34" i="13"/>
  <c r="K34" i="13"/>
  <c r="I35" i="13"/>
  <c r="K35" i="13"/>
  <c r="K36" i="13"/>
  <c r="I37" i="13"/>
  <c r="U111" i="17" s="1"/>
  <c r="K37" i="13"/>
  <c r="I38" i="13"/>
  <c r="U112" i="17" s="1"/>
  <c r="K38" i="13"/>
  <c r="I39" i="13"/>
  <c r="K39" i="13"/>
  <c r="I40" i="13"/>
  <c r="K40" i="13"/>
  <c r="I41" i="13"/>
  <c r="K41" i="13"/>
  <c r="I42" i="13"/>
  <c r="K42" i="13"/>
  <c r="I43" i="13"/>
  <c r="K43" i="13"/>
  <c r="I44" i="13"/>
  <c r="K44" i="13"/>
  <c r="I45" i="13"/>
  <c r="K45" i="13"/>
  <c r="I46" i="13"/>
  <c r="K46" i="13"/>
  <c r="I47" i="13"/>
  <c r="K47" i="13"/>
  <c r="I48" i="13"/>
  <c r="K48" i="13"/>
  <c r="I49" i="13"/>
  <c r="K49" i="13"/>
  <c r="I50" i="13"/>
  <c r="K50" i="13"/>
  <c r="I51" i="13"/>
  <c r="K51" i="13"/>
  <c r="I52" i="13"/>
  <c r="K52" i="13"/>
  <c r="I53" i="13"/>
  <c r="K53" i="13"/>
  <c r="I54" i="13"/>
  <c r="K54" i="13"/>
  <c r="I55" i="13"/>
  <c r="K55" i="13"/>
  <c r="I56" i="13"/>
  <c r="K56" i="13"/>
  <c r="I57" i="13"/>
  <c r="K57" i="13"/>
  <c r="I58" i="13"/>
  <c r="K58" i="13"/>
  <c r="I59" i="13"/>
  <c r="K59" i="13"/>
  <c r="I60" i="13"/>
  <c r="K60" i="13"/>
  <c r="I61" i="13"/>
  <c r="K61" i="13"/>
  <c r="I62" i="13"/>
  <c r="K62" i="13"/>
  <c r="I63" i="13"/>
  <c r="K63" i="13"/>
  <c r="I64" i="13"/>
  <c r="K64" i="13"/>
  <c r="I65" i="13"/>
  <c r="K65" i="13"/>
  <c r="I66" i="13"/>
  <c r="K66" i="13"/>
  <c r="I67" i="13"/>
  <c r="K67" i="13"/>
  <c r="I68" i="13"/>
  <c r="K68" i="13"/>
  <c r="I69" i="13"/>
  <c r="K69" i="13"/>
  <c r="I70" i="13"/>
  <c r="K70" i="13"/>
  <c r="I71" i="13"/>
  <c r="K71" i="13"/>
  <c r="I72" i="13"/>
  <c r="K72" i="13"/>
  <c r="I73" i="13"/>
  <c r="K73" i="13"/>
  <c r="I74" i="13"/>
  <c r="K74" i="13"/>
  <c r="I75" i="13"/>
  <c r="K75" i="13"/>
  <c r="I76" i="13"/>
  <c r="K76" i="13"/>
  <c r="I77" i="13"/>
  <c r="K77" i="13"/>
  <c r="I78" i="13"/>
  <c r="K78" i="13"/>
  <c r="I79" i="13"/>
  <c r="K79" i="13"/>
  <c r="I80" i="13"/>
  <c r="K80" i="13"/>
  <c r="I81" i="13"/>
  <c r="K81" i="13"/>
  <c r="I82" i="13"/>
  <c r="K82" i="13"/>
  <c r="I83" i="13"/>
  <c r="K83" i="13"/>
  <c r="I84" i="13"/>
  <c r="K84" i="13"/>
  <c r="I85" i="13"/>
  <c r="K85" i="13"/>
  <c r="I86" i="13"/>
  <c r="K86" i="13"/>
  <c r="I87" i="13"/>
  <c r="K87" i="13"/>
  <c r="I88" i="13"/>
  <c r="K88" i="13"/>
  <c r="I89" i="13"/>
  <c r="K89" i="13"/>
  <c r="I90" i="13"/>
  <c r="K90" i="13"/>
  <c r="I91" i="13"/>
  <c r="K91" i="13"/>
  <c r="I92" i="13"/>
  <c r="K92" i="13"/>
  <c r="I93" i="13"/>
  <c r="K93" i="13"/>
  <c r="I94" i="13"/>
  <c r="K94" i="13"/>
  <c r="I95" i="13"/>
  <c r="K95" i="13"/>
  <c r="I96" i="13"/>
  <c r="K96" i="13"/>
  <c r="I97" i="13"/>
  <c r="K97" i="13"/>
  <c r="I98" i="13"/>
  <c r="K98" i="13"/>
  <c r="I99" i="13"/>
  <c r="K99" i="13"/>
  <c r="I100" i="13"/>
  <c r="K100" i="13"/>
  <c r="I101" i="13"/>
  <c r="K101" i="13"/>
  <c r="I102" i="13"/>
  <c r="K102" i="13"/>
  <c r="I103" i="13"/>
  <c r="K103" i="13"/>
  <c r="I104" i="13"/>
  <c r="K104" i="13"/>
  <c r="I105" i="13"/>
  <c r="K105" i="13"/>
  <c r="I106" i="13"/>
  <c r="K106" i="13"/>
  <c r="I107" i="13"/>
  <c r="K107" i="13"/>
  <c r="I108" i="13"/>
  <c r="K108" i="13"/>
  <c r="I109" i="13"/>
  <c r="K109" i="13"/>
  <c r="I110" i="13"/>
  <c r="K110" i="13"/>
  <c r="I111" i="13"/>
  <c r="K111" i="13"/>
  <c r="I112" i="13"/>
  <c r="K112" i="13"/>
  <c r="I113" i="13"/>
  <c r="K113" i="13"/>
  <c r="I114" i="13"/>
  <c r="K114" i="13"/>
  <c r="I115" i="13"/>
  <c r="K115" i="13"/>
  <c r="I116" i="13"/>
  <c r="K116" i="13"/>
  <c r="I117" i="13"/>
  <c r="K117" i="13"/>
  <c r="I118" i="13"/>
  <c r="K118" i="13"/>
  <c r="I119" i="13"/>
  <c r="K119" i="13"/>
  <c r="I120" i="13"/>
  <c r="K120" i="13"/>
  <c r="I121" i="13"/>
  <c r="K121" i="13"/>
  <c r="I122" i="13"/>
  <c r="K122" i="13"/>
  <c r="I123" i="13"/>
  <c r="K123" i="13"/>
  <c r="I124" i="13"/>
  <c r="K124" i="13"/>
  <c r="I125" i="13"/>
  <c r="K125" i="13"/>
  <c r="I126" i="13"/>
  <c r="K126" i="13"/>
  <c r="I127" i="13"/>
  <c r="K127" i="13"/>
  <c r="I128" i="13"/>
  <c r="K128" i="13"/>
  <c r="I129" i="13"/>
  <c r="K129" i="13"/>
  <c r="I130" i="13"/>
  <c r="K130" i="13"/>
  <c r="I131" i="13"/>
  <c r="K131" i="13"/>
  <c r="I132" i="13"/>
  <c r="K132" i="13"/>
  <c r="I133" i="13"/>
  <c r="K133" i="13"/>
  <c r="I134" i="13"/>
  <c r="K134" i="13"/>
  <c r="I135" i="13"/>
  <c r="K135" i="13"/>
  <c r="I136" i="13"/>
  <c r="K136" i="13"/>
  <c r="I137" i="13"/>
  <c r="K137" i="13"/>
  <c r="I138" i="13"/>
  <c r="K138" i="13"/>
  <c r="I139" i="13"/>
  <c r="K139" i="13"/>
  <c r="I140" i="13"/>
  <c r="K140" i="13"/>
  <c r="I141" i="13"/>
  <c r="K141" i="13"/>
  <c r="I142" i="13"/>
  <c r="K142" i="13"/>
  <c r="I143" i="13"/>
  <c r="K143" i="13"/>
  <c r="I144" i="13"/>
  <c r="K144" i="13"/>
  <c r="I145" i="13"/>
  <c r="K145" i="13"/>
  <c r="I146" i="13"/>
  <c r="K146" i="13"/>
  <c r="I147" i="13"/>
  <c r="K147" i="13"/>
  <c r="I148" i="13"/>
  <c r="K148" i="13"/>
  <c r="I149" i="13"/>
  <c r="K149" i="13"/>
  <c r="I150" i="13"/>
  <c r="K150" i="13"/>
  <c r="I151" i="13"/>
  <c r="K151" i="13"/>
  <c r="I152" i="13"/>
  <c r="K152" i="13"/>
  <c r="I153" i="13"/>
  <c r="K153" i="13"/>
  <c r="I154" i="13"/>
  <c r="K154" i="13"/>
  <c r="I155" i="13"/>
  <c r="K155" i="13"/>
  <c r="I156" i="13"/>
  <c r="K156" i="13"/>
  <c r="I157" i="13"/>
  <c r="K157" i="13"/>
  <c r="I158" i="13"/>
  <c r="K158" i="13"/>
  <c r="I159" i="13"/>
  <c r="K159" i="13"/>
  <c r="I160" i="13"/>
  <c r="K160" i="13"/>
  <c r="I161" i="13"/>
  <c r="K161" i="13"/>
  <c r="I162" i="13"/>
  <c r="K162" i="13"/>
  <c r="I163" i="13"/>
  <c r="K163" i="13"/>
  <c r="I164" i="13"/>
  <c r="K164" i="13"/>
  <c r="I165" i="13"/>
  <c r="K165" i="13"/>
  <c r="I166" i="13"/>
  <c r="K166" i="13"/>
  <c r="I167" i="13"/>
  <c r="K167" i="13"/>
  <c r="I168" i="13"/>
  <c r="K168" i="13"/>
  <c r="I169" i="13"/>
  <c r="K169" i="13"/>
  <c r="I170" i="13"/>
  <c r="K170" i="13"/>
  <c r="I171" i="13"/>
  <c r="K171" i="13"/>
  <c r="I172" i="13"/>
  <c r="K172" i="13"/>
  <c r="I173" i="13"/>
  <c r="K173" i="13"/>
  <c r="I174" i="13"/>
  <c r="K174" i="13"/>
  <c r="I175" i="13"/>
  <c r="K175" i="13"/>
  <c r="I176" i="13"/>
  <c r="K176" i="13"/>
  <c r="I177" i="13"/>
  <c r="K177" i="13"/>
  <c r="I178" i="13"/>
  <c r="K178" i="13"/>
  <c r="I179" i="13"/>
  <c r="K179" i="13"/>
  <c r="I180" i="13"/>
  <c r="K180" i="13"/>
  <c r="I181" i="13"/>
  <c r="K181" i="13"/>
  <c r="I182" i="13"/>
  <c r="K182" i="13"/>
  <c r="I183" i="13"/>
  <c r="K183" i="13"/>
  <c r="I184" i="13"/>
  <c r="K184" i="13"/>
  <c r="I185" i="13"/>
  <c r="K185" i="13"/>
  <c r="I186" i="13"/>
  <c r="K186" i="13"/>
  <c r="I187" i="13"/>
  <c r="K187" i="13"/>
  <c r="I188" i="13"/>
  <c r="K188" i="13"/>
  <c r="I189" i="13"/>
  <c r="K189" i="13"/>
  <c r="I190" i="13"/>
  <c r="K190" i="13"/>
  <c r="I191" i="13"/>
  <c r="K191" i="13"/>
  <c r="I192" i="13"/>
  <c r="K192" i="13"/>
  <c r="I193" i="13"/>
  <c r="K193" i="13"/>
  <c r="I194" i="13"/>
  <c r="K194" i="13"/>
  <c r="I195" i="13"/>
  <c r="K195" i="13"/>
  <c r="I196" i="13"/>
  <c r="K196" i="13"/>
  <c r="I197" i="13"/>
  <c r="K197" i="13"/>
  <c r="I198" i="13"/>
  <c r="K198" i="13"/>
  <c r="I199" i="13"/>
  <c r="K199" i="13"/>
  <c r="I200" i="13"/>
  <c r="K200" i="13"/>
  <c r="I201" i="13"/>
  <c r="K201" i="13"/>
  <c r="I202" i="13"/>
  <c r="K202" i="13"/>
  <c r="I203" i="13"/>
  <c r="K203" i="13"/>
  <c r="I204" i="13"/>
  <c r="K204" i="13"/>
  <c r="I205" i="13"/>
  <c r="K205" i="13"/>
  <c r="I206" i="13"/>
  <c r="K206" i="13"/>
  <c r="I207" i="13"/>
  <c r="K207" i="13"/>
  <c r="I208" i="13"/>
  <c r="K208" i="13"/>
  <c r="I209" i="13"/>
  <c r="K209" i="13"/>
  <c r="I210" i="13"/>
  <c r="K210" i="13"/>
  <c r="I211" i="13"/>
  <c r="K211" i="13"/>
  <c r="I212" i="13"/>
  <c r="K212" i="13"/>
  <c r="I213" i="13"/>
  <c r="K213" i="13"/>
  <c r="I214" i="13"/>
  <c r="K214" i="13"/>
  <c r="I215" i="13"/>
  <c r="K215" i="13"/>
  <c r="I216" i="13"/>
  <c r="K216" i="13"/>
  <c r="I217" i="13"/>
  <c r="K217" i="13"/>
  <c r="I218" i="13"/>
  <c r="K218" i="13"/>
  <c r="I219" i="13"/>
  <c r="K219" i="13"/>
  <c r="I220" i="13"/>
  <c r="K220" i="13"/>
  <c r="I221" i="13"/>
  <c r="K221" i="13"/>
  <c r="I222" i="13"/>
  <c r="K222" i="13"/>
  <c r="I223" i="13"/>
  <c r="K223" i="13"/>
  <c r="I224" i="13"/>
  <c r="K224" i="13"/>
  <c r="I225" i="13"/>
  <c r="K225" i="13"/>
  <c r="I226" i="13"/>
  <c r="K226" i="13"/>
  <c r="I227" i="13"/>
  <c r="K227" i="13"/>
  <c r="I228" i="13"/>
  <c r="K228" i="13"/>
  <c r="I229" i="13"/>
  <c r="K229" i="13"/>
  <c r="I230" i="13"/>
  <c r="K230" i="13"/>
  <c r="I231" i="13"/>
  <c r="K231" i="13"/>
  <c r="I232" i="13"/>
  <c r="K232" i="13"/>
  <c r="I233" i="13"/>
  <c r="K233" i="13"/>
  <c r="I234" i="13"/>
  <c r="K234" i="13"/>
  <c r="I235" i="13"/>
  <c r="K235" i="13"/>
  <c r="I236" i="13"/>
  <c r="K236" i="13"/>
  <c r="I237" i="13"/>
  <c r="K237" i="13"/>
  <c r="I238" i="13"/>
  <c r="K238" i="13"/>
  <c r="I239" i="13"/>
  <c r="K239" i="13"/>
  <c r="I240" i="13"/>
  <c r="K240" i="13"/>
  <c r="I241" i="13"/>
  <c r="K241" i="13"/>
  <c r="I242" i="13"/>
  <c r="K242" i="13"/>
  <c r="I243" i="13"/>
  <c r="K243" i="13"/>
  <c r="I244" i="13"/>
  <c r="K244" i="13"/>
  <c r="I245" i="13"/>
  <c r="K245" i="13"/>
  <c r="I246" i="13"/>
  <c r="K246" i="13"/>
  <c r="I247" i="13"/>
  <c r="K247" i="13"/>
  <c r="I248" i="13"/>
  <c r="K248" i="13"/>
  <c r="I249" i="13"/>
  <c r="K249" i="13"/>
  <c r="I250" i="13"/>
  <c r="K250" i="13"/>
  <c r="I251" i="13"/>
  <c r="K251" i="13"/>
  <c r="I252" i="13"/>
  <c r="K252" i="13"/>
  <c r="I253" i="13"/>
  <c r="K253" i="13"/>
  <c r="I254" i="13"/>
  <c r="K254" i="13"/>
  <c r="I255" i="13"/>
  <c r="K255" i="13"/>
  <c r="I256" i="13"/>
  <c r="K256" i="13"/>
  <c r="I257" i="13"/>
  <c r="K257" i="13"/>
  <c r="I258" i="13"/>
  <c r="K258" i="13"/>
  <c r="I259" i="13"/>
  <c r="K259" i="13"/>
  <c r="I260" i="13"/>
  <c r="K260" i="13"/>
  <c r="I261" i="13"/>
  <c r="K261" i="13"/>
  <c r="I262" i="13"/>
  <c r="K262" i="13"/>
  <c r="I263" i="13"/>
  <c r="K263" i="13"/>
  <c r="I264" i="13"/>
  <c r="K264" i="13"/>
  <c r="I265" i="13"/>
  <c r="K265" i="13"/>
  <c r="I266" i="13"/>
  <c r="K266" i="13"/>
  <c r="I267" i="13"/>
  <c r="K267" i="13"/>
  <c r="I268" i="13"/>
  <c r="K268" i="13"/>
  <c r="I269" i="13"/>
  <c r="K269" i="13"/>
  <c r="I270" i="13"/>
  <c r="K270" i="13"/>
  <c r="I271" i="13"/>
  <c r="K271" i="13"/>
  <c r="I272" i="13"/>
  <c r="K272" i="13"/>
  <c r="I273" i="13"/>
  <c r="K273" i="13"/>
  <c r="I274" i="13"/>
  <c r="K274" i="13"/>
  <c r="I275" i="13"/>
  <c r="K275" i="13"/>
  <c r="I276" i="13"/>
  <c r="K276" i="13"/>
  <c r="I277" i="13"/>
  <c r="K277" i="13"/>
  <c r="I278" i="13"/>
  <c r="K278" i="13"/>
  <c r="I279" i="13"/>
  <c r="K279" i="13"/>
  <c r="I280" i="13"/>
  <c r="K280" i="13"/>
  <c r="I281" i="13"/>
  <c r="K281" i="13"/>
  <c r="I282" i="13"/>
  <c r="K282" i="13"/>
  <c r="I283" i="13"/>
  <c r="K283" i="13"/>
  <c r="I284" i="13"/>
  <c r="K284" i="13"/>
  <c r="I285" i="13"/>
  <c r="K285" i="13"/>
  <c r="I286" i="13"/>
  <c r="K286" i="13"/>
  <c r="I287" i="13"/>
  <c r="K287" i="13"/>
  <c r="I288" i="13"/>
  <c r="K288" i="13"/>
  <c r="I289" i="13"/>
  <c r="K289" i="13"/>
  <c r="I290" i="13"/>
  <c r="K290" i="13"/>
  <c r="I291" i="13"/>
  <c r="K291" i="13"/>
  <c r="I292" i="13"/>
  <c r="K292" i="13"/>
  <c r="I293" i="13"/>
  <c r="K293" i="13"/>
  <c r="I294" i="13"/>
  <c r="K294" i="13"/>
  <c r="I295" i="13"/>
  <c r="K295" i="13"/>
  <c r="I296" i="13"/>
  <c r="K296" i="13"/>
  <c r="I297" i="13"/>
  <c r="K297" i="13"/>
  <c r="I298" i="13"/>
  <c r="K298" i="13"/>
  <c r="I299" i="13"/>
  <c r="K299" i="13"/>
  <c r="I300" i="13"/>
  <c r="K300" i="13"/>
  <c r="I301" i="13"/>
  <c r="K301" i="13"/>
  <c r="I302" i="13"/>
  <c r="K302" i="13"/>
  <c r="I303" i="13"/>
  <c r="K303" i="13"/>
  <c r="I304" i="13"/>
  <c r="K304" i="13"/>
  <c r="I305" i="13"/>
  <c r="K305" i="13"/>
  <c r="I306" i="13"/>
  <c r="K306" i="13"/>
  <c r="I307" i="13"/>
  <c r="K307" i="13"/>
  <c r="I308" i="13"/>
  <c r="K308" i="13"/>
  <c r="I309" i="13"/>
  <c r="K309" i="13"/>
  <c r="I310" i="13"/>
  <c r="K310" i="13"/>
  <c r="I311" i="13"/>
  <c r="K311" i="13"/>
  <c r="I312" i="13"/>
  <c r="K312" i="13"/>
  <c r="I313" i="13"/>
  <c r="K313" i="13"/>
  <c r="I314" i="13"/>
  <c r="K314" i="13"/>
  <c r="I315" i="13"/>
  <c r="K315" i="13"/>
  <c r="I316" i="13"/>
  <c r="K316" i="13"/>
  <c r="I317" i="13"/>
  <c r="K317" i="13"/>
  <c r="I318" i="13"/>
  <c r="K318" i="13"/>
  <c r="I319" i="13"/>
  <c r="K319" i="13"/>
  <c r="I320" i="13"/>
  <c r="K320" i="13"/>
  <c r="I321" i="13"/>
  <c r="K321" i="13"/>
  <c r="I322" i="13"/>
  <c r="K322" i="13"/>
  <c r="I323" i="13"/>
  <c r="K323" i="13"/>
  <c r="I324" i="13"/>
  <c r="K324" i="13"/>
  <c r="I325" i="13"/>
  <c r="K325" i="13"/>
  <c r="I326" i="13"/>
  <c r="K326" i="13"/>
  <c r="I327" i="13"/>
  <c r="K327" i="13"/>
  <c r="I328" i="13"/>
  <c r="K328" i="13"/>
  <c r="I329" i="13"/>
  <c r="K329" i="13"/>
  <c r="I330" i="13"/>
  <c r="K330" i="13"/>
  <c r="I331" i="13"/>
  <c r="K331" i="13"/>
  <c r="I332" i="13"/>
  <c r="K332" i="13"/>
  <c r="I333" i="13"/>
  <c r="K333" i="13"/>
  <c r="I334" i="13"/>
  <c r="K334" i="13"/>
  <c r="I335" i="13"/>
  <c r="K335" i="13"/>
  <c r="I336" i="13"/>
  <c r="K336" i="13"/>
  <c r="I337" i="13"/>
  <c r="K337" i="13"/>
  <c r="I338" i="13"/>
  <c r="K338" i="13"/>
  <c r="I339" i="13"/>
  <c r="K339" i="13"/>
  <c r="I340" i="13"/>
  <c r="K340" i="13"/>
  <c r="I341" i="13"/>
  <c r="K341" i="13"/>
  <c r="I342" i="13"/>
  <c r="K342" i="13"/>
  <c r="I343" i="13"/>
  <c r="K343" i="13"/>
  <c r="I344" i="13"/>
  <c r="K344" i="13"/>
  <c r="I345" i="13"/>
  <c r="K345" i="13"/>
  <c r="I346" i="13"/>
  <c r="K346" i="13"/>
  <c r="I347" i="13"/>
  <c r="K347" i="13"/>
  <c r="I348" i="13"/>
  <c r="K348" i="13"/>
  <c r="I349" i="13"/>
  <c r="K349" i="13"/>
  <c r="I350" i="13"/>
  <c r="K350" i="13"/>
  <c r="I351" i="13"/>
  <c r="K351" i="13"/>
  <c r="I352" i="13"/>
  <c r="K352" i="13"/>
  <c r="I353" i="13"/>
  <c r="K353" i="13"/>
  <c r="I354" i="13"/>
  <c r="K354" i="13"/>
  <c r="I355" i="13"/>
  <c r="K355" i="13"/>
  <c r="I356" i="13"/>
  <c r="K356" i="13"/>
  <c r="I357" i="13"/>
  <c r="K357" i="13"/>
  <c r="I358" i="13"/>
  <c r="K358" i="13"/>
  <c r="I359" i="13"/>
  <c r="K359" i="13"/>
  <c r="I360" i="13"/>
  <c r="K360" i="13"/>
  <c r="I361" i="13"/>
  <c r="K361" i="13"/>
  <c r="I362" i="13"/>
  <c r="K362" i="13"/>
  <c r="I363" i="13"/>
  <c r="K363" i="13"/>
  <c r="I364" i="13"/>
  <c r="K364" i="13"/>
  <c r="I365" i="13"/>
  <c r="K365" i="13"/>
  <c r="I366" i="13"/>
  <c r="K366" i="13"/>
  <c r="I367" i="13"/>
  <c r="K367" i="13"/>
  <c r="I368" i="13"/>
  <c r="K368" i="13"/>
  <c r="I369" i="13"/>
  <c r="K369" i="13"/>
  <c r="I370" i="13"/>
  <c r="K370" i="13"/>
  <c r="I371" i="13"/>
  <c r="K371" i="13"/>
  <c r="I372" i="13"/>
  <c r="K372" i="13"/>
  <c r="I373" i="13"/>
  <c r="K373" i="13"/>
  <c r="I374" i="13"/>
  <c r="K374" i="13"/>
  <c r="I375" i="13"/>
  <c r="K375" i="13"/>
  <c r="I376" i="13"/>
  <c r="K376" i="13"/>
  <c r="I377" i="13"/>
  <c r="K377" i="13"/>
  <c r="I378" i="13"/>
  <c r="K378" i="13"/>
  <c r="I379" i="13"/>
  <c r="K379" i="13"/>
  <c r="I380" i="13"/>
  <c r="K380" i="13"/>
  <c r="I381" i="13"/>
  <c r="K381" i="13"/>
  <c r="I382" i="13"/>
  <c r="K382" i="13"/>
  <c r="I383" i="13"/>
  <c r="K383" i="13"/>
  <c r="I384" i="13"/>
  <c r="K384" i="13"/>
  <c r="I385" i="13"/>
  <c r="K385" i="13"/>
  <c r="I386" i="13"/>
  <c r="K386" i="13"/>
  <c r="I387" i="13"/>
  <c r="K387" i="13"/>
  <c r="I388" i="13"/>
  <c r="K388" i="13"/>
  <c r="I389" i="13"/>
  <c r="K389" i="13"/>
  <c r="I390" i="13"/>
  <c r="K390" i="13"/>
  <c r="I391" i="13"/>
  <c r="K391" i="13"/>
  <c r="I392" i="13"/>
  <c r="K392" i="13"/>
  <c r="I393" i="13"/>
  <c r="K393" i="13"/>
  <c r="I394" i="13"/>
  <c r="K394" i="13"/>
  <c r="I395" i="13"/>
  <c r="K395" i="13"/>
  <c r="I396" i="13"/>
  <c r="K396" i="13"/>
  <c r="I397" i="13"/>
  <c r="K397" i="13"/>
  <c r="I398" i="13"/>
  <c r="K398" i="13"/>
  <c r="I399" i="13"/>
  <c r="K399" i="13"/>
  <c r="I400" i="13"/>
  <c r="K400" i="13"/>
  <c r="I401" i="13"/>
  <c r="K401" i="13"/>
  <c r="I402" i="13"/>
  <c r="K402" i="13"/>
  <c r="I403" i="13"/>
  <c r="K403" i="13"/>
  <c r="I404" i="13"/>
  <c r="K404" i="13"/>
  <c r="I405" i="13"/>
  <c r="K405" i="13"/>
  <c r="I406" i="13"/>
  <c r="K406" i="13"/>
  <c r="I407" i="13"/>
  <c r="K407" i="13"/>
  <c r="I408" i="13"/>
  <c r="K408" i="13"/>
  <c r="I409" i="13"/>
  <c r="K409" i="13"/>
  <c r="I410" i="13"/>
  <c r="K410" i="13"/>
  <c r="I411" i="13"/>
  <c r="K411" i="13"/>
  <c r="I412" i="13"/>
  <c r="K412" i="13"/>
  <c r="I413" i="13"/>
  <c r="K413" i="13"/>
  <c r="I414" i="13"/>
  <c r="K414" i="13"/>
  <c r="I415" i="13"/>
  <c r="K415" i="13"/>
  <c r="I416" i="13"/>
  <c r="K416" i="13"/>
  <c r="I417" i="13"/>
  <c r="K417" i="13"/>
  <c r="I418" i="13"/>
  <c r="K418" i="13"/>
  <c r="I419" i="13"/>
  <c r="K419" i="13"/>
  <c r="I420" i="13"/>
  <c r="K420" i="13"/>
  <c r="I421" i="13"/>
  <c r="K421" i="13"/>
  <c r="I422" i="13"/>
  <c r="K422" i="13"/>
  <c r="I423" i="13"/>
  <c r="K423" i="13"/>
  <c r="I424" i="13"/>
  <c r="K424" i="13"/>
  <c r="I425" i="13"/>
  <c r="K425" i="13"/>
  <c r="I426" i="13"/>
  <c r="K426" i="13"/>
  <c r="I427" i="13"/>
  <c r="K427" i="13"/>
  <c r="I428" i="13"/>
  <c r="K428" i="13"/>
  <c r="I429" i="13"/>
  <c r="K429" i="13"/>
  <c r="I430" i="13"/>
  <c r="K430" i="13"/>
  <c r="I431" i="13"/>
  <c r="K431" i="13"/>
  <c r="I432" i="13"/>
  <c r="K432" i="13"/>
  <c r="I433" i="13"/>
  <c r="K433" i="13"/>
  <c r="I434" i="13"/>
  <c r="K434" i="13"/>
  <c r="I435" i="13"/>
  <c r="K435" i="13"/>
  <c r="I436" i="13"/>
  <c r="K436" i="13"/>
  <c r="I437" i="13"/>
  <c r="K437" i="13"/>
  <c r="I438" i="13"/>
  <c r="K438" i="13"/>
  <c r="I439" i="13"/>
  <c r="K439" i="13"/>
  <c r="I440" i="13"/>
  <c r="K440" i="13"/>
  <c r="I441" i="13"/>
  <c r="K441" i="13"/>
  <c r="I442" i="13"/>
  <c r="K442" i="13"/>
  <c r="I443" i="13"/>
  <c r="K443" i="13"/>
  <c r="I444" i="13"/>
  <c r="K444" i="13"/>
  <c r="I445" i="13"/>
  <c r="K445" i="13"/>
  <c r="I446" i="13"/>
  <c r="K446" i="13"/>
  <c r="I447" i="13"/>
  <c r="K447" i="13"/>
  <c r="I448" i="13"/>
  <c r="K448" i="13"/>
  <c r="I449" i="13"/>
  <c r="K449" i="13"/>
  <c r="I450" i="13"/>
  <c r="K450" i="13"/>
  <c r="I451" i="13"/>
  <c r="K451" i="13"/>
  <c r="I452" i="13"/>
  <c r="K452" i="13"/>
  <c r="I453" i="13"/>
  <c r="K453" i="13"/>
  <c r="I454" i="13"/>
  <c r="K454" i="13"/>
  <c r="I455" i="13"/>
  <c r="K455" i="13"/>
  <c r="I456" i="13"/>
  <c r="K456" i="13"/>
  <c r="I457" i="13"/>
  <c r="K457" i="13"/>
  <c r="I458" i="13"/>
  <c r="K458" i="13"/>
  <c r="I459" i="13"/>
  <c r="K459" i="13"/>
  <c r="I460" i="13"/>
  <c r="K460" i="13"/>
  <c r="I461" i="13"/>
  <c r="K461" i="13"/>
  <c r="I462" i="13"/>
  <c r="K462" i="13"/>
  <c r="I463" i="13"/>
  <c r="K463" i="13"/>
  <c r="I464" i="13"/>
  <c r="K464" i="13"/>
  <c r="I465" i="13"/>
  <c r="K465" i="13"/>
  <c r="I466" i="13"/>
  <c r="K466" i="13"/>
  <c r="I467" i="13"/>
  <c r="K467" i="13"/>
  <c r="I468" i="13"/>
  <c r="K468" i="13"/>
  <c r="I469" i="13"/>
  <c r="K469" i="13"/>
  <c r="I470" i="13"/>
  <c r="K470" i="13"/>
  <c r="I471" i="13"/>
  <c r="K471" i="13"/>
  <c r="I472" i="13"/>
  <c r="K472" i="13"/>
  <c r="I473" i="13"/>
  <c r="K473" i="13"/>
  <c r="I474" i="13"/>
  <c r="K474" i="13"/>
  <c r="I475" i="13"/>
  <c r="K475" i="13"/>
  <c r="I476" i="13"/>
  <c r="K476" i="13"/>
  <c r="I477" i="13"/>
  <c r="K477" i="13"/>
  <c r="I478" i="13"/>
  <c r="K478" i="13"/>
  <c r="I479" i="13"/>
  <c r="K479" i="13"/>
  <c r="I480" i="13"/>
  <c r="K480" i="13"/>
  <c r="I481" i="13"/>
  <c r="K481" i="13"/>
  <c r="I482" i="13"/>
  <c r="K482" i="13"/>
  <c r="I483" i="13"/>
  <c r="K483" i="13"/>
  <c r="I484" i="13"/>
  <c r="K484" i="13"/>
  <c r="I485" i="13"/>
  <c r="K485" i="13"/>
  <c r="I486" i="13"/>
  <c r="K486" i="13"/>
  <c r="I487" i="13"/>
  <c r="K487" i="13"/>
  <c r="I488" i="13"/>
  <c r="K488" i="13"/>
  <c r="I489" i="13"/>
  <c r="K489" i="13"/>
  <c r="I490" i="13"/>
  <c r="K490" i="13"/>
  <c r="I491" i="13"/>
  <c r="K491" i="13"/>
  <c r="I492" i="13"/>
  <c r="K492" i="13"/>
  <c r="I493" i="13"/>
  <c r="K493" i="13"/>
  <c r="I494" i="13"/>
  <c r="K494" i="13"/>
  <c r="I495" i="13"/>
  <c r="K495" i="13"/>
  <c r="I496" i="13"/>
  <c r="K496" i="13"/>
  <c r="I497" i="13"/>
  <c r="K497" i="13"/>
  <c r="I498" i="13"/>
  <c r="K498" i="13"/>
  <c r="I499" i="13"/>
  <c r="K499" i="13"/>
  <c r="I500" i="13"/>
  <c r="K500" i="13"/>
  <c r="I501" i="13"/>
  <c r="K501" i="13"/>
  <c r="I502" i="13"/>
  <c r="K502" i="13"/>
  <c r="I503" i="13"/>
  <c r="K503" i="13"/>
  <c r="I504" i="13"/>
  <c r="K504" i="13"/>
  <c r="I505" i="13"/>
  <c r="K505" i="13"/>
  <c r="I506" i="13"/>
  <c r="K506" i="13"/>
  <c r="I507" i="13"/>
  <c r="K507" i="13"/>
  <c r="I508" i="13"/>
  <c r="K508" i="13"/>
  <c r="I509" i="13"/>
  <c r="K509" i="13"/>
  <c r="I510" i="13"/>
  <c r="K510" i="13"/>
  <c r="I511" i="13"/>
  <c r="K511" i="13"/>
  <c r="I512" i="13"/>
  <c r="K512" i="13"/>
  <c r="I513" i="13"/>
  <c r="K513" i="13"/>
  <c r="I514" i="13"/>
  <c r="K514" i="13"/>
  <c r="I515" i="13"/>
  <c r="K515" i="13"/>
  <c r="I516" i="13"/>
  <c r="K516" i="13"/>
  <c r="I517" i="13"/>
  <c r="K517" i="13"/>
  <c r="I518" i="13"/>
  <c r="K518" i="13"/>
  <c r="I519" i="13"/>
  <c r="K519" i="13"/>
  <c r="I520" i="13"/>
  <c r="K520" i="13"/>
  <c r="I521" i="13"/>
  <c r="K521" i="13"/>
  <c r="I522" i="13"/>
  <c r="K522" i="13"/>
  <c r="I523" i="13"/>
  <c r="K523" i="13"/>
  <c r="I524" i="13"/>
  <c r="K524" i="13"/>
  <c r="I525" i="13"/>
  <c r="K525" i="13"/>
  <c r="I526" i="13"/>
  <c r="K526" i="13"/>
  <c r="I527" i="13"/>
  <c r="K527" i="13"/>
  <c r="I528" i="13"/>
  <c r="K528" i="13"/>
  <c r="I529" i="13"/>
  <c r="K529" i="13"/>
  <c r="I530" i="13"/>
  <c r="K530" i="13"/>
  <c r="I531" i="13"/>
  <c r="K531" i="13"/>
  <c r="I532" i="13"/>
  <c r="K532" i="13"/>
  <c r="I533" i="13"/>
  <c r="K533" i="13"/>
  <c r="I534" i="13"/>
  <c r="K534" i="13"/>
  <c r="I535" i="13"/>
  <c r="K535" i="13"/>
  <c r="I536" i="13"/>
  <c r="K536" i="13"/>
  <c r="I537" i="13"/>
  <c r="K537" i="13"/>
  <c r="I538" i="13"/>
  <c r="K538" i="13"/>
  <c r="I539" i="13"/>
  <c r="K539" i="13"/>
  <c r="I540" i="13"/>
  <c r="K540" i="13"/>
  <c r="I541" i="13"/>
  <c r="K541" i="13"/>
  <c r="I542" i="13"/>
  <c r="K542" i="13"/>
  <c r="I543" i="13"/>
  <c r="K543" i="13"/>
  <c r="I544" i="13"/>
  <c r="K544" i="13"/>
  <c r="I545" i="13"/>
  <c r="K545" i="13"/>
  <c r="I546" i="13"/>
  <c r="K546" i="13"/>
  <c r="I547" i="13"/>
  <c r="K547" i="13"/>
  <c r="I548" i="13"/>
  <c r="K548" i="13"/>
  <c r="I549" i="13"/>
  <c r="K549" i="13"/>
  <c r="I550" i="13"/>
  <c r="K550" i="13"/>
  <c r="I551" i="13"/>
  <c r="K551" i="13"/>
  <c r="I552" i="13"/>
  <c r="K552" i="13"/>
  <c r="I553" i="13"/>
  <c r="K553" i="13"/>
  <c r="I554" i="13"/>
  <c r="K554" i="13"/>
  <c r="I555" i="13"/>
  <c r="K555" i="13"/>
  <c r="I556" i="13"/>
  <c r="K556" i="13"/>
  <c r="I557" i="13"/>
  <c r="K557" i="13"/>
  <c r="I558" i="13"/>
  <c r="K558" i="13"/>
  <c r="I559" i="13"/>
  <c r="K559" i="13"/>
  <c r="I560" i="13"/>
  <c r="K560" i="13"/>
  <c r="I561" i="13"/>
  <c r="K561" i="13"/>
  <c r="I562" i="13"/>
  <c r="K562" i="13"/>
  <c r="I563" i="13"/>
  <c r="K563" i="13"/>
  <c r="I564" i="13"/>
  <c r="K564" i="13"/>
  <c r="I565" i="13"/>
  <c r="K565" i="13"/>
  <c r="I566" i="13"/>
  <c r="K566" i="13"/>
  <c r="I567" i="13"/>
  <c r="K567" i="13"/>
  <c r="I568" i="13"/>
  <c r="K568" i="13"/>
  <c r="I569" i="13"/>
  <c r="K569" i="13"/>
  <c r="I570" i="13"/>
  <c r="K570" i="13"/>
  <c r="I571" i="13"/>
  <c r="K571" i="13"/>
  <c r="I572" i="13"/>
  <c r="K572" i="13"/>
  <c r="I573" i="13"/>
  <c r="K573" i="13"/>
  <c r="I574" i="13"/>
  <c r="K574" i="13"/>
  <c r="I575" i="13"/>
  <c r="K575" i="13"/>
  <c r="I576" i="13"/>
  <c r="K576" i="13"/>
  <c r="I577" i="13"/>
  <c r="K577" i="13"/>
  <c r="I578" i="13"/>
  <c r="K578" i="13"/>
  <c r="I579" i="13"/>
  <c r="K579" i="13"/>
  <c r="I580" i="13"/>
  <c r="K580" i="13"/>
  <c r="I581" i="13"/>
  <c r="K581" i="13"/>
  <c r="K12" i="13"/>
  <c r="I12" i="13"/>
  <c r="T88" i="12"/>
  <c r="U88" i="12"/>
  <c r="V88" i="12"/>
  <c r="W88" i="12"/>
  <c r="X88" i="12"/>
  <c r="T89" i="12"/>
  <c r="U89" i="12"/>
  <c r="V89" i="12"/>
  <c r="W89" i="12"/>
  <c r="X89" i="12"/>
  <c r="T90" i="12"/>
  <c r="U90" i="12"/>
  <c r="V90" i="12"/>
  <c r="W90" i="12"/>
  <c r="X90" i="12"/>
  <c r="T91" i="12"/>
  <c r="U91" i="12"/>
  <c r="V91" i="12"/>
  <c r="W91" i="12"/>
  <c r="X91" i="12"/>
  <c r="T92" i="12"/>
  <c r="U92" i="12"/>
  <c r="V92" i="12"/>
  <c r="W92" i="12"/>
  <c r="X92" i="12"/>
  <c r="S99" i="12"/>
  <c r="S100" i="12"/>
  <c r="S101" i="12"/>
  <c r="S102" i="12"/>
  <c r="S103" i="12"/>
  <c r="I2" i="13"/>
  <c r="S224" i="12" s="1"/>
  <c r="I3" i="13"/>
  <c r="I4" i="13"/>
  <c r="I5" i="13"/>
  <c r="I6" i="13"/>
  <c r="I7" i="13"/>
  <c r="I8" i="13"/>
  <c r="I9" i="13"/>
  <c r="I10" i="13"/>
  <c r="Y403" i="12" l="1"/>
  <c r="Y708" i="12"/>
  <c r="Y592" i="12"/>
  <c r="AB111" i="17"/>
  <c r="AE111" i="17"/>
  <c r="AD111" i="17"/>
  <c r="W111" i="17"/>
  <c r="V111" i="17"/>
  <c r="Y111" i="17"/>
  <c r="X111" i="17"/>
  <c r="Z111" i="17"/>
  <c r="AF111" i="17"/>
  <c r="AC111" i="17"/>
  <c r="R233" i="17"/>
  <c r="R250" i="17"/>
  <c r="R395" i="17"/>
  <c r="R355" i="17"/>
  <c r="R282" i="17"/>
  <c r="R318" i="17"/>
  <c r="R165" i="17"/>
  <c r="R208" i="17"/>
  <c r="V112" i="17"/>
  <c r="AE112" i="17"/>
  <c r="Z112" i="17"/>
  <c r="AB112" i="17"/>
  <c r="Y112" i="17"/>
  <c r="AD112" i="17"/>
  <c r="X112" i="17"/>
  <c r="AC112" i="17"/>
  <c r="W112" i="17"/>
  <c r="AF112" i="17"/>
  <c r="R392" i="17"/>
  <c r="S392" i="17" s="1"/>
  <c r="R352" i="17"/>
  <c r="R315" i="17"/>
  <c r="R162" i="17"/>
  <c r="R279" i="17"/>
  <c r="R205" i="17"/>
  <c r="R204" i="17"/>
  <c r="R161" i="17"/>
  <c r="S222" i="12"/>
  <c r="S325" i="12"/>
  <c r="S866" i="12"/>
  <c r="S327" i="12"/>
  <c r="S908" i="12"/>
  <c r="Y620" i="12"/>
  <c r="Y736" i="12"/>
  <c r="Y624" i="12"/>
  <c r="Y740" i="12"/>
  <c r="S909" i="12"/>
  <c r="Y622" i="12"/>
  <c r="S867" i="12"/>
  <c r="Y738" i="12"/>
  <c r="Y618" i="12"/>
  <c r="Y734" i="12"/>
  <c r="S229" i="12"/>
  <c r="S331" i="12"/>
  <c r="S906" i="12"/>
  <c r="S864" i="12"/>
  <c r="Y729" i="12"/>
  <c r="Y613" i="12"/>
  <c r="S227" i="12"/>
  <c r="S329" i="12"/>
  <c r="S865" i="12"/>
  <c r="S330" i="12"/>
  <c r="S907" i="12"/>
  <c r="Y626" i="12"/>
  <c r="Y742" i="12"/>
  <c r="S226" i="12"/>
  <c r="S328" i="12"/>
  <c r="Y614" i="12"/>
  <c r="Y425" i="12"/>
  <c r="Y730" i="12"/>
  <c r="Y741" i="12"/>
  <c r="Y625" i="12"/>
  <c r="Y737" i="12"/>
  <c r="Y621" i="12"/>
  <c r="Y733" i="12"/>
  <c r="Y617" i="12"/>
  <c r="S223" i="12"/>
  <c r="S326" i="12"/>
  <c r="S160" i="12"/>
  <c r="Y504" i="12"/>
  <c r="Y502" i="12"/>
  <c r="S225" i="12"/>
  <c r="Y431" i="12"/>
  <c r="S228" i="12"/>
  <c r="Y437" i="12"/>
  <c r="Y432" i="12"/>
  <c r="Y424" i="12"/>
  <c r="Y436" i="12"/>
  <c r="Y428" i="12"/>
  <c r="Y435" i="12"/>
  <c r="Y433" i="12"/>
  <c r="Y429" i="12"/>
  <c r="Z113" i="17" l="1"/>
  <c r="F115" i="17" s="1"/>
  <c r="AB113" i="17"/>
  <c r="B116" i="17" s="1"/>
  <c r="AE113" i="17"/>
  <c r="E116" i="17" s="1"/>
  <c r="S891" i="12"/>
  <c r="S309" i="12"/>
  <c r="S143" i="12"/>
  <c r="S849" i="12"/>
  <c r="S205" i="12"/>
  <c r="W113" i="17"/>
  <c r="C115" i="17" s="1"/>
  <c r="R394" i="17"/>
  <c r="R354" i="17"/>
  <c r="R281" i="17"/>
  <c r="R317" i="17"/>
  <c r="R207" i="17"/>
  <c r="R164" i="17"/>
  <c r="X113" i="17"/>
  <c r="D115" i="17" s="1"/>
  <c r="AD113" i="17"/>
  <c r="D116" i="17" s="1"/>
  <c r="AC113" i="17"/>
  <c r="C116" i="17" s="1"/>
  <c r="Y113" i="17"/>
  <c r="E115" i="17" s="1"/>
  <c r="R393" i="17"/>
  <c r="R353" i="17"/>
  <c r="S353" i="17" s="1"/>
  <c r="R280" i="17"/>
  <c r="R316" i="17"/>
  <c r="R206" i="17"/>
  <c r="R163" i="17"/>
  <c r="R396" i="17"/>
  <c r="R356" i="17"/>
  <c r="R319" i="17"/>
  <c r="R283" i="17"/>
  <c r="R166" i="17"/>
  <c r="R209" i="17"/>
  <c r="AF113" i="17"/>
  <c r="F116" i="17" s="1"/>
  <c r="V113" i="17"/>
  <c r="B115" i="17" s="1"/>
  <c r="V329" i="12"/>
  <c r="X329" i="12"/>
  <c r="T329" i="12"/>
  <c r="U329" i="12"/>
  <c r="W329" i="12"/>
  <c r="Y616" i="12"/>
  <c r="Y732" i="12"/>
  <c r="Y735" i="12"/>
  <c r="Y619" i="12"/>
  <c r="Y731" i="12"/>
  <c r="Y426" i="12"/>
  <c r="Y615" i="12"/>
  <c r="Y739" i="12"/>
  <c r="Y623" i="12"/>
  <c r="Y807" i="12"/>
  <c r="Y809" i="12"/>
  <c r="Y808" i="12"/>
  <c r="Y503" i="12"/>
  <c r="Y434" i="12"/>
  <c r="Y427" i="12"/>
  <c r="Y805" i="12"/>
  <c r="Y500" i="12"/>
  <c r="Y804" i="12"/>
  <c r="Y499" i="12"/>
  <c r="Y806" i="12"/>
  <c r="Y501" i="12"/>
  <c r="Y811" i="12"/>
  <c r="Y506" i="12"/>
  <c r="Y430" i="12"/>
  <c r="Y810" i="12"/>
  <c r="Y505" i="12"/>
  <c r="K3" i="13"/>
  <c r="K4" i="13"/>
  <c r="K5" i="13"/>
  <c r="K6" i="13"/>
  <c r="K7" i="13"/>
  <c r="K8" i="13"/>
  <c r="K9" i="13"/>
  <c r="K10" i="13"/>
  <c r="K11" i="13"/>
  <c r="K2" i="13"/>
  <c r="S96" i="12" l="1"/>
  <c r="S262" i="12"/>
  <c r="S97" i="12"/>
  <c r="S263" i="12"/>
  <c r="I11" i="13"/>
  <c r="S79" i="12"/>
  <c r="S77" i="12"/>
  <c r="S78" i="12"/>
  <c r="S98" i="12" l="1"/>
  <c r="S264" i="12"/>
  <c r="A254" i="4" l="1"/>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S165" i="12" l="1"/>
  <c r="S164" i="12"/>
  <c r="S163" i="12"/>
  <c r="S162" i="12"/>
  <c r="S161" i="12"/>
  <c r="S159" i="12"/>
  <c r="S139" i="12"/>
  <c r="S140" i="12"/>
  <c r="S138" i="12"/>
  <c r="S136" i="12"/>
  <c r="S137" i="12"/>
  <c r="S135" i="12"/>
  <c r="S133" i="12"/>
  <c r="S132" i="12"/>
  <c r="S134" i="12"/>
  <c r="S130" i="12"/>
  <c r="S128" i="12"/>
  <c r="S129" i="12"/>
  <c r="S131" i="12"/>
  <c r="S124" i="12"/>
  <c r="S122" i="12"/>
  <c r="S126" i="12"/>
  <c r="S127" i="12"/>
  <c r="S125" i="12"/>
  <c r="S123" i="12"/>
  <c r="A32" i="4" l="1"/>
  <c r="A36" i="4"/>
  <c r="A34" i="4"/>
  <c r="A29" i="4"/>
  <c r="A31" i="4"/>
  <c r="A30" i="4"/>
  <c r="A35" i="4"/>
  <c r="A33" i="4"/>
  <c r="A28" i="4"/>
  <c r="A24" i="4"/>
  <c r="A37" i="4" l="1"/>
  <c r="A7" i="4"/>
  <c r="A226" i="5" l="1"/>
  <c r="A360" i="5"/>
  <c r="A413" i="5"/>
  <c r="A412" i="5"/>
  <c r="A411" i="5"/>
  <c r="A410" i="5"/>
  <c r="A409" i="5"/>
  <c r="A408" i="5"/>
  <c r="A407" i="5"/>
  <c r="A406" i="5"/>
  <c r="A405" i="5"/>
  <c r="A404" i="5"/>
  <c r="A403" i="5"/>
  <c r="A402" i="5"/>
  <c r="A420" i="5" l="1"/>
  <c r="A419" i="5"/>
  <c r="A418" i="5"/>
  <c r="A417" i="5"/>
  <c r="A416" i="5"/>
  <c r="A401" i="5"/>
  <c r="A400" i="5"/>
  <c r="A395" i="5"/>
  <c r="A386" i="5"/>
  <c r="A385" i="5"/>
  <c r="A384" i="5"/>
  <c r="A383" i="5"/>
  <c r="A378" i="5"/>
  <c r="A377" i="5"/>
  <c r="A374" i="5"/>
  <c r="A373" i="5"/>
  <c r="A372" i="5"/>
  <c r="A370" i="5"/>
  <c r="A369" i="5"/>
  <c r="A368" i="5"/>
  <c r="A365" i="5"/>
  <c r="A364" i="5"/>
  <c r="A363" i="5"/>
  <c r="A362" i="5"/>
  <c r="A361" i="5"/>
  <c r="A357" i="5"/>
  <c r="A359" i="5"/>
  <c r="A358" i="5"/>
  <c r="A353" i="5"/>
  <c r="A352" i="5"/>
  <c r="A351" i="5"/>
  <c r="A350" i="5"/>
  <c r="A349" i="5"/>
  <c r="A334" i="5"/>
  <c r="A333" i="5"/>
  <c r="A328" i="5"/>
  <c r="A319" i="5"/>
  <c r="A318" i="5"/>
  <c r="A317" i="5"/>
  <c r="A316" i="5"/>
  <c r="A311" i="5"/>
  <c r="A310" i="5"/>
  <c r="A307" i="5"/>
  <c r="A306" i="5"/>
  <c r="A305" i="5"/>
  <c r="A303" i="5"/>
  <c r="A302" i="5"/>
  <c r="A301" i="5"/>
  <c r="A298" i="5"/>
  <c r="A297" i="5"/>
  <c r="A296" i="5"/>
  <c r="A295" i="5"/>
  <c r="A294" i="5"/>
  <c r="A293" i="5"/>
  <c r="A292" i="5"/>
  <c r="A291" i="5"/>
  <c r="A252" i="5"/>
  <c r="A251" i="5"/>
  <c r="A249" i="5"/>
  <c r="A250" i="5"/>
  <c r="A282" i="5"/>
  <c r="A284" i="5"/>
  <c r="A285" i="5"/>
  <c r="A283" i="5"/>
  <c r="A286" i="5"/>
  <c r="A261" i="5"/>
  <c r="A267" i="5"/>
  <c r="A266" i="5"/>
  <c r="A231" i="5"/>
  <c r="A243" i="5"/>
  <c r="A240" i="5"/>
  <c r="A239" i="5"/>
  <c r="A238" i="5"/>
  <c r="A244" i="5"/>
  <c r="A155" i="5"/>
  <c r="A154" i="5"/>
  <c r="A150" i="5"/>
  <c r="A149" i="5"/>
  <c r="A145" i="5"/>
  <c r="A144" i="5"/>
  <c r="A115" i="5"/>
  <c r="A116" i="5"/>
  <c r="A120" i="5"/>
  <c r="A121" i="5"/>
  <c r="A111" i="5"/>
  <c r="A110" i="5"/>
  <c r="A7" i="5" l="1"/>
  <c r="A225" i="5"/>
  <c r="A223" i="5"/>
  <c r="A227" i="5"/>
  <c r="A229" i="5"/>
  <c r="A230" i="5"/>
  <c r="A228" i="5"/>
  <c r="A234" i="5"/>
  <c r="A235" i="5"/>
  <c r="A236" i="5"/>
  <c r="A224" i="5"/>
  <c r="E138" i="5"/>
  <c r="A138" i="5" s="1"/>
  <c r="E137" i="5"/>
  <c r="A137" i="5" s="1"/>
  <c r="E136" i="5"/>
  <c r="A136" i="5" s="1"/>
  <c r="E135" i="5"/>
  <c r="A135" i="5" s="1"/>
  <c r="E133" i="5"/>
  <c r="A133" i="5" s="1"/>
  <c r="E132" i="5"/>
  <c r="A132" i="5" s="1"/>
  <c r="E131" i="5"/>
  <c r="A131" i="5" s="1"/>
  <c r="E130" i="5"/>
  <c r="A130" i="5" s="1"/>
  <c r="E126" i="5"/>
  <c r="A126" i="5" s="1"/>
  <c r="E127" i="5"/>
  <c r="A127" i="5" s="1"/>
  <c r="E128" i="5"/>
  <c r="A128" i="5" s="1"/>
  <c r="E125" i="5"/>
  <c r="A125" i="5" s="1"/>
  <c r="A20" i="5"/>
  <c r="A21" i="5"/>
  <c r="A22" i="5"/>
  <c r="A23" i="5"/>
  <c r="A24" i="5"/>
  <c r="A25" i="5"/>
  <c r="A26" i="5"/>
  <c r="A27" i="5"/>
  <c r="A28" i="5"/>
  <c r="A29" i="5"/>
  <c r="A30" i="5"/>
  <c r="A31" i="5"/>
  <c r="A32" i="5"/>
  <c r="A34" i="5"/>
  <c r="A35" i="5"/>
  <c r="A36" i="5"/>
  <c r="A37" i="5"/>
  <c r="A38" i="5"/>
  <c r="A39" i="5"/>
  <c r="A40" i="5"/>
  <c r="A41" i="5"/>
  <c r="A42" i="5"/>
  <c r="A43" i="5"/>
  <c r="A44" i="5"/>
  <c r="A45" i="5"/>
  <c r="A46" i="5"/>
  <c r="A48" i="5"/>
  <c r="A49" i="5"/>
  <c r="A50" i="5"/>
  <c r="A51" i="5"/>
  <c r="A52" i="5"/>
  <c r="A53" i="5"/>
  <c r="A54" i="5"/>
  <c r="A55" i="5"/>
  <c r="A56" i="5"/>
  <c r="A57" i="5"/>
  <c r="A58" i="5"/>
  <c r="A59" i="5"/>
  <c r="A60" i="5"/>
  <c r="A62" i="5"/>
  <c r="A63" i="5"/>
  <c r="A64" i="5"/>
  <c r="A65" i="5"/>
  <c r="A66" i="5"/>
  <c r="A67" i="5"/>
  <c r="A68" i="5"/>
  <c r="A69" i="5"/>
  <c r="A70" i="5"/>
  <c r="A71" i="5"/>
  <c r="A72" i="5"/>
  <c r="A73" i="5"/>
  <c r="A74" i="5"/>
  <c r="A76" i="5"/>
  <c r="A77" i="5"/>
  <c r="A78" i="5"/>
  <c r="A79" i="5"/>
  <c r="A80" i="5"/>
  <c r="A81" i="5"/>
  <c r="A82" i="5"/>
  <c r="A83" i="5"/>
  <c r="A84" i="5"/>
  <c r="A85" i="5"/>
  <c r="A86" i="5"/>
  <c r="A87" i="5"/>
  <c r="A88" i="5"/>
  <c r="A90" i="5"/>
  <c r="A91" i="5"/>
  <c r="A92" i="5"/>
  <c r="A93" i="5"/>
  <c r="A94" i="5"/>
  <c r="A95" i="5"/>
  <c r="A96" i="5"/>
  <c r="A97" i="5"/>
  <c r="A98" i="5"/>
  <c r="A99" i="5"/>
  <c r="A100" i="5"/>
  <c r="A101" i="5"/>
  <c r="A102" i="5"/>
  <c r="A8" i="5"/>
  <c r="A9" i="5"/>
  <c r="A10" i="5"/>
  <c r="A11" i="5"/>
  <c r="A12" i="5"/>
  <c r="A13" i="5"/>
  <c r="A14" i="5"/>
  <c r="A15" i="5"/>
  <c r="A16" i="5"/>
  <c r="A17" i="5"/>
  <c r="A18" i="5"/>
  <c r="A6" i="5"/>
  <c r="AQ72" i="5"/>
  <c r="AQ69" i="5"/>
  <c r="AQ64" i="5"/>
  <c r="AQ56" i="5"/>
  <c r="M17" i="8"/>
  <c r="L17" i="8"/>
  <c r="K17" i="8"/>
  <c r="J17" i="8"/>
  <c r="I17" i="8"/>
  <c r="C17" i="8"/>
  <c r="M16" i="8"/>
  <c r="L16" i="8"/>
  <c r="K16" i="8"/>
  <c r="J16" i="8"/>
  <c r="I16" i="8"/>
  <c r="C16" i="8"/>
  <c r="C15" i="8"/>
  <c r="M14" i="8"/>
  <c r="L14" i="8"/>
  <c r="K14" i="8"/>
  <c r="J14" i="8"/>
  <c r="I14" i="8"/>
  <c r="H14" i="8"/>
  <c r="G14" i="8"/>
  <c r="F14" i="8"/>
  <c r="E14" i="8"/>
  <c r="D14" i="8"/>
  <c r="M5" i="8"/>
  <c r="L5" i="8"/>
  <c r="K5" i="8"/>
  <c r="J5" i="8"/>
  <c r="I5" i="8"/>
  <c r="H5" i="8"/>
  <c r="G5" i="8"/>
  <c r="F5" i="8"/>
  <c r="E5" i="8"/>
  <c r="D5" i="8"/>
  <c r="AE102" i="5"/>
  <c r="AD102" i="5"/>
  <c r="AC102" i="5"/>
  <c r="AB102" i="5"/>
  <c r="AA102" i="5"/>
  <c r="Z102" i="5"/>
  <c r="Y102" i="5"/>
  <c r="X102" i="5"/>
  <c r="W102" i="5"/>
  <c r="AE101" i="5"/>
  <c r="AD101" i="5"/>
  <c r="AC101" i="5"/>
  <c r="AB101" i="5"/>
  <c r="AA101" i="5"/>
  <c r="Z101" i="5"/>
  <c r="Y101" i="5"/>
  <c r="X101" i="5"/>
  <c r="W101" i="5"/>
  <c r="AE100" i="5"/>
  <c r="AD100" i="5"/>
  <c r="AC100" i="5"/>
  <c r="AB100" i="5"/>
  <c r="AA100" i="5"/>
  <c r="Z100" i="5"/>
  <c r="Y100" i="5"/>
  <c r="X100" i="5"/>
  <c r="W100" i="5"/>
  <c r="AE99" i="5"/>
  <c r="AD99" i="5"/>
  <c r="AC99" i="5"/>
  <c r="AB99" i="5"/>
  <c r="AA99" i="5"/>
  <c r="Z99" i="5"/>
  <c r="Y99" i="5"/>
  <c r="X99" i="5"/>
  <c r="W99" i="5"/>
  <c r="AE98" i="5"/>
  <c r="AD98" i="5"/>
  <c r="AC98" i="5"/>
  <c r="AB98" i="5"/>
  <c r="AA98" i="5"/>
  <c r="Z98" i="5"/>
  <c r="Y98" i="5"/>
  <c r="X98" i="5"/>
  <c r="W98" i="5"/>
  <c r="AE97" i="5"/>
  <c r="AD97" i="5"/>
  <c r="AC97" i="5"/>
  <c r="AB97" i="5"/>
  <c r="AA97" i="5"/>
  <c r="Z97" i="5"/>
  <c r="Y97" i="5"/>
  <c r="X97" i="5"/>
  <c r="W97" i="5"/>
  <c r="AE96" i="5"/>
  <c r="AD96" i="5"/>
  <c r="AC96" i="5"/>
  <c r="AB96" i="5"/>
  <c r="AA96" i="5"/>
  <c r="Z96" i="5"/>
  <c r="Y96" i="5"/>
  <c r="X96" i="5"/>
  <c r="W96" i="5"/>
  <c r="AE95" i="5"/>
  <c r="AD95" i="5"/>
  <c r="AC95" i="5"/>
  <c r="AB95" i="5"/>
  <c r="AA95" i="5"/>
  <c r="Z95" i="5"/>
  <c r="Y95" i="5"/>
  <c r="X95" i="5"/>
  <c r="W95" i="5"/>
  <c r="AE94" i="5"/>
  <c r="AD94" i="5"/>
  <c r="AC94" i="5"/>
  <c r="AB94" i="5"/>
  <c r="AA94" i="5"/>
  <c r="Z94" i="5"/>
  <c r="Y94" i="5"/>
  <c r="X94" i="5"/>
  <c r="W94" i="5"/>
  <c r="AE93" i="5"/>
  <c r="AD93" i="5"/>
  <c r="AC93" i="5"/>
  <c r="AB93" i="5"/>
  <c r="AA93" i="5"/>
  <c r="Z93" i="5"/>
  <c r="Y93" i="5"/>
  <c r="X93" i="5"/>
  <c r="W93" i="5"/>
  <c r="AE92" i="5"/>
  <c r="AD92" i="5"/>
  <c r="AC92" i="5"/>
  <c r="AB92" i="5"/>
  <c r="AA92" i="5"/>
  <c r="Z92" i="5"/>
  <c r="Y92" i="5"/>
  <c r="X92" i="5"/>
  <c r="W92" i="5"/>
  <c r="AE91" i="5"/>
  <c r="AD91" i="5"/>
  <c r="AC91" i="5"/>
  <c r="AB91" i="5"/>
  <c r="AA91" i="5"/>
  <c r="Z91" i="5"/>
  <c r="Y91" i="5"/>
  <c r="X91" i="5"/>
  <c r="W91" i="5"/>
  <c r="AE90" i="5"/>
  <c r="AD90" i="5"/>
  <c r="AC90" i="5"/>
  <c r="AB90" i="5"/>
  <c r="AA90" i="5"/>
  <c r="Z90" i="5"/>
  <c r="Y90" i="5"/>
  <c r="X90" i="5"/>
  <c r="W90" i="5"/>
  <c r="AE88" i="5"/>
  <c r="AD88" i="5"/>
  <c r="AC88" i="5"/>
  <c r="AB88" i="5"/>
  <c r="AA88" i="5"/>
  <c r="Z88" i="5"/>
  <c r="Y88" i="5"/>
  <c r="X88" i="5"/>
  <c r="W88" i="5"/>
  <c r="AE87" i="5"/>
  <c r="AD87" i="5"/>
  <c r="AC87" i="5"/>
  <c r="AB87" i="5"/>
  <c r="AA87" i="5"/>
  <c r="Z87" i="5"/>
  <c r="Y87" i="5"/>
  <c r="X87" i="5"/>
  <c r="W87" i="5"/>
  <c r="AE86" i="5"/>
  <c r="AD86" i="5"/>
  <c r="AC86" i="5"/>
  <c r="AB86" i="5"/>
  <c r="AA86" i="5"/>
  <c r="Z86" i="5"/>
  <c r="Y86" i="5"/>
  <c r="X86" i="5"/>
  <c r="W86" i="5"/>
  <c r="AE85" i="5"/>
  <c r="AD85" i="5"/>
  <c r="AC85" i="5"/>
  <c r="AB85" i="5"/>
  <c r="AA85" i="5"/>
  <c r="Z85" i="5"/>
  <c r="Y85" i="5"/>
  <c r="X85" i="5"/>
  <c r="W85" i="5"/>
  <c r="AE84" i="5"/>
  <c r="AD84" i="5"/>
  <c r="AC84" i="5"/>
  <c r="AB84" i="5"/>
  <c r="AA84" i="5"/>
  <c r="Z84" i="5"/>
  <c r="Y84" i="5"/>
  <c r="X84" i="5"/>
  <c r="W84" i="5"/>
  <c r="AE83" i="5"/>
  <c r="AD83" i="5"/>
  <c r="AC83" i="5"/>
  <c r="AB83" i="5"/>
  <c r="AA83" i="5"/>
  <c r="Z83" i="5"/>
  <c r="Y83" i="5"/>
  <c r="X83" i="5"/>
  <c r="W83" i="5"/>
  <c r="AE82" i="5"/>
  <c r="AD82" i="5"/>
  <c r="AC82" i="5"/>
  <c r="AB82" i="5"/>
  <c r="AA82" i="5"/>
  <c r="Z82" i="5"/>
  <c r="Y82" i="5"/>
  <c r="X82" i="5"/>
  <c r="W82" i="5"/>
  <c r="AE81" i="5"/>
  <c r="AD81" i="5"/>
  <c r="AC81" i="5"/>
  <c r="AB81" i="5"/>
  <c r="AA81" i="5"/>
  <c r="Z81" i="5"/>
  <c r="Y81" i="5"/>
  <c r="X81" i="5"/>
  <c r="W81" i="5"/>
  <c r="AE80" i="5"/>
  <c r="AD80" i="5"/>
  <c r="AC80" i="5"/>
  <c r="AB80" i="5"/>
  <c r="AA80" i="5"/>
  <c r="Z80" i="5"/>
  <c r="Y80" i="5"/>
  <c r="X80" i="5"/>
  <c r="W80" i="5"/>
  <c r="AE79" i="5"/>
  <c r="AD79" i="5"/>
  <c r="AC79" i="5"/>
  <c r="AB79" i="5"/>
  <c r="AA79" i="5"/>
  <c r="Z79" i="5"/>
  <c r="Y79" i="5"/>
  <c r="X79" i="5"/>
  <c r="W79" i="5"/>
  <c r="AE78" i="5"/>
  <c r="AD78" i="5"/>
  <c r="AC78" i="5"/>
  <c r="AB78" i="5"/>
  <c r="AA78" i="5"/>
  <c r="Z78" i="5"/>
  <c r="Y78" i="5"/>
  <c r="X78" i="5"/>
  <c r="W78" i="5"/>
  <c r="AE77" i="5"/>
  <c r="AD77" i="5"/>
  <c r="AC77" i="5"/>
  <c r="AB77" i="5"/>
  <c r="AA77" i="5"/>
  <c r="Z77" i="5"/>
  <c r="Y77" i="5"/>
  <c r="X77" i="5"/>
  <c r="W77" i="5"/>
  <c r="AE76" i="5"/>
  <c r="AD76" i="5"/>
  <c r="AC76" i="5"/>
  <c r="AB76" i="5"/>
  <c r="AA76" i="5"/>
  <c r="Z76" i="5"/>
  <c r="Y76" i="5"/>
  <c r="X76" i="5"/>
  <c r="W76" i="5"/>
  <c r="AE74" i="5"/>
  <c r="AD74" i="5"/>
  <c r="AC74" i="5"/>
  <c r="AB74" i="5"/>
  <c r="AA74" i="5"/>
  <c r="Z74" i="5"/>
  <c r="Y74" i="5"/>
  <c r="X74" i="5"/>
  <c r="W74" i="5"/>
  <c r="AE73" i="5"/>
  <c r="AD73" i="5"/>
  <c r="AC73" i="5"/>
  <c r="AB73" i="5"/>
  <c r="AA73" i="5"/>
  <c r="Z73" i="5"/>
  <c r="Y73" i="5"/>
  <c r="X73" i="5"/>
  <c r="W73" i="5"/>
  <c r="AE72" i="5"/>
  <c r="AD72" i="5"/>
  <c r="AC72" i="5"/>
  <c r="AB72" i="5"/>
  <c r="AA72" i="5"/>
  <c r="Z72" i="5"/>
  <c r="Y72" i="5"/>
  <c r="X72" i="5"/>
  <c r="W72" i="5"/>
  <c r="AE71" i="5"/>
  <c r="AD71" i="5"/>
  <c r="AC71" i="5"/>
  <c r="AB71" i="5"/>
  <c r="AA71" i="5"/>
  <c r="Z71" i="5"/>
  <c r="Y71" i="5"/>
  <c r="X71" i="5"/>
  <c r="W71" i="5"/>
  <c r="AE70" i="5"/>
  <c r="AD70" i="5"/>
  <c r="AC70" i="5"/>
  <c r="AB70" i="5"/>
  <c r="AA70" i="5"/>
  <c r="Z70" i="5"/>
  <c r="Y70" i="5"/>
  <c r="X70" i="5"/>
  <c r="W70" i="5"/>
  <c r="AE69" i="5"/>
  <c r="AD69" i="5"/>
  <c r="AC69" i="5"/>
  <c r="AB69" i="5"/>
  <c r="AA69" i="5"/>
  <c r="Z69" i="5"/>
  <c r="Y69" i="5"/>
  <c r="X69" i="5"/>
  <c r="W69" i="5"/>
  <c r="AE68" i="5"/>
  <c r="AD68" i="5"/>
  <c r="AC68" i="5"/>
  <c r="AB68" i="5"/>
  <c r="AA68" i="5"/>
  <c r="Z68" i="5"/>
  <c r="Y68" i="5"/>
  <c r="X68" i="5"/>
  <c r="W68" i="5"/>
  <c r="AE67" i="5"/>
  <c r="AD67" i="5"/>
  <c r="AC67" i="5"/>
  <c r="AB67" i="5"/>
  <c r="AA67" i="5"/>
  <c r="Z67" i="5"/>
  <c r="Y67" i="5"/>
  <c r="X67" i="5"/>
  <c r="W67" i="5"/>
  <c r="AE66" i="5"/>
  <c r="AD66" i="5"/>
  <c r="AC66" i="5"/>
  <c r="AB66" i="5"/>
  <c r="AA66" i="5"/>
  <c r="Z66" i="5"/>
  <c r="Y66" i="5"/>
  <c r="X66" i="5"/>
  <c r="W66" i="5"/>
  <c r="AE65" i="5"/>
  <c r="AD65" i="5"/>
  <c r="AC65" i="5"/>
  <c r="AB65" i="5"/>
  <c r="AA65" i="5"/>
  <c r="Z65" i="5"/>
  <c r="Y65" i="5"/>
  <c r="X65" i="5"/>
  <c r="W65" i="5"/>
  <c r="AE64" i="5"/>
  <c r="AD64" i="5"/>
  <c r="AC64" i="5"/>
  <c r="AB64" i="5"/>
  <c r="AA64" i="5"/>
  <c r="Z64" i="5"/>
  <c r="Y64" i="5"/>
  <c r="X64" i="5"/>
  <c r="W64" i="5"/>
  <c r="AE63" i="5"/>
  <c r="AD63" i="5"/>
  <c r="AC63" i="5"/>
  <c r="AB63" i="5"/>
  <c r="AA63" i="5"/>
  <c r="Z63" i="5"/>
  <c r="Y63" i="5"/>
  <c r="X63" i="5"/>
  <c r="W63" i="5"/>
  <c r="AE62" i="5"/>
  <c r="AD62" i="5"/>
  <c r="AC62" i="5"/>
  <c r="AB62" i="5"/>
  <c r="AA62" i="5"/>
  <c r="Z62" i="5"/>
  <c r="Y62" i="5"/>
  <c r="X62" i="5"/>
  <c r="W62" i="5"/>
  <c r="AE60" i="5"/>
  <c r="AD60" i="5"/>
  <c r="AC60" i="5"/>
  <c r="AB60" i="5"/>
  <c r="AA60" i="5"/>
  <c r="Z60" i="5"/>
  <c r="Y60" i="5"/>
  <c r="X60" i="5"/>
  <c r="W60" i="5"/>
  <c r="AE59" i="5"/>
  <c r="AD59" i="5"/>
  <c r="AC59" i="5"/>
  <c r="AB59" i="5"/>
  <c r="AA59" i="5"/>
  <c r="Z59" i="5"/>
  <c r="Y59" i="5"/>
  <c r="X59" i="5"/>
  <c r="W59" i="5"/>
  <c r="AE58" i="5"/>
  <c r="AD58" i="5"/>
  <c r="AC58" i="5"/>
  <c r="AB58" i="5"/>
  <c r="AA58" i="5"/>
  <c r="Z58" i="5"/>
  <c r="Y58" i="5"/>
  <c r="X58" i="5"/>
  <c r="W58" i="5"/>
  <c r="AE57" i="5"/>
  <c r="AD57" i="5"/>
  <c r="AC57" i="5"/>
  <c r="AB57" i="5"/>
  <c r="AA57" i="5"/>
  <c r="Z57" i="5"/>
  <c r="Y57" i="5"/>
  <c r="X57" i="5"/>
  <c r="W57" i="5"/>
  <c r="AE56" i="5"/>
  <c r="AD56" i="5"/>
  <c r="AC56" i="5"/>
  <c r="AB56" i="5"/>
  <c r="AA56" i="5"/>
  <c r="Z56" i="5"/>
  <c r="Y56" i="5"/>
  <c r="X56" i="5"/>
  <c r="W56" i="5"/>
  <c r="AE55" i="5"/>
  <c r="AD55" i="5"/>
  <c r="AC55" i="5"/>
  <c r="AB55" i="5"/>
  <c r="AA55" i="5"/>
  <c r="Z55" i="5"/>
  <c r="Y55" i="5"/>
  <c r="X55" i="5"/>
  <c r="W55" i="5"/>
  <c r="AE54" i="5"/>
  <c r="AD54" i="5"/>
  <c r="AC54" i="5"/>
  <c r="AB54" i="5"/>
  <c r="AA54" i="5"/>
  <c r="Z54" i="5"/>
  <c r="Y54" i="5"/>
  <c r="X54" i="5"/>
  <c r="W54" i="5"/>
  <c r="AE53" i="5"/>
  <c r="AD53" i="5"/>
  <c r="AC53" i="5"/>
  <c r="AB53" i="5"/>
  <c r="AA53" i="5"/>
  <c r="Z53" i="5"/>
  <c r="Y53" i="5"/>
  <c r="X53" i="5"/>
  <c r="W53" i="5"/>
  <c r="AE52" i="5"/>
  <c r="AD52" i="5"/>
  <c r="AC52" i="5"/>
  <c r="AB52" i="5"/>
  <c r="AA52" i="5"/>
  <c r="Z52" i="5"/>
  <c r="Y52" i="5"/>
  <c r="X52" i="5"/>
  <c r="W52" i="5"/>
  <c r="AE51" i="5"/>
  <c r="AD51" i="5"/>
  <c r="AC51" i="5"/>
  <c r="AB51" i="5"/>
  <c r="AA51" i="5"/>
  <c r="Z51" i="5"/>
  <c r="Y51" i="5"/>
  <c r="X51" i="5"/>
  <c r="W51" i="5"/>
  <c r="AE50" i="5"/>
  <c r="AD50" i="5"/>
  <c r="AC50" i="5"/>
  <c r="AB50" i="5"/>
  <c r="AA50" i="5"/>
  <c r="Z50" i="5"/>
  <c r="Y50" i="5"/>
  <c r="X50" i="5"/>
  <c r="W50" i="5"/>
  <c r="AE49" i="5"/>
  <c r="AD49" i="5"/>
  <c r="AC49" i="5"/>
  <c r="AB49" i="5"/>
  <c r="AA49" i="5"/>
  <c r="Z49" i="5"/>
  <c r="Y49" i="5"/>
  <c r="X49" i="5"/>
  <c r="W49" i="5"/>
  <c r="AE48" i="5"/>
  <c r="AD48" i="5"/>
  <c r="AC48" i="5"/>
  <c r="AB48" i="5"/>
  <c r="AA48" i="5"/>
  <c r="Z48" i="5"/>
  <c r="Y48" i="5"/>
  <c r="X48" i="5"/>
  <c r="W48" i="5"/>
  <c r="AE46" i="5"/>
  <c r="AD46" i="5"/>
  <c r="AC46" i="5"/>
  <c r="AB46" i="5"/>
  <c r="AA46" i="5"/>
  <c r="Z46" i="5"/>
  <c r="Y46" i="5"/>
  <c r="X46" i="5"/>
  <c r="W46" i="5"/>
  <c r="AE45" i="5"/>
  <c r="AD45" i="5"/>
  <c r="AC45" i="5"/>
  <c r="AB45" i="5"/>
  <c r="AA45" i="5"/>
  <c r="Z45" i="5"/>
  <c r="Y45" i="5"/>
  <c r="X45" i="5"/>
  <c r="W45" i="5"/>
  <c r="AE44" i="5"/>
  <c r="AD44" i="5"/>
  <c r="AC44" i="5"/>
  <c r="AB44" i="5"/>
  <c r="AA44" i="5"/>
  <c r="Z44" i="5"/>
  <c r="Y44" i="5"/>
  <c r="X44" i="5"/>
  <c r="W44" i="5"/>
  <c r="AE43" i="5"/>
  <c r="AD43" i="5"/>
  <c r="AC43" i="5"/>
  <c r="AB43" i="5"/>
  <c r="AA43" i="5"/>
  <c r="Z43" i="5"/>
  <c r="Y43" i="5"/>
  <c r="X43" i="5"/>
  <c r="W43" i="5"/>
  <c r="AE42" i="5"/>
  <c r="AD42" i="5"/>
  <c r="AC42" i="5"/>
  <c r="AB42" i="5"/>
  <c r="AA42" i="5"/>
  <c r="Z42" i="5"/>
  <c r="Y42" i="5"/>
  <c r="X42" i="5"/>
  <c r="W42" i="5"/>
  <c r="AE41" i="5"/>
  <c r="AD41" i="5"/>
  <c r="AC41" i="5"/>
  <c r="AB41" i="5"/>
  <c r="AA41" i="5"/>
  <c r="Z41" i="5"/>
  <c r="Y41" i="5"/>
  <c r="X41" i="5"/>
  <c r="W41" i="5"/>
  <c r="AE40" i="5"/>
  <c r="AD40" i="5"/>
  <c r="AC40" i="5"/>
  <c r="AB40" i="5"/>
  <c r="AA40" i="5"/>
  <c r="Z40" i="5"/>
  <c r="Y40" i="5"/>
  <c r="X40" i="5"/>
  <c r="W40" i="5"/>
  <c r="AE39" i="5"/>
  <c r="AD39" i="5"/>
  <c r="AC39" i="5"/>
  <c r="AB39" i="5"/>
  <c r="AA39" i="5"/>
  <c r="Z39" i="5"/>
  <c r="Y39" i="5"/>
  <c r="X39" i="5"/>
  <c r="W39" i="5"/>
  <c r="AE38" i="5"/>
  <c r="AD38" i="5"/>
  <c r="AC38" i="5"/>
  <c r="AB38" i="5"/>
  <c r="AA38" i="5"/>
  <c r="Z38" i="5"/>
  <c r="Y38" i="5"/>
  <c r="X38" i="5"/>
  <c r="W38" i="5"/>
  <c r="AE37" i="5"/>
  <c r="AD37" i="5"/>
  <c r="AC37" i="5"/>
  <c r="AB37" i="5"/>
  <c r="AA37" i="5"/>
  <c r="Z37" i="5"/>
  <c r="Y37" i="5"/>
  <c r="X37" i="5"/>
  <c r="W37" i="5"/>
  <c r="AE36" i="5"/>
  <c r="AD36" i="5"/>
  <c r="AC36" i="5"/>
  <c r="AB36" i="5"/>
  <c r="AA36" i="5"/>
  <c r="Z36" i="5"/>
  <c r="Y36" i="5"/>
  <c r="X36" i="5"/>
  <c r="W36" i="5"/>
  <c r="AE35" i="5"/>
  <c r="AD35" i="5"/>
  <c r="AC35" i="5"/>
  <c r="AB35" i="5"/>
  <c r="AA35" i="5"/>
  <c r="Z35" i="5"/>
  <c r="Y35" i="5"/>
  <c r="X35" i="5"/>
  <c r="W35" i="5"/>
  <c r="AE34" i="5"/>
  <c r="AD34" i="5"/>
  <c r="AC34" i="5"/>
  <c r="AB34" i="5"/>
  <c r="AA34" i="5"/>
  <c r="Z34" i="5"/>
  <c r="Y34" i="5"/>
  <c r="X34" i="5"/>
  <c r="W34" i="5"/>
  <c r="AE32" i="5"/>
  <c r="AD32" i="5"/>
  <c r="AC32" i="5"/>
  <c r="AB32" i="5"/>
  <c r="AA32" i="5"/>
  <c r="Z32" i="5"/>
  <c r="Y32" i="5"/>
  <c r="X32" i="5"/>
  <c r="W32" i="5"/>
  <c r="AE31" i="5"/>
  <c r="AD31" i="5"/>
  <c r="AC31" i="5"/>
  <c r="AB31" i="5"/>
  <c r="AA31" i="5"/>
  <c r="Z31" i="5"/>
  <c r="Y31" i="5"/>
  <c r="X31" i="5"/>
  <c r="W31" i="5"/>
  <c r="AE30" i="5"/>
  <c r="AD30" i="5"/>
  <c r="AC30" i="5"/>
  <c r="AB30" i="5"/>
  <c r="AA30" i="5"/>
  <c r="Z30" i="5"/>
  <c r="Y30" i="5"/>
  <c r="X30" i="5"/>
  <c r="W30" i="5"/>
  <c r="AE29" i="5"/>
  <c r="AD29" i="5"/>
  <c r="AC29" i="5"/>
  <c r="AB29" i="5"/>
  <c r="AA29" i="5"/>
  <c r="Z29" i="5"/>
  <c r="Y29" i="5"/>
  <c r="X29" i="5"/>
  <c r="W29" i="5"/>
  <c r="AE28" i="5"/>
  <c r="AD28" i="5"/>
  <c r="AC28" i="5"/>
  <c r="AB28" i="5"/>
  <c r="AA28" i="5"/>
  <c r="Z28" i="5"/>
  <c r="Y28" i="5"/>
  <c r="X28" i="5"/>
  <c r="W28" i="5"/>
  <c r="AE27" i="5"/>
  <c r="AD27" i="5"/>
  <c r="AC27" i="5"/>
  <c r="AB27" i="5"/>
  <c r="AA27" i="5"/>
  <c r="Z27" i="5"/>
  <c r="Y27" i="5"/>
  <c r="X27" i="5"/>
  <c r="W27" i="5"/>
  <c r="AE26" i="5"/>
  <c r="AD26" i="5"/>
  <c r="AC26" i="5"/>
  <c r="AB26" i="5"/>
  <c r="AA26" i="5"/>
  <c r="Z26" i="5"/>
  <c r="Y26" i="5"/>
  <c r="X26" i="5"/>
  <c r="W26" i="5"/>
  <c r="AE25" i="5"/>
  <c r="AD25" i="5"/>
  <c r="AC25" i="5"/>
  <c r="AB25" i="5"/>
  <c r="AA25" i="5"/>
  <c r="Z25" i="5"/>
  <c r="Y25" i="5"/>
  <c r="X25" i="5"/>
  <c r="W25" i="5"/>
  <c r="AE24" i="5"/>
  <c r="AD24" i="5"/>
  <c r="AC24" i="5"/>
  <c r="AB24" i="5"/>
  <c r="AA24" i="5"/>
  <c r="Z24" i="5"/>
  <c r="Y24" i="5"/>
  <c r="X24" i="5"/>
  <c r="W24" i="5"/>
  <c r="AE23" i="5"/>
  <c r="AD23" i="5"/>
  <c r="AC23" i="5"/>
  <c r="AB23" i="5"/>
  <c r="AA23" i="5"/>
  <c r="Z23" i="5"/>
  <c r="Y23" i="5"/>
  <c r="X23" i="5"/>
  <c r="W23" i="5"/>
  <c r="AE22" i="5"/>
  <c r="AD22" i="5"/>
  <c r="AC22" i="5"/>
  <c r="AB22" i="5"/>
  <c r="AA22" i="5"/>
  <c r="Z22" i="5"/>
  <c r="Y22" i="5"/>
  <c r="X22" i="5"/>
  <c r="W22" i="5"/>
  <c r="AE21" i="5"/>
  <c r="AD21" i="5"/>
  <c r="AC21" i="5"/>
  <c r="AB21" i="5"/>
  <c r="AA21" i="5"/>
  <c r="Z21" i="5"/>
  <c r="Y21" i="5"/>
  <c r="X21" i="5"/>
  <c r="W21" i="5"/>
  <c r="AE20" i="5"/>
  <c r="AD20" i="5"/>
  <c r="AC20" i="5"/>
  <c r="AB20" i="5"/>
  <c r="AA20" i="5"/>
  <c r="Z20" i="5"/>
  <c r="Y20" i="5"/>
  <c r="X20" i="5"/>
  <c r="W20" i="5"/>
  <c r="AE18" i="5"/>
  <c r="AD18" i="5"/>
  <c r="AC18" i="5"/>
  <c r="AB18" i="5"/>
  <c r="AA18" i="5"/>
  <c r="Z18" i="5"/>
  <c r="Y18" i="5"/>
  <c r="X18" i="5"/>
  <c r="W18" i="5"/>
  <c r="AE17" i="5"/>
  <c r="AD17" i="5"/>
  <c r="AC17" i="5"/>
  <c r="AB17" i="5"/>
  <c r="AA17" i="5"/>
  <c r="Z17" i="5"/>
  <c r="Y17" i="5"/>
  <c r="X17" i="5"/>
  <c r="W17" i="5"/>
  <c r="AE16" i="5"/>
  <c r="AD16" i="5"/>
  <c r="AC16" i="5"/>
  <c r="AB16" i="5"/>
  <c r="AA16" i="5"/>
  <c r="Z16" i="5"/>
  <c r="Y16" i="5"/>
  <c r="X16" i="5"/>
  <c r="W16" i="5"/>
  <c r="AE15" i="5"/>
  <c r="AD15" i="5"/>
  <c r="AC15" i="5"/>
  <c r="AB15" i="5"/>
  <c r="AA15" i="5"/>
  <c r="Z15" i="5"/>
  <c r="Y15" i="5"/>
  <c r="X15" i="5"/>
  <c r="W15" i="5"/>
  <c r="AE14" i="5"/>
  <c r="AD14" i="5"/>
  <c r="AC14" i="5"/>
  <c r="AB14" i="5"/>
  <c r="AA14" i="5"/>
  <c r="Z14" i="5"/>
  <c r="Y14" i="5"/>
  <c r="X14" i="5"/>
  <c r="W14" i="5"/>
  <c r="AE13" i="5"/>
  <c r="AD13" i="5"/>
  <c r="AC13" i="5"/>
  <c r="AB13" i="5"/>
  <c r="AA13" i="5"/>
  <c r="Z13" i="5"/>
  <c r="Y13" i="5"/>
  <c r="X13" i="5"/>
  <c r="W13" i="5"/>
  <c r="AE12" i="5"/>
  <c r="AD12" i="5"/>
  <c r="AC12" i="5"/>
  <c r="AB12" i="5"/>
  <c r="AA12" i="5"/>
  <c r="Z12" i="5"/>
  <c r="Y12" i="5"/>
  <c r="X12" i="5"/>
  <c r="W12" i="5"/>
  <c r="AE11" i="5"/>
  <c r="AD11" i="5"/>
  <c r="AC11" i="5"/>
  <c r="AB11" i="5"/>
  <c r="AA11" i="5"/>
  <c r="Z11" i="5"/>
  <c r="Y11" i="5"/>
  <c r="X11" i="5"/>
  <c r="W11" i="5"/>
  <c r="AE10" i="5"/>
  <c r="AD10" i="5"/>
  <c r="AC10" i="5"/>
  <c r="AB10" i="5"/>
  <c r="AA10" i="5"/>
  <c r="Z10" i="5"/>
  <c r="Y10" i="5"/>
  <c r="X10" i="5"/>
  <c r="W10" i="5"/>
  <c r="AE9" i="5"/>
  <c r="AD9" i="5"/>
  <c r="AC9" i="5"/>
  <c r="AB9" i="5"/>
  <c r="AA9" i="5"/>
  <c r="Z9" i="5"/>
  <c r="Y9" i="5"/>
  <c r="X9" i="5"/>
  <c r="W9" i="5"/>
  <c r="AE8" i="5"/>
  <c r="AD8" i="5"/>
  <c r="AC8" i="5"/>
  <c r="AB8" i="5"/>
  <c r="AA8" i="5"/>
  <c r="Z8" i="5"/>
  <c r="Y8" i="5"/>
  <c r="X8" i="5"/>
  <c r="W8" i="5"/>
  <c r="AE7" i="5"/>
  <c r="AD7" i="5"/>
  <c r="AC7" i="5"/>
  <c r="AB7" i="5"/>
  <c r="AA7" i="5"/>
  <c r="Z7" i="5"/>
  <c r="Y7" i="5"/>
  <c r="X7" i="5"/>
  <c r="W7" i="5"/>
  <c r="AE6" i="5"/>
  <c r="AD6" i="5"/>
  <c r="AC6" i="5"/>
  <c r="AB6" i="5"/>
  <c r="AA6" i="5"/>
  <c r="Z6" i="5"/>
  <c r="Y6" i="5"/>
  <c r="X6" i="5"/>
  <c r="W6" i="5"/>
  <c r="I116" i="55"/>
  <c r="I153" i="55"/>
  <c r="I283" i="55"/>
  <c r="I8" i="55"/>
  <c r="I48" i="55"/>
  <c r="I173" i="55"/>
  <c r="I32" i="55"/>
  <c r="I232" i="55"/>
  <c r="I4" i="55"/>
  <c r="I180" i="55"/>
  <c r="I223" i="55"/>
  <c r="I97" i="55"/>
  <c r="I75" i="55"/>
  <c r="I244" i="55"/>
  <c r="I7" i="55"/>
  <c r="I55" i="55"/>
  <c r="I74" i="55"/>
  <c r="I128" i="55"/>
  <c r="I275" i="55"/>
  <c r="I251" i="55"/>
  <c r="I46" i="55"/>
  <c r="I40" i="55"/>
  <c r="I165" i="55"/>
  <c r="I210" i="55"/>
  <c r="I33" i="55"/>
  <c r="I14" i="55"/>
  <c r="I212" i="55"/>
  <c r="I181" i="55"/>
  <c r="I6" i="55"/>
  <c r="I107" i="55"/>
  <c r="I25" i="55"/>
  <c r="I111" i="55"/>
  <c r="I213" i="55"/>
  <c r="I3" i="55"/>
  <c r="I152" i="55"/>
  <c r="I156" i="55"/>
  <c r="I261" i="55"/>
  <c r="I114" i="55"/>
  <c r="I43" i="55"/>
  <c r="I47" i="55"/>
  <c r="I248" i="55"/>
  <c r="I277" i="55"/>
  <c r="I217" i="55"/>
  <c r="I12" i="55"/>
  <c r="I197" i="55"/>
  <c r="I136" i="55"/>
  <c r="I44" i="55"/>
  <c r="I225" i="55"/>
  <c r="I17" i="55"/>
  <c r="I137" i="55"/>
  <c r="I191" i="55"/>
  <c r="I230" i="55"/>
  <c r="I162" i="55"/>
  <c r="I23" i="55"/>
  <c r="I105" i="55"/>
  <c r="I271" i="55"/>
  <c r="I266" i="55"/>
  <c r="I270" i="55"/>
  <c r="I18" i="55"/>
  <c r="I258" i="55"/>
  <c r="I87" i="55"/>
  <c r="I68" i="55"/>
  <c r="I265" i="55"/>
  <c r="I115" i="55"/>
  <c r="I83" i="55"/>
  <c r="I188" i="55"/>
  <c r="I135" i="55"/>
  <c r="I182" i="55"/>
  <c r="I24" i="55"/>
  <c r="I112" i="55"/>
  <c r="I147" i="55"/>
  <c r="I284" i="55"/>
  <c r="I64" i="55"/>
  <c r="I109" i="55"/>
  <c r="I276" i="55"/>
  <c r="I204" i="55"/>
  <c r="I214" i="55"/>
  <c r="I61" i="55"/>
  <c r="I100" i="55"/>
  <c r="I26" i="55"/>
  <c r="I262" i="55"/>
  <c r="I94" i="55"/>
  <c r="I192" i="55"/>
  <c r="I157" i="55"/>
  <c r="I195" i="55"/>
  <c r="I101" i="55"/>
  <c r="I280" i="55"/>
  <c r="I167" i="55"/>
  <c r="I81" i="55"/>
  <c r="I176" i="55"/>
  <c r="I149" i="55"/>
  <c r="I221" i="55"/>
  <c r="I9" i="55"/>
  <c r="I184" i="55"/>
  <c r="I218" i="55"/>
  <c r="I5" i="55"/>
  <c r="I127" i="55"/>
  <c r="I158" i="55"/>
  <c r="I84" i="55"/>
  <c r="I30" i="55"/>
  <c r="I150" i="55"/>
  <c r="I236" i="55"/>
  <c r="I10" i="55"/>
  <c r="I71" i="55"/>
  <c r="I264" i="55"/>
  <c r="I267" i="55"/>
  <c r="I141" i="55"/>
  <c r="I239" i="55"/>
  <c r="I235" i="55"/>
  <c r="I20" i="55"/>
  <c r="I148" i="55"/>
  <c r="I70" i="55"/>
  <c r="I28" i="55"/>
  <c r="I89" i="55"/>
  <c r="I226" i="55"/>
  <c r="I19" i="55"/>
  <c r="I163" i="55"/>
  <c r="I102" i="55"/>
  <c r="I34" i="55"/>
  <c r="I16" i="55"/>
  <c r="I200" i="55"/>
  <c r="I62" i="55"/>
  <c r="I175" i="55"/>
  <c r="I216" i="55"/>
  <c r="I27" i="55"/>
  <c r="I233" i="55"/>
  <c r="I174" i="55"/>
  <c r="I130" i="55"/>
  <c r="I125" i="55"/>
  <c r="I154" i="55"/>
  <c r="I260" i="55"/>
  <c r="I123" i="55"/>
  <c r="I227" i="55"/>
  <c r="I168" i="55"/>
  <c r="I164" i="55"/>
  <c r="I117" i="55"/>
  <c r="I229" i="55"/>
  <c r="I254" i="55"/>
  <c r="I207" i="55"/>
  <c r="I259" i="55"/>
  <c r="I249" i="55"/>
  <c r="I45" i="55"/>
  <c r="I211" i="55"/>
  <c r="I113" i="55"/>
  <c r="I234" i="55"/>
  <c r="I69" i="55"/>
  <c r="I240" i="55"/>
  <c r="I106" i="55"/>
  <c r="I269" i="55"/>
  <c r="I208" i="55"/>
  <c r="I177" i="55"/>
  <c r="I35" i="55"/>
  <c r="I245" i="55"/>
  <c r="I220" i="55"/>
  <c r="I37" i="55"/>
  <c r="I169" i="55"/>
  <c r="I73" i="55"/>
  <c r="I85" i="55"/>
  <c r="I96" i="55"/>
  <c r="I144" i="55"/>
  <c r="I119" i="55"/>
  <c r="I51" i="55"/>
  <c r="I59" i="55"/>
  <c r="I65" i="55"/>
  <c r="I256" i="55"/>
  <c r="I250" i="55"/>
  <c r="I281" i="55"/>
  <c r="I91" i="55"/>
  <c r="I76" i="55"/>
  <c r="I185" i="55"/>
  <c r="I247" i="55"/>
  <c r="I131" i="55"/>
  <c r="I58" i="55"/>
  <c r="I90" i="55"/>
  <c r="I166" i="55"/>
  <c r="I241" i="55"/>
  <c r="I126" i="55"/>
  <c r="I242" i="55"/>
  <c r="I92" i="55"/>
  <c r="I142" i="55"/>
  <c r="I224" i="55"/>
  <c r="I274" i="55"/>
  <c r="I13" i="55"/>
  <c r="I104" i="55"/>
  <c r="I215" i="55"/>
  <c r="I228" i="55"/>
  <c r="I278" i="55"/>
  <c r="I268" i="55"/>
  <c r="I203" i="55"/>
  <c r="I187" i="55"/>
  <c r="I42" i="55"/>
  <c r="I29" i="55"/>
  <c r="I22" i="55"/>
  <c r="I206" i="55"/>
  <c r="I193" i="55"/>
  <c r="I98" i="55"/>
  <c r="I146" i="55"/>
  <c r="I246" i="55"/>
  <c r="I88" i="55"/>
  <c r="I49" i="55"/>
  <c r="I122" i="55"/>
  <c r="I103" i="55"/>
  <c r="I190" i="55"/>
  <c r="I161" i="55"/>
  <c r="I93" i="55"/>
  <c r="I140" i="55"/>
  <c r="I145" i="55"/>
  <c r="I132" i="55"/>
  <c r="I120" i="55"/>
  <c r="I160" i="55"/>
  <c r="I194" i="55"/>
  <c r="I222" i="55"/>
  <c r="I15" i="55"/>
  <c r="I67" i="55"/>
  <c r="I129" i="55"/>
  <c r="I199" i="55"/>
  <c r="I178" i="55"/>
  <c r="I205" i="55"/>
  <c r="I99" i="55"/>
  <c r="I124" i="55"/>
  <c r="I201" i="55"/>
  <c r="I108" i="55"/>
  <c r="I36" i="55"/>
  <c r="I134" i="55"/>
  <c r="I170" i="55"/>
  <c r="I11" i="55"/>
  <c r="I41" i="55"/>
  <c r="I78" i="55"/>
  <c r="I63" i="55"/>
  <c r="I279" i="55"/>
  <c r="I273" i="55"/>
  <c r="I57" i="55"/>
  <c r="I56" i="55"/>
  <c r="I54" i="55"/>
  <c r="I21" i="55"/>
  <c r="I172" i="55"/>
  <c r="I86" i="55"/>
  <c r="I72" i="55"/>
  <c r="I139" i="55"/>
  <c r="I39" i="55"/>
  <c r="I155" i="55"/>
  <c r="I82" i="55"/>
  <c r="I183" i="55"/>
  <c r="I138" i="55"/>
  <c r="I159" i="55"/>
  <c r="I198" i="55"/>
  <c r="I110" i="55"/>
  <c r="I60" i="55"/>
  <c r="I186" i="55"/>
  <c r="I95" i="55"/>
  <c r="I79" i="55"/>
  <c r="I243" i="55"/>
  <c r="I282" i="55"/>
  <c r="I66" i="55"/>
  <c r="I209" i="55"/>
  <c r="I2" i="55"/>
  <c r="I38" i="55"/>
  <c r="I257" i="55"/>
  <c r="I52" i="55"/>
  <c r="I77" i="55"/>
  <c r="I219" i="55"/>
  <c r="I143" i="55"/>
  <c r="I189" i="55"/>
  <c r="I179" i="55"/>
  <c r="I50" i="55"/>
  <c r="I171" i="55"/>
  <c r="I237" i="55"/>
  <c r="I196" i="55"/>
  <c r="I118" i="55"/>
  <c r="I121" i="55"/>
  <c r="I133" i="55"/>
  <c r="I202" i="55"/>
  <c r="I80" i="55"/>
  <c r="I272" i="55"/>
  <c r="I253" i="55"/>
  <c r="I263" i="55"/>
  <c r="I252" i="55"/>
  <c r="I238" i="55"/>
  <c r="I53" i="55"/>
  <c r="I255" i="55"/>
  <c r="I31" i="55"/>
  <c r="I151" i="55"/>
  <c r="I231" i="55"/>
  <c r="J15" i="8" l="1"/>
  <c r="V38" i="55"/>
  <c r="V81" i="55"/>
  <c r="V261" i="55"/>
  <c r="V208" i="55"/>
  <c r="V148" i="55"/>
  <c r="V223" i="55"/>
  <c r="V191" i="55"/>
  <c r="V12" i="55"/>
  <c r="V122" i="55"/>
  <c r="V7" i="55"/>
  <c r="V184" i="55"/>
  <c r="V207" i="55"/>
  <c r="V75" i="55"/>
  <c r="V137" i="55"/>
  <c r="V9" i="55"/>
  <c r="V80" i="55"/>
  <c r="V163" i="55"/>
  <c r="V82" i="55"/>
  <c r="V18" i="55"/>
  <c r="V5" i="55"/>
  <c r="V275" i="55"/>
  <c r="V252" i="55"/>
  <c r="V231" i="55"/>
  <c r="V125" i="55"/>
  <c r="V83" i="55"/>
  <c r="V220" i="55"/>
  <c r="V218" i="55"/>
  <c r="V139" i="55"/>
  <c r="V85" i="55"/>
  <c r="V123" i="55"/>
  <c r="V3" i="55"/>
  <c r="V258" i="55"/>
  <c r="V145" i="55"/>
  <c r="V129" i="55"/>
  <c r="V87" i="55"/>
  <c r="V116" i="55"/>
  <c r="V199" i="55"/>
  <c r="V136" i="55"/>
  <c r="V152" i="55"/>
  <c r="V59" i="55"/>
  <c r="V29" i="55"/>
  <c r="V259" i="55"/>
  <c r="V245" i="55"/>
  <c r="V219" i="55"/>
  <c r="V249" i="55"/>
  <c r="V112" i="55"/>
  <c r="V92" i="55"/>
  <c r="V193" i="55"/>
  <c r="V166" i="55"/>
  <c r="V206" i="55"/>
  <c r="V89" i="55"/>
  <c r="V42" i="55"/>
  <c r="V239" i="55"/>
  <c r="V204" i="55"/>
  <c r="V203" i="55"/>
  <c r="V267" i="55"/>
  <c r="V143" i="55"/>
  <c r="V225" i="55"/>
  <c r="V132" i="55"/>
  <c r="V90" i="55"/>
  <c r="V57" i="55"/>
  <c r="V64" i="55"/>
  <c r="V187" i="55"/>
  <c r="V272" i="55"/>
  <c r="V257" i="55"/>
  <c r="V276" i="55"/>
  <c r="V76" i="55"/>
  <c r="V165" i="55"/>
  <c r="V186" i="55"/>
  <c r="V63" i="55"/>
  <c r="V117" i="55"/>
  <c r="V150" i="55"/>
  <c r="V22" i="55"/>
  <c r="V247" i="55"/>
  <c r="V172" i="55"/>
  <c r="V200" i="55"/>
  <c r="V232" i="55"/>
  <c r="V108" i="55"/>
  <c r="V141" i="55"/>
  <c r="V159" i="55"/>
  <c r="V11" i="55"/>
  <c r="V37" i="55"/>
  <c r="V51" i="55"/>
  <c r="V213" i="55"/>
  <c r="V153" i="55"/>
  <c r="V254" i="55"/>
  <c r="V246" i="55"/>
  <c r="V140" i="55"/>
  <c r="V111" i="55"/>
  <c r="V49" i="55"/>
  <c r="V28" i="55"/>
  <c r="V104" i="55"/>
  <c r="V60" i="55"/>
  <c r="V86" i="55"/>
  <c r="V256" i="55"/>
  <c r="V61" i="55"/>
  <c r="V241" i="55"/>
  <c r="V227" i="55"/>
  <c r="V135" i="55"/>
  <c r="V198" i="55"/>
  <c r="V20" i="55"/>
  <c r="V107" i="55"/>
  <c r="V102" i="55"/>
  <c r="V16" i="55"/>
  <c r="V251" i="55"/>
  <c r="V242" i="55"/>
  <c r="V24" i="55"/>
  <c r="V188" i="55"/>
  <c r="V167" i="55"/>
  <c r="V138" i="55"/>
  <c r="V79" i="55"/>
  <c r="V23" i="55"/>
  <c r="V158" i="55"/>
  <c r="V47" i="55"/>
  <c r="V14" i="55"/>
  <c r="V226" i="55"/>
  <c r="V119" i="55"/>
  <c r="V268" i="55"/>
  <c r="V224" i="55"/>
  <c r="V162" i="55"/>
  <c r="V126" i="55"/>
  <c r="V131" i="55"/>
  <c r="V134" i="55"/>
  <c r="V170" i="55"/>
  <c r="V21" i="55"/>
  <c r="V177" i="55"/>
  <c r="V109" i="55"/>
  <c r="V97" i="55"/>
  <c r="V146" i="55"/>
  <c r="V195" i="55"/>
  <c r="V222" i="55"/>
  <c r="V106" i="55"/>
  <c r="V100" i="55"/>
  <c r="V128" i="55"/>
  <c r="V33" i="55"/>
  <c r="V78" i="55"/>
  <c r="V41" i="55"/>
  <c r="V93" i="55"/>
  <c r="V270" i="55"/>
  <c r="V265" i="55"/>
  <c r="V88" i="55"/>
  <c r="V271" i="55"/>
  <c r="V66" i="55"/>
  <c r="V44" i="55"/>
  <c r="V164" i="55"/>
  <c r="V58" i="55"/>
  <c r="V157" i="55"/>
  <c r="V194" i="55"/>
  <c r="V197" i="55"/>
  <c r="V201" i="55"/>
  <c r="V209" i="55"/>
  <c r="V196" i="55"/>
  <c r="V190" i="55"/>
  <c r="V127" i="55"/>
  <c r="V155" i="55"/>
  <c r="V96" i="55"/>
  <c r="V6" i="55"/>
  <c r="V179" i="55"/>
  <c r="V215" i="55"/>
  <c r="V205" i="55"/>
  <c r="V262" i="55"/>
  <c r="V217" i="55"/>
  <c r="V279" i="55"/>
  <c r="V4" i="55"/>
  <c r="V17" i="55"/>
  <c r="V174" i="55"/>
  <c r="V8" i="55"/>
  <c r="V183" i="55"/>
  <c r="V212" i="55"/>
  <c r="V248" i="55"/>
  <c r="V277" i="55"/>
  <c r="V192" i="55"/>
  <c r="V210" i="55"/>
  <c r="V27" i="55"/>
  <c r="V154" i="55"/>
  <c r="V26" i="55"/>
  <c r="V115" i="55"/>
  <c r="V56" i="55"/>
  <c r="V282" i="55"/>
  <c r="V169" i="55"/>
  <c r="V216" i="55"/>
  <c r="V173" i="55"/>
  <c r="V283" i="55"/>
  <c r="V237" i="55"/>
  <c r="V36" i="55"/>
  <c r="V34" i="55"/>
  <c r="V69" i="55"/>
  <c r="V39" i="55"/>
  <c r="V229" i="55"/>
  <c r="V151" i="55"/>
  <c r="V281" i="55"/>
  <c r="V171" i="55"/>
  <c r="V233" i="55"/>
  <c r="V133" i="55"/>
  <c r="V40" i="55"/>
  <c r="V68" i="55"/>
  <c r="V30" i="55"/>
  <c r="V142" i="55"/>
  <c r="V43" i="55"/>
  <c r="V176" i="55"/>
  <c r="V240" i="55"/>
  <c r="V113" i="55"/>
  <c r="V156" i="55"/>
  <c r="V269" i="55"/>
  <c r="V161" i="55"/>
  <c r="V118" i="55"/>
  <c r="V202" i="55"/>
  <c r="V65" i="55"/>
  <c r="V35" i="55"/>
  <c r="V235" i="55"/>
  <c r="V185" i="55"/>
  <c r="V175" i="55"/>
  <c r="V274" i="55"/>
  <c r="V260" i="55"/>
  <c r="V103" i="55"/>
  <c r="V178" i="55"/>
  <c r="V160" i="55"/>
  <c r="V53" i="55"/>
  <c r="V52" i="55"/>
  <c r="V13" i="55"/>
  <c r="V181" i="55"/>
  <c r="V273" i="55"/>
  <c r="V124" i="55"/>
  <c r="V94" i="55"/>
  <c r="V266" i="55"/>
  <c r="V264" i="55"/>
  <c r="V54" i="55"/>
  <c r="V101" i="55"/>
  <c r="V45" i="55"/>
  <c r="V70" i="55"/>
  <c r="V284" i="55"/>
  <c r="V253" i="55"/>
  <c r="V278" i="55"/>
  <c r="V221" i="55"/>
  <c r="V105" i="55"/>
  <c r="V130" i="55"/>
  <c r="V71" i="55"/>
  <c r="V98" i="55"/>
  <c r="V91" i="55"/>
  <c r="V32" i="55"/>
  <c r="V50" i="55"/>
  <c r="V244" i="55"/>
  <c r="V238" i="55"/>
  <c r="V243" i="55"/>
  <c r="V62" i="55"/>
  <c r="V189" i="55"/>
  <c r="V121" i="55"/>
  <c r="V110" i="55"/>
  <c r="V95" i="55"/>
  <c r="V144" i="55"/>
  <c r="V67" i="55"/>
  <c r="V255" i="55"/>
  <c r="V280" i="55"/>
  <c r="V74" i="55"/>
  <c r="V168" i="55"/>
  <c r="V230" i="55"/>
  <c r="V214" i="55"/>
  <c r="V182" i="55"/>
  <c r="V19" i="55"/>
  <c r="V120" i="55"/>
  <c r="V25" i="55"/>
  <c r="V31" i="55"/>
  <c r="V180" i="55"/>
  <c r="V114" i="55"/>
  <c r="V211" i="55"/>
  <c r="V84" i="55"/>
  <c r="V228" i="55"/>
  <c r="V234" i="55"/>
  <c r="V46" i="55"/>
  <c r="V77" i="55"/>
  <c r="V55" i="55"/>
  <c r="V15" i="55"/>
  <c r="V263" i="55"/>
  <c r="V250" i="55"/>
  <c r="V73" i="55"/>
  <c r="V236" i="55"/>
  <c r="V99" i="55"/>
  <c r="V149" i="55"/>
  <c r="V72" i="55"/>
  <c r="V48" i="55"/>
  <c r="V147" i="55"/>
  <c r="V10" i="55"/>
  <c r="V2" i="55"/>
  <c r="L225" i="5"/>
  <c r="AF21" i="5"/>
  <c r="L295" i="5"/>
  <c r="L224" i="5"/>
  <c r="AH7" i="5"/>
  <c r="L294" i="5"/>
  <c r="O454" i="5"/>
  <c r="Q453" i="5"/>
  <c r="M453" i="5"/>
  <c r="P451" i="5"/>
  <c r="O450" i="5"/>
  <c r="M450" i="5"/>
  <c r="P454" i="5"/>
  <c r="O451" i="5"/>
  <c r="R454" i="5"/>
  <c r="N454" i="5"/>
  <c r="P453" i="5"/>
  <c r="M451" i="5"/>
  <c r="Q451" i="5"/>
  <c r="P450" i="5"/>
  <c r="R453" i="5"/>
  <c r="N450" i="5"/>
  <c r="Q454" i="5"/>
  <c r="M454" i="5"/>
  <c r="O453" i="5"/>
  <c r="N451" i="5"/>
  <c r="R451" i="5"/>
  <c r="Q450" i="5"/>
  <c r="N453" i="5"/>
  <c r="R450" i="5"/>
  <c r="I15" i="8"/>
  <c r="M15" i="8"/>
  <c r="K15" i="8"/>
  <c r="L227" i="5"/>
  <c r="L15" i="8"/>
  <c r="N17" i="8"/>
  <c r="N7" i="8" s="1"/>
  <c r="L359" i="5"/>
  <c r="L361" i="5"/>
  <c r="L362" i="5"/>
  <c r="L358" i="5"/>
  <c r="L292" i="5"/>
  <c r="L291" i="5"/>
  <c r="L228" i="5"/>
  <c r="AH10" i="5"/>
  <c r="AG6" i="5"/>
  <c r="AF7" i="5"/>
  <c r="AG10" i="5"/>
  <c r="AF11" i="5"/>
  <c r="AG14" i="5"/>
  <c r="AF15" i="5"/>
  <c r="AG18" i="5"/>
  <c r="AF20" i="5"/>
  <c r="AG22" i="5"/>
  <c r="AG23" i="5"/>
  <c r="AF24" i="5"/>
  <c r="AG26" i="5"/>
  <c r="AG27" i="5"/>
  <c r="AF28" i="5"/>
  <c r="AG30" i="5"/>
  <c r="AG31" i="5"/>
  <c r="AF32" i="5"/>
  <c r="AG35" i="5"/>
  <c r="AG36" i="5"/>
  <c r="AF37" i="5"/>
  <c r="AG39" i="5"/>
  <c r="AG40" i="5"/>
  <c r="AF41" i="5"/>
  <c r="AG43" i="5"/>
  <c r="AG44" i="5"/>
  <c r="AF45" i="5"/>
  <c r="AG48" i="5"/>
  <c r="AG49" i="5"/>
  <c r="AF50" i="5"/>
  <c r="AG52" i="5"/>
  <c r="AG53" i="5"/>
  <c r="AF54" i="5"/>
  <c r="AG56" i="5"/>
  <c r="AG57" i="5"/>
  <c r="AF58" i="5"/>
  <c r="AG60" i="5"/>
  <c r="AG62" i="5"/>
  <c r="AF63" i="5"/>
  <c r="AK63" i="5" s="1"/>
  <c r="AG65" i="5"/>
  <c r="AG66" i="5"/>
  <c r="AF67" i="5"/>
  <c r="AG69" i="5"/>
  <c r="AG70" i="5"/>
  <c r="AF71" i="5"/>
  <c r="AG73" i="5"/>
  <c r="AG74" i="5"/>
  <c r="AF76" i="5"/>
  <c r="AG78" i="5"/>
  <c r="AG79" i="5"/>
  <c r="AF80" i="5"/>
  <c r="AG83" i="5"/>
  <c r="AF84" i="5"/>
  <c r="AG87" i="5"/>
  <c r="AF88" i="5"/>
  <c r="AG91" i="5"/>
  <c r="AG92" i="5"/>
  <c r="AF93" i="5"/>
  <c r="AG95" i="5"/>
  <c r="AG96" i="5"/>
  <c r="AF97" i="5"/>
  <c r="AG100" i="5"/>
  <c r="AF101" i="5"/>
  <c r="AG7" i="5"/>
  <c r="AF8" i="5"/>
  <c r="AG11" i="5"/>
  <c r="AF12" i="5"/>
  <c r="AG15" i="5"/>
  <c r="AF16" i="5"/>
  <c r="AG20" i="5"/>
  <c r="AG24" i="5"/>
  <c r="AG28" i="5"/>
  <c r="AG32" i="5"/>
  <c r="AG37" i="5"/>
  <c r="AG41" i="5"/>
  <c r="AG45" i="5"/>
  <c r="AG50" i="5"/>
  <c r="AG54" i="5"/>
  <c r="AG58" i="5"/>
  <c r="AG63" i="5"/>
  <c r="AG67" i="5"/>
  <c r="AG71" i="5"/>
  <c r="AG76" i="5"/>
  <c r="AG80" i="5"/>
  <c r="AF81" i="5"/>
  <c r="AG84" i="5"/>
  <c r="AF85" i="5"/>
  <c r="AG88" i="5"/>
  <c r="AF90" i="5"/>
  <c r="AG93" i="5"/>
  <c r="AG97" i="5"/>
  <c r="AF98" i="5"/>
  <c r="AG101" i="5"/>
  <c r="AF102" i="5"/>
  <c r="AG8" i="5"/>
  <c r="AF9" i="5"/>
  <c r="AG12" i="5"/>
  <c r="AF13" i="5"/>
  <c r="AG16" i="5"/>
  <c r="AF17" i="5"/>
  <c r="AG21" i="5"/>
  <c r="AF22" i="5"/>
  <c r="AF25" i="5"/>
  <c r="AG25" i="5"/>
  <c r="AF26" i="5"/>
  <c r="AF29" i="5"/>
  <c r="AG29" i="5"/>
  <c r="AF30" i="5"/>
  <c r="AF34" i="5"/>
  <c r="AG34" i="5"/>
  <c r="AF35" i="5"/>
  <c r="AF38" i="5"/>
  <c r="AG38" i="5"/>
  <c r="AF39" i="5"/>
  <c r="AF42" i="5"/>
  <c r="AG42" i="5"/>
  <c r="AF43" i="5"/>
  <c r="AF46" i="5"/>
  <c r="AG46" i="5"/>
  <c r="AF48" i="5"/>
  <c r="AF51" i="5"/>
  <c r="AG51" i="5"/>
  <c r="AF52" i="5"/>
  <c r="AF55" i="5"/>
  <c r="AG55" i="5"/>
  <c r="AF56" i="5"/>
  <c r="AF59" i="5"/>
  <c r="AG59" i="5"/>
  <c r="AF60" i="5"/>
  <c r="AF64" i="5"/>
  <c r="AG64" i="5"/>
  <c r="AF65" i="5"/>
  <c r="AF68" i="5"/>
  <c r="AG68" i="5"/>
  <c r="AF69" i="5"/>
  <c r="AF72" i="5"/>
  <c r="AG72" i="5"/>
  <c r="AF73" i="5"/>
  <c r="AF77" i="5"/>
  <c r="AG77" i="5"/>
  <c r="AF78" i="5"/>
  <c r="AG81" i="5"/>
  <c r="AF82" i="5"/>
  <c r="AG85" i="5"/>
  <c r="AF86" i="5"/>
  <c r="AG90" i="5"/>
  <c r="AF91" i="5"/>
  <c r="AF94" i="5"/>
  <c r="AG94" i="5"/>
  <c r="AF95" i="5"/>
  <c r="AG98" i="5"/>
  <c r="AF99" i="5"/>
  <c r="AG102" i="5"/>
  <c r="AF6" i="5"/>
  <c r="AG9" i="5"/>
  <c r="AF10" i="5"/>
  <c r="AG13" i="5"/>
  <c r="AF14" i="5"/>
  <c r="AG17" i="5"/>
  <c r="AF18" i="5"/>
  <c r="AF23" i="5"/>
  <c r="AF27" i="5"/>
  <c r="AF31" i="5"/>
  <c r="AF36" i="5"/>
  <c r="AF40" i="5"/>
  <c r="AF44" i="5"/>
  <c r="AF49" i="5"/>
  <c r="AF53" i="5"/>
  <c r="AF57" i="5"/>
  <c r="AF62" i="5"/>
  <c r="AF66" i="5"/>
  <c r="AF70" i="5"/>
  <c r="AF74" i="5"/>
  <c r="AF79" i="5"/>
  <c r="AG82" i="5"/>
  <c r="AF83" i="5"/>
  <c r="AG86" i="5"/>
  <c r="AF87" i="5"/>
  <c r="AF92" i="5"/>
  <c r="AF96" i="5"/>
  <c r="AG99" i="5"/>
  <c r="AF100" i="5"/>
  <c r="AH6" i="5"/>
  <c r="AK7" i="5"/>
  <c r="AH8" i="5"/>
  <c r="AH9" i="5"/>
  <c r="AH11" i="5"/>
  <c r="AH12" i="5"/>
  <c r="AH13" i="5"/>
  <c r="AH14" i="5"/>
  <c r="AH15" i="5"/>
  <c r="AH16" i="5"/>
  <c r="AH17" i="5"/>
  <c r="AH18" i="5"/>
  <c r="N15" i="8" l="1"/>
  <c r="O7" i="8"/>
  <c r="N9" i="8"/>
  <c r="N11" i="8" s="1"/>
  <c r="N16" i="8"/>
  <c r="N6" i="8" s="1"/>
  <c r="AK64" i="5"/>
  <c r="M438" i="5"/>
  <c r="L296" i="5"/>
  <c r="L302" i="5" s="1"/>
  <c r="AL7" i="5"/>
  <c r="L229" i="5"/>
  <c r="L235" i="5" s="1"/>
  <c r="L360" i="5"/>
  <c r="L368" i="5" s="1"/>
  <c r="L293" i="5"/>
  <c r="L301" i="5" s="1"/>
  <c r="L363" i="5"/>
  <c r="L226" i="5"/>
  <c r="AK16" i="5"/>
  <c r="AL16" i="5" s="1"/>
  <c r="AM16" i="5" s="1"/>
  <c r="AN16" i="5" s="1"/>
  <c r="AO16" i="5" s="1"/>
  <c r="AP16" i="5" s="1"/>
  <c r="AK12" i="5"/>
  <c r="AK70" i="5"/>
  <c r="AL70" i="5" s="1"/>
  <c r="AM70" i="5" s="1"/>
  <c r="AN70" i="5" s="1"/>
  <c r="AO70" i="5" s="1"/>
  <c r="AP70" i="5" s="1"/>
  <c r="AK65" i="5"/>
  <c r="AL65" i="5" s="1"/>
  <c r="AM65" i="5" s="1"/>
  <c r="AN65" i="5" s="1"/>
  <c r="AO65" i="5" s="1"/>
  <c r="AP65" i="5" s="1"/>
  <c r="AK55" i="5"/>
  <c r="AL55" i="5" s="1"/>
  <c r="AK30" i="5"/>
  <c r="AL30" i="5" s="1"/>
  <c r="AK21" i="5"/>
  <c r="AL21" i="5" s="1"/>
  <c r="AK54" i="5"/>
  <c r="AK49" i="5"/>
  <c r="AK77" i="5" s="1"/>
  <c r="AK31" i="5"/>
  <c r="AL31" i="5" s="1"/>
  <c r="AM31" i="5" s="1"/>
  <c r="AN31" i="5" s="1"/>
  <c r="AO31" i="5" s="1"/>
  <c r="AP31" i="5" s="1"/>
  <c r="AK59" i="5"/>
  <c r="AL59" i="5" s="1"/>
  <c r="AM59" i="5" s="1"/>
  <c r="AN59" i="5" s="1"/>
  <c r="AO59" i="5" s="1"/>
  <c r="AP59" i="5" s="1"/>
  <c r="AK58" i="5"/>
  <c r="AL58" i="5" s="1"/>
  <c r="AK14" i="5"/>
  <c r="AL14" i="5" s="1"/>
  <c r="AM14" i="5" s="1"/>
  <c r="AN14" i="5" s="1"/>
  <c r="AO14" i="5" s="1"/>
  <c r="AP14" i="5" s="1"/>
  <c r="AK9" i="5"/>
  <c r="AL9" i="5" s="1"/>
  <c r="AK27" i="5"/>
  <c r="AL27" i="5" s="1"/>
  <c r="AK73" i="5"/>
  <c r="AL73" i="5" s="1"/>
  <c r="AM73" i="5" s="1"/>
  <c r="AN73" i="5" s="1"/>
  <c r="AO73" i="5" s="1"/>
  <c r="AP73" i="5" s="1"/>
  <c r="AK22" i="5"/>
  <c r="AL22" i="5" s="1"/>
  <c r="AK28" i="5"/>
  <c r="AL28" i="5" s="1"/>
  <c r="AM28" i="5" s="1"/>
  <c r="AN28" i="5" s="1"/>
  <c r="AO28" i="5" s="1"/>
  <c r="AP28" i="5" s="1"/>
  <c r="AK17" i="5"/>
  <c r="AL17" i="5" s="1"/>
  <c r="AM17" i="5" s="1"/>
  <c r="AN17" i="5" s="1"/>
  <c r="AO17" i="5" s="1"/>
  <c r="AP17" i="5" s="1"/>
  <c r="AK13" i="5"/>
  <c r="AL13" i="5" s="1"/>
  <c r="AK8" i="5"/>
  <c r="AL8" i="5" s="1"/>
  <c r="AK23" i="5"/>
  <c r="AL23" i="5" s="1"/>
  <c r="AM23" i="5" s="1"/>
  <c r="AN23" i="5" s="1"/>
  <c r="AO23" i="5" s="1"/>
  <c r="AP23" i="5" s="1"/>
  <c r="AK68" i="5"/>
  <c r="AK51" i="5"/>
  <c r="AL51" i="5" s="1"/>
  <c r="AM51" i="5" s="1"/>
  <c r="AN51" i="5" s="1"/>
  <c r="AO51" i="5" s="1"/>
  <c r="AP51" i="5" s="1"/>
  <c r="AK26" i="5"/>
  <c r="AK50" i="5"/>
  <c r="AL50" i="5" s="1"/>
  <c r="AL63" i="5"/>
  <c r="P7" i="8" l="1"/>
  <c r="O9" i="8"/>
  <c r="O11" i="8" s="1"/>
  <c r="N5" i="8"/>
  <c r="N8" i="8" s="1"/>
  <c r="O6" i="8"/>
  <c r="P8" i="27" s="1"/>
  <c r="AK29" i="5"/>
  <c r="AL54" i="5"/>
  <c r="M436" i="5"/>
  <c r="AL49" i="5"/>
  <c r="AL48" i="5" s="1"/>
  <c r="M435" i="5"/>
  <c r="M429" i="5"/>
  <c r="AL12" i="5"/>
  <c r="N427" i="5" s="1"/>
  <c r="M427" i="5"/>
  <c r="AL26" i="5"/>
  <c r="AL25" i="5" s="1"/>
  <c r="M430" i="5"/>
  <c r="M426" i="5"/>
  <c r="AM7" i="5"/>
  <c r="N426" i="5"/>
  <c r="AM27" i="5"/>
  <c r="AM50" i="5"/>
  <c r="AM8" i="5"/>
  <c r="AM22" i="5"/>
  <c r="AM55" i="5"/>
  <c r="AM13" i="5"/>
  <c r="L298" i="5"/>
  <c r="L369" i="5"/>
  <c r="L370" i="5" s="1"/>
  <c r="L365" i="5"/>
  <c r="L303" i="5"/>
  <c r="M291" i="5"/>
  <c r="L231" i="5"/>
  <c r="L234" i="5"/>
  <c r="L236" i="5" s="1"/>
  <c r="AK15" i="5"/>
  <c r="AK44" i="5"/>
  <c r="AK11" i="5"/>
  <c r="AK42" i="5"/>
  <c r="AK37" i="5"/>
  <c r="AK36" i="5"/>
  <c r="AK40" i="5"/>
  <c r="AK35" i="5"/>
  <c r="AK6" i="5"/>
  <c r="AK45" i="5"/>
  <c r="AK20" i="5"/>
  <c r="AK82" i="5"/>
  <c r="AK41" i="5"/>
  <c r="AK79" i="5"/>
  <c r="AK87" i="5"/>
  <c r="AK48" i="5"/>
  <c r="AK56" i="5"/>
  <c r="AK84" i="5" s="1"/>
  <c r="AK57" i="5"/>
  <c r="AL68" i="5"/>
  <c r="AL57" i="5"/>
  <c r="AM58" i="5"/>
  <c r="AN58" i="5" s="1"/>
  <c r="AM54" i="5"/>
  <c r="AL56" i="5"/>
  <c r="AL53" i="5" s="1"/>
  <c r="AM21" i="5"/>
  <c r="AL35" i="5"/>
  <c r="N224" i="5" s="1"/>
  <c r="AL20" i="5"/>
  <c r="AM9" i="5"/>
  <c r="AL37" i="5"/>
  <c r="AL29" i="5"/>
  <c r="AM30" i="5"/>
  <c r="AN30" i="5" s="1"/>
  <c r="AL11" i="5"/>
  <c r="AL15" i="5"/>
  <c r="AL44" i="5"/>
  <c r="AK25" i="5"/>
  <c r="AK24" i="5" s="1"/>
  <c r="AK69" i="5"/>
  <c r="M439" i="5" s="1"/>
  <c r="M440" i="5" s="1"/>
  <c r="AM63" i="5"/>
  <c r="AL64" i="5"/>
  <c r="N438" i="5" s="1"/>
  <c r="AL6" i="5"/>
  <c r="AL79" i="5"/>
  <c r="AL87" i="5"/>
  <c r="AL41" i="5"/>
  <c r="AL45" i="5"/>
  <c r="AL36" i="5"/>
  <c r="AL42" i="5"/>
  <c r="AM49" i="5" l="1"/>
  <c r="AL77" i="5"/>
  <c r="O5" i="8"/>
  <c r="O8" i="8" s="1"/>
  <c r="P6" i="8"/>
  <c r="Q8" i="27" s="1"/>
  <c r="Q7" i="8"/>
  <c r="P9" i="8"/>
  <c r="P11" i="8" s="1"/>
  <c r="N10" i="8"/>
  <c r="P81" i="17" s="1"/>
  <c r="P88" i="17" s="1"/>
  <c r="AK96" i="5"/>
  <c r="AM26" i="5"/>
  <c r="AL40" i="5"/>
  <c r="AL39" i="5" s="1"/>
  <c r="AM12" i="5"/>
  <c r="O427" i="5" s="1"/>
  <c r="AL10" i="5"/>
  <c r="AL18" i="5" s="1"/>
  <c r="N528" i="5" s="1"/>
  <c r="O435" i="5"/>
  <c r="O430" i="5"/>
  <c r="N466" i="5"/>
  <c r="N476" i="5"/>
  <c r="N486" i="5"/>
  <c r="S222" i="17" s="1"/>
  <c r="N496" i="5"/>
  <c r="S221" i="17" s="1"/>
  <c r="M442" i="5"/>
  <c r="M441" i="5"/>
  <c r="M437" i="5"/>
  <c r="N435" i="5"/>
  <c r="O436" i="5"/>
  <c r="N436" i="5"/>
  <c r="AN7" i="5"/>
  <c r="O426" i="5"/>
  <c r="M433" i="5"/>
  <c r="M445" i="5" s="1"/>
  <c r="M432" i="5"/>
  <c r="M428" i="5"/>
  <c r="M431" i="5"/>
  <c r="O429" i="5"/>
  <c r="N428" i="5"/>
  <c r="N430" i="5"/>
  <c r="N433" i="5" s="1"/>
  <c r="N429" i="5"/>
  <c r="AM25" i="5"/>
  <c r="AM56" i="5"/>
  <c r="AM84" i="5" s="1"/>
  <c r="AN13" i="5"/>
  <c r="AN55" i="5"/>
  <c r="AN22" i="5"/>
  <c r="AL78" i="5"/>
  <c r="AL92" i="5" s="1"/>
  <c r="AN50" i="5"/>
  <c r="AM48" i="5"/>
  <c r="N291" i="5"/>
  <c r="AL82" i="5"/>
  <c r="AN8" i="5"/>
  <c r="AN27" i="5"/>
  <c r="N225" i="5"/>
  <c r="AK10" i="5"/>
  <c r="AK18" i="5" s="1"/>
  <c r="M528" i="5" s="1"/>
  <c r="AK43" i="5"/>
  <c r="AM44" i="5"/>
  <c r="AK91" i="5"/>
  <c r="M358" i="5" s="1"/>
  <c r="M224" i="5"/>
  <c r="AK93" i="5"/>
  <c r="AK53" i="5"/>
  <c r="AK32" i="5"/>
  <c r="M529" i="5" s="1"/>
  <c r="M542" i="5" s="1"/>
  <c r="M564" i="5" s="1"/>
  <c r="AL93" i="5"/>
  <c r="AM35" i="5"/>
  <c r="AK34" i="5"/>
  <c r="AK98" i="5"/>
  <c r="AL52" i="5"/>
  <c r="AL60" i="5" s="1"/>
  <c r="N531" i="5" s="1"/>
  <c r="AK39" i="5"/>
  <c r="AL69" i="5"/>
  <c r="N439" i="5" s="1"/>
  <c r="N470" i="5" s="1"/>
  <c r="AM68" i="5"/>
  <c r="AL91" i="5"/>
  <c r="AM57" i="5"/>
  <c r="AN49" i="5"/>
  <c r="AK101" i="5"/>
  <c r="AM29" i="5"/>
  <c r="AM15" i="5"/>
  <c r="AN26" i="5"/>
  <c r="AL24" i="5"/>
  <c r="AL32" i="5" s="1"/>
  <c r="N529" i="5" s="1"/>
  <c r="N542" i="5" s="1"/>
  <c r="N564" i="5" s="1"/>
  <c r="AN54" i="5"/>
  <c r="AL84" i="5"/>
  <c r="AL98" i="5" s="1"/>
  <c r="AN9" i="5"/>
  <c r="AM37" i="5"/>
  <c r="AK83" i="5"/>
  <c r="M295" i="5" s="1"/>
  <c r="AK67" i="5"/>
  <c r="AM20" i="5"/>
  <c r="AN21" i="5"/>
  <c r="AL62" i="5"/>
  <c r="AN63" i="5"/>
  <c r="AM64" i="5"/>
  <c r="O438" i="5" s="1"/>
  <c r="AM77" i="5"/>
  <c r="AO58" i="5"/>
  <c r="AN57" i="5"/>
  <c r="AO30" i="5"/>
  <c r="AN29" i="5"/>
  <c r="AM6" i="5"/>
  <c r="AL101" i="5"/>
  <c r="AM42" i="5"/>
  <c r="AM87" i="5"/>
  <c r="AL34" i="5"/>
  <c r="AM79" i="5"/>
  <c r="AM36" i="5"/>
  <c r="AM45" i="5"/>
  <c r="AM41" i="5"/>
  <c r="AL43" i="5"/>
  <c r="P9" i="27" l="1"/>
  <c r="AM40" i="5"/>
  <c r="AN12" i="5"/>
  <c r="AN11" i="5" s="1"/>
  <c r="AM11" i="5"/>
  <c r="P5" i="8"/>
  <c r="P8" i="8" s="1"/>
  <c r="Q6" i="8"/>
  <c r="R8" i="27" s="1"/>
  <c r="O433" i="5"/>
  <c r="O10" i="8"/>
  <c r="Q81" i="17" s="1"/>
  <c r="Q88" i="17" s="1"/>
  <c r="O467" i="5"/>
  <c r="R7" i="8"/>
  <c r="Q9" i="8"/>
  <c r="Q11" i="8" s="1"/>
  <c r="S290" i="17"/>
  <c r="S292" i="17" s="1"/>
  <c r="S130" i="17"/>
  <c r="N516" i="5"/>
  <c r="T254" i="17"/>
  <c r="T256" i="17" s="1"/>
  <c r="AE261" i="17" s="1"/>
  <c r="AE271" i="17" s="1"/>
  <c r="AE280" i="17" s="1"/>
  <c r="S131" i="17"/>
  <c r="N506" i="5"/>
  <c r="P16" i="27" s="1"/>
  <c r="AB16" i="27" s="1"/>
  <c r="P436" i="5"/>
  <c r="N544" i="5"/>
  <c r="N557" i="5" s="1"/>
  <c r="N541" i="5"/>
  <c r="N554" i="5" s="1"/>
  <c r="N530" i="5"/>
  <c r="N543" i="5" s="1"/>
  <c r="O499" i="5"/>
  <c r="T238" i="17" s="1"/>
  <c r="M541" i="5"/>
  <c r="M554" i="5" s="1"/>
  <c r="M530" i="5"/>
  <c r="M543" i="5" s="1"/>
  <c r="AL76" i="5"/>
  <c r="AK52" i="5"/>
  <c r="AK60" i="5" s="1"/>
  <c r="M531" i="5" s="1"/>
  <c r="AM24" i="5"/>
  <c r="AM32" i="5" s="1"/>
  <c r="O529" i="5" s="1"/>
  <c r="O542" i="5" s="1"/>
  <c r="O564" i="5" s="1"/>
  <c r="AK72" i="5"/>
  <c r="S228" i="17"/>
  <c r="S233" i="17" s="1"/>
  <c r="N479" i="5"/>
  <c r="N499" i="5"/>
  <c r="S238" i="17" s="1"/>
  <c r="N469" i="5"/>
  <c r="N467" i="5"/>
  <c r="N468" i="5" s="1"/>
  <c r="N498" i="5"/>
  <c r="O496" i="5"/>
  <c r="T221" i="17" s="1"/>
  <c r="O476" i="5"/>
  <c r="O479" i="5"/>
  <c r="O466" i="5"/>
  <c r="N489" i="5"/>
  <c r="S239" i="17" s="1"/>
  <c r="N471" i="5"/>
  <c r="N487" i="5"/>
  <c r="N488" i="5" s="1"/>
  <c r="O469" i="5"/>
  <c r="O441" i="5"/>
  <c r="N490" i="5"/>
  <c r="N510" i="5" s="1"/>
  <c r="N440" i="5"/>
  <c r="AN68" i="5"/>
  <c r="AO68" i="5" s="1"/>
  <c r="N442" i="5"/>
  <c r="N445" i="5" s="1"/>
  <c r="P435" i="5"/>
  <c r="O486" i="5"/>
  <c r="T222" i="17" s="1"/>
  <c r="O431" i="5"/>
  <c r="O487" i="5"/>
  <c r="O489" i="5"/>
  <c r="T239" i="17" s="1"/>
  <c r="O437" i="5"/>
  <c r="N437" i="5"/>
  <c r="N441" i="5"/>
  <c r="M443" i="5"/>
  <c r="M444" i="5"/>
  <c r="M446" i="5" s="1"/>
  <c r="AM98" i="5"/>
  <c r="AM53" i="5"/>
  <c r="P430" i="5"/>
  <c r="AL96" i="5"/>
  <c r="P427" i="5"/>
  <c r="P429" i="5"/>
  <c r="O428" i="5"/>
  <c r="O432" i="5"/>
  <c r="O434" i="5" s="1"/>
  <c r="N431" i="5"/>
  <c r="N432" i="5"/>
  <c r="N434" i="5" s="1"/>
  <c r="M434" i="5"/>
  <c r="AO7" i="5"/>
  <c r="P426" i="5"/>
  <c r="AO50" i="5"/>
  <c r="N292" i="5"/>
  <c r="N293" i="5" s="1"/>
  <c r="AO22" i="5"/>
  <c r="AO13" i="5"/>
  <c r="AM78" i="5"/>
  <c r="O292" i="5" s="1"/>
  <c r="N358" i="5"/>
  <c r="AN56" i="5"/>
  <c r="AN84" i="5" s="1"/>
  <c r="AN40" i="5"/>
  <c r="AO49" i="5"/>
  <c r="AO48" i="5" s="1"/>
  <c r="AM69" i="5"/>
  <c r="AM83" i="5" s="1"/>
  <c r="O291" i="5"/>
  <c r="N359" i="5"/>
  <c r="AL83" i="5"/>
  <c r="N295" i="5" s="1"/>
  <c r="AO55" i="5"/>
  <c r="AO27" i="5"/>
  <c r="AO8" i="5"/>
  <c r="AO12" i="5"/>
  <c r="N226" i="5"/>
  <c r="M228" i="5"/>
  <c r="O224" i="5"/>
  <c r="N228" i="5"/>
  <c r="AK38" i="5"/>
  <c r="AK46" i="5" s="1"/>
  <c r="N238" i="5"/>
  <c r="N249" i="5" s="1"/>
  <c r="O227" i="5"/>
  <c r="AM52" i="5"/>
  <c r="AM60" i="5" s="1"/>
  <c r="O531" i="5" s="1"/>
  <c r="O225" i="5"/>
  <c r="AM82" i="5"/>
  <c r="AL67" i="5"/>
  <c r="AO54" i="5"/>
  <c r="Q436" i="5" s="1"/>
  <c r="AM10" i="5"/>
  <c r="AM18" i="5" s="1"/>
  <c r="O528" i="5" s="1"/>
  <c r="AM91" i="5"/>
  <c r="AO26" i="5"/>
  <c r="AN48" i="5"/>
  <c r="AL90" i="5"/>
  <c r="AN25" i="5"/>
  <c r="AN24" i="5" s="1"/>
  <c r="AN77" i="5"/>
  <c r="AM93" i="5"/>
  <c r="AN15" i="5"/>
  <c r="AN44" i="5"/>
  <c r="AN35" i="5"/>
  <c r="AK81" i="5"/>
  <c r="AK97" i="5"/>
  <c r="AN20" i="5"/>
  <c r="AO21" i="5"/>
  <c r="AK71" i="5"/>
  <c r="AK66" i="5" s="1"/>
  <c r="AK86" i="5"/>
  <c r="AO9" i="5"/>
  <c r="AN37" i="5"/>
  <c r="AM62" i="5"/>
  <c r="AO63" i="5"/>
  <c r="AN64" i="5"/>
  <c r="P438" i="5" s="1"/>
  <c r="AM101" i="5"/>
  <c r="AP58" i="5"/>
  <c r="AP57" i="5" s="1"/>
  <c r="AO57" i="5"/>
  <c r="AO29" i="5"/>
  <c r="AP30" i="5"/>
  <c r="AP29" i="5" s="1"/>
  <c r="AO15" i="5"/>
  <c r="AP15" i="5"/>
  <c r="AN6" i="5"/>
  <c r="AM34" i="5"/>
  <c r="AL38" i="5"/>
  <c r="AL46" i="5" s="1"/>
  <c r="AM43" i="5"/>
  <c r="AM39" i="5"/>
  <c r="AN45" i="5"/>
  <c r="AO44" i="5"/>
  <c r="AN87" i="5"/>
  <c r="AN42" i="5"/>
  <c r="AN41" i="5"/>
  <c r="AN36" i="5"/>
  <c r="AN79" i="5"/>
  <c r="AN10" i="5" l="1"/>
  <c r="Q9" i="27"/>
  <c r="P17" i="27"/>
  <c r="AB17" i="27" s="1"/>
  <c r="B17" i="27" s="1"/>
  <c r="P15" i="27"/>
  <c r="AB15" i="27" s="1"/>
  <c r="S137" i="17"/>
  <c r="AD136" i="17"/>
  <c r="S136" i="17" s="1"/>
  <c r="S145" i="17"/>
  <c r="X145" i="17" s="1"/>
  <c r="AD142" i="17"/>
  <c r="S142" i="17" s="1"/>
  <c r="S300" i="17"/>
  <c r="X300" i="17" s="1"/>
  <c r="AD297" i="17"/>
  <c r="S141" i="17"/>
  <c r="S135" i="17"/>
  <c r="P10" i="8"/>
  <c r="R81" i="17" s="1"/>
  <c r="R88" i="17" s="1"/>
  <c r="N501" i="5"/>
  <c r="N502" i="5" s="1"/>
  <c r="O507" i="5"/>
  <c r="S7" i="8"/>
  <c r="R9" i="8"/>
  <c r="R11" i="8" s="1"/>
  <c r="R6" i="8"/>
  <c r="S8" i="27" s="1"/>
  <c r="Q5" i="8"/>
  <c r="Q8" i="8" s="1"/>
  <c r="AN69" i="5"/>
  <c r="P439" i="5" s="1"/>
  <c r="P442" i="5" s="1"/>
  <c r="Q430" i="5"/>
  <c r="AN98" i="5"/>
  <c r="AN82" i="5"/>
  <c r="AN96" i="5" s="1"/>
  <c r="S309" i="17"/>
  <c r="S318" i="17" s="1"/>
  <c r="M556" i="5"/>
  <c r="M565" i="5" s="1"/>
  <c r="M563" i="5"/>
  <c r="N556" i="5"/>
  <c r="N563" i="5"/>
  <c r="P86" i="17"/>
  <c r="N559" i="5"/>
  <c r="N566" i="5"/>
  <c r="S296" i="17"/>
  <c r="X296" i="17" s="1"/>
  <c r="S298" i="17"/>
  <c r="X299" i="17" s="1"/>
  <c r="O498" i="5"/>
  <c r="N508" i="5"/>
  <c r="O506" i="5"/>
  <c r="Q16" i="27" s="1"/>
  <c r="AC16" i="27" s="1"/>
  <c r="T262" i="17"/>
  <c r="Y262" i="17" s="1"/>
  <c r="T272" i="17" s="1"/>
  <c r="T281" i="17" s="1"/>
  <c r="T260" i="17"/>
  <c r="Y260" i="17" s="1"/>
  <c r="T173" i="17"/>
  <c r="O519" i="5"/>
  <c r="S143" i="17"/>
  <c r="X143" i="17" s="1"/>
  <c r="T264" i="17"/>
  <c r="Y264" i="17" s="1"/>
  <c r="T273" i="17" s="1"/>
  <c r="T282" i="17" s="1"/>
  <c r="B16" i="27"/>
  <c r="O501" i="5"/>
  <c r="S174" i="17"/>
  <c r="N509" i="5"/>
  <c r="T174" i="17"/>
  <c r="O509" i="5"/>
  <c r="T130" i="17"/>
  <c r="O516" i="5"/>
  <c r="S254" i="17"/>
  <c r="S256" i="17" s="1"/>
  <c r="AD261" i="17" s="1"/>
  <c r="AD271" i="17" s="1"/>
  <c r="AD280" i="17" s="1"/>
  <c r="N507" i="5"/>
  <c r="S173" i="17"/>
  <c r="N519" i="5"/>
  <c r="AM76" i="5"/>
  <c r="AP49" i="5"/>
  <c r="N491" i="5"/>
  <c r="N511" i="5" s="1"/>
  <c r="O544" i="5"/>
  <c r="O557" i="5" s="1"/>
  <c r="AO11" i="5"/>
  <c r="AO10" i="5" s="1"/>
  <c r="P467" i="5"/>
  <c r="O541" i="5"/>
  <c r="O554" i="5" s="1"/>
  <c r="O530" i="5"/>
  <c r="O543" i="5" s="1"/>
  <c r="M544" i="5"/>
  <c r="M557" i="5" s="1"/>
  <c r="AM92" i="5"/>
  <c r="O359" i="5" s="1"/>
  <c r="AL97" i="5"/>
  <c r="AL95" i="5" s="1"/>
  <c r="AN53" i="5"/>
  <c r="AN52" i="5" s="1"/>
  <c r="AN60" i="5" s="1"/>
  <c r="P531" i="5" s="1"/>
  <c r="AL72" i="5"/>
  <c r="AL71" i="5" s="1"/>
  <c r="AL66" i="5" s="1"/>
  <c r="AL74" i="5" s="1"/>
  <c r="N532" i="5" s="1"/>
  <c r="AL81" i="5"/>
  <c r="P496" i="5"/>
  <c r="U221" i="17" s="1"/>
  <c r="P476" i="5"/>
  <c r="P499" i="5"/>
  <c r="U238" i="17" s="1"/>
  <c r="P479" i="5"/>
  <c r="O468" i="5"/>
  <c r="T131" i="17"/>
  <c r="P486" i="5"/>
  <c r="U222" i="17" s="1"/>
  <c r="P466" i="5"/>
  <c r="P469" i="5"/>
  <c r="N472" i="5"/>
  <c r="P437" i="5"/>
  <c r="P489" i="5"/>
  <c r="U239" i="17" s="1"/>
  <c r="O439" i="5"/>
  <c r="O470" i="5" s="1"/>
  <c r="P441" i="5"/>
  <c r="N372" i="5"/>
  <c r="P487" i="5"/>
  <c r="O488" i="5"/>
  <c r="P431" i="5"/>
  <c r="O444" i="5"/>
  <c r="N443" i="5"/>
  <c r="N444" i="5"/>
  <c r="N446" i="5" s="1"/>
  <c r="P433" i="5"/>
  <c r="Q427" i="5"/>
  <c r="Q435" i="5"/>
  <c r="AP7" i="5"/>
  <c r="Q426" i="5"/>
  <c r="Q429" i="5"/>
  <c r="P428" i="5"/>
  <c r="P432" i="5"/>
  <c r="N360" i="5"/>
  <c r="N368" i="5" s="1"/>
  <c r="AN78" i="5"/>
  <c r="P292" i="5" s="1"/>
  <c r="AO40" i="5"/>
  <c r="AO56" i="5"/>
  <c r="AO84" i="5" s="1"/>
  <c r="AO77" i="5"/>
  <c r="O295" i="5"/>
  <c r="O358" i="5"/>
  <c r="AP8" i="5"/>
  <c r="AP55" i="5"/>
  <c r="AP13" i="5"/>
  <c r="N305" i="5"/>
  <c r="N301" i="5"/>
  <c r="AP50" i="5"/>
  <c r="P225" i="5"/>
  <c r="AN67" i="5"/>
  <c r="P224" i="5"/>
  <c r="AP27" i="5"/>
  <c r="AP22" i="5"/>
  <c r="AP12" i="5"/>
  <c r="AM67" i="5"/>
  <c r="AK95" i="5"/>
  <c r="M362" i="5"/>
  <c r="P291" i="5"/>
  <c r="N234" i="5"/>
  <c r="O305" i="5"/>
  <c r="O337" i="5" s="1"/>
  <c r="O226" i="5"/>
  <c r="O234" i="5" s="1"/>
  <c r="O293" i="5"/>
  <c r="M294" i="5"/>
  <c r="M296" i="5" s="1"/>
  <c r="M302" i="5" s="1"/>
  <c r="M227" i="5"/>
  <c r="M229" i="5" s="1"/>
  <c r="M235" i="5" s="1"/>
  <c r="AM96" i="5"/>
  <c r="O228" i="5"/>
  <c r="O229" i="5" s="1"/>
  <c r="O235" i="5" s="1"/>
  <c r="N270" i="5"/>
  <c r="O238" i="5"/>
  <c r="AM81" i="5"/>
  <c r="AP26" i="5"/>
  <c r="AO25" i="5"/>
  <c r="AO24" i="5" s="1"/>
  <c r="AP54" i="5"/>
  <c r="AO82" i="5"/>
  <c r="AN43" i="5"/>
  <c r="AN18" i="5"/>
  <c r="P528" i="5" s="1"/>
  <c r="AN32" i="5"/>
  <c r="P529" i="5" s="1"/>
  <c r="P542" i="5" s="1"/>
  <c r="P564" i="5" s="1"/>
  <c r="AN91" i="5"/>
  <c r="AO35" i="5"/>
  <c r="AN93" i="5"/>
  <c r="AN62" i="5"/>
  <c r="AO20" i="5"/>
  <c r="AP21" i="5"/>
  <c r="AP9" i="5"/>
  <c r="AP37" i="5" s="1"/>
  <c r="AO37" i="5"/>
  <c r="AK85" i="5"/>
  <c r="AK80" i="5" s="1"/>
  <c r="AK100" i="5"/>
  <c r="AM97" i="5"/>
  <c r="AP63" i="5"/>
  <c r="AO64" i="5"/>
  <c r="Q438" i="5" s="1"/>
  <c r="AP68" i="5"/>
  <c r="AO69" i="5"/>
  <c r="Q439" i="5" s="1"/>
  <c r="Q442" i="5" s="1"/>
  <c r="AO6" i="5"/>
  <c r="AM38" i="5"/>
  <c r="AM46" i="5" s="1"/>
  <c r="AN39" i="5"/>
  <c r="AN34" i="5"/>
  <c r="AP79" i="5"/>
  <c r="AO79" i="5"/>
  <c r="AO42" i="5"/>
  <c r="AP42" i="5"/>
  <c r="AP45" i="5"/>
  <c r="AO45" i="5"/>
  <c r="AO43" i="5" s="1"/>
  <c r="AO41" i="5"/>
  <c r="AN101" i="5"/>
  <c r="AO36" i="5"/>
  <c r="AO87" i="5"/>
  <c r="AP87" i="5"/>
  <c r="AP44" i="5"/>
  <c r="R9" i="27" l="1"/>
  <c r="R17" i="27" s="1"/>
  <c r="AD17" i="27" s="1"/>
  <c r="D17" i="27" s="1"/>
  <c r="Q17" i="27"/>
  <c r="AC17" i="27" s="1"/>
  <c r="C17" i="27" s="1"/>
  <c r="Q15" i="27"/>
  <c r="AC15" i="27" s="1"/>
  <c r="S146" i="17"/>
  <c r="X146" i="17" s="1"/>
  <c r="S140" i="17"/>
  <c r="AD153" i="17"/>
  <c r="AD163" i="17" s="1"/>
  <c r="AD307" i="17"/>
  <c r="AD316" i="17" s="1"/>
  <c r="S297" i="17"/>
  <c r="T261" i="17"/>
  <c r="AE179" i="17"/>
  <c r="T179" i="17" s="1"/>
  <c r="S180" i="17"/>
  <c r="AD179" i="17"/>
  <c r="S179" i="17" s="1"/>
  <c r="AD185" i="17"/>
  <c r="S185" i="17" s="1"/>
  <c r="S262" i="17"/>
  <c r="AE185" i="17"/>
  <c r="T185" i="17" s="1"/>
  <c r="AE136" i="17"/>
  <c r="T141" i="17"/>
  <c r="AE142" i="17"/>
  <c r="T142" i="17" s="1"/>
  <c r="AO53" i="5"/>
  <c r="Q467" i="5"/>
  <c r="Q433" i="5"/>
  <c r="X298" i="17"/>
  <c r="S308" i="17" s="1"/>
  <c r="AM90" i="5"/>
  <c r="AO98" i="5"/>
  <c r="AN83" i="5"/>
  <c r="AP41" i="5"/>
  <c r="R5" i="8"/>
  <c r="R8" i="8" s="1"/>
  <c r="S9" i="27" s="1"/>
  <c r="S6" i="8"/>
  <c r="T8" i="27" s="1"/>
  <c r="Q10" i="8"/>
  <c r="S81" i="17" s="1"/>
  <c r="S88" i="17" s="1"/>
  <c r="S9" i="8"/>
  <c r="S11" i="8" s="1"/>
  <c r="B15" i="27"/>
  <c r="C16" i="27"/>
  <c r="C15" i="27"/>
  <c r="R429" i="5"/>
  <c r="AP36" i="5"/>
  <c r="N362" i="5"/>
  <c r="Y263" i="17"/>
  <c r="T270" i="17" s="1"/>
  <c r="T279" i="17" s="1"/>
  <c r="S356" i="17"/>
  <c r="S355" i="17"/>
  <c r="S393" i="17"/>
  <c r="S395" i="17"/>
  <c r="S396" i="17"/>
  <c r="S394" i="17"/>
  <c r="S354" i="17"/>
  <c r="P87" i="17"/>
  <c r="P91" i="17" s="1"/>
  <c r="P95" i="17" s="1"/>
  <c r="P96" i="17" s="1"/>
  <c r="N492" i="5"/>
  <c r="N512" i="5" s="1"/>
  <c r="S306" i="17"/>
  <c r="S315" i="17" s="1"/>
  <c r="M559" i="5"/>
  <c r="M566" i="5"/>
  <c r="O556" i="5"/>
  <c r="Q86" i="17"/>
  <c r="O563" i="5"/>
  <c r="O559" i="5"/>
  <c r="O566" i="5"/>
  <c r="N560" i="5"/>
  <c r="N565" i="5"/>
  <c r="S260" i="17"/>
  <c r="X260" i="17" s="1"/>
  <c r="O502" i="5"/>
  <c r="P501" i="5"/>
  <c r="S178" i="17"/>
  <c r="S264" i="17"/>
  <c r="X264" i="17" s="1"/>
  <c r="S273" i="17" s="1"/>
  <c r="S282" i="17" s="1"/>
  <c r="O508" i="5"/>
  <c r="V254" i="17"/>
  <c r="V256" i="17" s="1"/>
  <c r="AG261" i="17" s="1"/>
  <c r="AG271" i="17" s="1"/>
  <c r="AG280" i="17" s="1"/>
  <c r="P488" i="5"/>
  <c r="U174" i="17"/>
  <c r="P509" i="5"/>
  <c r="U173" i="17"/>
  <c r="P519" i="5"/>
  <c r="U254" i="17"/>
  <c r="U256" i="17" s="1"/>
  <c r="AF261" i="17" s="1"/>
  <c r="AF271" i="17" s="1"/>
  <c r="AF280" i="17" s="1"/>
  <c r="P507" i="5"/>
  <c r="P443" i="5"/>
  <c r="P498" i="5"/>
  <c r="P506" i="5"/>
  <c r="R16" i="27" s="1"/>
  <c r="U130" i="17"/>
  <c r="P516" i="5"/>
  <c r="N545" i="5"/>
  <c r="N567" i="5" s="1"/>
  <c r="N533" i="5"/>
  <c r="N546" i="5" s="1"/>
  <c r="N568" i="5" s="1"/>
  <c r="P434" i="5"/>
  <c r="P544" i="5"/>
  <c r="P557" i="5" s="1"/>
  <c r="AL86" i="5"/>
  <c r="P541" i="5"/>
  <c r="P554" i="5" s="1"/>
  <c r="P530" i="5"/>
  <c r="P543" i="5" s="1"/>
  <c r="O236" i="5"/>
  <c r="AN92" i="5"/>
  <c r="AN90" i="5" s="1"/>
  <c r="AN76" i="5"/>
  <c r="AN72" i="5"/>
  <c r="R430" i="5"/>
  <c r="AO52" i="5"/>
  <c r="AO60" i="5" s="1"/>
  <c r="Q531" i="5" s="1"/>
  <c r="R436" i="5"/>
  <c r="AM72" i="5"/>
  <c r="AM86" i="5" s="1"/>
  <c r="O471" i="5"/>
  <c r="T290" i="17"/>
  <c r="T292" i="17" s="1"/>
  <c r="X263" i="17"/>
  <c r="X262" i="17"/>
  <c r="S272" i="17" s="1"/>
  <c r="S281" i="17" s="1"/>
  <c r="Q470" i="5"/>
  <c r="Q466" i="5"/>
  <c r="Q468" i="5" s="1"/>
  <c r="Q476" i="5"/>
  <c r="Q496" i="5"/>
  <c r="V221" i="17" s="1"/>
  <c r="P468" i="5"/>
  <c r="U131" i="17"/>
  <c r="Q469" i="5"/>
  <c r="Q499" i="5"/>
  <c r="V238" i="17" s="1"/>
  <c r="Q479" i="5"/>
  <c r="P470" i="5"/>
  <c r="P238" i="5"/>
  <c r="P249" i="5" s="1"/>
  <c r="Q490" i="5"/>
  <c r="Q440" i="5"/>
  <c r="Q489" i="5"/>
  <c r="V239" i="17" s="1"/>
  <c r="P445" i="5"/>
  <c r="O442" i="5"/>
  <c r="O440" i="5"/>
  <c r="O490" i="5"/>
  <c r="O491" i="5" s="1"/>
  <c r="O492" i="5" s="1"/>
  <c r="P440" i="5"/>
  <c r="Q445" i="5"/>
  <c r="P490" i="5"/>
  <c r="P491" i="5" s="1"/>
  <c r="P492" i="5" s="1"/>
  <c r="Q486" i="5"/>
  <c r="V222" i="17" s="1"/>
  <c r="Q431" i="5"/>
  <c r="Q487" i="5"/>
  <c r="Q507" i="5" s="1"/>
  <c r="Q437" i="5"/>
  <c r="Q441" i="5"/>
  <c r="P444" i="5"/>
  <c r="O372" i="5"/>
  <c r="P226" i="5"/>
  <c r="P234" i="5" s="1"/>
  <c r="R435" i="5"/>
  <c r="R427" i="5"/>
  <c r="Q432" i="5"/>
  <c r="Q434" i="5" s="1"/>
  <c r="Q428" i="5"/>
  <c r="R426" i="5"/>
  <c r="S186" i="17"/>
  <c r="S188" i="17"/>
  <c r="X188" i="17" s="1"/>
  <c r="S184" i="17"/>
  <c r="X184" i="17" s="1"/>
  <c r="AP11" i="5"/>
  <c r="AP10" i="5" s="1"/>
  <c r="AP20" i="5"/>
  <c r="AO67" i="5"/>
  <c r="Q291" i="5"/>
  <c r="AP25" i="5"/>
  <c r="AP24" i="5" s="1"/>
  <c r="O360" i="5"/>
  <c r="O368" i="5" s="1"/>
  <c r="AP69" i="5"/>
  <c r="R439" i="5" s="1"/>
  <c r="P358" i="5"/>
  <c r="N316" i="5"/>
  <c r="N337" i="5"/>
  <c r="N404" i="5" s="1"/>
  <c r="AP48" i="5"/>
  <c r="AO78" i="5"/>
  <c r="Q292" i="5" s="1"/>
  <c r="O362" i="5"/>
  <c r="AP56" i="5"/>
  <c r="AP53" i="5" s="1"/>
  <c r="P359" i="5"/>
  <c r="AK99" i="5"/>
  <c r="AK94" i="5" s="1"/>
  <c r="M361" i="5"/>
  <c r="M363" i="5" s="1"/>
  <c r="M369" i="5" s="1"/>
  <c r="P293" i="5"/>
  <c r="P301" i="5" s="1"/>
  <c r="P305" i="5"/>
  <c r="P337" i="5" s="1"/>
  <c r="O316" i="5"/>
  <c r="O318" i="5" s="1"/>
  <c r="AM95" i="5"/>
  <c r="N251" i="5"/>
  <c r="O239" i="5"/>
  <c r="O240" i="5" s="1"/>
  <c r="AN81" i="5"/>
  <c r="P295" i="5"/>
  <c r="O301" i="5"/>
  <c r="AL85" i="5"/>
  <c r="AL80" i="5" s="1"/>
  <c r="AL88" i="5" s="1"/>
  <c r="N227" i="5"/>
  <c r="N294" i="5"/>
  <c r="AO96" i="5"/>
  <c r="Q225" i="5"/>
  <c r="P228" i="5"/>
  <c r="P227" i="5"/>
  <c r="O249" i="5"/>
  <c r="O270" i="5"/>
  <c r="O404" i="5" s="1"/>
  <c r="O231" i="5"/>
  <c r="O286" i="5" s="1"/>
  <c r="AL100" i="5"/>
  <c r="AO91" i="5"/>
  <c r="Q224" i="5"/>
  <c r="AP40" i="5"/>
  <c r="AO32" i="5"/>
  <c r="Q529" i="5" s="1"/>
  <c r="Q542" i="5" s="1"/>
  <c r="Q564" i="5" s="1"/>
  <c r="AN38" i="5"/>
  <c r="AN46" i="5" s="1"/>
  <c r="AP93" i="5"/>
  <c r="AN97" i="5"/>
  <c r="AO93" i="5"/>
  <c r="AP6" i="5"/>
  <c r="AP82" i="5"/>
  <c r="AO62" i="5"/>
  <c r="AO83" i="5"/>
  <c r="AP35" i="5"/>
  <c r="AO18" i="5"/>
  <c r="Q528" i="5" s="1"/>
  <c r="AP64" i="5"/>
  <c r="R438" i="5" s="1"/>
  <c r="AP77" i="5"/>
  <c r="AO39" i="5"/>
  <c r="AO38" i="5" s="1"/>
  <c r="AO34" i="5"/>
  <c r="AO101" i="5"/>
  <c r="AP43" i="5"/>
  <c r="AP101" i="5"/>
  <c r="AP83" i="5" l="1"/>
  <c r="AM71" i="5"/>
  <c r="AM66" i="5" s="1"/>
  <c r="AM74" i="5" s="1"/>
  <c r="O532" i="5" s="1"/>
  <c r="R15" i="27"/>
  <c r="AD15" i="27" s="1"/>
  <c r="AD16" i="27"/>
  <c r="S17" i="27"/>
  <c r="AE17" i="27" s="1"/>
  <c r="E17" i="27" s="1"/>
  <c r="AD322" i="17"/>
  <c r="AD321" i="17"/>
  <c r="S189" i="17"/>
  <c r="X189" i="17" s="1"/>
  <c r="Y261" i="17"/>
  <c r="T271" i="17" s="1"/>
  <c r="T280" i="17" s="1"/>
  <c r="T265" i="17"/>
  <c r="Y265" i="17" s="1"/>
  <c r="T274" i="17" s="1"/>
  <c r="T283" i="17" s="1"/>
  <c r="T136" i="17"/>
  <c r="AE153" i="17"/>
  <c r="AE163" i="17" s="1"/>
  <c r="S183" i="17"/>
  <c r="X297" i="17"/>
  <c r="S307" i="17" s="1"/>
  <c r="S316" i="17" s="1"/>
  <c r="S301" i="17"/>
  <c r="X301" i="17" s="1"/>
  <c r="AD323" i="17"/>
  <c r="AE297" i="17"/>
  <c r="AE307" i="17" s="1"/>
  <c r="AE316" i="17" s="1"/>
  <c r="S261" i="17"/>
  <c r="AE287" i="17"/>
  <c r="AE286" i="17"/>
  <c r="AE285" i="17"/>
  <c r="AE196" i="17"/>
  <c r="AE206" i="17" s="1"/>
  <c r="AF185" i="17"/>
  <c r="U185" i="17" s="1"/>
  <c r="AF179" i="17"/>
  <c r="AD196" i="17"/>
  <c r="AD206" i="17" s="1"/>
  <c r="AD169" i="17"/>
  <c r="AD167" i="17"/>
  <c r="AD168" i="17"/>
  <c r="AF136" i="17"/>
  <c r="U141" i="17"/>
  <c r="AF142" i="17"/>
  <c r="U142" i="17" s="1"/>
  <c r="AP32" i="5"/>
  <c r="R529" i="5" s="1"/>
  <c r="R542" i="5" s="1"/>
  <c r="R564" i="5" s="1"/>
  <c r="P502" i="5"/>
  <c r="R487" i="5"/>
  <c r="S5" i="8"/>
  <c r="S8" i="8" s="1"/>
  <c r="R10" i="8"/>
  <c r="T81" i="17" s="1"/>
  <c r="T88" i="17" s="1"/>
  <c r="AO92" i="5"/>
  <c r="AO76" i="5"/>
  <c r="P316" i="5"/>
  <c r="P383" i="5" s="1"/>
  <c r="B97" i="17"/>
  <c r="P508" i="5"/>
  <c r="S310" i="17"/>
  <c r="S311" i="17" s="1"/>
  <c r="S348" i="17"/>
  <c r="S352" i="17"/>
  <c r="S357" i="17" s="1"/>
  <c r="B357" i="17" s="1"/>
  <c r="S388" i="17"/>
  <c r="S397" i="17"/>
  <c r="B397" i="17" s="1"/>
  <c r="S270" i="17"/>
  <c r="S279" i="17" s="1"/>
  <c r="Q87" i="17"/>
  <c r="Q91" i="17" s="1"/>
  <c r="Q95" i="17" s="1"/>
  <c r="Q96" i="17" s="1"/>
  <c r="C97" i="17" s="1"/>
  <c r="P556" i="5"/>
  <c r="R86" i="17"/>
  <c r="P563" i="5"/>
  <c r="P559" i="5"/>
  <c r="P566" i="5"/>
  <c r="O560" i="5"/>
  <c r="O565" i="5"/>
  <c r="M560" i="5"/>
  <c r="R442" i="5"/>
  <c r="V262" i="17"/>
  <c r="AA262" i="17" s="1"/>
  <c r="V272" i="17" s="1"/>
  <c r="V281" i="17" s="1"/>
  <c r="V264" i="17"/>
  <c r="AA264" i="17" s="1"/>
  <c r="V273" i="17" s="1"/>
  <c r="V282" i="17" s="1"/>
  <c r="U262" i="17"/>
  <c r="Z262" i="17" s="1"/>
  <c r="U272" i="17" s="1"/>
  <c r="U281" i="17" s="1"/>
  <c r="U260" i="17"/>
  <c r="Z260" i="17" s="1"/>
  <c r="V260" i="17"/>
  <c r="AA260" i="17" s="1"/>
  <c r="V174" i="17"/>
  <c r="Q509" i="5"/>
  <c r="V130" i="17"/>
  <c r="Q516" i="5"/>
  <c r="O472" i="5"/>
  <c r="O512" i="5" s="1"/>
  <c r="O511" i="5"/>
  <c r="V131" i="17"/>
  <c r="Q506" i="5"/>
  <c r="S16" i="27" s="1"/>
  <c r="AE16" i="27" s="1"/>
  <c r="D16" i="27"/>
  <c r="D15" i="27"/>
  <c r="V173" i="17"/>
  <c r="Q519" i="5"/>
  <c r="V290" i="17"/>
  <c r="V292" i="17" s="1"/>
  <c r="Q510" i="5"/>
  <c r="P510" i="5"/>
  <c r="U264" i="17"/>
  <c r="Z264" i="17" s="1"/>
  <c r="U273" i="17" s="1"/>
  <c r="U282" i="17" s="1"/>
  <c r="O510" i="5"/>
  <c r="Q544" i="5"/>
  <c r="Q557" i="5" s="1"/>
  <c r="O545" i="5"/>
  <c r="O567" i="5" s="1"/>
  <c r="O533" i="5"/>
  <c r="O546" i="5" s="1"/>
  <c r="O568" i="5" s="1"/>
  <c r="AP18" i="5"/>
  <c r="R528" i="5" s="1"/>
  <c r="Q530" i="5"/>
  <c r="Q543" i="5" s="1"/>
  <c r="Q541" i="5"/>
  <c r="Q554" i="5" s="1"/>
  <c r="P270" i="5"/>
  <c r="P404" i="5" s="1"/>
  <c r="Q293" i="5"/>
  <c r="Q301" i="5" s="1"/>
  <c r="R431" i="5"/>
  <c r="R467" i="5"/>
  <c r="R433" i="5"/>
  <c r="R445" i="5" s="1"/>
  <c r="AP84" i="5"/>
  <c r="AP98" i="5" s="1"/>
  <c r="AN71" i="5"/>
  <c r="AN66" i="5" s="1"/>
  <c r="AN74" i="5" s="1"/>
  <c r="P532" i="5" s="1"/>
  <c r="AN86" i="5"/>
  <c r="AP52" i="5"/>
  <c r="AP60" i="5" s="1"/>
  <c r="R531" i="5" s="1"/>
  <c r="AO72" i="5"/>
  <c r="Q498" i="5"/>
  <c r="P360" i="5"/>
  <c r="P368" i="5" s="1"/>
  <c r="Q471" i="5"/>
  <c r="Q472" i="5" s="1"/>
  <c r="P446" i="5"/>
  <c r="T296" i="17"/>
  <c r="Y296" i="17" s="1"/>
  <c r="T298" i="17"/>
  <c r="T300" i="17"/>
  <c r="Y300" i="17" s="1"/>
  <c r="Y266" i="17"/>
  <c r="P471" i="5"/>
  <c r="U290" i="17"/>
  <c r="U292" i="17" s="1"/>
  <c r="R469" i="5"/>
  <c r="R479" i="5"/>
  <c r="R499" i="5"/>
  <c r="W238" i="17" s="1"/>
  <c r="Q501" i="5"/>
  <c r="R476" i="5"/>
  <c r="R496" i="5"/>
  <c r="W221" i="17" s="1"/>
  <c r="R470" i="5"/>
  <c r="R486" i="5"/>
  <c r="R466" i="5"/>
  <c r="Q488" i="5"/>
  <c r="Q508" i="5" s="1"/>
  <c r="Q491" i="5"/>
  <c r="R440" i="5"/>
  <c r="R490" i="5"/>
  <c r="R489" i="5"/>
  <c r="W239" i="17" s="1"/>
  <c r="O443" i="5"/>
  <c r="O445" i="5"/>
  <c r="O446" i="5" s="1"/>
  <c r="R437" i="5"/>
  <c r="R441" i="5"/>
  <c r="Q444" i="5"/>
  <c r="Q446" i="5" s="1"/>
  <c r="Q443" i="5"/>
  <c r="R428" i="5"/>
  <c r="R432" i="5"/>
  <c r="X141" i="17"/>
  <c r="Y141" i="17"/>
  <c r="X185" i="17"/>
  <c r="R291" i="5"/>
  <c r="S291" i="5" s="1"/>
  <c r="Q228" i="5"/>
  <c r="AP78" i="5"/>
  <c r="AP92" i="5" s="1"/>
  <c r="Q358" i="5"/>
  <c r="N318" i="5"/>
  <c r="N385" i="5" s="1"/>
  <c r="N383" i="5"/>
  <c r="X187" i="17"/>
  <c r="S195" i="17" s="1"/>
  <c r="S205" i="17" s="1"/>
  <c r="X186" i="17"/>
  <c r="Q359" i="5"/>
  <c r="R228" i="5"/>
  <c r="AM100" i="5"/>
  <c r="O294" i="5"/>
  <c r="AM85" i="5"/>
  <c r="AM80" i="5" s="1"/>
  <c r="AM88" i="5" s="1"/>
  <c r="AP67" i="5"/>
  <c r="S234" i="17"/>
  <c r="S182" i="17"/>
  <c r="X178" i="17"/>
  <c r="T188" i="17"/>
  <c r="Y188" i="17" s="1"/>
  <c r="T186" i="17"/>
  <c r="T189" i="17" s="1"/>
  <c r="Y189" i="17" s="1"/>
  <c r="O383" i="5"/>
  <c r="O271" i="5"/>
  <c r="O272" i="5" s="1"/>
  <c r="P229" i="5"/>
  <c r="P235" i="5" s="1"/>
  <c r="P236" i="5" s="1"/>
  <c r="AN95" i="5"/>
  <c r="P362" i="5"/>
  <c r="P372" i="5"/>
  <c r="AL99" i="5"/>
  <c r="AL94" i="5" s="1"/>
  <c r="AL102" i="5" s="1"/>
  <c r="N361" i="5"/>
  <c r="P251" i="5"/>
  <c r="Q305" i="5"/>
  <c r="Q316" i="5" s="1"/>
  <c r="O250" i="5"/>
  <c r="P239" i="5"/>
  <c r="P271" i="5" s="1"/>
  <c r="R225" i="5"/>
  <c r="S225" i="5" s="1"/>
  <c r="AP96" i="5"/>
  <c r="R227" i="5"/>
  <c r="AP97" i="5"/>
  <c r="R295" i="5"/>
  <c r="N239" i="5"/>
  <c r="N229" i="5"/>
  <c r="Q227" i="5"/>
  <c r="AO81" i="5"/>
  <c r="Q295" i="5"/>
  <c r="N296" i="5"/>
  <c r="N306" i="5"/>
  <c r="O251" i="5"/>
  <c r="O385" i="5" s="1"/>
  <c r="AO90" i="5"/>
  <c r="AP39" i="5"/>
  <c r="AP38" i="5" s="1"/>
  <c r="Q226" i="5"/>
  <c r="Q238" i="5"/>
  <c r="AP34" i="5"/>
  <c r="R224" i="5"/>
  <c r="S224" i="5" s="1"/>
  <c r="AO97" i="5"/>
  <c r="AP81" i="5"/>
  <c r="AP62" i="5"/>
  <c r="AP91" i="5"/>
  <c r="AP76" i="5"/>
  <c r="AO46" i="5"/>
  <c r="X302" i="17" l="1"/>
  <c r="T284" i="17"/>
  <c r="C284" i="17" s="1"/>
  <c r="T275" i="17"/>
  <c r="S10" i="8"/>
  <c r="T9" i="27"/>
  <c r="AD170" i="17"/>
  <c r="AD324" i="17"/>
  <c r="P318" i="5"/>
  <c r="S15" i="27"/>
  <c r="AE15" i="27" s="1"/>
  <c r="X261" i="17"/>
  <c r="S271" i="17" s="1"/>
  <c r="S280" i="17" s="1"/>
  <c r="S265" i="17"/>
  <c r="X265" i="17" s="1"/>
  <c r="R434" i="5"/>
  <c r="AF297" i="17"/>
  <c r="AF307" i="17" s="1"/>
  <c r="AF316" i="17" s="1"/>
  <c r="V296" i="17"/>
  <c r="AA296" i="17" s="1"/>
  <c r="AG297" i="17"/>
  <c r="AG307" i="17" s="1"/>
  <c r="AG316" i="17" s="1"/>
  <c r="AE212" i="17"/>
  <c r="AE322" i="17"/>
  <c r="AE321" i="17"/>
  <c r="AE323" i="17"/>
  <c r="T297" i="17"/>
  <c r="T301" i="17" s="1"/>
  <c r="Y301" i="17" s="1"/>
  <c r="U261" i="17"/>
  <c r="V261" i="17"/>
  <c r="AD287" i="17"/>
  <c r="AD285" i="17"/>
  <c r="AD286" i="17"/>
  <c r="AG286" i="17"/>
  <c r="AG287" i="17"/>
  <c r="AG285" i="17"/>
  <c r="AE288" i="17"/>
  <c r="AF196" i="17"/>
  <c r="AF206" i="17" s="1"/>
  <c r="AF210" i="17" s="1"/>
  <c r="AE210" i="17"/>
  <c r="AE211" i="17"/>
  <c r="U179" i="17"/>
  <c r="AG179" i="17"/>
  <c r="AG185" i="17"/>
  <c r="V185" i="17" s="1"/>
  <c r="AD210" i="17"/>
  <c r="AD211" i="17"/>
  <c r="AD212" i="17"/>
  <c r="AE169" i="17"/>
  <c r="AE168" i="17"/>
  <c r="AE167" i="17"/>
  <c r="V141" i="17"/>
  <c r="AG142" i="17"/>
  <c r="V142" i="17" s="1"/>
  <c r="AG136" i="17"/>
  <c r="V136" i="17" s="1"/>
  <c r="AF153" i="17"/>
  <c r="AF163" i="17" s="1"/>
  <c r="U136" i="17"/>
  <c r="Q502" i="5"/>
  <c r="AA263" i="17"/>
  <c r="V270" i="17" s="1"/>
  <c r="V279" i="17" s="1"/>
  <c r="T309" i="17"/>
  <c r="T318" i="17" s="1"/>
  <c r="R87" i="17"/>
  <c r="R91" i="17" s="1"/>
  <c r="R95" i="17" s="1"/>
  <c r="R96" i="17" s="1"/>
  <c r="D97" i="17" s="1"/>
  <c r="Z263" i="17"/>
  <c r="U270" i="17" s="1"/>
  <c r="U279" i="17" s="1"/>
  <c r="Q556" i="5"/>
  <c r="S86" i="17"/>
  <c r="Q563" i="5"/>
  <c r="Q559" i="5"/>
  <c r="Q566" i="5"/>
  <c r="P560" i="5"/>
  <c r="P565" i="5"/>
  <c r="Q229" i="5"/>
  <c r="Q235" i="5" s="1"/>
  <c r="S228" i="5"/>
  <c r="V300" i="17"/>
  <c r="AA300" i="17" s="1"/>
  <c r="R506" i="5"/>
  <c r="T16" i="27" s="1"/>
  <c r="AF16" i="27" s="1"/>
  <c r="W130" i="17"/>
  <c r="R516" i="5"/>
  <c r="W174" i="17"/>
  <c r="R509" i="5"/>
  <c r="P472" i="5"/>
  <c r="P512" i="5" s="1"/>
  <c r="P511" i="5"/>
  <c r="W254" i="17"/>
  <c r="W256" i="17" s="1"/>
  <c r="AH261" i="17" s="1"/>
  <c r="AH271" i="17" s="1"/>
  <c r="AH280" i="17" s="1"/>
  <c r="AL280" i="17" s="1"/>
  <c r="R507" i="5"/>
  <c r="V298" i="17"/>
  <c r="AA299" i="17" s="1"/>
  <c r="W290" i="17"/>
  <c r="W292" i="17" s="1"/>
  <c r="R510" i="5"/>
  <c r="W173" i="17"/>
  <c r="R519" i="5"/>
  <c r="Q511" i="5"/>
  <c r="E16" i="27"/>
  <c r="E15" i="27"/>
  <c r="R544" i="5"/>
  <c r="R557" i="5" s="1"/>
  <c r="P545" i="5"/>
  <c r="P567" i="5" s="1"/>
  <c r="P533" i="5"/>
  <c r="P546" i="5" s="1"/>
  <c r="P568" i="5" s="1"/>
  <c r="R541" i="5"/>
  <c r="R554" i="5" s="1"/>
  <c r="R530" i="5"/>
  <c r="R543" i="5" s="1"/>
  <c r="AO71" i="5"/>
  <c r="AO66" i="5" s="1"/>
  <c r="AO74" i="5" s="1"/>
  <c r="Q532" i="5" s="1"/>
  <c r="AO86" i="5"/>
  <c r="AP72" i="5"/>
  <c r="AN100" i="5"/>
  <c r="AN85" i="5"/>
  <c r="AN80" i="5" s="1"/>
  <c r="AN88" i="5" s="1"/>
  <c r="P294" i="5"/>
  <c r="R229" i="5"/>
  <c r="R235" i="5" s="1"/>
  <c r="Q360" i="5"/>
  <c r="Q368" i="5" s="1"/>
  <c r="R471" i="5"/>
  <c r="S274" i="17"/>
  <c r="S283" i="17" s="1"/>
  <c r="X266" i="17"/>
  <c r="R501" i="5"/>
  <c r="Q492" i="5"/>
  <c r="Q512" i="5" s="1"/>
  <c r="Y297" i="17"/>
  <c r="U300" i="17"/>
  <c r="Z300" i="17" s="1"/>
  <c r="U298" i="17"/>
  <c r="U296" i="17"/>
  <c r="Z296" i="17" s="1"/>
  <c r="Y298" i="17"/>
  <c r="Y299" i="17"/>
  <c r="T306" i="17" s="1"/>
  <c r="R498" i="5"/>
  <c r="Q372" i="5"/>
  <c r="R468" i="5"/>
  <c r="W131" i="17"/>
  <c r="R488" i="5"/>
  <c r="W222" i="17"/>
  <c r="R491" i="5"/>
  <c r="P231" i="5"/>
  <c r="P286" i="5" s="1"/>
  <c r="R443" i="5"/>
  <c r="R444" i="5"/>
  <c r="R446" i="5" s="1"/>
  <c r="Y186" i="17"/>
  <c r="Y187" i="17"/>
  <c r="T195" i="17" s="1"/>
  <c r="T205" i="17" s="1"/>
  <c r="X179" i="17"/>
  <c r="S196" i="17" s="1"/>
  <c r="O296" i="5"/>
  <c r="O306" i="5"/>
  <c r="T182" i="17"/>
  <c r="T178" i="17"/>
  <c r="T180" i="17"/>
  <c r="U186" i="17"/>
  <c r="U189" i="17" s="1"/>
  <c r="Z189" i="17" s="1"/>
  <c r="R358" i="5"/>
  <c r="S358" i="5" s="1"/>
  <c r="X135" i="17"/>
  <c r="S139" i="17"/>
  <c r="X180" i="17"/>
  <c r="S197" i="17" s="1"/>
  <c r="S207" i="17" s="1"/>
  <c r="X181" i="17"/>
  <c r="S194" i="17" s="1"/>
  <c r="AM99" i="5"/>
  <c r="AM94" i="5" s="1"/>
  <c r="AM102" i="5" s="1"/>
  <c r="O361" i="5"/>
  <c r="R292" i="5"/>
  <c r="B234" i="17"/>
  <c r="T135" i="17"/>
  <c r="Y135" i="17" s="1"/>
  <c r="T139" i="17"/>
  <c r="T137" i="17"/>
  <c r="S245" i="17"/>
  <c r="S250" i="17" s="1"/>
  <c r="S251" i="17" s="1"/>
  <c r="T143" i="17"/>
  <c r="T146" i="17" s="1"/>
  <c r="Y146" i="17" s="1"/>
  <c r="T145" i="17"/>
  <c r="Y145" i="17" s="1"/>
  <c r="X142" i="17"/>
  <c r="R359" i="5"/>
  <c r="R372" i="5" s="1"/>
  <c r="Y185" i="17"/>
  <c r="T228" i="17"/>
  <c r="T233" i="17" s="1"/>
  <c r="T234" i="17" s="1"/>
  <c r="S317" i="17"/>
  <c r="X144" i="17"/>
  <c r="S152" i="17" s="1"/>
  <c r="P250" i="5"/>
  <c r="P252" i="5" s="1"/>
  <c r="AO95" i="5"/>
  <c r="Q362" i="5"/>
  <c r="Q337" i="5"/>
  <c r="N373" i="5"/>
  <c r="N363" i="5"/>
  <c r="AP95" i="5"/>
  <c r="R362" i="5"/>
  <c r="P272" i="5"/>
  <c r="P279" i="5" s="1"/>
  <c r="O252" i="5"/>
  <c r="P385" i="5"/>
  <c r="P240" i="5"/>
  <c r="S295" i="5"/>
  <c r="O253" i="5"/>
  <c r="O257" i="5" s="1"/>
  <c r="S227" i="5"/>
  <c r="Q239" i="5"/>
  <c r="Q240" i="5" s="1"/>
  <c r="Q318" i="5"/>
  <c r="R239" i="5"/>
  <c r="R250" i="5" s="1"/>
  <c r="N307" i="5"/>
  <c r="N317" i="5"/>
  <c r="N338" i="5"/>
  <c r="N235" i="5"/>
  <c r="N231" i="5"/>
  <c r="N302" i="5"/>
  <c r="N298" i="5"/>
  <c r="N250" i="5"/>
  <c r="N240" i="5"/>
  <c r="N271" i="5"/>
  <c r="O275" i="5"/>
  <c r="O279" i="5"/>
  <c r="O283" i="5" s="1"/>
  <c r="AP90" i="5"/>
  <c r="Q249" i="5"/>
  <c r="Q383" i="5" s="1"/>
  <c r="Q270" i="5"/>
  <c r="AP46" i="5"/>
  <c r="R226" i="5"/>
  <c r="S226" i="5" s="1"/>
  <c r="R238" i="5"/>
  <c r="R270" i="5" s="1"/>
  <c r="Q234" i="5"/>
  <c r="AD213" i="17" l="1"/>
  <c r="T15" i="27"/>
  <c r="AF15" i="27" s="1"/>
  <c r="T17" i="27"/>
  <c r="AF17" i="27" s="1"/>
  <c r="F17" i="27" s="1"/>
  <c r="V306" i="17"/>
  <c r="AD288" i="17"/>
  <c r="AD325" i="17"/>
  <c r="AD171" i="17"/>
  <c r="AN171" i="17" s="1"/>
  <c r="B171" i="17"/>
  <c r="S284" i="17"/>
  <c r="Z261" i="17"/>
  <c r="U271" i="17" s="1"/>
  <c r="U280" i="17" s="1"/>
  <c r="U265" i="17"/>
  <c r="Z265" i="17" s="1"/>
  <c r="U274" i="17" s="1"/>
  <c r="U283" i="17" s="1"/>
  <c r="Y178" i="17"/>
  <c r="T183" i="17"/>
  <c r="T140" i="17"/>
  <c r="AA261" i="17"/>
  <c r="V271" i="17" s="1"/>
  <c r="V280" i="17" s="1"/>
  <c r="V284" i="17" s="1"/>
  <c r="E284" i="17" s="1"/>
  <c r="V265" i="17"/>
  <c r="AA265" i="17" s="1"/>
  <c r="V274" i="17" s="1"/>
  <c r="V283" i="17" s="1"/>
  <c r="S206" i="17"/>
  <c r="AE170" i="17"/>
  <c r="AE171" i="17" s="1"/>
  <c r="AO171" i="17" s="1"/>
  <c r="AG288" i="17"/>
  <c r="AG289" i="17" s="1"/>
  <c r="U297" i="17"/>
  <c r="U301" i="17" s="1"/>
  <c r="Z301" i="17" s="1"/>
  <c r="AG322" i="17"/>
  <c r="AG323" i="17"/>
  <c r="AG321" i="17"/>
  <c r="AF212" i="17"/>
  <c r="W298" i="17"/>
  <c r="AB299" i="17" s="1"/>
  <c r="AH297" i="17"/>
  <c r="AH307" i="17" s="1"/>
  <c r="AH316" i="17" s="1"/>
  <c r="AL316" i="17" s="1"/>
  <c r="AE289" i="17"/>
  <c r="AE324" i="17"/>
  <c r="AE325" i="17" s="1"/>
  <c r="V297" i="17"/>
  <c r="AF321" i="17"/>
  <c r="AF323" i="17"/>
  <c r="AF322" i="17"/>
  <c r="T319" i="17"/>
  <c r="AF286" i="17"/>
  <c r="AF285" i="17"/>
  <c r="AF287" i="17"/>
  <c r="AF211" i="17"/>
  <c r="AE213" i="17"/>
  <c r="AG196" i="17"/>
  <c r="AG206" i="17" s="1"/>
  <c r="W260" i="17"/>
  <c r="AB260" i="17" s="1"/>
  <c r="AH185" i="17"/>
  <c r="W185" i="17" s="1"/>
  <c r="AH179" i="17"/>
  <c r="V179" i="17"/>
  <c r="AF168" i="17"/>
  <c r="AF167" i="17"/>
  <c r="AF169" i="17"/>
  <c r="AH136" i="17"/>
  <c r="W136" i="17" s="1"/>
  <c r="AG153" i="17"/>
  <c r="AG163" i="17" s="1"/>
  <c r="W141" i="17"/>
  <c r="AH142" i="17"/>
  <c r="W142" i="17" s="1"/>
  <c r="Q64" i="58"/>
  <c r="Q38" i="43"/>
  <c r="U11" i="12"/>
  <c r="U29" i="12" s="1"/>
  <c r="Q231" i="5"/>
  <c r="Q286" i="5" s="1"/>
  <c r="F15" i="27"/>
  <c r="S229" i="5"/>
  <c r="V309" i="17"/>
  <c r="V318" i="17" s="1"/>
  <c r="T355" i="17"/>
  <c r="T356" i="17"/>
  <c r="T393" i="17"/>
  <c r="T353" i="17"/>
  <c r="T396" i="17"/>
  <c r="T395" i="17"/>
  <c r="T308" i="17"/>
  <c r="T317" i="17" s="1"/>
  <c r="T394" i="17"/>
  <c r="T354" i="17"/>
  <c r="U309" i="17"/>
  <c r="U318" i="17" s="1"/>
  <c r="V393" i="17"/>
  <c r="V353" i="17"/>
  <c r="S87" i="17"/>
  <c r="S91" i="17" s="1"/>
  <c r="S95" i="17" s="1"/>
  <c r="S96" i="17" s="1"/>
  <c r="E97" i="17" s="1"/>
  <c r="R556" i="5"/>
  <c r="T86" i="17"/>
  <c r="R563" i="5"/>
  <c r="R559" i="5"/>
  <c r="R566" i="5"/>
  <c r="Q560" i="5"/>
  <c r="Q565" i="5"/>
  <c r="W296" i="17"/>
  <c r="AB296" i="17" s="1"/>
  <c r="F16" i="27"/>
  <c r="W262" i="17"/>
  <c r="AB263" i="17" s="1"/>
  <c r="W270" i="17" s="1"/>
  <c r="W279" i="17" s="1"/>
  <c r="AA298" i="17"/>
  <c r="W300" i="17"/>
  <c r="AB300" i="17" s="1"/>
  <c r="W264" i="17"/>
  <c r="AB264" i="17" s="1"/>
  <c r="W273" i="17" s="1"/>
  <c r="W282" i="17" s="1"/>
  <c r="R508" i="5"/>
  <c r="R511" i="5"/>
  <c r="Q545" i="5"/>
  <c r="Q567" i="5" s="1"/>
  <c r="Q533" i="5"/>
  <c r="Q546" i="5" s="1"/>
  <c r="Q568" i="5" s="1"/>
  <c r="R472" i="5"/>
  <c r="R492" i="5"/>
  <c r="P275" i="5"/>
  <c r="P306" i="5"/>
  <c r="P296" i="5"/>
  <c r="AP71" i="5"/>
  <c r="AP66" i="5" s="1"/>
  <c r="AP74" i="5" s="1"/>
  <c r="R532" i="5" s="1"/>
  <c r="AP86" i="5"/>
  <c r="Q294" i="5"/>
  <c r="AO85" i="5"/>
  <c r="AO80" i="5" s="1"/>
  <c r="AO88" i="5" s="1"/>
  <c r="AO100" i="5"/>
  <c r="AO99" i="5" s="1"/>
  <c r="AO94" i="5" s="1"/>
  <c r="AO102" i="5" s="1"/>
  <c r="P361" i="5"/>
  <c r="AN99" i="5"/>
  <c r="AN94" i="5" s="1"/>
  <c r="AN102" i="5" s="1"/>
  <c r="S275" i="17"/>
  <c r="R502" i="5"/>
  <c r="V315" i="17"/>
  <c r="B284" i="17"/>
  <c r="T315" i="17"/>
  <c r="Z299" i="17"/>
  <c r="U306" i="17" s="1"/>
  <c r="Z298" i="17"/>
  <c r="T307" i="17"/>
  <c r="S204" i="17"/>
  <c r="P253" i="5"/>
  <c r="P261" i="5" s="1"/>
  <c r="S162" i="17"/>
  <c r="N405" i="5"/>
  <c r="U188" i="17"/>
  <c r="Z188" i="17" s="1"/>
  <c r="R360" i="5"/>
  <c r="S360" i="5" s="1"/>
  <c r="S359" i="5"/>
  <c r="AA141" i="17"/>
  <c r="C234" i="17"/>
  <c r="B251" i="17"/>
  <c r="Y136" i="17"/>
  <c r="U182" i="17"/>
  <c r="U180" i="17"/>
  <c r="U178" i="17"/>
  <c r="Z178" i="17" s="1"/>
  <c r="S292" i="5"/>
  <c r="R293" i="5"/>
  <c r="R305" i="5"/>
  <c r="O363" i="5"/>
  <c r="O373" i="5"/>
  <c r="O374" i="5" s="1"/>
  <c r="Z185" i="17"/>
  <c r="Y180" i="17"/>
  <c r="T197" i="17" s="1"/>
  <c r="T207" i="17" s="1"/>
  <c r="Y181" i="17"/>
  <c r="T194" i="17" s="1"/>
  <c r="O307" i="5"/>
  <c r="O338" i="5"/>
  <c r="O317" i="5"/>
  <c r="Y142" i="17"/>
  <c r="Z141" i="17"/>
  <c r="O302" i="5"/>
  <c r="O298" i="5"/>
  <c r="O353" i="5" s="1"/>
  <c r="O420" i="5" s="1"/>
  <c r="U228" i="17"/>
  <c r="U233" i="17" s="1"/>
  <c r="U234" i="17" s="1"/>
  <c r="D234" i="17" s="1"/>
  <c r="T245" i="17"/>
  <c r="T250" i="17" s="1"/>
  <c r="T251" i="17" s="1"/>
  <c r="C251" i="17" s="1"/>
  <c r="X137" i="17"/>
  <c r="S154" i="17" s="1"/>
  <c r="S164" i="17" s="1"/>
  <c r="X138" i="17"/>
  <c r="S151" i="17" s="1"/>
  <c r="S161" i="17" s="1"/>
  <c r="Z187" i="17"/>
  <c r="U195" i="17" s="1"/>
  <c r="U205" i="17" s="1"/>
  <c r="Z186" i="17"/>
  <c r="X183" i="17"/>
  <c r="X182" i="17"/>
  <c r="S198" i="17" s="1"/>
  <c r="S208" i="17" s="1"/>
  <c r="Y143" i="17"/>
  <c r="Y144" i="17"/>
  <c r="Y137" i="17"/>
  <c r="Y138" i="17"/>
  <c r="X136" i="17"/>
  <c r="S153" i="17" s="1"/>
  <c r="Y179" i="17"/>
  <c r="T196" i="17" s="1"/>
  <c r="T206" i="17" s="1"/>
  <c r="U23" i="12"/>
  <c r="U837" i="12" s="1"/>
  <c r="U838" i="12" s="1"/>
  <c r="Q404" i="5"/>
  <c r="O261" i="5"/>
  <c r="S362" i="5"/>
  <c r="Q271" i="5"/>
  <c r="N369" i="5"/>
  <c r="N365" i="5"/>
  <c r="N374" i="5"/>
  <c r="R271" i="5"/>
  <c r="R272" i="5" s="1"/>
  <c r="S372" i="5"/>
  <c r="P283" i="5"/>
  <c r="R252" i="5"/>
  <c r="N384" i="5"/>
  <c r="N339" i="5"/>
  <c r="N346" i="5" s="1"/>
  <c r="S239" i="5"/>
  <c r="S238" i="5"/>
  <c r="Q236" i="5"/>
  <c r="N303" i="5"/>
  <c r="N236" i="5"/>
  <c r="S235" i="5"/>
  <c r="Q250" i="5"/>
  <c r="S250" i="5" s="1"/>
  <c r="N272" i="5"/>
  <c r="N406" i="5" s="1"/>
  <c r="N478" i="5" s="1"/>
  <c r="N518" i="5" s="1"/>
  <c r="S270" i="5"/>
  <c r="N353" i="5"/>
  <c r="N286" i="5"/>
  <c r="N319" i="5"/>
  <c r="N320" i="5"/>
  <c r="N253" i="5"/>
  <c r="N252" i="5"/>
  <c r="Q251" i="5"/>
  <c r="Q385" i="5" s="1"/>
  <c r="R240" i="5"/>
  <c r="S240" i="5" s="1"/>
  <c r="R249" i="5"/>
  <c r="R234" i="5"/>
  <c r="R236" i="5" s="1"/>
  <c r="R231" i="5"/>
  <c r="R286" i="5" s="1"/>
  <c r="AK62" i="5"/>
  <c r="AK78" i="5"/>
  <c r="V275" i="17" l="1"/>
  <c r="AA266" i="17"/>
  <c r="Z297" i="17"/>
  <c r="U284" i="17"/>
  <c r="D284" i="17" s="1"/>
  <c r="AD289" i="17"/>
  <c r="AN289" i="17" s="1"/>
  <c r="AD214" i="17"/>
  <c r="AN214" i="17" s="1"/>
  <c r="C325" i="17"/>
  <c r="AO325" i="17"/>
  <c r="AN325" i="17"/>
  <c r="B325" i="17"/>
  <c r="C289" i="17"/>
  <c r="AO289" i="17"/>
  <c r="E289" i="17"/>
  <c r="AQ289" i="17"/>
  <c r="AA297" i="17"/>
  <c r="V307" i="17" s="1"/>
  <c r="V301" i="17"/>
  <c r="AA301" i="17" s="1"/>
  <c r="V310" i="17" s="1"/>
  <c r="U183" i="17"/>
  <c r="AB298" i="17"/>
  <c r="AF213" i="17"/>
  <c r="AF214" i="17" s="1"/>
  <c r="AP214" i="17" s="1"/>
  <c r="AG211" i="17"/>
  <c r="C171" i="17"/>
  <c r="AE214" i="17"/>
  <c r="AH323" i="17"/>
  <c r="AH321" i="17"/>
  <c r="AH322" i="17"/>
  <c r="AF324" i="17"/>
  <c r="AF325" i="17" s="1"/>
  <c r="W297" i="17"/>
  <c r="AG324" i="17"/>
  <c r="AG325" i="17" s="1"/>
  <c r="U275" i="17"/>
  <c r="Z266" i="17"/>
  <c r="AG210" i="17"/>
  <c r="AF288" i="17"/>
  <c r="W261" i="17"/>
  <c r="AG212" i="17"/>
  <c r="AH196" i="17"/>
  <c r="AH206" i="17" s="1"/>
  <c r="AL206" i="17" s="1"/>
  <c r="W179" i="17"/>
  <c r="AF170" i="17"/>
  <c r="AG167" i="17"/>
  <c r="AG168" i="17"/>
  <c r="AG169" i="17"/>
  <c r="AH153" i="17"/>
  <c r="AH163" i="17" s="1"/>
  <c r="AL163" i="17" s="1"/>
  <c r="R65" i="58"/>
  <c r="R64" i="58"/>
  <c r="Q65" i="58"/>
  <c r="Q82" i="58"/>
  <c r="Q76" i="58" s="1"/>
  <c r="V12" i="12"/>
  <c r="R39" i="43"/>
  <c r="V11" i="12"/>
  <c r="V29" i="12" s="1"/>
  <c r="R38" i="43"/>
  <c r="R56" i="43" s="1"/>
  <c r="R50" i="43" s="1"/>
  <c r="O284" i="5"/>
  <c r="U12" i="12"/>
  <c r="Q39" i="43"/>
  <c r="Q56" i="43"/>
  <c r="Q50" i="43" s="1"/>
  <c r="L1" i="27"/>
  <c r="AI19" i="27"/>
  <c r="M1" i="27" s="1"/>
  <c r="U319" i="17"/>
  <c r="W306" i="17"/>
  <c r="W315" i="17" s="1"/>
  <c r="V319" i="17"/>
  <c r="W393" i="17"/>
  <c r="W353" i="17"/>
  <c r="V348" i="17"/>
  <c r="W308" i="17"/>
  <c r="W317" i="17" s="1"/>
  <c r="W394" i="17"/>
  <c r="W354" i="17"/>
  <c r="AB262" i="17"/>
  <c r="W272" i="17" s="1"/>
  <c r="W281" i="17" s="1"/>
  <c r="U356" i="17"/>
  <c r="U355" i="17"/>
  <c r="V392" i="17"/>
  <c r="U396" i="17"/>
  <c r="U395" i="17"/>
  <c r="T352" i="17"/>
  <c r="T357" i="17" s="1"/>
  <c r="V308" i="17"/>
  <c r="V317" i="17" s="1"/>
  <c r="V394" i="17"/>
  <c r="V354" i="17"/>
  <c r="V352" i="17"/>
  <c r="V355" i="17"/>
  <c r="V356" i="17"/>
  <c r="U352" i="17"/>
  <c r="U308" i="17"/>
  <c r="U317" i="17" s="1"/>
  <c r="U394" i="17"/>
  <c r="U354" i="17"/>
  <c r="W309" i="17"/>
  <c r="W319" i="17" s="1"/>
  <c r="T388" i="17"/>
  <c r="T348" i="17"/>
  <c r="T392" i="17"/>
  <c r="T397" i="17" s="1"/>
  <c r="C397" i="17" s="1"/>
  <c r="V395" i="17"/>
  <c r="V396" i="17"/>
  <c r="U392" i="17"/>
  <c r="T87" i="17"/>
  <c r="T91" i="17" s="1"/>
  <c r="T95" i="17" s="1"/>
  <c r="T96" i="17" s="1"/>
  <c r="F97" i="17" s="1"/>
  <c r="R560" i="5"/>
  <c r="R565" i="5"/>
  <c r="R512" i="5"/>
  <c r="R545" i="5"/>
  <c r="R567" i="5" s="1"/>
  <c r="R533" i="5"/>
  <c r="R546" i="5" s="1"/>
  <c r="R568" i="5" s="1"/>
  <c r="T153" i="17"/>
  <c r="T163" i="17" s="1"/>
  <c r="P257" i="5"/>
  <c r="AK74" i="5"/>
  <c r="M532" i="5" s="1"/>
  <c r="AP85" i="5"/>
  <c r="AP80" i="5" s="1"/>
  <c r="AP88" i="5" s="1"/>
  <c r="R294" i="5"/>
  <c r="AP100" i="5"/>
  <c r="P302" i="5"/>
  <c r="P298" i="5"/>
  <c r="P353" i="5" s="1"/>
  <c r="P420" i="5" s="1"/>
  <c r="P373" i="5"/>
  <c r="P374" i="5" s="1"/>
  <c r="P363" i="5"/>
  <c r="Q296" i="5"/>
  <c r="Q306" i="5"/>
  <c r="P307" i="5"/>
  <c r="P317" i="5"/>
  <c r="P338" i="5"/>
  <c r="T154" i="17"/>
  <c r="T164" i="17" s="1"/>
  <c r="U307" i="17"/>
  <c r="T310" i="17"/>
  <c r="T311" i="17" s="1"/>
  <c r="Y302" i="17"/>
  <c r="U315" i="17"/>
  <c r="T204" i="17"/>
  <c r="X190" i="17"/>
  <c r="S199" i="17"/>
  <c r="S209" i="17" s="1"/>
  <c r="T151" i="17"/>
  <c r="S163" i="17"/>
  <c r="T152" i="17"/>
  <c r="T162" i="17" s="1"/>
  <c r="R368" i="5"/>
  <c r="S368" i="5" s="1"/>
  <c r="Q253" i="5"/>
  <c r="Q257" i="5" s="1"/>
  <c r="N279" i="5"/>
  <c r="N413" i="5" s="1"/>
  <c r="AB141" i="17"/>
  <c r="X140" i="17"/>
  <c r="S156" i="17" s="1"/>
  <c r="X139" i="17"/>
  <c r="S155" i="17" s="1"/>
  <c r="S165" i="17" s="1"/>
  <c r="O303" i="5"/>
  <c r="V188" i="17"/>
  <c r="AA188" i="17" s="1"/>
  <c r="V186" i="17"/>
  <c r="V189" i="17" s="1"/>
  <c r="AA189" i="17" s="1"/>
  <c r="T316" i="17"/>
  <c r="T320" i="17" s="1"/>
  <c r="C320" i="17" s="1"/>
  <c r="W188" i="17"/>
  <c r="AB188" i="17" s="1"/>
  <c r="W186" i="17"/>
  <c r="W189" i="17" s="1"/>
  <c r="AB189" i="17" s="1"/>
  <c r="Y140" i="17"/>
  <c r="Y139" i="17"/>
  <c r="U139" i="17"/>
  <c r="U135" i="17"/>
  <c r="U137" i="17"/>
  <c r="U143" i="17"/>
  <c r="U146" i="17" s="1"/>
  <c r="Z146" i="17" s="1"/>
  <c r="U145" i="17"/>
  <c r="Z145" i="17" s="1"/>
  <c r="O384" i="5"/>
  <c r="O320" i="5"/>
  <c r="O319" i="5"/>
  <c r="O386" i="5" s="1"/>
  <c r="O365" i="5"/>
  <c r="O369" i="5"/>
  <c r="O370" i="5" s="1"/>
  <c r="V228" i="17"/>
  <c r="V233" i="17" s="1"/>
  <c r="V234" i="17" s="1"/>
  <c r="E234" i="17" s="1"/>
  <c r="Z180" i="17"/>
  <c r="U197" i="17" s="1"/>
  <c r="U207" i="17" s="1"/>
  <c r="Z181" i="17"/>
  <c r="U194" i="17" s="1"/>
  <c r="V145" i="17"/>
  <c r="AA145" i="17" s="1"/>
  <c r="V143" i="17"/>
  <c r="V146" i="17" s="1"/>
  <c r="AA146" i="17" s="1"/>
  <c r="V135" i="17"/>
  <c r="V139" i="17"/>
  <c r="V137" i="17"/>
  <c r="V245" i="17"/>
  <c r="V250" i="17" s="1"/>
  <c r="V251" i="17" s="1"/>
  <c r="E251" i="17" s="1"/>
  <c r="O339" i="5"/>
  <c r="O405" i="5"/>
  <c r="S305" i="5"/>
  <c r="R316" i="5"/>
  <c r="R383" i="5" s="1"/>
  <c r="S383" i="5" s="1"/>
  <c r="R337" i="5"/>
  <c r="Y182" i="17"/>
  <c r="T198" i="17" s="1"/>
  <c r="T208" i="17" s="1"/>
  <c r="Y183" i="17"/>
  <c r="T199" i="17" s="1"/>
  <c r="T209" i="17" s="1"/>
  <c r="U245" i="17"/>
  <c r="U250" i="17" s="1"/>
  <c r="U251" i="17" s="1"/>
  <c r="D251" i="17" s="1"/>
  <c r="S293" i="5"/>
  <c r="R301" i="5"/>
  <c r="Z179" i="17"/>
  <c r="U196" i="17" s="1"/>
  <c r="U206" i="17" s="1"/>
  <c r="U845" i="12"/>
  <c r="U854" i="12" s="1"/>
  <c r="U846" i="12"/>
  <c r="U855" i="12" s="1"/>
  <c r="U844" i="12"/>
  <c r="U853" i="12" s="1"/>
  <c r="U847" i="12"/>
  <c r="U856" i="12" s="1"/>
  <c r="U867" i="12" s="1"/>
  <c r="V23" i="12"/>
  <c r="V837" i="12" s="1"/>
  <c r="V838" i="12" s="1"/>
  <c r="S271" i="5"/>
  <c r="O263" i="5"/>
  <c r="O285" i="5" s="1"/>
  <c r="R275" i="5"/>
  <c r="R279" i="5"/>
  <c r="R283" i="5" s="1"/>
  <c r="Q272" i="5"/>
  <c r="N342" i="5"/>
  <c r="N275" i="5"/>
  <c r="N370" i="5"/>
  <c r="Q252" i="5"/>
  <c r="P284" i="5"/>
  <c r="N386" i="5"/>
  <c r="N420" i="5"/>
  <c r="S249" i="5"/>
  <c r="N387" i="5"/>
  <c r="S231" i="5"/>
  <c r="S234" i="5"/>
  <c r="N350" i="5"/>
  <c r="S286" i="5"/>
  <c r="S236" i="5"/>
  <c r="N324" i="5"/>
  <c r="N328" i="5"/>
  <c r="AK92" i="5"/>
  <c r="M292" i="5"/>
  <c r="M293" i="5" s="1"/>
  <c r="M225" i="5"/>
  <c r="M226" i="5" s="1"/>
  <c r="N261" i="5"/>
  <c r="N257" i="5"/>
  <c r="P263" i="5"/>
  <c r="R253" i="5"/>
  <c r="R251" i="5"/>
  <c r="AK76" i="5"/>
  <c r="AK88" i="5" s="1"/>
  <c r="N283" i="5" l="1"/>
  <c r="AA302" i="17"/>
  <c r="B289" i="17"/>
  <c r="AG213" i="17"/>
  <c r="B214" i="17"/>
  <c r="D325" i="17"/>
  <c r="AP325" i="17"/>
  <c r="D214" i="17"/>
  <c r="C214" i="17"/>
  <c r="AO214" i="17"/>
  <c r="E325" i="17"/>
  <c r="AQ325" i="17"/>
  <c r="U18" i="12"/>
  <c r="U30" i="12" s="1"/>
  <c r="Z135" i="17"/>
  <c r="U140" i="17"/>
  <c r="AB297" i="17"/>
  <c r="W307" i="17" s="1"/>
  <c r="W301" i="17"/>
  <c r="AB301" i="17" s="1"/>
  <c r="AA135" i="17"/>
  <c r="V140" i="17"/>
  <c r="AB261" i="17"/>
  <c r="W271" i="17" s="1"/>
  <c r="W280" i="17" s="1"/>
  <c r="W265" i="17"/>
  <c r="AB265" i="17" s="1"/>
  <c r="W274" i="17" s="1"/>
  <c r="W283" i="17" s="1"/>
  <c r="S210" i="17"/>
  <c r="B210" i="17" s="1"/>
  <c r="AH324" i="17"/>
  <c r="AH325" i="17" s="1"/>
  <c r="F325" i="17" s="1"/>
  <c r="AF171" i="17"/>
  <c r="AH210" i="17"/>
  <c r="AF289" i="17"/>
  <c r="AG214" i="17"/>
  <c r="AH285" i="17"/>
  <c r="AH287" i="17"/>
  <c r="AH286" i="17"/>
  <c r="AH212" i="17"/>
  <c r="AH211" i="17"/>
  <c r="AG170" i="17"/>
  <c r="AH169" i="17"/>
  <c r="AH168" i="17"/>
  <c r="AH167" i="17"/>
  <c r="P65" i="58"/>
  <c r="Y64" i="58"/>
  <c r="Y65" i="58"/>
  <c r="Q66" i="58"/>
  <c r="Q72" i="58" s="1"/>
  <c r="Q84" i="58" s="1"/>
  <c r="Q78" i="58" s="1"/>
  <c r="R82" i="58"/>
  <c r="R76" i="58" s="1"/>
  <c r="P64" i="58"/>
  <c r="T64" i="58"/>
  <c r="Q71" i="58"/>
  <c r="R71" i="58"/>
  <c r="U13" i="12"/>
  <c r="U19" i="12" s="1"/>
  <c r="U31" i="12" s="1"/>
  <c r="Q40" i="43"/>
  <c r="Q45" i="43"/>
  <c r="T42" i="12"/>
  <c r="T48" i="12" s="1"/>
  <c r="T60" i="12" s="1"/>
  <c r="Y39" i="43"/>
  <c r="P38" i="43"/>
  <c r="T11" i="12"/>
  <c r="T29" i="12" s="1"/>
  <c r="T38" i="43"/>
  <c r="X11" i="12"/>
  <c r="X29" i="12" s="1"/>
  <c r="R45" i="43"/>
  <c r="T12" i="12"/>
  <c r="P39" i="43"/>
  <c r="Y38" i="43"/>
  <c r="Y56" i="43" s="1"/>
  <c r="Y50" i="43" s="1"/>
  <c r="T41" i="12"/>
  <c r="T59" i="12" s="1"/>
  <c r="V18" i="12"/>
  <c r="V30" i="12" s="1"/>
  <c r="V530" i="12" s="1"/>
  <c r="V311" i="17"/>
  <c r="W318" i="17"/>
  <c r="U96" i="17"/>
  <c r="V397" i="17"/>
  <c r="E397" i="17" s="1"/>
  <c r="V357" i="17"/>
  <c r="E357" i="17" s="1"/>
  <c r="W355" i="17"/>
  <c r="W356" i="17"/>
  <c r="W352" i="17"/>
  <c r="W395" i="17"/>
  <c r="W396" i="17"/>
  <c r="W392" i="17"/>
  <c r="U353" i="17"/>
  <c r="U357" i="17" s="1"/>
  <c r="D357" i="17" s="1"/>
  <c r="U310" i="17"/>
  <c r="U311" i="17" s="1"/>
  <c r="U348" i="17"/>
  <c r="U388" i="17"/>
  <c r="U393" i="17"/>
  <c r="U397" i="17" s="1"/>
  <c r="D397" i="17" s="1"/>
  <c r="W388" i="17"/>
  <c r="W348" i="17"/>
  <c r="C357" i="17"/>
  <c r="V388" i="17"/>
  <c r="AB266" i="17"/>
  <c r="W275" i="17"/>
  <c r="M545" i="5"/>
  <c r="M567" i="5" s="1"/>
  <c r="M533" i="5"/>
  <c r="Q261" i="5"/>
  <c r="Z302" i="17"/>
  <c r="S294" i="5"/>
  <c r="R296" i="5"/>
  <c r="R306" i="5"/>
  <c r="Q307" i="5"/>
  <c r="Q317" i="5"/>
  <c r="Q338" i="5"/>
  <c r="P339" i="5"/>
  <c r="P405" i="5"/>
  <c r="Q302" i="5"/>
  <c r="Q298" i="5"/>
  <c r="Q353" i="5" s="1"/>
  <c r="Q420" i="5" s="1"/>
  <c r="P303" i="5"/>
  <c r="P384" i="5"/>
  <c r="P319" i="5"/>
  <c r="P386" i="5" s="1"/>
  <c r="P320" i="5"/>
  <c r="P369" i="5"/>
  <c r="P370" i="5" s="1"/>
  <c r="P365" i="5"/>
  <c r="AP99" i="5"/>
  <c r="AP94" i="5" s="1"/>
  <c r="AP102" i="5" s="1"/>
  <c r="Q361" i="5" s="1"/>
  <c r="R361" i="5"/>
  <c r="W310" i="17"/>
  <c r="W311" i="17" s="1"/>
  <c r="Y147" i="17"/>
  <c r="U204" i="17"/>
  <c r="T161" i="17"/>
  <c r="S200" i="17"/>
  <c r="T200" i="17"/>
  <c r="Y190" i="17"/>
  <c r="X147" i="17"/>
  <c r="S166" i="17"/>
  <c r="T156" i="17"/>
  <c r="T166" i="17" s="1"/>
  <c r="T155" i="17"/>
  <c r="T165" i="17" s="1"/>
  <c r="Q279" i="5"/>
  <c r="Q283" i="5" s="1"/>
  <c r="N391" i="5"/>
  <c r="T210" i="17"/>
  <c r="C210" i="17" s="1"/>
  <c r="S272" i="5"/>
  <c r="S316" i="5"/>
  <c r="R318" i="5"/>
  <c r="S318" i="5" s="1"/>
  <c r="Z136" i="17"/>
  <c r="AB187" i="17"/>
  <c r="W195" i="17" s="1"/>
  <c r="W205" i="17" s="1"/>
  <c r="AB186" i="17"/>
  <c r="Z182" i="17"/>
  <c r="U198" i="17" s="1"/>
  <c r="U208" i="17" s="1"/>
  <c r="Z183" i="17"/>
  <c r="U199" i="17" s="1"/>
  <c r="U209" i="17" s="1"/>
  <c r="W228" i="17"/>
  <c r="W233" i="17" s="1"/>
  <c r="W234" i="17" s="1"/>
  <c r="F234" i="17" s="1"/>
  <c r="O342" i="5"/>
  <c r="O409" i="5" s="1"/>
  <c r="O346" i="5"/>
  <c r="O406" i="5"/>
  <c r="W180" i="17"/>
  <c r="W178" i="17"/>
  <c r="AB178" i="17" s="1"/>
  <c r="W182" i="17"/>
  <c r="Z142" i="17"/>
  <c r="W137" i="17"/>
  <c r="W139" i="17"/>
  <c r="W135" i="17"/>
  <c r="S319" i="17"/>
  <c r="S320" i="17" s="1"/>
  <c r="S167" i="17"/>
  <c r="S301" i="5"/>
  <c r="AA137" i="17"/>
  <c r="AA138" i="17"/>
  <c r="AA142" i="17"/>
  <c r="V182" i="17"/>
  <c r="V178" i="17"/>
  <c r="V180" i="17"/>
  <c r="AB185" i="17"/>
  <c r="AA185" i="17"/>
  <c r="R404" i="5"/>
  <c r="S404" i="5" s="1"/>
  <c r="S337" i="5"/>
  <c r="AA136" i="17"/>
  <c r="AA144" i="17"/>
  <c r="AA143" i="17"/>
  <c r="O387" i="5"/>
  <c r="O324" i="5"/>
  <c r="O391" i="5" s="1"/>
  <c r="O328" i="5"/>
  <c r="Z144" i="17"/>
  <c r="Z143" i="17"/>
  <c r="Z137" i="17"/>
  <c r="Z138" i="17"/>
  <c r="AA187" i="17"/>
  <c r="V195" i="17" s="1"/>
  <c r="V205" i="17" s="1"/>
  <c r="AA186" i="17"/>
  <c r="W145" i="17"/>
  <c r="AB145" i="17" s="1"/>
  <c r="W143" i="17"/>
  <c r="W146" i="17" s="1"/>
  <c r="AB146" i="17" s="1"/>
  <c r="N409" i="5"/>
  <c r="Q275" i="5"/>
  <c r="S275" i="5" s="1"/>
  <c r="V845" i="12"/>
  <c r="V854" i="12" s="1"/>
  <c r="V846" i="12"/>
  <c r="V855" i="12" s="1"/>
  <c r="V844" i="12"/>
  <c r="V853" i="12" s="1"/>
  <c r="V847" i="12"/>
  <c r="V856" i="12" s="1"/>
  <c r="V867" i="12" s="1"/>
  <c r="X23" i="12"/>
  <c r="X837" i="12" s="1"/>
  <c r="X838" i="12" s="1"/>
  <c r="T23" i="12"/>
  <c r="T837" i="12" s="1"/>
  <c r="T838" i="12" s="1"/>
  <c r="V457" i="12"/>
  <c r="V458" i="12" s="1"/>
  <c r="U530" i="12"/>
  <c r="U457" i="12"/>
  <c r="U458" i="12" s="1"/>
  <c r="N351" i="5"/>
  <c r="AK90" i="5"/>
  <c r="AK102" i="5" s="1"/>
  <c r="M359" i="5"/>
  <c r="M360" i="5" s="1"/>
  <c r="S251" i="5"/>
  <c r="R385" i="5"/>
  <c r="S385" i="5" s="1"/>
  <c r="P285" i="5"/>
  <c r="N417" i="5"/>
  <c r="N284" i="5"/>
  <c r="N395" i="5"/>
  <c r="S253" i="5"/>
  <c r="O282" i="5"/>
  <c r="S252" i="5"/>
  <c r="N263" i="5"/>
  <c r="N330" i="5"/>
  <c r="M231" i="5"/>
  <c r="M234" i="5"/>
  <c r="M236" i="5" s="1"/>
  <c r="M301" i="5"/>
  <c r="M303" i="5" s="1"/>
  <c r="M298" i="5"/>
  <c r="R257" i="5"/>
  <c r="R261" i="5"/>
  <c r="AB302" i="17" l="1"/>
  <c r="D289" i="17"/>
  <c r="AP289" i="17"/>
  <c r="AL324" i="17"/>
  <c r="D171" i="17"/>
  <c r="AP171" i="17"/>
  <c r="W284" i="17"/>
  <c r="F284" i="17" s="1"/>
  <c r="E214" i="17"/>
  <c r="AQ214" i="17"/>
  <c r="Q83" i="58"/>
  <c r="R83" i="58"/>
  <c r="AA178" i="17"/>
  <c r="V183" i="17"/>
  <c r="AB135" i="17"/>
  <c r="W140" i="17"/>
  <c r="T845" i="12"/>
  <c r="T854" i="12" s="1"/>
  <c r="W183" i="17"/>
  <c r="B167" i="17"/>
  <c r="AG171" i="17"/>
  <c r="AH213" i="17"/>
  <c r="AL213" i="17" s="1"/>
  <c r="AH288" i="17"/>
  <c r="AL288" i="17" s="1"/>
  <c r="AH170" i="17"/>
  <c r="AL170" i="17" s="1"/>
  <c r="T82" i="58"/>
  <c r="T76" i="58" s="1"/>
  <c r="Y82" i="58"/>
  <c r="Y76" i="58" s="1"/>
  <c r="Q63" i="58"/>
  <c r="R66" i="58"/>
  <c r="R72" i="58" s="1"/>
  <c r="R84" i="58" s="1"/>
  <c r="R78" i="58" s="1"/>
  <c r="T65" i="58"/>
  <c r="Z65" i="58"/>
  <c r="P82" i="58"/>
  <c r="P76" i="58" s="1"/>
  <c r="S64" i="58"/>
  <c r="S82" i="58" s="1"/>
  <c r="S76" i="58" s="1"/>
  <c r="S65" i="58"/>
  <c r="Y71" i="58"/>
  <c r="P71" i="58"/>
  <c r="Q57" i="43"/>
  <c r="Q51" i="43" s="1"/>
  <c r="R57" i="43"/>
  <c r="R51" i="43" s="1"/>
  <c r="P56" i="43"/>
  <c r="P50" i="43" s="1"/>
  <c r="U42" i="12"/>
  <c r="U48" i="12" s="1"/>
  <c r="U60" i="12" s="1"/>
  <c r="Z39" i="43"/>
  <c r="P45" i="43"/>
  <c r="Y45" i="43"/>
  <c r="Q46" i="43"/>
  <c r="Q58" i="43" s="1"/>
  <c r="T39" i="43"/>
  <c r="T45" i="43" s="1"/>
  <c r="X12" i="12"/>
  <c r="Q37" i="43"/>
  <c r="U10" i="12"/>
  <c r="R40" i="43"/>
  <c r="V13" i="12"/>
  <c r="W11" i="12"/>
  <c r="W29" i="12" s="1"/>
  <c r="W23" i="12" s="1"/>
  <c r="W837" i="12" s="1"/>
  <c r="W838" i="12" s="1"/>
  <c r="S38" i="43"/>
  <c r="S39" i="43"/>
  <c r="W12" i="12"/>
  <c r="T18" i="12"/>
  <c r="T30" i="12" s="1"/>
  <c r="T530" i="12" s="1"/>
  <c r="T56" i="43"/>
  <c r="T50" i="43" s="1"/>
  <c r="Q263" i="5"/>
  <c r="Q284" i="5"/>
  <c r="S279" i="5"/>
  <c r="X284" i="17"/>
  <c r="W397" i="17"/>
  <c r="W357" i="17"/>
  <c r="S283" i="5"/>
  <c r="M546" i="5"/>
  <c r="M568" i="5" s="1"/>
  <c r="M534" i="5"/>
  <c r="M547" i="5" s="1"/>
  <c r="M569" i="5" s="1"/>
  <c r="N534" i="5"/>
  <c r="N547" i="5" s="1"/>
  <c r="N569" i="5" s="1"/>
  <c r="R363" i="5"/>
  <c r="R373" i="5"/>
  <c r="R374" i="5" s="1"/>
  <c r="P387" i="5"/>
  <c r="P324" i="5"/>
  <c r="P391" i="5" s="1"/>
  <c r="P328" i="5"/>
  <c r="P342" i="5"/>
  <c r="P409" i="5" s="1"/>
  <c r="P406" i="5"/>
  <c r="P346" i="5"/>
  <c r="S306" i="5"/>
  <c r="R338" i="5"/>
  <c r="R317" i="5"/>
  <c r="R307" i="5"/>
  <c r="S307" i="5" s="1"/>
  <c r="Q373" i="5"/>
  <c r="Q363" i="5"/>
  <c r="S361" i="5"/>
  <c r="Q339" i="5"/>
  <c r="Q405" i="5"/>
  <c r="S296" i="5"/>
  <c r="R302" i="5"/>
  <c r="R298" i="5"/>
  <c r="Q303" i="5"/>
  <c r="Q384" i="5"/>
  <c r="Q320" i="5"/>
  <c r="Q319" i="5"/>
  <c r="Q386" i="5" s="1"/>
  <c r="V154" i="17"/>
  <c r="V164" i="17" s="1"/>
  <c r="U154" i="17"/>
  <c r="U164" i="17" s="1"/>
  <c r="U200" i="17"/>
  <c r="Z190" i="17"/>
  <c r="T157" i="17"/>
  <c r="S157" i="17"/>
  <c r="U153" i="17"/>
  <c r="V153" i="17"/>
  <c r="V163" i="17" s="1"/>
  <c r="V151" i="17"/>
  <c r="U151" i="17"/>
  <c r="B320" i="17"/>
  <c r="U152" i="17"/>
  <c r="U162" i="17" s="1"/>
  <c r="V152" i="17"/>
  <c r="V162" i="17" s="1"/>
  <c r="T167" i="17"/>
  <c r="U210" i="17"/>
  <c r="D210" i="17" s="1"/>
  <c r="N418" i="5"/>
  <c r="AB142" i="17"/>
  <c r="O351" i="5"/>
  <c r="O418" i="5" s="1"/>
  <c r="O395" i="5"/>
  <c r="O330" i="5"/>
  <c r="V316" i="17"/>
  <c r="V320" i="17" s="1"/>
  <c r="E320" i="17" s="1"/>
  <c r="W245" i="17"/>
  <c r="W250" i="17" s="1"/>
  <c r="W251" i="17" s="1"/>
  <c r="O350" i="5"/>
  <c r="O413" i="5"/>
  <c r="X234" i="17"/>
  <c r="AB143" i="17"/>
  <c r="AB144" i="17"/>
  <c r="AA179" i="17"/>
  <c r="V196" i="17" s="1"/>
  <c r="AB138" i="17"/>
  <c r="AB137" i="17"/>
  <c r="U316" i="17"/>
  <c r="U320" i="17" s="1"/>
  <c r="D320" i="17" s="1"/>
  <c r="AA139" i="17"/>
  <c r="AA140" i="17"/>
  <c r="AA181" i="17"/>
  <c r="AA180" i="17"/>
  <c r="V197" i="17" s="1"/>
  <c r="V207" i="17" s="1"/>
  <c r="AB136" i="17"/>
  <c r="AB181" i="17"/>
  <c r="W194" i="17" s="1"/>
  <c r="AB180" i="17"/>
  <c r="W197" i="17" s="1"/>
  <c r="W207" i="17" s="1"/>
  <c r="Z140" i="17"/>
  <c r="Z139" i="17"/>
  <c r="AB179" i="17"/>
  <c r="W196" i="17" s="1"/>
  <c r="W206" i="17" s="1"/>
  <c r="T53" i="12"/>
  <c r="T879" i="12"/>
  <c r="T880" i="12" s="1"/>
  <c r="X845" i="12"/>
  <c r="X854" i="12" s="1"/>
  <c r="X846" i="12"/>
  <c r="X855" i="12" s="1"/>
  <c r="X844" i="12"/>
  <c r="X853" i="12" s="1"/>
  <c r="X847" i="12"/>
  <c r="X856" i="12" s="1"/>
  <c r="X867" i="12" s="1"/>
  <c r="T846" i="12"/>
  <c r="T855" i="12" s="1"/>
  <c r="T866" i="12" s="1"/>
  <c r="T844" i="12"/>
  <c r="T853" i="12" s="1"/>
  <c r="T864" i="12" s="1"/>
  <c r="T847" i="12"/>
  <c r="T856" i="12" s="1"/>
  <c r="T867" i="12" s="1"/>
  <c r="U535" i="12"/>
  <c r="U533" i="12"/>
  <c r="V533" i="12"/>
  <c r="V535" i="12"/>
  <c r="V24" i="12"/>
  <c r="V341" i="12" s="1"/>
  <c r="V346" i="12" s="1"/>
  <c r="U24" i="12"/>
  <c r="U341" i="12" s="1"/>
  <c r="U344" i="12" s="1"/>
  <c r="T54" i="12"/>
  <c r="T646" i="12" s="1"/>
  <c r="T762" i="12"/>
  <c r="T763" i="12" s="1"/>
  <c r="U537" i="12"/>
  <c r="N397" i="5"/>
  <c r="M365" i="5"/>
  <c r="M368" i="5"/>
  <c r="M370" i="5" s="1"/>
  <c r="R284" i="5"/>
  <c r="Q285" i="5"/>
  <c r="S257" i="5"/>
  <c r="P282" i="5"/>
  <c r="N285" i="5"/>
  <c r="N352" i="5"/>
  <c r="R263" i="5"/>
  <c r="V194" i="17" l="1"/>
  <c r="E171" i="17"/>
  <c r="AQ171" i="17"/>
  <c r="R77" i="58"/>
  <c r="V130" i="58" s="1"/>
  <c r="V132" i="58" s="1"/>
  <c r="Q77" i="58"/>
  <c r="U130" i="58" s="1"/>
  <c r="U132" i="58" s="1"/>
  <c r="U136" i="58" s="1"/>
  <c r="U140" i="58" s="1"/>
  <c r="Y83" i="58"/>
  <c r="Y77" i="58" s="1"/>
  <c r="P83" i="58"/>
  <c r="W18" i="12"/>
  <c r="W30" i="12" s="1"/>
  <c r="V19" i="12"/>
  <c r="V31" i="12" s="1"/>
  <c r="X18" i="12"/>
  <c r="X30" i="12" s="1"/>
  <c r="V206" i="17"/>
  <c r="U163" i="17"/>
  <c r="C167" i="17"/>
  <c r="AH289" i="17"/>
  <c r="F289" i="17" s="1"/>
  <c r="AH214" i="17"/>
  <c r="F214" i="17" s="1"/>
  <c r="AH171" i="17"/>
  <c r="F171" i="17" s="1"/>
  <c r="AA65" i="58"/>
  <c r="AA71" i="58" s="1"/>
  <c r="T71" i="58"/>
  <c r="Q69" i="58"/>
  <c r="S66" i="58"/>
  <c r="Y66" i="58"/>
  <c r="Y72" i="58" s="1"/>
  <c r="Y84" i="58" s="1"/>
  <c r="Y78" i="58" s="1"/>
  <c r="P66" i="58"/>
  <c r="P72" i="58" s="1"/>
  <c r="P84" i="58" s="1"/>
  <c r="P78" i="58" s="1"/>
  <c r="S71" i="58"/>
  <c r="Z71" i="58"/>
  <c r="R63" i="58"/>
  <c r="Z64" i="58"/>
  <c r="Y57" i="43"/>
  <c r="Y51" i="43" s="1"/>
  <c r="P57" i="43"/>
  <c r="P51" i="43" s="1"/>
  <c r="T57" i="43"/>
  <c r="T51" i="43" s="1"/>
  <c r="W847" i="12"/>
  <c r="W856" i="12" s="1"/>
  <c r="W867" i="12" s="1"/>
  <c r="W846" i="12"/>
  <c r="W855" i="12" s="1"/>
  <c r="W845" i="12"/>
  <c r="W854" i="12" s="1"/>
  <c r="W844" i="12"/>
  <c r="W853" i="12" s="1"/>
  <c r="U16" i="12"/>
  <c r="U28" i="12" s="1"/>
  <c r="Q52" i="43"/>
  <c r="Q229" i="43" s="1"/>
  <c r="Q231" i="43" s="1"/>
  <c r="Q233" i="43" s="1"/>
  <c r="Q235" i="43" s="1"/>
  <c r="V42" i="12"/>
  <c r="V48" i="12" s="1"/>
  <c r="V60" i="12" s="1"/>
  <c r="AA39" i="43"/>
  <c r="T43" i="12"/>
  <c r="T49" i="12" s="1"/>
  <c r="T61" i="12" s="1"/>
  <c r="Y40" i="43"/>
  <c r="Y46" i="43" s="1"/>
  <c r="Y58" i="43" s="1"/>
  <c r="Y52" i="43" s="1"/>
  <c r="P74" i="43" s="1"/>
  <c r="P76" i="43" s="1"/>
  <c r="P77" i="43" s="1"/>
  <c r="V77" i="43" s="1"/>
  <c r="AB77" i="43" s="1"/>
  <c r="S40" i="43"/>
  <c r="W13" i="12"/>
  <c r="W19" i="12" s="1"/>
  <c r="W31" i="12" s="1"/>
  <c r="Q43" i="43"/>
  <c r="T13" i="12"/>
  <c r="P40" i="43"/>
  <c r="R37" i="43"/>
  <c r="V10" i="12"/>
  <c r="U41" i="12"/>
  <c r="U59" i="12" s="1"/>
  <c r="Z38" i="43"/>
  <c r="S45" i="43"/>
  <c r="Z45" i="43"/>
  <c r="S56" i="43"/>
  <c r="S50" i="43" s="1"/>
  <c r="R46" i="43"/>
  <c r="R58" i="43" s="1"/>
  <c r="AA537" i="12"/>
  <c r="AB346" i="12"/>
  <c r="AA535" i="12"/>
  <c r="AB533" i="12"/>
  <c r="AA344" i="12"/>
  <c r="AA533" i="12"/>
  <c r="F357" i="17"/>
  <c r="F397" i="17"/>
  <c r="W154" i="17"/>
  <c r="W164" i="17" s="1"/>
  <c r="O534" i="5"/>
  <c r="O547" i="5" s="1"/>
  <c r="O569" i="5" s="1"/>
  <c r="Q387" i="5"/>
  <c r="Q328" i="5"/>
  <c r="Q324" i="5"/>
  <c r="Q391" i="5" s="1"/>
  <c r="R353" i="5"/>
  <c r="S298" i="5"/>
  <c r="Q342" i="5"/>
  <c r="Q346" i="5"/>
  <c r="Q406" i="5"/>
  <c r="P350" i="5"/>
  <c r="P413" i="5"/>
  <c r="S302" i="5"/>
  <c r="R303" i="5"/>
  <c r="S317" i="5"/>
  <c r="R384" i="5"/>
  <c r="S384" i="5" s="1"/>
  <c r="R320" i="5"/>
  <c r="R319" i="5"/>
  <c r="Q369" i="5"/>
  <c r="S363" i="5"/>
  <c r="Q365" i="5"/>
  <c r="R339" i="5"/>
  <c r="R405" i="5"/>
  <c r="S405" i="5" s="1"/>
  <c r="S338" i="5"/>
  <c r="S373" i="5"/>
  <c r="Q374" i="5"/>
  <c r="S374" i="5" s="1"/>
  <c r="P330" i="5"/>
  <c r="P351" i="5"/>
  <c r="P418" i="5" s="1"/>
  <c r="P395" i="5"/>
  <c r="R369" i="5"/>
  <c r="R370" i="5" s="1"/>
  <c r="R365" i="5"/>
  <c r="Z147" i="17"/>
  <c r="AA147" i="17"/>
  <c r="W204" i="17"/>
  <c r="V204" i="17"/>
  <c r="V161" i="17"/>
  <c r="U161" i="17"/>
  <c r="W153" i="17"/>
  <c r="W163" i="17" s="1"/>
  <c r="W151" i="17"/>
  <c r="U156" i="17"/>
  <c r="U166" i="17" s="1"/>
  <c r="W152" i="17"/>
  <c r="W162" i="17" s="1"/>
  <c r="U155" i="17"/>
  <c r="U165" i="17" s="1"/>
  <c r="V156" i="17"/>
  <c r="V166" i="17" s="1"/>
  <c r="V155" i="17"/>
  <c r="V165" i="17" s="1"/>
  <c r="O417" i="5"/>
  <c r="F251" i="17"/>
  <c r="X251" i="17"/>
  <c r="O352" i="5"/>
  <c r="O397" i="5"/>
  <c r="U762" i="12"/>
  <c r="U763" i="12" s="1"/>
  <c r="AA763" i="12" s="1"/>
  <c r="AG763" i="12" s="1"/>
  <c r="AG774" i="12" s="1"/>
  <c r="AG794" i="12" s="1"/>
  <c r="AG810" i="12" s="1"/>
  <c r="AB183" i="17"/>
  <c r="W199" i="17" s="1"/>
  <c r="W209" i="17" s="1"/>
  <c r="AB182" i="17"/>
  <c r="W198" i="17" s="1"/>
  <c r="W208" i="17" s="1"/>
  <c r="W316" i="17"/>
  <c r="W320" i="17" s="1"/>
  <c r="F320" i="17" s="1"/>
  <c r="AB140" i="17"/>
  <c r="AB139" i="17"/>
  <c r="AA183" i="17"/>
  <c r="V199" i="17" s="1"/>
  <c r="V209" i="17" s="1"/>
  <c r="AA182" i="17"/>
  <c r="V198" i="17" s="1"/>
  <c r="V208" i="17" s="1"/>
  <c r="U346" i="12"/>
  <c r="U342" i="12" s="1"/>
  <c r="V344" i="12"/>
  <c r="T887" i="12"/>
  <c r="T896" i="12" s="1"/>
  <c r="T907" i="12" s="1"/>
  <c r="T888" i="12"/>
  <c r="T897" i="12" s="1"/>
  <c r="T908" i="12" s="1"/>
  <c r="T889" i="12"/>
  <c r="T898" i="12" s="1"/>
  <c r="T909" i="12" s="1"/>
  <c r="T886" i="12"/>
  <c r="T895" i="12" s="1"/>
  <c r="T906" i="12" s="1"/>
  <c r="T651" i="12"/>
  <c r="T649" i="12"/>
  <c r="U531" i="12"/>
  <c r="V531" i="12"/>
  <c r="AB535" i="12"/>
  <c r="AH346" i="12"/>
  <c r="AA772" i="12"/>
  <c r="AA792" i="12" s="1"/>
  <c r="Z763" i="12"/>
  <c r="AF763" i="12" s="1"/>
  <c r="AF772" i="12" s="1"/>
  <c r="T457" i="12"/>
  <c r="T458" i="12" s="1"/>
  <c r="W530" i="12"/>
  <c r="W457" i="12"/>
  <c r="W458" i="12" s="1"/>
  <c r="U71" i="12"/>
  <c r="U25" i="12"/>
  <c r="N419" i="5"/>
  <c r="Q282" i="5"/>
  <c r="S284" i="5"/>
  <c r="R285" i="5"/>
  <c r="N349" i="5"/>
  <c r="S263" i="5"/>
  <c r="N282" i="5"/>
  <c r="N251" i="58" l="1"/>
  <c r="N253" i="58" s="1"/>
  <c r="P77" i="58"/>
  <c r="T130" i="58" s="1"/>
  <c r="T132" i="58" s="1"/>
  <c r="T156" i="58"/>
  <c r="T158" i="58" s="1"/>
  <c r="V136" i="58"/>
  <c r="V140" i="58" s="1"/>
  <c r="U137" i="58"/>
  <c r="U141" i="58" s="1"/>
  <c r="T83" i="58"/>
  <c r="Q81" i="58"/>
  <c r="AB13" i="12"/>
  <c r="V342" i="12"/>
  <c r="AD12" i="12"/>
  <c r="T19" i="12"/>
  <c r="T31" i="12" s="1"/>
  <c r="AB4" i="12"/>
  <c r="P282" i="43"/>
  <c r="P284" i="43" s="1"/>
  <c r="O259" i="43" s="1"/>
  <c r="AC12" i="12"/>
  <c r="AA562" i="12"/>
  <c r="AA561" i="12"/>
  <c r="AA560" i="12"/>
  <c r="AA559" i="12"/>
  <c r="AA558" i="12"/>
  <c r="AB375" i="12"/>
  <c r="AB378" i="12"/>
  <c r="AB377" i="12"/>
  <c r="AB376" i="12"/>
  <c r="AB379" i="12"/>
  <c r="AA372" i="12"/>
  <c r="AA373" i="12"/>
  <c r="AA369" i="12"/>
  <c r="AA370" i="12"/>
  <c r="AA371" i="12"/>
  <c r="AA578" i="12"/>
  <c r="AA570" i="12"/>
  <c r="AA581" i="12"/>
  <c r="AA583" i="12"/>
  <c r="AA577" i="12"/>
  <c r="AA580" i="12"/>
  <c r="AA572" i="12"/>
  <c r="AA573" i="12"/>
  <c r="AA579" i="12"/>
  <c r="AA571" i="12"/>
  <c r="AA582" i="12"/>
  <c r="AA574" i="12"/>
  <c r="AA575" i="12"/>
  <c r="AA576" i="12"/>
  <c r="AH378" i="12"/>
  <c r="AH379" i="12"/>
  <c r="AH377" i="12"/>
  <c r="AH376" i="12"/>
  <c r="AH375" i="12"/>
  <c r="AB558" i="12"/>
  <c r="AB559" i="12"/>
  <c r="AB562" i="12"/>
  <c r="AB561" i="12"/>
  <c r="AB560" i="12"/>
  <c r="AB567" i="12"/>
  <c r="AB565" i="12"/>
  <c r="AB566" i="12"/>
  <c r="AB568" i="12"/>
  <c r="AB564" i="12"/>
  <c r="AA565" i="12"/>
  <c r="AA564" i="12"/>
  <c r="AA566" i="12"/>
  <c r="AA568" i="12"/>
  <c r="AA567" i="12"/>
  <c r="S83" i="58"/>
  <c r="Z82" i="58"/>
  <c r="Z76" i="58" s="1"/>
  <c r="Y63" i="58"/>
  <c r="P63" i="58"/>
  <c r="Z66" i="58"/>
  <c r="Z72" i="58" s="1"/>
  <c r="Z84" i="58" s="1"/>
  <c r="Z78" i="58" s="1"/>
  <c r="AB65" i="58"/>
  <c r="R69" i="58"/>
  <c r="AA83" i="58"/>
  <c r="P251" i="58" s="1"/>
  <c r="T66" i="58"/>
  <c r="T72" i="58" s="1"/>
  <c r="T84" i="58" s="1"/>
  <c r="T78" i="58" s="1"/>
  <c r="S63" i="58"/>
  <c r="AA64" i="58"/>
  <c r="AA82" i="58" s="1"/>
  <c r="AA76" i="58" s="1"/>
  <c r="S72" i="58"/>
  <c r="S84" i="58" s="1"/>
  <c r="Z83" i="58"/>
  <c r="O251" i="58" s="1"/>
  <c r="Q55" i="43"/>
  <c r="Q49" i="43" s="1"/>
  <c r="Q215" i="43" s="1"/>
  <c r="Q217" i="43" s="1"/>
  <c r="AG533" i="12"/>
  <c r="Z57" i="43"/>
  <c r="Z51" i="43" s="1"/>
  <c r="Q234" i="43"/>
  <c r="Q236" i="43" s="1"/>
  <c r="S57" i="43"/>
  <c r="S51" i="43" s="1"/>
  <c r="R52" i="43"/>
  <c r="S46" i="43"/>
  <c r="S58" i="43" s="1"/>
  <c r="V41" i="12"/>
  <c r="V59" i="12" s="1"/>
  <c r="AA38" i="43"/>
  <c r="T40" i="12"/>
  <c r="T46" i="12" s="1"/>
  <c r="T58" i="12" s="1"/>
  <c r="Y37" i="43"/>
  <c r="V16" i="12"/>
  <c r="V28" i="12" s="1"/>
  <c r="X13" i="12"/>
  <c r="T40" i="43"/>
  <c r="R43" i="43"/>
  <c r="W10" i="12"/>
  <c r="W16" i="12" s="1"/>
  <c r="W28" i="12" s="1"/>
  <c r="S37" i="43"/>
  <c r="U43" i="12"/>
  <c r="Z40" i="43"/>
  <c r="T10" i="12"/>
  <c r="P37" i="43"/>
  <c r="AB39" i="43"/>
  <c r="W42" i="12"/>
  <c r="Z56" i="43"/>
  <c r="Z50" i="43" s="1"/>
  <c r="P46" i="43"/>
  <c r="P58" i="43" s="1"/>
  <c r="AA45" i="43"/>
  <c r="AH533" i="12"/>
  <c r="AG775" i="12"/>
  <c r="AG795" i="12" s="1"/>
  <c r="AG811" i="12" s="1"/>
  <c r="AG769" i="12"/>
  <c r="AG789" i="12" s="1"/>
  <c r="AG805" i="12" s="1"/>
  <c r="AA770" i="12"/>
  <c r="AA790" i="12" s="1"/>
  <c r="AA806" i="12" s="1"/>
  <c r="AA768" i="12"/>
  <c r="AA788" i="12" s="1"/>
  <c r="AA804" i="12" s="1"/>
  <c r="AG771" i="12"/>
  <c r="AG791" i="12" s="1"/>
  <c r="AG807" i="12" s="1"/>
  <c r="AA771" i="12"/>
  <c r="AA791" i="12" s="1"/>
  <c r="AA807" i="12" s="1"/>
  <c r="AA769" i="12"/>
  <c r="AA789" i="12" s="1"/>
  <c r="AG768" i="12"/>
  <c r="AG788" i="12" s="1"/>
  <c r="AG804" i="12" s="1"/>
  <c r="AG770" i="12"/>
  <c r="AG790" i="12" s="1"/>
  <c r="AG806" i="12" s="1"/>
  <c r="AA773" i="12"/>
  <c r="AA793" i="12" s="1"/>
  <c r="AG773" i="12"/>
  <c r="AG793" i="12" s="1"/>
  <c r="AG809" i="12" s="1"/>
  <c r="AA774" i="12"/>
  <c r="AA794" i="12" s="1"/>
  <c r="AA810" i="12" s="1"/>
  <c r="AA775" i="12"/>
  <c r="AA795" i="12" s="1"/>
  <c r="AA811" i="12" s="1"/>
  <c r="AG772" i="12"/>
  <c r="AG792" i="12" s="1"/>
  <c r="AG808" i="12" s="1"/>
  <c r="AA346" i="12"/>
  <c r="AG344" i="12"/>
  <c r="AG535" i="12"/>
  <c r="AG537" i="12"/>
  <c r="AB531" i="12"/>
  <c r="AH531" i="12" s="1"/>
  <c r="AA531" i="12"/>
  <c r="AB344" i="12"/>
  <c r="P534" i="5"/>
  <c r="P547" i="5" s="1"/>
  <c r="P569" i="5" s="1"/>
  <c r="Q534" i="5"/>
  <c r="Q547" i="5" s="1"/>
  <c r="Q569" i="5" s="1"/>
  <c r="P352" i="5"/>
  <c r="P397" i="5"/>
  <c r="S365" i="5"/>
  <c r="S320" i="5"/>
  <c r="R324" i="5"/>
  <c r="R328" i="5"/>
  <c r="R387" i="5"/>
  <c r="S387" i="5" s="1"/>
  <c r="R420" i="5"/>
  <c r="S420" i="5" s="1"/>
  <c r="S353" i="5"/>
  <c r="Q350" i="5"/>
  <c r="Q413" i="5"/>
  <c r="V762" i="12"/>
  <c r="V763" i="12" s="1"/>
  <c r="AB763" i="12" s="1"/>
  <c r="AH763" i="12" s="1"/>
  <c r="AH769" i="12" s="1"/>
  <c r="AH789" i="12" s="1"/>
  <c r="AH805" i="12" s="1"/>
  <c r="Q370" i="5"/>
  <c r="S370" i="5" s="1"/>
  <c r="S369" i="5"/>
  <c r="Q409" i="5"/>
  <c r="Q330" i="5"/>
  <c r="Q395" i="5"/>
  <c r="Q351" i="5"/>
  <c r="Q418" i="5" s="1"/>
  <c r="R342" i="5"/>
  <c r="R409" i="5" s="1"/>
  <c r="R346" i="5"/>
  <c r="S339" i="5"/>
  <c r="R406" i="5"/>
  <c r="S406" i="5" s="1"/>
  <c r="S319" i="5"/>
  <c r="R386" i="5"/>
  <c r="S386" i="5" s="1"/>
  <c r="S303" i="5"/>
  <c r="P417" i="5"/>
  <c r="P349" i="5"/>
  <c r="AB147" i="17"/>
  <c r="AB190" i="17"/>
  <c r="U157" i="17"/>
  <c r="V157" i="17"/>
  <c r="W200" i="17"/>
  <c r="W161" i="17"/>
  <c r="AA190" i="17"/>
  <c r="V200" i="17"/>
  <c r="W156" i="17"/>
  <c r="W166" i="17" s="1"/>
  <c r="X320" i="17"/>
  <c r="V167" i="17"/>
  <c r="U167" i="17"/>
  <c r="W155" i="17"/>
  <c r="W165" i="17" s="1"/>
  <c r="P478" i="5"/>
  <c r="P518" i="5" s="1"/>
  <c r="P481" i="5"/>
  <c r="P521" i="5" s="1"/>
  <c r="V210" i="17"/>
  <c r="E210" i="17" s="1"/>
  <c r="W210" i="17"/>
  <c r="F210" i="17" s="1"/>
  <c r="O419" i="5"/>
  <c r="O349" i="5"/>
  <c r="U54" i="12"/>
  <c r="U646" i="12" s="1"/>
  <c r="U53" i="12"/>
  <c r="U879" i="12"/>
  <c r="U880" i="12" s="1"/>
  <c r="T914" i="12"/>
  <c r="B914" i="12" s="1"/>
  <c r="U72" i="12"/>
  <c r="U79" i="12" s="1"/>
  <c r="T647" i="12"/>
  <c r="U348" i="12"/>
  <c r="AC8" i="12" s="1"/>
  <c r="Z651" i="12"/>
  <c r="AF651" i="12" s="1"/>
  <c r="AF681" i="12" s="1"/>
  <c r="Z649" i="12"/>
  <c r="AF649" i="12" s="1"/>
  <c r="AG346" i="12"/>
  <c r="T533" i="12"/>
  <c r="T535" i="12"/>
  <c r="AH535" i="12"/>
  <c r="V25" i="12"/>
  <c r="V537" i="12"/>
  <c r="T25" i="12"/>
  <c r="T537" i="12"/>
  <c r="W533" i="12"/>
  <c r="W535" i="12"/>
  <c r="T24" i="12"/>
  <c r="T341" i="12" s="1"/>
  <c r="T344" i="12" s="1"/>
  <c r="AA808" i="12"/>
  <c r="U788" i="12"/>
  <c r="AF769" i="12"/>
  <c r="AF789" i="12" s="1"/>
  <c r="AF805" i="12" s="1"/>
  <c r="AF768" i="12"/>
  <c r="AF788" i="12" s="1"/>
  <c r="AF804" i="12" s="1"/>
  <c r="AF775" i="12"/>
  <c r="AF795" i="12" s="1"/>
  <c r="AF811" i="12" s="1"/>
  <c r="AF774" i="12"/>
  <c r="AF794" i="12" s="1"/>
  <c r="AF810" i="12" s="1"/>
  <c r="AF770" i="12"/>
  <c r="AF790" i="12" s="1"/>
  <c r="AF806" i="12" s="1"/>
  <c r="AF773" i="12"/>
  <c r="AF792" i="12"/>
  <c r="AF808" i="12" s="1"/>
  <c r="AF771" i="12"/>
  <c r="AF791" i="12" s="1"/>
  <c r="AF807" i="12" s="1"/>
  <c r="Z772" i="12"/>
  <c r="Z792" i="12" s="1"/>
  <c r="Z773" i="12"/>
  <c r="Z793" i="12" s="1"/>
  <c r="Z770" i="12"/>
  <c r="Z790" i="12" s="1"/>
  <c r="Z771" i="12"/>
  <c r="Z791" i="12" s="1"/>
  <c r="Z768" i="12"/>
  <c r="Z788" i="12" s="1"/>
  <c r="Z769" i="12"/>
  <c r="Z789" i="12" s="1"/>
  <c r="Z774" i="12"/>
  <c r="Z794" i="12" s="1"/>
  <c r="Z775" i="12"/>
  <c r="Z795" i="12" s="1"/>
  <c r="U795" i="12"/>
  <c r="W24" i="12"/>
  <c r="W341" i="12" s="1"/>
  <c r="X457" i="12"/>
  <c r="X458" i="12" s="1"/>
  <c r="U22" i="12"/>
  <c r="U111" i="12" s="1"/>
  <c r="U173" i="12"/>
  <c r="S285" i="5"/>
  <c r="N416" i="5"/>
  <c r="N481" i="5" s="1"/>
  <c r="R282" i="5"/>
  <c r="AB770" i="12" l="1"/>
  <c r="AB790" i="12" s="1"/>
  <c r="AB769" i="12"/>
  <c r="AB789" i="12" s="1"/>
  <c r="AH773" i="12"/>
  <c r="AH793" i="12" s="1"/>
  <c r="AH809" i="12" s="1"/>
  <c r="T77" i="58"/>
  <c r="X130" i="58" s="1"/>
  <c r="X132" i="58" s="1"/>
  <c r="AA77" i="58"/>
  <c r="P253" i="58"/>
  <c r="N257" i="58"/>
  <c r="N261" i="58" s="1"/>
  <c r="Z77" i="58"/>
  <c r="U156" i="58" s="1"/>
  <c r="U158" i="58" s="1"/>
  <c r="O253" i="58"/>
  <c r="S77" i="58"/>
  <c r="Q75" i="58"/>
  <c r="O130" i="58" s="1"/>
  <c r="O132" i="58" s="1"/>
  <c r="O136" i="58" s="1"/>
  <c r="O140" i="58" s="1"/>
  <c r="T162" i="58"/>
  <c r="U135" i="58"/>
  <c r="U142" i="58" s="1"/>
  <c r="T136" i="58"/>
  <c r="T140" i="58" s="1"/>
  <c r="V137" i="58"/>
  <c r="V141" i="58" s="1"/>
  <c r="X19" i="12"/>
  <c r="X31" i="12" s="1"/>
  <c r="AH775" i="12"/>
  <c r="AH795" i="12" s="1"/>
  <c r="AH811" i="12" s="1"/>
  <c r="T531" i="12"/>
  <c r="P286" i="43"/>
  <c r="P288" i="43" s="1"/>
  <c r="U49" i="12"/>
  <c r="U61" i="12" s="1"/>
  <c r="AC4" i="12"/>
  <c r="U792" i="12"/>
  <c r="AF793" i="12"/>
  <c r="AF809" i="12" s="1"/>
  <c r="AF817" i="12" s="1"/>
  <c r="AH543" i="12"/>
  <c r="AH550" i="12"/>
  <c r="AH552" i="12"/>
  <c r="AH544" i="12"/>
  <c r="AH549" i="12"/>
  <c r="AH555" i="12"/>
  <c r="AH547" i="12"/>
  <c r="AH546" i="12"/>
  <c r="AH553" i="12"/>
  <c r="AH545" i="12"/>
  <c r="AH551" i="12"/>
  <c r="AH556" i="12"/>
  <c r="AH548" i="12"/>
  <c r="AH554" i="12"/>
  <c r="Z681" i="12"/>
  <c r="Z684" i="12"/>
  <c r="Z682" i="12"/>
  <c r="Z683" i="12"/>
  <c r="Z680" i="12"/>
  <c r="AG583" i="12"/>
  <c r="AG575" i="12"/>
  <c r="AG577" i="12"/>
  <c r="AG582" i="12"/>
  <c r="AG574" i="12"/>
  <c r="AG581" i="12"/>
  <c r="AG573" i="12"/>
  <c r="AG576" i="12"/>
  <c r="AG572" i="12"/>
  <c r="AG579" i="12"/>
  <c r="AG571" i="12"/>
  <c r="AG578" i="12"/>
  <c r="AG570" i="12"/>
  <c r="AG580" i="12"/>
  <c r="AH344" i="12"/>
  <c r="AB371" i="12"/>
  <c r="AB370" i="12"/>
  <c r="AB369" i="12"/>
  <c r="AB372" i="12"/>
  <c r="AB373" i="12"/>
  <c r="AG567" i="12"/>
  <c r="AG566" i="12"/>
  <c r="AG565" i="12"/>
  <c r="AG564" i="12"/>
  <c r="AG568" i="12"/>
  <c r="AG378" i="12"/>
  <c r="AG376" i="12"/>
  <c r="AG379" i="12"/>
  <c r="AG377" i="12"/>
  <c r="AG375" i="12"/>
  <c r="AG531" i="12"/>
  <c r="AA543" i="12"/>
  <c r="AA551" i="12"/>
  <c r="AA547" i="12"/>
  <c r="AA550" i="12"/>
  <c r="AA548" i="12"/>
  <c r="AA549" i="12"/>
  <c r="AA601" i="12" s="1"/>
  <c r="AA619" i="12" s="1"/>
  <c r="AA554" i="12"/>
  <c r="AA553" i="12"/>
  <c r="AA545" i="12"/>
  <c r="AA555" i="12"/>
  <c r="AA607" i="12" s="1"/>
  <c r="AA625" i="12" s="1"/>
  <c r="AA546" i="12"/>
  <c r="AA552" i="12"/>
  <c r="AA556" i="12"/>
  <c r="AA544" i="12"/>
  <c r="AA596" i="12" s="1"/>
  <c r="AA614" i="12" s="1"/>
  <c r="AG370" i="12"/>
  <c r="AG373" i="12"/>
  <c r="AG372" i="12"/>
  <c r="AG371" i="12"/>
  <c r="AG369" i="12"/>
  <c r="AH560" i="12"/>
  <c r="AH559" i="12"/>
  <c r="AH562" i="12"/>
  <c r="AH558" i="12"/>
  <c r="AH561" i="12"/>
  <c r="AH565" i="12"/>
  <c r="AH567" i="12"/>
  <c r="AH566" i="12"/>
  <c r="AH568" i="12"/>
  <c r="AH564" i="12"/>
  <c r="Z674" i="12"/>
  <c r="Z675" i="12"/>
  <c r="Z676" i="12"/>
  <c r="Z678" i="12"/>
  <c r="Z677" i="12"/>
  <c r="AB547" i="12"/>
  <c r="AB554" i="12"/>
  <c r="AB546" i="12"/>
  <c r="AB555" i="12"/>
  <c r="AB551" i="12"/>
  <c r="AB549" i="12"/>
  <c r="AB556" i="12"/>
  <c r="AB552" i="12"/>
  <c r="AB544" i="12"/>
  <c r="AB545" i="12"/>
  <c r="AB543" i="12"/>
  <c r="AB550" i="12"/>
  <c r="AB548" i="12"/>
  <c r="AB553" i="12"/>
  <c r="AA377" i="12"/>
  <c r="AA376" i="12"/>
  <c r="AA379" i="12"/>
  <c r="AA375" i="12"/>
  <c r="AA378" i="12"/>
  <c r="AG558" i="12"/>
  <c r="AG561" i="12"/>
  <c r="AG559" i="12"/>
  <c r="AG562" i="12"/>
  <c r="AG560" i="12"/>
  <c r="D167" i="17"/>
  <c r="E167" i="17"/>
  <c r="Z63" i="58"/>
  <c r="AB64" i="58"/>
  <c r="AC65" i="58"/>
  <c r="T63" i="58"/>
  <c r="AA66" i="58"/>
  <c r="AG817" i="12"/>
  <c r="S69" i="58"/>
  <c r="Y69" i="58"/>
  <c r="U789" i="12"/>
  <c r="S78" i="58"/>
  <c r="AA63" i="58"/>
  <c r="AA69" i="58" s="1"/>
  <c r="R81" i="58"/>
  <c r="AB71" i="58"/>
  <c r="P69" i="58"/>
  <c r="U793" i="12"/>
  <c r="AA805" i="12"/>
  <c r="AA809" i="12"/>
  <c r="U794" i="12"/>
  <c r="AB771" i="12"/>
  <c r="AB791" i="12" s="1"/>
  <c r="AB775" i="12"/>
  <c r="AB795" i="12" s="1"/>
  <c r="U791" i="12"/>
  <c r="AH774" i="12"/>
  <c r="AH794" i="12" s="1"/>
  <c r="AH810" i="12" s="1"/>
  <c r="V71" i="12"/>
  <c r="AB773" i="12"/>
  <c r="AB793" i="12" s="1"/>
  <c r="AH771" i="12"/>
  <c r="AH791" i="12" s="1"/>
  <c r="AH807" i="12" s="1"/>
  <c r="U790" i="12"/>
  <c r="AH772" i="12"/>
  <c r="AH792" i="12" s="1"/>
  <c r="AH808" i="12" s="1"/>
  <c r="AB772" i="12"/>
  <c r="AB792" i="12" s="1"/>
  <c r="AB808" i="12" s="1"/>
  <c r="AH768" i="12"/>
  <c r="AH788" i="12" s="1"/>
  <c r="AH804" i="12" s="1"/>
  <c r="AB768" i="12"/>
  <c r="AB788" i="12" s="1"/>
  <c r="AB774" i="12"/>
  <c r="AB794" i="12" s="1"/>
  <c r="AH770" i="12"/>
  <c r="AH790" i="12" s="1"/>
  <c r="AH806" i="12" s="1"/>
  <c r="AA57" i="43"/>
  <c r="R229" i="43"/>
  <c r="R231" i="43" s="1"/>
  <c r="R233" i="43" s="1"/>
  <c r="R235" i="43" s="1"/>
  <c r="Q238" i="43"/>
  <c r="Q219" i="43"/>
  <c r="Q220" i="43" s="1"/>
  <c r="AA51" i="43"/>
  <c r="R55" i="43"/>
  <c r="R49" i="43" s="1"/>
  <c r="R215" i="43" s="1"/>
  <c r="R217" i="43" s="1"/>
  <c r="P52" i="43"/>
  <c r="W48" i="12"/>
  <c r="W60" i="12" s="1"/>
  <c r="Z46" i="43"/>
  <c r="Z58" i="43" s="1"/>
  <c r="AA56" i="43"/>
  <c r="AA50" i="43" s="1"/>
  <c r="Z37" i="43"/>
  <c r="U40" i="12"/>
  <c r="AA37" i="43"/>
  <c r="V40" i="12"/>
  <c r="AB45" i="43"/>
  <c r="X10" i="12"/>
  <c r="T37" i="43"/>
  <c r="W41" i="12"/>
  <c r="W59" i="12" s="1"/>
  <c r="AB38" i="43"/>
  <c r="AB56" i="43" s="1"/>
  <c r="AB50" i="43" s="1"/>
  <c r="AC39" i="43"/>
  <c r="X42" i="12"/>
  <c r="P43" i="43"/>
  <c r="S43" i="43"/>
  <c r="T46" i="43"/>
  <c r="T58" i="43" s="1"/>
  <c r="Y43" i="43"/>
  <c r="S52" i="43"/>
  <c r="AA40" i="43"/>
  <c r="V43" i="12"/>
  <c r="T16" i="12"/>
  <c r="T28" i="12" s="1"/>
  <c r="Z344" i="12"/>
  <c r="AF344" i="12" s="1"/>
  <c r="Z647" i="12"/>
  <c r="AF647" i="12" s="1"/>
  <c r="AC535" i="12"/>
  <c r="Z535" i="12"/>
  <c r="AF535" i="12" s="1"/>
  <c r="AC533" i="12"/>
  <c r="AB537" i="12"/>
  <c r="Z533" i="12"/>
  <c r="AF533" i="12" s="1"/>
  <c r="Z537" i="12"/>
  <c r="AF537" i="12" s="1"/>
  <c r="AA348" i="12"/>
  <c r="AA598" i="12"/>
  <c r="AA616" i="12" s="1"/>
  <c r="N482" i="5"/>
  <c r="N522" i="5" s="1"/>
  <c r="N521" i="5"/>
  <c r="R534" i="5"/>
  <c r="R547" i="5" s="1"/>
  <c r="R569" i="5" s="1"/>
  <c r="R413" i="5"/>
  <c r="S413" i="5" s="1"/>
  <c r="R350" i="5"/>
  <c r="S346" i="5"/>
  <c r="S409" i="5"/>
  <c r="Q352" i="5"/>
  <c r="Q397" i="5"/>
  <c r="P416" i="5"/>
  <c r="Q417" i="5"/>
  <c r="R395" i="5"/>
  <c r="R351" i="5"/>
  <c r="R330" i="5"/>
  <c r="V879" i="12"/>
  <c r="V880" i="12" s="1"/>
  <c r="V53" i="12"/>
  <c r="S342" i="5"/>
  <c r="V54" i="12"/>
  <c r="V646" i="12" s="1"/>
  <c r="S324" i="5"/>
  <c r="R391" i="5"/>
  <c r="S391" i="5" s="1"/>
  <c r="P419" i="5"/>
  <c r="W157" i="17"/>
  <c r="W167" i="17"/>
  <c r="P482" i="5"/>
  <c r="P522" i="5" s="1"/>
  <c r="Q478" i="5"/>
  <c r="Q518" i="5" s="1"/>
  <c r="Q481" i="5"/>
  <c r="Q521" i="5" s="1"/>
  <c r="X210" i="17"/>
  <c r="U651" i="12"/>
  <c r="U649" i="12"/>
  <c r="U887" i="12"/>
  <c r="U896" i="12" s="1"/>
  <c r="U907" i="12" s="1"/>
  <c r="U888" i="12"/>
  <c r="U897" i="12" s="1"/>
  <c r="U908" i="12" s="1"/>
  <c r="U889" i="12"/>
  <c r="U898" i="12" s="1"/>
  <c r="U909" i="12" s="1"/>
  <c r="U886" i="12"/>
  <c r="U895" i="12" s="1"/>
  <c r="U906" i="12" s="1"/>
  <c r="O416" i="5"/>
  <c r="U87" i="12"/>
  <c r="U866" i="12"/>
  <c r="V72" i="12"/>
  <c r="V79" i="12" s="1"/>
  <c r="T237" i="12"/>
  <c r="T238" i="12" s="1"/>
  <c r="T243" i="12" s="1"/>
  <c r="T251" i="12" s="1"/>
  <c r="T262" i="12" s="1"/>
  <c r="AA605" i="12"/>
  <c r="AA623" i="12" s="1"/>
  <c r="AA600" i="12"/>
  <c r="AA618" i="12" s="1"/>
  <c r="AA599" i="12"/>
  <c r="AA617" i="12" s="1"/>
  <c r="T346" i="12"/>
  <c r="T348" i="12"/>
  <c r="V348" i="12"/>
  <c r="AD8" i="12" s="1"/>
  <c r="AA595" i="12"/>
  <c r="AA613" i="12" s="1"/>
  <c r="AA604" i="12"/>
  <c r="AA622" i="12" s="1"/>
  <c r="AA606" i="12"/>
  <c r="AA624" i="12" s="1"/>
  <c r="AA603" i="12"/>
  <c r="AA621" i="12" s="1"/>
  <c r="AA602" i="12"/>
  <c r="AA620" i="12" s="1"/>
  <c r="AA608" i="12"/>
  <c r="AA626" i="12" s="1"/>
  <c r="AA597" i="12"/>
  <c r="AA615" i="12" s="1"/>
  <c r="X24" i="12"/>
  <c r="X341" i="12" s="1"/>
  <c r="X344" i="12" s="1"/>
  <c r="X530" i="12"/>
  <c r="W531" i="12"/>
  <c r="AH537" i="12"/>
  <c r="X25" i="12"/>
  <c r="X537" i="12"/>
  <c r="W25" i="12"/>
  <c r="W537" i="12"/>
  <c r="AI535" i="12"/>
  <c r="AI533" i="12"/>
  <c r="U113" i="12"/>
  <c r="W344" i="12"/>
  <c r="W346" i="12"/>
  <c r="Z811" i="12"/>
  <c r="T795" i="12"/>
  <c r="Z807" i="12"/>
  <c r="T791" i="12"/>
  <c r="AB804" i="12"/>
  <c r="V788" i="12"/>
  <c r="AB810" i="12"/>
  <c r="V794" i="12"/>
  <c r="AA817" i="12"/>
  <c r="C817" i="12" s="1"/>
  <c r="Z810" i="12"/>
  <c r="T794" i="12"/>
  <c r="Z806" i="12"/>
  <c r="T790" i="12"/>
  <c r="AB805" i="12"/>
  <c r="V789" i="12"/>
  <c r="AB806" i="12"/>
  <c r="Z805" i="12"/>
  <c r="T789" i="12"/>
  <c r="Z809" i="12"/>
  <c r="T793" i="12"/>
  <c r="AB807" i="12"/>
  <c r="V791" i="12"/>
  <c r="AB811" i="12"/>
  <c r="V795" i="12"/>
  <c r="AG348" i="12"/>
  <c r="Z804" i="12"/>
  <c r="T788" i="12"/>
  <c r="Z808" i="12"/>
  <c r="T792" i="12"/>
  <c r="AB809" i="12"/>
  <c r="V793" i="12"/>
  <c r="T55" i="12"/>
  <c r="T653" i="12" s="1"/>
  <c r="AB10" i="12" s="1"/>
  <c r="V22" i="12"/>
  <c r="V111" i="12" s="1"/>
  <c r="V173" i="12"/>
  <c r="U176" i="12"/>
  <c r="U177" i="12"/>
  <c r="U179" i="12"/>
  <c r="U175" i="12"/>
  <c r="U178" i="12"/>
  <c r="U77" i="12"/>
  <c r="U78" i="12"/>
  <c r="W71" i="12"/>
  <c r="T71" i="12"/>
  <c r="T72" i="12" s="1"/>
  <c r="S282" i="5"/>
  <c r="V790" i="12" l="1"/>
  <c r="V792" i="12"/>
  <c r="W762" i="12"/>
  <c r="W763" i="12" s="1"/>
  <c r="AC763" i="12" s="1"/>
  <c r="AC13" i="12"/>
  <c r="T163" i="58"/>
  <c r="T167" i="58" s="1"/>
  <c r="T166" i="58"/>
  <c r="P287" i="43"/>
  <c r="P289" i="43" s="1"/>
  <c r="P291" i="43" s="1"/>
  <c r="O257" i="58"/>
  <c r="N258" i="58"/>
  <c r="P257" i="58"/>
  <c r="N265" i="58"/>
  <c r="R75" i="58"/>
  <c r="P130" i="58" s="1"/>
  <c r="P132" i="58" s="1"/>
  <c r="T161" i="58"/>
  <c r="T168" i="58" s="1"/>
  <c r="AB83" i="58"/>
  <c r="Q251" i="58" s="1"/>
  <c r="Y81" i="58"/>
  <c r="Y75" i="58" s="1"/>
  <c r="N156" i="58" s="1"/>
  <c r="N158" i="58" s="1"/>
  <c r="U162" i="58"/>
  <c r="U166" i="58" s="1"/>
  <c r="O144" i="58"/>
  <c r="C144" i="58" s="1"/>
  <c r="W130" i="58"/>
  <c r="W132" i="58" s="1"/>
  <c r="T137" i="58"/>
  <c r="T141" i="58" s="1"/>
  <c r="O137" i="58"/>
  <c r="O141" i="58" s="1"/>
  <c r="X136" i="58"/>
  <c r="X140" i="58" s="1"/>
  <c r="V135" i="58"/>
  <c r="V142" i="58" s="1"/>
  <c r="S81" i="58"/>
  <c r="T342" i="12"/>
  <c r="AB12" i="12"/>
  <c r="AE12" i="12" s="1"/>
  <c r="V49" i="12"/>
  <c r="V61" i="12" s="1"/>
  <c r="AD4" i="12"/>
  <c r="AG394" i="12"/>
  <c r="AG386" i="12"/>
  <c r="AG392" i="12"/>
  <c r="AG388" i="12"/>
  <c r="AG387" i="12"/>
  <c r="AG389" i="12"/>
  <c r="AG382" i="12"/>
  <c r="AG393" i="12"/>
  <c r="AG385" i="12"/>
  <c r="AG381" i="12"/>
  <c r="AG390" i="12"/>
  <c r="AG384" i="12"/>
  <c r="AG391" i="12"/>
  <c r="AG383" i="12"/>
  <c r="AF559" i="12"/>
  <c r="AF558" i="12"/>
  <c r="AF560" i="12"/>
  <c r="AF561" i="12"/>
  <c r="AF562" i="12"/>
  <c r="AI566" i="12"/>
  <c r="AI568" i="12"/>
  <c r="AI564" i="12"/>
  <c r="AI567" i="12"/>
  <c r="AI565" i="12"/>
  <c r="AF583" i="12"/>
  <c r="AF575" i="12"/>
  <c r="AF573" i="12"/>
  <c r="AF580" i="12"/>
  <c r="AF576" i="12"/>
  <c r="AF572" i="12"/>
  <c r="AF581" i="12"/>
  <c r="AF582" i="12"/>
  <c r="AF574" i="12"/>
  <c r="AF577" i="12"/>
  <c r="AF579" i="12"/>
  <c r="AF571" i="12"/>
  <c r="AF578" i="12"/>
  <c r="AF570" i="12"/>
  <c r="AA394" i="12"/>
  <c r="AA390" i="12"/>
  <c r="AA386" i="12"/>
  <c r="AA382" i="12"/>
  <c r="AA393" i="12"/>
  <c r="AA385" i="12"/>
  <c r="AA384" i="12"/>
  <c r="AA388" i="12"/>
  <c r="AA387" i="12"/>
  <c r="AA389" i="12"/>
  <c r="AA381" i="12"/>
  <c r="AA392" i="12"/>
  <c r="AA391" i="12"/>
  <c r="AA383" i="12"/>
  <c r="AC562" i="12"/>
  <c r="AC561" i="12"/>
  <c r="AC559" i="12"/>
  <c r="AC560" i="12"/>
  <c r="AC558" i="12"/>
  <c r="Z369" i="12"/>
  <c r="Z373" i="12"/>
  <c r="Z371" i="12"/>
  <c r="Z370" i="12"/>
  <c r="Z372" i="12"/>
  <c r="P81" i="58"/>
  <c r="N228" i="58" s="1"/>
  <c r="AI561" i="12"/>
  <c r="AI559" i="12"/>
  <c r="AI562" i="12"/>
  <c r="AI558" i="12"/>
  <c r="AI560" i="12"/>
  <c r="AH579" i="12"/>
  <c r="AH582" i="12"/>
  <c r="AH581" i="12"/>
  <c r="AH573" i="12"/>
  <c r="AH580" i="12"/>
  <c r="AH572" i="12"/>
  <c r="AH571" i="12"/>
  <c r="AH578" i="12"/>
  <c r="AH574" i="12"/>
  <c r="AH570" i="12"/>
  <c r="AH575" i="12"/>
  <c r="AH577" i="12"/>
  <c r="AH576" i="12"/>
  <c r="AH583" i="12"/>
  <c r="AF674" i="12"/>
  <c r="AF675" i="12"/>
  <c r="AF677" i="12"/>
  <c r="AF678" i="12"/>
  <c r="AF676" i="12"/>
  <c r="Z579" i="12"/>
  <c r="Z571" i="12"/>
  <c r="Z572" i="12"/>
  <c r="Z573" i="12"/>
  <c r="Z578" i="12"/>
  <c r="Z570" i="12"/>
  <c r="Z581" i="12"/>
  <c r="Z577" i="12"/>
  <c r="Z583" i="12"/>
  <c r="Z575" i="12"/>
  <c r="Z580" i="12"/>
  <c r="Z582" i="12"/>
  <c r="Z574" i="12"/>
  <c r="Z576" i="12"/>
  <c r="Z564" i="12"/>
  <c r="Z565" i="12"/>
  <c r="Z567" i="12"/>
  <c r="Z566" i="12"/>
  <c r="Z568" i="12"/>
  <c r="AG553" i="12"/>
  <c r="AG605" i="12" s="1"/>
  <c r="AG623" i="12" s="1"/>
  <c r="AG545" i="12"/>
  <c r="AG597" i="12" s="1"/>
  <c r="AG615" i="12" s="1"/>
  <c r="AG552" i="12"/>
  <c r="AG604" i="12" s="1"/>
  <c r="U604" i="12" s="1"/>
  <c r="AG544" i="12"/>
  <c r="AG596" i="12" s="1"/>
  <c r="AG614" i="12" s="1"/>
  <c r="AG554" i="12"/>
  <c r="AG606" i="12" s="1"/>
  <c r="AG624" i="12" s="1"/>
  <c r="AG546" i="12"/>
  <c r="AG598" i="12" s="1"/>
  <c r="AG616" i="12" s="1"/>
  <c r="AG543" i="12"/>
  <c r="AG595" i="12" s="1"/>
  <c r="U595" i="12" s="1"/>
  <c r="AG555" i="12"/>
  <c r="AG607" i="12" s="1"/>
  <c r="U607" i="12" s="1"/>
  <c r="AG549" i="12"/>
  <c r="AG601" i="12" s="1"/>
  <c r="AG619" i="12" s="1"/>
  <c r="AG556" i="12"/>
  <c r="AG608" i="12" s="1"/>
  <c r="AG626" i="12" s="1"/>
  <c r="AG548" i="12"/>
  <c r="AG600" i="12" s="1"/>
  <c r="AG618" i="12" s="1"/>
  <c r="AG551" i="12"/>
  <c r="AG603" i="12" s="1"/>
  <c r="AG621" i="12" s="1"/>
  <c r="AG547" i="12"/>
  <c r="AG599" i="12" s="1"/>
  <c r="AG617" i="12" s="1"/>
  <c r="AG550" i="12"/>
  <c r="AG602" i="12" s="1"/>
  <c r="AG620" i="12" s="1"/>
  <c r="Z561" i="12"/>
  <c r="Z562" i="12"/>
  <c r="Z558" i="12"/>
  <c r="Z560" i="12"/>
  <c r="Z559" i="12"/>
  <c r="AC566" i="12"/>
  <c r="AC568" i="12"/>
  <c r="AC564" i="12"/>
  <c r="AC565" i="12"/>
  <c r="AC567" i="12"/>
  <c r="AH817" i="12"/>
  <c r="AH819" i="12" s="1"/>
  <c r="AH370" i="12"/>
  <c r="AH369" i="12"/>
  <c r="AH371" i="12"/>
  <c r="AH373" i="12"/>
  <c r="AH372" i="12"/>
  <c r="AF683" i="12"/>
  <c r="AF684" i="12"/>
  <c r="AF682" i="12"/>
  <c r="AF680" i="12"/>
  <c r="AF567" i="12"/>
  <c r="AF568" i="12"/>
  <c r="AF566" i="12"/>
  <c r="AF565" i="12"/>
  <c r="AF564" i="12"/>
  <c r="AB571" i="12"/>
  <c r="AB596" i="12" s="1"/>
  <c r="AB614" i="12" s="1"/>
  <c r="AB578" i="12"/>
  <c r="AB579" i="12"/>
  <c r="AB604" i="12" s="1"/>
  <c r="AB575" i="12"/>
  <c r="AB600" i="12" s="1"/>
  <c r="AB618" i="12" s="1"/>
  <c r="AB581" i="12"/>
  <c r="AB606" i="12" s="1"/>
  <c r="AB624" i="12" s="1"/>
  <c r="AB573" i="12"/>
  <c r="AB598" i="12" s="1"/>
  <c r="AB616" i="12" s="1"/>
  <c r="AB580" i="12"/>
  <c r="AB572" i="12"/>
  <c r="AB583" i="12"/>
  <c r="AB608" i="12" s="1"/>
  <c r="AB626" i="12" s="1"/>
  <c r="AB570" i="12"/>
  <c r="AB582" i="12"/>
  <c r="AB607" i="12" s="1"/>
  <c r="AB625" i="12" s="1"/>
  <c r="AB574" i="12"/>
  <c r="AB577" i="12"/>
  <c r="AB602" i="12" s="1"/>
  <c r="AB620" i="12" s="1"/>
  <c r="AB576" i="12"/>
  <c r="AB601" i="12" s="1"/>
  <c r="Z668" i="12"/>
  <c r="Z662" i="12"/>
  <c r="Z666" i="12"/>
  <c r="Z670" i="12"/>
  <c r="Z659" i="12"/>
  <c r="Z663" i="12"/>
  <c r="Z660" i="12"/>
  <c r="Z661" i="12"/>
  <c r="Z665" i="12"/>
  <c r="Z669" i="12"/>
  <c r="Z664" i="12"/>
  <c r="Z671" i="12"/>
  <c r="Z672" i="12"/>
  <c r="Z667" i="12"/>
  <c r="F167" i="17"/>
  <c r="L1" i="17" s="1"/>
  <c r="AF819" i="12"/>
  <c r="AF823" i="12"/>
  <c r="AF821" i="12"/>
  <c r="AG821" i="12"/>
  <c r="AG823" i="12"/>
  <c r="AG819" i="12"/>
  <c r="AH821" i="12"/>
  <c r="AC64" i="58"/>
  <c r="AA81" i="58"/>
  <c r="AA75" i="58" s="1"/>
  <c r="P156" i="58" s="1"/>
  <c r="P158" i="58" s="1"/>
  <c r="AA72" i="58"/>
  <c r="AB82" i="58"/>
  <c r="AB76" i="58" s="1"/>
  <c r="AB66" i="58"/>
  <c r="T69" i="58"/>
  <c r="AC71" i="58"/>
  <c r="Z69" i="58"/>
  <c r="AB605" i="12"/>
  <c r="AB623" i="12" s="1"/>
  <c r="Y55" i="43"/>
  <c r="Y49" i="43" s="1"/>
  <c r="P268" i="43" s="1"/>
  <c r="P270" i="43" s="1"/>
  <c r="S229" i="43"/>
  <c r="S231" i="43" s="1"/>
  <c r="S233" i="43" s="1"/>
  <c r="S235" i="43" s="1"/>
  <c r="P229" i="43"/>
  <c r="P231" i="43" s="1"/>
  <c r="P233" i="43" s="1"/>
  <c r="P235" i="43" s="1"/>
  <c r="Q222" i="43"/>
  <c r="Q221" i="43"/>
  <c r="R234" i="43"/>
  <c r="R219" i="43"/>
  <c r="R220" i="43" s="1"/>
  <c r="S55" i="43"/>
  <c r="S49" i="43" s="1"/>
  <c r="S215" i="43" s="1"/>
  <c r="S217" i="43" s="1"/>
  <c r="P55" i="43"/>
  <c r="P49" i="43" s="1"/>
  <c r="P215" i="43" s="1"/>
  <c r="T52" i="43"/>
  <c r="Q349" i="5"/>
  <c r="Q416" i="5" s="1"/>
  <c r="AB40" i="43"/>
  <c r="AB46" i="43" s="1"/>
  <c r="AB58" i="43" s="1"/>
  <c r="AB52" i="43" s="1"/>
  <c r="W43" i="12"/>
  <c r="X48" i="12"/>
  <c r="X60" i="12" s="1"/>
  <c r="T43" i="43"/>
  <c r="Z43" i="43"/>
  <c r="Z52" i="43"/>
  <c r="Q282" i="43" s="1"/>
  <c r="Q284" i="43" s="1"/>
  <c r="Q286" i="43" s="1"/>
  <c r="AA46" i="43"/>
  <c r="AA58" i="43" s="1"/>
  <c r="AC45" i="43"/>
  <c r="X16" i="12"/>
  <c r="X28" i="12" s="1"/>
  <c r="V46" i="12"/>
  <c r="V58" i="12" s="1"/>
  <c r="AA43" i="43"/>
  <c r="S350" i="5"/>
  <c r="AC38" i="43"/>
  <c r="X41" i="12"/>
  <c r="X59" i="12" s="1"/>
  <c r="AB57" i="43"/>
  <c r="AB51" i="43" s="1"/>
  <c r="U46" i="12"/>
  <c r="U58" i="12" s="1"/>
  <c r="T277" i="12"/>
  <c r="T280" i="12" s="1"/>
  <c r="AC771" i="12"/>
  <c r="AC791" i="12" s="1"/>
  <c r="U598" i="12"/>
  <c r="U603" i="12"/>
  <c r="AC769" i="12"/>
  <c r="AC789" i="12" s="1"/>
  <c r="AC805" i="12" s="1"/>
  <c r="U602" i="12"/>
  <c r="AC537" i="12"/>
  <c r="AI537" i="12" s="1"/>
  <c r="AD344" i="12"/>
  <c r="AJ344" i="12" s="1"/>
  <c r="Z531" i="12"/>
  <c r="AF531" i="12" s="1"/>
  <c r="AB348" i="12"/>
  <c r="AD537" i="12"/>
  <c r="AJ537" i="12" s="1"/>
  <c r="Z653" i="12"/>
  <c r="AF653" i="12" s="1"/>
  <c r="Z346" i="12"/>
  <c r="AF346" i="12" s="1"/>
  <c r="AC531" i="12"/>
  <c r="AI531" i="12" s="1"/>
  <c r="Z348" i="12"/>
  <c r="AF348" i="12" s="1"/>
  <c r="AB597" i="12"/>
  <c r="AB615" i="12" s="1"/>
  <c r="AI763" i="12"/>
  <c r="AI768" i="12" s="1"/>
  <c r="AI788" i="12" s="1"/>
  <c r="AI804" i="12" s="1"/>
  <c r="AC770" i="12"/>
  <c r="AC790" i="12" s="1"/>
  <c r="AC806" i="12" s="1"/>
  <c r="AC774" i="12"/>
  <c r="AC794" i="12" s="1"/>
  <c r="AC772" i="12"/>
  <c r="AC792" i="12" s="1"/>
  <c r="AC808" i="12" s="1"/>
  <c r="W54" i="12"/>
  <c r="W646" i="12" s="1"/>
  <c r="W649" i="12" s="1"/>
  <c r="S351" i="5"/>
  <c r="R418" i="5"/>
  <c r="S418" i="5" s="1"/>
  <c r="W53" i="12"/>
  <c r="W879" i="12"/>
  <c r="W880" i="12" s="1"/>
  <c r="V649" i="12"/>
  <c r="AD13" i="12" s="1"/>
  <c r="AE13" i="12" s="1"/>
  <c r="V651" i="12"/>
  <c r="V889" i="12"/>
  <c r="V898" i="12" s="1"/>
  <c r="V909" i="12" s="1"/>
  <c r="V886" i="12"/>
  <c r="V895" i="12" s="1"/>
  <c r="V906" i="12" s="1"/>
  <c r="V887" i="12"/>
  <c r="V896" i="12" s="1"/>
  <c r="V907" i="12" s="1"/>
  <c r="V888" i="12"/>
  <c r="V897" i="12" s="1"/>
  <c r="V908" i="12" s="1"/>
  <c r="R417" i="5"/>
  <c r="S417" i="5" s="1"/>
  <c r="R352" i="5"/>
  <c r="S330" i="5"/>
  <c r="R397" i="5"/>
  <c r="X762" i="12"/>
  <c r="X763" i="12" s="1"/>
  <c r="AD763" i="12" s="1"/>
  <c r="AD771" i="12" s="1"/>
  <c r="AD791" i="12" s="1"/>
  <c r="Q419" i="5"/>
  <c r="T244" i="12"/>
  <c r="T252" i="12" s="1"/>
  <c r="T263" i="12" s="1"/>
  <c r="Q482" i="5"/>
  <c r="Q522" i="5" s="1"/>
  <c r="M1" i="17"/>
  <c r="O478" i="5"/>
  <c r="O518" i="5" s="1"/>
  <c r="O481" i="5"/>
  <c r="O521" i="5" s="1"/>
  <c r="R478" i="5"/>
  <c r="R518" i="5" s="1"/>
  <c r="R481" i="5"/>
  <c r="R521" i="5" s="1"/>
  <c r="AB599" i="12"/>
  <c r="AB617" i="12" s="1"/>
  <c r="AB603" i="12"/>
  <c r="AB621" i="12" s="1"/>
  <c r="X346" i="12"/>
  <c r="U647" i="12"/>
  <c r="T245" i="12"/>
  <c r="T253" i="12" s="1"/>
  <c r="T264" i="12" s="1"/>
  <c r="U914" i="12"/>
  <c r="U55" i="12"/>
  <c r="U653" i="12" s="1"/>
  <c r="AA653" i="12" s="1"/>
  <c r="AA690" i="12" s="1"/>
  <c r="AA651" i="12"/>
  <c r="AA681" i="12" s="1"/>
  <c r="AA649" i="12"/>
  <c r="V87" i="12"/>
  <c r="V866" i="12"/>
  <c r="U85" i="12"/>
  <c r="U864" i="12"/>
  <c r="U125" i="12"/>
  <c r="W72" i="12"/>
  <c r="W79" i="12" s="1"/>
  <c r="U86" i="12"/>
  <c r="U865" i="12"/>
  <c r="U127" i="12"/>
  <c r="W348" i="12"/>
  <c r="X348" i="12"/>
  <c r="U126" i="12"/>
  <c r="AA628" i="12"/>
  <c r="C628" i="12" s="1"/>
  <c r="AG613" i="12"/>
  <c r="AG625" i="12"/>
  <c r="X535" i="12"/>
  <c r="X533" i="12"/>
  <c r="AG622" i="12"/>
  <c r="U601" i="12"/>
  <c r="AB595" i="12"/>
  <c r="V113" i="12"/>
  <c r="W342" i="12"/>
  <c r="Z817" i="12"/>
  <c r="B817" i="12" s="1"/>
  <c r="AC807" i="12"/>
  <c r="AC810" i="12"/>
  <c r="AB817" i="12"/>
  <c r="D817" i="12" s="1"/>
  <c r="X342" i="12"/>
  <c r="AC346" i="12"/>
  <c r="AC344" i="12"/>
  <c r="T52" i="12"/>
  <c r="U187" i="12"/>
  <c r="U188" i="12"/>
  <c r="U189" i="12"/>
  <c r="U198" i="12"/>
  <c r="U199" i="12"/>
  <c r="U197" i="12"/>
  <c r="U194" i="12"/>
  <c r="U195" i="12"/>
  <c r="U196" i="12"/>
  <c r="U201" i="12"/>
  <c r="U202" i="12"/>
  <c r="U200" i="12"/>
  <c r="U190" i="12"/>
  <c r="U191" i="12"/>
  <c r="U192" i="12"/>
  <c r="U193" i="12"/>
  <c r="U174" i="12"/>
  <c r="V178" i="12"/>
  <c r="V176" i="12"/>
  <c r="V177" i="12"/>
  <c r="V175" i="12"/>
  <c r="V179" i="12"/>
  <c r="W22" i="12"/>
  <c r="W111" i="12" s="1"/>
  <c r="W173" i="12"/>
  <c r="V77" i="12"/>
  <c r="V78" i="12"/>
  <c r="U116" i="12"/>
  <c r="U117" i="12"/>
  <c r="U114" i="12"/>
  <c r="U115" i="12"/>
  <c r="T279" i="12" l="1"/>
  <c r="X71" i="12"/>
  <c r="U596" i="12"/>
  <c r="AC768" i="12"/>
  <c r="AC788" i="12" s="1"/>
  <c r="AC804" i="12" s="1"/>
  <c r="AC775" i="12"/>
  <c r="AC795" i="12" s="1"/>
  <c r="AC811" i="12" s="1"/>
  <c r="AC773" i="12"/>
  <c r="AC793" i="12" s="1"/>
  <c r="AC809" i="12" s="1"/>
  <c r="T283" i="12"/>
  <c r="AJ763" i="12"/>
  <c r="AI769" i="12"/>
  <c r="AI789" i="12" s="1"/>
  <c r="AI805" i="12" s="1"/>
  <c r="AD773" i="12"/>
  <c r="AD793" i="12" s="1"/>
  <c r="T282" i="12"/>
  <c r="AI772" i="12"/>
  <c r="AI792" i="12" s="1"/>
  <c r="AI808" i="12" s="1"/>
  <c r="AD775" i="12"/>
  <c r="AD795" i="12" s="1"/>
  <c r="T281" i="12"/>
  <c r="P228" i="58"/>
  <c r="P258" i="58"/>
  <c r="P261" i="58"/>
  <c r="P265" i="58" s="1"/>
  <c r="N262" i="58"/>
  <c r="N266" i="58" s="1"/>
  <c r="O258" i="58"/>
  <c r="O262" i="58" s="1"/>
  <c r="O261" i="58"/>
  <c r="O265" i="58" s="1"/>
  <c r="N230" i="58"/>
  <c r="P230" i="58"/>
  <c r="O266" i="58"/>
  <c r="AB77" i="58"/>
  <c r="Q253" i="58"/>
  <c r="N256" i="58"/>
  <c r="S75" i="58"/>
  <c r="Q130" i="58" s="1"/>
  <c r="Q132" i="58" s="1"/>
  <c r="Q136" i="58" s="1"/>
  <c r="P75" i="58"/>
  <c r="N130" i="58" s="1"/>
  <c r="N132" i="58" s="1"/>
  <c r="N136" i="58" s="1"/>
  <c r="N140" i="58" s="1"/>
  <c r="N162" i="58"/>
  <c r="N166" i="58" s="1"/>
  <c r="P162" i="58"/>
  <c r="P166" i="58" s="1"/>
  <c r="AC83" i="58"/>
  <c r="R251" i="58" s="1"/>
  <c r="AA84" i="58"/>
  <c r="AA78" i="58" s="1"/>
  <c r="V156" i="58" s="1"/>
  <c r="V158" i="58" s="1"/>
  <c r="U163" i="58"/>
  <c r="U167" i="58" s="1"/>
  <c r="O145" i="58"/>
  <c r="C146" i="58" s="1"/>
  <c r="Z81" i="58"/>
  <c r="O228" i="58" s="1"/>
  <c r="X137" i="58"/>
  <c r="X141" i="58" s="1"/>
  <c r="O135" i="58"/>
  <c r="T135" i="58"/>
  <c r="T142" i="58" s="1"/>
  <c r="W136" i="58"/>
  <c r="W140" i="58" s="1"/>
  <c r="P136" i="58"/>
  <c r="T81" i="58"/>
  <c r="AA695" i="12"/>
  <c r="AA689" i="12"/>
  <c r="AA686" i="12"/>
  <c r="AI771" i="12"/>
  <c r="AI791" i="12" s="1"/>
  <c r="AI807" i="12" s="1"/>
  <c r="AD768" i="12"/>
  <c r="AD788" i="12" s="1"/>
  <c r="S282" i="43"/>
  <c r="S284" i="43" s="1"/>
  <c r="AH823" i="12"/>
  <c r="AA688" i="12"/>
  <c r="AA691" i="12"/>
  <c r="AA698" i="12"/>
  <c r="AA693" i="12"/>
  <c r="AI773" i="12"/>
  <c r="AI793" i="12" s="1"/>
  <c r="AI809" i="12" s="1"/>
  <c r="AD770" i="12"/>
  <c r="AD790" i="12" s="1"/>
  <c r="U237" i="12"/>
  <c r="U238" i="12" s="1"/>
  <c r="AI770" i="12"/>
  <c r="AI790" i="12" s="1"/>
  <c r="AI806" i="12" s="1"/>
  <c r="AI775" i="12"/>
  <c r="AI795" i="12" s="1"/>
  <c r="AI811" i="12" s="1"/>
  <c r="AD774" i="12"/>
  <c r="AD794" i="12" s="1"/>
  <c r="AD772" i="12"/>
  <c r="AD792" i="12" s="1"/>
  <c r="U606" i="12"/>
  <c r="U605" i="12"/>
  <c r="AC10" i="12"/>
  <c r="AC14" i="12" s="1"/>
  <c r="W49" i="12"/>
  <c r="W61" i="12" s="1"/>
  <c r="AE4" i="12"/>
  <c r="AA692" i="12"/>
  <c r="AA687" i="12"/>
  <c r="AA694" i="12"/>
  <c r="AA696" i="12"/>
  <c r="AI774" i="12"/>
  <c r="AI794" i="12" s="1"/>
  <c r="AI810" i="12" s="1"/>
  <c r="AD769" i="12"/>
  <c r="AD789" i="12" s="1"/>
  <c r="U599" i="12"/>
  <c r="AA699" i="12"/>
  <c r="AA697" i="12"/>
  <c r="AG653" i="12"/>
  <c r="AB8" i="12"/>
  <c r="U597" i="12"/>
  <c r="U608" i="12"/>
  <c r="U600" i="12"/>
  <c r="S286" i="43"/>
  <c r="S288" i="43" s="1"/>
  <c r="P272" i="43"/>
  <c r="P273" i="43" s="1"/>
  <c r="O258" i="43"/>
  <c r="AC375" i="12"/>
  <c r="AC378" i="12"/>
  <c r="AC376" i="12"/>
  <c r="AC377" i="12"/>
  <c r="AC379" i="12"/>
  <c r="AI579" i="12"/>
  <c r="AI571" i="12"/>
  <c r="AI570" i="12"/>
  <c r="AI576" i="12"/>
  <c r="AI577" i="12"/>
  <c r="AI582" i="12"/>
  <c r="AI583" i="12"/>
  <c r="AI575" i="12"/>
  <c r="AI574" i="12"/>
  <c r="AI581" i="12"/>
  <c r="AI573" i="12"/>
  <c r="AI580" i="12"/>
  <c r="AI572" i="12"/>
  <c r="AI578" i="12"/>
  <c r="AG649" i="12"/>
  <c r="AA675" i="12"/>
  <c r="AA677" i="12"/>
  <c r="AA678" i="12"/>
  <c r="AA674" i="12"/>
  <c r="AA676" i="12"/>
  <c r="Z379" i="12"/>
  <c r="Z377" i="12"/>
  <c r="Z378" i="12"/>
  <c r="Z375" i="12"/>
  <c r="Z376" i="12"/>
  <c r="Z549" i="12"/>
  <c r="Z552" i="12"/>
  <c r="Z553" i="12"/>
  <c r="Z543" i="12"/>
  <c r="Z555" i="12"/>
  <c r="Z556" i="12"/>
  <c r="Z548" i="12"/>
  <c r="Z544" i="12"/>
  <c r="Z551" i="12"/>
  <c r="Z547" i="12"/>
  <c r="Z599" i="12" s="1"/>
  <c r="Z554" i="12"/>
  <c r="Z550" i="12"/>
  <c r="Z546" i="12"/>
  <c r="Z545" i="12"/>
  <c r="AG694" i="12"/>
  <c r="AG699" i="12"/>
  <c r="AG688" i="12"/>
  <c r="AG696" i="12"/>
  <c r="AG689" i="12"/>
  <c r="AG697" i="12"/>
  <c r="AG690" i="12"/>
  <c r="AG698" i="12"/>
  <c r="AG691" i="12"/>
  <c r="AG686" i="12"/>
  <c r="AG687" i="12"/>
  <c r="AG695" i="12"/>
  <c r="AG692" i="12"/>
  <c r="AG693" i="12"/>
  <c r="AJ369" i="12"/>
  <c r="AJ372" i="12"/>
  <c r="AJ373" i="12"/>
  <c r="AJ371" i="12"/>
  <c r="AJ370" i="12"/>
  <c r="AI555" i="12"/>
  <c r="AI547" i="12"/>
  <c r="AI549" i="12"/>
  <c r="AI556" i="12"/>
  <c r="AI543" i="12"/>
  <c r="AI554" i="12"/>
  <c r="AI552" i="12"/>
  <c r="AI544" i="12"/>
  <c r="AI551" i="12"/>
  <c r="AI550" i="12"/>
  <c r="AI546" i="12"/>
  <c r="AI553" i="12"/>
  <c r="AI545" i="12"/>
  <c r="AI548" i="12"/>
  <c r="Z389" i="12"/>
  <c r="Z390" i="12"/>
  <c r="Z392" i="12"/>
  <c r="Z388" i="12"/>
  <c r="Z391" i="12"/>
  <c r="Z387" i="12"/>
  <c r="Z382" i="12"/>
  <c r="Z393" i="12"/>
  <c r="Z385" i="12"/>
  <c r="Z381" i="12"/>
  <c r="Z394" i="12"/>
  <c r="Z386" i="12"/>
  <c r="Z384" i="12"/>
  <c r="Z383" i="12"/>
  <c r="Z689" i="12"/>
  <c r="Z714" i="12" s="1"/>
  <c r="Z693" i="12"/>
  <c r="Z699" i="12"/>
  <c r="Z724" i="12" s="1"/>
  <c r="Z691" i="12"/>
  <c r="Z716" i="12" s="1"/>
  <c r="Z697" i="12"/>
  <c r="Z690" i="12"/>
  <c r="Z698" i="12"/>
  <c r="Z688" i="12"/>
  <c r="Z692" i="12"/>
  <c r="Z717" i="12" s="1"/>
  <c r="Z696" i="12"/>
  <c r="Z686" i="12"/>
  <c r="Z711" i="12" s="1"/>
  <c r="Z687" i="12"/>
  <c r="Z712" i="12" s="1"/>
  <c r="Z730" i="12" s="1"/>
  <c r="Z694" i="12"/>
  <c r="Z719" i="12" s="1"/>
  <c r="Z695" i="12"/>
  <c r="Z720" i="12" s="1"/>
  <c r="AD369" i="12"/>
  <c r="AD371" i="12"/>
  <c r="AD370" i="12"/>
  <c r="AD373" i="12"/>
  <c r="AD372" i="12"/>
  <c r="AF369" i="12"/>
  <c r="AF370" i="12"/>
  <c r="AF373" i="12"/>
  <c r="AF371" i="12"/>
  <c r="AF372" i="12"/>
  <c r="Q287" i="43"/>
  <c r="Q289" i="43" s="1"/>
  <c r="Q288" i="43"/>
  <c r="Z723" i="12"/>
  <c r="Z713" i="12"/>
  <c r="Z722" i="12"/>
  <c r="AF665" i="12"/>
  <c r="AF662" i="12"/>
  <c r="AF666" i="12"/>
  <c r="AF664" i="12"/>
  <c r="AF672" i="12"/>
  <c r="AF669" i="12"/>
  <c r="AF661" i="12"/>
  <c r="AF670" i="12"/>
  <c r="AF667" i="12"/>
  <c r="AF663" i="12"/>
  <c r="AF668" i="12"/>
  <c r="AF659" i="12"/>
  <c r="AF671" i="12"/>
  <c r="AF660" i="12"/>
  <c r="AJ578" i="12"/>
  <c r="AJ570" i="12"/>
  <c r="AJ581" i="12"/>
  <c r="AJ577" i="12"/>
  <c r="AJ580" i="12"/>
  <c r="AJ583" i="12"/>
  <c r="AJ575" i="12"/>
  <c r="AJ582" i="12"/>
  <c r="AJ574" i="12"/>
  <c r="AJ573" i="12"/>
  <c r="AJ576" i="12"/>
  <c r="AJ579" i="12"/>
  <c r="AJ571" i="12"/>
  <c r="AJ572" i="12"/>
  <c r="AD582" i="12"/>
  <c r="AD574" i="12"/>
  <c r="AD579" i="12"/>
  <c r="AD571" i="12"/>
  <c r="AD573" i="12"/>
  <c r="AD580" i="12"/>
  <c r="AD576" i="12"/>
  <c r="AD572" i="12"/>
  <c r="AD581" i="12"/>
  <c r="AD578" i="12"/>
  <c r="AD570" i="12"/>
  <c r="AD577" i="12"/>
  <c r="AD583" i="12"/>
  <c r="AD575" i="12"/>
  <c r="AC574" i="12"/>
  <c r="AC577" i="12"/>
  <c r="AC579" i="12"/>
  <c r="AC571" i="12"/>
  <c r="AC576" i="12"/>
  <c r="AC582" i="12"/>
  <c r="AC578" i="12"/>
  <c r="AC581" i="12"/>
  <c r="AC583" i="12"/>
  <c r="AC575" i="12"/>
  <c r="AC570" i="12"/>
  <c r="AC573" i="12"/>
  <c r="AC572" i="12"/>
  <c r="AC580" i="12"/>
  <c r="Z718" i="12"/>
  <c r="AC370" i="12"/>
  <c r="AC369" i="12"/>
  <c r="AC373" i="12"/>
  <c r="AC372" i="12"/>
  <c r="AC371" i="12"/>
  <c r="AG651" i="12"/>
  <c r="AA680" i="12"/>
  <c r="AA682" i="12"/>
  <c r="AA683" i="12"/>
  <c r="AA684" i="12"/>
  <c r="AC555" i="12"/>
  <c r="AC548" i="12"/>
  <c r="AC549" i="12"/>
  <c r="AC550" i="12"/>
  <c r="AC553" i="12"/>
  <c r="AC545" i="12"/>
  <c r="AC551" i="12"/>
  <c r="AC547" i="12"/>
  <c r="AC554" i="12"/>
  <c r="AC546" i="12"/>
  <c r="AC552" i="12"/>
  <c r="AC543" i="12"/>
  <c r="AC556" i="12"/>
  <c r="AC544" i="12"/>
  <c r="AH348" i="12"/>
  <c r="AB390" i="12"/>
  <c r="AB382" i="12"/>
  <c r="AB381" i="12"/>
  <c r="AB393" i="12"/>
  <c r="AB385" i="12"/>
  <c r="AB384" i="12"/>
  <c r="AB383" i="12"/>
  <c r="AB394" i="12"/>
  <c r="AB386" i="12"/>
  <c r="AB389" i="12"/>
  <c r="AB388" i="12"/>
  <c r="AB387" i="12"/>
  <c r="AB391" i="12"/>
  <c r="AB392" i="12"/>
  <c r="Z721" i="12"/>
  <c r="Z715" i="12"/>
  <c r="AH825" i="12"/>
  <c r="AG825" i="12"/>
  <c r="AG827" i="12" s="1"/>
  <c r="AG828" i="12" s="1"/>
  <c r="C828" i="12" s="1"/>
  <c r="AF825" i="12"/>
  <c r="AB72" i="58"/>
  <c r="AB63" i="58"/>
  <c r="AC82" i="58"/>
  <c r="AC76" i="58" s="1"/>
  <c r="AC66" i="58"/>
  <c r="AH605" i="12"/>
  <c r="AH623" i="12" s="1"/>
  <c r="V237" i="12"/>
  <c r="V238" i="12" s="1"/>
  <c r="P66" i="43"/>
  <c r="P68" i="43" s="1"/>
  <c r="P69" i="43" s="1"/>
  <c r="V69" i="43" s="1"/>
  <c r="V80" i="43" s="1"/>
  <c r="Q74" i="43"/>
  <c r="Q76" i="43" s="1"/>
  <c r="Q77" i="43" s="1"/>
  <c r="W77" i="43" s="1"/>
  <c r="AC77" i="43" s="1"/>
  <c r="Z55" i="43"/>
  <c r="Z49" i="43" s="1"/>
  <c r="Q268" i="43" s="1"/>
  <c r="Q270" i="43" s="1"/>
  <c r="Q272" i="43" s="1"/>
  <c r="Q273" i="43" s="1"/>
  <c r="AC57" i="43"/>
  <c r="AC51" i="43" s="1"/>
  <c r="AA55" i="43"/>
  <c r="AA49" i="43" s="1"/>
  <c r="R66" i="43" s="1"/>
  <c r="R68" i="43" s="1"/>
  <c r="R69" i="43" s="1"/>
  <c r="X69" i="43" s="1"/>
  <c r="T229" i="43"/>
  <c r="T231" i="43" s="1"/>
  <c r="T233" i="43" s="1"/>
  <c r="T235" i="43" s="1"/>
  <c r="S234" i="43"/>
  <c r="S236" i="43" s="1"/>
  <c r="S238" i="43" s="1"/>
  <c r="R221" i="43"/>
  <c r="R222" i="43"/>
  <c r="R236" i="43"/>
  <c r="R238" i="43" s="1"/>
  <c r="P234" i="43"/>
  <c r="Q224" i="43"/>
  <c r="Q241" i="43" s="1"/>
  <c r="C241" i="43" s="1"/>
  <c r="D10" i="41"/>
  <c r="E10" i="41" s="1"/>
  <c r="D32" i="41"/>
  <c r="E32" i="41" s="1"/>
  <c r="S219" i="43"/>
  <c r="S220" i="43" s="1"/>
  <c r="O206" i="43"/>
  <c r="P217" i="43"/>
  <c r="S74" i="43"/>
  <c r="S76" i="43" s="1"/>
  <c r="S77" i="43" s="1"/>
  <c r="Y77" i="43" s="1"/>
  <c r="AE77" i="43" s="1"/>
  <c r="T55" i="43"/>
  <c r="T49" i="43" s="1"/>
  <c r="T215" i="43" s="1"/>
  <c r="T217" i="43" s="1"/>
  <c r="AC56" i="43"/>
  <c r="AC50" i="43" s="1"/>
  <c r="R349" i="5"/>
  <c r="X43" i="12"/>
  <c r="AC40" i="43"/>
  <c r="AA52" i="43"/>
  <c r="R282" i="43" s="1"/>
  <c r="R284" i="43" s="1"/>
  <c r="W40" i="12"/>
  <c r="W46" i="12" s="1"/>
  <c r="W58" i="12" s="1"/>
  <c r="AB37" i="43"/>
  <c r="AH601" i="12"/>
  <c r="AH619" i="12" s="1"/>
  <c r="AD535" i="12"/>
  <c r="AD346" i="12"/>
  <c r="AD348" i="12"/>
  <c r="AA647" i="12"/>
  <c r="AD533" i="12"/>
  <c r="AC348" i="12"/>
  <c r="Q137" i="58" l="1"/>
  <c r="Q140" i="58"/>
  <c r="O142" i="58"/>
  <c r="O146" i="58" s="1"/>
  <c r="P137" i="58"/>
  <c r="P140" i="58"/>
  <c r="P262" i="58"/>
  <c r="P266" i="58" s="1"/>
  <c r="N263" i="58"/>
  <c r="N267" i="58" s="1"/>
  <c r="O256" i="58"/>
  <c r="P256" i="58"/>
  <c r="Q144" i="58"/>
  <c r="AC77" i="58"/>
  <c r="R253" i="58"/>
  <c r="Q257" i="58"/>
  <c r="Q261" i="58" s="1"/>
  <c r="T75" i="58"/>
  <c r="R130" i="58" s="1"/>
  <c r="R132" i="58" s="1"/>
  <c r="R136" i="58" s="1"/>
  <c r="Z75" i="58"/>
  <c r="O156" i="58" s="1"/>
  <c r="O158" i="58" s="1"/>
  <c r="O162" i="58" s="1"/>
  <c r="O230" i="58"/>
  <c r="P234" i="58"/>
  <c r="N234" i="58"/>
  <c r="N170" i="58"/>
  <c r="B170" i="58" s="1"/>
  <c r="V162" i="58"/>
  <c r="V166" i="58" s="1"/>
  <c r="AB84" i="58"/>
  <c r="AB78" i="58" s="1"/>
  <c r="W156" i="58" s="1"/>
  <c r="W158" i="58" s="1"/>
  <c r="U161" i="58"/>
  <c r="U168" i="58" s="1"/>
  <c r="N163" i="58"/>
  <c r="P163" i="58"/>
  <c r="P167" i="58" s="1"/>
  <c r="P144" i="58"/>
  <c r="D144" i="58" s="1"/>
  <c r="X135" i="58"/>
  <c r="X142" i="58" s="1"/>
  <c r="N137" i="58"/>
  <c r="W137" i="58"/>
  <c r="W141" i="58" s="1"/>
  <c r="Q291" i="43"/>
  <c r="AB14" i="12"/>
  <c r="AE8" i="12"/>
  <c r="X49" i="12"/>
  <c r="X61" i="12" s="1"/>
  <c r="AF4" i="12"/>
  <c r="Q275" i="43"/>
  <c r="Q274" i="43"/>
  <c r="AG677" i="12"/>
  <c r="AG674" i="12"/>
  <c r="AG678" i="12"/>
  <c r="AG675" i="12"/>
  <c r="AG676" i="12"/>
  <c r="AD566" i="12"/>
  <c r="AD565" i="12"/>
  <c r="AD568" i="12"/>
  <c r="AD567" i="12"/>
  <c r="AD564" i="12"/>
  <c r="AJ348" i="12"/>
  <c r="AD384" i="12"/>
  <c r="AD385" i="12"/>
  <c r="AD394" i="12"/>
  <c r="AD386" i="12"/>
  <c r="AD382" i="12"/>
  <c r="AD389" i="12"/>
  <c r="AD387" i="12"/>
  <c r="AD381" i="12"/>
  <c r="AD392" i="12"/>
  <c r="AD388" i="12"/>
  <c r="AD390" i="12"/>
  <c r="AD393" i="12"/>
  <c r="AD383" i="12"/>
  <c r="AD391" i="12"/>
  <c r="AF393" i="12"/>
  <c r="AF385" i="12"/>
  <c r="AF392" i="12"/>
  <c r="AF388" i="12"/>
  <c r="AF391" i="12"/>
  <c r="AF387" i="12"/>
  <c r="AF383" i="12"/>
  <c r="AF394" i="12"/>
  <c r="AF386" i="12"/>
  <c r="AF382" i="12"/>
  <c r="AF389" i="12"/>
  <c r="AF381" i="12"/>
  <c r="AF384" i="12"/>
  <c r="AF390" i="12"/>
  <c r="AH388" i="12"/>
  <c r="AH387" i="12"/>
  <c r="AH393" i="12"/>
  <c r="AH389" i="12"/>
  <c r="AH381" i="12"/>
  <c r="AH385" i="12"/>
  <c r="AH394" i="12"/>
  <c r="AH390" i="12"/>
  <c r="AH386" i="12"/>
  <c r="AH392" i="12"/>
  <c r="AH391" i="12"/>
  <c r="AH383" i="12"/>
  <c r="AH382" i="12"/>
  <c r="AH384" i="12"/>
  <c r="AG680" i="12"/>
  <c r="AG681" i="12"/>
  <c r="AG682" i="12"/>
  <c r="AG683" i="12"/>
  <c r="AG684" i="12"/>
  <c r="P274" i="43"/>
  <c r="P275" i="43"/>
  <c r="AG647" i="12"/>
  <c r="AA661" i="12"/>
  <c r="AA713" i="12" s="1"/>
  <c r="AA665" i="12"/>
  <c r="AA717" i="12" s="1"/>
  <c r="AA659" i="12"/>
  <c r="AA711" i="12" s="1"/>
  <c r="AA668" i="12"/>
  <c r="AA720" i="12" s="1"/>
  <c r="AA669" i="12"/>
  <c r="AA721" i="12" s="1"/>
  <c r="AA670" i="12"/>
  <c r="AA722" i="12" s="1"/>
  <c r="AA663" i="12"/>
  <c r="AA715" i="12" s="1"/>
  <c r="AA662" i="12"/>
  <c r="AA667" i="12"/>
  <c r="AA719" i="12" s="1"/>
  <c r="AA671" i="12"/>
  <c r="AA723" i="12" s="1"/>
  <c r="AA660" i="12"/>
  <c r="AA712" i="12" s="1"/>
  <c r="AA664" i="12"/>
  <c r="AA716" i="12" s="1"/>
  <c r="AA672" i="12"/>
  <c r="AA724" i="12" s="1"/>
  <c r="AA666" i="12"/>
  <c r="AA718" i="12" s="1"/>
  <c r="AI348" i="12"/>
  <c r="AC382" i="12"/>
  <c r="AC389" i="12"/>
  <c r="AC381" i="12"/>
  <c r="AC391" i="12"/>
  <c r="AC390" i="12"/>
  <c r="AC392" i="12"/>
  <c r="AC388" i="12"/>
  <c r="AC393" i="12"/>
  <c r="AC385" i="12"/>
  <c r="AC384" i="12"/>
  <c r="AC383" i="12"/>
  <c r="AC394" i="12"/>
  <c r="AC386" i="12"/>
  <c r="AC387" i="12"/>
  <c r="R286" i="43"/>
  <c r="R288" i="43" s="1"/>
  <c r="AD559" i="12"/>
  <c r="AD560" i="12"/>
  <c r="AD561" i="12"/>
  <c r="AD562" i="12"/>
  <c r="AD558" i="12"/>
  <c r="AJ346" i="12"/>
  <c r="AD376" i="12"/>
  <c r="AD379" i="12"/>
  <c r="AD378" i="12"/>
  <c r="AD377" i="12"/>
  <c r="AD375" i="12"/>
  <c r="AF687" i="12"/>
  <c r="AF712" i="12" s="1"/>
  <c r="AF730" i="12" s="1"/>
  <c r="AF691" i="12"/>
  <c r="AF716" i="12" s="1"/>
  <c r="AF734" i="12" s="1"/>
  <c r="AF695" i="12"/>
  <c r="AF720" i="12" s="1"/>
  <c r="AF738" i="12" s="1"/>
  <c r="AF692" i="12"/>
  <c r="AF717" i="12" s="1"/>
  <c r="AF735" i="12" s="1"/>
  <c r="AF693" i="12"/>
  <c r="AF718" i="12" s="1"/>
  <c r="AF736" i="12" s="1"/>
  <c r="AF686" i="12"/>
  <c r="AF711" i="12" s="1"/>
  <c r="AF729" i="12" s="1"/>
  <c r="AF694" i="12"/>
  <c r="AF719" i="12" s="1"/>
  <c r="AF737" i="12" s="1"/>
  <c r="AF688" i="12"/>
  <c r="AF713" i="12" s="1"/>
  <c r="AF731" i="12" s="1"/>
  <c r="AF697" i="12"/>
  <c r="AF699" i="12"/>
  <c r="AF724" i="12" s="1"/>
  <c r="AF742" i="12" s="1"/>
  <c r="AF689" i="12"/>
  <c r="AF690" i="12"/>
  <c r="AF715" i="12" s="1"/>
  <c r="AF733" i="12" s="1"/>
  <c r="AF696" i="12"/>
  <c r="AF721" i="12" s="1"/>
  <c r="AF739" i="12" s="1"/>
  <c r="AF698" i="12"/>
  <c r="AF723" i="12" s="1"/>
  <c r="AF741" i="12" s="1"/>
  <c r="AF553" i="12"/>
  <c r="AF605" i="12" s="1"/>
  <c r="AF623" i="12" s="1"/>
  <c r="AF545" i="12"/>
  <c r="AF597" i="12" s="1"/>
  <c r="AF547" i="12"/>
  <c r="AF550" i="12"/>
  <c r="AF555" i="12"/>
  <c r="AF549" i="12"/>
  <c r="AF601" i="12" s="1"/>
  <c r="AF619" i="12" s="1"/>
  <c r="AF556" i="12"/>
  <c r="AF608" i="12" s="1"/>
  <c r="AF552" i="12"/>
  <c r="AF544" i="12"/>
  <c r="AF596" i="12" s="1"/>
  <c r="AF543" i="12"/>
  <c r="AF595" i="12" s="1"/>
  <c r="AF551" i="12"/>
  <c r="AF603" i="12" s="1"/>
  <c r="AF554" i="12"/>
  <c r="AF546" i="12"/>
  <c r="AF598" i="12" s="1"/>
  <c r="AF616" i="12" s="1"/>
  <c r="AF548" i="12"/>
  <c r="AF600" i="12" s="1"/>
  <c r="AF618" i="12" s="1"/>
  <c r="AF722" i="12"/>
  <c r="AF740" i="12" s="1"/>
  <c r="R268" i="43"/>
  <c r="R270" i="43" s="1"/>
  <c r="R272" i="43" s="1"/>
  <c r="R273" i="43" s="1"/>
  <c r="AF377" i="12"/>
  <c r="AF375" i="12"/>
  <c r="AF376" i="12"/>
  <c r="AF378" i="12"/>
  <c r="AF379" i="12"/>
  <c r="S287" i="43"/>
  <c r="S289" i="43" s="1"/>
  <c r="S291" i="43" s="1"/>
  <c r="AC63" i="58"/>
  <c r="AC72" i="58"/>
  <c r="AB69" i="58"/>
  <c r="Q66" i="43"/>
  <c r="Q68" i="43" s="1"/>
  <c r="Q69" i="43" s="1"/>
  <c r="W69" i="43" s="1"/>
  <c r="W80" i="43" s="1"/>
  <c r="R74" i="43"/>
  <c r="R76" i="43" s="1"/>
  <c r="R77" i="43" s="1"/>
  <c r="X77" i="43" s="1"/>
  <c r="AD77" i="43" s="1"/>
  <c r="T234" i="43"/>
  <c r="T236" i="43" s="1"/>
  <c r="T238" i="43" s="1"/>
  <c r="S221" i="43"/>
  <c r="S222" i="43"/>
  <c r="P236" i="43"/>
  <c r="P238" i="43" s="1"/>
  <c r="R224" i="43"/>
  <c r="R241" i="43" s="1"/>
  <c r="D241" i="43" s="1"/>
  <c r="T219" i="43"/>
  <c r="T220" i="43" s="1"/>
  <c r="O205" i="43"/>
  <c r="P219" i="43"/>
  <c r="P220" i="43" s="1"/>
  <c r="AB69" i="43"/>
  <c r="AB80" i="43" s="1"/>
  <c r="B79" i="43" s="1"/>
  <c r="AB43" i="43"/>
  <c r="AC46" i="43"/>
  <c r="AC58" i="43" s="1"/>
  <c r="X40" i="12"/>
  <c r="X46" i="12" s="1"/>
  <c r="X58" i="12" s="1"/>
  <c r="AC37" i="43"/>
  <c r="AD69" i="43"/>
  <c r="Z601" i="12"/>
  <c r="C914" i="12"/>
  <c r="S352" i="5"/>
  <c r="Z600" i="12"/>
  <c r="Z618" i="12" s="1"/>
  <c r="Z598" i="12"/>
  <c r="Z616" i="12" s="1"/>
  <c r="W651" i="12"/>
  <c r="W647" i="12" s="1"/>
  <c r="X54" i="12"/>
  <c r="X646" i="12" s="1"/>
  <c r="X651" i="12" s="1"/>
  <c r="V55" i="12"/>
  <c r="V653" i="12" s="1"/>
  <c r="V914" i="12"/>
  <c r="D914" i="12" s="1"/>
  <c r="V647" i="12"/>
  <c r="Z604" i="12"/>
  <c r="Z622" i="12" s="1"/>
  <c r="T270" i="12"/>
  <c r="B270" i="12" s="1"/>
  <c r="S349" i="5"/>
  <c r="R416" i="5"/>
  <c r="S416" i="5" s="1"/>
  <c r="W237" i="12"/>
  <c r="W238" i="12" s="1"/>
  <c r="AB651" i="12"/>
  <c r="W886" i="12"/>
  <c r="W895" i="12" s="1"/>
  <c r="W906" i="12" s="1"/>
  <c r="W887" i="12"/>
  <c r="W896" i="12" s="1"/>
  <c r="W907" i="12" s="1"/>
  <c r="W888" i="12"/>
  <c r="W897" i="12" s="1"/>
  <c r="W908" i="12" s="1"/>
  <c r="W889" i="12"/>
  <c r="W898" i="12" s="1"/>
  <c r="W909" i="12" s="1"/>
  <c r="AB649" i="12"/>
  <c r="X53" i="12"/>
  <c r="X879" i="12"/>
  <c r="X880" i="12" s="1"/>
  <c r="R419" i="5"/>
  <c r="S419" i="5" s="1"/>
  <c r="AC649" i="12"/>
  <c r="V245" i="12"/>
  <c r="V253" i="12" s="1"/>
  <c r="V264" i="12" s="1"/>
  <c r="V244" i="12"/>
  <c r="V252" i="12" s="1"/>
  <c r="V263" i="12" s="1"/>
  <c r="V243" i="12"/>
  <c r="V251" i="12" s="1"/>
  <c r="V262" i="12" s="1"/>
  <c r="O482" i="5"/>
  <c r="O522" i="5" s="1"/>
  <c r="R482" i="5"/>
  <c r="R522" i="5" s="1"/>
  <c r="AA714" i="12"/>
  <c r="AH602" i="12"/>
  <c r="AH620" i="12" s="1"/>
  <c r="AH598" i="12"/>
  <c r="AH616" i="12" s="1"/>
  <c r="U244" i="12"/>
  <c r="U252" i="12" s="1"/>
  <c r="U263" i="12" s="1"/>
  <c r="U245" i="12"/>
  <c r="U253" i="12" s="1"/>
  <c r="U264" i="12" s="1"/>
  <c r="U243" i="12"/>
  <c r="U251" i="12" s="1"/>
  <c r="U262" i="12" s="1"/>
  <c r="U872" i="12"/>
  <c r="C872" i="12" s="1"/>
  <c r="V85" i="12"/>
  <c r="V864" i="12"/>
  <c r="V126" i="12"/>
  <c r="T278" i="12"/>
  <c r="T290" i="12" s="1"/>
  <c r="V86" i="12"/>
  <c r="V865" i="12"/>
  <c r="X72" i="12"/>
  <c r="X79" i="12" s="1"/>
  <c r="W87" i="12"/>
  <c r="W866" i="12"/>
  <c r="T302" i="12"/>
  <c r="T303" i="12"/>
  <c r="AH608" i="12"/>
  <c r="AH626" i="12" s="1"/>
  <c r="T298" i="12"/>
  <c r="T299" i="12"/>
  <c r="T300" i="12"/>
  <c r="T301" i="12"/>
  <c r="T306" i="12"/>
  <c r="T304" i="12"/>
  <c r="T305" i="12"/>
  <c r="T291" i="12"/>
  <c r="T292" i="12"/>
  <c r="T293" i="12"/>
  <c r="T294" i="12"/>
  <c r="T295" i="12"/>
  <c r="T296" i="12"/>
  <c r="T297" i="12"/>
  <c r="AH607" i="12"/>
  <c r="AH625" i="12" s="1"/>
  <c r="AH604" i="12"/>
  <c r="AH622" i="12" s="1"/>
  <c r="AH595" i="12"/>
  <c r="AH613" i="12" s="1"/>
  <c r="AH596" i="12"/>
  <c r="AH614" i="12" s="1"/>
  <c r="AH597" i="12"/>
  <c r="AH615" i="12" s="1"/>
  <c r="Z605" i="12"/>
  <c r="Z623" i="12" s="1"/>
  <c r="V125" i="12"/>
  <c r="AH599" i="12"/>
  <c r="AH617" i="12" s="1"/>
  <c r="AH606" i="12"/>
  <c r="AH624" i="12" s="1"/>
  <c r="AH603" i="12"/>
  <c r="AH621" i="12" s="1"/>
  <c r="AH600" i="12"/>
  <c r="V127" i="12"/>
  <c r="Z739" i="12"/>
  <c r="Z738" i="12"/>
  <c r="Z608" i="12"/>
  <c r="Z626" i="12" s="1"/>
  <c r="Z732" i="12"/>
  <c r="Z602" i="12"/>
  <c r="Z620" i="12" s="1"/>
  <c r="Z607" i="12"/>
  <c r="Z625" i="12" s="1"/>
  <c r="Z595" i="12"/>
  <c r="Z613" i="12" s="1"/>
  <c r="Z596" i="12"/>
  <c r="Z614" i="12" s="1"/>
  <c r="Z735" i="12"/>
  <c r="Z603" i="12"/>
  <c r="Z621" i="12" s="1"/>
  <c r="Z597" i="12"/>
  <c r="Z615" i="12" s="1"/>
  <c r="Z606" i="12"/>
  <c r="Z624" i="12" s="1"/>
  <c r="Z734" i="12"/>
  <c r="Z733" i="12"/>
  <c r="X531" i="12"/>
  <c r="AI344" i="12"/>
  <c r="AI346" i="12"/>
  <c r="AB613" i="12"/>
  <c r="Z617" i="12"/>
  <c r="AJ533" i="12"/>
  <c r="AF602" i="12"/>
  <c r="AF604" i="12"/>
  <c r="AF622" i="12" s="1"/>
  <c r="AC596" i="12"/>
  <c r="AC597" i="12"/>
  <c r="AC604" i="12"/>
  <c r="AJ535" i="12"/>
  <c r="AF599" i="12"/>
  <c r="AF617" i="12" s="1"/>
  <c r="AG628" i="12"/>
  <c r="AC600" i="12"/>
  <c r="AC598" i="12"/>
  <c r="AC601" i="12"/>
  <c r="Z619" i="12"/>
  <c r="AF606" i="12"/>
  <c r="AF607" i="12"/>
  <c r="AC599" i="12"/>
  <c r="AC605" i="12"/>
  <c r="AC595" i="12"/>
  <c r="AC602" i="12"/>
  <c r="AB619" i="12"/>
  <c r="V601" i="12"/>
  <c r="AB622" i="12"/>
  <c r="AC608" i="12"/>
  <c r="AC606" i="12"/>
  <c r="AC603" i="12"/>
  <c r="AC607" i="12"/>
  <c r="V605" i="12"/>
  <c r="V608" i="12"/>
  <c r="W113" i="12"/>
  <c r="AH827" i="12"/>
  <c r="AH828" i="12" s="1"/>
  <c r="D828" i="12" s="1"/>
  <c r="AF827" i="12"/>
  <c r="AF828" i="12" s="1"/>
  <c r="W788" i="12"/>
  <c r="W794" i="12"/>
  <c r="W792" i="12"/>
  <c r="W793" i="12"/>
  <c r="W790" i="12"/>
  <c r="W795" i="12"/>
  <c r="AC817" i="12"/>
  <c r="E817" i="12" s="1"/>
  <c r="AD809" i="12"/>
  <c r="AD811" i="12"/>
  <c r="AJ772" i="12"/>
  <c r="AJ792" i="12" s="1"/>
  <c r="AJ808" i="12" s="1"/>
  <c r="AJ768" i="12"/>
  <c r="AJ788" i="12" s="1"/>
  <c r="AJ804" i="12" s="1"/>
  <c r="AJ775" i="12"/>
  <c r="AJ795" i="12" s="1"/>
  <c r="AJ811" i="12" s="1"/>
  <c r="AJ771" i="12"/>
  <c r="AJ791" i="12" s="1"/>
  <c r="AJ807" i="12" s="1"/>
  <c r="AJ773" i="12"/>
  <c r="AJ793" i="12" s="1"/>
  <c r="AJ809" i="12" s="1"/>
  <c r="AJ774" i="12"/>
  <c r="AJ794" i="12" s="1"/>
  <c r="AJ810" i="12" s="1"/>
  <c r="AJ770" i="12"/>
  <c r="AJ790" i="12" s="1"/>
  <c r="AJ806" i="12" s="1"/>
  <c r="AJ769" i="12"/>
  <c r="AJ789" i="12" s="1"/>
  <c r="AJ805" i="12" s="1"/>
  <c r="AI817" i="12"/>
  <c r="W789" i="12"/>
  <c r="AD806" i="12"/>
  <c r="AD804" i="12"/>
  <c r="AD810" i="12"/>
  <c r="AD808" i="12"/>
  <c r="W791" i="12"/>
  <c r="AD805" i="12"/>
  <c r="AD807" i="12"/>
  <c r="V200" i="12"/>
  <c r="V201" i="12"/>
  <c r="V202" i="12"/>
  <c r="V193" i="12"/>
  <c r="V190" i="12"/>
  <c r="V191" i="12"/>
  <c r="V192" i="12"/>
  <c r="V196" i="12"/>
  <c r="V197" i="12"/>
  <c r="V194" i="12"/>
  <c r="V195" i="12"/>
  <c r="V198" i="12"/>
  <c r="V199" i="12"/>
  <c r="U186" i="12"/>
  <c r="U217" i="12" s="1"/>
  <c r="U228" i="12" s="1"/>
  <c r="U184" i="12"/>
  <c r="U211" i="12" s="1"/>
  <c r="U222" i="12" s="1"/>
  <c r="U185" i="12"/>
  <c r="U214" i="12" s="1"/>
  <c r="U225" i="12" s="1"/>
  <c r="V189" i="12"/>
  <c r="V187" i="12"/>
  <c r="V188" i="12"/>
  <c r="U212" i="12"/>
  <c r="U223" i="12" s="1"/>
  <c r="U213" i="12"/>
  <c r="U224" i="12" s="1"/>
  <c r="U216" i="12"/>
  <c r="U227" i="12" s="1"/>
  <c r="T22" i="12"/>
  <c r="T111" i="12" s="1"/>
  <c r="T173" i="12"/>
  <c r="W177" i="12"/>
  <c r="W179" i="12"/>
  <c r="W175" i="12"/>
  <c r="W178" i="12"/>
  <c r="W176" i="12"/>
  <c r="V174" i="12"/>
  <c r="U218" i="12"/>
  <c r="U229" i="12" s="1"/>
  <c r="X22" i="12"/>
  <c r="X111" i="12" s="1"/>
  <c r="X173" i="12"/>
  <c r="U215" i="12"/>
  <c r="U226" i="12" s="1"/>
  <c r="W77" i="12"/>
  <c r="W78" i="12"/>
  <c r="U112" i="12"/>
  <c r="W115" i="12"/>
  <c r="U98" i="12"/>
  <c r="U101" i="12"/>
  <c r="U135" i="12"/>
  <c r="U132" i="12"/>
  <c r="U133" i="12"/>
  <c r="U134" i="12"/>
  <c r="U139" i="12"/>
  <c r="U140" i="12"/>
  <c r="U138" i="12"/>
  <c r="U128" i="12"/>
  <c r="U131" i="12"/>
  <c r="U129" i="12"/>
  <c r="U130" i="12"/>
  <c r="W114" i="12"/>
  <c r="U137" i="12"/>
  <c r="U136" i="12"/>
  <c r="W117" i="12"/>
  <c r="Q277" i="43" l="1"/>
  <c r="Q294" i="43" s="1"/>
  <c r="C294" i="43" s="1"/>
  <c r="R287" i="43"/>
  <c r="R289" i="43" s="1"/>
  <c r="R291" i="43" s="1"/>
  <c r="N135" i="58"/>
  <c r="N141" i="58"/>
  <c r="N167" i="58"/>
  <c r="N171" i="58" s="1"/>
  <c r="B172" i="58" s="1"/>
  <c r="O166" i="58"/>
  <c r="O170" i="58" s="1"/>
  <c r="C170" i="58" s="1"/>
  <c r="R137" i="58"/>
  <c r="R141" i="58" s="1"/>
  <c r="R140" i="58"/>
  <c r="R144" i="58" s="1"/>
  <c r="F144" i="58" s="1"/>
  <c r="P135" i="58"/>
  <c r="P141" i="58"/>
  <c r="P145" i="58" s="1"/>
  <c r="D146" i="58" s="1"/>
  <c r="Q135" i="58"/>
  <c r="Q142" i="58" s="1"/>
  <c r="Q141" i="58"/>
  <c r="Q145" i="58" s="1"/>
  <c r="E146" i="58" s="1"/>
  <c r="O263" i="58"/>
  <c r="O267" i="58" s="1"/>
  <c r="N238" i="58"/>
  <c r="N242" i="58" s="1"/>
  <c r="N269" i="58" s="1"/>
  <c r="B269" i="58" s="1"/>
  <c r="P238" i="58"/>
  <c r="P242" i="58" s="1"/>
  <c r="P269" i="58" s="1"/>
  <c r="D269" i="58" s="1"/>
  <c r="P263" i="58"/>
  <c r="P267" i="58" s="1"/>
  <c r="P277" i="43"/>
  <c r="P294" i="43" s="1"/>
  <c r="B294" i="43" s="1"/>
  <c r="Q258" i="58"/>
  <c r="N235" i="58"/>
  <c r="Q265" i="58"/>
  <c r="R257" i="58"/>
  <c r="R261" i="58" s="1"/>
  <c r="O234" i="58"/>
  <c r="P235" i="58"/>
  <c r="E144" i="58"/>
  <c r="V163" i="58"/>
  <c r="N161" i="58"/>
  <c r="P170" i="58"/>
  <c r="D170" i="58" s="1"/>
  <c r="W162" i="58"/>
  <c r="W166" i="58" s="1"/>
  <c r="AB81" i="58"/>
  <c r="Q228" i="58" s="1"/>
  <c r="N144" i="58"/>
  <c r="B144" i="58" s="1"/>
  <c r="AC84" i="58"/>
  <c r="AC78" i="58" s="1"/>
  <c r="X156" i="58" s="1"/>
  <c r="X158" i="58" s="1"/>
  <c r="P161" i="58"/>
  <c r="P168" i="58" s="1"/>
  <c r="O163" i="58"/>
  <c r="W135" i="58"/>
  <c r="R135" i="58"/>
  <c r="AF714" i="12"/>
  <c r="AF732" i="12" s="1"/>
  <c r="AF744" i="12" s="1"/>
  <c r="AB653" i="12"/>
  <c r="AH653" i="12" s="1"/>
  <c r="V598" i="12"/>
  <c r="AD10" i="12"/>
  <c r="AD14" i="12" s="1"/>
  <c r="AJ565" i="12"/>
  <c r="AJ567" i="12"/>
  <c r="AJ566" i="12"/>
  <c r="AJ568" i="12"/>
  <c r="AJ564" i="12"/>
  <c r="AJ562" i="12"/>
  <c r="AJ560" i="12"/>
  <c r="AJ559" i="12"/>
  <c r="AJ561" i="12"/>
  <c r="AJ558" i="12"/>
  <c r="AC677" i="12"/>
  <c r="AC678" i="12"/>
  <c r="AC674" i="12"/>
  <c r="AC676" i="12"/>
  <c r="AC675" i="12"/>
  <c r="AA736" i="12"/>
  <c r="AA741" i="12"/>
  <c r="AA740" i="12"/>
  <c r="AA735" i="12"/>
  <c r="AI393" i="12"/>
  <c r="AI385" i="12"/>
  <c r="AI392" i="12"/>
  <c r="AI383" i="12"/>
  <c r="AI381" i="12"/>
  <c r="AI394" i="12"/>
  <c r="AI386" i="12"/>
  <c r="AI384" i="12"/>
  <c r="AI388" i="12"/>
  <c r="AI391" i="12"/>
  <c r="AI387" i="12"/>
  <c r="AI390" i="12"/>
  <c r="AI382" i="12"/>
  <c r="AI389" i="12"/>
  <c r="AA742" i="12"/>
  <c r="AA737" i="12"/>
  <c r="AA739" i="12"/>
  <c r="AA731" i="12"/>
  <c r="AI373" i="12"/>
  <c r="AI372" i="12"/>
  <c r="AI370" i="12"/>
  <c r="AI371" i="12"/>
  <c r="AI369" i="12"/>
  <c r="X649" i="12"/>
  <c r="AH649" i="12"/>
  <c r="AB678" i="12"/>
  <c r="AB674" i="12"/>
  <c r="AB675" i="12"/>
  <c r="AB677" i="12"/>
  <c r="AB676" i="12"/>
  <c r="R275" i="43"/>
  <c r="R274" i="43"/>
  <c r="AA734" i="12"/>
  <c r="AA738" i="12"/>
  <c r="AG669" i="12"/>
  <c r="AG721" i="12" s="1"/>
  <c r="AG739" i="12" s="1"/>
  <c r="AG671" i="12"/>
  <c r="AG723" i="12" s="1"/>
  <c r="AG741" i="12" s="1"/>
  <c r="AG660" i="12"/>
  <c r="AG712" i="12" s="1"/>
  <c r="AG730" i="12" s="1"/>
  <c r="AG672" i="12"/>
  <c r="AG724" i="12" s="1"/>
  <c r="AG742" i="12" s="1"/>
  <c r="AG662" i="12"/>
  <c r="AG714" i="12" s="1"/>
  <c r="AG732" i="12" s="1"/>
  <c r="AG666" i="12"/>
  <c r="AG718" i="12" s="1"/>
  <c r="AG736" i="12" s="1"/>
  <c r="AG670" i="12"/>
  <c r="AG722" i="12" s="1"/>
  <c r="AG740" i="12" s="1"/>
  <c r="AG661" i="12"/>
  <c r="AG713" i="12" s="1"/>
  <c r="AG731" i="12" s="1"/>
  <c r="AG664" i="12"/>
  <c r="AG716" i="12" s="1"/>
  <c r="AG734" i="12" s="1"/>
  <c r="AG659" i="12"/>
  <c r="AG711" i="12" s="1"/>
  <c r="AG729" i="12" s="1"/>
  <c r="AG663" i="12"/>
  <c r="AG715" i="12" s="1"/>
  <c r="AG733" i="12" s="1"/>
  <c r="AG668" i="12"/>
  <c r="AG720" i="12" s="1"/>
  <c r="AG738" i="12" s="1"/>
  <c r="AG665" i="12"/>
  <c r="AG717" i="12" s="1"/>
  <c r="AG735" i="12" s="1"/>
  <c r="AG667" i="12"/>
  <c r="AG719" i="12" s="1"/>
  <c r="AG737" i="12" s="1"/>
  <c r="AJ390" i="12"/>
  <c r="AJ391" i="12"/>
  <c r="AJ383" i="12"/>
  <c r="AJ393" i="12"/>
  <c r="AJ385" i="12"/>
  <c r="AJ392" i="12"/>
  <c r="AJ389" i="12"/>
  <c r="AJ394" i="12"/>
  <c r="AJ386" i="12"/>
  <c r="AJ387" i="12"/>
  <c r="AJ382" i="12"/>
  <c r="AJ381" i="12"/>
  <c r="AJ384" i="12"/>
  <c r="AJ388" i="12"/>
  <c r="AI377" i="12"/>
  <c r="AI378" i="12"/>
  <c r="AI379" i="12"/>
  <c r="AI376" i="12"/>
  <c r="AI375" i="12"/>
  <c r="AH651" i="12"/>
  <c r="AB684" i="12"/>
  <c r="AB681" i="12"/>
  <c r="AB682" i="12"/>
  <c r="AB683" i="12"/>
  <c r="AB680" i="12"/>
  <c r="AJ377" i="12"/>
  <c r="AJ375" i="12"/>
  <c r="AJ378" i="12"/>
  <c r="AJ376" i="12"/>
  <c r="AJ379" i="12"/>
  <c r="AA730" i="12"/>
  <c r="U712" i="12"/>
  <c r="AA733" i="12"/>
  <c r="U715" i="12"/>
  <c r="AA729" i="12"/>
  <c r="U711" i="12"/>
  <c r="V607" i="12"/>
  <c r="AA732" i="12"/>
  <c r="U714" i="12"/>
  <c r="AI821" i="12"/>
  <c r="AI819" i="12"/>
  <c r="AI823" i="12"/>
  <c r="AG634" i="12"/>
  <c r="AG632" i="12"/>
  <c r="AG630" i="12"/>
  <c r="A319" i="62"/>
  <c r="A283" i="62"/>
  <c r="A259" i="62"/>
  <c r="A239" i="62"/>
  <c r="A219" i="62"/>
  <c r="A195" i="62"/>
  <c r="A179" i="62"/>
  <c r="A159" i="62"/>
  <c r="A143" i="62"/>
  <c r="A127" i="62"/>
  <c r="A103" i="62"/>
  <c r="A71" i="62"/>
  <c r="A51" i="62"/>
  <c r="A272" i="62"/>
  <c r="A204" i="62"/>
  <c r="A112" i="62"/>
  <c r="A68" i="62"/>
  <c r="A310" i="62"/>
  <c r="A294" i="62"/>
  <c r="A266" i="62"/>
  <c r="A250" i="62"/>
  <c r="A234" i="62"/>
  <c r="A210" i="62"/>
  <c r="A182" i="62"/>
  <c r="A154" i="62"/>
  <c r="A138" i="62"/>
  <c r="A122" i="62"/>
  <c r="A102" i="62"/>
  <c r="A86" i="62"/>
  <c r="A70" i="62"/>
  <c r="A316" i="62"/>
  <c r="A268" i="62"/>
  <c r="A208" i="62"/>
  <c r="A164" i="62"/>
  <c r="A116" i="62"/>
  <c r="A321" i="62"/>
  <c r="A305" i="62"/>
  <c r="A289" i="62"/>
  <c r="A269" i="62"/>
  <c r="A249" i="62"/>
  <c r="A225" i="62"/>
  <c r="A209" i="62"/>
  <c r="A193" i="62"/>
  <c r="A177" i="62"/>
  <c r="A161" i="62"/>
  <c r="A137" i="62"/>
  <c r="A113" i="62"/>
  <c r="A93" i="62"/>
  <c r="A73" i="62"/>
  <c r="A57" i="62"/>
  <c r="A41" i="62"/>
  <c r="A320" i="62"/>
  <c r="A252" i="62"/>
  <c r="A180" i="62"/>
  <c r="A120" i="62"/>
  <c r="A60" i="62"/>
  <c r="A64" i="62"/>
  <c r="A311" i="62"/>
  <c r="A279" i="62"/>
  <c r="A255" i="62"/>
  <c r="A235" i="62"/>
  <c r="A211" i="62"/>
  <c r="A191" i="62"/>
  <c r="A175" i="62"/>
  <c r="A155" i="62"/>
  <c r="A139" i="62"/>
  <c r="A123" i="62"/>
  <c r="A99" i="62"/>
  <c r="A67" i="62"/>
  <c r="A47" i="62"/>
  <c r="A256" i="62"/>
  <c r="A188" i="62"/>
  <c r="A100" i="62"/>
  <c r="A322" i="62"/>
  <c r="A306" i="62"/>
  <c r="A290" i="62"/>
  <c r="A262" i="62"/>
  <c r="A246" i="62"/>
  <c r="A222" i="62"/>
  <c r="A206" i="62"/>
  <c r="A170" i="62"/>
  <c r="A150" i="62"/>
  <c r="A134" i="62"/>
  <c r="A114" i="62"/>
  <c r="A98" i="62"/>
  <c r="A82" i="62"/>
  <c r="A62" i="62"/>
  <c r="A308" i="62"/>
  <c r="A264" i="62"/>
  <c r="A196" i="62"/>
  <c r="A152" i="62"/>
  <c r="A96" i="62"/>
  <c r="A317" i="62"/>
  <c r="A301" i="62"/>
  <c r="A285" i="62"/>
  <c r="A265" i="62"/>
  <c r="A241" i="62"/>
  <c r="A221" i="62"/>
  <c r="A205" i="62"/>
  <c r="A189" i="62"/>
  <c r="A173" i="62"/>
  <c r="A149" i="62"/>
  <c r="A133" i="62"/>
  <c r="A109" i="62"/>
  <c r="A89" i="62"/>
  <c r="A69" i="62"/>
  <c r="A53" i="62"/>
  <c r="A37" i="62"/>
  <c r="A300" i="62"/>
  <c r="A232" i="62"/>
  <c r="A172" i="62"/>
  <c r="A108" i="62"/>
  <c r="A52" i="62"/>
  <c r="A56" i="62"/>
  <c r="A303" i="62"/>
  <c r="A275" i="62"/>
  <c r="A247" i="62"/>
  <c r="A231" i="62"/>
  <c r="A203" i="62"/>
  <c r="A187" i="62"/>
  <c r="A167" i="62"/>
  <c r="A151" i="62"/>
  <c r="A135" i="62"/>
  <c r="A119" i="62"/>
  <c r="A83" i="62"/>
  <c r="A63" i="62"/>
  <c r="A43" i="62"/>
  <c r="A312" i="62"/>
  <c r="A244" i="62"/>
  <c r="A160" i="62"/>
  <c r="A88" i="62"/>
  <c r="A318" i="62"/>
  <c r="A302" i="62"/>
  <c r="A286" i="62"/>
  <c r="A258" i="62"/>
  <c r="A242" i="62"/>
  <c r="A218" i="62"/>
  <c r="A202" i="62"/>
  <c r="A166" i="62"/>
  <c r="A146" i="62"/>
  <c r="A130" i="62"/>
  <c r="A110" i="62"/>
  <c r="A94" i="62"/>
  <c r="A78" i="62"/>
  <c r="A54" i="62"/>
  <c r="A292" i="62"/>
  <c r="A228" i="62"/>
  <c r="A184" i="62"/>
  <c r="A136" i="62"/>
  <c r="A84" i="62"/>
  <c r="A313" i="62"/>
  <c r="A297" i="62"/>
  <c r="A277" i="62"/>
  <c r="A261" i="62"/>
  <c r="A237" i="62"/>
  <c r="A217" i="62"/>
  <c r="A201" i="62"/>
  <c r="A185" i="62"/>
  <c r="A169" i="62"/>
  <c r="A145" i="62"/>
  <c r="A121" i="62"/>
  <c r="A105" i="62"/>
  <c r="A85" i="62"/>
  <c r="A65" i="62"/>
  <c r="A49" i="62"/>
  <c r="A284" i="62"/>
  <c r="A216" i="62"/>
  <c r="A156" i="62"/>
  <c r="A92" i="62"/>
  <c r="A44" i="62"/>
  <c r="A48" i="62"/>
  <c r="A295" i="62"/>
  <c r="A271" i="62"/>
  <c r="A243" i="62"/>
  <c r="A227" i="62"/>
  <c r="A199" i="62"/>
  <c r="A183" i="62"/>
  <c r="A163" i="62"/>
  <c r="A147" i="62"/>
  <c r="A131" i="62"/>
  <c r="A111" i="62"/>
  <c r="A79" i="62"/>
  <c r="A59" i="62"/>
  <c r="A39" i="62"/>
  <c r="A288" i="62"/>
  <c r="A224" i="62"/>
  <c r="A128" i="62"/>
  <c r="A80" i="62"/>
  <c r="A314" i="62"/>
  <c r="A298" i="62"/>
  <c r="A282" i="62"/>
  <c r="A254" i="62"/>
  <c r="A238" i="62"/>
  <c r="A214" i="62"/>
  <c r="A198" i="62"/>
  <c r="A158" i="62"/>
  <c r="A142" i="62"/>
  <c r="A126" i="62"/>
  <c r="A106" i="62"/>
  <c r="A90" i="62"/>
  <c r="A74" i="62"/>
  <c r="A38" i="62"/>
  <c r="A280" i="62"/>
  <c r="A220" i="62"/>
  <c r="A176" i="62"/>
  <c r="A124" i="62"/>
  <c r="A72" i="62"/>
  <c r="A309" i="62"/>
  <c r="A293" i="62"/>
  <c r="A273" i="62"/>
  <c r="A253" i="62"/>
  <c r="A229" i="62"/>
  <c r="A213" i="62"/>
  <c r="A197" i="62"/>
  <c r="A181" i="62"/>
  <c r="A165" i="62"/>
  <c r="A141" i="62"/>
  <c r="A117" i="62"/>
  <c r="A97" i="62"/>
  <c r="A77" i="62"/>
  <c r="A61" i="62"/>
  <c r="A45" i="62"/>
  <c r="A276" i="62"/>
  <c r="A192" i="62"/>
  <c r="A132" i="62"/>
  <c r="A76" i="62"/>
  <c r="A40" i="62"/>
  <c r="A16" i="60"/>
  <c r="A286" i="60"/>
  <c r="A206" i="60"/>
  <c r="A281" i="60"/>
  <c r="A189" i="60"/>
  <c r="A272" i="60"/>
  <c r="A188" i="60"/>
  <c r="A275" i="60"/>
  <c r="A282" i="60"/>
  <c r="A202" i="60"/>
  <c r="A273" i="60"/>
  <c r="A185" i="60"/>
  <c r="A268" i="60"/>
  <c r="A184" i="60"/>
  <c r="A243" i="60"/>
  <c r="A250" i="60"/>
  <c r="A182" i="60"/>
  <c r="A249" i="60"/>
  <c r="A240" i="60"/>
  <c r="A239" i="60"/>
  <c r="A246" i="60"/>
  <c r="A10" i="60"/>
  <c r="A245" i="60"/>
  <c r="A316" i="60"/>
  <c r="A236" i="60"/>
  <c r="A235" i="60"/>
  <c r="A258" i="60"/>
  <c r="A190" i="60"/>
  <c r="A261" i="60"/>
  <c r="A252" i="60"/>
  <c r="A251" i="60"/>
  <c r="A254" i="60"/>
  <c r="A186" i="60"/>
  <c r="A257" i="60"/>
  <c r="A248" i="60"/>
  <c r="A219" i="60"/>
  <c r="A310" i="60"/>
  <c r="A234" i="60"/>
  <c r="A305" i="60"/>
  <c r="A221" i="60"/>
  <c r="A304" i="60"/>
  <c r="A224" i="60"/>
  <c r="A315" i="60"/>
  <c r="A215" i="60"/>
  <c r="A306" i="60"/>
  <c r="A226" i="60"/>
  <c r="A301" i="60"/>
  <c r="A217" i="60"/>
  <c r="A296" i="60"/>
  <c r="A216" i="60"/>
  <c r="A311" i="60"/>
  <c r="A211" i="60"/>
  <c r="A318" i="60"/>
  <c r="A242" i="60"/>
  <c r="A229" i="60"/>
  <c r="A312" i="60"/>
  <c r="A232" i="60"/>
  <c r="A231" i="60"/>
  <c r="A314" i="60"/>
  <c r="A238" i="60"/>
  <c r="A313" i="60"/>
  <c r="A225" i="60"/>
  <c r="A308" i="60"/>
  <c r="A228" i="60"/>
  <c r="A299" i="60"/>
  <c r="A203" i="60"/>
  <c r="A294" i="60"/>
  <c r="A214" i="60"/>
  <c r="A289" i="60"/>
  <c r="A201" i="60"/>
  <c r="A280" i="60"/>
  <c r="A196" i="60"/>
  <c r="A291" i="60"/>
  <c r="A199" i="60"/>
  <c r="A290" i="60"/>
  <c r="A210" i="60"/>
  <c r="A285" i="60"/>
  <c r="A193" i="60"/>
  <c r="A276" i="60"/>
  <c r="A192" i="60"/>
  <c r="A279" i="60"/>
  <c r="A195" i="60"/>
  <c r="A302" i="60"/>
  <c r="A222" i="60"/>
  <c r="A297" i="60"/>
  <c r="A213" i="60"/>
  <c r="A288" i="60"/>
  <c r="A208" i="60"/>
  <c r="A307" i="60"/>
  <c r="A207" i="60"/>
  <c r="A298" i="60"/>
  <c r="A218" i="60"/>
  <c r="A293" i="60"/>
  <c r="A205" i="60"/>
  <c r="A284" i="60"/>
  <c r="A200" i="60"/>
  <c r="A271" i="60"/>
  <c r="A278" i="60"/>
  <c r="A198" i="60"/>
  <c r="A269" i="60"/>
  <c r="A181" i="60"/>
  <c r="A264" i="60"/>
  <c r="A180" i="60"/>
  <c r="A267" i="60"/>
  <c r="A262" i="60"/>
  <c r="A194" i="60"/>
  <c r="A265" i="60"/>
  <c r="A260" i="60"/>
  <c r="A255" i="60"/>
  <c r="X237" i="12"/>
  <c r="X238" i="12" s="1"/>
  <c r="AC69" i="58"/>
  <c r="V596" i="12"/>
  <c r="AD80" i="43"/>
  <c r="D79" i="43" s="1"/>
  <c r="V597" i="12"/>
  <c r="X80" i="43"/>
  <c r="V602" i="12"/>
  <c r="AC69" i="43"/>
  <c r="AC80" i="43" s="1"/>
  <c r="C79" i="43" s="1"/>
  <c r="AB55" i="43"/>
  <c r="AB49" i="43" s="1"/>
  <c r="S66" i="43" s="1"/>
  <c r="S68" i="43" s="1"/>
  <c r="S69" i="43" s="1"/>
  <c r="Y69" i="43" s="1"/>
  <c r="Y80" i="43" s="1"/>
  <c r="P222" i="43"/>
  <c r="P221" i="43"/>
  <c r="T222" i="43"/>
  <c r="T221" i="43"/>
  <c r="S224" i="43"/>
  <c r="S241" i="43" s="1"/>
  <c r="E241" i="43" s="1"/>
  <c r="AC52" i="43"/>
  <c r="T282" i="43" s="1"/>
  <c r="T284" i="43" s="1"/>
  <c r="AC43" i="43"/>
  <c r="V599" i="12"/>
  <c r="AD531" i="12"/>
  <c r="AB647" i="12"/>
  <c r="AC651" i="12"/>
  <c r="B828" i="12"/>
  <c r="W52" i="12"/>
  <c r="V595" i="12"/>
  <c r="V270" i="12"/>
  <c r="D270" i="12" s="1"/>
  <c r="X889" i="12"/>
  <c r="X898" i="12" s="1"/>
  <c r="X909" i="12" s="1"/>
  <c r="X886" i="12"/>
  <c r="X895" i="12" s="1"/>
  <c r="X906" i="12" s="1"/>
  <c r="X887" i="12"/>
  <c r="X896" i="12" s="1"/>
  <c r="X907" i="12" s="1"/>
  <c r="X888" i="12"/>
  <c r="X897" i="12" s="1"/>
  <c r="X908" i="12" s="1"/>
  <c r="AI649" i="12"/>
  <c r="V52" i="12"/>
  <c r="V277" i="12"/>
  <c r="W277" i="12"/>
  <c r="AC647" i="12"/>
  <c r="AD649" i="12"/>
  <c r="X647" i="12"/>
  <c r="W55" i="12"/>
  <c r="W653" i="12" s="1"/>
  <c r="W914" i="12"/>
  <c r="E914" i="12" s="1"/>
  <c r="W244" i="12"/>
  <c r="W252" i="12" s="1"/>
  <c r="W263" i="12" s="1"/>
  <c r="W245" i="12"/>
  <c r="W253" i="12" s="1"/>
  <c r="W264" i="12" s="1"/>
  <c r="W243" i="12"/>
  <c r="W251" i="12" s="1"/>
  <c r="W262" i="12" s="1"/>
  <c r="AD651" i="12"/>
  <c r="T289" i="12"/>
  <c r="T288" i="12"/>
  <c r="T320" i="12" s="1"/>
  <c r="T330" i="12" s="1"/>
  <c r="U52" i="12"/>
  <c r="U277" i="12"/>
  <c r="U270" i="12"/>
  <c r="C270" i="12" s="1"/>
  <c r="V606" i="12"/>
  <c r="V604" i="12"/>
  <c r="W86" i="12"/>
  <c r="W865" i="12"/>
  <c r="W85" i="12"/>
  <c r="W864" i="12"/>
  <c r="U100" i="12"/>
  <c r="T77" i="12"/>
  <c r="U97" i="12"/>
  <c r="V872" i="12"/>
  <c r="D872" i="12" s="1"/>
  <c r="W127" i="12"/>
  <c r="X87" i="12"/>
  <c r="X866" i="12"/>
  <c r="T716" i="12"/>
  <c r="T316" i="12"/>
  <c r="T326" i="12" s="1"/>
  <c r="T317" i="12"/>
  <c r="T327" i="12" s="1"/>
  <c r="V603" i="12"/>
  <c r="T318" i="12"/>
  <c r="T328" i="12" s="1"/>
  <c r="T321" i="12"/>
  <c r="T331" i="12" s="1"/>
  <c r="W125" i="12"/>
  <c r="T714" i="12"/>
  <c r="AH618" i="12"/>
  <c r="AH628" i="12" s="1"/>
  <c r="V600" i="12"/>
  <c r="T715" i="12"/>
  <c r="T717" i="12"/>
  <c r="W126" i="12"/>
  <c r="X788" i="12"/>
  <c r="T598" i="12"/>
  <c r="T600" i="12"/>
  <c r="T719" i="12"/>
  <c r="Z737" i="12"/>
  <c r="T712" i="12"/>
  <c r="T723" i="12"/>
  <c r="Z741" i="12"/>
  <c r="T720" i="12"/>
  <c r="Z740" i="12"/>
  <c r="T722" i="12"/>
  <c r="Z729" i="12"/>
  <c r="T711" i="12"/>
  <c r="Z736" i="12"/>
  <c r="T718" i="12"/>
  <c r="Z742" i="12"/>
  <c r="T724" i="12"/>
  <c r="T721" i="12"/>
  <c r="Z731" i="12"/>
  <c r="T713" i="12"/>
  <c r="Z628" i="12"/>
  <c r="B628" i="12" s="1"/>
  <c r="T605" i="12"/>
  <c r="AC624" i="12"/>
  <c r="AF621" i="12"/>
  <c r="T603" i="12"/>
  <c r="AC613" i="12"/>
  <c r="AF613" i="12"/>
  <c r="T595" i="12"/>
  <c r="AC619" i="12"/>
  <c r="AI596" i="12"/>
  <c r="AI614" i="12" s="1"/>
  <c r="AI601" i="12"/>
  <c r="AI619" i="12" s="1"/>
  <c r="AI602" i="12"/>
  <c r="AI620" i="12" s="1"/>
  <c r="AC615" i="12"/>
  <c r="AC626" i="12"/>
  <c r="AF626" i="12"/>
  <c r="T608" i="12"/>
  <c r="AC623" i="12"/>
  <c r="AF625" i="12"/>
  <c r="T607" i="12"/>
  <c r="AC616" i="12"/>
  <c r="AI599" i="12"/>
  <c r="AI617" i="12" s="1"/>
  <c r="AI597" i="12"/>
  <c r="AI615" i="12" s="1"/>
  <c r="AI608" i="12"/>
  <c r="AI626" i="12" s="1"/>
  <c r="AI604" i="12"/>
  <c r="AI622" i="12" s="1"/>
  <c r="AC614" i="12"/>
  <c r="AB628" i="12"/>
  <c r="D628" i="12" s="1"/>
  <c r="AC625" i="12"/>
  <c r="AF615" i="12"/>
  <c r="T597" i="12"/>
  <c r="AC617" i="12"/>
  <c r="AF624" i="12"/>
  <c r="T606" i="12"/>
  <c r="T601" i="12"/>
  <c r="AC618" i="12"/>
  <c r="AI606" i="12"/>
  <c r="AI624" i="12" s="1"/>
  <c r="AI603" i="12"/>
  <c r="AI621" i="12" s="1"/>
  <c r="AI598" i="12"/>
  <c r="AI616" i="12" s="1"/>
  <c r="AI607" i="12"/>
  <c r="AI625" i="12" s="1"/>
  <c r="AF620" i="12"/>
  <c r="T602" i="12"/>
  <c r="AC621" i="12"/>
  <c r="AF614" i="12"/>
  <c r="T596" i="12"/>
  <c r="AC620" i="12"/>
  <c r="AI605" i="12"/>
  <c r="AI623" i="12" s="1"/>
  <c r="AI595" i="12"/>
  <c r="AI613" i="12" s="1"/>
  <c r="AI600" i="12"/>
  <c r="AI618" i="12" s="1"/>
  <c r="AC622" i="12"/>
  <c r="T604" i="12"/>
  <c r="T599" i="12"/>
  <c r="T113" i="12"/>
  <c r="X113" i="12"/>
  <c r="X794" i="12"/>
  <c r="X791" i="12"/>
  <c r="X792" i="12"/>
  <c r="X789" i="12"/>
  <c r="X790" i="12"/>
  <c r="AD817" i="12"/>
  <c r="F817" i="12" s="1"/>
  <c r="AJ817" i="12"/>
  <c r="X793" i="12"/>
  <c r="X795" i="12"/>
  <c r="W199" i="12"/>
  <c r="W198" i="12"/>
  <c r="W188" i="12"/>
  <c r="W189" i="12"/>
  <c r="W187" i="12"/>
  <c r="W195" i="12"/>
  <c r="W196" i="12"/>
  <c r="W197" i="12"/>
  <c r="W194" i="12"/>
  <c r="W200" i="12"/>
  <c r="W201" i="12"/>
  <c r="W202" i="12"/>
  <c r="V185" i="12"/>
  <c r="V186" i="12"/>
  <c r="V184" i="12"/>
  <c r="W192" i="12"/>
  <c r="W193" i="12"/>
  <c r="W190" i="12"/>
  <c r="W191" i="12"/>
  <c r="AA342" i="12"/>
  <c r="T78" i="12"/>
  <c r="V216" i="12"/>
  <c r="V227" i="12" s="1"/>
  <c r="V218" i="12"/>
  <c r="V229" i="12" s="1"/>
  <c r="V213" i="12"/>
  <c r="V224" i="12" s="1"/>
  <c r="W174" i="12"/>
  <c r="T79" i="12"/>
  <c r="X176" i="12"/>
  <c r="X177" i="12"/>
  <c r="X179" i="12"/>
  <c r="X175" i="12"/>
  <c r="X178" i="12"/>
  <c r="V215" i="12"/>
  <c r="V226" i="12" s="1"/>
  <c r="T176" i="12"/>
  <c r="T177" i="12"/>
  <c r="T179" i="12"/>
  <c r="T178" i="12"/>
  <c r="T175" i="12"/>
  <c r="V212" i="12"/>
  <c r="V223" i="12" s="1"/>
  <c r="U230" i="12"/>
  <c r="X77" i="12"/>
  <c r="X78" i="12"/>
  <c r="U103" i="12"/>
  <c r="U122" i="12"/>
  <c r="U124" i="12"/>
  <c r="U123" i="12"/>
  <c r="T117" i="12"/>
  <c r="T114" i="12"/>
  <c r="T115" i="12"/>
  <c r="T116" i="12"/>
  <c r="U152" i="12"/>
  <c r="U162" i="12" s="1"/>
  <c r="W139" i="12"/>
  <c r="W140" i="12"/>
  <c r="W138" i="12"/>
  <c r="X117" i="12"/>
  <c r="X114" i="12"/>
  <c r="U150" i="12"/>
  <c r="U155" i="12"/>
  <c r="U165" i="12" s="1"/>
  <c r="V114" i="12"/>
  <c r="V115" i="12"/>
  <c r="V117" i="12"/>
  <c r="V116" i="12"/>
  <c r="X115" i="12"/>
  <c r="X116" i="12"/>
  <c r="W137" i="12"/>
  <c r="W136" i="12"/>
  <c r="W98" i="12"/>
  <c r="U153" i="12"/>
  <c r="U163" i="12" s="1"/>
  <c r="W133" i="12"/>
  <c r="W132" i="12"/>
  <c r="W134" i="12"/>
  <c r="W135" i="12"/>
  <c r="W101" i="12"/>
  <c r="R142" i="58" l="1"/>
  <c r="R146" i="58" s="1"/>
  <c r="W142" i="58"/>
  <c r="Q146" i="58" s="1"/>
  <c r="V167" i="58"/>
  <c r="P171" i="58" s="1"/>
  <c r="D172" i="58" s="1"/>
  <c r="O167" i="58"/>
  <c r="O171" i="58" s="1"/>
  <c r="C172" i="58" s="1"/>
  <c r="N168" i="58"/>
  <c r="N172" i="58" s="1"/>
  <c r="P142" i="58"/>
  <c r="P146" i="58" s="1"/>
  <c r="N142" i="58"/>
  <c r="N146" i="58" s="1"/>
  <c r="P239" i="58"/>
  <c r="P243" i="58" s="1"/>
  <c r="P270" i="58" s="1"/>
  <c r="N233" i="58"/>
  <c r="N239" i="58"/>
  <c r="N243" i="58" s="1"/>
  <c r="N270" i="58" s="1"/>
  <c r="O238" i="58"/>
  <c r="O242" i="58" s="1"/>
  <c r="O269" i="58" s="1"/>
  <c r="C269" i="58" s="1"/>
  <c r="Q262" i="58"/>
  <c r="Q266" i="58" s="1"/>
  <c r="Q256" i="58"/>
  <c r="P233" i="58"/>
  <c r="P240" i="58" s="1"/>
  <c r="P244" i="58" s="1"/>
  <c r="P271" i="58" s="1"/>
  <c r="R265" i="58"/>
  <c r="R258" i="58"/>
  <c r="R262" i="58" s="1"/>
  <c r="AB75" i="58"/>
  <c r="Q156" i="58" s="1"/>
  <c r="Q158" i="58" s="1"/>
  <c r="Q162" i="58" s="1"/>
  <c r="Q166" i="58" s="1"/>
  <c r="Q230" i="58"/>
  <c r="O235" i="58"/>
  <c r="O239" i="58" s="1"/>
  <c r="V161" i="58"/>
  <c r="O161" i="58"/>
  <c r="X162" i="58"/>
  <c r="X166" i="58" s="1"/>
  <c r="N145" i="58"/>
  <c r="B146" i="58" s="1"/>
  <c r="AC81" i="58"/>
  <c r="R228" i="58" s="1"/>
  <c r="W163" i="58"/>
  <c r="W167" i="58" s="1"/>
  <c r="R145" i="58"/>
  <c r="F146" i="58" s="1"/>
  <c r="AF746" i="12"/>
  <c r="AH686" i="12"/>
  <c r="AH691" i="12"/>
  <c r="AH697" i="12"/>
  <c r="AH690" i="12"/>
  <c r="AH696" i="12"/>
  <c r="AH687" i="12"/>
  <c r="AH689" i="12"/>
  <c r="AH698" i="12"/>
  <c r="AH694" i="12"/>
  <c r="AH695" i="12"/>
  <c r="AH693" i="12"/>
  <c r="AH699" i="12"/>
  <c r="AH688" i="12"/>
  <c r="AH692" i="12"/>
  <c r="AC653" i="12"/>
  <c r="AI653" i="12" s="1"/>
  <c r="AE10" i="12"/>
  <c r="AE14" i="12" s="1"/>
  <c r="AB699" i="12"/>
  <c r="AB698" i="12"/>
  <c r="AB687" i="12"/>
  <c r="AB694" i="12"/>
  <c r="AB686" i="12"/>
  <c r="AB689" i="12"/>
  <c r="AB696" i="12"/>
  <c r="AB693" i="12"/>
  <c r="AB691" i="12"/>
  <c r="AB692" i="12"/>
  <c r="AB690" i="12"/>
  <c r="AB697" i="12"/>
  <c r="AB695" i="12"/>
  <c r="AB688" i="12"/>
  <c r="AA744" i="12"/>
  <c r="C744" i="12" s="1"/>
  <c r="AJ651" i="12"/>
  <c r="AD680" i="12"/>
  <c r="AD681" i="12"/>
  <c r="AD682" i="12"/>
  <c r="AD683" i="12"/>
  <c r="AD684" i="12"/>
  <c r="AC661" i="12"/>
  <c r="AC672" i="12"/>
  <c r="AC669" i="12"/>
  <c r="AC662" i="12"/>
  <c r="AC670" i="12"/>
  <c r="AC667" i="12"/>
  <c r="AC663" i="12"/>
  <c r="AC664" i="12"/>
  <c r="AC665" i="12"/>
  <c r="AC666" i="12"/>
  <c r="AC671" i="12"/>
  <c r="AC660" i="12"/>
  <c r="AC659" i="12"/>
  <c r="AC668" i="12"/>
  <c r="AI677" i="12"/>
  <c r="AI678" i="12"/>
  <c r="AI676" i="12"/>
  <c r="AI674" i="12"/>
  <c r="AI675" i="12"/>
  <c r="AJ531" i="12"/>
  <c r="AD555" i="12"/>
  <c r="AD551" i="12"/>
  <c r="AD547" i="12"/>
  <c r="AD554" i="12"/>
  <c r="AD550" i="12"/>
  <c r="AD546" i="12"/>
  <c r="AD553" i="12"/>
  <c r="AD545" i="12"/>
  <c r="AD544" i="12"/>
  <c r="AD543" i="12"/>
  <c r="AD549" i="12"/>
  <c r="AD556" i="12"/>
  <c r="AD548" i="12"/>
  <c r="AD552" i="12"/>
  <c r="U718" i="12"/>
  <c r="AH682" i="12"/>
  <c r="AH680" i="12"/>
  <c r="AH681" i="12"/>
  <c r="AH683" i="12"/>
  <c r="AH684" i="12"/>
  <c r="U716" i="12"/>
  <c r="U713" i="12"/>
  <c r="U722" i="12"/>
  <c r="AI651" i="12"/>
  <c r="AC681" i="12"/>
  <c r="AC680" i="12"/>
  <c r="AC682" i="12"/>
  <c r="AC683" i="12"/>
  <c r="AC684" i="12"/>
  <c r="AG744" i="12"/>
  <c r="AH674" i="12"/>
  <c r="AH675" i="12"/>
  <c r="AH676" i="12"/>
  <c r="AH678" i="12"/>
  <c r="AH677" i="12"/>
  <c r="U719" i="12"/>
  <c r="U717" i="12"/>
  <c r="AA358" i="12"/>
  <c r="AA361" i="12"/>
  <c r="AA367" i="12"/>
  <c r="AA354" i="12"/>
  <c r="AA360" i="12"/>
  <c r="AA356" i="12"/>
  <c r="AA359" i="12"/>
  <c r="AA366" i="12"/>
  <c r="AA362" i="12"/>
  <c r="AA357" i="12"/>
  <c r="AA364" i="12"/>
  <c r="AA365" i="12"/>
  <c r="AA355" i="12"/>
  <c r="AA363" i="12"/>
  <c r="AD678" i="12"/>
  <c r="AD677" i="12"/>
  <c r="AD675" i="12"/>
  <c r="AD676" i="12"/>
  <c r="AD674" i="12"/>
  <c r="AB665" i="12"/>
  <c r="AB717" i="12" s="1"/>
  <c r="AB662" i="12"/>
  <c r="AB714" i="12" s="1"/>
  <c r="AB670" i="12"/>
  <c r="AB722" i="12" s="1"/>
  <c r="AB667" i="12"/>
  <c r="AB719" i="12" s="1"/>
  <c r="AB663" i="12"/>
  <c r="AB672" i="12"/>
  <c r="AB724" i="12" s="1"/>
  <c r="AB671" i="12"/>
  <c r="AB723" i="12" s="1"/>
  <c r="AB668" i="12"/>
  <c r="AB720" i="12" s="1"/>
  <c r="AB661" i="12"/>
  <c r="AB713" i="12" s="1"/>
  <c r="AB666" i="12"/>
  <c r="AB718" i="12" s="1"/>
  <c r="AB659" i="12"/>
  <c r="AB669" i="12"/>
  <c r="AB721" i="12" s="1"/>
  <c r="AB660" i="12"/>
  <c r="AB664" i="12"/>
  <c r="AB716" i="12" s="1"/>
  <c r="T286" i="43"/>
  <c r="T288" i="43" s="1"/>
  <c r="U720" i="12"/>
  <c r="R277" i="43"/>
  <c r="R294" i="43" s="1"/>
  <c r="D294" i="43" s="1"/>
  <c r="U721" i="12"/>
  <c r="U724" i="12"/>
  <c r="S268" i="43"/>
  <c r="S270" i="43" s="1"/>
  <c r="S272" i="43" s="1"/>
  <c r="S273" i="43" s="1"/>
  <c r="U723" i="12"/>
  <c r="AG636" i="12"/>
  <c r="AF748" i="12"/>
  <c r="AF750" i="12"/>
  <c r="AJ823" i="12"/>
  <c r="AJ819" i="12"/>
  <c r="AJ821" i="12"/>
  <c r="AH630" i="12"/>
  <c r="AH634" i="12"/>
  <c r="AH632" i="12"/>
  <c r="AI825" i="12"/>
  <c r="AH647" i="12"/>
  <c r="AE69" i="43"/>
  <c r="AE80" i="43" s="1"/>
  <c r="E79" i="43" s="1"/>
  <c r="X244" i="12"/>
  <c r="X252" i="12" s="1"/>
  <c r="X263" i="12" s="1"/>
  <c r="X245" i="12"/>
  <c r="X253" i="12" s="1"/>
  <c r="X264" i="12" s="1"/>
  <c r="X243" i="12"/>
  <c r="X251" i="12" s="1"/>
  <c r="X262" i="12" s="1"/>
  <c r="L1" i="53"/>
  <c r="AC55" i="43"/>
  <c r="AC49" i="43" s="1"/>
  <c r="T66" i="43" s="1"/>
  <c r="T68" i="43" s="1"/>
  <c r="T69" i="43" s="1"/>
  <c r="Z69" i="43" s="1"/>
  <c r="T74" i="43"/>
  <c r="T76" i="43" s="1"/>
  <c r="T77" i="43" s="1"/>
  <c r="Z77" i="43" s="1"/>
  <c r="AF77" i="43" s="1"/>
  <c r="T224" i="43"/>
  <c r="T241" i="43" s="1"/>
  <c r="F241" i="43" s="1"/>
  <c r="P224" i="43"/>
  <c r="X52" i="12"/>
  <c r="X277" i="12"/>
  <c r="T315" i="12"/>
  <c r="T325" i="12" s="1"/>
  <c r="AB711" i="12" l="1"/>
  <c r="AB712" i="12"/>
  <c r="AB715" i="12"/>
  <c r="O168" i="58"/>
  <c r="O172" i="58" s="1"/>
  <c r="V168" i="58"/>
  <c r="P172" i="58" s="1"/>
  <c r="N240" i="58"/>
  <c r="N244" i="58" s="1"/>
  <c r="N271" i="58" s="1"/>
  <c r="Q263" i="58"/>
  <c r="Q267" i="58" s="1"/>
  <c r="R266" i="58"/>
  <c r="R256" i="58"/>
  <c r="Q234" i="58"/>
  <c r="AC75" i="58"/>
  <c r="R156" i="58" s="1"/>
  <c r="R158" i="58" s="1"/>
  <c r="R162" i="58" s="1"/>
  <c r="R230" i="58"/>
  <c r="O243" i="58"/>
  <c r="O270" i="58" s="1"/>
  <c r="O233" i="58"/>
  <c r="Q170" i="58"/>
  <c r="E170" i="58" s="1"/>
  <c r="W161" i="58"/>
  <c r="W168" i="58" s="1"/>
  <c r="Q163" i="58"/>
  <c r="Q167" i="58" s="1"/>
  <c r="X163" i="58"/>
  <c r="X167" i="58" s="1"/>
  <c r="AI699" i="12"/>
  <c r="AI690" i="12"/>
  <c r="AI695" i="12"/>
  <c r="AI697" i="12"/>
  <c r="AI691" i="12"/>
  <c r="AI698" i="12"/>
  <c r="AI687" i="12"/>
  <c r="AI686" i="12"/>
  <c r="AI689" i="12"/>
  <c r="AI688" i="12"/>
  <c r="AI692" i="12"/>
  <c r="AI694" i="12"/>
  <c r="AI693" i="12"/>
  <c r="AI696" i="12"/>
  <c r="AC693" i="12"/>
  <c r="AC718" i="12" s="1"/>
  <c r="AC736" i="12" s="1"/>
  <c r="AC696" i="12"/>
  <c r="AC694" i="12"/>
  <c r="AC719" i="12" s="1"/>
  <c r="AC737" i="12" s="1"/>
  <c r="AC697" i="12"/>
  <c r="AC722" i="12" s="1"/>
  <c r="AC740" i="12" s="1"/>
  <c r="AC686" i="12"/>
  <c r="AC711" i="12" s="1"/>
  <c r="AC729" i="12" s="1"/>
  <c r="AC692" i="12"/>
  <c r="AC691" i="12"/>
  <c r="AC688" i="12"/>
  <c r="AC713" i="12" s="1"/>
  <c r="AC731" i="12" s="1"/>
  <c r="AC687" i="12"/>
  <c r="AC712" i="12" s="1"/>
  <c r="AC730" i="12" s="1"/>
  <c r="AC690" i="12"/>
  <c r="AC699" i="12"/>
  <c r="AC724" i="12" s="1"/>
  <c r="AC742" i="12" s="1"/>
  <c r="AC689" i="12"/>
  <c r="AC695" i="12"/>
  <c r="AC698" i="12"/>
  <c r="AC716" i="12"/>
  <c r="AC734" i="12" s="1"/>
  <c r="AC723" i="12"/>
  <c r="AC741" i="12" s="1"/>
  <c r="AH666" i="12"/>
  <c r="AH718" i="12" s="1"/>
  <c r="AH736" i="12" s="1"/>
  <c r="AH670" i="12"/>
  <c r="AH722" i="12" s="1"/>
  <c r="AH740" i="12" s="1"/>
  <c r="AH659" i="12"/>
  <c r="AH711" i="12" s="1"/>
  <c r="AH729" i="12" s="1"/>
  <c r="AH664" i="12"/>
  <c r="AH716" i="12" s="1"/>
  <c r="AH734" i="12" s="1"/>
  <c r="AH668" i="12"/>
  <c r="AH720" i="12" s="1"/>
  <c r="AH738" i="12" s="1"/>
  <c r="AH665" i="12"/>
  <c r="AH717" i="12" s="1"/>
  <c r="AH735" i="12" s="1"/>
  <c r="AH662" i="12"/>
  <c r="AH669" i="12"/>
  <c r="AH721" i="12" s="1"/>
  <c r="AH739" i="12" s="1"/>
  <c r="AH667" i="12"/>
  <c r="AH719" i="12" s="1"/>
  <c r="AH737" i="12" s="1"/>
  <c r="AH671" i="12"/>
  <c r="AH723" i="12" s="1"/>
  <c r="AH741" i="12" s="1"/>
  <c r="AH660" i="12"/>
  <c r="AH712" i="12" s="1"/>
  <c r="AH730" i="12" s="1"/>
  <c r="AH672" i="12"/>
  <c r="AH724" i="12" s="1"/>
  <c r="AH742" i="12" s="1"/>
  <c r="AH661" i="12"/>
  <c r="AH713" i="12" s="1"/>
  <c r="AH731" i="12" s="1"/>
  <c r="AH663" i="12"/>
  <c r="AH715" i="12" s="1"/>
  <c r="AH733" i="12" s="1"/>
  <c r="AB729" i="12"/>
  <c r="V711" i="12"/>
  <c r="AB741" i="12"/>
  <c r="AB740" i="12"/>
  <c r="AI684" i="12"/>
  <c r="AI681" i="12"/>
  <c r="AI682" i="12"/>
  <c r="AI680" i="12"/>
  <c r="AI683" i="12"/>
  <c r="AC720" i="12"/>
  <c r="AC738" i="12" s="1"/>
  <c r="AB734" i="12"/>
  <c r="AB736" i="12"/>
  <c r="V718" i="12"/>
  <c r="AB742" i="12"/>
  <c r="AG750" i="12"/>
  <c r="AG748" i="12"/>
  <c r="AG746" i="12"/>
  <c r="AC717" i="12"/>
  <c r="AC735" i="12" s="1"/>
  <c r="S274" i="43"/>
  <c r="S275" i="43"/>
  <c r="AB730" i="12"/>
  <c r="V712" i="12"/>
  <c r="AB731" i="12"/>
  <c r="AB733" i="12"/>
  <c r="AB735" i="12"/>
  <c r="V717" i="12"/>
  <c r="T268" i="43"/>
  <c r="T270" i="43" s="1"/>
  <c r="AJ543" i="12"/>
  <c r="AJ551" i="12"/>
  <c r="AJ603" i="12" s="1"/>
  <c r="AJ621" i="12" s="1"/>
  <c r="AJ554" i="12"/>
  <c r="AJ606" i="12" s="1"/>
  <c r="AJ624" i="12" s="1"/>
  <c r="AJ546" i="12"/>
  <c r="AJ556" i="12"/>
  <c r="AJ548" i="12"/>
  <c r="AJ600" i="12" s="1"/>
  <c r="AJ618" i="12" s="1"/>
  <c r="AJ553" i="12"/>
  <c r="AJ545" i="12"/>
  <c r="AJ552" i="12"/>
  <c r="AJ547" i="12"/>
  <c r="AJ599" i="12" s="1"/>
  <c r="AJ617" i="12" s="1"/>
  <c r="AJ550" i="12"/>
  <c r="AJ602" i="12" s="1"/>
  <c r="AJ620" i="12" s="1"/>
  <c r="AJ549" i="12"/>
  <c r="AJ601" i="12" s="1"/>
  <c r="AJ619" i="12" s="1"/>
  <c r="AJ544" i="12"/>
  <c r="AJ555" i="12"/>
  <c r="T287" i="43"/>
  <c r="T289" i="43" s="1"/>
  <c r="T291" i="43" s="1"/>
  <c r="AB739" i="12"/>
  <c r="AB738" i="12"/>
  <c r="V720" i="12"/>
  <c r="AB737" i="12"/>
  <c r="AC715" i="12"/>
  <c r="AC733" i="12" s="1"/>
  <c r="AC721" i="12"/>
  <c r="AC739" i="12" s="1"/>
  <c r="AJ681" i="12"/>
  <c r="AJ682" i="12"/>
  <c r="AJ683" i="12"/>
  <c r="AJ680" i="12"/>
  <c r="AJ684" i="12"/>
  <c r="AB732" i="12"/>
  <c r="AH636" i="12"/>
  <c r="AF752" i="12"/>
  <c r="AJ825" i="12"/>
  <c r="X270" i="12"/>
  <c r="F270" i="12" s="1"/>
  <c r="Z80" i="43"/>
  <c r="N1" i="53"/>
  <c r="P241" i="43"/>
  <c r="B241" i="43" s="1"/>
  <c r="AF69" i="43"/>
  <c r="AF80" i="43" s="1"/>
  <c r="F79" i="43" s="1"/>
  <c r="X283" i="12"/>
  <c r="X299" i="12" s="1"/>
  <c r="X279" i="12"/>
  <c r="X292" i="12" s="1"/>
  <c r="X280" i="12"/>
  <c r="X282" i="12"/>
  <c r="X294" i="12" s="1"/>
  <c r="X281" i="12"/>
  <c r="X304" i="12" s="1"/>
  <c r="AR817" i="12"/>
  <c r="AA409" i="12"/>
  <c r="AA408" i="12"/>
  <c r="AA426" i="12" s="1"/>
  <c r="X55" i="12"/>
  <c r="X653" i="12" s="1"/>
  <c r="W270" i="12"/>
  <c r="E270" i="12" s="1"/>
  <c r="AC714" i="12"/>
  <c r="AC732" i="12" s="1"/>
  <c r="V281" i="12"/>
  <c r="V282" i="12"/>
  <c r="V283" i="12"/>
  <c r="V280" i="12"/>
  <c r="V279" i="12"/>
  <c r="AD647" i="12"/>
  <c r="W279" i="12"/>
  <c r="W280" i="12"/>
  <c r="W281" i="12"/>
  <c r="W283" i="12"/>
  <c r="W282" i="12"/>
  <c r="X914" i="12"/>
  <c r="F914" i="12" s="1"/>
  <c r="AJ649" i="12"/>
  <c r="AH714" i="12"/>
  <c r="AH732" i="12" s="1"/>
  <c r="AI647" i="12"/>
  <c r="AJ595" i="12"/>
  <c r="AJ613" i="12" s="1"/>
  <c r="U281" i="12"/>
  <c r="U280" i="12"/>
  <c r="U282" i="12"/>
  <c r="U283" i="12"/>
  <c r="U279" i="12"/>
  <c r="AJ597" i="12"/>
  <c r="AJ615" i="12" s="1"/>
  <c r="W872" i="12"/>
  <c r="E872" i="12" s="1"/>
  <c r="W97" i="12"/>
  <c r="X126" i="12"/>
  <c r="T127" i="12"/>
  <c r="T85" i="12"/>
  <c r="X85" i="12"/>
  <c r="X864" i="12"/>
  <c r="T87" i="12"/>
  <c r="T98" i="12" s="1"/>
  <c r="X86" i="12"/>
  <c r="X865" i="12"/>
  <c r="T86" i="12"/>
  <c r="T865" i="12"/>
  <c r="T332" i="12"/>
  <c r="B332" i="12" s="1"/>
  <c r="W602" i="12"/>
  <c r="AJ608" i="12"/>
  <c r="AJ626" i="12" s="1"/>
  <c r="AJ607" i="12"/>
  <c r="AJ625" i="12" s="1"/>
  <c r="W604" i="12"/>
  <c r="AJ596" i="12"/>
  <c r="AJ614" i="12" s="1"/>
  <c r="W596" i="12"/>
  <c r="Z744" i="12"/>
  <c r="B744" i="12" s="1"/>
  <c r="AD608" i="12"/>
  <c r="AD626" i="12" s="1"/>
  <c r="AD596" i="12"/>
  <c r="AD614" i="12" s="1"/>
  <c r="AD604" i="12"/>
  <c r="AD622" i="12" s="1"/>
  <c r="AD601" i="12"/>
  <c r="AD619" i="12" s="1"/>
  <c r="AD595" i="12"/>
  <c r="AD613" i="12" s="1"/>
  <c r="AD607" i="12"/>
  <c r="AD625" i="12" s="1"/>
  <c r="AD602" i="12"/>
  <c r="AD620" i="12" s="1"/>
  <c r="AD598" i="12"/>
  <c r="AD616" i="12" s="1"/>
  <c r="AD606" i="12"/>
  <c r="AD624" i="12" s="1"/>
  <c r="AD603" i="12"/>
  <c r="AD621" i="12" s="1"/>
  <c r="AD600" i="12"/>
  <c r="AD618" i="12" s="1"/>
  <c r="AD597" i="12"/>
  <c r="AD615" i="12" s="1"/>
  <c r="AD605" i="12"/>
  <c r="AD623" i="12" s="1"/>
  <c r="AD599" i="12"/>
  <c r="AD617" i="12" s="1"/>
  <c r="AA407" i="12"/>
  <c r="AA425" i="12" s="1"/>
  <c r="AA406" i="12"/>
  <c r="AA424" i="12" s="1"/>
  <c r="W603" i="12"/>
  <c r="AJ598" i="12"/>
  <c r="AJ604" i="12"/>
  <c r="W599" i="12"/>
  <c r="W607" i="12"/>
  <c r="W598" i="12"/>
  <c r="W605" i="12"/>
  <c r="W601" i="12"/>
  <c r="AJ605" i="12"/>
  <c r="W608" i="12"/>
  <c r="W595" i="12"/>
  <c r="AC628" i="12"/>
  <c r="E628" i="12" s="1"/>
  <c r="AI628" i="12"/>
  <c r="W600" i="12"/>
  <c r="AF628" i="12"/>
  <c r="W606" i="12"/>
  <c r="W597" i="12"/>
  <c r="X127" i="12"/>
  <c r="X125" i="12"/>
  <c r="T126" i="12"/>
  <c r="T125" i="12"/>
  <c r="AI827" i="12"/>
  <c r="AI828" i="12" s="1"/>
  <c r="C230" i="12"/>
  <c r="U160" i="12"/>
  <c r="AA458" i="12"/>
  <c r="X191" i="12"/>
  <c r="X192" i="12"/>
  <c r="X193" i="12"/>
  <c r="X190" i="12"/>
  <c r="T191" i="12"/>
  <c r="T192" i="12"/>
  <c r="T193" i="12"/>
  <c r="T190" i="12"/>
  <c r="T198" i="12"/>
  <c r="T199" i="12"/>
  <c r="X187" i="12"/>
  <c r="X188" i="12"/>
  <c r="X189" i="12"/>
  <c r="X198" i="12"/>
  <c r="X199" i="12"/>
  <c r="T194" i="12"/>
  <c r="T195" i="12"/>
  <c r="T196" i="12"/>
  <c r="T197" i="12"/>
  <c r="X194" i="12"/>
  <c r="X195" i="12"/>
  <c r="X196" i="12"/>
  <c r="X197" i="12"/>
  <c r="T187" i="12"/>
  <c r="T188" i="12"/>
  <c r="T189" i="12"/>
  <c r="T202" i="12"/>
  <c r="T200" i="12"/>
  <c r="T201" i="12"/>
  <c r="X202" i="12"/>
  <c r="X200" i="12"/>
  <c r="X201" i="12"/>
  <c r="W185" i="12"/>
  <c r="W214" i="12" s="1"/>
  <c r="W225" i="12" s="1"/>
  <c r="W186" i="12"/>
  <c r="W217" i="12" s="1"/>
  <c r="W228" i="12" s="1"/>
  <c r="W184" i="12"/>
  <c r="W211" i="12" s="1"/>
  <c r="W222" i="12" s="1"/>
  <c r="AG342" i="12"/>
  <c r="AC342" i="12"/>
  <c r="X174" i="12"/>
  <c r="W212" i="12"/>
  <c r="W223" i="12" s="1"/>
  <c r="W216" i="12"/>
  <c r="W227" i="12" s="1"/>
  <c r="V214" i="12"/>
  <c r="V225" i="12" s="1"/>
  <c r="W213" i="12"/>
  <c r="W224" i="12" s="1"/>
  <c r="V211" i="12"/>
  <c r="V222" i="12" s="1"/>
  <c r="V217" i="12"/>
  <c r="V228" i="12" s="1"/>
  <c r="W215" i="12"/>
  <c r="W226" i="12" s="1"/>
  <c r="T174" i="12"/>
  <c r="W218" i="12"/>
  <c r="W229" i="12" s="1"/>
  <c r="U151" i="12"/>
  <c r="U161" i="12" s="1"/>
  <c r="U99" i="12"/>
  <c r="U154" i="12"/>
  <c r="U164" i="12" s="1"/>
  <c r="U102" i="12"/>
  <c r="U149" i="12"/>
  <c r="U159" i="12" s="1"/>
  <c r="U96" i="12"/>
  <c r="T112" i="12"/>
  <c r="V112" i="12"/>
  <c r="X140" i="12"/>
  <c r="X138" i="12"/>
  <c r="X139" i="12"/>
  <c r="V132" i="12"/>
  <c r="V135" i="12"/>
  <c r="V134" i="12"/>
  <c r="V133" i="12"/>
  <c r="X136" i="12"/>
  <c r="X137" i="12"/>
  <c r="T133" i="12"/>
  <c r="T135" i="12"/>
  <c r="T132" i="12"/>
  <c r="T134" i="12"/>
  <c r="W153" i="12"/>
  <c r="W163" i="12" s="1"/>
  <c r="V101" i="12"/>
  <c r="V140" i="12"/>
  <c r="V139" i="12"/>
  <c r="V138" i="12"/>
  <c r="X134" i="12"/>
  <c r="X135" i="12"/>
  <c r="X132" i="12"/>
  <c r="X133" i="12"/>
  <c r="T129" i="12"/>
  <c r="T130" i="12"/>
  <c r="T131" i="12"/>
  <c r="T128" i="12"/>
  <c r="T101" i="12"/>
  <c r="W150" i="12"/>
  <c r="V98" i="12"/>
  <c r="V136" i="12"/>
  <c r="V137" i="12"/>
  <c r="T138" i="12"/>
  <c r="T139" i="12"/>
  <c r="T140" i="12"/>
  <c r="X131" i="12"/>
  <c r="X130" i="12"/>
  <c r="X129" i="12"/>
  <c r="X128" i="12"/>
  <c r="V129" i="12"/>
  <c r="V130" i="12"/>
  <c r="V131" i="12"/>
  <c r="V128" i="12"/>
  <c r="X98" i="12"/>
  <c r="T136" i="12"/>
  <c r="T137" i="12"/>
  <c r="X291" i="12" l="1"/>
  <c r="V719" i="12"/>
  <c r="V722" i="12"/>
  <c r="R166" i="58"/>
  <c r="R170" i="58" s="1"/>
  <c r="F170" i="58" s="1"/>
  <c r="O240" i="58"/>
  <c r="O244" i="58" s="1"/>
  <c r="O271" i="58" s="1"/>
  <c r="R263" i="58"/>
  <c r="R267" i="58" s="1"/>
  <c r="Q238" i="58"/>
  <c r="Q242" i="58" s="1"/>
  <c r="Q269" i="58" s="1"/>
  <c r="E269" i="58" s="1"/>
  <c r="Q235" i="58"/>
  <c r="R234" i="58"/>
  <c r="Q171" i="58"/>
  <c r="E172" i="58" s="1"/>
  <c r="X161" i="58"/>
  <c r="X168" i="58" s="1"/>
  <c r="Q161" i="58"/>
  <c r="R163" i="58"/>
  <c r="AD653" i="12"/>
  <c r="AJ653" i="12" s="1"/>
  <c r="V713" i="12"/>
  <c r="V721" i="12"/>
  <c r="V716" i="12"/>
  <c r="AH744" i="12"/>
  <c r="AC744" i="12"/>
  <c r="E744" i="12" s="1"/>
  <c r="V724" i="12"/>
  <c r="S277" i="43"/>
  <c r="S294" i="43" s="1"/>
  <c r="E295" i="43" s="1"/>
  <c r="AG752" i="12"/>
  <c r="AI669" i="12"/>
  <c r="AI721" i="12" s="1"/>
  <c r="AI662" i="12"/>
  <c r="AI670" i="12"/>
  <c r="AI722" i="12" s="1"/>
  <c r="AI663" i="12"/>
  <c r="AI715" i="12" s="1"/>
  <c r="AI660" i="12"/>
  <c r="AI712" i="12" s="1"/>
  <c r="AI661" i="12"/>
  <c r="AI713" i="12" s="1"/>
  <c r="AI665" i="12"/>
  <c r="AI717" i="12" s="1"/>
  <c r="AI667" i="12"/>
  <c r="AI719" i="12" s="1"/>
  <c r="AI659" i="12"/>
  <c r="AI711" i="12" s="1"/>
  <c r="AI671" i="12"/>
  <c r="AI723" i="12" s="1"/>
  <c r="AI672" i="12"/>
  <c r="AI724" i="12" s="1"/>
  <c r="AI666" i="12"/>
  <c r="AI718" i="12" s="1"/>
  <c r="AI664" i="12"/>
  <c r="AI716" i="12" s="1"/>
  <c r="AI668" i="12"/>
  <c r="AI720" i="12" s="1"/>
  <c r="V715" i="12"/>
  <c r="V723" i="12"/>
  <c r="AJ647" i="12"/>
  <c r="AD667" i="12"/>
  <c r="AD671" i="12"/>
  <c r="AD664" i="12"/>
  <c r="AD672" i="12"/>
  <c r="AD661" i="12"/>
  <c r="AD666" i="12"/>
  <c r="AD669" i="12"/>
  <c r="AD662" i="12"/>
  <c r="AD670" i="12"/>
  <c r="AD659" i="12"/>
  <c r="AD663" i="12"/>
  <c r="AD660" i="12"/>
  <c r="AD668" i="12"/>
  <c r="AD665" i="12"/>
  <c r="T272" i="43"/>
  <c r="T273" i="43" s="1"/>
  <c r="AC362" i="12"/>
  <c r="AC364" i="12"/>
  <c r="AC354" i="12"/>
  <c r="AC358" i="12"/>
  <c r="AC363" i="12"/>
  <c r="AC361" i="12"/>
  <c r="AC365" i="12"/>
  <c r="AC357" i="12"/>
  <c r="AC409" i="12" s="1"/>
  <c r="AC367" i="12"/>
  <c r="AC366" i="12"/>
  <c r="AC360" i="12"/>
  <c r="AC356" i="12"/>
  <c r="AC359" i="12"/>
  <c r="AC355" i="12"/>
  <c r="AC407" i="12" s="1"/>
  <c r="AC425" i="12" s="1"/>
  <c r="AG362" i="12"/>
  <c r="AG365" i="12"/>
  <c r="AG357" i="12"/>
  <c r="AG409" i="12" s="1"/>
  <c r="U409" i="12" s="1"/>
  <c r="AG364" i="12"/>
  <c r="AG356" i="12"/>
  <c r="AG408" i="12" s="1"/>
  <c r="AG367" i="12"/>
  <c r="AG355" i="12"/>
  <c r="AG359" i="12"/>
  <c r="AG354" i="12"/>
  <c r="AG358" i="12"/>
  <c r="AG361" i="12"/>
  <c r="AG360" i="12"/>
  <c r="AG363" i="12"/>
  <c r="AG366" i="12"/>
  <c r="AJ676" i="12"/>
  <c r="AJ674" i="12"/>
  <c r="AJ675" i="12"/>
  <c r="AJ678" i="12"/>
  <c r="AJ677" i="12"/>
  <c r="AB744" i="12"/>
  <c r="D744" i="12" s="1"/>
  <c r="AH748" i="12"/>
  <c r="AH750" i="12"/>
  <c r="AH746" i="12"/>
  <c r="V714" i="12"/>
  <c r="AF754" i="12"/>
  <c r="AF634" i="12"/>
  <c r="AF632" i="12"/>
  <c r="AF630" i="12"/>
  <c r="AI632" i="12"/>
  <c r="AI630" i="12"/>
  <c r="AI634" i="12"/>
  <c r="A22" i="60"/>
  <c r="A28" i="60"/>
  <c r="X306" i="12"/>
  <c r="X301" i="12"/>
  <c r="X300" i="12"/>
  <c r="X295" i="12"/>
  <c r="X321" i="12" s="1"/>
  <c r="X331" i="12" s="1"/>
  <c r="X305" i="12"/>
  <c r="X298" i="12"/>
  <c r="X297" i="12"/>
  <c r="X296" i="12"/>
  <c r="X318" i="12" s="1"/>
  <c r="X328" i="12" s="1"/>
  <c r="X278" i="12"/>
  <c r="X289" i="12" s="1"/>
  <c r="X303" i="12"/>
  <c r="X293" i="12"/>
  <c r="X302" i="12"/>
  <c r="X316" i="12" s="1"/>
  <c r="X326" i="12" s="1"/>
  <c r="AR270" i="12"/>
  <c r="AR914" i="12"/>
  <c r="E828" i="12"/>
  <c r="AI714" i="12"/>
  <c r="AI732" i="12" s="1"/>
  <c r="W295" i="12"/>
  <c r="W296" i="12"/>
  <c r="W297" i="12"/>
  <c r="W294" i="12"/>
  <c r="W293" i="12"/>
  <c r="W278" i="12"/>
  <c r="W291" i="12"/>
  <c r="W292" i="12"/>
  <c r="V292" i="12"/>
  <c r="V293" i="12"/>
  <c r="V291" i="12"/>
  <c r="V304" i="12"/>
  <c r="V305" i="12"/>
  <c r="V306" i="12"/>
  <c r="W299" i="12"/>
  <c r="W300" i="12"/>
  <c r="W301" i="12"/>
  <c r="W298" i="12"/>
  <c r="V303" i="12"/>
  <c r="V302" i="12"/>
  <c r="V316" i="12" s="1"/>
  <c r="V326" i="12" s="1"/>
  <c r="W304" i="12"/>
  <c r="W305" i="12"/>
  <c r="W306" i="12"/>
  <c r="V299" i="12"/>
  <c r="V300" i="12"/>
  <c r="V301" i="12"/>
  <c r="V298" i="12"/>
  <c r="W303" i="12"/>
  <c r="W302" i="12"/>
  <c r="V278" i="12"/>
  <c r="V297" i="12"/>
  <c r="V294" i="12"/>
  <c r="V295" i="12"/>
  <c r="V296" i="12"/>
  <c r="X607" i="12"/>
  <c r="X601" i="12"/>
  <c r="X596" i="12"/>
  <c r="X597" i="12"/>
  <c r="X603" i="12"/>
  <c r="X595" i="12"/>
  <c r="U278" i="12"/>
  <c r="U288" i="12" s="1"/>
  <c r="U302" i="12"/>
  <c r="U303" i="12"/>
  <c r="U291" i="12"/>
  <c r="U292" i="12"/>
  <c r="U293" i="12"/>
  <c r="U304" i="12"/>
  <c r="U305" i="12"/>
  <c r="U306" i="12"/>
  <c r="U298" i="12"/>
  <c r="U299" i="12"/>
  <c r="U300" i="12"/>
  <c r="U301" i="12"/>
  <c r="U297" i="12"/>
  <c r="U294" i="12"/>
  <c r="U295" i="12"/>
  <c r="U296" i="12"/>
  <c r="X600" i="12"/>
  <c r="X602" i="12"/>
  <c r="X608" i="12"/>
  <c r="X288" i="12"/>
  <c r="T872" i="12"/>
  <c r="B872" i="12" s="1"/>
  <c r="T124" i="12"/>
  <c r="X606" i="12"/>
  <c r="X290" i="12"/>
  <c r="V103" i="12"/>
  <c r="X872" i="12"/>
  <c r="F872" i="12" s="1"/>
  <c r="X599" i="12"/>
  <c r="AD628" i="12"/>
  <c r="F628" i="12" s="1"/>
  <c r="AG407" i="12"/>
  <c r="AA467" i="12"/>
  <c r="AA487" i="12" s="1"/>
  <c r="AA503" i="12" s="1"/>
  <c r="AA464" i="12"/>
  <c r="AA484" i="12" s="1"/>
  <c r="AA500" i="12" s="1"/>
  <c r="AA468" i="12"/>
  <c r="AA488" i="12" s="1"/>
  <c r="AA504" i="12" s="1"/>
  <c r="AA469" i="12"/>
  <c r="AA489" i="12" s="1"/>
  <c r="AA505" i="12" s="1"/>
  <c r="AA463" i="12"/>
  <c r="AA483" i="12" s="1"/>
  <c r="AA499" i="12" s="1"/>
  <c r="AA466" i="12"/>
  <c r="AA486" i="12" s="1"/>
  <c r="AA502" i="12" s="1"/>
  <c r="AA465" i="12"/>
  <c r="AA485" i="12" s="1"/>
  <c r="AA501" i="12" s="1"/>
  <c r="AA470" i="12"/>
  <c r="AA490" i="12" s="1"/>
  <c r="AA506" i="12" s="1"/>
  <c r="AC408" i="12"/>
  <c r="AC426" i="12" s="1"/>
  <c r="AJ623" i="12"/>
  <c r="X605" i="12"/>
  <c r="AJ622" i="12"/>
  <c r="X604" i="12"/>
  <c r="AJ616" i="12"/>
  <c r="X598" i="12"/>
  <c r="AJ827" i="12"/>
  <c r="AJ828" i="12" s="1"/>
  <c r="F828" i="12" s="1"/>
  <c r="AG458" i="12"/>
  <c r="W160" i="12"/>
  <c r="AC458" i="12"/>
  <c r="AA415" i="12"/>
  <c r="AA433" i="12" s="1"/>
  <c r="AA414" i="12"/>
  <c r="AA432" i="12" s="1"/>
  <c r="AA411" i="12"/>
  <c r="AA429" i="12" s="1"/>
  <c r="AA410" i="12"/>
  <c r="AA428" i="12" s="1"/>
  <c r="AA427" i="12"/>
  <c r="AA418" i="12"/>
  <c r="AA436" i="12" s="1"/>
  <c r="AA416" i="12"/>
  <c r="AA434" i="12" s="1"/>
  <c r="AA412" i="12"/>
  <c r="AA430" i="12" s="1"/>
  <c r="AA417" i="12"/>
  <c r="AA435" i="12" s="1"/>
  <c r="AA413" i="12"/>
  <c r="AA431" i="12" s="1"/>
  <c r="AA419" i="12"/>
  <c r="AA437" i="12" s="1"/>
  <c r="X184" i="12"/>
  <c r="X211" i="12" s="1"/>
  <c r="X222" i="12" s="1"/>
  <c r="X185" i="12"/>
  <c r="X214" i="12" s="1"/>
  <c r="X225" i="12" s="1"/>
  <c r="X186" i="12"/>
  <c r="X217" i="12" s="1"/>
  <c r="X228" i="12" s="1"/>
  <c r="AI342" i="12"/>
  <c r="T184" i="12"/>
  <c r="T211" i="12" s="1"/>
  <c r="T185" i="12"/>
  <c r="T186" i="12"/>
  <c r="Z342" i="12"/>
  <c r="AF342" i="12" s="1"/>
  <c r="AB342" i="12"/>
  <c r="V230" i="12"/>
  <c r="X216" i="12"/>
  <c r="X227" i="12" s="1"/>
  <c r="W230" i="12"/>
  <c r="T212" i="12"/>
  <c r="T223" i="12" s="1"/>
  <c r="X212" i="12"/>
  <c r="X223" i="12" s="1"/>
  <c r="X213" i="12"/>
  <c r="X224" i="12" s="1"/>
  <c r="T213" i="12"/>
  <c r="T224" i="12" s="1"/>
  <c r="T216" i="12"/>
  <c r="T227" i="12" s="1"/>
  <c r="X218" i="12"/>
  <c r="X229" i="12" s="1"/>
  <c r="T215" i="12"/>
  <c r="T226" i="12" s="1"/>
  <c r="X215" i="12"/>
  <c r="X226" i="12" s="1"/>
  <c r="T218" i="12"/>
  <c r="T229" i="12" s="1"/>
  <c r="T103" i="12"/>
  <c r="X97" i="12"/>
  <c r="U166" i="12"/>
  <c r="C166" i="12" s="1"/>
  <c r="T97" i="12"/>
  <c r="U104" i="12"/>
  <c r="V97" i="12"/>
  <c r="T100" i="12"/>
  <c r="V100" i="12"/>
  <c r="V123" i="12"/>
  <c r="V124" i="12"/>
  <c r="V122" i="12"/>
  <c r="T122" i="12"/>
  <c r="T123" i="12"/>
  <c r="T150" i="12"/>
  <c r="V152" i="12"/>
  <c r="V162" i="12" s="1"/>
  <c r="V150" i="12"/>
  <c r="T155" i="12"/>
  <c r="T165" i="12" s="1"/>
  <c r="V153" i="12"/>
  <c r="V163" i="12" s="1"/>
  <c r="T153" i="12"/>
  <c r="T163" i="12" s="1"/>
  <c r="X150" i="12"/>
  <c r="V155" i="12"/>
  <c r="V165" i="12" s="1"/>
  <c r="T152" i="12"/>
  <c r="T162" i="12" s="1"/>
  <c r="X317" i="12" l="1"/>
  <c r="X327" i="12" s="1"/>
  <c r="X315" i="12"/>
  <c r="X325" i="12" s="1"/>
  <c r="R167" i="58"/>
  <c r="R171" i="58" s="1"/>
  <c r="F172" i="58" s="1"/>
  <c r="Q168" i="58"/>
  <c r="Q172" i="58" s="1"/>
  <c r="R238" i="58"/>
  <c r="R242" i="58" s="1"/>
  <c r="R269" i="58" s="1"/>
  <c r="F269" i="58" s="1"/>
  <c r="Q239" i="58"/>
  <c r="Q243" i="58" s="1"/>
  <c r="Q270" i="58" s="1"/>
  <c r="Q233" i="58"/>
  <c r="R235" i="58"/>
  <c r="R161" i="58"/>
  <c r="AJ698" i="12"/>
  <c r="AJ695" i="12"/>
  <c r="AJ694" i="12"/>
  <c r="AJ689" i="12"/>
  <c r="AJ688" i="12"/>
  <c r="AJ692" i="12"/>
  <c r="AJ699" i="12"/>
  <c r="AJ697" i="12"/>
  <c r="AJ696" i="12"/>
  <c r="AJ693" i="12"/>
  <c r="AJ691" i="12"/>
  <c r="AJ690" i="12"/>
  <c r="AJ687" i="12"/>
  <c r="AJ686" i="12"/>
  <c r="AD687" i="12"/>
  <c r="AD712" i="12" s="1"/>
  <c r="AD730" i="12" s="1"/>
  <c r="AD696" i="12"/>
  <c r="AD721" i="12" s="1"/>
  <c r="AD739" i="12" s="1"/>
  <c r="AD693" i="12"/>
  <c r="AD718" i="12" s="1"/>
  <c r="AD736" i="12" s="1"/>
  <c r="AD695" i="12"/>
  <c r="AD720" i="12" s="1"/>
  <c r="AD738" i="12" s="1"/>
  <c r="AD697" i="12"/>
  <c r="AD722" i="12" s="1"/>
  <c r="AD740" i="12" s="1"/>
  <c r="AD689" i="12"/>
  <c r="AD714" i="12" s="1"/>
  <c r="AD686" i="12"/>
  <c r="AD711" i="12" s="1"/>
  <c r="AD729" i="12" s="1"/>
  <c r="AD688" i="12"/>
  <c r="AD713" i="12" s="1"/>
  <c r="AD731" i="12" s="1"/>
  <c r="AD699" i="12"/>
  <c r="AD724" i="12" s="1"/>
  <c r="AD742" i="12" s="1"/>
  <c r="AD698" i="12"/>
  <c r="AD723" i="12" s="1"/>
  <c r="AD741" i="12" s="1"/>
  <c r="AD694" i="12"/>
  <c r="AD719" i="12" s="1"/>
  <c r="AD737" i="12" s="1"/>
  <c r="AD692" i="12"/>
  <c r="AD717" i="12" s="1"/>
  <c r="AD735" i="12" s="1"/>
  <c r="AD691" i="12"/>
  <c r="AD716" i="12" s="1"/>
  <c r="AD734" i="12" s="1"/>
  <c r="AD690" i="12"/>
  <c r="AD715" i="12" s="1"/>
  <c r="AD733" i="12" s="1"/>
  <c r="AI738" i="12"/>
  <c r="W720" i="12"/>
  <c r="AI741" i="12"/>
  <c r="W723" i="12"/>
  <c r="AI731" i="12"/>
  <c r="W713" i="12"/>
  <c r="T274" i="43"/>
  <c r="T275" i="43"/>
  <c r="AJ663" i="12"/>
  <c r="AJ715" i="12" s="1"/>
  <c r="AJ660" i="12"/>
  <c r="AJ712" i="12" s="1"/>
  <c r="AJ664" i="12"/>
  <c r="AJ716" i="12" s="1"/>
  <c r="AJ662" i="12"/>
  <c r="AJ714" i="12" s="1"/>
  <c r="AJ732" i="12" s="1"/>
  <c r="AJ666" i="12"/>
  <c r="AJ718" i="12" s="1"/>
  <c r="AJ669" i="12"/>
  <c r="AJ721" i="12" s="1"/>
  <c r="AJ661" i="12"/>
  <c r="AJ713" i="12" s="1"/>
  <c r="AJ665" i="12"/>
  <c r="AJ717" i="12" s="1"/>
  <c r="AJ670" i="12"/>
  <c r="AJ722" i="12" s="1"/>
  <c r="AJ667" i="12"/>
  <c r="AJ719" i="12" s="1"/>
  <c r="AJ671" i="12"/>
  <c r="AJ723" i="12" s="1"/>
  <c r="AJ668" i="12"/>
  <c r="AJ720" i="12" s="1"/>
  <c r="AJ659" i="12"/>
  <c r="AJ711" i="12" s="1"/>
  <c r="AJ672" i="12"/>
  <c r="AJ724" i="12" s="1"/>
  <c r="AI734" i="12"/>
  <c r="W716" i="12"/>
  <c r="AI729" i="12"/>
  <c r="W711" i="12"/>
  <c r="AI730" i="12"/>
  <c r="W712" i="12"/>
  <c r="AI739" i="12"/>
  <c r="W721" i="12"/>
  <c r="AB364" i="12"/>
  <c r="AB363" i="12"/>
  <c r="AB365" i="12"/>
  <c r="AB362" i="12"/>
  <c r="AB361" i="12"/>
  <c r="AB356" i="12"/>
  <c r="AB408" i="12" s="1"/>
  <c r="AB426" i="12" s="1"/>
  <c r="AB367" i="12"/>
  <c r="AB355" i="12"/>
  <c r="AB354" i="12"/>
  <c r="AB366" i="12"/>
  <c r="AB358" i="12"/>
  <c r="AB360" i="12"/>
  <c r="AB359" i="12"/>
  <c r="AB357" i="12"/>
  <c r="AB409" i="12" s="1"/>
  <c r="AI736" i="12"/>
  <c r="W718" i="12"/>
  <c r="AI737" i="12"/>
  <c r="W719" i="12"/>
  <c r="AI733" i="12"/>
  <c r="W715" i="12"/>
  <c r="Z366" i="12"/>
  <c r="Z354" i="12"/>
  <c r="Z406" i="12" s="1"/>
  <c r="Z357" i="12"/>
  <c r="Z409" i="12" s="1"/>
  <c r="Z355" i="12"/>
  <c r="Z362" i="12"/>
  <c r="Z365" i="12"/>
  <c r="Z360" i="12"/>
  <c r="Z361" i="12"/>
  <c r="Z364" i="12"/>
  <c r="Z356" i="12"/>
  <c r="Z408" i="12" s="1"/>
  <c r="Z426" i="12" s="1"/>
  <c r="Z358" i="12"/>
  <c r="Z363" i="12"/>
  <c r="Z367" i="12"/>
  <c r="Z359" i="12"/>
  <c r="AI365" i="12"/>
  <c r="AI360" i="12"/>
  <c r="AI356" i="12"/>
  <c r="AI408" i="12" s="1"/>
  <c r="AI363" i="12"/>
  <c r="AI355" i="12"/>
  <c r="AI407" i="12" s="1"/>
  <c r="AI362" i="12"/>
  <c r="AI361" i="12"/>
  <c r="AI357" i="12"/>
  <c r="AI354" i="12"/>
  <c r="AI366" i="12"/>
  <c r="AI358" i="12"/>
  <c r="AI367" i="12"/>
  <c r="AI364" i="12"/>
  <c r="AI359" i="12"/>
  <c r="AI742" i="12"/>
  <c r="W724" i="12"/>
  <c r="AI735" i="12"/>
  <c r="W717" i="12"/>
  <c r="AI740" i="12"/>
  <c r="W722" i="12"/>
  <c r="AK828" i="12"/>
  <c r="AH752" i="12"/>
  <c r="AD732" i="12"/>
  <c r="W714" i="12"/>
  <c r="AF636" i="12"/>
  <c r="AI636" i="12"/>
  <c r="W316" i="12"/>
  <c r="W326" i="12" s="1"/>
  <c r="W318" i="12"/>
  <c r="W328" i="12" s="1"/>
  <c r="AR872" i="12"/>
  <c r="AR628" i="12"/>
  <c r="AR828" i="12"/>
  <c r="AS828" i="12" s="1"/>
  <c r="W321" i="12"/>
  <c r="W331" i="12" s="1"/>
  <c r="W288" i="12"/>
  <c r="W289" i="12"/>
  <c r="W290" i="12"/>
  <c r="W317" i="12" s="1"/>
  <c r="W327" i="12" s="1"/>
  <c r="U289" i="12"/>
  <c r="V318" i="12"/>
  <c r="V328" i="12" s="1"/>
  <c r="V289" i="12"/>
  <c r="V290" i="12"/>
  <c r="V317" i="12" s="1"/>
  <c r="V327" i="12" s="1"/>
  <c r="V288" i="12"/>
  <c r="V321" i="12"/>
  <c r="V331" i="12" s="1"/>
  <c r="U316" i="12"/>
  <c r="U326" i="12" s="1"/>
  <c r="U290" i="12"/>
  <c r="U317" i="12" s="1"/>
  <c r="U327" i="12" s="1"/>
  <c r="U318" i="12"/>
  <c r="U328" i="12" s="1"/>
  <c r="U315" i="12"/>
  <c r="U325" i="12" s="1"/>
  <c r="U320" i="12"/>
  <c r="U330" i="12" s="1"/>
  <c r="U321" i="12"/>
  <c r="U331" i="12" s="1"/>
  <c r="X320" i="12"/>
  <c r="X330" i="12" s="1"/>
  <c r="X332" i="12" s="1"/>
  <c r="F332" i="12" s="1"/>
  <c r="AK827" i="12"/>
  <c r="AC465" i="12"/>
  <c r="AC485" i="12" s="1"/>
  <c r="AC501" i="12" s="1"/>
  <c r="AC469" i="12"/>
  <c r="AC489" i="12" s="1"/>
  <c r="AC505" i="12" s="1"/>
  <c r="AC466" i="12"/>
  <c r="AC486" i="12" s="1"/>
  <c r="AC502" i="12" s="1"/>
  <c r="AC470" i="12"/>
  <c r="AC490" i="12" s="1"/>
  <c r="AC506" i="12" s="1"/>
  <c r="AC463" i="12"/>
  <c r="AC483" i="12" s="1"/>
  <c r="AC499" i="12" s="1"/>
  <c r="AC467" i="12"/>
  <c r="AC487" i="12" s="1"/>
  <c r="AC503" i="12" s="1"/>
  <c r="AC464" i="12"/>
  <c r="AC484" i="12" s="1"/>
  <c r="AC500" i="12" s="1"/>
  <c r="AC468" i="12"/>
  <c r="AC488" i="12" s="1"/>
  <c r="AC504" i="12" s="1"/>
  <c r="AG465" i="12"/>
  <c r="AG485" i="12" s="1"/>
  <c r="AG501" i="12" s="1"/>
  <c r="AG470" i="12"/>
  <c r="AG490" i="12" s="1"/>
  <c r="AG506" i="12" s="1"/>
  <c r="AG469" i="12"/>
  <c r="AG489" i="12" s="1"/>
  <c r="AG505" i="12" s="1"/>
  <c r="AG468" i="12"/>
  <c r="AG488" i="12" s="1"/>
  <c r="AG504" i="12" s="1"/>
  <c r="AG464" i="12"/>
  <c r="AG484" i="12" s="1"/>
  <c r="AG500" i="12" s="1"/>
  <c r="AG467" i="12"/>
  <c r="AG487" i="12" s="1"/>
  <c r="AG503" i="12" s="1"/>
  <c r="AG463" i="12"/>
  <c r="AG483" i="12" s="1"/>
  <c r="AG499" i="12" s="1"/>
  <c r="AG466" i="12"/>
  <c r="AG486" i="12" s="1"/>
  <c r="AG502" i="12" s="1"/>
  <c r="AI409" i="12"/>
  <c r="W409" i="12" s="1"/>
  <c r="Z407" i="12"/>
  <c r="Z425" i="12" s="1"/>
  <c r="AJ628" i="12"/>
  <c r="AK628" i="12" s="1"/>
  <c r="U407" i="12"/>
  <c r="AG425" i="12"/>
  <c r="U408" i="12"/>
  <c r="AG426" i="12"/>
  <c r="AB407" i="12"/>
  <c r="AB425" i="12" s="1"/>
  <c r="D230" i="12"/>
  <c r="E230" i="12"/>
  <c r="C104" i="12"/>
  <c r="AI458" i="12"/>
  <c r="AG427" i="12"/>
  <c r="AG414" i="12"/>
  <c r="AG432" i="12" s="1"/>
  <c r="AG419" i="12"/>
  <c r="AG437" i="12" s="1"/>
  <c r="AC406" i="12"/>
  <c r="AC424" i="12" s="1"/>
  <c r="AC417" i="12"/>
  <c r="AC435" i="12" s="1"/>
  <c r="AC413" i="12"/>
  <c r="AC431" i="12" s="1"/>
  <c r="U494" i="12"/>
  <c r="X160" i="12"/>
  <c r="AG413" i="12"/>
  <c r="AG431" i="12" s="1"/>
  <c r="AG418" i="12"/>
  <c r="AG436" i="12" s="1"/>
  <c r="AG406" i="12"/>
  <c r="U406" i="12" s="1"/>
  <c r="AC418" i="12"/>
  <c r="AC436" i="12" s="1"/>
  <c r="AC427" i="12"/>
  <c r="AC416" i="12"/>
  <c r="AC434" i="12" s="1"/>
  <c r="T160" i="12"/>
  <c r="AG417" i="12"/>
  <c r="AG435" i="12" s="1"/>
  <c r="AG411" i="12"/>
  <c r="AG429" i="12" s="1"/>
  <c r="AG412" i="12"/>
  <c r="AG430" i="12" s="1"/>
  <c r="AC412" i="12"/>
  <c r="AC430" i="12" s="1"/>
  <c r="AC419" i="12"/>
  <c r="AC437" i="12" s="1"/>
  <c r="AC415" i="12"/>
  <c r="AC433" i="12" s="1"/>
  <c r="V160" i="12"/>
  <c r="AB458" i="12"/>
  <c r="AG410" i="12"/>
  <c r="AG428" i="12" s="1"/>
  <c r="AG415" i="12"/>
  <c r="AG433" i="12" s="1"/>
  <c r="AG416" i="12"/>
  <c r="AG434" i="12" s="1"/>
  <c r="AC414" i="12"/>
  <c r="AC432" i="12" s="1"/>
  <c r="AC410" i="12"/>
  <c r="AC428" i="12" s="1"/>
  <c r="AC411" i="12"/>
  <c r="AC429" i="12" s="1"/>
  <c r="AA439" i="12"/>
  <c r="AH342" i="12"/>
  <c r="T214" i="12"/>
  <c r="T225" i="12" s="1"/>
  <c r="T222" i="12"/>
  <c r="T217" i="12"/>
  <c r="T228" i="12" s="1"/>
  <c r="X230" i="12"/>
  <c r="T154" i="12"/>
  <c r="T164" i="12" s="1"/>
  <c r="T102" i="12"/>
  <c r="T149" i="12"/>
  <c r="T159" i="12" s="1"/>
  <c r="T96" i="12"/>
  <c r="V151" i="12"/>
  <c r="V161" i="12" s="1"/>
  <c r="V99" i="12"/>
  <c r="V149" i="12"/>
  <c r="V159" i="12" s="1"/>
  <c r="V96" i="12"/>
  <c r="T151" i="12"/>
  <c r="T161" i="12" s="1"/>
  <c r="T99" i="12"/>
  <c r="V154" i="12"/>
  <c r="V164" i="12" s="1"/>
  <c r="V102" i="12"/>
  <c r="X714" i="12" l="1"/>
  <c r="R168" i="58"/>
  <c r="R172" i="58" s="1"/>
  <c r="R233" i="58"/>
  <c r="R239" i="58"/>
  <c r="R243" i="58" s="1"/>
  <c r="R270" i="58" s="1"/>
  <c r="Q240" i="58"/>
  <c r="Q244" i="58" s="1"/>
  <c r="Q271" i="58" s="1"/>
  <c r="T277" i="43"/>
  <c r="T294" i="43" s="1"/>
  <c r="F295" i="43" s="1"/>
  <c r="AD744" i="12"/>
  <c r="AR744" i="12" s="1"/>
  <c r="AI744" i="12"/>
  <c r="AI746" i="12" s="1"/>
  <c r="AJ741" i="12"/>
  <c r="X723" i="12"/>
  <c r="AJ731" i="12"/>
  <c r="X713" i="12"/>
  <c r="AJ734" i="12"/>
  <c r="X716" i="12"/>
  <c r="AJ742" i="12"/>
  <c r="X724" i="12"/>
  <c r="AJ737" i="12"/>
  <c r="X719" i="12"/>
  <c r="AJ739" i="12"/>
  <c r="X721" i="12"/>
  <c r="AJ730" i="12"/>
  <c r="X712" i="12"/>
  <c r="AH358" i="12"/>
  <c r="AH354" i="12"/>
  <c r="AH361" i="12"/>
  <c r="AH363" i="12"/>
  <c r="AH355" i="12"/>
  <c r="AH366" i="12"/>
  <c r="AH365" i="12"/>
  <c r="AH357" i="12"/>
  <c r="AH364" i="12"/>
  <c r="AH356" i="12"/>
  <c r="AH367" i="12"/>
  <c r="AH359" i="12"/>
  <c r="AH362" i="12"/>
  <c r="AH360" i="12"/>
  <c r="AJ729" i="12"/>
  <c r="X711" i="12"/>
  <c r="AJ740" i="12"/>
  <c r="X722" i="12"/>
  <c r="AJ736" i="12"/>
  <c r="X718" i="12"/>
  <c r="AJ733" i="12"/>
  <c r="X715" i="12"/>
  <c r="AF366" i="12"/>
  <c r="AF358" i="12"/>
  <c r="AF361" i="12"/>
  <c r="AF356" i="12"/>
  <c r="AF367" i="12"/>
  <c r="AF363" i="12"/>
  <c r="AF359" i="12"/>
  <c r="AF364" i="12"/>
  <c r="AF362" i="12"/>
  <c r="AF354" i="12"/>
  <c r="AF365" i="12"/>
  <c r="AF357" i="12"/>
  <c r="AF355" i="12"/>
  <c r="AF360" i="12"/>
  <c r="AJ738" i="12"/>
  <c r="X720" i="12"/>
  <c r="AJ735" i="12"/>
  <c r="X717" i="12"/>
  <c r="AJ634" i="12"/>
  <c r="AJ632" i="12"/>
  <c r="AJ630" i="12"/>
  <c r="L1" i="43"/>
  <c r="F744" i="12"/>
  <c r="V320" i="12"/>
  <c r="V330" i="12" s="1"/>
  <c r="V315" i="12"/>
  <c r="V325" i="12" s="1"/>
  <c r="W320" i="12"/>
  <c r="W330" i="12" s="1"/>
  <c r="W315" i="12"/>
  <c r="W325" i="12" s="1"/>
  <c r="U332" i="12"/>
  <c r="AI469" i="12"/>
  <c r="AI489" i="12" s="1"/>
  <c r="AI505" i="12" s="1"/>
  <c r="AI470" i="12"/>
  <c r="AI490" i="12" s="1"/>
  <c r="AI506" i="12" s="1"/>
  <c r="AI467" i="12"/>
  <c r="AI487" i="12" s="1"/>
  <c r="AI503" i="12" s="1"/>
  <c r="AI463" i="12"/>
  <c r="AI483" i="12" s="1"/>
  <c r="AI499" i="12" s="1"/>
  <c r="AI466" i="12"/>
  <c r="AI486" i="12" s="1"/>
  <c r="AI502" i="12" s="1"/>
  <c r="AI465" i="12"/>
  <c r="AI485" i="12" s="1"/>
  <c r="AI501" i="12" s="1"/>
  <c r="AI468" i="12"/>
  <c r="AI488" i="12" s="1"/>
  <c r="AI504" i="12" s="1"/>
  <c r="AI464" i="12"/>
  <c r="AI484" i="12" s="1"/>
  <c r="AI500" i="12" s="1"/>
  <c r="AF407" i="12"/>
  <c r="AF408" i="12"/>
  <c r="AF409" i="12"/>
  <c r="T409" i="12" s="1"/>
  <c r="AB466" i="12"/>
  <c r="AB486" i="12" s="1"/>
  <c r="AB502" i="12" s="1"/>
  <c r="AB470" i="12"/>
  <c r="AB490" i="12" s="1"/>
  <c r="AB506" i="12" s="1"/>
  <c r="AB463" i="12"/>
  <c r="AB483" i="12" s="1"/>
  <c r="AB499" i="12" s="1"/>
  <c r="AB467" i="12"/>
  <c r="AB487" i="12" s="1"/>
  <c r="AB503" i="12" s="1"/>
  <c r="AB464" i="12"/>
  <c r="AB484" i="12" s="1"/>
  <c r="AB500" i="12" s="1"/>
  <c r="AB469" i="12"/>
  <c r="AB489" i="12" s="1"/>
  <c r="AB505" i="12" s="1"/>
  <c r="AB468" i="12"/>
  <c r="AB488" i="12" s="1"/>
  <c r="AB504" i="12" s="1"/>
  <c r="AB465" i="12"/>
  <c r="AB485" i="12" s="1"/>
  <c r="AB501" i="12" s="1"/>
  <c r="AH409" i="12"/>
  <c r="V409" i="12" s="1"/>
  <c r="AH408" i="12"/>
  <c r="AH407" i="12"/>
  <c r="U419" i="12"/>
  <c r="W408" i="12"/>
  <c r="AI426" i="12"/>
  <c r="W407" i="12"/>
  <c r="AI425" i="12"/>
  <c r="F230" i="12"/>
  <c r="C439" i="12"/>
  <c r="U411" i="12"/>
  <c r="U484" i="12"/>
  <c r="U488" i="12"/>
  <c r="U418" i="12"/>
  <c r="AG424" i="12"/>
  <c r="AG439" i="12" s="1"/>
  <c r="U410" i="12"/>
  <c r="U413" i="12"/>
  <c r="U489" i="12"/>
  <c r="U416" i="12"/>
  <c r="U417" i="12"/>
  <c r="U414" i="12"/>
  <c r="U412" i="12"/>
  <c r="AH458" i="12"/>
  <c r="U415" i="12"/>
  <c r="U493" i="12"/>
  <c r="U487" i="12"/>
  <c r="AA512" i="12"/>
  <c r="C512" i="12" s="1"/>
  <c r="AB418" i="12"/>
  <c r="AB436" i="12" s="1"/>
  <c r="AB406" i="12"/>
  <c r="AB424" i="12" s="1"/>
  <c r="AB427" i="12"/>
  <c r="AI406" i="12"/>
  <c r="AI424" i="12" s="1"/>
  <c r="AI413" i="12"/>
  <c r="AI431" i="12" s="1"/>
  <c r="AI418" i="12"/>
  <c r="W418" i="12" s="1"/>
  <c r="Z410" i="12"/>
  <c r="Z428" i="12" s="1"/>
  <c r="Z411" i="12"/>
  <c r="Z429" i="12" s="1"/>
  <c r="AD458" i="12"/>
  <c r="AB413" i="12"/>
  <c r="AB431" i="12" s="1"/>
  <c r="AB414" i="12"/>
  <c r="AB432" i="12" s="1"/>
  <c r="AB410" i="12"/>
  <c r="AB428" i="12" s="1"/>
  <c r="AI411" i="12"/>
  <c r="AI429" i="12" s="1"/>
  <c r="AI412" i="12"/>
  <c r="AI430" i="12" s="1"/>
  <c r="AI417" i="12"/>
  <c r="AI435" i="12" s="1"/>
  <c r="Z414" i="12"/>
  <c r="Z432" i="12" s="1"/>
  <c r="Z427" i="12"/>
  <c r="Z418" i="12"/>
  <c r="Z436" i="12" s="1"/>
  <c r="U485" i="12"/>
  <c r="U486" i="12"/>
  <c r="U491" i="12"/>
  <c r="AB416" i="12"/>
  <c r="AB434" i="12" s="1"/>
  <c r="AB412" i="12"/>
  <c r="AB430" i="12" s="1"/>
  <c r="AB417" i="12"/>
  <c r="AB435" i="12" s="1"/>
  <c r="AI415" i="12"/>
  <c r="AI433" i="12" s="1"/>
  <c r="AI416" i="12"/>
  <c r="AI434" i="12" s="1"/>
  <c r="AI410" i="12"/>
  <c r="W410" i="12" s="1"/>
  <c r="Z413" i="12"/>
  <c r="Z431" i="12" s="1"/>
  <c r="Z416" i="12"/>
  <c r="Z434" i="12" s="1"/>
  <c r="Z417" i="12"/>
  <c r="Z435" i="12" s="1"/>
  <c r="Z458" i="12"/>
  <c r="AG512" i="12"/>
  <c r="U483" i="12"/>
  <c r="U490" i="12"/>
  <c r="U492" i="12"/>
  <c r="AB415" i="12"/>
  <c r="AB433" i="12" s="1"/>
  <c r="AB411" i="12"/>
  <c r="AB429" i="12" s="1"/>
  <c r="AB419" i="12"/>
  <c r="AB437" i="12" s="1"/>
  <c r="AI419" i="12"/>
  <c r="AI437" i="12" s="1"/>
  <c r="AI427" i="12"/>
  <c r="AI414" i="12"/>
  <c r="AI432" i="12" s="1"/>
  <c r="Z419" i="12"/>
  <c r="Z437" i="12" s="1"/>
  <c r="Z415" i="12"/>
  <c r="Z433" i="12" s="1"/>
  <c r="Z412" i="12"/>
  <c r="Z430" i="12" s="1"/>
  <c r="Z424" i="12"/>
  <c r="AC439" i="12"/>
  <c r="T230" i="12"/>
  <c r="T166" i="12"/>
  <c r="B166" i="12" s="1"/>
  <c r="V166" i="12"/>
  <c r="D166" i="12" s="1"/>
  <c r="V104" i="12"/>
  <c r="T104" i="12"/>
  <c r="R240" i="58" l="1"/>
  <c r="R244" i="58" s="1"/>
  <c r="R271" i="58" s="1"/>
  <c r="AI748" i="12"/>
  <c r="AI750" i="12"/>
  <c r="AJ744" i="12"/>
  <c r="AR230" i="12"/>
  <c r="B230" i="12"/>
  <c r="AJ636" i="12"/>
  <c r="AG516" i="12"/>
  <c r="AG518" i="12"/>
  <c r="AG514" i="12"/>
  <c r="AG443" i="12"/>
  <c r="AG445" i="12"/>
  <c r="AG441" i="12"/>
  <c r="N1" i="43"/>
  <c r="C332" i="12"/>
  <c r="W332" i="12"/>
  <c r="E332" i="12" s="1"/>
  <c r="V332" i="12"/>
  <c r="D332" i="12" s="1"/>
  <c r="W486" i="12"/>
  <c r="AD464" i="12"/>
  <c r="AD484" i="12" s="1"/>
  <c r="AD500" i="12" s="1"/>
  <c r="AD468" i="12"/>
  <c r="AD488" i="12" s="1"/>
  <c r="AD504" i="12" s="1"/>
  <c r="AD465" i="12"/>
  <c r="AD485" i="12" s="1"/>
  <c r="AD501" i="12" s="1"/>
  <c r="AD469" i="12"/>
  <c r="AD489" i="12" s="1"/>
  <c r="AD505" i="12" s="1"/>
  <c r="AD470" i="12"/>
  <c r="AD490" i="12" s="1"/>
  <c r="AD506" i="12" s="1"/>
  <c r="AD467" i="12"/>
  <c r="AD487" i="12" s="1"/>
  <c r="AD503" i="12" s="1"/>
  <c r="AD463" i="12"/>
  <c r="AD466" i="12"/>
  <c r="AD486" i="12" s="1"/>
  <c r="AD502" i="12" s="1"/>
  <c r="AH470" i="12"/>
  <c r="AH490" i="12" s="1"/>
  <c r="AH506" i="12" s="1"/>
  <c r="AH469" i="12"/>
  <c r="AH489" i="12" s="1"/>
  <c r="AH505" i="12" s="1"/>
  <c r="AH468" i="12"/>
  <c r="AH488" i="12" s="1"/>
  <c r="AH504" i="12" s="1"/>
  <c r="AH464" i="12"/>
  <c r="AH467" i="12"/>
  <c r="AH487" i="12" s="1"/>
  <c r="AH503" i="12" s="1"/>
  <c r="AH463" i="12"/>
  <c r="AH483" i="12" s="1"/>
  <c r="AH499" i="12" s="1"/>
  <c r="AH465" i="12"/>
  <c r="AH485" i="12" s="1"/>
  <c r="AH501" i="12" s="1"/>
  <c r="AH466" i="12"/>
  <c r="AH486" i="12" s="1"/>
  <c r="AH502" i="12" s="1"/>
  <c r="Z464" i="12"/>
  <c r="Z484" i="12" s="1"/>
  <c r="Z500" i="12" s="1"/>
  <c r="Z468" i="12"/>
  <c r="Z488" i="12" s="1"/>
  <c r="Z504" i="12" s="1"/>
  <c r="Z465" i="12"/>
  <c r="Z485" i="12" s="1"/>
  <c r="Z501" i="12" s="1"/>
  <c r="Z469" i="12"/>
  <c r="Z489" i="12" s="1"/>
  <c r="Z505" i="12" s="1"/>
  <c r="Z466" i="12"/>
  <c r="Z486" i="12" s="1"/>
  <c r="Z502" i="12" s="1"/>
  <c r="Z470" i="12"/>
  <c r="Z490" i="12" s="1"/>
  <c r="Z506" i="12" s="1"/>
  <c r="Z463" i="12"/>
  <c r="Z467" i="12"/>
  <c r="Z487" i="12" s="1"/>
  <c r="Z503" i="12" s="1"/>
  <c r="T408" i="12"/>
  <c r="AF426" i="12"/>
  <c r="T407" i="12"/>
  <c r="AF425" i="12"/>
  <c r="V408" i="12"/>
  <c r="AH426" i="12"/>
  <c r="V407" i="12"/>
  <c r="AH425" i="12"/>
  <c r="E439" i="12"/>
  <c r="B104" i="12"/>
  <c r="D104" i="12"/>
  <c r="W415" i="12"/>
  <c r="W488" i="12"/>
  <c r="AD483" i="12"/>
  <c r="AD499" i="12" s="1"/>
  <c r="Z483" i="12"/>
  <c r="Z499" i="12" s="1"/>
  <c r="AH484" i="12"/>
  <c r="AH500" i="12" s="1"/>
  <c r="W413" i="12"/>
  <c r="W416" i="12"/>
  <c r="W412" i="12"/>
  <c r="AI436" i="12"/>
  <c r="W490" i="12"/>
  <c r="W406" i="12"/>
  <c r="W417" i="12"/>
  <c r="W411" i="12"/>
  <c r="AJ458" i="12"/>
  <c r="AF458" i="12"/>
  <c r="W419" i="12"/>
  <c r="AI428" i="12"/>
  <c r="W414" i="12"/>
  <c r="W485" i="12"/>
  <c r="W483" i="12"/>
  <c r="W487" i="12"/>
  <c r="W493" i="12"/>
  <c r="AF418" i="12"/>
  <c r="AF436" i="12" s="1"/>
  <c r="AF406" i="12"/>
  <c r="AF424" i="12" s="1"/>
  <c r="AF413" i="12"/>
  <c r="AF431" i="12" s="1"/>
  <c r="AH412" i="12"/>
  <c r="AH430" i="12" s="1"/>
  <c r="AH417" i="12"/>
  <c r="AH435" i="12" s="1"/>
  <c r="AH411" i="12"/>
  <c r="V411" i="12" s="1"/>
  <c r="W484" i="12"/>
  <c r="W489" i="12"/>
  <c r="AI512" i="12"/>
  <c r="AF411" i="12"/>
  <c r="AF429" i="12" s="1"/>
  <c r="AF412" i="12"/>
  <c r="AF430" i="12" s="1"/>
  <c r="AF417" i="12"/>
  <c r="T417" i="12" s="1"/>
  <c r="AH416" i="12"/>
  <c r="AH434" i="12" s="1"/>
  <c r="AH410" i="12"/>
  <c r="AH428" i="12" s="1"/>
  <c r="AH415" i="12"/>
  <c r="V415" i="12" s="1"/>
  <c r="W491" i="12"/>
  <c r="AF410" i="12"/>
  <c r="AF428" i="12" s="1"/>
  <c r="AF415" i="12"/>
  <c r="AF433" i="12" s="1"/>
  <c r="AF416" i="12"/>
  <c r="AF434" i="12" s="1"/>
  <c r="AH427" i="12"/>
  <c r="AH414" i="12"/>
  <c r="AH432" i="12" s="1"/>
  <c r="AH419" i="12"/>
  <c r="AH437" i="12" s="1"/>
  <c r="AF414" i="12"/>
  <c r="AF432" i="12" s="1"/>
  <c r="AF419" i="12"/>
  <c r="AF437" i="12" s="1"/>
  <c r="AF427" i="12"/>
  <c r="AH406" i="12"/>
  <c r="AH424" i="12" s="1"/>
  <c r="AH413" i="12"/>
  <c r="AH431" i="12" s="1"/>
  <c r="AH418" i="12"/>
  <c r="AH436" i="12" s="1"/>
  <c r="AC512" i="12"/>
  <c r="E512" i="12" s="1"/>
  <c r="W492" i="12"/>
  <c r="W494" i="12"/>
  <c r="AB439" i="12"/>
  <c r="Z439" i="12"/>
  <c r="B439" i="12" s="1"/>
  <c r="AJ746" i="12" l="1"/>
  <c r="AK744" i="12"/>
  <c r="AI752" i="12"/>
  <c r="AJ748" i="12"/>
  <c r="AJ750" i="12"/>
  <c r="AG520" i="12"/>
  <c r="AG522" i="12" s="1"/>
  <c r="AG523" i="12" s="1"/>
  <c r="C523" i="12" s="1"/>
  <c r="AI514" i="12"/>
  <c r="AI518" i="12"/>
  <c r="AI516" i="12"/>
  <c r="AR332" i="12"/>
  <c r="AG754" i="12"/>
  <c r="AF466" i="12"/>
  <c r="AF486" i="12" s="1"/>
  <c r="AF502" i="12" s="1"/>
  <c r="AF465" i="12"/>
  <c r="AF485" i="12" s="1"/>
  <c r="AF501" i="12" s="1"/>
  <c r="AF469" i="12"/>
  <c r="AF489" i="12" s="1"/>
  <c r="AF505" i="12" s="1"/>
  <c r="AF464" i="12"/>
  <c r="AF484" i="12" s="1"/>
  <c r="AF500" i="12" s="1"/>
  <c r="AF467" i="12"/>
  <c r="AF487" i="12" s="1"/>
  <c r="AF503" i="12" s="1"/>
  <c r="AF470" i="12"/>
  <c r="AF490" i="12" s="1"/>
  <c r="AF506" i="12" s="1"/>
  <c r="AF468" i="12"/>
  <c r="AF488" i="12" s="1"/>
  <c r="AF504" i="12" s="1"/>
  <c r="AF463" i="12"/>
  <c r="AF483" i="12" s="1"/>
  <c r="AF499" i="12" s="1"/>
  <c r="AJ468" i="12"/>
  <c r="AJ488" i="12" s="1"/>
  <c r="AJ504" i="12" s="1"/>
  <c r="AJ466" i="12"/>
  <c r="AJ486" i="12" s="1"/>
  <c r="AJ502" i="12" s="1"/>
  <c r="AJ465" i="12"/>
  <c r="AJ485" i="12" s="1"/>
  <c r="AJ501" i="12" s="1"/>
  <c r="AJ470" i="12"/>
  <c r="AJ490" i="12" s="1"/>
  <c r="AJ506" i="12" s="1"/>
  <c r="AJ463" i="12"/>
  <c r="AJ483" i="12" s="1"/>
  <c r="AJ499" i="12" s="1"/>
  <c r="AJ464" i="12"/>
  <c r="AJ484" i="12" s="1"/>
  <c r="AJ500" i="12" s="1"/>
  <c r="AJ469" i="12"/>
  <c r="AJ489" i="12" s="1"/>
  <c r="AJ505" i="12" s="1"/>
  <c r="AJ467" i="12"/>
  <c r="AJ487" i="12" s="1"/>
  <c r="AJ503" i="12" s="1"/>
  <c r="AG638" i="12"/>
  <c r="AG639" i="12" s="1"/>
  <c r="C639" i="12" s="1"/>
  <c r="T413" i="12"/>
  <c r="D439" i="12"/>
  <c r="AF435" i="12"/>
  <c r="AF439" i="12" s="1"/>
  <c r="AH429" i="12"/>
  <c r="AH433" i="12"/>
  <c r="AI439" i="12"/>
  <c r="V416" i="12"/>
  <c r="T410" i="12"/>
  <c r="T411" i="12"/>
  <c r="T406" i="12"/>
  <c r="T412" i="12"/>
  <c r="V412" i="12"/>
  <c r="T415" i="12"/>
  <c r="V417" i="12"/>
  <c r="V486" i="12"/>
  <c r="T414" i="12"/>
  <c r="V410" i="12"/>
  <c r="V406" i="12"/>
  <c r="T418" i="12"/>
  <c r="V413" i="12"/>
  <c r="T419" i="12"/>
  <c r="T416" i="12"/>
  <c r="V419" i="12"/>
  <c r="V414" i="12"/>
  <c r="V492" i="12"/>
  <c r="V484" i="12"/>
  <c r="T493" i="12"/>
  <c r="V490" i="12"/>
  <c r="T492" i="12"/>
  <c r="V487" i="12"/>
  <c r="V491" i="12"/>
  <c r="Z512" i="12"/>
  <c r="V418" i="12"/>
  <c r="V489" i="12"/>
  <c r="V494" i="12"/>
  <c r="V485" i="12"/>
  <c r="AH512" i="12"/>
  <c r="V493" i="12"/>
  <c r="V483" i="12"/>
  <c r="T494" i="12"/>
  <c r="AB512" i="12"/>
  <c r="D512" i="12" s="1"/>
  <c r="T491" i="12"/>
  <c r="V488" i="12"/>
  <c r="AG447" i="12"/>
  <c r="AG449" i="12" s="1"/>
  <c r="AG450" i="12" s="1"/>
  <c r="AJ752" i="12" l="1"/>
  <c r="AK752" i="12" s="1"/>
  <c r="AG755" i="12"/>
  <c r="C755" i="12" s="1"/>
  <c r="AI520" i="12"/>
  <c r="B512" i="12"/>
  <c r="AF443" i="12"/>
  <c r="AF441" i="12"/>
  <c r="AF445" i="12"/>
  <c r="AH518" i="12"/>
  <c r="AH514" i="12"/>
  <c r="AH516" i="12"/>
  <c r="AI443" i="12"/>
  <c r="AI445" i="12"/>
  <c r="AI441" i="12"/>
  <c r="T483" i="12"/>
  <c r="C451" i="12"/>
  <c r="AH439" i="12"/>
  <c r="T486" i="12"/>
  <c r="T487" i="12"/>
  <c r="T489" i="12"/>
  <c r="T485" i="12"/>
  <c r="T484" i="12"/>
  <c r="T490" i="12"/>
  <c r="T488" i="12"/>
  <c r="AH520" i="12" l="1"/>
  <c r="AH443" i="12"/>
  <c r="AH445" i="12"/>
  <c r="AH441" i="12"/>
  <c r="AI754" i="12" l="1"/>
  <c r="AI755" i="12" s="1"/>
  <c r="E755" i="12" s="1"/>
  <c r="AF755" i="12"/>
  <c r="AF638" i="12"/>
  <c r="AI638" i="12"/>
  <c r="AI639" i="12" s="1"/>
  <c r="E639" i="12" s="1"/>
  <c r="AI447" i="12"/>
  <c r="AI449" i="12" s="1"/>
  <c r="AI450" i="12" s="1"/>
  <c r="AI522" i="12"/>
  <c r="AI523" i="12" s="1"/>
  <c r="E523" i="12" s="1"/>
  <c r="AF512" i="12"/>
  <c r="AF447" i="12"/>
  <c r="AF449" i="12" s="1"/>
  <c r="B755" i="12" l="1"/>
  <c r="AF639" i="12"/>
  <c r="AF516" i="12"/>
  <c r="AF518" i="12"/>
  <c r="AF514" i="12"/>
  <c r="AH522" i="12"/>
  <c r="AH523" i="12" s="1"/>
  <c r="D523" i="12" s="1"/>
  <c r="AH754" i="12"/>
  <c r="AH638" i="12"/>
  <c r="AH639" i="12" s="1"/>
  <c r="D639" i="12" s="1"/>
  <c r="E451" i="12"/>
  <c r="AH447" i="12"/>
  <c r="AH449" i="12" s="1"/>
  <c r="AH450" i="12" s="1"/>
  <c r="AF450" i="12"/>
  <c r="B639" i="12" l="1"/>
  <c r="B451" i="12"/>
  <c r="AH755" i="12"/>
  <c r="AF520" i="12"/>
  <c r="AF522" i="12" s="1"/>
  <c r="D451" i="12"/>
  <c r="AF523" i="12" l="1"/>
  <c r="D755" i="12"/>
  <c r="B523" i="12" l="1"/>
  <c r="X112" i="12" l="1"/>
  <c r="X101" i="12" l="1"/>
  <c r="X152" i="12"/>
  <c r="X162" i="12" s="1"/>
  <c r="X100" i="12"/>
  <c r="X123" i="12"/>
  <c r="X122" i="12"/>
  <c r="X124" i="12"/>
  <c r="W116" i="12"/>
  <c r="W112" i="12" l="1"/>
  <c r="W124" i="12" s="1"/>
  <c r="X153" i="12"/>
  <c r="X163" i="12" s="1"/>
  <c r="AD342" i="12"/>
  <c r="W130" i="12"/>
  <c r="W128" i="12"/>
  <c r="X103" i="12"/>
  <c r="X155" i="12"/>
  <c r="X165" i="12" s="1"/>
  <c r="W131" i="12"/>
  <c r="W129" i="12"/>
  <c r="X154" i="12"/>
  <c r="X164" i="12" s="1"/>
  <c r="X102" i="12"/>
  <c r="W96" i="12"/>
  <c r="X149" i="12"/>
  <c r="X159" i="12" s="1"/>
  <c r="X96" i="12"/>
  <c r="X151" i="12"/>
  <c r="X161" i="12" s="1"/>
  <c r="X99" i="12"/>
  <c r="AD366" i="12" l="1"/>
  <c r="AD359" i="12"/>
  <c r="AD363" i="12"/>
  <c r="AD355" i="12"/>
  <c r="AD407" i="12" s="1"/>
  <c r="AD425" i="12" s="1"/>
  <c r="AD357" i="12"/>
  <c r="AD409" i="12" s="1"/>
  <c r="AD362" i="12"/>
  <c r="AD365" i="12"/>
  <c r="AD360" i="12"/>
  <c r="AD358" i="12"/>
  <c r="AD354" i="12"/>
  <c r="AD361" i="12"/>
  <c r="AD364" i="12"/>
  <c r="AD356" i="12"/>
  <c r="AD408" i="12" s="1"/>
  <c r="AD426" i="12" s="1"/>
  <c r="AD367" i="12"/>
  <c r="W122" i="12"/>
  <c r="W149" i="12" s="1"/>
  <c r="W159" i="12" s="1"/>
  <c r="W123" i="12"/>
  <c r="W151" i="12" s="1"/>
  <c r="W161" i="12" s="1"/>
  <c r="W99" i="12"/>
  <c r="W102" i="12"/>
  <c r="AJ342" i="12"/>
  <c r="W154" i="12"/>
  <c r="W164" i="12" s="1"/>
  <c r="W103" i="12"/>
  <c r="W155" i="12"/>
  <c r="W165" i="12" s="1"/>
  <c r="X104" i="12"/>
  <c r="W100" i="12"/>
  <c r="W152" i="12"/>
  <c r="W162" i="12" s="1"/>
  <c r="X166" i="12"/>
  <c r="F166" i="12" s="1"/>
  <c r="AJ360" i="12" l="1"/>
  <c r="AJ357" i="12"/>
  <c r="AJ366" i="12"/>
  <c r="AJ358" i="12"/>
  <c r="AJ361" i="12"/>
  <c r="AJ364" i="12"/>
  <c r="AJ365" i="12"/>
  <c r="AJ354" i="12"/>
  <c r="AJ356" i="12"/>
  <c r="AJ408" i="12" s="1"/>
  <c r="AJ367" i="12"/>
  <c r="AJ363" i="12"/>
  <c r="AJ359" i="12"/>
  <c r="AJ355" i="12"/>
  <c r="AJ407" i="12" s="1"/>
  <c r="AJ362" i="12"/>
  <c r="AJ409" i="12"/>
  <c r="X409" i="12" s="1"/>
  <c r="F104" i="12"/>
  <c r="AD410" i="12"/>
  <c r="AD428" i="12" s="1"/>
  <c r="AD418" i="12"/>
  <c r="AD436" i="12" s="1"/>
  <c r="AD414" i="12"/>
  <c r="AD432" i="12" s="1"/>
  <c r="AD427" i="12"/>
  <c r="AD417" i="12"/>
  <c r="AD435" i="12" s="1"/>
  <c r="AD413" i="12"/>
  <c r="AD431" i="12" s="1"/>
  <c r="AD415" i="12"/>
  <c r="AD433" i="12" s="1"/>
  <c r="AD416" i="12"/>
  <c r="AD434" i="12" s="1"/>
  <c r="AD419" i="12"/>
  <c r="AD437" i="12" s="1"/>
  <c r="AD406" i="12"/>
  <c r="AD424" i="12" s="1"/>
  <c r="AD411" i="12"/>
  <c r="AD429" i="12" s="1"/>
  <c r="AD412" i="12"/>
  <c r="AD430" i="12" s="1"/>
  <c r="W104" i="12"/>
  <c r="AR104" i="12" s="1"/>
  <c r="W166" i="12"/>
  <c r="E166" i="12" l="1"/>
  <c r="AR166" i="12"/>
  <c r="X408" i="12"/>
  <c r="AJ426" i="12"/>
  <c r="X407" i="12"/>
  <c r="AJ425" i="12"/>
  <c r="E104" i="12"/>
  <c r="AJ427" i="12"/>
  <c r="AJ411" i="12"/>
  <c r="AJ429" i="12" s="1"/>
  <c r="AJ412" i="12"/>
  <c r="AJ430" i="12" s="1"/>
  <c r="AJ417" i="12"/>
  <c r="AJ435" i="12" s="1"/>
  <c r="X484" i="12"/>
  <c r="AJ416" i="12"/>
  <c r="AJ434" i="12" s="1"/>
  <c r="AJ415" i="12"/>
  <c r="AJ433" i="12" s="1"/>
  <c r="AJ419" i="12"/>
  <c r="AJ437" i="12" s="1"/>
  <c r="X486" i="12"/>
  <c r="X490" i="12"/>
  <c r="X492" i="12"/>
  <c r="AJ410" i="12"/>
  <c r="AJ428" i="12" s="1"/>
  <c r="AJ414" i="12"/>
  <c r="AJ432" i="12" s="1"/>
  <c r="AJ418" i="12"/>
  <c r="AJ436" i="12" s="1"/>
  <c r="AJ406" i="12"/>
  <c r="AJ424" i="12" s="1"/>
  <c r="AJ413" i="12"/>
  <c r="X413" i="12" s="1"/>
  <c r="AD439" i="12"/>
  <c r="AR439" i="12" s="1"/>
  <c r="F439" i="12" l="1"/>
  <c r="X412" i="12" l="1"/>
  <c r="X411" i="12"/>
  <c r="X417" i="12"/>
  <c r="X415" i="12"/>
  <c r="X416" i="12"/>
  <c r="X410" i="12"/>
  <c r="X414" i="12"/>
  <c r="X418" i="12"/>
  <c r="X419" i="12"/>
  <c r="AJ431" i="12"/>
  <c r="AJ439" i="12" s="1"/>
  <c r="X406" i="12"/>
  <c r="AJ512" i="12"/>
  <c r="AK512" i="12" s="1"/>
  <c r="X485" i="12"/>
  <c r="X493" i="12"/>
  <c r="X483" i="12"/>
  <c r="X489" i="12"/>
  <c r="X488" i="12"/>
  <c r="AD512" i="12"/>
  <c r="AR512" i="12" s="1"/>
  <c r="X491" i="12"/>
  <c r="X494" i="12"/>
  <c r="X487" i="12"/>
  <c r="AJ441" i="12" l="1"/>
  <c r="AJ443" i="12"/>
  <c r="AJ445" i="12"/>
  <c r="AK439" i="12"/>
  <c r="AJ518" i="12"/>
  <c r="AJ514" i="12"/>
  <c r="AJ516" i="12"/>
  <c r="F512" i="12"/>
  <c r="AJ520" i="12" l="1"/>
  <c r="AJ522" i="12" s="1"/>
  <c r="AK522" i="12" s="1"/>
  <c r="AJ754" i="12"/>
  <c r="AJ638" i="12"/>
  <c r="AJ447" i="12"/>
  <c r="AJ449" i="12" s="1"/>
  <c r="AJ755" i="12" l="1"/>
  <c r="AK755" i="12" s="1"/>
  <c r="AK754" i="12"/>
  <c r="AJ639" i="12"/>
  <c r="AK638" i="12"/>
  <c r="AJ450" i="12"/>
  <c r="AK449" i="12"/>
  <c r="AJ523" i="12"/>
  <c r="F755" i="12" l="1"/>
  <c r="AR523" i="12"/>
  <c r="AS523" i="12" s="1"/>
  <c r="AK523" i="12"/>
  <c r="AR755" i="12"/>
  <c r="AS755" i="12" s="1"/>
  <c r="AR639" i="12"/>
  <c r="AS639" i="12" s="1"/>
  <c r="AK639" i="12"/>
  <c r="F639" i="12"/>
  <c r="AR450" i="12"/>
  <c r="AS450" i="12" s="1"/>
  <c r="AK450" i="12"/>
  <c r="F451" i="12"/>
  <c r="F523" i="12"/>
  <c r="C6" i="21" l="1"/>
  <c r="C7" i="15" l="1"/>
  <c r="C7" i="21" s="1"/>
  <c r="C9" i="15"/>
  <c r="C9" i="21" s="1"/>
  <c r="C12" i="15" l="1"/>
  <c r="C12" i="21" s="1"/>
  <c r="C8" i="15"/>
  <c r="C8" i="21" s="1"/>
  <c r="C10" i="15" l="1"/>
  <c r="C10" i="21" s="1"/>
  <c r="C11" i="15"/>
  <c r="C11" i="21" s="1"/>
  <c r="A11" i="49" l="1"/>
  <c r="A16" i="49"/>
  <c r="A8" i="49"/>
  <c r="A242" i="4"/>
  <c r="U839" i="12"/>
  <c r="U840" i="12" s="1"/>
  <c r="U848" i="12" s="1"/>
  <c r="U849" i="12" s="1"/>
  <c r="C849" i="12" s="1"/>
  <c r="V839" i="12"/>
  <c r="V840" i="12" s="1"/>
  <c r="V848" i="12" s="1"/>
  <c r="V849" i="12" s="1"/>
  <c r="D849" i="12" s="1"/>
  <c r="P589" i="12"/>
  <c r="Z589" i="12" s="1"/>
  <c r="X839" i="12"/>
  <c r="X840" i="12" s="1"/>
  <c r="X848" i="12" s="1"/>
  <c r="X849" i="12" s="1"/>
  <c r="F849" i="12" s="1"/>
  <c r="W839" i="12"/>
  <c r="W840" i="12" s="1"/>
  <c r="W848" i="12" s="1"/>
  <c r="W849" i="12" s="1"/>
  <c r="E849" i="12" s="1"/>
  <c r="A35" i="62" l="1"/>
  <c r="A31" i="62"/>
  <c r="A243" i="4"/>
  <c r="A59" i="49"/>
  <c r="A46" i="49"/>
  <c r="A54" i="49"/>
  <c r="A50" i="49"/>
  <c r="A29" i="49"/>
  <c r="A62" i="49"/>
  <c r="A179" i="60"/>
  <c r="A37" i="49"/>
  <c r="A10" i="62"/>
  <c r="A21" i="62"/>
  <c r="A48" i="60"/>
  <c r="A96" i="60"/>
  <c r="A15" i="62"/>
  <c r="A67" i="60"/>
  <c r="AD589" i="12"/>
  <c r="AA589" i="12"/>
  <c r="AC589" i="12"/>
  <c r="AB589" i="12"/>
  <c r="T839" i="12"/>
  <c r="T840" i="12" l="1"/>
  <c r="T848" i="12" s="1"/>
  <c r="T849" i="12" s="1"/>
  <c r="P590" i="12"/>
  <c r="AB590" i="12" s="1"/>
  <c r="P400" i="12"/>
  <c r="AD400" i="12" s="1"/>
  <c r="P588" i="12"/>
  <c r="AB588" i="12" s="1"/>
  <c r="P399" i="12"/>
  <c r="AC399" i="12" s="1"/>
  <c r="T881" i="12"/>
  <c r="T882" i="12" s="1"/>
  <c r="T890" i="12" s="1"/>
  <c r="T891" i="12" s="1"/>
  <c r="B891" i="12" s="1"/>
  <c r="AR849" i="12" l="1"/>
  <c r="B849" i="12"/>
  <c r="AD399" i="12"/>
  <c r="AD588" i="12"/>
  <c r="AC400" i="12"/>
  <c r="Z399" i="12"/>
  <c r="AA588" i="12"/>
  <c r="Z588" i="12"/>
  <c r="AB400" i="12"/>
  <c r="Z590" i="12"/>
  <c r="AA590" i="12"/>
  <c r="AA399" i="12"/>
  <c r="AC588" i="12"/>
  <c r="AA400" i="12"/>
  <c r="AC590" i="12"/>
  <c r="AB399" i="12"/>
  <c r="Z400" i="12"/>
  <c r="AD590" i="12"/>
  <c r="P401" i="12"/>
  <c r="AB401" i="12" s="1"/>
  <c r="AC401" i="12" l="1"/>
  <c r="Z401" i="12"/>
  <c r="AD401" i="12"/>
  <c r="AA401" i="12"/>
  <c r="V881" i="12"/>
  <c r="V882" i="12" s="1"/>
  <c r="V890" i="12" s="1"/>
  <c r="V891" i="12" s="1"/>
  <c r="D891" i="12" s="1"/>
  <c r="U881" i="12"/>
  <c r="U882" i="12" s="1"/>
  <c r="U890" i="12" s="1"/>
  <c r="U891" i="12" s="1"/>
  <c r="C891" i="12" l="1"/>
  <c r="W881" i="12" l="1"/>
  <c r="W882" i="12" s="1"/>
  <c r="W890" i="12" s="1"/>
  <c r="W891" i="12" s="1"/>
  <c r="A178" i="60" l="1"/>
  <c r="A100" i="60"/>
  <c r="A129" i="60"/>
  <c r="A177" i="60"/>
  <c r="A125" i="60"/>
  <c r="A175" i="60"/>
  <c r="A103" i="60"/>
  <c r="A122" i="60"/>
  <c r="A234" i="49"/>
  <c r="A265" i="49"/>
  <c r="A272" i="49"/>
  <c r="A224" i="49"/>
  <c r="A231" i="49"/>
  <c r="A268" i="49"/>
  <c r="A262" i="49"/>
  <c r="A90" i="60"/>
  <c r="A227" i="49"/>
  <c r="A250" i="49"/>
  <c r="A256" i="49"/>
  <c r="A303" i="49"/>
  <c r="A187" i="49"/>
  <c r="A71" i="60"/>
  <c r="A95" i="49"/>
  <c r="A196" i="49"/>
  <c r="A149" i="60"/>
  <c r="A316" i="49"/>
  <c r="A152" i="60"/>
  <c r="A25" i="60"/>
  <c r="A172" i="60"/>
  <c r="A205" i="49"/>
  <c r="A106" i="60"/>
  <c r="A129" i="49"/>
  <c r="A118" i="49"/>
  <c r="A160" i="60"/>
  <c r="A179" i="49"/>
  <c r="A52" i="60"/>
  <c r="A216" i="49"/>
  <c r="A122" i="49"/>
  <c r="A57" i="60"/>
  <c r="A289" i="49"/>
  <c r="A176" i="60"/>
  <c r="A61" i="60"/>
  <c r="A149" i="49"/>
  <c r="A191" i="49"/>
  <c r="A169" i="49"/>
  <c r="A163" i="49"/>
  <c r="A299" i="49"/>
  <c r="A76" i="60"/>
  <c r="A253" i="49"/>
  <c r="A154" i="49"/>
  <c r="A135" i="60"/>
  <c r="A200" i="49"/>
  <c r="A275" i="49"/>
  <c r="A145" i="49"/>
  <c r="A85" i="60"/>
  <c r="A174" i="60"/>
  <c r="A141" i="60"/>
  <c r="A158" i="49"/>
  <c r="A241" i="49"/>
  <c r="A308" i="49"/>
  <c r="A115" i="60"/>
  <c r="A283" i="49"/>
  <c r="A77" i="49"/>
  <c r="A172" i="49"/>
  <c r="A141" i="49"/>
  <c r="A210" i="49"/>
  <c r="A144" i="60"/>
  <c r="A68" i="49"/>
  <c r="A170" i="60"/>
  <c r="A319" i="49"/>
  <c r="A80" i="60"/>
  <c r="A105" i="49"/>
  <c r="A35" i="60"/>
  <c r="A111" i="49"/>
  <c r="A108" i="49"/>
  <c r="A109" i="60"/>
  <c r="A99" i="49"/>
  <c r="A311" i="49"/>
  <c r="A89" i="49"/>
  <c r="A171" i="60"/>
  <c r="A175" i="49"/>
  <c r="A173" i="60"/>
  <c r="A237" i="49"/>
  <c r="A168" i="60"/>
  <c r="A42" i="60"/>
  <c r="A279" i="49"/>
  <c r="A118" i="60"/>
  <c r="A83" i="49"/>
  <c r="E891" i="12"/>
  <c r="U180" i="12" l="1"/>
  <c r="U181" i="12" s="1"/>
  <c r="U203" i="12" s="1"/>
  <c r="U205" i="12" s="1"/>
  <c r="C205" i="12" s="1"/>
  <c r="V180" i="12"/>
  <c r="V181" i="12" s="1"/>
  <c r="V203" i="12" s="1"/>
  <c r="V205" i="12" s="1"/>
  <c r="D205" i="12" s="1"/>
  <c r="X881" i="12"/>
  <c r="X882" i="12" s="1"/>
  <c r="X890" i="12" s="1"/>
  <c r="X891" i="12" s="1"/>
  <c r="AR891" i="12" l="1"/>
  <c r="F891" i="12"/>
  <c r="P587" i="12"/>
  <c r="AD587" i="12" s="1"/>
  <c r="AD591" i="12" s="1"/>
  <c r="AD592" i="12" s="1"/>
  <c r="F592" i="12" s="1"/>
  <c r="H385" i="4"/>
  <c r="H10" i="4"/>
  <c r="T361" i="4"/>
  <c r="AL505" i="4"/>
  <c r="T568" i="4"/>
  <c r="AU160" i="4"/>
  <c r="T577" i="4"/>
  <c r="K343" i="4"/>
  <c r="F364" i="4"/>
  <c r="K97" i="4"/>
  <c r="AL244" i="4"/>
  <c r="AU591" i="4"/>
  <c r="T383" i="4"/>
  <c r="AC354" i="4"/>
  <c r="AU35" i="4"/>
  <c r="T598" i="4"/>
  <c r="AL21" i="4"/>
  <c r="K88" i="4"/>
  <c r="AC486" i="4"/>
  <c r="AC229" i="4"/>
  <c r="AC583" i="4"/>
  <c r="T463" i="4"/>
  <c r="T254" i="4"/>
  <c r="AL247" i="4"/>
  <c r="F238" i="4"/>
  <c r="F392" i="4"/>
  <c r="AU496" i="4"/>
  <c r="AU30" i="4"/>
  <c r="T185" i="4"/>
  <c r="AU545" i="4"/>
  <c r="AU247" i="4"/>
  <c r="F296" i="4"/>
  <c r="F586" i="4"/>
  <c r="AL269" i="4"/>
  <c r="H581" i="4"/>
  <c r="H102" i="4"/>
  <c r="F360" i="4"/>
  <c r="T359" i="4"/>
  <c r="AC374" i="4"/>
  <c r="AU66" i="4"/>
  <c r="AC232" i="4"/>
  <c r="AU557" i="4"/>
  <c r="AU65" i="4"/>
  <c r="AU592" i="4"/>
  <c r="AL444" i="4"/>
  <c r="AU259" i="4"/>
  <c r="AL573" i="4"/>
  <c r="AC38" i="4"/>
  <c r="K575" i="4"/>
  <c r="F426" i="4"/>
  <c r="K452" i="4"/>
  <c r="T363" i="4"/>
  <c r="T77" i="4"/>
  <c r="AL254" i="4"/>
  <c r="AU194" i="4"/>
  <c r="AL587" i="4"/>
  <c r="AU156" i="4"/>
  <c r="T33" i="4"/>
  <c r="F46" i="4"/>
  <c r="T150" i="4"/>
  <c r="AU332" i="4"/>
  <c r="AC544" i="4"/>
  <c r="AL579" i="4"/>
  <c r="AU433" i="4"/>
  <c r="F524" i="4"/>
  <c r="F308" i="4"/>
  <c r="H94" i="4"/>
  <c r="AL42" i="4"/>
  <c r="T135" i="4"/>
  <c r="T233" i="4"/>
  <c r="AU146" i="4"/>
  <c r="K116" i="4"/>
  <c r="T570" i="4"/>
  <c r="F489" i="4"/>
  <c r="T459" i="4"/>
  <c r="F230" i="4"/>
  <c r="AC595" i="4"/>
  <c r="T460" i="4"/>
  <c r="K118" i="4"/>
  <c r="T571" i="4"/>
  <c r="H92" i="4"/>
  <c r="H557" i="4"/>
  <c r="AL440" i="4"/>
  <c r="H326" i="4"/>
  <c r="H427" i="4"/>
  <c r="K355" i="4"/>
  <c r="AL540" i="4"/>
  <c r="AC258" i="4"/>
  <c r="H560" i="4"/>
  <c r="H89" i="4"/>
  <c r="AC346" i="4"/>
  <c r="K364" i="4"/>
  <c r="AU127" i="4"/>
  <c r="F286" i="4"/>
  <c r="F263" i="4"/>
  <c r="AC129" i="4"/>
  <c r="AL43" i="4"/>
  <c r="AL268" i="4"/>
  <c r="T348" i="4"/>
  <c r="AC188" i="4"/>
  <c r="H394" i="4"/>
  <c r="AC488" i="4"/>
  <c r="K391" i="4"/>
  <c r="F420" i="4"/>
  <c r="K564" i="4"/>
  <c r="T434" i="4"/>
  <c r="H414" i="4"/>
  <c r="H517" i="4"/>
  <c r="AL264" i="4"/>
  <c r="F418" i="4"/>
  <c r="H347" i="4"/>
  <c r="AU359" i="4"/>
  <c r="F98" i="4"/>
  <c r="AL270" i="4"/>
  <c r="AC591" i="4"/>
  <c r="F366" i="4"/>
  <c r="T174" i="4"/>
  <c r="AC52" i="4"/>
  <c r="T602" i="4"/>
  <c r="AL434" i="4"/>
  <c r="H280" i="4"/>
  <c r="T45" i="4"/>
  <c r="T279" i="4"/>
  <c r="K543" i="4"/>
  <c r="F41" i="4"/>
  <c r="H319" i="4"/>
  <c r="AU458" i="4"/>
  <c r="AL514" i="4"/>
  <c r="AU142" i="4"/>
  <c r="AL133" i="4"/>
  <c r="AL243" i="4"/>
  <c r="T94" i="4"/>
  <c r="K59" i="4"/>
  <c r="K574" i="4"/>
  <c r="AL99" i="4"/>
  <c r="F73" i="4"/>
  <c r="AL79" i="4"/>
  <c r="H293" i="4"/>
  <c r="H597" i="4"/>
  <c r="AU590" i="4"/>
  <c r="F565" i="4"/>
  <c r="F371" i="4"/>
  <c r="H533" i="4"/>
  <c r="F18" i="4"/>
  <c r="AL262" i="4"/>
  <c r="AU568" i="4"/>
  <c r="H325" i="4"/>
  <c r="T451" i="4"/>
  <c r="T545" i="4"/>
  <c r="AL364" i="4"/>
  <c r="AL478" i="4"/>
  <c r="AC383" i="4"/>
  <c r="AC174" i="4"/>
  <c r="AC89" i="4"/>
  <c r="K54" i="4"/>
  <c r="AL561" i="4"/>
  <c r="T105" i="4"/>
  <c r="AL258" i="4"/>
  <c r="AC145" i="4"/>
  <c r="T516" i="4"/>
  <c r="T247" i="4"/>
  <c r="K234" i="4"/>
  <c r="H461" i="4"/>
  <c r="K490" i="4"/>
  <c r="F192" i="4"/>
  <c r="AC64" i="4"/>
  <c r="AL604" i="4"/>
  <c r="F343" i="4"/>
  <c r="T239" i="4"/>
  <c r="T171" i="4"/>
  <c r="AU105" i="4"/>
  <c r="AC78" i="4"/>
  <c r="H382" i="4"/>
  <c r="AC487" i="4"/>
  <c r="AL556" i="4"/>
  <c r="AL295" i="4"/>
  <c r="AL429" i="4"/>
  <c r="AC77" i="4"/>
  <c r="K146" i="4"/>
  <c r="K44" i="4"/>
  <c r="AU358" i="4"/>
  <c r="AU341" i="4"/>
  <c r="AU85" i="4"/>
  <c r="F345" i="4"/>
  <c r="AL13" i="4"/>
  <c r="AU334" i="4"/>
  <c r="T109" i="4"/>
  <c r="T198" i="4"/>
  <c r="AU279" i="4"/>
  <c r="AC266" i="4"/>
  <c r="K156" i="4"/>
  <c r="AL330" i="4"/>
  <c r="AU288" i="4"/>
  <c r="K162" i="4"/>
  <c r="AL372" i="4"/>
  <c r="T204" i="4"/>
  <c r="AL116" i="4"/>
  <c r="AL534" i="4"/>
  <c r="K94" i="4"/>
  <c r="AL375" i="4"/>
  <c r="AC268" i="4"/>
  <c r="AL215" i="4"/>
  <c r="K279" i="4"/>
  <c r="AC132" i="4"/>
  <c r="AL95" i="4"/>
  <c r="AU277" i="4"/>
  <c r="AL147" i="4"/>
  <c r="F576" i="4"/>
  <c r="AC490" i="4"/>
  <c r="H229" i="4"/>
  <c r="F335" i="4"/>
  <c r="AC131" i="4"/>
  <c r="H334" i="4"/>
  <c r="AC117" i="4"/>
  <c r="H579" i="4"/>
  <c r="F174" i="4"/>
  <c r="AU527" i="4"/>
  <c r="AL189" i="4"/>
  <c r="H22" i="4"/>
  <c r="AC331" i="4"/>
  <c r="F376" i="4"/>
  <c r="AL542" i="4"/>
  <c r="T97" i="4"/>
  <c r="AL30" i="4"/>
  <c r="T61" i="4"/>
  <c r="AC566" i="4"/>
  <c r="H402" i="4"/>
  <c r="K330" i="4"/>
  <c r="F262" i="4"/>
  <c r="AL506" i="4"/>
  <c r="K219" i="4"/>
  <c r="T572" i="4"/>
  <c r="AC382" i="4"/>
  <c r="AC467" i="4"/>
  <c r="AL344" i="4"/>
  <c r="AL546" i="4"/>
  <c r="H124" i="4"/>
  <c r="AU541" i="4"/>
  <c r="F256" i="4"/>
  <c r="AU252" i="4"/>
  <c r="AC33" i="4"/>
  <c r="T390" i="4"/>
  <c r="AL459" i="4"/>
  <c r="T289" i="4"/>
  <c r="T113" i="4"/>
  <c r="AL257" i="4"/>
  <c r="AC593" i="4"/>
  <c r="AL352" i="4"/>
  <c r="H337" i="4"/>
  <c r="AU366" i="4"/>
  <c r="F119" i="4"/>
  <c r="K40" i="4"/>
  <c r="AC328" i="4"/>
  <c r="F464" i="4"/>
  <c r="H218" i="4"/>
  <c r="H314" i="4"/>
  <c r="T38" i="4"/>
  <c r="T121" i="4"/>
  <c r="H164" i="4"/>
  <c r="K385" i="4"/>
  <c r="AL554" i="4"/>
  <c r="H504" i="4"/>
  <c r="F417" i="4"/>
  <c r="T58" i="4"/>
  <c r="AU184" i="4"/>
  <c r="AC134" i="4"/>
  <c r="AU138" i="4"/>
  <c r="F458" i="4"/>
  <c r="AC597" i="4"/>
  <c r="AC311" i="4"/>
  <c r="AL591" i="4"/>
  <c r="H596" i="4"/>
  <c r="F529" i="4"/>
  <c r="T312" i="4"/>
  <c r="AC307" i="4"/>
  <c r="T99" i="4"/>
  <c r="AU327" i="4"/>
  <c r="K354" i="4"/>
  <c r="K510" i="4"/>
  <c r="AC321" i="4"/>
  <c r="K537" i="4"/>
  <c r="AC79" i="4"/>
  <c r="H377" i="4"/>
  <c r="T244" i="4"/>
  <c r="H87" i="4"/>
  <c r="F21" i="4"/>
  <c r="F415" i="4"/>
  <c r="H195" i="4"/>
  <c r="H288" i="4"/>
  <c r="K236" i="4"/>
  <c r="T560" i="4"/>
  <c r="F153" i="4"/>
  <c r="K232" i="4"/>
  <c r="F177" i="4"/>
  <c r="T593" i="4"/>
  <c r="F505" i="4"/>
  <c r="AL308" i="4"/>
  <c r="AU513" i="4"/>
  <c r="H362" i="4"/>
  <c r="K360" i="4"/>
  <c r="H572" i="4"/>
  <c r="AU531" i="4"/>
  <c r="K450" i="4"/>
  <c r="AU507" i="4"/>
  <c r="AU311" i="4"/>
  <c r="K273" i="4"/>
  <c r="F255" i="4"/>
  <c r="T107" i="4"/>
  <c r="F87" i="4"/>
  <c r="T168" i="4"/>
  <c r="AU63" i="4"/>
  <c r="T255" i="4"/>
  <c r="F472" i="4"/>
  <c r="T484" i="4"/>
  <c r="AU150" i="4"/>
  <c r="AU175" i="4"/>
  <c r="F56" i="4"/>
  <c r="F69" i="4"/>
  <c r="K335" i="4"/>
  <c r="AU185" i="4"/>
  <c r="F554" i="4"/>
  <c r="AC547" i="4"/>
  <c r="F300" i="4"/>
  <c r="AC409" i="4"/>
  <c r="H202" i="4"/>
  <c r="H259" i="4"/>
  <c r="AL220" i="4"/>
  <c r="K131" i="4"/>
  <c r="AL593" i="4"/>
  <c r="T344" i="4"/>
  <c r="T250" i="4"/>
  <c r="T110" i="4"/>
  <c r="AC322" i="4"/>
  <c r="F249" i="4"/>
  <c r="T367" i="4"/>
  <c r="AL90" i="4"/>
  <c r="T155" i="4"/>
  <c r="AU409" i="4"/>
  <c r="T387" i="4"/>
  <c r="T328" i="4"/>
  <c r="F380" i="4"/>
  <c r="H565" i="4"/>
  <c r="AU594" i="4"/>
  <c r="H447" i="4"/>
  <c r="K82" i="4"/>
  <c r="AU573" i="4"/>
  <c r="T305" i="4"/>
  <c r="AC538" i="4"/>
  <c r="AC350" i="4"/>
  <c r="AC90" i="4"/>
  <c r="K499" i="4"/>
  <c r="F42" i="4"/>
  <c r="F442" i="4"/>
  <c r="F545" i="4"/>
  <c r="H181" i="4"/>
  <c r="F462" i="4"/>
  <c r="K362" i="4"/>
  <c r="T562" i="4"/>
  <c r="H205" i="4"/>
  <c r="AC126" i="4"/>
  <c r="AU336" i="4"/>
  <c r="H49" i="4"/>
  <c r="AC184" i="4"/>
  <c r="AU316" i="4"/>
  <c r="AU18" i="4"/>
  <c r="H550" i="4"/>
  <c r="T501" i="4"/>
  <c r="K517" i="4"/>
  <c r="AC179" i="4"/>
  <c r="F521" i="4"/>
  <c r="K496" i="4"/>
  <c r="AL398" i="4"/>
  <c r="AC389" i="4"/>
  <c r="K467" i="4"/>
  <c r="H420" i="4"/>
  <c r="H114" i="4"/>
  <c r="K547" i="4"/>
  <c r="AC516" i="4"/>
  <c r="K233" i="4"/>
  <c r="AL376" i="4"/>
  <c r="AC352" i="4"/>
  <c r="H224" i="4"/>
  <c r="K487" i="4"/>
  <c r="K166" i="4"/>
  <c r="AC411" i="4"/>
  <c r="AC397" i="4"/>
  <c r="K315" i="4"/>
  <c r="F432" i="4"/>
  <c r="F388" i="4"/>
  <c r="AC220" i="4"/>
  <c r="AU253" i="4"/>
  <c r="AL242" i="4"/>
  <c r="AL78" i="4"/>
  <c r="AL529" i="4"/>
  <c r="K464" i="4"/>
  <c r="K167" i="4"/>
  <c r="H389" i="4"/>
  <c r="F152" i="4"/>
  <c r="K55" i="4"/>
  <c r="K122" i="4"/>
  <c r="AU107" i="4"/>
  <c r="AL406" i="4"/>
  <c r="T195" i="4"/>
  <c r="T229" i="4"/>
  <c r="H128" i="4"/>
  <c r="AU472" i="4"/>
  <c r="AU397" i="4"/>
  <c r="T497" i="4"/>
  <c r="K504" i="4"/>
  <c r="AU307" i="4"/>
  <c r="F406" i="4"/>
  <c r="AL33" i="4"/>
  <c r="F571" i="4"/>
  <c r="K298" i="4"/>
  <c r="K337" i="4"/>
  <c r="AC371" i="4"/>
  <c r="F171" i="4"/>
  <c r="H121" i="4"/>
  <c r="F543" i="4"/>
  <c r="AU584" i="4"/>
  <c r="K62" i="4"/>
  <c r="T494" i="4"/>
  <c r="K522" i="4"/>
  <c r="AU272" i="4"/>
  <c r="H463" i="4"/>
  <c r="F156" i="4"/>
  <c r="F139" i="4"/>
  <c r="AC7" i="4"/>
  <c r="H144" i="4"/>
  <c r="AL199" i="4"/>
  <c r="T93" i="4"/>
  <c r="H237" i="4"/>
  <c r="AU322" i="4"/>
  <c r="AC589" i="4"/>
  <c r="AC257" i="4"/>
  <c r="AU165" i="4"/>
  <c r="F346" i="4"/>
  <c r="AC251" i="4"/>
  <c r="F303" i="4"/>
  <c r="H113" i="4"/>
  <c r="T318" i="4"/>
  <c r="T520" i="4"/>
  <c r="H232" i="4"/>
  <c r="K204" i="4"/>
  <c r="AL206" i="4"/>
  <c r="H529" i="4"/>
  <c r="F568" i="4"/>
  <c r="K331" i="4"/>
  <c r="AL313" i="4"/>
  <c r="T447" i="4"/>
  <c r="AL389" i="4"/>
  <c r="AU436" i="4"/>
  <c r="F322" i="4"/>
  <c r="AC313" i="4"/>
  <c r="AL420" i="4"/>
  <c r="F596" i="4"/>
  <c r="AL410" i="4"/>
  <c r="AC127" i="4"/>
  <c r="AC239" i="4"/>
  <c r="AL194" i="4"/>
  <c r="K207" i="4"/>
  <c r="AC450" i="4"/>
  <c r="AC198" i="4"/>
  <c r="T288" i="4"/>
  <c r="T579" i="4"/>
  <c r="AL383" i="4"/>
  <c r="F391" i="4"/>
  <c r="AL153" i="4"/>
  <c r="T281" i="4"/>
  <c r="K427" i="4"/>
  <c r="AU485" i="4"/>
  <c r="F447" i="4"/>
  <c r="H392" i="4"/>
  <c r="H253" i="4"/>
  <c r="K484" i="4"/>
  <c r="H354" i="4"/>
  <c r="F205" i="4"/>
  <c r="T139" i="4"/>
  <c r="K508" i="4"/>
  <c r="AC103" i="4"/>
  <c r="K149" i="4"/>
  <c r="AL432" i="4"/>
  <c r="K50" i="4"/>
  <c r="H333" i="4"/>
  <c r="AC408" i="4"/>
  <c r="T537" i="4"/>
  <c r="K47" i="4"/>
  <c r="K218" i="4"/>
  <c r="T512" i="4"/>
  <c r="AU197" i="4"/>
  <c r="AC325" i="4"/>
  <c r="K69" i="4"/>
  <c r="AC299" i="4"/>
  <c r="K493" i="4"/>
  <c r="AU412" i="4"/>
  <c r="AC584" i="4"/>
  <c r="AL535" i="4"/>
  <c r="AL583" i="4"/>
  <c r="H209" i="4"/>
  <c r="H106" i="4"/>
  <c r="K386" i="4"/>
  <c r="AC430" i="4"/>
  <c r="AL277" i="4"/>
  <c r="AL585" i="4"/>
  <c r="F135" i="4"/>
  <c r="F148" i="4"/>
  <c r="T482" i="4"/>
  <c r="AL121" i="4"/>
  <c r="AC554" i="4"/>
  <c r="T509" i="4"/>
  <c r="K399" i="4"/>
  <c r="AL135" i="4"/>
  <c r="AU323" i="4"/>
  <c r="T480" i="4"/>
  <c r="AL339" i="4"/>
  <c r="AC168" i="4"/>
  <c r="AC590" i="4"/>
  <c r="T182" i="4"/>
  <c r="AU217" i="4"/>
  <c r="F269" i="4"/>
  <c r="AL470" i="4"/>
  <c r="AC330" i="4"/>
  <c r="T477" i="4"/>
  <c r="K230" i="4"/>
  <c r="AL284" i="4"/>
  <c r="H127" i="4"/>
  <c r="AC133" i="4"/>
  <c r="K151" i="4"/>
  <c r="F271" i="4"/>
  <c r="K240" i="4"/>
  <c r="K91" i="4"/>
  <c r="AC503" i="4"/>
  <c r="AL321" i="4"/>
  <c r="H95" i="4"/>
  <c r="AU222" i="4"/>
  <c r="AU60" i="4"/>
  <c r="AC249" i="4"/>
  <c r="H178" i="4"/>
  <c r="AU473" i="4"/>
  <c r="AU493" i="4"/>
  <c r="AC360" i="4"/>
  <c r="F291" i="4"/>
  <c r="H276" i="4"/>
  <c r="T388" i="4"/>
  <c r="F362" i="4"/>
  <c r="H15" i="4"/>
  <c r="H73" i="4"/>
  <c r="H400" i="4"/>
  <c r="AC160" i="4"/>
  <c r="K182" i="4"/>
  <c r="AC380" i="4"/>
  <c r="F585" i="4"/>
  <c r="AU227" i="4"/>
  <c r="K30" i="4"/>
  <c r="AC351" i="4"/>
  <c r="AC105" i="4"/>
  <c r="AC186" i="4"/>
  <c r="T347" i="4"/>
  <c r="T106" i="4"/>
  <c r="H421" i="4"/>
  <c r="T51" i="4"/>
  <c r="AC581" i="4"/>
  <c r="T420" i="4"/>
  <c r="H350" i="4"/>
  <c r="AL236" i="4"/>
  <c r="AU233" i="4"/>
  <c r="AU319" i="4"/>
  <c r="AU539" i="4"/>
  <c r="K290" i="4"/>
  <c r="F427" i="4"/>
  <c r="K79" i="4"/>
  <c r="F518" i="4"/>
  <c r="AU305" i="4"/>
  <c r="AL187" i="4"/>
  <c r="F512" i="4"/>
  <c r="F293" i="4"/>
  <c r="K434" i="4"/>
  <c r="F149" i="4"/>
  <c r="K173" i="4"/>
  <c r="AU45" i="4"/>
  <c r="F68" i="4"/>
  <c r="F278" i="4"/>
  <c r="AL361" i="4"/>
  <c r="H532" i="4"/>
  <c r="T209" i="4"/>
  <c r="K454" i="4"/>
  <c r="AL309" i="4"/>
  <c r="AL324" i="4"/>
  <c r="H395" i="4"/>
  <c r="T384" i="4"/>
  <c r="AU593" i="4"/>
  <c r="H187" i="4"/>
  <c r="T587" i="4"/>
  <c r="AC26" i="4"/>
  <c r="H568" i="4"/>
  <c r="K276" i="4"/>
  <c r="AC63" i="4"/>
  <c r="T284" i="4"/>
  <c r="AC475" i="4"/>
  <c r="T231" i="4"/>
  <c r="T14" i="4"/>
  <c r="AC506" i="4"/>
  <c r="H123" i="4"/>
  <c r="K374" i="4"/>
  <c r="T23" i="4"/>
  <c r="AL547" i="4"/>
  <c r="F492" i="4"/>
  <c r="AU135" i="4"/>
  <c r="AC388" i="4"/>
  <c r="F282" i="4"/>
  <c r="AC493" i="4"/>
  <c r="AU106" i="4"/>
  <c r="AL511" i="4"/>
  <c r="AU172" i="4"/>
  <c r="H238" i="4"/>
  <c r="H60" i="4"/>
  <c r="F490" i="4"/>
  <c r="F226" i="4"/>
  <c r="AU191" i="4"/>
  <c r="H594" i="4"/>
  <c r="AU224" i="4"/>
  <c r="H130" i="4"/>
  <c r="H567" i="4"/>
  <c r="AL44" i="4"/>
  <c r="K226" i="4"/>
  <c r="AU449" i="4"/>
  <c r="H343" i="4"/>
  <c r="AC413" i="4"/>
  <c r="AL596" i="4"/>
  <c r="AU219" i="4"/>
  <c r="F188" i="4"/>
  <c r="F244" i="4"/>
  <c r="K324" i="4"/>
  <c r="T54" i="4"/>
  <c r="T471" i="4"/>
  <c r="K213" i="4"/>
  <c r="F211" i="4"/>
  <c r="K603" i="4"/>
  <c r="H80" i="4"/>
  <c r="AU506" i="4"/>
  <c r="AL62" i="4"/>
  <c r="K286" i="4"/>
  <c r="AU190" i="4"/>
  <c r="H287" i="4"/>
  <c r="AL164" i="4"/>
  <c r="AC358" i="4"/>
  <c r="AL256" i="4"/>
  <c r="AU420" i="4"/>
  <c r="K68" i="4"/>
  <c r="T354" i="4"/>
  <c r="AL359" i="4"/>
  <c r="F9" i="4"/>
  <c r="AL419" i="4"/>
  <c r="AL224" i="4"/>
  <c r="AC99" i="4"/>
  <c r="F337" i="4"/>
  <c r="T529" i="4"/>
  <c r="K184" i="4"/>
  <c r="AC424" i="4"/>
  <c r="AC576" i="4"/>
  <c r="AL190" i="4"/>
  <c r="AU91" i="4"/>
  <c r="T355" i="4"/>
  <c r="AU428" i="4"/>
  <c r="K533" i="4"/>
  <c r="F43" i="4"/>
  <c r="K228" i="4"/>
  <c r="T522" i="4"/>
  <c r="K435" i="4"/>
  <c r="F196" i="4"/>
  <c r="H26" i="4"/>
  <c r="T445" i="4"/>
  <c r="AC542" i="4"/>
  <c r="AC148" i="4"/>
  <c r="H142" i="4"/>
  <c r="F106" i="4"/>
  <c r="T491" i="4"/>
  <c r="AL455" i="4"/>
  <c r="F328" i="4"/>
  <c r="T595" i="4"/>
  <c r="AL63" i="4"/>
  <c r="AC245" i="4"/>
  <c r="H324" i="4"/>
  <c r="T35" i="4"/>
  <c r="AL48" i="4"/>
  <c r="F496" i="4"/>
  <c r="K566" i="4"/>
  <c r="F59" i="4"/>
  <c r="T528" i="4"/>
  <c r="AC560" i="4"/>
  <c r="AL155" i="4"/>
  <c r="AC255" i="4"/>
  <c r="AL348" i="4"/>
  <c r="H182" i="4"/>
  <c r="F413" i="4"/>
  <c r="AU293" i="4"/>
  <c r="K596" i="4"/>
  <c r="K442" i="4"/>
  <c r="K165" i="4"/>
  <c r="F233" i="4"/>
  <c r="F580" i="4"/>
  <c r="F459" i="4"/>
  <c r="K113" i="4"/>
  <c r="AL553" i="4"/>
  <c r="AC376" i="4"/>
  <c r="T84" i="4"/>
  <c r="AC381" i="4"/>
  <c r="AU562" i="4"/>
  <c r="H170" i="4"/>
  <c r="F558" i="4"/>
  <c r="T125" i="4"/>
  <c r="AU180" i="4"/>
  <c r="H419" i="4"/>
  <c r="H514" i="4"/>
  <c r="AU402" i="4"/>
  <c r="AL285" i="4"/>
  <c r="AC97" i="4"/>
  <c r="AU437" i="4"/>
  <c r="AC414" i="4"/>
  <c r="AC269" i="4"/>
  <c r="T65" i="4"/>
  <c r="H305" i="4"/>
  <c r="K322" i="4"/>
  <c r="AU529" i="4"/>
  <c r="K531" i="4"/>
  <c r="K215" i="4"/>
  <c r="K325" i="4"/>
  <c r="AU375" i="4"/>
  <c r="AL227" i="4"/>
  <c r="F93" i="4"/>
  <c r="F329" i="4"/>
  <c r="K352" i="4"/>
  <c r="AC511" i="4"/>
  <c r="K214" i="4"/>
  <c r="T272" i="4"/>
  <c r="AC284" i="4"/>
  <c r="AL88" i="4"/>
  <c r="T409" i="4"/>
  <c r="K406" i="4"/>
  <c r="AU502" i="4"/>
  <c r="AL422" i="4"/>
  <c r="T576" i="4"/>
  <c r="F331" i="4"/>
  <c r="AC206" i="4"/>
  <c r="AC531" i="4"/>
  <c r="F578" i="4"/>
  <c r="AU544" i="4"/>
  <c r="H591" i="4"/>
  <c r="K250" i="4"/>
  <c r="F396" i="4"/>
  <c r="H212" i="4"/>
  <c r="F176" i="4"/>
  <c r="K320" i="4"/>
  <c r="K110" i="4"/>
  <c r="H322" i="4"/>
  <c r="K222" i="4"/>
  <c r="AU476" i="4"/>
  <c r="AL555" i="4"/>
  <c r="AC236" i="4"/>
  <c r="H499" i="4"/>
  <c r="H467" i="4"/>
  <c r="AC510" i="4"/>
  <c r="AL328" i="4"/>
  <c r="K93" i="4"/>
  <c r="AU521" i="4"/>
  <c r="T221" i="4"/>
  <c r="AU564" i="4"/>
  <c r="F76" i="4"/>
  <c r="AL87" i="4"/>
  <c r="H248" i="4"/>
  <c r="AL276" i="4"/>
  <c r="H353" i="4"/>
  <c r="K344" i="4"/>
  <c r="AU96" i="4"/>
  <c r="F277" i="4"/>
  <c r="AL346" i="4"/>
  <c r="AC546" i="4"/>
  <c r="F86" i="4"/>
  <c r="AC529" i="4"/>
  <c r="T338" i="4"/>
  <c r="AC305" i="4"/>
  <c r="AL494" i="4"/>
  <c r="T543" i="4"/>
  <c r="T237" i="4"/>
  <c r="H368" i="4"/>
  <c r="T180" i="4"/>
  <c r="AL142" i="4"/>
  <c r="AU604" i="4"/>
  <c r="AC562" i="4"/>
  <c r="AL278" i="4"/>
  <c r="AU330" i="4"/>
  <c r="T263" i="4"/>
  <c r="F301" i="4"/>
  <c r="AU432" i="4"/>
  <c r="K145" i="4"/>
  <c r="AU297" i="4"/>
  <c r="K476" i="4"/>
  <c r="F306" i="4"/>
  <c r="H98" i="4"/>
  <c r="AU528" i="4"/>
  <c r="H61" i="4"/>
  <c r="T286" i="4"/>
  <c r="K379" i="4"/>
  <c r="H219" i="4"/>
  <c r="F221" i="4"/>
  <c r="T558" i="4"/>
  <c r="H200" i="4"/>
  <c r="F193" i="4"/>
  <c r="AU237" i="4"/>
  <c r="AL36" i="4"/>
  <c r="H241" i="4"/>
  <c r="F126" i="4"/>
  <c r="F326" i="4"/>
  <c r="F349" i="4"/>
  <c r="K124" i="4"/>
  <c r="AC377" i="4"/>
  <c r="AC60" i="4"/>
  <c r="F267" i="4"/>
  <c r="H157" i="4"/>
  <c r="H384" i="4"/>
  <c r="F483" i="4"/>
  <c r="T140" i="4"/>
  <c r="T588" i="4"/>
  <c r="F95" i="4"/>
  <c r="H460" i="4"/>
  <c r="AL469" i="4"/>
  <c r="F128" i="4"/>
  <c r="K140" i="4"/>
  <c r="T275" i="4"/>
  <c r="K296" i="4"/>
  <c r="T514" i="4"/>
  <c r="H150" i="4"/>
  <c r="T15" i="4"/>
  <c r="T556" i="4"/>
  <c r="AL449" i="4"/>
  <c r="T212" i="4"/>
  <c r="H162" i="4"/>
  <c r="K545" i="4"/>
  <c r="T526" i="4"/>
  <c r="H378" i="4"/>
  <c r="F225" i="4"/>
  <c r="F218" i="4"/>
  <c r="AU143" i="4"/>
  <c r="H455" i="4"/>
  <c r="AC151" i="4"/>
  <c r="F254" i="4"/>
  <c r="H169" i="4"/>
  <c r="F295" i="4"/>
  <c r="AC375" i="4"/>
  <c r="H317" i="4"/>
  <c r="AL75" i="4"/>
  <c r="AU304" i="4"/>
  <c r="H379" i="4"/>
  <c r="H86" i="4"/>
  <c r="H136" i="4"/>
  <c r="AL382" i="4"/>
  <c r="AL25" i="4"/>
  <c r="AU93" i="4"/>
  <c r="K568" i="4"/>
  <c r="F470" i="4"/>
  <c r="H252" i="4"/>
  <c r="K33" i="4"/>
  <c r="K139" i="4"/>
  <c r="AC190" i="4"/>
  <c r="AU505" i="4"/>
  <c r="AU285" i="4"/>
  <c r="K180" i="4"/>
  <c r="H184" i="4"/>
  <c r="AU82" i="4"/>
  <c r="AU442" i="4"/>
  <c r="T215" i="4"/>
  <c r="AU266" i="4"/>
  <c r="AU558" i="4"/>
  <c r="H231" i="4"/>
  <c r="AC555" i="4"/>
  <c r="AL566" i="4"/>
  <c r="H527" i="4"/>
  <c r="AL367" i="4"/>
  <c r="H158" i="4"/>
  <c r="T101" i="4"/>
  <c r="H40" i="4"/>
  <c r="T603" i="4"/>
  <c r="AC402" i="4"/>
  <c r="K56" i="4"/>
  <c r="H434" i="4"/>
  <c r="AU282" i="4"/>
  <c r="T394" i="4"/>
  <c r="K338" i="4"/>
  <c r="H422" i="4"/>
  <c r="K421" i="4"/>
  <c r="K595" i="4"/>
  <c r="T187" i="4"/>
  <c r="AC279" i="4"/>
  <c r="AC571" i="4"/>
  <c r="T350" i="4"/>
  <c r="AL327" i="4"/>
  <c r="AU164" i="4"/>
  <c r="F559" i="4"/>
  <c r="AC235" i="4"/>
  <c r="AU434" i="4"/>
  <c r="F195" i="4"/>
  <c r="H519" i="4"/>
  <c r="F457" i="4"/>
  <c r="AC272" i="4"/>
  <c r="F517" i="4"/>
  <c r="AC261" i="4"/>
  <c r="AL246" i="4"/>
  <c r="H59" i="4"/>
  <c r="AC464" i="4"/>
  <c r="K587" i="4"/>
  <c r="AC304" i="4"/>
  <c r="K535" i="4"/>
  <c r="AC289" i="4"/>
  <c r="T206" i="4"/>
  <c r="AL426" i="4"/>
  <c r="F58" i="4"/>
  <c r="AC429" i="4"/>
  <c r="AL71" i="4"/>
  <c r="AC84" i="4"/>
  <c r="F373" i="4"/>
  <c r="H366" i="4"/>
  <c r="AU27" i="4"/>
  <c r="T243" i="4"/>
  <c r="T127" i="4"/>
  <c r="AC386" i="4"/>
  <c r="F164" i="4"/>
  <c r="AL261" i="4"/>
  <c r="AC462" i="4"/>
  <c r="AL37" i="4"/>
  <c r="F340" i="4"/>
  <c r="H27" i="4"/>
  <c r="K329" i="4"/>
  <c r="AU118" i="4"/>
  <c r="K271" i="4"/>
  <c r="AL299" i="4"/>
  <c r="AU120" i="4"/>
  <c r="AU25" i="4"/>
  <c r="K461" i="4"/>
  <c r="AU38" i="4"/>
  <c r="T308" i="4"/>
  <c r="F401" i="4"/>
  <c r="H265" i="4"/>
  <c r="AU216" i="4"/>
  <c r="T53" i="4"/>
  <c r="AU447" i="4"/>
  <c r="AL574" i="4"/>
  <c r="T137" i="4"/>
  <c r="T41" i="4"/>
  <c r="AU391" i="4"/>
  <c r="K9" i="4"/>
  <c r="H484" i="4"/>
  <c r="F468" i="4"/>
  <c r="F161" i="4"/>
  <c r="T56" i="4"/>
  <c r="T566" i="4"/>
  <c r="AL369" i="4"/>
  <c r="F49" i="4"/>
  <c r="H490" i="4"/>
  <c r="T313" i="4"/>
  <c r="AL391" i="4"/>
  <c r="H12" i="4"/>
  <c r="T232" i="4"/>
  <c r="T411" i="4"/>
  <c r="H534" i="4"/>
  <c r="H286" i="4"/>
  <c r="F65" i="4"/>
  <c r="K127" i="4"/>
  <c r="H451" i="4"/>
  <c r="AU337" i="4"/>
  <c r="H9" i="4"/>
  <c r="AU23" i="4"/>
  <c r="T131" i="4"/>
  <c r="F199" i="4"/>
  <c r="T259" i="4"/>
  <c r="F314" i="4"/>
  <c r="K134" i="4"/>
  <c r="H254" i="4"/>
  <c r="F365" i="4"/>
  <c r="K266" i="4"/>
  <c r="AL105" i="4"/>
  <c r="K541" i="4"/>
  <c r="T92" i="4"/>
  <c r="T301" i="4"/>
  <c r="AC274" i="4"/>
  <c r="AL176" i="4"/>
  <c r="K470" i="4"/>
  <c r="T486" i="4"/>
  <c r="H175" i="4"/>
  <c r="H105" i="4"/>
  <c r="AC12" i="4"/>
  <c r="K594" i="4"/>
  <c r="AU74" i="4"/>
  <c r="AC65" i="4"/>
  <c r="F317" i="4"/>
  <c r="T268" i="4"/>
  <c r="AL123" i="4"/>
  <c r="AL230" i="4"/>
  <c r="F134" i="4"/>
  <c r="K333" i="4"/>
  <c r="K278" i="4"/>
  <c r="K524" i="4"/>
  <c r="K65" i="4"/>
  <c r="AC270" i="4"/>
  <c r="AC602" i="4"/>
  <c r="F370" i="4"/>
  <c r="AC67" i="4"/>
  <c r="F179" i="4"/>
  <c r="AU416" i="4"/>
  <c r="AC540" i="4"/>
  <c r="T315" i="4"/>
  <c r="T353" i="4"/>
  <c r="AU262" i="4"/>
  <c r="AC598" i="4"/>
  <c r="AC458" i="4"/>
  <c r="H180" i="4"/>
  <c r="K272" i="4"/>
  <c r="F297" i="4"/>
  <c r="T467" i="4"/>
  <c r="AC34" i="4"/>
  <c r="F253" i="4"/>
  <c r="H267" i="4"/>
  <c r="AL126" i="4"/>
  <c r="T401" i="4"/>
  <c r="AU114" i="4"/>
  <c r="F315" i="4"/>
  <c r="H342" i="4"/>
  <c r="T325" i="4"/>
  <c r="K191" i="4"/>
  <c r="AU263" i="4"/>
  <c r="F281" i="4"/>
  <c r="H25" i="4"/>
  <c r="K208" i="4"/>
  <c r="F389" i="4"/>
  <c r="H309" i="4"/>
  <c r="AU236" i="4"/>
  <c r="F494" i="4"/>
  <c r="K289" i="4"/>
  <c r="AU145" i="4"/>
  <c r="T430" i="4"/>
  <c r="T120" i="4"/>
  <c r="T397" i="4"/>
  <c r="F480" i="4"/>
  <c r="T373" i="4"/>
  <c r="AL428" i="4"/>
  <c r="H281" i="4"/>
  <c r="H452" i="4"/>
  <c r="K445" i="4"/>
  <c r="F356" i="4"/>
  <c r="AC202" i="4"/>
  <c r="H320" i="4"/>
  <c r="H103" i="4"/>
  <c r="AU438" i="4"/>
  <c r="H559" i="4"/>
  <c r="K300" i="4"/>
  <c r="H545" i="4"/>
  <c r="K20" i="4"/>
  <c r="H99" i="4"/>
  <c r="K558" i="4"/>
  <c r="AC221" i="4"/>
  <c r="F118" i="4"/>
  <c r="K465" i="4"/>
  <c r="K356" i="4"/>
  <c r="AU345" i="4"/>
  <c r="T163" i="4"/>
  <c r="H188" i="4"/>
  <c r="K46" i="4"/>
  <c r="AL416" i="4"/>
  <c r="T559" i="4"/>
  <c r="F175" i="4"/>
  <c r="F142" i="4"/>
  <c r="K551" i="4"/>
  <c r="AL318" i="4"/>
  <c r="T453" i="4"/>
  <c r="AL51" i="4"/>
  <c r="AC509" i="4"/>
  <c r="AC532" i="4"/>
  <c r="T170" i="4"/>
  <c r="AC189" i="4"/>
  <c r="T256" i="4"/>
  <c r="AC234" i="4"/>
  <c r="F26" i="4"/>
  <c r="T76" i="4"/>
  <c r="H370" i="4"/>
  <c r="AU98" i="4"/>
  <c r="K188" i="4"/>
  <c r="K368" i="4"/>
  <c r="H478" i="4"/>
  <c r="T365" i="4"/>
  <c r="F232" i="4"/>
  <c r="T341" i="4"/>
  <c r="H148" i="4"/>
  <c r="AU526" i="4"/>
  <c r="K133" i="4"/>
  <c r="K311" i="4"/>
  <c r="H598" i="4"/>
  <c r="AL161" i="4"/>
  <c r="AL435" i="4"/>
  <c r="H383" i="4"/>
  <c r="AL353" i="4"/>
  <c r="F237" i="4"/>
  <c r="AU250" i="4"/>
  <c r="H81" i="4"/>
  <c r="AC483" i="4"/>
  <c r="T115" i="4"/>
  <c r="F10" i="4"/>
  <c r="K244" i="4"/>
  <c r="T311" i="4"/>
  <c r="F377" i="4"/>
  <c r="H210" i="4"/>
  <c r="AC139" i="4"/>
  <c r="AU509" i="4"/>
  <c r="F538" i="4"/>
  <c r="K61" i="4"/>
  <c r="F513" i="4"/>
  <c r="H468" i="4"/>
  <c r="T304" i="4"/>
  <c r="F150" i="4"/>
  <c r="AC497" i="4"/>
  <c r="AL549" i="4"/>
  <c r="T581" i="4"/>
  <c r="AU88" i="4"/>
  <c r="AU205" i="4"/>
  <c r="H526" i="4"/>
  <c r="AU243" i="4"/>
  <c r="F398" i="4"/>
  <c r="AL504" i="4"/>
  <c r="AC28" i="4"/>
  <c r="K237" i="4"/>
  <c r="T201" i="4"/>
  <c r="T534" i="4"/>
  <c r="H194" i="4"/>
  <c r="H135" i="4"/>
  <c r="T407" i="4"/>
  <c r="T582" i="4"/>
  <c r="T569" i="4"/>
  <c r="K87" i="4"/>
  <c r="T314" i="4"/>
  <c r="F198" i="4"/>
  <c r="AC72" i="4"/>
  <c r="AL466" i="4"/>
  <c r="AL316" i="4"/>
  <c r="AU83" i="4"/>
  <c r="AC594" i="4"/>
  <c r="T546" i="4"/>
  <c r="AU100" i="4"/>
  <c r="K310" i="4"/>
  <c r="T276" i="4"/>
  <c r="K494" i="4"/>
  <c r="AU41" i="4"/>
  <c r="AL311" i="4"/>
  <c r="H602" i="4"/>
  <c r="T600" i="4"/>
  <c r="AC508" i="4"/>
  <c r="AU446" i="4"/>
  <c r="AC108" i="4"/>
  <c r="T108" i="4"/>
  <c r="K599" i="4"/>
  <c r="AC570" i="4"/>
  <c r="AC173" i="4"/>
  <c r="AC543" i="4"/>
  <c r="K475" i="4"/>
  <c r="H495" i="4"/>
  <c r="H228" i="4"/>
  <c r="K593" i="4"/>
  <c r="AL193" i="4"/>
  <c r="AC396" i="4"/>
  <c r="F443" i="4"/>
  <c r="AC345" i="4"/>
  <c r="AL139" i="4"/>
  <c r="H55" i="4"/>
  <c r="T472" i="4"/>
  <c r="T67" i="4"/>
  <c r="AL107" i="4"/>
  <c r="AU404" i="4"/>
  <c r="T510" i="4"/>
  <c r="AU520" i="4"/>
  <c r="F273" i="4"/>
  <c r="H256" i="4"/>
  <c r="F407" i="4"/>
  <c r="F437" i="4"/>
  <c r="H176" i="4"/>
  <c r="AL497" i="4"/>
  <c r="K64" i="4"/>
  <c r="AC604" i="4"/>
  <c r="T324" i="4"/>
  <c r="AU286" i="4"/>
  <c r="AL548" i="4"/>
  <c r="H523" i="4"/>
  <c r="AL203" i="4"/>
  <c r="K515" i="4"/>
  <c r="K255" i="4"/>
  <c r="H91" i="4"/>
  <c r="AC410" i="4"/>
  <c r="AU52" i="4"/>
  <c r="T21" i="4"/>
  <c r="H147" i="4"/>
  <c r="F319" i="4"/>
  <c r="T357" i="4"/>
  <c r="H126" i="4"/>
  <c r="H8" i="4"/>
  <c r="AL98" i="4"/>
  <c r="T226" i="4"/>
  <c r="AC209" i="4"/>
  <c r="T446" i="4"/>
  <c r="AU534" i="4"/>
  <c r="AL536" i="4"/>
  <c r="F167" i="4"/>
  <c r="AL143" i="4"/>
  <c r="K389" i="4"/>
  <c r="T515" i="4"/>
  <c r="K16" i="4"/>
  <c r="AU264" i="4"/>
  <c r="AL146" i="4"/>
  <c r="F324" i="4"/>
  <c r="AL94" i="4"/>
  <c r="H471" i="4"/>
  <c r="F185" i="4"/>
  <c r="T178" i="4"/>
  <c r="F333" i="4"/>
  <c r="F588" i="4"/>
  <c r="AC392" i="4"/>
  <c r="AC170" i="4"/>
  <c r="AU287" i="4"/>
  <c r="T103" i="4"/>
  <c r="AU78" i="4"/>
  <c r="AL96" i="4"/>
  <c r="AL183" i="4"/>
  <c r="T435" i="4"/>
  <c r="F584" i="4"/>
  <c r="AL586" i="4"/>
  <c r="H294" i="4"/>
  <c r="AC436" i="4"/>
  <c r="T73" i="4"/>
  <c r="F402" i="4"/>
  <c r="H520" i="4"/>
  <c r="AU408" i="4"/>
  <c r="AL340" i="4"/>
  <c r="T236" i="4"/>
  <c r="AC419" i="4"/>
  <c r="K437" i="4"/>
  <c r="K511" i="4"/>
  <c r="AC242" i="4"/>
  <c r="H283" i="4"/>
  <c r="AL483" i="4"/>
  <c r="AL184" i="4"/>
  <c r="K365" i="4"/>
  <c r="T439" i="4"/>
  <c r="AC312" i="4"/>
  <c r="H291" i="4"/>
  <c r="T404" i="4"/>
  <c r="T551" i="4"/>
  <c r="F451" i="4"/>
  <c r="T496" i="4"/>
  <c r="T130" i="4"/>
  <c r="H225" i="4"/>
  <c r="T88" i="4"/>
  <c r="AL119" i="4"/>
  <c r="AL323" i="4"/>
  <c r="AL501" i="4"/>
  <c r="AU261" i="4"/>
  <c r="AU480" i="4"/>
  <c r="F212" i="4"/>
  <c r="F197" i="4"/>
  <c r="AU374" i="4"/>
  <c r="F84" i="4"/>
  <c r="H51" i="4"/>
  <c r="K137" i="4"/>
  <c r="T30" i="4"/>
  <c r="AU400" i="4"/>
  <c r="K41" i="4"/>
  <c r="AL430" i="4"/>
  <c r="F223" i="4"/>
  <c r="F519" i="4"/>
  <c r="AC201" i="4"/>
  <c r="AL240" i="4"/>
  <c r="T20" i="4"/>
  <c r="AL312" i="4"/>
  <c r="AC42" i="4"/>
  <c r="T336" i="4"/>
  <c r="AC241" i="4"/>
  <c r="AC457" i="4"/>
  <c r="AC146" i="4"/>
  <c r="AL55" i="4"/>
  <c r="K410" i="4"/>
  <c r="AU535" i="4"/>
  <c r="F178" i="4"/>
  <c r="F574" i="4"/>
  <c r="AU321" i="4"/>
  <c r="AC518" i="4"/>
  <c r="K281" i="4"/>
  <c r="K459" i="4"/>
  <c r="F475" i="4"/>
  <c r="AC326" i="4"/>
  <c r="AL216" i="4"/>
  <c r="AL251" i="4"/>
  <c r="F359" i="4"/>
  <c r="AU62" i="4"/>
  <c r="K45" i="4"/>
  <c r="T169" i="4"/>
  <c r="AL201" i="4"/>
  <c r="T196" i="4"/>
  <c r="K480" i="4"/>
  <c r="T25" i="4"/>
  <c r="AU273" i="4"/>
  <c r="H328" i="4"/>
  <c r="AC211" i="4"/>
  <c r="T228" i="4"/>
  <c r="K75" i="4"/>
  <c r="K216" i="4"/>
  <c r="AU524" i="4"/>
  <c r="K235" i="4"/>
  <c r="T274" i="4"/>
  <c r="H507" i="4"/>
  <c r="T374" i="4"/>
  <c r="AC442" i="4"/>
  <c r="AL525" i="4"/>
  <c r="AU137" i="4"/>
  <c r="AC91" i="4"/>
  <c r="AC25" i="4"/>
  <c r="AL202" i="4"/>
  <c r="K412" i="4"/>
  <c r="H475" i="4"/>
  <c r="AC339" i="4"/>
  <c r="AU283" i="4"/>
  <c r="F108" i="4"/>
  <c r="AU349" i="4"/>
  <c r="F274" i="4"/>
  <c r="AU424" i="4"/>
  <c r="T142" i="4"/>
  <c r="T251" i="4"/>
  <c r="AU169" i="4"/>
  <c r="F207" i="4"/>
  <c r="T444" i="4"/>
  <c r="K351" i="4"/>
  <c r="AL433" i="4"/>
  <c r="AC394" i="4"/>
  <c r="AU178" i="4"/>
  <c r="F386" i="4"/>
  <c r="H573" i="4"/>
  <c r="F502" i="4"/>
  <c r="AL517" i="4"/>
  <c r="AC494" i="4"/>
  <c r="H285" i="4"/>
  <c r="T475" i="4"/>
  <c r="F477" i="4"/>
  <c r="AU405" i="4"/>
  <c r="K527" i="4"/>
  <c r="AU467" i="4"/>
  <c r="AL442" i="4"/>
  <c r="T167" i="4"/>
  <c r="K413" i="4"/>
  <c r="T148" i="4"/>
  <c r="H552" i="4"/>
  <c r="AU155" i="4"/>
  <c r="H397" i="4"/>
  <c r="K23" i="4"/>
  <c r="K285" i="4"/>
  <c r="F569" i="4"/>
  <c r="H373" i="4"/>
  <c r="AC415" i="4"/>
  <c r="AC123" i="4"/>
  <c r="K103" i="4"/>
  <c r="AU579" i="4"/>
  <c r="H117" i="4"/>
  <c r="F504" i="4"/>
  <c r="AC461" i="4"/>
  <c r="AU209" i="4"/>
  <c r="AL208" i="4"/>
  <c r="H71" i="4"/>
  <c r="AL255" i="4"/>
  <c r="H278" i="4"/>
  <c r="AL329" i="4"/>
  <c r="AC182" i="4"/>
  <c r="H119" i="4"/>
  <c r="H310" i="4"/>
  <c r="F182" i="4"/>
  <c r="AL53" i="4"/>
  <c r="F332" i="4"/>
  <c r="AL399" i="4"/>
  <c r="K419" i="4"/>
  <c r="T55" i="4"/>
  <c r="AC30" i="4"/>
  <c r="K584" i="4"/>
  <c r="H45" i="4"/>
  <c r="H488" i="4"/>
  <c r="AC106" i="4"/>
  <c r="AL106" i="4"/>
  <c r="F449" i="4"/>
  <c r="AL412" i="4"/>
  <c r="T343" i="4"/>
  <c r="K485" i="4"/>
  <c r="AU50" i="4"/>
  <c r="AU481" i="4"/>
  <c r="F487" i="4"/>
  <c r="F535" i="4"/>
  <c r="AU478" i="4"/>
  <c r="K60" i="4"/>
  <c r="F122" i="4"/>
  <c r="AU47" i="4"/>
  <c r="AU275" i="4"/>
  <c r="AC512" i="4"/>
  <c r="AC172" i="4"/>
  <c r="AU181" i="4"/>
  <c r="T385" i="4"/>
  <c r="AU379" i="4"/>
  <c r="T345" i="4"/>
  <c r="K57" i="4"/>
  <c r="AU426" i="4"/>
  <c r="K179" i="4"/>
  <c r="AL180" i="4"/>
  <c r="AU538" i="4"/>
  <c r="K392" i="4"/>
  <c r="H542" i="4"/>
  <c r="H96" i="4"/>
  <c r="AC16" i="4"/>
  <c r="K106" i="4"/>
  <c r="H494" i="4"/>
  <c r="K500" i="4"/>
  <c r="AC373" i="4"/>
  <c r="T46" i="4"/>
  <c r="K367" i="4"/>
  <c r="AU9" i="4"/>
  <c r="AC585" i="4"/>
  <c r="AC348" i="4"/>
  <c r="AU102" i="4"/>
  <c r="K221" i="4"/>
  <c r="AU187" i="4"/>
  <c r="AL182" i="4"/>
  <c r="AU271" i="4"/>
  <c r="T541" i="4"/>
  <c r="AL192" i="4"/>
  <c r="K478" i="4"/>
  <c r="AC505" i="4"/>
  <c r="H580" i="4"/>
  <c r="AL217" i="4"/>
  <c r="T358" i="4"/>
  <c r="K190" i="4"/>
  <c r="T372" i="4"/>
  <c r="AU389" i="4"/>
  <c r="T188" i="4"/>
  <c r="AU361" i="4"/>
  <c r="AL31" i="4"/>
  <c r="H191" i="4"/>
  <c r="K336" i="4"/>
  <c r="AL200" i="4"/>
  <c r="T500" i="4"/>
  <c r="AC44" i="4"/>
  <c r="H88" i="4"/>
  <c r="H497" i="4"/>
  <c r="AC474" i="4"/>
  <c r="K488" i="4"/>
  <c r="AU270" i="4"/>
  <c r="AL454" i="4"/>
  <c r="T210" i="4"/>
  <c r="AL486" i="4"/>
  <c r="AU561" i="4"/>
  <c r="H247" i="4"/>
  <c r="AC227" i="4"/>
  <c r="AU136" i="4"/>
  <c r="AL226" i="4"/>
  <c r="T72" i="4"/>
  <c r="AU498" i="4"/>
  <c r="T172" i="4"/>
  <c r="H424" i="4"/>
  <c r="F355" i="4"/>
  <c r="H274" i="4"/>
  <c r="AL543" i="4"/>
  <c r="AL450" i="4"/>
  <c r="F88" i="4"/>
  <c r="F201" i="4"/>
  <c r="H226" i="4"/>
  <c r="H453" i="4"/>
  <c r="AL279" i="4"/>
  <c r="H72" i="4"/>
  <c r="K398" i="4"/>
  <c r="T216" i="4"/>
  <c r="F20" i="4"/>
  <c r="AU147" i="4"/>
  <c r="H521" i="4"/>
  <c r="F348" i="4"/>
  <c r="AL35" i="4"/>
  <c r="K89" i="4"/>
  <c r="AC61" i="4"/>
  <c r="AU588" i="4"/>
  <c r="AL408" i="4"/>
  <c r="F522" i="4"/>
  <c r="AL320" i="4"/>
  <c r="K194" i="4"/>
  <c r="T146" i="4"/>
  <c r="F251" i="4"/>
  <c r="AL157" i="4"/>
  <c r="K192" i="4"/>
  <c r="AC298" i="4"/>
  <c r="H401" i="4"/>
  <c r="AC13" i="4"/>
  <c r="AL212" i="4"/>
  <c r="AL448" i="4"/>
  <c r="F44" i="4"/>
  <c r="K253" i="4"/>
  <c r="AC525" i="4"/>
  <c r="F390" i="4"/>
  <c r="K553" i="4"/>
  <c r="F92" i="4"/>
  <c r="K440" i="4"/>
  <c r="T299" i="4"/>
  <c r="H432" i="4"/>
  <c r="AL134" i="4"/>
  <c r="AL386" i="4"/>
  <c r="F17" i="4"/>
  <c r="AU383" i="4"/>
  <c r="AL294" i="4"/>
  <c r="AU34" i="4"/>
  <c r="T508" i="4"/>
  <c r="H547" i="4"/>
  <c r="K516" i="4"/>
  <c r="AU598" i="4"/>
  <c r="K185" i="4"/>
  <c r="AU246" i="4"/>
  <c r="T104" i="4"/>
  <c r="F25" i="4"/>
  <c r="H561" i="4"/>
  <c r="K160" i="4"/>
  <c r="AU240" i="4"/>
  <c r="AU201" i="4"/>
  <c r="T298" i="4"/>
  <c r="AU225" i="4"/>
  <c r="AL118" i="4"/>
  <c r="AU86" i="4"/>
  <c r="H445" i="4"/>
  <c r="AC119" i="4"/>
  <c r="AC45" i="4"/>
  <c r="T70" i="4"/>
  <c r="F334" i="4"/>
  <c r="AU203" i="4"/>
  <c r="AL572" i="4"/>
  <c r="K405" i="4"/>
  <c r="AL336" i="4"/>
  <c r="F72" i="4"/>
  <c r="AC482" i="4"/>
  <c r="K555" i="4"/>
  <c r="AL281" i="4"/>
  <c r="F367" i="4"/>
  <c r="AU380" i="4"/>
  <c r="AL223" i="4"/>
  <c r="AL371" i="4"/>
  <c r="AU242" i="4"/>
  <c r="AC101" i="4"/>
  <c r="AC526" i="4"/>
  <c r="T205" i="4"/>
  <c r="AU386" i="4"/>
  <c r="K457" i="4"/>
  <c r="AC480" i="4"/>
  <c r="AU497" i="4"/>
  <c r="AL584" i="4"/>
  <c r="T530" i="4"/>
  <c r="AU577" i="4"/>
  <c r="AU255" i="4"/>
  <c r="T405" i="4"/>
  <c r="K491" i="4"/>
  <c r="AC580" i="4"/>
  <c r="F217" i="4"/>
  <c r="AC577" i="4"/>
  <c r="F145" i="4"/>
  <c r="T192" i="4"/>
  <c r="AC83" i="4"/>
  <c r="T478" i="4"/>
  <c r="K550" i="4"/>
  <c r="AL296" i="4"/>
  <c r="T253" i="4"/>
  <c r="F368" i="4"/>
  <c r="AU559" i="4"/>
  <c r="AL347" i="4"/>
  <c r="AL563" i="4"/>
  <c r="T161" i="4"/>
  <c r="H21" i="4"/>
  <c r="K7" i="4"/>
  <c r="H186" i="4"/>
  <c r="F452" i="4"/>
  <c r="AL304" i="4"/>
  <c r="AC435" i="4"/>
  <c r="F533" i="4"/>
  <c r="T162" i="4"/>
  <c r="AC169" i="4"/>
  <c r="F111" i="4"/>
  <c r="T317" i="4"/>
  <c r="K472" i="4"/>
  <c r="AC489" i="4"/>
  <c r="H192" i="4"/>
  <c r="AL38" i="4"/>
  <c r="AU411" i="4"/>
  <c r="AL498" i="4"/>
  <c r="AC563" i="4"/>
  <c r="F313" i="4"/>
  <c r="AL400" i="4"/>
  <c r="AU566" i="4"/>
  <c r="K458" i="4"/>
  <c r="AL286" i="4"/>
  <c r="K101" i="4"/>
  <c r="AC320" i="4"/>
  <c r="K186" i="4"/>
  <c r="T266" i="4"/>
  <c r="K578" i="4"/>
  <c r="H76" i="4"/>
  <c r="F187" i="4"/>
  <c r="AU418" i="4"/>
  <c r="H297" i="4"/>
  <c r="AL544" i="4"/>
  <c r="T323" i="4"/>
  <c r="T452" i="4"/>
  <c r="AU443" i="4"/>
  <c r="AL357" i="4"/>
  <c r="H264" i="4"/>
  <c r="F147" i="4"/>
  <c r="AC596" i="4"/>
  <c r="AL72" i="4"/>
  <c r="AU587" i="4"/>
  <c r="K229" i="4"/>
  <c r="K431" i="4"/>
  <c r="H540" i="4"/>
  <c r="AL475" i="4"/>
  <c r="AC302" i="4"/>
  <c r="K597" i="4"/>
  <c r="H413" i="4"/>
  <c r="AL40" i="4"/>
  <c r="F347" i="4"/>
  <c r="AL301" i="4"/>
  <c r="AU555" i="4"/>
  <c r="AC231" i="4"/>
  <c r="AC273" i="4"/>
  <c r="F78" i="4"/>
  <c r="AU427" i="4"/>
  <c r="F299" i="4"/>
  <c r="T138" i="4"/>
  <c r="F257" i="4"/>
  <c r="K13" i="4"/>
  <c r="T360" i="4"/>
  <c r="AL130" i="4"/>
  <c r="AL589" i="4"/>
  <c r="F577" i="4"/>
  <c r="AC423" i="4"/>
  <c r="T393" i="4"/>
  <c r="AL57" i="4"/>
  <c r="AL456" i="4"/>
  <c r="AL597" i="4"/>
  <c r="F270" i="4"/>
  <c r="K117" i="4"/>
  <c r="H464" i="4"/>
  <c r="F434" i="4"/>
  <c r="T203" i="4"/>
  <c r="F107" i="4"/>
  <c r="AL259" i="4"/>
  <c r="K345" i="4"/>
  <c r="AC62" i="4"/>
  <c r="AU477" i="4"/>
  <c r="T421" i="4"/>
  <c r="H299" i="4"/>
  <c r="AL411" i="4"/>
  <c r="H399" i="4"/>
  <c r="AU354" i="4"/>
  <c r="AC308" i="4"/>
  <c r="AC281" i="4"/>
  <c r="AL532" i="4"/>
  <c r="AL196" i="4"/>
  <c r="F213" i="4"/>
  <c r="AC517" i="4"/>
  <c r="AC316" i="4"/>
  <c r="F258" i="4"/>
  <c r="AU269" i="4"/>
  <c r="F39" i="4"/>
  <c r="AU111" i="4"/>
  <c r="K530" i="4"/>
  <c r="K466" i="4"/>
  <c r="AU355" i="4"/>
  <c r="T597" i="4"/>
  <c r="H214" i="4"/>
  <c r="AL289" i="4"/>
  <c r="T563" i="4"/>
  <c r="AC548" i="4"/>
  <c r="F564" i="4"/>
  <c r="AC175" i="4"/>
  <c r="AL524" i="4"/>
  <c r="AU218" i="4"/>
  <c r="AL575" i="4"/>
  <c r="T465" i="4"/>
  <c r="H525" i="4"/>
  <c r="AL102" i="4"/>
  <c r="AL461" i="4"/>
  <c r="T333" i="4"/>
  <c r="H41" i="4"/>
  <c r="AU343" i="4"/>
  <c r="T400" i="4"/>
  <c r="T186" i="4"/>
  <c r="AC100" i="4"/>
  <c r="AU129" i="4"/>
  <c r="H185" i="4"/>
  <c r="AL149" i="4"/>
  <c r="AC247" i="4"/>
  <c r="AC496" i="4"/>
  <c r="AU407" i="4"/>
  <c r="AL287" i="4"/>
  <c r="AC466" i="4"/>
  <c r="K10" i="4"/>
  <c r="H481" i="4"/>
  <c r="AC58" i="4"/>
  <c r="K314" i="4"/>
  <c r="H553" i="4"/>
  <c r="AU315" i="4"/>
  <c r="F593" i="4"/>
  <c r="K37" i="4"/>
  <c r="AC463" i="4"/>
  <c r="K446" i="4"/>
  <c r="AU393" i="4"/>
  <c r="F387" i="4"/>
  <c r="AU313" i="4"/>
  <c r="AU382" i="4"/>
  <c r="AC277" i="4"/>
  <c r="AU134" i="4"/>
  <c r="F100" i="4"/>
  <c r="H163" i="4"/>
  <c r="AC537" i="4"/>
  <c r="H441" i="4"/>
  <c r="T27" i="4"/>
  <c r="F486" i="4"/>
  <c r="F454" i="4"/>
  <c r="K15" i="4"/>
  <c r="H515" i="4"/>
  <c r="H411" i="4"/>
  <c r="AL58" i="4"/>
  <c r="T326" i="4"/>
  <c r="K163" i="4"/>
  <c r="AC587" i="4"/>
  <c r="AU300" i="4"/>
  <c r="K600" i="4"/>
  <c r="AL381" i="4"/>
  <c r="AL49" i="4"/>
  <c r="K115" i="4"/>
  <c r="T586" i="4"/>
  <c r="AC240" i="4"/>
  <c r="H39" i="4"/>
  <c r="AL252" i="4"/>
  <c r="T117" i="4"/>
  <c r="AU295" i="4"/>
  <c r="AL531" i="4"/>
  <c r="F173" i="4"/>
  <c r="AU281" i="4"/>
  <c r="T432" i="4"/>
  <c r="F102" i="4"/>
  <c r="K27" i="4"/>
  <c r="AC291" i="4"/>
  <c r="AL523" i="4"/>
  <c r="H558" i="4"/>
  <c r="K583" i="4"/>
  <c r="K546" i="4"/>
  <c r="F405" i="4"/>
  <c r="AL315" i="4"/>
  <c r="AL570" i="4"/>
  <c r="F309" i="4"/>
  <c r="AL582" i="4"/>
  <c r="T224" i="4"/>
  <c r="K227" i="4"/>
  <c r="AU260" i="4"/>
  <c r="AL598" i="4"/>
  <c r="AC530" i="4"/>
  <c r="AU364" i="4"/>
  <c r="K319" i="4"/>
  <c r="AC9" i="4"/>
  <c r="AU456" i="4"/>
  <c r="H57" i="4"/>
  <c r="H74" i="4"/>
  <c r="AC465" i="4"/>
  <c r="H93" i="4"/>
  <c r="AL581" i="4"/>
  <c r="F114" i="4"/>
  <c r="AC586" i="4"/>
  <c r="K371" i="4"/>
  <c r="T335" i="4"/>
  <c r="F140" i="4"/>
  <c r="AU574" i="4"/>
  <c r="H284" i="4"/>
  <c r="H439" i="4"/>
  <c r="AU213" i="4"/>
  <c r="K246" i="4"/>
  <c r="T532" i="4"/>
  <c r="AC216" i="4"/>
  <c r="AL401" i="4"/>
  <c r="K417" i="4"/>
  <c r="AU59" i="4"/>
  <c r="F445" i="4"/>
  <c r="AC556" i="4"/>
  <c r="AL89" i="4"/>
  <c r="T550" i="4"/>
  <c r="AC193" i="4"/>
  <c r="T535" i="4"/>
  <c r="K353" i="4"/>
  <c r="AC481" i="4"/>
  <c r="F12" i="4"/>
  <c r="F222" i="4"/>
  <c r="AC333" i="4"/>
  <c r="AU176" i="4"/>
  <c r="T455" i="4"/>
  <c r="H406" i="4"/>
  <c r="AC484" i="4"/>
  <c r="AL152" i="4"/>
  <c r="K479" i="4"/>
  <c r="H312" i="4"/>
  <c r="F310" i="4"/>
  <c r="F115" i="4"/>
  <c r="AU280" i="4"/>
  <c r="AU7" i="4"/>
  <c r="K261" i="4"/>
  <c r="AL120" i="4"/>
  <c r="AC460" i="4"/>
  <c r="AL342" i="4"/>
  <c r="AL136" i="4"/>
  <c r="H364" i="4"/>
  <c r="H85" i="4"/>
  <c r="K170" i="4"/>
  <c r="AU11" i="4"/>
  <c r="F556" i="4"/>
  <c r="H390" i="4"/>
  <c r="F220" i="4"/>
  <c r="K67" i="4"/>
  <c r="T521" i="4"/>
  <c r="F8" i="4"/>
  <c r="F51" i="4"/>
  <c r="AC403" i="4"/>
  <c r="AL222" i="4"/>
  <c r="K197" i="4"/>
  <c r="F589" i="4"/>
  <c r="F136" i="4"/>
  <c r="AU179" i="4"/>
  <c r="H198" i="4"/>
  <c r="AU90" i="4"/>
  <c r="H458" i="4"/>
  <c r="T469" i="4"/>
  <c r="AU533" i="4"/>
  <c r="AC478" i="4"/>
  <c r="AL550" i="4"/>
  <c r="K287" i="4"/>
  <c r="H601" i="4"/>
  <c r="AL70" i="4"/>
  <c r="AL317" i="4"/>
  <c r="AC495" i="4"/>
  <c r="F597" i="4"/>
  <c r="AL104" i="4"/>
  <c r="AU46" i="4"/>
  <c r="AL248" i="4"/>
  <c r="H227" i="4"/>
  <c r="F540" i="4"/>
  <c r="F506" i="4"/>
  <c r="K468" i="4"/>
  <c r="AU474" i="4"/>
  <c r="T297" i="4"/>
  <c r="AC112" i="4"/>
  <c r="H110" i="4"/>
  <c r="T230" i="4"/>
  <c r="AC296" i="4"/>
  <c r="K92" i="4"/>
  <c r="AL219" i="4"/>
  <c r="AC200" i="4"/>
  <c r="AL128" i="4"/>
  <c r="AL331" i="4"/>
  <c r="T189" i="4"/>
  <c r="T116" i="4"/>
  <c r="K153" i="4"/>
  <c r="AU425" i="4"/>
  <c r="K582" i="4"/>
  <c r="AU20" i="4"/>
  <c r="T552" i="4"/>
  <c r="F75" i="4"/>
  <c r="H213" i="4"/>
  <c r="AC92" i="4"/>
  <c r="AL86" i="4"/>
  <c r="T147" i="4"/>
  <c r="T50" i="4"/>
  <c r="AU491" i="4"/>
  <c r="AL185" i="4"/>
  <c r="T267" i="4"/>
  <c r="AC226" i="4"/>
  <c r="T547" i="4"/>
  <c r="AL590" i="4"/>
  <c r="AC515" i="4"/>
  <c r="AC80" i="4"/>
  <c r="K549" i="4"/>
  <c r="AC363" i="4"/>
  <c r="H443" i="4"/>
  <c r="K424" i="4"/>
  <c r="K211" i="4"/>
  <c r="AU68" i="4"/>
  <c r="F47" i="4"/>
  <c r="AU501" i="4"/>
  <c r="F206" i="4"/>
  <c r="AC507" i="4"/>
  <c r="AU351" i="4"/>
  <c r="AU309" i="4"/>
  <c r="K161" i="4"/>
  <c r="K11" i="4"/>
  <c r="K463" i="4"/>
  <c r="T128" i="4"/>
  <c r="H251" i="4"/>
  <c r="AU168" i="4"/>
  <c r="F96" i="4"/>
  <c r="AU256" i="4"/>
  <c r="T176" i="4"/>
  <c r="AC366" i="4"/>
  <c r="AL396" i="4"/>
  <c r="K554" i="4"/>
  <c r="AC449" i="4"/>
  <c r="F592" i="4"/>
  <c r="AU308" i="4"/>
  <c r="K169" i="4"/>
  <c r="H271" i="4"/>
  <c r="H137" i="4"/>
  <c r="T548" i="4"/>
  <c r="H168" i="4"/>
  <c r="T283" i="4"/>
  <c r="H23" i="4"/>
  <c r="AC379" i="4"/>
  <c r="AC20" i="4"/>
  <c r="H107" i="4"/>
  <c r="F57" i="4"/>
  <c r="AL334" i="4"/>
  <c r="K443" i="4"/>
  <c r="T414" i="4"/>
  <c r="F204" i="4"/>
  <c r="H18" i="4"/>
  <c r="T227" i="4"/>
  <c r="H387" i="4"/>
  <c r="H141" i="4"/>
  <c r="AC297" i="4"/>
  <c r="F444" i="4"/>
  <c r="AC205" i="4"/>
  <c r="AL325" i="4"/>
  <c r="F97" i="4"/>
  <c r="AL253" i="4"/>
  <c r="T69" i="4"/>
  <c r="K420" i="4"/>
  <c r="AL83" i="4"/>
  <c r="K460" i="4"/>
  <c r="K384" i="4"/>
  <c r="F209" i="4"/>
  <c r="AU475" i="4"/>
  <c r="AC564" i="4"/>
  <c r="F14" i="4"/>
  <c r="T200" i="4"/>
  <c r="AU162" i="4"/>
  <c r="AU229" i="4"/>
  <c r="H177" i="4"/>
  <c r="AL468" i="4"/>
  <c r="AU220" i="4"/>
  <c r="AU186" i="4"/>
  <c r="AU536" i="4"/>
  <c r="T258" i="4"/>
  <c r="K567" i="4"/>
  <c r="K557" i="4"/>
  <c r="T96" i="4"/>
  <c r="AU55" i="4"/>
  <c r="F61" i="4"/>
  <c r="AL427" i="4"/>
  <c r="H571" i="4"/>
  <c r="F285" i="4"/>
  <c r="H302" i="4"/>
  <c r="K77" i="4"/>
  <c r="H513" i="4"/>
  <c r="H270" i="4"/>
  <c r="T219" i="4"/>
  <c r="K51" i="4"/>
  <c r="T57" i="4"/>
  <c r="T442" i="4"/>
  <c r="AU166" i="4"/>
  <c r="K109" i="4"/>
  <c r="AU202" i="4"/>
  <c r="AU268" i="4"/>
  <c r="H369" i="4"/>
  <c r="AC96" i="4"/>
  <c r="T479" i="4"/>
  <c r="F599" i="4"/>
  <c r="H593" i="4"/>
  <c r="K158" i="4"/>
  <c r="AL69" i="4"/>
  <c r="AL225" i="4"/>
  <c r="AC294" i="4"/>
  <c r="K602" i="4"/>
  <c r="K430" i="4"/>
  <c r="AC368" i="4"/>
  <c r="AL34" i="4"/>
  <c r="AU376" i="4"/>
  <c r="F523" i="4"/>
  <c r="AC407" i="4"/>
  <c r="AL112" i="4"/>
  <c r="AU406" i="4"/>
  <c r="AL73" i="4"/>
  <c r="H604" i="4"/>
  <c r="AL559" i="4"/>
  <c r="AU581" i="4"/>
  <c r="AL12" i="4"/>
  <c r="H476" i="4"/>
  <c r="AU61" i="4"/>
  <c r="AU415" i="4"/>
  <c r="H588" i="4"/>
  <c r="AL100" i="4"/>
  <c r="F239" i="4"/>
  <c r="AC471" i="4"/>
  <c r="AL443" i="4"/>
  <c r="AU210" i="4"/>
  <c r="AL76" i="4"/>
  <c r="AC519" i="4"/>
  <c r="T307" i="4"/>
  <c r="H356" i="4"/>
  <c r="AU570" i="4"/>
  <c r="AL438" i="4"/>
  <c r="H570" i="4"/>
  <c r="H301" i="4"/>
  <c r="F180" i="4"/>
  <c r="H78" i="4"/>
  <c r="T557" i="4"/>
  <c r="F393" i="4"/>
  <c r="AU344" i="4"/>
  <c r="K447" i="4"/>
  <c r="F526" i="4"/>
  <c r="AL145" i="4"/>
  <c r="T175" i="4"/>
  <c r="T7" i="4"/>
  <c r="T380" i="4"/>
  <c r="AC582" i="4"/>
  <c r="H506" i="4"/>
  <c r="H140" i="4"/>
  <c r="AC141" i="4"/>
  <c r="F289" i="4"/>
  <c r="T119" i="4"/>
  <c r="AL275" i="4"/>
  <c r="T75" i="4"/>
  <c r="AC95" i="4"/>
  <c r="T26" i="4"/>
  <c r="T418" i="4"/>
  <c r="H584" i="4"/>
  <c r="F184" i="4"/>
  <c r="AC362" i="4"/>
  <c r="K377" i="4"/>
  <c r="AU79" i="4"/>
  <c r="F327" i="4"/>
  <c r="AL213" i="4"/>
  <c r="T85" i="4"/>
  <c r="T352" i="4"/>
  <c r="AC157" i="4"/>
  <c r="K552" i="4"/>
  <c r="AC357" i="4"/>
  <c r="T31" i="4"/>
  <c r="K198" i="4"/>
  <c r="K328" i="4"/>
  <c r="H450" i="4"/>
  <c r="AU310" i="4"/>
  <c r="AC228" i="4"/>
  <c r="AC191" i="4"/>
  <c r="AU403" i="4"/>
  <c r="K119" i="4"/>
  <c r="K136" i="4"/>
  <c r="AC455" i="4"/>
  <c r="AL18" i="4"/>
  <c r="T153" i="4"/>
  <c r="AU298" i="4"/>
  <c r="K84" i="4"/>
  <c r="H133" i="4"/>
  <c r="T507" i="4"/>
  <c r="F546" i="4"/>
  <c r="T74" i="4"/>
  <c r="AC163" i="4"/>
  <c r="AC243" i="4"/>
  <c r="F466" i="4"/>
  <c r="H13" i="4"/>
  <c r="AL394" i="4"/>
  <c r="AU369" i="4"/>
  <c r="AC128" i="4"/>
  <c r="H398" i="4"/>
  <c r="K373" i="4"/>
  <c r="T42" i="4"/>
  <c r="AU16" i="4"/>
  <c r="AL477" i="4"/>
  <c r="T145" i="4"/>
  <c r="F590" i="4"/>
  <c r="AU182" i="4"/>
  <c r="F514" i="4"/>
  <c r="F318" i="4"/>
  <c r="H120" i="4"/>
  <c r="AC342" i="4"/>
  <c r="F81" i="4"/>
  <c r="K241" i="4"/>
  <c r="AU357" i="4"/>
  <c r="AL407" i="4"/>
  <c r="K380" i="4"/>
  <c r="AU390" i="4"/>
  <c r="AU234" i="4"/>
  <c r="AC473" i="4"/>
  <c r="AL480" i="4"/>
  <c r="AL267" i="4"/>
  <c r="AL173" i="4"/>
  <c r="F248" i="4"/>
  <c r="H430" i="4"/>
  <c r="T476" i="4"/>
  <c r="K178" i="4"/>
  <c r="F481" i="4"/>
  <c r="AL77" i="4"/>
  <c r="AC427" i="4"/>
  <c r="AC223" i="4"/>
  <c r="F555" i="4"/>
  <c r="H125" i="4"/>
  <c r="F235" i="4"/>
  <c r="T43" i="4"/>
  <c r="T134" i="4"/>
  <c r="H449" i="4"/>
  <c r="H77" i="4"/>
  <c r="K449" i="4"/>
  <c r="H47" i="4"/>
  <c r="H472" i="4"/>
  <c r="T492" i="4"/>
  <c r="F503" i="4"/>
  <c r="H327" i="4"/>
  <c r="T396" i="4"/>
  <c r="K34" i="4"/>
  <c r="AC248" i="4"/>
  <c r="AC180" i="4"/>
  <c r="AL601" i="4"/>
  <c r="AC502" i="4"/>
  <c r="K262" i="4"/>
  <c r="T143" i="4"/>
  <c r="AC49" i="4"/>
  <c r="AC370" i="4"/>
  <c r="K203" i="4"/>
  <c r="AC324" i="4"/>
  <c r="AL188" i="4"/>
  <c r="AL319" i="4"/>
  <c r="K418" i="4"/>
  <c r="F358" i="4"/>
  <c r="F181" i="4"/>
  <c r="AU130" i="4"/>
  <c r="AU76" i="4"/>
  <c r="K128" i="4"/>
  <c r="AL487" i="4"/>
  <c r="T290" i="4"/>
  <c r="AL377" i="4"/>
  <c r="K323" i="4"/>
  <c r="H154" i="4"/>
  <c r="AL594" i="4"/>
  <c r="K604" i="4"/>
  <c r="T349" i="4"/>
  <c r="H587" i="4"/>
  <c r="T194" i="4"/>
  <c r="F548" i="4"/>
  <c r="K585" i="4"/>
  <c r="H300" i="4"/>
  <c r="AC144" i="4"/>
  <c r="AC336" i="4"/>
  <c r="AU466" i="4"/>
  <c r="AC113" i="4"/>
  <c r="AU463" i="4"/>
  <c r="F124" i="4"/>
  <c r="K383" i="4"/>
  <c r="K121" i="4"/>
  <c r="AC155" i="4"/>
  <c r="AU64" i="4"/>
  <c r="AL80" i="4"/>
  <c r="AU43" i="4"/>
  <c r="H277" i="4"/>
  <c r="AL214" i="4"/>
  <c r="H261" i="4"/>
  <c r="AL592" i="4"/>
  <c r="AC367" i="4"/>
  <c r="K183" i="4"/>
  <c r="F290" i="4"/>
  <c r="H155" i="4"/>
  <c r="T123" i="4"/>
  <c r="H360" i="4"/>
  <c r="K294" i="4"/>
  <c r="K31" i="4"/>
  <c r="F83" i="4"/>
  <c r="AL291" i="4"/>
  <c r="AC287" i="4"/>
  <c r="F541" i="4"/>
  <c r="H433" i="4"/>
  <c r="AC301" i="4"/>
  <c r="AL551" i="4"/>
  <c r="AU81" i="4"/>
  <c r="T538" i="4"/>
  <c r="H470" i="4"/>
  <c r="AU522" i="4"/>
  <c r="K304" i="4"/>
  <c r="AC384" i="4"/>
  <c r="AU284" i="4"/>
  <c r="AL458" i="4"/>
  <c r="AC378" i="4"/>
  <c r="T424" i="4"/>
  <c r="AU569" i="4"/>
  <c r="AU117" i="4"/>
  <c r="AL144" i="4"/>
  <c r="AC271" i="4"/>
  <c r="AC35" i="4"/>
  <c r="AC75" i="4"/>
  <c r="T242" i="4"/>
  <c r="AU381" i="4"/>
  <c r="F491" i="4"/>
  <c r="K471" i="4"/>
  <c r="H279" i="4"/>
  <c r="AC59" i="4"/>
  <c r="H79" i="4"/>
  <c r="AC110" i="4"/>
  <c r="K588" i="4"/>
  <c r="AL292" i="4"/>
  <c r="T98" i="4"/>
  <c r="T141" i="4"/>
  <c r="AU97" i="4"/>
  <c r="AC387" i="4"/>
  <c r="AC56" i="4"/>
  <c r="F11" i="4"/>
  <c r="H171" i="4"/>
  <c r="AL101" i="4"/>
  <c r="T246" i="4"/>
  <c r="F133" i="4"/>
  <c r="T64" i="4"/>
  <c r="T554" i="4"/>
  <c r="AU251" i="4"/>
  <c r="T437" i="4"/>
  <c r="T378" i="4"/>
  <c r="F63" i="4"/>
  <c r="AU231" i="4"/>
  <c r="T66" i="4"/>
  <c r="T122" i="4"/>
  <c r="K249" i="4"/>
  <c r="F125" i="4"/>
  <c r="H583" i="4"/>
  <c r="F62" i="4"/>
  <c r="F279" i="4"/>
  <c r="H469" i="4"/>
  <c r="T379" i="4"/>
  <c r="AU399" i="4"/>
  <c r="AC187" i="4"/>
  <c r="AC213" i="4"/>
  <c r="K347" i="4"/>
  <c r="F117" i="4"/>
  <c r="H510" i="4"/>
  <c r="T464" i="4"/>
  <c r="T449" i="4"/>
  <c r="AC194" i="4"/>
  <c r="H393" i="4"/>
  <c r="K81" i="4"/>
  <c r="AL341" i="4"/>
  <c r="F399" i="4"/>
  <c r="F246" i="4"/>
  <c r="F581" i="4"/>
  <c r="K540" i="4"/>
  <c r="H14" i="4"/>
  <c r="K359" i="4"/>
  <c r="AU422" i="4"/>
  <c r="F363" i="4"/>
  <c r="AC514" i="4"/>
  <c r="AU228" i="4"/>
  <c r="K126" i="4"/>
  <c r="AC426" i="4"/>
  <c r="F430" i="4"/>
  <c r="K168" i="4"/>
  <c r="H239" i="4"/>
  <c r="K288" i="4"/>
  <c r="AC254" i="4"/>
  <c r="K581" i="4"/>
  <c r="T102" i="4"/>
  <c r="F231" i="4"/>
  <c r="AC115" i="4"/>
  <c r="AL131" i="4"/>
  <c r="AL473" i="4"/>
  <c r="AU423" i="4"/>
  <c r="AU575" i="4"/>
  <c r="AL52" i="4"/>
  <c r="AU21" i="4"/>
  <c r="AU461" i="4"/>
  <c r="AU470" i="4"/>
  <c r="K357" i="4"/>
  <c r="T408" i="4"/>
  <c r="H564" i="4"/>
  <c r="AC196" i="4"/>
  <c r="AL446" i="4"/>
  <c r="AL61" i="4"/>
  <c r="AC282" i="4"/>
  <c r="AU462" i="4"/>
  <c r="C14" i="41"/>
  <c r="AU144" i="4"/>
  <c r="H11" i="4"/>
  <c r="T504" i="4"/>
  <c r="AU70" i="4"/>
  <c r="AL127" i="4"/>
  <c r="AC520" i="4"/>
  <c r="F272" i="4"/>
  <c r="T202" i="4"/>
  <c r="AL385" i="4"/>
  <c r="AL111" i="4"/>
  <c r="H206" i="4"/>
  <c r="AC250" i="4"/>
  <c r="F292" i="4"/>
  <c r="H535" i="4"/>
  <c r="AU198" i="4"/>
  <c r="K251" i="4"/>
  <c r="F498" i="4"/>
  <c r="AU395" i="4"/>
  <c r="F582" i="4"/>
  <c r="AL302" i="4"/>
  <c r="AC31" i="4"/>
  <c r="T583" i="4"/>
  <c r="AU87" i="4"/>
  <c r="F67" i="4"/>
  <c r="AU547" i="4"/>
  <c r="H204" i="4"/>
  <c r="T502" i="4"/>
  <c r="T356" i="4"/>
  <c r="AL103" i="4"/>
  <c r="T80" i="4"/>
  <c r="K548" i="4"/>
  <c r="T181" i="4"/>
  <c r="AU551" i="4"/>
  <c r="T490" i="4"/>
  <c r="K521" i="4"/>
  <c r="AC300" i="4"/>
  <c r="AC353" i="4"/>
  <c r="T278" i="4"/>
  <c r="AC565" i="4"/>
  <c r="AU523" i="4"/>
  <c r="F287" i="4"/>
  <c r="AC219" i="4"/>
  <c r="F473" i="4"/>
  <c r="H503" i="4"/>
  <c r="K402" i="4"/>
  <c r="K506" i="4"/>
  <c r="AL140" i="4"/>
  <c r="F101" i="4"/>
  <c r="AL522" i="4"/>
  <c r="AL379" i="4"/>
  <c r="K177" i="4"/>
  <c r="AC162" i="4"/>
  <c r="K83" i="4"/>
  <c r="AU108" i="4"/>
  <c r="H465" i="4"/>
  <c r="AL50" i="4"/>
  <c r="K202" i="4"/>
  <c r="F247" i="4"/>
  <c r="T428" i="4"/>
  <c r="AL424" i="4"/>
  <c r="H498" i="4"/>
  <c r="K366" i="4"/>
  <c r="AL186" i="4"/>
  <c r="F465" i="4"/>
  <c r="AC46" i="4"/>
  <c r="AL110" i="4"/>
  <c r="K532" i="4"/>
  <c r="AC41" i="4"/>
  <c r="T474" i="4"/>
  <c r="H423" i="4"/>
  <c r="T193" i="4"/>
  <c r="AC210" i="4"/>
  <c r="T260" i="4"/>
  <c r="AL409" i="4"/>
  <c r="AL303" i="4"/>
  <c r="AL417" i="4"/>
  <c r="AL565" i="4"/>
  <c r="K264" i="4"/>
  <c r="T321" i="4"/>
  <c r="K95" i="4"/>
  <c r="T523" i="4"/>
  <c r="AL8" i="4"/>
  <c r="AL178" i="4"/>
  <c r="AU414" i="4"/>
  <c r="K388" i="4"/>
  <c r="H537" i="4"/>
  <c r="AC513" i="4"/>
  <c r="T391" i="4"/>
  <c r="K601" i="4"/>
  <c r="T429" i="4"/>
  <c r="AU342" i="4"/>
  <c r="F421" i="4"/>
  <c r="T395" i="4"/>
  <c r="T369" i="4"/>
  <c r="AL14" i="4"/>
  <c r="F137" i="4"/>
  <c r="T322" i="4"/>
  <c r="AL266" i="4"/>
  <c r="AL395" i="4"/>
  <c r="H437" i="4"/>
  <c r="H174" i="4"/>
  <c r="T340" i="4"/>
  <c r="K14" i="4"/>
  <c r="T89" i="4"/>
  <c r="AU450" i="4"/>
  <c r="K469" i="4"/>
  <c r="H160" i="4"/>
  <c r="AC253" i="4"/>
  <c r="F400" i="4"/>
  <c r="AU244" i="4"/>
  <c r="AU519" i="4"/>
  <c r="C5" i="41"/>
  <c r="H544" i="4"/>
  <c r="AL491" i="4"/>
  <c r="K35" i="4"/>
  <c r="AL237" i="4"/>
  <c r="AL16" i="4"/>
  <c r="AL314" i="4"/>
  <c r="T425" i="4"/>
  <c r="AL453" i="4"/>
  <c r="AU532" i="4"/>
  <c r="H435" i="4"/>
  <c r="AL148" i="4"/>
  <c r="AL250" i="4"/>
  <c r="F203" i="4"/>
  <c r="K361" i="4"/>
  <c r="T594" i="4"/>
  <c r="T257" i="4"/>
  <c r="AL562" i="4"/>
  <c r="H316" i="4"/>
  <c r="F288" i="4"/>
  <c r="F336" i="4"/>
  <c r="K175" i="4"/>
  <c r="H257" i="4"/>
  <c r="AL60" i="4"/>
  <c r="H483" i="4"/>
  <c r="K257" i="4"/>
  <c r="H262" i="4"/>
  <c r="H522" i="4"/>
  <c r="AC314" i="4"/>
  <c r="AU370" i="4"/>
  <c r="K277" i="4"/>
  <c r="F456" i="4"/>
  <c r="K225" i="4"/>
  <c r="H52" i="4"/>
  <c r="AU235" i="4"/>
  <c r="AU494" i="4"/>
  <c r="AL221" i="4"/>
  <c r="AL571" i="4"/>
  <c r="H482" i="4"/>
  <c r="AL488" i="4"/>
  <c r="AL228" i="4"/>
  <c r="AU487" i="4"/>
  <c r="H222" i="4"/>
  <c r="AU189" i="4"/>
  <c r="H375" i="4"/>
  <c r="AL538" i="4"/>
  <c r="H473" i="4"/>
  <c r="T410" i="4"/>
  <c r="T544" i="4"/>
  <c r="AL502" i="4"/>
  <c r="F378" i="4"/>
  <c r="F66" i="4"/>
  <c r="AU257" i="4"/>
  <c r="AL413" i="4"/>
  <c r="AC323" i="4"/>
  <c r="F27" i="4"/>
  <c r="AC452" i="4"/>
  <c r="AL441" i="4"/>
  <c r="F455" i="4"/>
  <c r="K135" i="4"/>
  <c r="AL306" i="4"/>
  <c r="K381" i="4"/>
  <c r="AL560" i="4"/>
  <c r="K538" i="4"/>
  <c r="AC446" i="4"/>
  <c r="AU125" i="4"/>
  <c r="AC54" i="4"/>
  <c r="AC522" i="4"/>
  <c r="H58" i="4"/>
  <c r="H516" i="4"/>
  <c r="T118" i="4"/>
  <c r="T517" i="4"/>
  <c r="T211" i="4"/>
  <c r="T498" i="4"/>
  <c r="F311" i="4"/>
  <c r="H329" i="4"/>
  <c r="F53" i="4"/>
  <c r="T152" i="4"/>
  <c r="AC578" i="4"/>
  <c r="F162" i="4"/>
  <c r="F214" i="4"/>
  <c r="AU346" i="4"/>
  <c r="AL108" i="4"/>
  <c r="F478" i="4"/>
  <c r="F48" i="4"/>
  <c r="AU325" i="4"/>
  <c r="F598" i="4"/>
  <c r="AC504" i="4"/>
  <c r="AL15" i="4"/>
  <c r="AL205" i="4"/>
  <c r="T362" i="4"/>
  <c r="AC327" i="4"/>
  <c r="H321" i="4"/>
  <c r="AC477" i="4"/>
  <c r="K382" i="4"/>
  <c r="K301" i="4"/>
  <c r="T294" i="4"/>
  <c r="AL404" i="4"/>
  <c r="AU595" i="4"/>
  <c r="AL518" i="4"/>
  <c r="T511" i="4"/>
  <c r="AL91" i="4"/>
  <c r="K426" i="4"/>
  <c r="AC233" i="4"/>
  <c r="H313" i="4"/>
  <c r="F325" i="4"/>
  <c r="F104" i="4"/>
  <c r="H216" i="4"/>
  <c r="F369" i="4"/>
  <c r="T62" i="4"/>
  <c r="H173" i="4"/>
  <c r="T483" i="4"/>
  <c r="AL437" i="4"/>
  <c r="T300" i="4"/>
  <c r="F71" i="4"/>
  <c r="AL520" i="4"/>
  <c r="K196" i="4"/>
  <c r="AL26" i="4"/>
  <c r="AC318" i="4"/>
  <c r="K104" i="4"/>
  <c r="AU572" i="4"/>
  <c r="T601" i="4"/>
  <c r="AC492" i="4"/>
  <c r="AC18" i="4"/>
  <c r="F573" i="4"/>
  <c r="K539" i="4"/>
  <c r="AU254" i="4"/>
  <c r="H562" i="4"/>
  <c r="H263" i="4"/>
  <c r="AL168" i="4"/>
  <c r="AL20" i="4"/>
  <c r="F422" i="4"/>
  <c r="F600" i="4"/>
  <c r="AC161" i="4"/>
  <c r="AC338" i="4"/>
  <c r="K8" i="4"/>
  <c r="AU128" i="4"/>
  <c r="AU549" i="4"/>
  <c r="AL484" i="4"/>
  <c r="AU429" i="4"/>
  <c r="AC417" i="4"/>
  <c r="AC71" i="4"/>
  <c r="H436" i="4"/>
  <c r="T252" i="4"/>
  <c r="H408" i="4"/>
  <c r="H563" i="4"/>
  <c r="F90" i="4"/>
  <c r="K514" i="4"/>
  <c r="AC171" i="4"/>
  <c r="AL198" i="4"/>
  <c r="AU192" i="4"/>
  <c r="AU133" i="4"/>
  <c r="H336" i="4"/>
  <c r="AC215" i="4"/>
  <c r="AU36" i="4"/>
  <c r="T417" i="4"/>
  <c r="T399" i="4"/>
  <c r="F453" i="4"/>
  <c r="T270" i="4"/>
  <c r="T433" i="4"/>
  <c r="H201" i="4"/>
  <c r="AL114" i="4"/>
  <c r="T580" i="4"/>
  <c r="T590" i="4"/>
  <c r="AC404" i="4"/>
  <c r="F109" i="4"/>
  <c r="H260" i="4"/>
  <c r="F440" i="4"/>
  <c r="T470" i="4"/>
  <c r="AC329" i="4"/>
  <c r="AC306" i="4"/>
  <c r="AC550" i="4"/>
  <c r="K66" i="4"/>
  <c r="T269" i="4"/>
  <c r="H196" i="4"/>
  <c r="H500" i="4"/>
  <c r="AL445" i="4"/>
  <c r="K503" i="4"/>
  <c r="K38" i="4"/>
  <c r="T389" i="4"/>
  <c r="F151" i="4"/>
  <c r="AC290" i="4"/>
  <c r="T36" i="4"/>
  <c r="F357" i="4"/>
  <c r="AU140" i="4"/>
  <c r="AU301" i="4"/>
  <c r="F549" i="4"/>
  <c r="H489" i="4"/>
  <c r="AC158" i="4"/>
  <c r="H43" i="4"/>
  <c r="T567" i="4"/>
  <c r="H255" i="4"/>
  <c r="K130" i="4"/>
  <c r="K428" i="4"/>
  <c r="F395" i="4"/>
  <c r="T564" i="4"/>
  <c r="AL415" i="4"/>
  <c r="AU177" i="4"/>
  <c r="AU384" i="4"/>
  <c r="AU517" i="4"/>
  <c r="F553" i="4"/>
  <c r="T536" i="4"/>
  <c r="AU563" i="4"/>
  <c r="AL436" i="4"/>
  <c r="AC262" i="4"/>
  <c r="AU314" i="4"/>
  <c r="T555" i="4"/>
  <c r="F146" i="4"/>
  <c r="K387" i="4"/>
  <c r="K306" i="4"/>
  <c r="F416" i="4"/>
  <c r="T489" i="4"/>
  <c r="H208" i="4"/>
  <c r="H275" i="4"/>
  <c r="AU303" i="4"/>
  <c r="AU373" i="4"/>
  <c r="T48" i="4"/>
  <c r="AL265" i="4"/>
  <c r="AC393" i="4"/>
  <c r="AL471" i="4"/>
  <c r="AL508" i="4"/>
  <c r="AC317" i="4"/>
  <c r="T403" i="4"/>
  <c r="AL211" i="4"/>
  <c r="K507" i="4"/>
  <c r="T398" i="4"/>
  <c r="H338" i="4"/>
  <c r="AL46" i="4"/>
  <c r="F566" i="4"/>
  <c r="AL370" i="4"/>
  <c r="K49" i="4"/>
  <c r="F127" i="4"/>
  <c r="AC53" i="4"/>
  <c r="T160" i="4"/>
  <c r="H272" i="4"/>
  <c r="K224" i="4"/>
  <c r="AC195" i="4"/>
  <c r="F450" i="4"/>
  <c r="H19" i="4"/>
  <c r="T59" i="4"/>
  <c r="AC469" i="4"/>
  <c r="AC438" i="4"/>
  <c r="AL283" i="4"/>
  <c r="AU151" i="4"/>
  <c r="F13" i="4"/>
  <c r="AU171" i="4"/>
  <c r="AC88" i="4"/>
  <c r="AU101" i="4"/>
  <c r="H409" i="4"/>
  <c r="AL11" i="4"/>
  <c r="AL521" i="4"/>
  <c r="H221" i="4"/>
  <c r="K164" i="4"/>
  <c r="T218" i="4"/>
  <c r="H509" i="4"/>
  <c r="AC280" i="4"/>
  <c r="AL362" i="4"/>
  <c r="F448" i="4"/>
  <c r="K312" i="4"/>
  <c r="H318" i="4"/>
  <c r="F265" i="4"/>
  <c r="AL558" i="4"/>
  <c r="F507" i="4"/>
  <c r="AU258" i="4"/>
  <c r="H590" i="4"/>
  <c r="H359" i="4"/>
  <c r="H166" i="4"/>
  <c r="F74" i="4"/>
  <c r="AU71" i="4"/>
  <c r="AC453" i="4"/>
  <c r="K565" i="4"/>
  <c r="K456" i="4"/>
  <c r="F123" i="4"/>
  <c r="K155" i="4"/>
  <c r="AL472" i="4"/>
  <c r="K123" i="4"/>
  <c r="C13" i="41"/>
  <c r="K260" i="4"/>
  <c r="T79" i="4"/>
  <c r="T337" i="4"/>
  <c r="F532" i="4"/>
  <c r="AL124" i="4"/>
  <c r="F89" i="4"/>
  <c r="F189" i="4"/>
  <c r="AC136" i="4"/>
  <c r="T584" i="4"/>
  <c r="AL495" i="4"/>
  <c r="AL492" i="4"/>
  <c r="AU193" i="4"/>
  <c r="F411" i="4"/>
  <c r="K519" i="4"/>
  <c r="H442" i="4"/>
  <c r="F510" i="4"/>
  <c r="T462" i="4"/>
  <c r="K172" i="4"/>
  <c r="AL151" i="4"/>
  <c r="AU543" i="4"/>
  <c r="T199" i="4"/>
  <c r="AC501" i="4"/>
  <c r="AU141" i="4"/>
  <c r="F531" i="4"/>
  <c r="H20" i="4"/>
  <c r="AC183" i="4"/>
  <c r="AL513" i="4"/>
  <c r="AC528" i="4"/>
  <c r="AL67" i="4"/>
  <c r="AL56" i="4"/>
  <c r="AU89" i="4"/>
  <c r="H236" i="4"/>
  <c r="AU457" i="4"/>
  <c r="AC166" i="4"/>
  <c r="AL59" i="4"/>
  <c r="F500" i="4"/>
  <c r="F527" i="4"/>
  <c r="AC36" i="4"/>
  <c r="K404" i="4"/>
  <c r="AU468" i="4"/>
  <c r="T287" i="4"/>
  <c r="K265" i="4"/>
  <c r="K100" i="4"/>
  <c r="F424" i="4"/>
  <c r="H518" i="4"/>
  <c r="K111" i="4"/>
  <c r="T285" i="4"/>
  <c r="F488" i="4"/>
  <c r="AC164" i="4"/>
  <c r="H554" i="4"/>
  <c r="T10" i="4"/>
  <c r="H42" i="4"/>
  <c r="F425" i="4"/>
  <c r="AC527" i="4"/>
  <c r="T415" i="4"/>
  <c r="AL209" i="4"/>
  <c r="T332" i="4"/>
  <c r="H90" i="4"/>
  <c r="T440" i="4"/>
  <c r="AC319" i="4"/>
  <c r="AU80" i="4"/>
  <c r="H304" i="4"/>
  <c r="T265" i="4"/>
  <c r="H292" i="4"/>
  <c r="K70" i="4"/>
  <c r="AL271" i="4"/>
  <c r="K394" i="4"/>
  <c r="T527" i="4"/>
  <c r="K339" i="4"/>
  <c r="AU215" i="4"/>
  <c r="AL113" i="4"/>
  <c r="T366" i="4"/>
  <c r="H138" i="4"/>
  <c r="AC355" i="4"/>
  <c r="K477" i="4"/>
  <c r="K201" i="4"/>
  <c r="F155" i="4"/>
  <c r="AC135" i="4"/>
  <c r="K401" i="4"/>
  <c r="T506" i="4"/>
  <c r="K108" i="4"/>
  <c r="AC472" i="4"/>
  <c r="AL229" i="4"/>
  <c r="AL171" i="4"/>
  <c r="AC476" i="4"/>
  <c r="AC259" i="4"/>
  <c r="K105" i="4"/>
  <c r="T303" i="4"/>
  <c r="K559" i="4"/>
  <c r="K268" i="4"/>
  <c r="T52" i="4"/>
  <c r="F276" i="4"/>
  <c r="AL137" i="4"/>
  <c r="AC237" i="4"/>
  <c r="F476" i="4"/>
  <c r="H386" i="4"/>
  <c r="T295" i="4"/>
  <c r="F423" i="4"/>
  <c r="AU124" i="4"/>
  <c r="F601" i="4"/>
  <c r="K501" i="4"/>
  <c r="T78" i="4"/>
  <c r="K107" i="4"/>
  <c r="F132" i="4"/>
  <c r="T531" i="4"/>
  <c r="AL500" i="4"/>
  <c r="T406" i="4"/>
  <c r="K308" i="4"/>
  <c r="T334" i="4"/>
  <c r="T487" i="4"/>
  <c r="H372" i="4"/>
  <c r="F219" i="4"/>
  <c r="AU460" i="4"/>
  <c r="F16" i="4"/>
  <c r="F383" i="4"/>
  <c r="AL249" i="4"/>
  <c r="K455" i="4"/>
  <c r="AC149" i="4"/>
  <c r="K28" i="4"/>
  <c r="F602" i="4"/>
  <c r="H159" i="4"/>
  <c r="T292" i="4"/>
  <c r="H118" i="4"/>
  <c r="AL485" i="4"/>
  <c r="H569" i="4"/>
  <c r="AL414" i="4"/>
  <c r="T91" i="4"/>
  <c r="F305" i="4"/>
  <c r="F210" i="4"/>
  <c r="AC434" i="4"/>
  <c r="F163" i="4"/>
  <c r="H269" i="4"/>
  <c r="AU353" i="4"/>
  <c r="AL204" i="4"/>
  <c r="AC153" i="4"/>
  <c r="T375" i="4"/>
  <c r="AL150" i="4"/>
  <c r="AC372" i="4"/>
  <c r="AU57" i="4"/>
  <c r="AL333" i="4"/>
  <c r="F374" i="4"/>
  <c r="K349" i="4"/>
  <c r="T151" i="4"/>
  <c r="AU131" i="4"/>
  <c r="H355" i="4"/>
  <c r="AU385" i="4"/>
  <c r="F283" i="4"/>
  <c r="T114" i="4"/>
  <c r="AU53" i="4"/>
  <c r="AC295" i="4"/>
  <c r="AU333" i="4"/>
  <c r="AL305" i="4"/>
  <c r="AL451" i="4"/>
  <c r="K378" i="4"/>
  <c r="AL530" i="4"/>
  <c r="AC203" i="4"/>
  <c r="F342" i="4"/>
  <c r="AL92" i="4"/>
  <c r="AC340" i="4"/>
  <c r="F479" i="4"/>
  <c r="K217" i="4"/>
  <c r="AL207" i="4"/>
  <c r="F508" i="4"/>
  <c r="AC479" i="4"/>
  <c r="AC51" i="4"/>
  <c r="AU294" i="4"/>
  <c r="AC116" i="4"/>
  <c r="H511" i="4"/>
  <c r="H431" i="4"/>
  <c r="AC286" i="4"/>
  <c r="AU69" i="4"/>
  <c r="AL564" i="4"/>
  <c r="AC447" i="4"/>
  <c r="AL167" i="4"/>
  <c r="T549" i="4"/>
  <c r="AU377" i="4"/>
  <c r="AU51" i="4"/>
  <c r="T342" i="4"/>
  <c r="AL465" i="4"/>
  <c r="H351" i="4"/>
  <c r="AL263" i="4"/>
  <c r="AU312" i="4"/>
  <c r="AU44" i="4"/>
  <c r="AC197" i="4"/>
  <c r="AU548" i="4"/>
  <c r="K556" i="4"/>
  <c r="C23" i="41"/>
  <c r="AL602" i="4"/>
  <c r="T9" i="4"/>
  <c r="AC369" i="4"/>
  <c r="H381" i="4"/>
  <c r="K90" i="4"/>
  <c r="H295" i="4"/>
  <c r="AU95" i="4"/>
  <c r="AU122" i="4"/>
  <c r="AU238" i="4"/>
  <c r="H149" i="4"/>
  <c r="AC85" i="4"/>
  <c r="AC278" i="4"/>
  <c r="AC94" i="4"/>
  <c r="F264" i="4"/>
  <c r="T248" i="4"/>
  <c r="K302" i="4"/>
  <c r="AC551" i="4"/>
  <c r="AU582" i="4"/>
  <c r="AU167" i="4"/>
  <c r="AL402" i="4"/>
  <c r="AC214" i="4"/>
  <c r="T381" i="4"/>
  <c r="H480" i="4"/>
  <c r="F15" i="4"/>
  <c r="F539" i="4"/>
  <c r="AC418" i="4"/>
  <c r="H153" i="4"/>
  <c r="AC264" i="4"/>
  <c r="AL552" i="4"/>
  <c r="AU431" i="4"/>
  <c r="AC428" i="4"/>
  <c r="H595" i="4"/>
  <c r="AC176" i="4"/>
  <c r="AL337" i="4"/>
  <c r="F467" i="4"/>
  <c r="AC444" i="4"/>
  <c r="H585" i="4"/>
  <c r="AU350" i="4"/>
  <c r="F323" i="4"/>
  <c r="AL374" i="4"/>
  <c r="AC579" i="4"/>
  <c r="F80" i="4"/>
  <c r="H578" i="4"/>
  <c r="K502" i="4"/>
  <c r="AC21" i="4"/>
  <c r="K210" i="4"/>
  <c r="K205" i="4"/>
  <c r="T207" i="4"/>
  <c r="K448" i="4"/>
  <c r="K400" i="4"/>
  <c r="AU149" i="4"/>
  <c r="F361" i="4"/>
  <c r="AC104" i="4"/>
  <c r="AU84" i="4"/>
  <c r="AU394" i="4"/>
  <c r="T443" i="4"/>
  <c r="AC412" i="4"/>
  <c r="T44" i="4"/>
  <c r="T431" i="4"/>
  <c r="T319" i="4"/>
  <c r="F438" i="4"/>
  <c r="H404" i="4"/>
  <c r="AL350" i="4"/>
  <c r="K309" i="4"/>
  <c r="F525" i="4"/>
  <c r="AL378" i="4"/>
  <c r="AC122" i="4"/>
  <c r="F410" i="4"/>
  <c r="F105" i="4"/>
  <c r="AL510" i="4"/>
  <c r="AU112" i="4"/>
  <c r="AU318" i="4"/>
  <c r="AC588" i="4"/>
  <c r="K348" i="4"/>
  <c r="H332" i="4"/>
  <c r="H538" i="4"/>
  <c r="T12" i="4"/>
  <c r="AL541" i="4"/>
  <c r="AL569" i="4"/>
  <c r="T604" i="4"/>
  <c r="T235" i="4"/>
  <c r="K132" i="4"/>
  <c r="AC359" i="4"/>
  <c r="F302" i="4"/>
  <c r="F116" i="4"/>
  <c r="F284" i="4"/>
  <c r="AL358" i="4"/>
  <c r="F168" i="4"/>
  <c r="AU207" i="4"/>
  <c r="AC230" i="4"/>
  <c r="AU489" i="4"/>
  <c r="F520" i="4"/>
  <c r="AU550" i="4"/>
  <c r="T518" i="4"/>
  <c r="AL197" i="4"/>
  <c r="AL115" i="4"/>
  <c r="K589" i="4"/>
  <c r="AL23" i="4"/>
  <c r="F560" i="4"/>
  <c r="H215" i="4"/>
  <c r="H298" i="4"/>
  <c r="T34" i="4"/>
  <c r="T505" i="4"/>
  <c r="AC143" i="4"/>
  <c r="AC208" i="4"/>
  <c r="AU335" i="4"/>
  <c r="F138" i="4"/>
  <c r="AU54" i="4"/>
  <c r="H505" i="4"/>
  <c r="H462" i="4"/>
  <c r="T368" i="4"/>
  <c r="AC204" i="4"/>
  <c r="AC344" i="4"/>
  <c r="T519" i="4"/>
  <c r="AU455" i="4"/>
  <c r="AC439" i="4"/>
  <c r="H493" i="4"/>
  <c r="T133" i="4"/>
  <c r="AU372" i="4"/>
  <c r="K80" i="4"/>
  <c r="AL132" i="4"/>
  <c r="T596" i="4"/>
  <c r="F572" i="4"/>
  <c r="AL512" i="4"/>
  <c r="H335" i="4"/>
  <c r="F381" i="4"/>
  <c r="AC422" i="4"/>
  <c r="T264" i="4"/>
  <c r="AL431" i="4"/>
  <c r="F419" i="4"/>
  <c r="F85" i="4"/>
  <c r="F240" i="4"/>
  <c r="F40" i="4"/>
  <c r="AL47" i="4"/>
  <c r="H524" i="4"/>
  <c r="AL390" i="4"/>
  <c r="F160" i="4"/>
  <c r="AU537" i="4"/>
  <c r="K340" i="4"/>
  <c r="K497" i="4"/>
  <c r="T262" i="4"/>
  <c r="H109" i="4"/>
  <c r="F229" i="4"/>
  <c r="AC569" i="4"/>
  <c r="F562" i="4"/>
  <c r="F294" i="4"/>
  <c r="H374" i="4"/>
  <c r="F338" i="4"/>
  <c r="AU454" i="4"/>
  <c r="AC57" i="4"/>
  <c r="F536" i="4"/>
  <c r="AU378" i="4"/>
  <c r="AU99" i="4"/>
  <c r="F397" i="4"/>
  <c r="T488" i="4"/>
  <c r="K425" i="4"/>
  <c r="K26" i="4"/>
  <c r="AC454" i="4"/>
  <c r="AL158" i="4"/>
  <c r="AC448" i="4"/>
  <c r="AU567" i="4"/>
  <c r="T416" i="4"/>
  <c r="H82" i="4"/>
  <c r="K220" i="4"/>
  <c r="AC315" i="4"/>
  <c r="T249" i="4"/>
  <c r="H62" i="4"/>
  <c r="AL231" i="4"/>
  <c r="H307" i="4"/>
  <c r="K570" i="4"/>
  <c r="AC468" i="4"/>
  <c r="AU163" i="4"/>
  <c r="K53" i="4"/>
  <c r="K247" i="4"/>
  <c r="AU248" i="4"/>
  <c r="AU8" i="4"/>
  <c r="T450" i="4"/>
  <c r="H410" i="4"/>
  <c r="AL355" i="4"/>
  <c r="K592" i="4"/>
  <c r="K71" i="4"/>
  <c r="AU387" i="4"/>
  <c r="T493" i="4"/>
  <c r="T316" i="4"/>
  <c r="K200" i="4"/>
  <c r="F330" i="4"/>
  <c r="AU290" i="4"/>
  <c r="T157" i="4"/>
  <c r="H418" i="4"/>
  <c r="AL335" i="4"/>
  <c r="F594" i="4"/>
  <c r="AL509" i="4"/>
  <c r="F245" i="4"/>
  <c r="H46" i="4"/>
  <c r="AC335" i="4"/>
  <c r="H112" i="4"/>
  <c r="AU67" i="4"/>
  <c r="H315" i="4"/>
  <c r="H457" i="4"/>
  <c r="T208" i="4"/>
  <c r="AL7" i="4"/>
  <c r="F414" i="4"/>
  <c r="H48" i="4"/>
  <c r="AL519" i="4"/>
  <c r="K395" i="4"/>
  <c r="H104" i="4"/>
  <c r="F186" i="4"/>
  <c r="AL162" i="4"/>
  <c r="AU110" i="4"/>
  <c r="AU578" i="4"/>
  <c r="T63" i="4"/>
  <c r="H349" i="4"/>
  <c r="T320" i="4"/>
  <c r="AU329" i="4"/>
  <c r="K451" i="4"/>
  <c r="AL599" i="4"/>
  <c r="AC86" i="4"/>
  <c r="AC244" i="4"/>
  <c r="AC432" i="4"/>
  <c r="F216" i="4"/>
  <c r="H358" i="4"/>
  <c r="K509" i="4"/>
  <c r="F550" i="4"/>
  <c r="AC165" i="4"/>
  <c r="AC416" i="4"/>
  <c r="T197" i="4"/>
  <c r="AU292" i="4"/>
  <c r="T364" i="4"/>
  <c r="H551" i="4"/>
  <c r="AU430" i="4"/>
  <c r="T222" i="4"/>
  <c r="H161" i="4"/>
  <c r="H151" i="4"/>
  <c r="AU320" i="4"/>
  <c r="H290" i="4"/>
  <c r="AU576" i="4"/>
  <c r="AL163" i="4"/>
  <c r="AC599" i="4"/>
  <c r="F224" i="4"/>
  <c r="K254" i="4"/>
  <c r="AL462" i="4"/>
  <c r="K317" i="4"/>
  <c r="F154" i="4"/>
  <c r="AL363" i="4"/>
  <c r="F409" i="4"/>
  <c r="K432" i="4"/>
  <c r="F159" i="4"/>
  <c r="K238" i="4"/>
  <c r="AL310" i="4"/>
  <c r="F157" i="4"/>
  <c r="K154" i="4"/>
  <c r="F379" i="4"/>
  <c r="AC199" i="4"/>
  <c r="AC142" i="4"/>
  <c r="K495" i="4"/>
  <c r="AC74" i="4"/>
  <c r="T441" i="4"/>
  <c r="H543" i="4"/>
  <c r="T158" i="4"/>
  <c r="AL172" i="4"/>
  <c r="T540" i="4"/>
  <c r="T164" i="4"/>
  <c r="H44" i="4"/>
  <c r="F460" i="4"/>
  <c r="H365" i="4"/>
  <c r="H403" i="4"/>
  <c r="T166" i="4"/>
  <c r="H64" i="4"/>
  <c r="AU512" i="4"/>
  <c r="AU56" i="4"/>
  <c r="T149" i="4"/>
  <c r="AL481" i="4"/>
  <c r="AU516" i="4"/>
  <c r="T427" i="4"/>
  <c r="K474" i="4"/>
  <c r="AC150" i="4"/>
  <c r="F130" i="4"/>
  <c r="K363" i="4"/>
  <c r="K439" i="4"/>
  <c r="K482" i="4"/>
  <c r="AC385" i="4"/>
  <c r="T83" i="4"/>
  <c r="F516" i="4"/>
  <c r="K316" i="4"/>
  <c r="AC341" i="4"/>
  <c r="K473" i="4"/>
  <c r="AC557" i="4"/>
  <c r="T419" i="4"/>
  <c r="K590" i="4"/>
  <c r="AC107" i="4"/>
  <c r="K209" i="4"/>
  <c r="F385" i="4"/>
  <c r="F172" i="4"/>
  <c r="F320" i="4"/>
  <c r="H363" i="4"/>
  <c r="F350" i="4"/>
  <c r="K350" i="4"/>
  <c r="F275" i="4"/>
  <c r="F268" i="4"/>
  <c r="AL356" i="4"/>
  <c r="F129" i="4"/>
  <c r="T454" i="4"/>
  <c r="F304" i="4"/>
  <c r="AC55" i="4"/>
  <c r="H486" i="4"/>
  <c r="K144" i="4"/>
  <c r="AC288" i="4"/>
  <c r="T293" i="4"/>
  <c r="T11" i="4"/>
  <c r="F200" i="4"/>
  <c r="AU195" i="4"/>
  <c r="K239" i="4"/>
  <c r="K293" i="4"/>
  <c r="F439" i="4"/>
  <c r="AU398" i="4"/>
  <c r="T466" i="4"/>
  <c r="AL463" i="4"/>
  <c r="H68" i="4"/>
  <c r="AC76" i="4"/>
  <c r="AL603" i="4"/>
  <c r="AU326" i="4"/>
  <c r="AU226" i="4"/>
  <c r="K63" i="4"/>
  <c r="K376" i="4"/>
  <c r="AC420" i="4"/>
  <c r="F412" i="4"/>
  <c r="K580" i="4"/>
  <c r="H479" i="4"/>
  <c r="AL418" i="4"/>
  <c r="AL496" i="4"/>
  <c r="F312" i="4"/>
  <c r="AL516" i="4"/>
  <c r="AU317" i="4"/>
  <c r="AC15" i="4"/>
  <c r="AC185" i="4"/>
  <c r="H367" i="4"/>
  <c r="AU173" i="4"/>
  <c r="H296" i="4"/>
  <c r="AC40" i="4"/>
  <c r="AU157" i="4"/>
  <c r="AU347" i="4"/>
  <c r="AL97" i="4"/>
  <c r="AU580" i="4"/>
  <c r="AU338" i="4"/>
  <c r="K143" i="4"/>
  <c r="K598" i="4"/>
  <c r="K414" i="4"/>
  <c r="AU241" i="4"/>
  <c r="T575" i="4"/>
  <c r="AU368" i="4"/>
  <c r="H388" i="4"/>
  <c r="T539" i="4"/>
  <c r="K525" i="4"/>
  <c r="K579" i="4"/>
  <c r="F228" i="4"/>
  <c r="AU274" i="4"/>
  <c r="AL210" i="4"/>
  <c r="AC441" i="4"/>
  <c r="AU278" i="4"/>
  <c r="T191" i="4"/>
  <c r="AL467" i="4"/>
  <c r="K280" i="4"/>
  <c r="AL578" i="4"/>
  <c r="F375" i="4"/>
  <c r="T240" i="4"/>
  <c r="AU465" i="4"/>
  <c r="K542" i="4"/>
  <c r="H111" i="4"/>
  <c r="K313" i="4"/>
  <c r="K369" i="4"/>
  <c r="H303" i="4"/>
  <c r="AU148" i="4"/>
  <c r="AU121" i="4"/>
  <c r="H575" i="4"/>
  <c r="T503" i="4"/>
  <c r="AU109" i="4"/>
  <c r="H172" i="4"/>
  <c r="K305" i="4"/>
  <c r="K444" i="4"/>
  <c r="H466" i="4"/>
  <c r="AL179" i="4"/>
  <c r="K85" i="4"/>
  <c r="AU139" i="4"/>
  <c r="AL74" i="4"/>
  <c r="AC553" i="4"/>
  <c r="AC238" i="4"/>
  <c r="H345" i="4"/>
  <c r="AC50" i="4"/>
  <c r="K42" i="4"/>
  <c r="T87" i="4"/>
  <c r="F474" i="4"/>
  <c r="H220" i="4"/>
  <c r="K436" i="4"/>
  <c r="T553" i="4"/>
  <c r="F202" i="4"/>
  <c r="F280" i="4"/>
  <c r="K409" i="4"/>
  <c r="H223" i="4"/>
  <c r="T402" i="4"/>
  <c r="AL177" i="4"/>
  <c r="AL332" i="4"/>
  <c r="AL576" i="4"/>
  <c r="T86" i="4"/>
  <c r="AC361" i="4"/>
  <c r="AU553" i="4"/>
  <c r="H245" i="4"/>
  <c r="F120" i="4"/>
  <c r="H38" i="4"/>
  <c r="AU490" i="4"/>
  <c r="AU12" i="4"/>
  <c r="F587" i="4"/>
  <c r="F579" i="4"/>
  <c r="AL68" i="4"/>
  <c r="AU542" i="4"/>
  <c r="F259" i="4"/>
  <c r="H426" i="4"/>
  <c r="F583" i="4"/>
  <c r="K96" i="4"/>
  <c r="K270" i="4"/>
  <c r="K393" i="4"/>
  <c r="H330" i="4"/>
  <c r="F79" i="4"/>
  <c r="K138" i="4"/>
  <c r="H108" i="4"/>
  <c r="K529" i="4"/>
  <c r="AC524" i="4"/>
  <c r="AU296" i="4"/>
  <c r="AU396" i="4"/>
  <c r="K505" i="4"/>
  <c r="AL345" i="4"/>
  <c r="F530" i="4"/>
  <c r="AL577" i="4"/>
  <c r="AC263" i="4"/>
  <c r="H574" i="4"/>
  <c r="AU586" i="4"/>
  <c r="H459" i="4"/>
  <c r="H323" i="4"/>
  <c r="AC93" i="4"/>
  <c r="AC391" i="4"/>
  <c r="H415" i="4"/>
  <c r="AC48" i="4"/>
  <c r="H54" i="4"/>
  <c r="AL234" i="4"/>
  <c r="F250" i="4"/>
  <c r="T413" i="4"/>
  <c r="AC485" i="4"/>
  <c r="H53" i="4"/>
  <c r="K327" i="4"/>
  <c r="T16" i="4"/>
  <c r="H501" i="4"/>
  <c r="H63" i="4"/>
  <c r="AL460" i="4"/>
  <c r="AU75" i="4"/>
  <c r="T331" i="4"/>
  <c r="T461" i="4"/>
  <c r="AL27" i="4"/>
  <c r="AC437" i="4"/>
  <c r="AU453" i="4"/>
  <c r="K36" i="4"/>
  <c r="AC23" i="4"/>
  <c r="K481" i="4"/>
  <c r="K142" i="4"/>
  <c r="AL557" i="4"/>
  <c r="AU482" i="4"/>
  <c r="AL528" i="4"/>
  <c r="AU265" i="4"/>
  <c r="F497" i="4"/>
  <c r="AC156" i="4"/>
  <c r="K358" i="4"/>
  <c r="AL129" i="4"/>
  <c r="AU554" i="4"/>
  <c r="AC68" i="4"/>
  <c r="F563" i="4"/>
  <c r="AL387" i="4"/>
  <c r="H512" i="4"/>
  <c r="K562" i="4"/>
  <c r="F341" i="4"/>
  <c r="H549" i="4"/>
  <c r="T585" i="4"/>
  <c r="AL138" i="4"/>
  <c r="F428" i="4"/>
  <c r="T173" i="4"/>
  <c r="AC130" i="4"/>
  <c r="K267" i="4"/>
  <c r="AL45" i="4"/>
  <c r="T371" i="4"/>
  <c r="H183" i="4"/>
  <c r="AU152" i="4"/>
  <c r="AC533" i="4"/>
  <c r="F509" i="4"/>
  <c r="H331" i="4"/>
  <c r="AU441" i="4"/>
  <c r="H244" i="4"/>
  <c r="AU339" i="4"/>
  <c r="AL282" i="4"/>
  <c r="F54" i="4"/>
  <c r="T81" i="4"/>
  <c r="AL232" i="4"/>
  <c r="AU230" i="4"/>
  <c r="H132" i="4"/>
  <c r="K120" i="4"/>
  <c r="AU365" i="4"/>
  <c r="H396" i="4"/>
  <c r="AU352" i="4"/>
  <c r="AC398" i="4"/>
  <c r="AC406" i="4"/>
  <c r="T382" i="4"/>
  <c r="H600" i="4"/>
  <c r="T377" i="4"/>
  <c r="AC337" i="4"/>
  <c r="K326" i="4"/>
  <c r="T154" i="4"/>
  <c r="AC592" i="4"/>
  <c r="AC523" i="4"/>
  <c r="H83" i="4"/>
  <c r="AL580" i="4"/>
  <c r="K512" i="4"/>
  <c r="H530" i="4"/>
  <c r="K416" i="4"/>
  <c r="AL274" i="4"/>
  <c r="AL447" i="4"/>
  <c r="T217" i="4"/>
  <c r="K429" i="4"/>
  <c r="T129" i="4"/>
  <c r="AC334" i="4"/>
  <c r="K152" i="4"/>
  <c r="H190" i="4"/>
  <c r="AU401" i="4"/>
  <c r="T291" i="4"/>
  <c r="AC365" i="4"/>
  <c r="AL503" i="4"/>
  <c r="AC561" i="4"/>
  <c r="AL425" i="4"/>
  <c r="AL360" i="4"/>
  <c r="AL117" i="4"/>
  <c r="AU360" i="4"/>
  <c r="AL154" i="4"/>
  <c r="H492" i="4"/>
  <c r="F547" i="4"/>
  <c r="F441" i="4"/>
  <c r="H491" i="4"/>
  <c r="H448" i="4"/>
  <c r="H69" i="4"/>
  <c r="T13" i="4"/>
  <c r="AC11" i="4"/>
  <c r="K408" i="4"/>
  <c r="T448" i="4"/>
  <c r="AU510" i="4"/>
  <c r="AL125" i="4"/>
  <c r="F544" i="4"/>
  <c r="T238" i="4"/>
  <c r="AU267" i="4"/>
  <c r="T100" i="4"/>
  <c r="H273" i="4"/>
  <c r="H165" i="4"/>
  <c r="AU421" i="4"/>
  <c r="H152" i="4"/>
  <c r="K534" i="4"/>
  <c r="AC498" i="4"/>
  <c r="AC539" i="4"/>
  <c r="F433" i="4"/>
  <c r="AU603" i="4"/>
  <c r="AL600" i="4"/>
  <c r="H440" i="4"/>
  <c r="F515" i="4"/>
  <c r="H352" i="4"/>
  <c r="H143" i="4"/>
  <c r="AL338" i="4"/>
  <c r="AC66" i="4"/>
  <c r="F403" i="4"/>
  <c r="H528" i="4"/>
  <c r="F94" i="4"/>
  <c r="AL388" i="4"/>
  <c r="F561" i="4"/>
  <c r="H341" i="4"/>
  <c r="T37" i="4"/>
  <c r="K74" i="4"/>
  <c r="K318" i="4"/>
  <c r="K307" i="4"/>
  <c r="T111" i="4"/>
  <c r="AU115" i="4"/>
  <c r="AU154" i="4"/>
  <c r="T280" i="4"/>
  <c r="T273" i="4"/>
  <c r="H156" i="4"/>
  <c r="K498" i="4"/>
  <c r="T261" i="4"/>
  <c r="K303" i="4"/>
  <c r="AC283" i="4"/>
  <c r="F260" i="4"/>
  <c r="AC39" i="4"/>
  <c r="T591" i="4"/>
  <c r="K21" i="4"/>
  <c r="AC14" i="4"/>
  <c r="AL365" i="4"/>
  <c r="T271" i="4"/>
  <c r="AU328" i="4"/>
  <c r="AU28" i="4"/>
  <c r="T18" i="4"/>
  <c r="AU324" i="4"/>
  <c r="K372" i="4"/>
  <c r="AU356" i="4"/>
  <c r="AC81" i="4"/>
  <c r="F52" i="4"/>
  <c r="H134" i="4"/>
  <c r="AU153" i="4"/>
  <c r="T95" i="4"/>
  <c r="H477" i="4"/>
  <c r="K422" i="4"/>
  <c r="AL515" i="4"/>
  <c r="AC138" i="4"/>
  <c r="T296" i="4"/>
  <c r="AL159" i="4"/>
  <c r="AC285" i="4"/>
  <c r="K18" i="4"/>
  <c r="AU116" i="4"/>
  <c r="AC575" i="4"/>
  <c r="AC400" i="4"/>
  <c r="K171" i="4"/>
  <c r="F316" i="4"/>
  <c r="H207" i="4"/>
  <c r="F501" i="4"/>
  <c r="H75" i="4"/>
  <c r="H246" i="4"/>
  <c r="T370" i="4"/>
  <c r="AU452" i="4"/>
  <c r="H536" i="4"/>
  <c r="AU413" i="4"/>
  <c r="AU223" i="4"/>
  <c r="T573" i="4"/>
  <c r="AC111" i="4"/>
  <c r="AU161" i="4"/>
  <c r="K346" i="4"/>
  <c r="H496" i="4"/>
  <c r="F103" i="4"/>
  <c r="F351" i="4"/>
  <c r="AU276" i="4"/>
  <c r="H233" i="4"/>
  <c r="AC433" i="4"/>
  <c r="K572" i="4"/>
  <c r="AL545" i="4"/>
  <c r="K114" i="4"/>
  <c r="K396" i="4"/>
  <c r="AC356" i="4"/>
  <c r="T329" i="4"/>
  <c r="H240" i="4"/>
  <c r="H101" i="4"/>
  <c r="H50" i="4"/>
  <c r="F482" i="4"/>
  <c r="H282" i="4"/>
  <c r="AU459" i="4"/>
  <c r="AC292" i="4"/>
  <c r="T177" i="4"/>
  <c r="H416" i="4"/>
  <c r="AU113" i="4"/>
  <c r="H306" i="4"/>
  <c r="K112" i="4"/>
  <c r="AC167" i="4"/>
  <c r="T241" i="4"/>
  <c r="AC118" i="4"/>
  <c r="AL54" i="4"/>
  <c r="F22" i="4"/>
  <c r="AL568" i="4"/>
  <c r="F166" i="4"/>
  <c r="H428" i="4"/>
  <c r="K195" i="4"/>
  <c r="AL169" i="4"/>
  <c r="K282" i="4"/>
  <c r="T234" i="4"/>
  <c r="F552" i="4"/>
  <c r="AC421" i="4"/>
  <c r="AU221" i="4"/>
  <c r="AU239" i="4"/>
  <c r="F352" i="4"/>
  <c r="AC534" i="4"/>
  <c r="AC256" i="4"/>
  <c r="AL293" i="4"/>
  <c r="K571" i="4"/>
  <c r="AL9" i="4"/>
  <c r="AC535" i="4"/>
  <c r="F404" i="4"/>
  <c r="F91" i="4"/>
  <c r="AC364" i="4"/>
  <c r="H438" i="4"/>
  <c r="AU371" i="4"/>
  <c r="K334" i="4"/>
  <c r="K342" i="4"/>
  <c r="F321" i="4"/>
  <c r="AU585" i="4"/>
  <c r="AC491" i="4"/>
  <c r="F183" i="4"/>
  <c r="H56" i="4"/>
  <c r="K176" i="4"/>
  <c r="T68" i="4"/>
  <c r="K245" i="4"/>
  <c r="F234" i="4"/>
  <c r="T426" i="4"/>
  <c r="AC603" i="4"/>
  <c r="AL384" i="4"/>
  <c r="AU518" i="4"/>
  <c r="AU92" i="4"/>
  <c r="T82" i="4"/>
  <c r="F339" i="4"/>
  <c r="T458" i="4"/>
  <c r="AU42" i="4"/>
  <c r="AU508" i="4"/>
  <c r="K523" i="4"/>
  <c r="T126" i="4"/>
  <c r="H487" i="4"/>
  <c r="H502" i="4"/>
  <c r="AL241" i="4"/>
  <c r="AC27" i="4"/>
  <c r="H167" i="4"/>
  <c r="K274" i="4"/>
  <c r="T473" i="4"/>
  <c r="T513" i="4"/>
  <c r="AL322" i="4"/>
  <c r="AL474" i="4"/>
  <c r="K259" i="4"/>
  <c r="K576" i="4"/>
  <c r="H234" i="4"/>
  <c r="AC568" i="4"/>
  <c r="AU132" i="4"/>
  <c r="AL567" i="4"/>
  <c r="F446" i="4"/>
  <c r="T144" i="4"/>
  <c r="AC552" i="4"/>
  <c r="AU249" i="4"/>
  <c r="H311" i="4"/>
  <c r="H429" i="4"/>
  <c r="AU484" i="4"/>
  <c r="H582" i="4"/>
  <c r="AC600" i="4"/>
  <c r="AU495" i="4"/>
  <c r="AL85" i="4"/>
  <c r="AU10" i="4"/>
  <c r="H70" i="4"/>
  <c r="AU440" i="4"/>
  <c r="F194" i="4"/>
  <c r="K423" i="4"/>
  <c r="AC521" i="4"/>
  <c r="K102" i="4"/>
  <c r="F528" i="4"/>
  <c r="K411" i="4"/>
  <c r="AL595" i="4"/>
  <c r="K199" i="4"/>
  <c r="K242" i="4"/>
  <c r="F236" i="4"/>
  <c r="F511" i="4"/>
  <c r="K223" i="4"/>
  <c r="AL539" i="4"/>
  <c r="AL82" i="4"/>
  <c r="K520" i="4"/>
  <c r="F121" i="4"/>
  <c r="T578" i="4"/>
  <c r="AL64" i="4"/>
  <c r="F77" i="4"/>
  <c r="T457" i="4"/>
  <c r="AL298" i="4"/>
  <c r="AU174" i="4"/>
  <c r="H357" i="4"/>
  <c r="H456" i="4"/>
  <c r="F99" i="4"/>
  <c r="T183" i="4"/>
  <c r="H361" i="4"/>
  <c r="F19" i="4"/>
  <c r="AU500" i="4"/>
  <c r="H100" i="4"/>
  <c r="AL66" i="4"/>
  <c r="F354" i="4"/>
  <c r="AL10" i="4"/>
  <c r="F493" i="4"/>
  <c r="AC125" i="4"/>
  <c r="H541" i="4"/>
  <c r="T190" i="4"/>
  <c r="F169" i="4"/>
  <c r="K76" i="4"/>
  <c r="AC47" i="4"/>
  <c r="K489" i="4"/>
  <c r="AL195" i="4"/>
  <c r="F64" i="4"/>
  <c r="AL238" i="4"/>
  <c r="AC567" i="4"/>
  <c r="T213" i="4"/>
  <c r="AL93" i="4"/>
  <c r="T8" i="4"/>
  <c r="K492" i="4"/>
  <c r="AC225" i="4"/>
  <c r="AU546" i="4"/>
  <c r="K275" i="4"/>
  <c r="T165" i="4"/>
  <c r="AU232" i="4"/>
  <c r="H566" i="4"/>
  <c r="K407" i="4"/>
  <c r="AU525" i="4"/>
  <c r="H380" i="4"/>
  <c r="H391" i="4"/>
  <c r="H376" i="4"/>
  <c r="AU362" i="4"/>
  <c r="F252" i="4"/>
  <c r="K187" i="4"/>
  <c r="AC69" i="4"/>
  <c r="T124" i="4"/>
  <c r="K193" i="4"/>
  <c r="AL366" i="4"/>
  <c r="AU15" i="4"/>
  <c r="F591" i="4"/>
  <c r="F70" i="4"/>
  <c r="K573" i="4"/>
  <c r="AL280" i="4"/>
  <c r="AC405" i="4"/>
  <c r="AC451" i="4"/>
  <c r="AU483" i="4"/>
  <c r="K561" i="4"/>
  <c r="H203" i="4"/>
  <c r="AC347" i="4"/>
  <c r="K25" i="4"/>
  <c r="F495" i="4"/>
  <c r="T39" i="4"/>
  <c r="K98" i="4"/>
  <c r="AU565" i="4"/>
  <c r="K129" i="4"/>
  <c r="F208" i="4"/>
  <c r="AU299" i="4"/>
  <c r="K147" i="4"/>
  <c r="K174" i="4"/>
  <c r="AU410" i="4"/>
  <c r="F307" i="4"/>
  <c r="H531" i="4"/>
  <c r="T245" i="4"/>
  <c r="H592" i="4"/>
  <c r="K415" i="4"/>
  <c r="AC500" i="4"/>
  <c r="AL326" i="4"/>
  <c r="AU204" i="4"/>
  <c r="H65" i="4"/>
  <c r="AL392" i="4"/>
  <c r="F394" i="4"/>
  <c r="AC549" i="4"/>
  <c r="H474" i="4"/>
  <c r="F499" i="4"/>
  <c r="F485" i="4"/>
  <c r="H17" i="4"/>
  <c r="AU199" i="4"/>
  <c r="K341" i="4"/>
  <c r="AU435" i="4"/>
  <c r="AC121" i="4"/>
  <c r="AC147" i="4"/>
  <c r="AL272" i="4"/>
  <c r="K453" i="4"/>
  <c r="AC154" i="4"/>
  <c r="AL260" i="4"/>
  <c r="T214" i="4"/>
  <c r="AL290" i="4"/>
  <c r="H340" i="4"/>
  <c r="F471" i="4"/>
  <c r="AC19" i="4"/>
  <c r="AC499" i="4"/>
  <c r="H116" i="4"/>
  <c r="AU31" i="4"/>
  <c r="F603" i="4"/>
  <c r="K518" i="4"/>
  <c r="F484" i="4"/>
  <c r="AU486" i="4"/>
  <c r="AL166" i="4"/>
  <c r="AL165" i="4"/>
  <c r="AU597" i="4"/>
  <c r="F604" i="4"/>
  <c r="H407" i="4"/>
  <c r="H308" i="4"/>
  <c r="T392" i="4"/>
  <c r="H603" i="4"/>
  <c r="AC124" i="4"/>
  <c r="T533" i="4"/>
  <c r="AU515" i="4"/>
  <c r="K283" i="4"/>
  <c r="H235" i="4"/>
  <c r="K269" i="4"/>
  <c r="T485" i="4"/>
  <c r="T309" i="4"/>
  <c r="AL351" i="4"/>
  <c r="T28" i="4"/>
  <c r="F165" i="4"/>
  <c r="AU583" i="4"/>
  <c r="AL170" i="4"/>
  <c r="K375" i="4"/>
  <c r="AU560" i="4"/>
  <c r="F227" i="4"/>
  <c r="AL368" i="4"/>
  <c r="AC536" i="4"/>
  <c r="AL588" i="4"/>
  <c r="T302" i="4"/>
  <c r="K212" i="4"/>
  <c r="T589" i="4"/>
  <c r="AC572" i="4"/>
  <c r="AC349" i="4"/>
  <c r="K544" i="4"/>
  <c r="AU392" i="4"/>
  <c r="H258" i="4"/>
  <c r="T438" i="4"/>
  <c r="K263" i="4"/>
  <c r="AU72" i="4"/>
  <c r="H193" i="4"/>
  <c r="AL421" i="4"/>
  <c r="AU188" i="4"/>
  <c r="F344" i="4"/>
  <c r="AC574" i="4"/>
  <c r="AU602" i="4"/>
  <c r="H555" i="4"/>
  <c r="F170" i="4"/>
  <c r="AU464" i="4"/>
  <c r="K291" i="4"/>
  <c r="AL493" i="4"/>
  <c r="AL174" i="4"/>
  <c r="F298" i="4"/>
  <c r="F537" i="4"/>
  <c r="AU444" i="4"/>
  <c r="H425" i="4"/>
  <c r="AL109" i="4"/>
  <c r="AC265" i="4"/>
  <c r="H548" i="4"/>
  <c r="AL405" i="4"/>
  <c r="H444" i="4"/>
  <c r="H556" i="4"/>
  <c r="AL489" i="4"/>
  <c r="AL507" i="4"/>
  <c r="H576" i="4"/>
  <c r="AU331" i="4"/>
  <c r="AU348" i="4"/>
  <c r="AU499" i="4"/>
  <c r="AC207" i="4"/>
  <c r="K141" i="4"/>
  <c r="K577" i="4"/>
  <c r="AL397" i="4"/>
  <c r="AU599" i="4"/>
  <c r="H539" i="4"/>
  <c r="H344" i="4"/>
  <c r="F384" i="4"/>
  <c r="AU469" i="4"/>
  <c r="F461" i="4"/>
  <c r="AU291" i="4"/>
  <c r="AU492" i="4"/>
  <c r="H546" i="4"/>
  <c r="H508" i="4"/>
  <c r="AL297" i="4"/>
  <c r="AL380" i="4"/>
  <c r="K560" i="4"/>
  <c r="K189" i="4"/>
  <c r="AU388" i="4"/>
  <c r="AL373" i="4"/>
  <c r="AU417" i="4"/>
  <c r="AU159" i="4"/>
  <c r="K150" i="4"/>
  <c r="AC293" i="4"/>
  <c r="F241" i="4"/>
  <c r="AL343" i="4"/>
  <c r="AL526" i="4"/>
  <c r="AC114" i="4"/>
  <c r="T592" i="4"/>
  <c r="K284" i="4"/>
  <c r="AL122" i="4"/>
  <c r="K295" i="4"/>
  <c r="AU540" i="4"/>
  <c r="AU14" i="4"/>
  <c r="AL476" i="4"/>
  <c r="AL156" i="4"/>
  <c r="AL28" i="4"/>
  <c r="T112" i="4"/>
  <c r="AL181" i="4"/>
  <c r="K462" i="4"/>
  <c r="T565" i="4"/>
  <c r="K206" i="4"/>
  <c r="K591" i="4"/>
  <c r="H339" i="4"/>
  <c r="AL527" i="4"/>
  <c r="F50" i="4"/>
  <c r="AL479" i="4"/>
  <c r="AC303" i="4"/>
  <c r="K256" i="4"/>
  <c r="K86" i="4"/>
  <c r="AC87" i="4"/>
  <c r="F143" i="4"/>
  <c r="AC120" i="4"/>
  <c r="AU119" i="4"/>
  <c r="K72" i="4"/>
  <c r="T468" i="4"/>
  <c r="F570" i="4"/>
  <c r="F266" i="4"/>
  <c r="AC443" i="4"/>
  <c r="H405" i="4"/>
  <c r="AC37" i="4"/>
  <c r="H122" i="4"/>
  <c r="AL464" i="4"/>
  <c r="AC8" i="4"/>
  <c r="T223" i="4"/>
  <c r="AC573" i="4"/>
  <c r="T19" i="4"/>
  <c r="F408" i="4"/>
  <c r="F158" i="4"/>
  <c r="AU40" i="4"/>
  <c r="AU49" i="4"/>
  <c r="T481" i="4"/>
  <c r="F55" i="4"/>
  <c r="AL439" i="4"/>
  <c r="H589" i="4"/>
  <c r="T423" i="4"/>
  <c r="F429" i="4"/>
  <c r="K252" i="4"/>
  <c r="T310" i="4"/>
  <c r="T184" i="4"/>
  <c r="T346" i="4"/>
  <c r="AL160" i="4"/>
  <c r="T282" i="4"/>
  <c r="T71" i="4"/>
  <c r="AC109" i="4"/>
  <c r="AL307" i="4"/>
  <c r="F542" i="4"/>
  <c r="AL537" i="4"/>
  <c r="F382" i="4"/>
  <c r="K433" i="4"/>
  <c r="F575" i="4"/>
  <c r="T327" i="4"/>
  <c r="K332" i="4"/>
  <c r="H446" i="4"/>
  <c r="K370" i="4"/>
  <c r="H599" i="4"/>
  <c r="AC217" i="4"/>
  <c r="T179" i="4"/>
  <c r="F261" i="4"/>
  <c r="AU419" i="4"/>
  <c r="AU511" i="4"/>
  <c r="K586" i="4"/>
  <c r="AU212" i="4"/>
  <c r="AL239" i="4"/>
  <c r="AL403" i="4"/>
  <c r="AU13" i="4"/>
  <c r="F113" i="4"/>
  <c r="F436" i="4"/>
  <c r="AC43" i="4"/>
  <c r="AC267" i="4"/>
  <c r="T277" i="4"/>
  <c r="AC98" i="4"/>
  <c r="AL191" i="4"/>
  <c r="K483" i="4"/>
  <c r="AU33" i="4"/>
  <c r="AC310" i="4"/>
  <c r="F131" i="4"/>
  <c r="AU596" i="4"/>
  <c r="H67" i="4"/>
  <c r="T599" i="4"/>
  <c r="AC275" i="4"/>
  <c r="AC260" i="4"/>
  <c r="AL245" i="4"/>
  <c r="AC440" i="4"/>
  <c r="T351" i="4"/>
  <c r="H230" i="4"/>
  <c r="H289" i="4"/>
  <c r="AL141" i="4"/>
  <c r="H16" i="4"/>
  <c r="K299" i="4"/>
  <c r="AC276" i="4"/>
  <c r="AU306" i="4"/>
  <c r="AC73" i="4"/>
  <c r="K73" i="4"/>
  <c r="AC137" i="4"/>
  <c r="K243" i="4"/>
  <c r="T40" i="4"/>
  <c r="T561" i="4"/>
  <c r="F557" i="4"/>
  <c r="F435" i="4"/>
  <c r="AC399" i="4"/>
  <c r="K159" i="4"/>
  <c r="H577" i="4"/>
  <c r="AU26" i="4"/>
  <c r="F534" i="4"/>
  <c r="K297" i="4"/>
  <c r="H485" i="4"/>
  <c r="AU170" i="4"/>
  <c r="AL218" i="4"/>
  <c r="AU37" i="4"/>
  <c r="AL65" i="4"/>
  <c r="AL482" i="4"/>
  <c r="F469" i="4"/>
  <c r="AC558" i="4"/>
  <c r="AU479" i="4"/>
  <c r="AC332" i="4"/>
  <c r="AU214" i="4"/>
  <c r="AU73" i="4"/>
  <c r="F353" i="4"/>
  <c r="AC431" i="4"/>
  <c r="T422" i="4"/>
  <c r="H139" i="4"/>
  <c r="AC390" i="4"/>
  <c r="AU94" i="4"/>
  <c r="H66" i="4"/>
  <c r="K52" i="4"/>
  <c r="AL499" i="4"/>
  <c r="T542" i="4"/>
  <c r="T456" i="4"/>
  <c r="T306" i="4"/>
  <c r="AC192" i="4"/>
  <c r="T156" i="4"/>
  <c r="AU504" i="4"/>
  <c r="H250" i="4"/>
  <c r="H197" i="4"/>
  <c r="AU556" i="4"/>
  <c r="AC177" i="4"/>
  <c r="AC212" i="4"/>
  <c r="H454" i="4"/>
  <c r="F191" i="4"/>
  <c r="AL39" i="4"/>
  <c r="T524" i="4"/>
  <c r="K486" i="4"/>
  <c r="AC470" i="4"/>
  <c r="F82" i="4"/>
  <c r="AU600" i="4"/>
  <c r="K39" i="4"/>
  <c r="AU183" i="4"/>
  <c r="AL233" i="4"/>
  <c r="AU206" i="4"/>
  <c r="H97" i="4"/>
  <c r="K148" i="4"/>
  <c r="K292" i="4"/>
  <c r="AL423" i="4"/>
  <c r="AU245" i="4"/>
  <c r="T525" i="4"/>
  <c r="AC559" i="4"/>
  <c r="AU58" i="4"/>
  <c r="H412" i="4"/>
  <c r="H211" i="4"/>
  <c r="T220" i="4"/>
  <c r="AC181" i="4"/>
  <c r="F431" i="4"/>
  <c r="F110" i="4"/>
  <c r="AC395" i="4"/>
  <c r="F215" i="4"/>
  <c r="AL393" i="4"/>
  <c r="T159" i="4"/>
  <c r="H129" i="4"/>
  <c r="AU451" i="4"/>
  <c r="T330" i="4"/>
  <c r="H268" i="4"/>
  <c r="H199" i="4"/>
  <c r="AU208" i="4"/>
  <c r="T574" i="4"/>
  <c r="H586" i="4"/>
  <c r="AC246" i="4"/>
  <c r="H348" i="4"/>
  <c r="AC425" i="4"/>
  <c r="AL235" i="4"/>
  <c r="K58" i="4"/>
  <c r="AC456" i="4"/>
  <c r="K48" i="4"/>
  <c r="F141" i="4"/>
  <c r="T436" i="4"/>
  <c r="AU363" i="4"/>
  <c r="T225" i="4"/>
  <c r="AU126" i="4"/>
  <c r="K125" i="4"/>
  <c r="AC159" i="4"/>
  <c r="F463" i="4"/>
  <c r="AL81" i="4"/>
  <c r="F595" i="4"/>
  <c r="K563" i="4"/>
  <c r="T412" i="4"/>
  <c r="AU471" i="4"/>
  <c r="H115" i="4"/>
  <c r="AC152" i="4"/>
  <c r="T499" i="4"/>
  <c r="K403" i="4"/>
  <c r="AU158" i="4"/>
  <c r="K321" i="4"/>
  <c r="H146" i="4"/>
  <c r="AU589" i="4"/>
  <c r="K441" i="4"/>
  <c r="H371" i="4"/>
  <c r="AC601" i="4"/>
  <c r="AC102" i="4"/>
  <c r="AL490" i="4"/>
  <c r="F372" i="4"/>
  <c r="AC309" i="4"/>
  <c r="AC459" i="4"/>
  <c r="AU367" i="4"/>
  <c r="AL452" i="4"/>
  <c r="T376" i="4"/>
  <c r="AL288" i="4"/>
  <c r="AU77" i="4"/>
  <c r="AU289" i="4"/>
  <c r="T60" i="4"/>
  <c r="H145" i="4"/>
  <c r="K12" i="4"/>
  <c r="T49" i="4"/>
  <c r="AU302" i="4"/>
  <c r="AU503" i="4"/>
  <c r="K526" i="4"/>
  <c r="AU123" i="4"/>
  <c r="AL349" i="4"/>
  <c r="T495" i="4"/>
  <c r="AL175" i="4"/>
  <c r="AC445" i="4"/>
  <c r="AC222" i="4"/>
  <c r="AU104" i="4"/>
  <c r="H131" i="4"/>
  <c r="T386" i="4"/>
  <c r="AL273" i="4"/>
  <c r="AU448" i="4"/>
  <c r="H249" i="4"/>
  <c r="AU103" i="4"/>
  <c r="AU488" i="4"/>
  <c r="K528" i="4"/>
  <c r="T132" i="4"/>
  <c r="H84" i="4"/>
  <c r="AU200" i="4"/>
  <c r="K397" i="4"/>
  <c r="H266" i="4"/>
  <c r="AC252" i="4"/>
  <c r="AC10" i="4"/>
  <c r="H346" i="4"/>
  <c r="AC541" i="4"/>
  <c r="AL84" i="4"/>
  <c r="F112" i="4"/>
  <c r="AC545" i="4"/>
  <c r="F60" i="4"/>
  <c r="AL300" i="4"/>
  <c r="F23" i="4"/>
  <c r="AC218" i="4"/>
  <c r="AC178" i="4"/>
  <c r="H217" i="4"/>
  <c r="K231" i="4"/>
  <c r="K390" i="4"/>
  <c r="K99" i="4"/>
  <c r="AC401" i="4"/>
  <c r="AU340" i="4"/>
  <c r="AC224" i="4"/>
  <c r="AC140" i="4"/>
  <c r="AL41" i="4"/>
  <c r="K536" i="4"/>
  <c r="AU445" i="4"/>
  <c r="AU211" i="4"/>
  <c r="F45" i="4"/>
  <c r="F144" i="4"/>
  <c r="T90" i="4"/>
  <c r="K78" i="4"/>
  <c r="AC70" i="4"/>
  <c r="AC82" i="4"/>
  <c r="AU196" i="4"/>
  <c r="T47" i="4"/>
  <c r="K43" i="4"/>
  <c r="AL457" i="4"/>
  <c r="AL533" i="4"/>
  <c r="K258" i="4"/>
  <c r="AU530" i="4"/>
  <c r="AU48" i="4"/>
  <c r="AL354" i="4"/>
  <c r="AU601" i="4"/>
  <c r="F567" i="4"/>
  <c r="AU439" i="4"/>
  <c r="AU552" i="4"/>
  <c r="F190" i="4"/>
  <c r="H417" i="4"/>
  <c r="T136" i="4"/>
  <c r="K569" i="4"/>
  <c r="AU514" i="4"/>
  <c r="H179" i="4"/>
  <c r="T339" i="4"/>
  <c r="F38" i="4"/>
  <c r="K513" i="4"/>
  <c r="K248" i="4"/>
  <c r="H189" i="4"/>
  <c r="AC343" i="4"/>
  <c r="AU571" i="4"/>
  <c r="K181" i="4"/>
  <c r="K157" i="4"/>
  <c r="F551" i="4"/>
  <c r="K438" i="4"/>
  <c r="AU29" i="4"/>
  <c r="AU39" i="4"/>
  <c r="S438" i="4" l="1"/>
  <c r="BC438" i="4"/>
  <c r="BC157" i="4"/>
  <c r="S157" i="4"/>
  <c r="BC181" i="4"/>
  <c r="S181" i="4"/>
  <c r="AK343" i="4"/>
  <c r="S248" i="4"/>
  <c r="BC248" i="4"/>
  <c r="S513" i="4"/>
  <c r="BC513" i="4"/>
  <c r="A38" i="4"/>
  <c r="AB339" i="4"/>
  <c r="BC569" i="4"/>
  <c r="S569" i="4"/>
  <c r="AB136" i="4"/>
  <c r="A190" i="4"/>
  <c r="AT354" i="4"/>
  <c r="BC258" i="4"/>
  <c r="S258" i="4"/>
  <c r="AT533" i="4"/>
  <c r="AT457" i="4"/>
  <c r="BC43" i="4"/>
  <c r="S43" i="4"/>
  <c r="AB47" i="4"/>
  <c r="AK82" i="4"/>
  <c r="AK70" i="4"/>
  <c r="BC78" i="4"/>
  <c r="S78" i="4"/>
  <c r="AB90" i="4"/>
  <c r="A144" i="4"/>
  <c r="A45" i="4"/>
  <c r="S536" i="4"/>
  <c r="BC536" i="4"/>
  <c r="AT41" i="4"/>
  <c r="AK140" i="4"/>
  <c r="AK224" i="4"/>
  <c r="AK401" i="4"/>
  <c r="S99" i="4"/>
  <c r="BC99" i="4"/>
  <c r="S390" i="4"/>
  <c r="BC390" i="4"/>
  <c r="S231" i="4"/>
  <c r="BC231" i="4"/>
  <c r="AK178" i="4"/>
  <c r="AK218" i="4"/>
  <c r="A23" i="4"/>
  <c r="AT300" i="4"/>
  <c r="A60" i="4"/>
  <c r="AK545" i="4"/>
  <c r="A112" i="4"/>
  <c r="AT84" i="4"/>
  <c r="AK541" i="4"/>
  <c r="AK10" i="4"/>
  <c r="AK252" i="4"/>
  <c r="BC397" i="4"/>
  <c r="S397" i="4"/>
  <c r="AB132" i="4"/>
  <c r="S528" i="4"/>
  <c r="BC528" i="4"/>
  <c r="AT273" i="4"/>
  <c r="AB386" i="4"/>
  <c r="AK222" i="4"/>
  <c r="AK445" i="4"/>
  <c r="AT175" i="4"/>
  <c r="AB495" i="4"/>
  <c r="AT349" i="4"/>
  <c r="S526" i="4"/>
  <c r="BC526" i="4"/>
  <c r="AB49" i="4"/>
  <c r="S12" i="4"/>
  <c r="BC12" i="4"/>
  <c r="AB60" i="4"/>
  <c r="AT288" i="4"/>
  <c r="AB376" i="4"/>
  <c r="AT452" i="4"/>
  <c r="AK459" i="4"/>
  <c r="AK309" i="4"/>
  <c r="AT490" i="4"/>
  <c r="AK102" i="4"/>
  <c r="AK601" i="4"/>
  <c r="BC441" i="4"/>
  <c r="S441" i="4"/>
  <c r="BC321" i="4"/>
  <c r="S321" i="4"/>
  <c r="S403" i="4"/>
  <c r="BC403" i="4"/>
  <c r="AB499" i="4"/>
  <c r="AK152" i="4"/>
  <c r="AB412" i="4"/>
  <c r="BC563" i="4"/>
  <c r="S563" i="4"/>
  <c r="AT81" i="4"/>
  <c r="AK159" i="4"/>
  <c r="S125" i="4"/>
  <c r="BC125" i="4"/>
  <c r="AB225" i="4"/>
  <c r="AB436" i="4"/>
  <c r="A141" i="4"/>
  <c r="BC48" i="4"/>
  <c r="S48" i="4"/>
  <c r="AK456" i="4"/>
  <c r="S58" i="4"/>
  <c r="BC58" i="4"/>
  <c r="AT235" i="4"/>
  <c r="AK425" i="4"/>
  <c r="AK246" i="4"/>
  <c r="AB574" i="4"/>
  <c r="AB330" i="4"/>
  <c r="AB159" i="4"/>
  <c r="AT393" i="4"/>
  <c r="A215" i="4"/>
  <c r="AK395" i="4"/>
  <c r="A110" i="4"/>
  <c r="AK181" i="4"/>
  <c r="AB220" i="4"/>
  <c r="AK559" i="4"/>
  <c r="AB525" i="4"/>
  <c r="AT423" i="4"/>
  <c r="BC292" i="4"/>
  <c r="S292" i="4"/>
  <c r="BC148" i="4"/>
  <c r="S148" i="4"/>
  <c r="AT233" i="4"/>
  <c r="S39" i="4"/>
  <c r="A82" i="4"/>
  <c r="AK470" i="4"/>
  <c r="BC486" i="4"/>
  <c r="S486" i="4"/>
  <c r="AB524" i="4"/>
  <c r="AT39" i="4"/>
  <c r="A191" i="4"/>
  <c r="AK212" i="4"/>
  <c r="AK177" i="4"/>
  <c r="AB156" i="4"/>
  <c r="AK192" i="4"/>
  <c r="AB306" i="4"/>
  <c r="AB456" i="4"/>
  <c r="AB542" i="4"/>
  <c r="AT499" i="4"/>
  <c r="S52" i="4"/>
  <c r="BC52" i="4"/>
  <c r="AK390" i="4"/>
  <c r="AB422" i="4"/>
  <c r="AK431" i="4"/>
  <c r="AK332" i="4"/>
  <c r="AK558" i="4"/>
  <c r="AT482" i="4"/>
  <c r="AT65" i="4"/>
  <c r="AT218" i="4"/>
  <c r="S297" i="4"/>
  <c r="BC297" i="4"/>
  <c r="S159" i="4"/>
  <c r="BC159" i="4"/>
  <c r="AK399" i="4"/>
  <c r="AB561" i="4"/>
  <c r="AB40" i="4"/>
  <c r="BC243" i="4"/>
  <c r="S243" i="4"/>
  <c r="AK137" i="4"/>
  <c r="BC73" i="4"/>
  <c r="S73" i="4"/>
  <c r="AK73" i="4"/>
  <c r="AK276" i="4"/>
  <c r="BC299" i="4"/>
  <c r="S299" i="4"/>
  <c r="AT141" i="4"/>
  <c r="AB351" i="4"/>
  <c r="AK440" i="4"/>
  <c r="AT245" i="4"/>
  <c r="AK260" i="4"/>
  <c r="AK275" i="4"/>
  <c r="AB599" i="4"/>
  <c r="A131" i="4"/>
  <c r="AK310" i="4"/>
  <c r="S483" i="4"/>
  <c r="BC483" i="4"/>
  <c r="AT191" i="4"/>
  <c r="AK98" i="4"/>
  <c r="AB277" i="4"/>
  <c r="AK267" i="4"/>
  <c r="AK43" i="4"/>
  <c r="A113" i="4"/>
  <c r="AT403" i="4"/>
  <c r="AT239" i="4"/>
  <c r="S586" i="4"/>
  <c r="BC586" i="4"/>
  <c r="AB179" i="4"/>
  <c r="AK217" i="4"/>
  <c r="S370" i="4"/>
  <c r="BC370" i="4"/>
  <c r="S332" i="4"/>
  <c r="BC332" i="4"/>
  <c r="AB327" i="4"/>
  <c r="BC433" i="4"/>
  <c r="S433" i="4"/>
  <c r="AT537" i="4"/>
  <c r="AT307" i="4"/>
  <c r="AK109" i="4"/>
  <c r="AB71" i="4"/>
  <c r="AB282" i="4"/>
  <c r="AT160" i="4"/>
  <c r="AB346" i="4"/>
  <c r="AB184" i="4"/>
  <c r="AB310" i="4"/>
  <c r="BC252" i="4"/>
  <c r="S252" i="4"/>
  <c r="AB423" i="4"/>
  <c r="AT439" i="4"/>
  <c r="A55" i="4"/>
  <c r="AB481" i="4"/>
  <c r="A158" i="4"/>
  <c r="AB19" i="4"/>
  <c r="AK573" i="4"/>
  <c r="AB223" i="4"/>
  <c r="AK8" i="4"/>
  <c r="AT464" i="4"/>
  <c r="AK37" i="4"/>
  <c r="AK443" i="4"/>
  <c r="AB468" i="4"/>
  <c r="BC72" i="4"/>
  <c r="S72" i="4"/>
  <c r="AK120" i="4"/>
  <c r="A143" i="4"/>
  <c r="AK87" i="4"/>
  <c r="S86" i="4"/>
  <c r="BC86" i="4"/>
  <c r="S256" i="4"/>
  <c r="BC256" i="4"/>
  <c r="AK303" i="4"/>
  <c r="AT479" i="4"/>
  <c r="A50" i="4"/>
  <c r="AT527" i="4"/>
  <c r="S591" i="4"/>
  <c r="BC591" i="4"/>
  <c r="S206" i="4"/>
  <c r="BC206" i="4"/>
  <c r="AB565" i="4"/>
  <c r="S462" i="4"/>
  <c r="BC462" i="4"/>
  <c r="AT181" i="4"/>
  <c r="AB112" i="4"/>
  <c r="AT28" i="4"/>
  <c r="AT156" i="4"/>
  <c r="AT476" i="4"/>
  <c r="S295" i="4"/>
  <c r="BC295" i="4"/>
  <c r="AT122" i="4"/>
  <c r="BC284" i="4"/>
  <c r="S284" i="4"/>
  <c r="AB592" i="4"/>
  <c r="AK114" i="4"/>
  <c r="AT526" i="4"/>
  <c r="AT343" i="4"/>
  <c r="A241" i="4"/>
  <c r="AK293" i="4"/>
  <c r="BC150" i="4"/>
  <c r="S150" i="4"/>
  <c r="AT373" i="4"/>
  <c r="S189" i="4"/>
  <c r="BC189" i="4"/>
  <c r="BC560" i="4"/>
  <c r="S560" i="4"/>
  <c r="AT380" i="4"/>
  <c r="AT297" i="4"/>
  <c r="AT397" i="4"/>
  <c r="S577" i="4"/>
  <c r="BC577" i="4"/>
  <c r="S141" i="4"/>
  <c r="BC141" i="4"/>
  <c r="AK207" i="4"/>
  <c r="AT507" i="4"/>
  <c r="AT489" i="4"/>
  <c r="AT405" i="4"/>
  <c r="AK265" i="4"/>
  <c r="AT109" i="4"/>
  <c r="AT174" i="4"/>
  <c r="AT493" i="4"/>
  <c r="S291" i="4"/>
  <c r="BC291" i="4"/>
  <c r="A170" i="4"/>
  <c r="AK574" i="4"/>
  <c r="AT421" i="4"/>
  <c r="BC263" i="4"/>
  <c r="S263" i="4"/>
  <c r="AB438" i="4"/>
  <c r="S544" i="4"/>
  <c r="BC544" i="4"/>
  <c r="AK349" i="4"/>
  <c r="AK572" i="4"/>
  <c r="AB589" i="4"/>
  <c r="BC212" i="4"/>
  <c r="S212" i="4"/>
  <c r="AB302" i="4"/>
  <c r="AT588" i="4"/>
  <c r="AK536" i="4"/>
  <c r="AT368" i="4"/>
  <c r="A227" i="4"/>
  <c r="BC375" i="4"/>
  <c r="S375" i="4"/>
  <c r="AT170" i="4"/>
  <c r="A165" i="4"/>
  <c r="AB28" i="4"/>
  <c r="AT351" i="4"/>
  <c r="AB309" i="4"/>
  <c r="AB485" i="4"/>
  <c r="S269" i="4"/>
  <c r="BC269" i="4"/>
  <c r="S283" i="4"/>
  <c r="BC283" i="4"/>
  <c r="AB533" i="4"/>
  <c r="AK124" i="4"/>
  <c r="AB392" i="4"/>
  <c r="AT165" i="4"/>
  <c r="AT166" i="4"/>
  <c r="S518" i="4"/>
  <c r="BC518" i="4"/>
  <c r="AK499" i="4"/>
  <c r="AK19" i="4"/>
  <c r="AT290" i="4"/>
  <c r="AB214" i="4"/>
  <c r="AT260" i="4"/>
  <c r="AK154" i="4"/>
  <c r="BC453" i="4"/>
  <c r="S453" i="4"/>
  <c r="AT272" i="4"/>
  <c r="AK147" i="4"/>
  <c r="AK121" i="4"/>
  <c r="BC341" i="4"/>
  <c r="S341" i="4"/>
  <c r="AK549" i="4"/>
  <c r="AT392" i="4"/>
  <c r="AT326" i="4"/>
  <c r="AK500" i="4"/>
  <c r="BC415" i="4"/>
  <c r="S415" i="4"/>
  <c r="AB245" i="4"/>
  <c r="S174" i="4"/>
  <c r="BC174" i="4"/>
  <c r="BC147" i="4"/>
  <c r="S147" i="4"/>
  <c r="A208" i="4"/>
  <c r="S129" i="4"/>
  <c r="BC129" i="4"/>
  <c r="S98" i="4"/>
  <c r="BC98" i="4"/>
  <c r="AB39" i="4"/>
  <c r="S25" i="4"/>
  <c r="BC25" i="4"/>
  <c r="AK347" i="4"/>
  <c r="BC561" i="4"/>
  <c r="S561" i="4"/>
  <c r="AK451" i="4"/>
  <c r="AK405" i="4"/>
  <c r="AT280" i="4"/>
  <c r="S573" i="4"/>
  <c r="BC573" i="4"/>
  <c r="A70" i="4"/>
  <c r="AT366" i="4"/>
  <c r="S193" i="4"/>
  <c r="BC193" i="4"/>
  <c r="AB124" i="4"/>
  <c r="AK69" i="4"/>
  <c r="S187" i="4"/>
  <c r="BC187" i="4"/>
  <c r="A252" i="4"/>
  <c r="S407" i="4"/>
  <c r="BC407" i="4"/>
  <c r="AB165" i="4"/>
  <c r="BC275" i="4"/>
  <c r="S275" i="4"/>
  <c r="AK225" i="4"/>
  <c r="S492" i="4"/>
  <c r="BC492" i="4"/>
  <c r="AB8" i="4"/>
  <c r="AT93" i="4"/>
  <c r="AB213" i="4"/>
  <c r="AK567" i="4"/>
  <c r="AT238" i="4"/>
  <c r="A64" i="4"/>
  <c r="AT195" i="4"/>
  <c r="S489" i="4"/>
  <c r="BC489" i="4"/>
  <c r="AK47" i="4"/>
  <c r="BC76" i="4"/>
  <c r="S76" i="4"/>
  <c r="A169" i="4"/>
  <c r="AB190" i="4"/>
  <c r="AK125" i="4"/>
  <c r="AT10" i="4"/>
  <c r="AT66" i="4"/>
  <c r="A19" i="4"/>
  <c r="AB183" i="4"/>
  <c r="A99" i="4"/>
  <c r="AT298" i="4"/>
  <c r="AB457" i="4"/>
  <c r="A77" i="4"/>
  <c r="AT64" i="4"/>
  <c r="AB578" i="4"/>
  <c r="A121" i="4"/>
  <c r="BC520" i="4"/>
  <c r="S520" i="4"/>
  <c r="AT82" i="4"/>
  <c r="AT539" i="4"/>
  <c r="BC223" i="4"/>
  <c r="S223" i="4"/>
  <c r="A236" i="4"/>
  <c r="BC242" i="4"/>
  <c r="S242" i="4"/>
  <c r="BC199" i="4"/>
  <c r="S199" i="4"/>
  <c r="AT595" i="4"/>
  <c r="S411" i="4"/>
  <c r="BC411" i="4"/>
  <c r="BC102" i="4"/>
  <c r="S102" i="4"/>
  <c r="AK521" i="4"/>
  <c r="BC423" i="4"/>
  <c r="S423" i="4"/>
  <c r="A194" i="4"/>
  <c r="AT85" i="4"/>
  <c r="AK600" i="4"/>
  <c r="AK552" i="4"/>
  <c r="AB144" i="4"/>
  <c r="AT567" i="4"/>
  <c r="AK568" i="4"/>
  <c r="S576" i="4"/>
  <c r="BC576" i="4"/>
  <c r="BC259" i="4"/>
  <c r="S259" i="4"/>
  <c r="AT474" i="4"/>
  <c r="AT322" i="4"/>
  <c r="AB513" i="4"/>
  <c r="AB473" i="4"/>
  <c r="BC274" i="4"/>
  <c r="S274" i="4"/>
  <c r="AK27" i="4"/>
  <c r="AT241" i="4"/>
  <c r="AB126" i="4"/>
  <c r="S523" i="4"/>
  <c r="BC523" i="4"/>
  <c r="AB458" i="4"/>
  <c r="AB82" i="4"/>
  <c r="AT384" i="4"/>
  <c r="AK603" i="4"/>
  <c r="AB426" i="4"/>
  <c r="A234" i="4"/>
  <c r="S245" i="4"/>
  <c r="BC245" i="4"/>
  <c r="AB68" i="4"/>
  <c r="BC176" i="4"/>
  <c r="S176" i="4"/>
  <c r="A183" i="4"/>
  <c r="AK491" i="4"/>
  <c r="S342" i="4"/>
  <c r="BC342" i="4"/>
  <c r="S334" i="4"/>
  <c r="BC334" i="4"/>
  <c r="AK364" i="4"/>
  <c r="A91" i="4"/>
  <c r="AK535" i="4"/>
  <c r="AT9" i="4"/>
  <c r="S571" i="4"/>
  <c r="BC571" i="4"/>
  <c r="AT293" i="4"/>
  <c r="AK256" i="4"/>
  <c r="AK534" i="4"/>
  <c r="AK421" i="4"/>
  <c r="AB234" i="4"/>
  <c r="BC282" i="4"/>
  <c r="S282" i="4"/>
  <c r="AT169" i="4"/>
  <c r="BC195" i="4"/>
  <c r="S195" i="4"/>
  <c r="A166" i="4"/>
  <c r="AT568" i="4"/>
  <c r="A22" i="4"/>
  <c r="AT54" i="4"/>
  <c r="AK118" i="4"/>
  <c r="AB241" i="4"/>
  <c r="AK167" i="4"/>
  <c r="BC112" i="4"/>
  <c r="S112" i="4"/>
  <c r="AB177" i="4"/>
  <c r="AK292" i="4"/>
  <c r="AB329" i="4"/>
  <c r="AK356" i="4"/>
  <c r="BC396" i="4"/>
  <c r="S396" i="4"/>
  <c r="S114" i="4"/>
  <c r="BC114" i="4"/>
  <c r="AT545" i="4"/>
  <c r="S572" i="4"/>
  <c r="BC572" i="4"/>
  <c r="AK433" i="4"/>
  <c r="A103" i="4"/>
  <c r="BC346" i="4"/>
  <c r="S346" i="4"/>
  <c r="AK111" i="4"/>
  <c r="AB573" i="4"/>
  <c r="AB370" i="4"/>
  <c r="S171" i="4"/>
  <c r="BC171" i="4"/>
  <c r="AK400" i="4"/>
  <c r="AK575" i="4"/>
  <c r="BC18" i="4"/>
  <c r="S18" i="4"/>
  <c r="AK285" i="4"/>
  <c r="AT159" i="4"/>
  <c r="AB296" i="4"/>
  <c r="AK138" i="4"/>
  <c r="AT515" i="4"/>
  <c r="BC422" i="4"/>
  <c r="S422" i="4"/>
  <c r="AB95" i="4"/>
  <c r="A52" i="4"/>
  <c r="AK81" i="4"/>
  <c r="BC372" i="4"/>
  <c r="S372" i="4"/>
  <c r="AB18" i="4"/>
  <c r="AB271" i="4"/>
  <c r="AT365" i="4"/>
  <c r="AK14" i="4"/>
  <c r="S21" i="4"/>
  <c r="BC21" i="4"/>
  <c r="AB591" i="4"/>
  <c r="AK39" i="4"/>
  <c r="AK283" i="4"/>
  <c r="BC303" i="4"/>
  <c r="S303" i="4"/>
  <c r="AB261" i="4"/>
  <c r="S498" i="4"/>
  <c r="BC498" i="4"/>
  <c r="AB273" i="4"/>
  <c r="AB280" i="4"/>
  <c r="AB111" i="4"/>
  <c r="BC307" i="4"/>
  <c r="S307" i="4"/>
  <c r="BC318" i="4"/>
  <c r="S318" i="4"/>
  <c r="S74" i="4"/>
  <c r="BC74" i="4"/>
  <c r="AB37" i="4"/>
  <c r="AT388" i="4"/>
  <c r="A94" i="4"/>
  <c r="AK66" i="4"/>
  <c r="AT338" i="4"/>
  <c r="AT600" i="4"/>
  <c r="AK539" i="4"/>
  <c r="AK498" i="4"/>
  <c r="S534" i="4"/>
  <c r="BC534" i="4"/>
  <c r="AB100" i="4"/>
  <c r="AB238" i="4"/>
  <c r="AT125" i="4"/>
  <c r="AB448" i="4"/>
  <c r="BC408" i="4"/>
  <c r="S408" i="4"/>
  <c r="AK11" i="4"/>
  <c r="AB13" i="4"/>
  <c r="AT154" i="4"/>
  <c r="AT117" i="4"/>
  <c r="AT360" i="4"/>
  <c r="AT425" i="4"/>
  <c r="AK561" i="4"/>
  <c r="AT503" i="4"/>
  <c r="AK365" i="4"/>
  <c r="AB291" i="4"/>
  <c r="BC152" i="4"/>
  <c r="S152" i="4"/>
  <c r="AK334" i="4"/>
  <c r="AB129" i="4"/>
  <c r="BC429" i="4"/>
  <c r="S429" i="4"/>
  <c r="AB217" i="4"/>
  <c r="AT447" i="4"/>
  <c r="AT274" i="4"/>
  <c r="S416" i="4"/>
  <c r="BC416" i="4"/>
  <c r="BC512" i="4"/>
  <c r="S512" i="4"/>
  <c r="AT580" i="4"/>
  <c r="AK523" i="4"/>
  <c r="AK592" i="4"/>
  <c r="AB154" i="4"/>
  <c r="BC326" i="4"/>
  <c r="S326" i="4"/>
  <c r="AK337" i="4"/>
  <c r="AB377" i="4"/>
  <c r="AB382" i="4"/>
  <c r="AK406" i="4"/>
  <c r="AK398" i="4"/>
  <c r="BC120" i="4"/>
  <c r="S120" i="4"/>
  <c r="AT232" i="4"/>
  <c r="AB81" i="4"/>
  <c r="A54" i="4"/>
  <c r="AT282" i="4"/>
  <c r="AK533" i="4"/>
  <c r="AB371" i="4"/>
  <c r="AT45" i="4"/>
  <c r="BC267" i="4"/>
  <c r="S267" i="4"/>
  <c r="AK130" i="4"/>
  <c r="AB173" i="4"/>
  <c r="AT138" i="4"/>
  <c r="AB585" i="4"/>
  <c r="BC562" i="4"/>
  <c r="S562" i="4"/>
  <c r="AT387" i="4"/>
  <c r="AK68" i="4"/>
  <c r="AT129" i="4"/>
  <c r="S358" i="4"/>
  <c r="BC358" i="4"/>
  <c r="AK156" i="4"/>
  <c r="AT528" i="4"/>
  <c r="AT557" i="4"/>
  <c r="S142" i="4"/>
  <c r="BC142" i="4"/>
  <c r="S481" i="4"/>
  <c r="BC481" i="4"/>
  <c r="AK23" i="4"/>
  <c r="S36" i="4"/>
  <c r="BC36" i="4"/>
  <c r="AK437" i="4"/>
  <c r="AT27" i="4"/>
  <c r="AB461" i="4"/>
  <c r="AB331" i="4"/>
  <c r="AT460" i="4"/>
  <c r="AB16" i="4"/>
  <c r="BC327" i="4"/>
  <c r="S327" i="4"/>
  <c r="AK485" i="4"/>
  <c r="AB413" i="4"/>
  <c r="A250" i="4"/>
  <c r="AT234" i="4"/>
  <c r="AK48" i="4"/>
  <c r="AK391" i="4"/>
  <c r="AK93" i="4"/>
  <c r="AK263" i="4"/>
  <c r="AT577" i="4"/>
  <c r="AT345" i="4"/>
  <c r="S505" i="4"/>
  <c r="BC505" i="4"/>
  <c r="AK524" i="4"/>
  <c r="S529" i="4"/>
  <c r="BC529" i="4"/>
  <c r="BC138" i="4"/>
  <c r="S138" i="4"/>
  <c r="A79" i="4"/>
  <c r="S393" i="4"/>
  <c r="BC393" i="4"/>
  <c r="BC270" i="4"/>
  <c r="S270" i="4"/>
  <c r="S96" i="4"/>
  <c r="BC96" i="4"/>
  <c r="AT68" i="4"/>
  <c r="A120" i="4"/>
  <c r="AK361" i="4"/>
  <c r="AB86" i="4"/>
  <c r="AT576" i="4"/>
  <c r="AT332" i="4"/>
  <c r="AT177" i="4"/>
  <c r="AB402" i="4"/>
  <c r="S409" i="4"/>
  <c r="BC409" i="4"/>
  <c r="A202" i="4"/>
  <c r="AB553" i="4"/>
  <c r="BC436" i="4"/>
  <c r="S436" i="4"/>
  <c r="AB87" i="4"/>
  <c r="BC42" i="4"/>
  <c r="S42" i="4"/>
  <c r="AK50" i="4"/>
  <c r="AK238" i="4"/>
  <c r="AK553" i="4"/>
  <c r="AT74" i="4"/>
  <c r="S85" i="4"/>
  <c r="BC85" i="4"/>
  <c r="AT179" i="4"/>
  <c r="BC444" i="4"/>
  <c r="S444" i="4"/>
  <c r="S305" i="4"/>
  <c r="BC305" i="4"/>
  <c r="AB503" i="4"/>
  <c r="S369" i="4"/>
  <c r="BC369" i="4"/>
  <c r="BC313" i="4"/>
  <c r="S313" i="4"/>
  <c r="BC542" i="4"/>
  <c r="S542" i="4"/>
  <c r="AB240" i="4"/>
  <c r="AT578" i="4"/>
  <c r="S280" i="4"/>
  <c r="BC280" i="4"/>
  <c r="AT467" i="4"/>
  <c r="AB191" i="4"/>
  <c r="AK441" i="4"/>
  <c r="AT210" i="4"/>
  <c r="A228" i="4"/>
  <c r="BC579" i="4"/>
  <c r="S579" i="4"/>
  <c r="BC525" i="4"/>
  <c r="S525" i="4"/>
  <c r="AB539" i="4"/>
  <c r="AB575" i="4"/>
  <c r="S414" i="4"/>
  <c r="BC414" i="4"/>
  <c r="BC598" i="4"/>
  <c r="S598" i="4"/>
  <c r="BC143" i="4"/>
  <c r="S143" i="4"/>
  <c r="AT97" i="4"/>
  <c r="AK40" i="4"/>
  <c r="AK185" i="4"/>
  <c r="AK15" i="4"/>
  <c r="AT516" i="4"/>
  <c r="AT496" i="4"/>
  <c r="AT418" i="4"/>
  <c r="BC580" i="4"/>
  <c r="S580" i="4"/>
  <c r="AK420" i="4"/>
  <c r="S376" i="4"/>
  <c r="BC376" i="4"/>
  <c r="S63" i="4"/>
  <c r="BC63" i="4"/>
  <c r="AT603" i="4"/>
  <c r="AK76" i="4"/>
  <c r="AT463" i="4"/>
  <c r="AB466" i="4"/>
  <c r="S293" i="4"/>
  <c r="BC293" i="4"/>
  <c r="BC239" i="4"/>
  <c r="S239" i="4"/>
  <c r="A200" i="4"/>
  <c r="AB11" i="4"/>
  <c r="AB293" i="4"/>
  <c r="AK288" i="4"/>
  <c r="BC144" i="4"/>
  <c r="S144" i="4"/>
  <c r="AK55" i="4"/>
  <c r="AB454" i="4"/>
  <c r="A129" i="4"/>
  <c r="AT356" i="4"/>
  <c r="BC350" i="4"/>
  <c r="S350" i="4"/>
  <c r="A172" i="4"/>
  <c r="S209" i="4"/>
  <c r="BC209" i="4"/>
  <c r="AK107" i="4"/>
  <c r="BC590" i="4"/>
  <c r="S590" i="4"/>
  <c r="AB419" i="4"/>
  <c r="AK557" i="4"/>
  <c r="S473" i="4"/>
  <c r="BC473" i="4"/>
  <c r="AK341" i="4"/>
  <c r="S316" i="4"/>
  <c r="BC316" i="4"/>
  <c r="AB83" i="4"/>
  <c r="AK385" i="4"/>
  <c r="S482" i="4"/>
  <c r="BC482" i="4"/>
  <c r="BC439" i="4"/>
  <c r="S439" i="4"/>
  <c r="S363" i="4"/>
  <c r="BC363" i="4"/>
  <c r="A130" i="4"/>
  <c r="AK150" i="4"/>
  <c r="BC474" i="4"/>
  <c r="S474" i="4"/>
  <c r="AB427" i="4"/>
  <c r="AT481" i="4"/>
  <c r="AB149" i="4"/>
  <c r="AB166" i="4"/>
  <c r="AB164" i="4"/>
  <c r="AB540" i="4"/>
  <c r="AT172" i="4"/>
  <c r="AB158" i="4"/>
  <c r="AB441" i="4"/>
  <c r="AK74" i="4"/>
  <c r="S495" i="4"/>
  <c r="BC495" i="4"/>
  <c r="AK142" i="4"/>
  <c r="AK199" i="4"/>
  <c r="S154" i="4"/>
  <c r="BC154" i="4"/>
  <c r="A157" i="4"/>
  <c r="AT310" i="4"/>
  <c r="S238" i="4"/>
  <c r="BC238" i="4"/>
  <c r="A159" i="4"/>
  <c r="BC432" i="4"/>
  <c r="S432" i="4"/>
  <c r="AT363" i="4"/>
  <c r="A154" i="4"/>
  <c r="BC317" i="4"/>
  <c r="S317" i="4"/>
  <c r="AT462" i="4"/>
  <c r="S254" i="4"/>
  <c r="BC254" i="4"/>
  <c r="A224" i="4"/>
  <c r="AK599" i="4"/>
  <c r="AT163" i="4"/>
  <c r="AB222" i="4"/>
  <c r="AB364" i="4"/>
  <c r="AB197" i="4"/>
  <c r="AK416" i="4"/>
  <c r="AK165" i="4"/>
  <c r="BC509" i="4"/>
  <c r="S509" i="4"/>
  <c r="A216" i="4"/>
  <c r="AK432" i="4"/>
  <c r="AK244" i="4"/>
  <c r="AK86" i="4"/>
  <c r="AT599" i="4"/>
  <c r="S451" i="4"/>
  <c r="BC451" i="4"/>
  <c r="AB320" i="4"/>
  <c r="AB63" i="4"/>
  <c r="AT162" i="4"/>
  <c r="A186" i="4"/>
  <c r="BC395" i="4"/>
  <c r="S395" i="4"/>
  <c r="AT519" i="4"/>
  <c r="G64" i="21"/>
  <c r="AT7" i="4"/>
  <c r="Y6" i="21"/>
  <c r="G64" i="15"/>
  <c r="Y25" i="21"/>
  <c r="Y6" i="15"/>
  <c r="Y25" i="15"/>
  <c r="AB208" i="4"/>
  <c r="AK335" i="4"/>
  <c r="A245" i="4"/>
  <c r="AT509" i="4"/>
  <c r="AT335" i="4"/>
  <c r="AB157" i="4"/>
  <c r="S200" i="4"/>
  <c r="BC200" i="4"/>
  <c r="AB316" i="4"/>
  <c r="AB493" i="4"/>
  <c r="S71" i="4"/>
  <c r="BC71" i="4"/>
  <c r="S592" i="4"/>
  <c r="BC592" i="4"/>
  <c r="AT355" i="4"/>
  <c r="AB450" i="4"/>
  <c r="S247" i="4"/>
  <c r="BC247" i="4"/>
  <c r="BC53" i="4"/>
  <c r="S53" i="4"/>
  <c r="AK468" i="4"/>
  <c r="S570" i="4"/>
  <c r="BC570" i="4"/>
  <c r="AT231" i="4"/>
  <c r="AB249" i="4"/>
  <c r="AK315" i="4"/>
  <c r="S220" i="4"/>
  <c r="BC220" i="4"/>
  <c r="AB416" i="4"/>
  <c r="AK448" i="4"/>
  <c r="AT158" i="4"/>
  <c r="AK454" i="4"/>
  <c r="S26" i="4"/>
  <c r="BC26" i="4"/>
  <c r="BC425" i="4"/>
  <c r="S425" i="4"/>
  <c r="AB488" i="4"/>
  <c r="AK57" i="4"/>
  <c r="AK569" i="4"/>
  <c r="A229" i="4"/>
  <c r="AB262" i="4"/>
  <c r="BC497" i="4"/>
  <c r="S497" i="4"/>
  <c r="BC340" i="4"/>
  <c r="S340" i="4"/>
  <c r="A160" i="4"/>
  <c r="AT390" i="4"/>
  <c r="AT47" i="4"/>
  <c r="A40" i="4"/>
  <c r="A240" i="4"/>
  <c r="A85" i="4"/>
  <c r="AT431" i="4"/>
  <c r="AB264" i="4"/>
  <c r="AK422" i="4"/>
  <c r="AT512" i="4"/>
  <c r="AB596" i="4"/>
  <c r="AT132" i="4"/>
  <c r="S80" i="4"/>
  <c r="BC80" i="4"/>
  <c r="AB133" i="4"/>
  <c r="AK439" i="4"/>
  <c r="AB519" i="4"/>
  <c r="AK344" i="4"/>
  <c r="AK204" i="4"/>
  <c r="AB368" i="4"/>
  <c r="A138" i="4"/>
  <c r="AK208" i="4"/>
  <c r="AK143" i="4"/>
  <c r="AB505" i="4"/>
  <c r="AB34" i="4"/>
  <c r="AT23" i="4"/>
  <c r="S589" i="4"/>
  <c r="BC589" i="4"/>
  <c r="AT115" i="4"/>
  <c r="AT197" i="4"/>
  <c r="AB518" i="4"/>
  <c r="AK230" i="4"/>
  <c r="A168" i="4"/>
  <c r="AT358" i="4"/>
  <c r="A116" i="4"/>
  <c r="AK359" i="4"/>
  <c r="BC132" i="4"/>
  <c r="S132" i="4"/>
  <c r="AB235" i="4"/>
  <c r="AB604" i="4"/>
  <c r="AT569" i="4"/>
  <c r="AT541" i="4"/>
  <c r="AB12" i="4"/>
  <c r="S348" i="4"/>
  <c r="BC348" i="4"/>
  <c r="AK588" i="4"/>
  <c r="AT510" i="4"/>
  <c r="A105" i="4"/>
  <c r="AK122" i="4"/>
  <c r="AT378" i="4"/>
  <c r="S309" i="4"/>
  <c r="BC309" i="4"/>
  <c r="AT350" i="4"/>
  <c r="AB319" i="4"/>
  <c r="AB431" i="4"/>
  <c r="AB44" i="4"/>
  <c r="AK412" i="4"/>
  <c r="AB443" i="4"/>
  <c r="AK104" i="4"/>
  <c r="BC400" i="4"/>
  <c r="S400" i="4"/>
  <c r="S448" i="4"/>
  <c r="BC448" i="4"/>
  <c r="AB207" i="4"/>
  <c r="BC205" i="4"/>
  <c r="S205" i="4"/>
  <c r="S210" i="4"/>
  <c r="BC210" i="4"/>
  <c r="AK21" i="4"/>
  <c r="BC502" i="4"/>
  <c r="S502" i="4"/>
  <c r="A80" i="4"/>
  <c r="AK579" i="4"/>
  <c r="AT374" i="4"/>
  <c r="AK444" i="4"/>
  <c r="AT337" i="4"/>
  <c r="AK176" i="4"/>
  <c r="AK428" i="4"/>
  <c r="AT552" i="4"/>
  <c r="AK264" i="4"/>
  <c r="AK418" i="4"/>
  <c r="A15" i="4"/>
  <c r="AB381" i="4"/>
  <c r="AK214" i="4"/>
  <c r="AT402" i="4"/>
  <c r="AK551" i="4"/>
  <c r="BC302" i="4"/>
  <c r="S302" i="4"/>
  <c r="AB248" i="4"/>
  <c r="AK94" i="4"/>
  <c r="AK278" i="4"/>
  <c r="AK85" i="4"/>
  <c r="S90" i="4"/>
  <c r="BC90" i="4"/>
  <c r="AK369" i="4"/>
  <c r="AB9" i="4"/>
  <c r="AT602" i="4"/>
  <c r="BC556" i="4"/>
  <c r="S556" i="4"/>
  <c r="AK197" i="4"/>
  <c r="AT263" i="4"/>
  <c r="AT465" i="4"/>
  <c r="AB342" i="4"/>
  <c r="AB549" i="4"/>
  <c r="AT167" i="4"/>
  <c r="AK447" i="4"/>
  <c r="AT564" i="4"/>
  <c r="AK286" i="4"/>
  <c r="AK116" i="4"/>
  <c r="AK51" i="4"/>
  <c r="AK479" i="4"/>
  <c r="AT207" i="4"/>
  <c r="S217" i="4"/>
  <c r="BC217" i="4"/>
  <c r="AK340" i="4"/>
  <c r="AT92" i="4"/>
  <c r="AK203" i="4"/>
  <c r="AT530" i="4"/>
  <c r="BC378" i="4"/>
  <c r="S378" i="4"/>
  <c r="AT451" i="4"/>
  <c r="AT305" i="4"/>
  <c r="AK295" i="4"/>
  <c r="AB114" i="4"/>
  <c r="AB151" i="4"/>
  <c r="S349" i="4"/>
  <c r="BC349" i="4"/>
  <c r="AT333" i="4"/>
  <c r="AK372" i="4"/>
  <c r="AT150" i="4"/>
  <c r="AB375" i="4"/>
  <c r="AK153" i="4"/>
  <c r="AT204" i="4"/>
  <c r="A163" i="4"/>
  <c r="AK434" i="4"/>
  <c r="A210" i="4"/>
  <c r="AB91" i="4"/>
  <c r="AT414" i="4"/>
  <c r="AT485" i="4"/>
  <c r="AB292" i="4"/>
  <c r="BC28" i="4"/>
  <c r="S28" i="4"/>
  <c r="AK149" i="4"/>
  <c r="BC455" i="4"/>
  <c r="S455" i="4"/>
  <c r="AT249" i="4"/>
  <c r="A16" i="4"/>
  <c r="A219" i="4"/>
  <c r="AB487" i="4"/>
  <c r="AB334" i="4"/>
  <c r="BC308" i="4"/>
  <c r="S308" i="4"/>
  <c r="AB406" i="4"/>
  <c r="AT500" i="4"/>
  <c r="AB531" i="4"/>
  <c r="A132" i="4"/>
  <c r="BC107" i="4"/>
  <c r="S107" i="4"/>
  <c r="AB78" i="4"/>
  <c r="S501" i="4"/>
  <c r="BC501" i="4"/>
  <c r="AB295" i="4"/>
  <c r="AK237" i="4"/>
  <c r="AT137" i="4"/>
  <c r="AB52" i="4"/>
  <c r="BC268" i="4"/>
  <c r="S268" i="4"/>
  <c r="BC559" i="4"/>
  <c r="S559" i="4"/>
  <c r="AB303" i="4"/>
  <c r="S105" i="4"/>
  <c r="BC105" i="4"/>
  <c r="AK259" i="4"/>
  <c r="AK476" i="4"/>
  <c r="AT171" i="4"/>
  <c r="AT229" i="4"/>
  <c r="AK472" i="4"/>
  <c r="S108" i="4"/>
  <c r="BC108" i="4"/>
  <c r="AB506" i="4"/>
  <c r="S401" i="4"/>
  <c r="BC401" i="4"/>
  <c r="AK135" i="4"/>
  <c r="A155" i="4"/>
  <c r="S201" i="4"/>
  <c r="BC201" i="4"/>
  <c r="BC477" i="4"/>
  <c r="S477" i="4"/>
  <c r="AK355" i="4"/>
  <c r="AB366" i="4"/>
  <c r="AT113" i="4"/>
  <c r="BC339" i="4"/>
  <c r="S339" i="4"/>
  <c r="AB527" i="4"/>
  <c r="S394" i="4"/>
  <c r="BC394" i="4"/>
  <c r="AT271" i="4"/>
  <c r="BC70" i="4"/>
  <c r="S70" i="4"/>
  <c r="AB265" i="4"/>
  <c r="AK319" i="4"/>
  <c r="AB440" i="4"/>
  <c r="AB332" i="4"/>
  <c r="AT209" i="4"/>
  <c r="AB415" i="4"/>
  <c r="AK527" i="4"/>
  <c r="AB10" i="4"/>
  <c r="AK164" i="4"/>
  <c r="AB285" i="4"/>
  <c r="S111" i="4"/>
  <c r="BC111" i="4"/>
  <c r="BC100" i="4"/>
  <c r="S100" i="4"/>
  <c r="BC265" i="4"/>
  <c r="S265" i="4"/>
  <c r="AB287" i="4"/>
  <c r="BC404" i="4"/>
  <c r="S404" i="4"/>
  <c r="AK36" i="4"/>
  <c r="AT59" i="4"/>
  <c r="AK166" i="4"/>
  <c r="AT56" i="4"/>
  <c r="AT67" i="4"/>
  <c r="AK528" i="4"/>
  <c r="AT513" i="4"/>
  <c r="AK183" i="4"/>
  <c r="AK501" i="4"/>
  <c r="AB199" i="4"/>
  <c r="AT151" i="4"/>
  <c r="BC172" i="4"/>
  <c r="S172" i="4"/>
  <c r="AB462" i="4"/>
  <c r="S519" i="4"/>
  <c r="BC519" i="4"/>
  <c r="AT492" i="4"/>
  <c r="AT495" i="4"/>
  <c r="AB584" i="4"/>
  <c r="AK136" i="4"/>
  <c r="A189" i="4"/>
  <c r="A89" i="4"/>
  <c r="AT124" i="4"/>
  <c r="AB337" i="4"/>
  <c r="AB79" i="4"/>
  <c r="BC260" i="4"/>
  <c r="S260" i="4"/>
  <c r="BC123" i="4"/>
  <c r="S123" i="4"/>
  <c r="AT472" i="4"/>
  <c r="BC155" i="4"/>
  <c r="S155" i="4"/>
  <c r="A123" i="4"/>
  <c r="S456" i="4"/>
  <c r="BC456" i="4"/>
  <c r="BC565" i="4"/>
  <c r="S565" i="4"/>
  <c r="AK453" i="4"/>
  <c r="A74" i="4"/>
  <c r="AT558" i="4"/>
  <c r="BC312" i="4"/>
  <c r="S312" i="4"/>
  <c r="AT362" i="4"/>
  <c r="AK280" i="4"/>
  <c r="AB218" i="4"/>
  <c r="S164" i="4"/>
  <c r="BC164" i="4"/>
  <c r="AT521" i="4"/>
  <c r="AT11" i="4"/>
  <c r="AK88" i="4"/>
  <c r="A13" i="4"/>
  <c r="AT283" i="4"/>
  <c r="AK438" i="4"/>
  <c r="AK469" i="4"/>
  <c r="AB59" i="4"/>
  <c r="AK195" i="4"/>
  <c r="S224" i="4"/>
  <c r="BC224" i="4"/>
  <c r="AB160" i="4"/>
  <c r="AK53" i="4"/>
  <c r="A127" i="4"/>
  <c r="BC49" i="4"/>
  <c r="S49" i="4"/>
  <c r="AT370" i="4"/>
  <c r="AT46" i="4"/>
  <c r="AB398" i="4"/>
  <c r="BC507" i="4"/>
  <c r="S507" i="4"/>
  <c r="AT211" i="4"/>
  <c r="AB403" i="4"/>
  <c r="AK317" i="4"/>
  <c r="AT508" i="4"/>
  <c r="AT471" i="4"/>
  <c r="AK393" i="4"/>
  <c r="AT265" i="4"/>
  <c r="AB48" i="4"/>
  <c r="AB489" i="4"/>
  <c r="S306" i="4"/>
  <c r="BC306" i="4"/>
  <c r="S387" i="4"/>
  <c r="BC387" i="4"/>
  <c r="A146" i="4"/>
  <c r="AB555" i="4"/>
  <c r="AK262" i="4"/>
  <c r="AT436" i="4"/>
  <c r="AB536" i="4"/>
  <c r="AT415" i="4"/>
  <c r="AB564" i="4"/>
  <c r="BC428" i="4"/>
  <c r="S428" i="4"/>
  <c r="S130" i="4"/>
  <c r="BC130" i="4"/>
  <c r="AB567" i="4"/>
  <c r="AK158" i="4"/>
  <c r="AB36" i="4"/>
  <c r="AK290" i="4"/>
  <c r="A151" i="4"/>
  <c r="AB389" i="4"/>
  <c r="BC38" i="4"/>
  <c r="S38" i="4"/>
  <c r="BC503" i="4"/>
  <c r="S503" i="4"/>
  <c r="AT445" i="4"/>
  <c r="AB269" i="4"/>
  <c r="BC66" i="4"/>
  <c r="S66" i="4"/>
  <c r="AK550" i="4"/>
  <c r="AK306" i="4"/>
  <c r="AK329" i="4"/>
  <c r="AB470" i="4"/>
  <c r="A109" i="4"/>
  <c r="AK404" i="4"/>
  <c r="AB590" i="4"/>
  <c r="AB580" i="4"/>
  <c r="AT114" i="4"/>
  <c r="AB433" i="4"/>
  <c r="AB270" i="4"/>
  <c r="AB399" i="4"/>
  <c r="AB417" i="4"/>
  <c r="AK215" i="4"/>
  <c r="AT198" i="4"/>
  <c r="AK171" i="4"/>
  <c r="BC514" i="4"/>
  <c r="S514" i="4"/>
  <c r="A90" i="4"/>
  <c r="AB252" i="4"/>
  <c r="AK71" i="4"/>
  <c r="AK417" i="4"/>
  <c r="AT484" i="4"/>
  <c r="BC8" i="4"/>
  <c r="S8" i="4"/>
  <c r="AK338" i="4"/>
  <c r="AK161" i="4"/>
  <c r="AT20" i="4"/>
  <c r="AT168" i="4"/>
  <c r="BC539" i="4"/>
  <c r="S539" i="4"/>
  <c r="AK18" i="4"/>
  <c r="AK492" i="4"/>
  <c r="AB601" i="4"/>
  <c r="S104" i="4"/>
  <c r="BC104" i="4"/>
  <c r="AK318" i="4"/>
  <c r="AT26" i="4"/>
  <c r="BC196" i="4"/>
  <c r="S196" i="4"/>
  <c r="AT520" i="4"/>
  <c r="A71" i="4"/>
  <c r="AB300" i="4"/>
  <c r="AT437" i="4"/>
  <c r="AB483" i="4"/>
  <c r="AB62" i="4"/>
  <c r="A104" i="4"/>
  <c r="AK233" i="4"/>
  <c r="BC426" i="4"/>
  <c r="S426" i="4"/>
  <c r="AT91" i="4"/>
  <c r="AB511" i="4"/>
  <c r="AT518" i="4"/>
  <c r="AT404" i="4"/>
  <c r="AB294" i="4"/>
  <c r="BC301" i="4"/>
  <c r="S301" i="4"/>
  <c r="BC382" i="4"/>
  <c r="S382" i="4"/>
  <c r="AK477" i="4"/>
  <c r="AK327" i="4"/>
  <c r="AB362" i="4"/>
  <c r="AT205" i="4"/>
  <c r="AT15" i="4"/>
  <c r="AK504" i="4"/>
  <c r="A48" i="4"/>
  <c r="AT108" i="4"/>
  <c r="A214" i="4"/>
  <c r="A162" i="4"/>
  <c r="AK578" i="4"/>
  <c r="AB152" i="4"/>
  <c r="A53" i="4"/>
  <c r="AB498" i="4"/>
  <c r="AB211" i="4"/>
  <c r="AB517" i="4"/>
  <c r="AB118" i="4"/>
  <c r="AK522" i="4"/>
  <c r="AK54" i="4"/>
  <c r="AK446" i="4"/>
  <c r="S538" i="4"/>
  <c r="BC538" i="4"/>
  <c r="AT560" i="4"/>
  <c r="S381" i="4"/>
  <c r="BC381" i="4"/>
  <c r="AT306" i="4"/>
  <c r="S135" i="4"/>
  <c r="BC135" i="4"/>
  <c r="AT441" i="4"/>
  <c r="AK452" i="4"/>
  <c r="A27" i="4"/>
  <c r="AK323" i="4"/>
  <c r="AT413" i="4"/>
  <c r="A66" i="4"/>
  <c r="AT502" i="4"/>
  <c r="AB544" i="4"/>
  <c r="AB410" i="4"/>
  <c r="AT538" i="4"/>
  <c r="AT228" i="4"/>
  <c r="AT488" i="4"/>
  <c r="AT571" i="4"/>
  <c r="AT221" i="4"/>
  <c r="BC225" i="4"/>
  <c r="S225" i="4"/>
  <c r="BC277" i="4"/>
  <c r="S277" i="4"/>
  <c r="AK314" i="4"/>
  <c r="S257" i="4"/>
  <c r="BC257" i="4"/>
  <c r="AT60" i="4"/>
  <c r="S175" i="4"/>
  <c r="BC175" i="4"/>
  <c r="AT562" i="4"/>
  <c r="AB257" i="4"/>
  <c r="AB594" i="4"/>
  <c r="BC361" i="4"/>
  <c r="S361" i="4"/>
  <c r="A203" i="4"/>
  <c r="AT250" i="4"/>
  <c r="AT148" i="4"/>
  <c r="AT453" i="4"/>
  <c r="AB425" i="4"/>
  <c r="AT314" i="4"/>
  <c r="AT16" i="4"/>
  <c r="AT237" i="4"/>
  <c r="S35" i="4"/>
  <c r="BC35" i="4"/>
  <c r="AT491" i="4"/>
  <c r="AK253" i="4"/>
  <c r="S469" i="4"/>
  <c r="BC469" i="4"/>
  <c r="AB89" i="4"/>
  <c r="S14" i="4"/>
  <c r="BC14" i="4"/>
  <c r="AB340" i="4"/>
  <c r="AT395" i="4"/>
  <c r="AT266" i="4"/>
  <c r="AB322" i="4"/>
  <c r="A137" i="4"/>
  <c r="AT14" i="4"/>
  <c r="AB369" i="4"/>
  <c r="AB395" i="4"/>
  <c r="AB429" i="4"/>
  <c r="BC601" i="4"/>
  <c r="S601" i="4"/>
  <c r="AB391" i="4"/>
  <c r="AK513" i="4"/>
  <c r="BC388" i="4"/>
  <c r="S388" i="4"/>
  <c r="AT178" i="4"/>
  <c r="AT8" i="4"/>
  <c r="AB523" i="4"/>
  <c r="S95" i="4"/>
  <c r="BC95" i="4"/>
  <c r="AB321" i="4"/>
  <c r="BC264" i="4"/>
  <c r="S264" i="4"/>
  <c r="AT565" i="4"/>
  <c r="AT417" i="4"/>
  <c r="AT303" i="4"/>
  <c r="AT409" i="4"/>
  <c r="AB260" i="4"/>
  <c r="AK210" i="4"/>
  <c r="AB193" i="4"/>
  <c r="AB474" i="4"/>
  <c r="AK41" i="4"/>
  <c r="BC532" i="4"/>
  <c r="S532" i="4"/>
  <c r="AT110" i="4"/>
  <c r="AK46" i="4"/>
  <c r="AT186" i="4"/>
  <c r="BC366" i="4"/>
  <c r="S366" i="4"/>
  <c r="AT424" i="4"/>
  <c r="AB428" i="4"/>
  <c r="A247" i="4"/>
  <c r="S202" i="4"/>
  <c r="BC202" i="4"/>
  <c r="AT50" i="4"/>
  <c r="BC83" i="4"/>
  <c r="S83" i="4"/>
  <c r="AK162" i="4"/>
  <c r="BC177" i="4"/>
  <c r="S177" i="4"/>
  <c r="AT379" i="4"/>
  <c r="AT522" i="4"/>
  <c r="A101" i="4"/>
  <c r="AT140" i="4"/>
  <c r="S506" i="4"/>
  <c r="BC506" i="4"/>
  <c r="BC402" i="4"/>
  <c r="S402" i="4"/>
  <c r="AK219" i="4"/>
  <c r="AK565" i="4"/>
  <c r="AB278" i="4"/>
  <c r="AK353" i="4"/>
  <c r="AK300" i="4"/>
  <c r="BC521" i="4"/>
  <c r="S521" i="4"/>
  <c r="AB490" i="4"/>
  <c r="AB181" i="4"/>
  <c r="BC548" i="4"/>
  <c r="S548" i="4"/>
  <c r="AB80" i="4"/>
  <c r="AT103" i="4"/>
  <c r="AB356" i="4"/>
  <c r="AB502" i="4"/>
  <c r="A67" i="4"/>
  <c r="AB583" i="4"/>
  <c r="AK31" i="4"/>
  <c r="AT302" i="4"/>
  <c r="S251" i="4"/>
  <c r="BC251" i="4"/>
  <c r="AK250" i="4"/>
  <c r="AT111" i="4"/>
  <c r="AT385" i="4"/>
  <c r="AB202" i="4"/>
  <c r="AK520" i="4"/>
  <c r="AT127" i="4"/>
  <c r="AB504" i="4"/>
  <c r="AK282" i="4"/>
  <c r="AT61" i="4"/>
  <c r="AT446" i="4"/>
  <c r="AK196" i="4"/>
  <c r="AB408" i="4"/>
  <c r="BC357" i="4"/>
  <c r="S357" i="4"/>
  <c r="AT52" i="4"/>
  <c r="AT473" i="4"/>
  <c r="AT131" i="4"/>
  <c r="AK115" i="4"/>
  <c r="A231" i="4"/>
  <c r="AB102" i="4"/>
  <c r="S581" i="4"/>
  <c r="BC581" i="4"/>
  <c r="AK254" i="4"/>
  <c r="S288" i="4"/>
  <c r="BC288" i="4"/>
  <c r="S168" i="4"/>
  <c r="BC168" i="4"/>
  <c r="AK426" i="4"/>
  <c r="BC126" i="4"/>
  <c r="S126" i="4"/>
  <c r="AK514" i="4"/>
  <c r="S359" i="4"/>
  <c r="BC359" i="4"/>
  <c r="S540" i="4"/>
  <c r="BC540" i="4"/>
  <c r="A246" i="4"/>
  <c r="AT341" i="4"/>
  <c r="BC81" i="4"/>
  <c r="S81" i="4"/>
  <c r="AK194" i="4"/>
  <c r="AB449" i="4"/>
  <c r="AB464" i="4"/>
  <c r="A117" i="4"/>
  <c r="BC347" i="4"/>
  <c r="S347" i="4"/>
  <c r="AK213" i="4"/>
  <c r="AK187" i="4"/>
  <c r="AB379" i="4"/>
  <c r="A62" i="4"/>
  <c r="A125" i="4"/>
  <c r="BC249" i="4"/>
  <c r="S249" i="4"/>
  <c r="AB122" i="4"/>
  <c r="AB66" i="4"/>
  <c r="A63" i="4"/>
  <c r="AB378" i="4"/>
  <c r="AB437" i="4"/>
  <c r="AB554" i="4"/>
  <c r="AB64" i="4"/>
  <c r="A133" i="4"/>
  <c r="AB246" i="4"/>
  <c r="AT101" i="4"/>
  <c r="A11" i="4"/>
  <c r="AK56" i="4"/>
  <c r="AK387" i="4"/>
  <c r="AB141" i="4"/>
  <c r="AB98" i="4"/>
  <c r="AT292" i="4"/>
  <c r="BC588" i="4"/>
  <c r="S588" i="4"/>
  <c r="AK110" i="4"/>
  <c r="AK59" i="4"/>
  <c r="BC471" i="4"/>
  <c r="S471" i="4"/>
  <c r="AB242" i="4"/>
  <c r="AK75" i="4"/>
  <c r="AK35" i="4"/>
  <c r="AK271" i="4"/>
  <c r="AT144" i="4"/>
  <c r="AB424" i="4"/>
  <c r="AK378" i="4"/>
  <c r="AT458" i="4"/>
  <c r="AK384" i="4"/>
  <c r="S304" i="4"/>
  <c r="BC304" i="4"/>
  <c r="AB538" i="4"/>
  <c r="AT551" i="4"/>
  <c r="AK301" i="4"/>
  <c r="AK287" i="4"/>
  <c r="AT291" i="4"/>
  <c r="A83" i="4"/>
  <c r="BC31" i="4"/>
  <c r="S31" i="4"/>
  <c r="BC294" i="4"/>
  <c r="S294" i="4"/>
  <c r="AB123" i="4"/>
  <c r="S183" i="4"/>
  <c r="BC183" i="4"/>
  <c r="AK367" i="4"/>
  <c r="AT592" i="4"/>
  <c r="AT214" i="4"/>
  <c r="AT80" i="4"/>
  <c r="AK155" i="4"/>
  <c r="S121" i="4"/>
  <c r="BC121" i="4"/>
  <c r="BC383" i="4"/>
  <c r="S383" i="4"/>
  <c r="A124" i="4"/>
  <c r="AK113" i="4"/>
  <c r="AK336" i="4"/>
  <c r="AK144" i="4"/>
  <c r="BC585" i="4"/>
  <c r="S585" i="4"/>
  <c r="AB194" i="4"/>
  <c r="AB349" i="4"/>
  <c r="S604" i="4"/>
  <c r="BC604" i="4"/>
  <c r="AT594" i="4"/>
  <c r="S323" i="4"/>
  <c r="BC323" i="4"/>
  <c r="AT377" i="4"/>
  <c r="AB290" i="4"/>
  <c r="AT487" i="4"/>
  <c r="BC128" i="4"/>
  <c r="S128" i="4"/>
  <c r="A181" i="4"/>
  <c r="S418" i="4"/>
  <c r="BC418" i="4"/>
  <c r="AT319" i="4"/>
  <c r="AT188" i="4"/>
  <c r="AK324" i="4"/>
  <c r="S203" i="4"/>
  <c r="BC203" i="4"/>
  <c r="AK370" i="4"/>
  <c r="AK49" i="4"/>
  <c r="AB143" i="4"/>
  <c r="S262" i="4"/>
  <c r="BC262" i="4"/>
  <c r="AK502" i="4"/>
  <c r="AT601" i="4"/>
  <c r="AK180" i="4"/>
  <c r="AK248" i="4"/>
  <c r="S34" i="4"/>
  <c r="BC34" i="4"/>
  <c r="AB396" i="4"/>
  <c r="AB492" i="4"/>
  <c r="BC449" i="4"/>
  <c r="S449" i="4"/>
  <c r="AB134" i="4"/>
  <c r="AB43" i="4"/>
  <c r="A235" i="4"/>
  <c r="AK223" i="4"/>
  <c r="AK427" i="4"/>
  <c r="AT77" i="4"/>
  <c r="BC178" i="4"/>
  <c r="S178" i="4"/>
  <c r="AB476" i="4"/>
  <c r="A248" i="4"/>
  <c r="AT173" i="4"/>
  <c r="AT267" i="4"/>
  <c r="AT480" i="4"/>
  <c r="AK473" i="4"/>
  <c r="S380" i="4"/>
  <c r="BC380" i="4"/>
  <c r="AT407" i="4"/>
  <c r="BC241" i="4"/>
  <c r="S241" i="4"/>
  <c r="A81" i="4"/>
  <c r="AK342" i="4"/>
  <c r="AB145" i="4"/>
  <c r="AT477" i="4"/>
  <c r="AB42" i="4"/>
  <c r="S373" i="4"/>
  <c r="BC373" i="4"/>
  <c r="AK128" i="4"/>
  <c r="AT394" i="4"/>
  <c r="AK243" i="4"/>
  <c r="AK163" i="4"/>
  <c r="AB74" i="4"/>
  <c r="AB507" i="4"/>
  <c r="S84" i="4"/>
  <c r="BC84" i="4"/>
  <c r="AB153" i="4"/>
  <c r="AT18" i="4"/>
  <c r="AK455" i="4"/>
  <c r="S136" i="4"/>
  <c r="BC136" i="4"/>
  <c r="BC119" i="4"/>
  <c r="S119" i="4"/>
  <c r="AK191" i="4"/>
  <c r="AK228" i="4"/>
  <c r="BC328" i="4"/>
  <c r="S328" i="4"/>
  <c r="S198" i="4"/>
  <c r="BC198" i="4"/>
  <c r="AB31" i="4"/>
  <c r="AK357" i="4"/>
  <c r="BC552" i="4"/>
  <c r="S552" i="4"/>
  <c r="AK157" i="4"/>
  <c r="AB352" i="4"/>
  <c r="AB85" i="4"/>
  <c r="AT213" i="4"/>
  <c r="BC377" i="4"/>
  <c r="S377" i="4"/>
  <c r="AK362" i="4"/>
  <c r="A184" i="4"/>
  <c r="AB418" i="4"/>
  <c r="AB26" i="4"/>
  <c r="AK95" i="4"/>
  <c r="AB75" i="4"/>
  <c r="AT275" i="4"/>
  <c r="AB119" i="4"/>
  <c r="AK141" i="4"/>
  <c r="AK582" i="4"/>
  <c r="AB380" i="4"/>
  <c r="K6" i="15"/>
  <c r="AB7" i="4"/>
  <c r="K6" i="21"/>
  <c r="E64" i="15"/>
  <c r="E64" i="21"/>
  <c r="K25" i="15"/>
  <c r="K25" i="21"/>
  <c r="AB175" i="4"/>
  <c r="AT145" i="4"/>
  <c r="S447" i="4"/>
  <c r="BC447" i="4"/>
  <c r="AB557" i="4"/>
  <c r="A180" i="4"/>
  <c r="AT438" i="4"/>
  <c r="AB307" i="4"/>
  <c r="AK519" i="4"/>
  <c r="AT76" i="4"/>
  <c r="AT443" i="4"/>
  <c r="AK471" i="4"/>
  <c r="A239" i="4"/>
  <c r="AT100" i="4"/>
  <c r="AT12" i="4"/>
  <c r="AT559" i="4"/>
  <c r="AT73" i="4"/>
  <c r="AT112" i="4"/>
  <c r="AK407" i="4"/>
  <c r="AT34" i="4"/>
  <c r="AK368" i="4"/>
  <c r="S430" i="4"/>
  <c r="BC430" i="4"/>
  <c r="S602" i="4"/>
  <c r="BC602" i="4"/>
  <c r="AK294" i="4"/>
  <c r="AT225" i="4"/>
  <c r="AT69" i="4"/>
  <c r="S158" i="4"/>
  <c r="BC158" i="4"/>
  <c r="AB479" i="4"/>
  <c r="AK96" i="4"/>
  <c r="S109" i="4"/>
  <c r="BC109" i="4"/>
  <c r="AB442" i="4"/>
  <c r="AB57" i="4"/>
  <c r="BC51" i="4"/>
  <c r="S51" i="4"/>
  <c r="AB219" i="4"/>
  <c r="S77" i="4"/>
  <c r="BC77" i="4"/>
  <c r="AT427" i="4"/>
  <c r="A61" i="4"/>
  <c r="AB96" i="4"/>
  <c r="BC557" i="4"/>
  <c r="S557" i="4"/>
  <c r="BC567" i="4"/>
  <c r="S567" i="4"/>
  <c r="AB258" i="4"/>
  <c r="AT468" i="4"/>
  <c r="AB200" i="4"/>
  <c r="A14" i="4"/>
  <c r="AK564" i="4"/>
  <c r="A209" i="4"/>
  <c r="S384" i="4"/>
  <c r="BC384" i="4"/>
  <c r="S460" i="4"/>
  <c r="BC460" i="4"/>
  <c r="AT83" i="4"/>
  <c r="BC420" i="4"/>
  <c r="S420" i="4"/>
  <c r="AB69" i="4"/>
  <c r="AT253" i="4"/>
  <c r="A97" i="4"/>
  <c r="AT325" i="4"/>
  <c r="AK205" i="4"/>
  <c r="AK297" i="4"/>
  <c r="AB227" i="4"/>
  <c r="A204" i="4"/>
  <c r="AB414" i="4"/>
  <c r="S443" i="4"/>
  <c r="BC443" i="4"/>
  <c r="AT334" i="4"/>
  <c r="A57" i="4"/>
  <c r="AK20" i="4"/>
  <c r="AK379" i="4"/>
  <c r="AB283" i="4"/>
  <c r="AB548" i="4"/>
  <c r="BC169" i="4"/>
  <c r="S169" i="4"/>
  <c r="AK449" i="4"/>
  <c r="S554" i="4"/>
  <c r="BC554" i="4"/>
  <c r="AT396" i="4"/>
  <c r="AK366" i="4"/>
  <c r="AB176" i="4"/>
  <c r="A96" i="4"/>
  <c r="AB128" i="4"/>
  <c r="S463" i="4"/>
  <c r="BC463" i="4"/>
  <c r="S11" i="4"/>
  <c r="BC11" i="4"/>
  <c r="S161" i="4"/>
  <c r="BC161" i="4"/>
  <c r="AK507" i="4"/>
  <c r="A206" i="4"/>
  <c r="A47" i="4"/>
  <c r="S211" i="4"/>
  <c r="BC211" i="4"/>
  <c r="BC424" i="4"/>
  <c r="S424" i="4"/>
  <c r="AK363" i="4"/>
  <c r="BC549" i="4"/>
  <c r="S549" i="4"/>
  <c r="AK80" i="4"/>
  <c r="AK515" i="4"/>
  <c r="AT590" i="4"/>
  <c r="AB547" i="4"/>
  <c r="AK226" i="4"/>
  <c r="AB267" i="4"/>
  <c r="AT185" i="4"/>
  <c r="AB50" i="4"/>
  <c r="AB147" i="4"/>
  <c r="AT86" i="4"/>
  <c r="AK92" i="4"/>
  <c r="A75" i="4"/>
  <c r="AB552" i="4"/>
  <c r="S582" i="4"/>
  <c r="BC582" i="4"/>
  <c r="BC153" i="4"/>
  <c r="S153" i="4"/>
  <c r="AB116" i="4"/>
  <c r="AB189" i="4"/>
  <c r="AT331" i="4"/>
  <c r="AT128" i="4"/>
  <c r="AK200" i="4"/>
  <c r="AT219" i="4"/>
  <c r="BC92" i="4"/>
  <c r="S92" i="4"/>
  <c r="AK296" i="4"/>
  <c r="AB230" i="4"/>
  <c r="AK112" i="4"/>
  <c r="AB297" i="4"/>
  <c r="S468" i="4"/>
  <c r="BC468" i="4"/>
  <c r="AT248" i="4"/>
  <c r="AT104" i="4"/>
  <c r="AK495" i="4"/>
  <c r="AT317" i="4"/>
  <c r="AT70" i="4"/>
  <c r="S287" i="4"/>
  <c r="BC287" i="4"/>
  <c r="AT550" i="4"/>
  <c r="AK478" i="4"/>
  <c r="AB469" i="4"/>
  <c r="A136" i="4"/>
  <c r="BC197" i="4"/>
  <c r="S197" i="4"/>
  <c r="AT222" i="4"/>
  <c r="AK403" i="4"/>
  <c r="A51" i="4"/>
  <c r="A148" i="60"/>
  <c r="A84" i="49"/>
  <c r="A263" i="49"/>
  <c r="A193" i="49"/>
  <c r="A145" i="57"/>
  <c r="A259" i="49"/>
  <c r="A154" i="60"/>
  <c r="A173" i="49"/>
  <c r="A295" i="49"/>
  <c r="A68" i="57"/>
  <c r="A191" i="57"/>
  <c r="A254" i="57"/>
  <c r="A124" i="60"/>
  <c r="A285" i="57"/>
  <c r="A128" i="49"/>
  <c r="A35" i="49"/>
  <c r="A36" i="62"/>
  <c r="A218" i="49"/>
  <c r="A100" i="57"/>
  <c r="A127" i="60"/>
  <c r="A61" i="49"/>
  <c r="A194" i="49"/>
  <c r="A124" i="49"/>
  <c r="A112" i="60"/>
  <c r="A172" i="57"/>
  <c r="A208" i="49"/>
  <c r="A80" i="57"/>
  <c r="A80" i="49"/>
  <c r="A132" i="60"/>
  <c r="A186" i="49"/>
  <c r="A136" i="57"/>
  <c r="A63" i="49"/>
  <c r="A284" i="49"/>
  <c r="A17" i="60"/>
  <c r="A250" i="57"/>
  <c r="A135" i="57"/>
  <c r="A58" i="57"/>
  <c r="A143" i="57"/>
  <c r="A153" i="57"/>
  <c r="A150" i="57"/>
  <c r="A7" i="57"/>
  <c r="A113" i="49"/>
  <c r="A287" i="57"/>
  <c r="A276" i="49"/>
  <c r="A158" i="60"/>
  <c r="A33" i="57"/>
  <c r="A273" i="49"/>
  <c r="A198" i="49"/>
  <c r="A140" i="60"/>
  <c r="A264" i="57"/>
  <c r="A253" i="57"/>
  <c r="A210" i="57"/>
  <c r="A119" i="49"/>
  <c r="A117" i="60"/>
  <c r="A86" i="60"/>
  <c r="A144" i="49"/>
  <c r="A12" i="57"/>
  <c r="A252" i="49"/>
  <c r="A247" i="57"/>
  <c r="A85" i="49"/>
  <c r="A8" i="4"/>
  <c r="A78" i="60"/>
  <c r="A217" i="57"/>
  <c r="A212" i="49"/>
  <c r="A82" i="49"/>
  <c r="A269" i="49"/>
  <c r="A251" i="57"/>
  <c r="A209" i="57"/>
  <c r="A110" i="49"/>
  <c r="A157" i="60"/>
  <c r="A155" i="60"/>
  <c r="A132" i="49"/>
  <c r="A167" i="49"/>
  <c r="A185" i="49"/>
  <c r="A199" i="57"/>
  <c r="A7" i="62"/>
  <c r="A126" i="60"/>
  <c r="A32" i="49"/>
  <c r="A183" i="57"/>
  <c r="A164" i="60"/>
  <c r="A219" i="49"/>
  <c r="A54" i="60"/>
  <c r="A94" i="49"/>
  <c r="A143" i="60"/>
  <c r="A27" i="60"/>
  <c r="A261" i="57"/>
  <c r="A71" i="57"/>
  <c r="A93" i="49"/>
  <c r="A32" i="62"/>
  <c r="A147" i="57"/>
  <c r="A225" i="49"/>
  <c r="A160" i="57"/>
  <c r="A40" i="49"/>
  <c r="A173" i="57"/>
  <c r="A76" i="57"/>
  <c r="A163" i="60"/>
  <c r="A116" i="60"/>
  <c r="A56" i="60"/>
  <c r="A6" i="62"/>
  <c r="A321" i="49"/>
  <c r="A79" i="60"/>
  <c r="A66" i="57"/>
  <c r="A120" i="60"/>
  <c r="A260" i="57"/>
  <c r="A36" i="60"/>
  <c r="A33" i="62"/>
  <c r="A87" i="57"/>
  <c r="A126" i="57"/>
  <c r="A103" i="49"/>
  <c r="A59" i="57"/>
  <c r="A73" i="60"/>
  <c r="A243" i="49"/>
  <c r="A114" i="57"/>
  <c r="A9" i="49"/>
  <c r="A240" i="57"/>
  <c r="A111" i="60"/>
  <c r="A107" i="57"/>
  <c r="A49" i="49"/>
  <c r="A45" i="57"/>
  <c r="A127" i="49"/>
  <c r="A60" i="49"/>
  <c r="A268" i="57"/>
  <c r="A272" i="57"/>
  <c r="A140" i="49"/>
  <c r="A152" i="57"/>
  <c r="A78" i="57"/>
  <c r="A123" i="60"/>
  <c r="A162" i="57"/>
  <c r="A81" i="60"/>
  <c r="A117" i="57"/>
  <c r="A131" i="60"/>
  <c r="A98" i="60"/>
  <c r="A28" i="57"/>
  <c r="A230" i="49"/>
  <c r="A178" i="57"/>
  <c r="A82" i="60"/>
  <c r="A168" i="49"/>
  <c r="A180" i="57"/>
  <c r="A307" i="49"/>
  <c r="A6" i="60"/>
  <c r="A15" i="49"/>
  <c r="A51" i="57"/>
  <c r="A14" i="49"/>
  <c r="A44" i="60"/>
  <c r="A47" i="60"/>
  <c r="A115" i="57"/>
  <c r="A226" i="57"/>
  <c r="A17" i="62"/>
  <c r="A69" i="57"/>
  <c r="A277" i="57"/>
  <c r="A255" i="49"/>
  <c r="A31" i="49"/>
  <c r="A84" i="57"/>
  <c r="A136" i="49"/>
  <c r="A87" i="60"/>
  <c r="A90" i="57"/>
  <c r="A120" i="49"/>
  <c r="A30" i="49"/>
  <c r="A91" i="49"/>
  <c r="A52" i="49"/>
  <c r="A188" i="57"/>
  <c r="A9" i="60"/>
  <c r="A246" i="57"/>
  <c r="A281" i="57"/>
  <c r="A153" i="49"/>
  <c r="A126" i="49"/>
  <c r="A34" i="57"/>
  <c r="A145" i="60"/>
  <c r="A166" i="60"/>
  <c r="A20" i="57"/>
  <c r="A133" i="60"/>
  <c r="A21" i="60"/>
  <c r="A95" i="57"/>
  <c r="A166" i="57"/>
  <c r="A119" i="57"/>
  <c r="A225" i="57"/>
  <c r="A53" i="57"/>
  <c r="A310" i="49"/>
  <c r="A142" i="60"/>
  <c r="A258" i="49"/>
  <c r="A29" i="57"/>
  <c r="A39" i="57"/>
  <c r="A195" i="57"/>
  <c r="A161" i="60"/>
  <c r="A197" i="57"/>
  <c r="A270" i="49"/>
  <c r="A144" i="57"/>
  <c r="A251" i="49"/>
  <c r="A91" i="57"/>
  <c r="A222" i="49"/>
  <c r="A301" i="49"/>
  <c r="A23" i="49"/>
  <c r="A224" i="57"/>
  <c r="A112" i="49"/>
  <c r="A15" i="60"/>
  <c r="A68" i="60"/>
  <c r="A271" i="57"/>
  <c r="A107" i="49"/>
  <c r="A323" i="49"/>
  <c r="A230" i="57"/>
  <c r="A14" i="57"/>
  <c r="A235" i="49"/>
  <c r="A313" i="49"/>
  <c r="A285" i="49"/>
  <c r="A181" i="49"/>
  <c r="A34" i="49"/>
  <c r="A164" i="57"/>
  <c r="A28" i="62"/>
  <c r="A203" i="49"/>
  <c r="A83" i="60"/>
  <c r="A159" i="60"/>
  <c r="A195" i="49"/>
  <c r="A39" i="60"/>
  <c r="A150" i="49"/>
  <c r="A185" i="57"/>
  <c r="A29" i="60"/>
  <c r="A128" i="57"/>
  <c r="A281" i="49"/>
  <c r="A70" i="60"/>
  <c r="A267" i="49"/>
  <c r="A147" i="49"/>
  <c r="A140" i="57"/>
  <c r="A113" i="57"/>
  <c r="A125" i="49"/>
  <c r="A91" i="60"/>
  <c r="A171" i="49"/>
  <c r="A143" i="49"/>
  <c r="A6" i="57"/>
  <c r="A84" i="60"/>
  <c r="A118" i="57"/>
  <c r="A65" i="57"/>
  <c r="A229" i="49"/>
  <c r="A22" i="57"/>
  <c r="A9" i="57"/>
  <c r="A94" i="57"/>
  <c r="A81" i="49"/>
  <c r="A121" i="57"/>
  <c r="A237" i="57"/>
  <c r="A192" i="57"/>
  <c r="A204" i="49"/>
  <c r="A20" i="62"/>
  <c r="A27" i="49"/>
  <c r="A264" i="49"/>
  <c r="A171" i="57"/>
  <c r="A55" i="57"/>
  <c r="A58" i="49"/>
  <c r="A62" i="57"/>
  <c r="A188" i="49"/>
  <c r="A16" i="62"/>
  <c r="A186" i="57"/>
  <c r="A280" i="57"/>
  <c r="A209" i="49"/>
  <c r="A18" i="49"/>
  <c r="A24" i="62"/>
  <c r="A146" i="57"/>
  <c r="A278" i="49"/>
  <c r="A61" i="57"/>
  <c r="A176" i="49"/>
  <c r="A54" i="57"/>
  <c r="A11" i="60"/>
  <c r="A76" i="49"/>
  <c r="A21" i="57"/>
  <c r="A279" i="57"/>
  <c r="A238" i="49"/>
  <c r="A239" i="49"/>
  <c r="A205" i="57"/>
  <c r="A22" i="62"/>
  <c r="A137" i="49"/>
  <c r="A37" i="57"/>
  <c r="A5" i="60"/>
  <c r="A51" i="60"/>
  <c r="A26" i="57"/>
  <c r="A95" i="60"/>
  <c r="A166" i="49"/>
  <c r="A255" i="57"/>
  <c r="A70" i="57"/>
  <c r="A31" i="60"/>
  <c r="A178" i="49"/>
  <c r="A27" i="62"/>
  <c r="A50" i="60"/>
  <c r="A110" i="57"/>
  <c r="A9" i="62"/>
  <c r="A174" i="57"/>
  <c r="A234" i="57"/>
  <c r="A169" i="60"/>
  <c r="A73" i="49"/>
  <c r="A238" i="57"/>
  <c r="A257" i="57"/>
  <c r="A12" i="62"/>
  <c r="A24" i="49"/>
  <c r="A101" i="60"/>
  <c r="A167" i="60"/>
  <c r="A70" i="49"/>
  <c r="A8" i="62"/>
  <c r="A232" i="57"/>
  <c r="A138" i="60"/>
  <c r="A53" i="49"/>
  <c r="A287" i="49"/>
  <c r="A134" i="57"/>
  <c r="A60" i="57"/>
  <c r="A88" i="49"/>
  <c r="A97" i="49"/>
  <c r="A19" i="62"/>
  <c r="A102" i="60"/>
  <c r="A101" i="49"/>
  <c r="A270" i="57"/>
  <c r="A174" i="49"/>
  <c r="A67" i="49"/>
  <c r="A74" i="49"/>
  <c r="A114" i="60"/>
  <c r="A153" i="60"/>
  <c r="A189" i="49"/>
  <c r="A232" i="49"/>
  <c r="A14" i="62"/>
  <c r="A131" i="57"/>
  <c r="A55" i="49"/>
  <c r="A45" i="60"/>
  <c r="A201" i="49"/>
  <c r="A14" i="60"/>
  <c r="A136" i="60"/>
  <c r="A296" i="49"/>
  <c r="A8" i="60"/>
  <c r="A72" i="60"/>
  <c r="A75" i="49"/>
  <c r="A198" i="57"/>
  <c r="A44" i="57"/>
  <c r="A236" i="57"/>
  <c r="A13" i="60"/>
  <c r="A218" i="57"/>
  <c r="A36" i="57"/>
  <c r="A260" i="49"/>
  <c r="A52" i="57"/>
  <c r="A101" i="57"/>
  <c r="A77" i="60"/>
  <c r="A157" i="49"/>
  <c r="A31" i="57"/>
  <c r="A254" i="49"/>
  <c r="A139" i="49"/>
  <c r="A64" i="49"/>
  <c r="A5" i="57"/>
  <c r="A139" i="57"/>
  <c r="A43" i="57"/>
  <c r="A259" i="57"/>
  <c r="A266" i="57"/>
  <c r="A27" i="57"/>
  <c r="A158" i="57"/>
  <c r="A21" i="49"/>
  <c r="A25" i="49"/>
  <c r="A107" i="60"/>
  <c r="A49" i="60"/>
  <c r="A33" i="60"/>
  <c r="A121" i="60"/>
  <c r="A128" i="60"/>
  <c r="A10" i="49"/>
  <c r="A32" i="60"/>
  <c r="A133" i="57"/>
  <c r="A257" i="49"/>
  <c r="A86" i="57"/>
  <c r="A56" i="49"/>
  <c r="A26" i="49"/>
  <c r="A51" i="49"/>
  <c r="A235" i="57"/>
  <c r="A258" i="57"/>
  <c r="A37" i="60"/>
  <c r="A243" i="57"/>
  <c r="A13" i="57"/>
  <c r="A294" i="49"/>
  <c r="A149" i="57"/>
  <c r="A30" i="62"/>
  <c r="A82" i="57"/>
  <c r="A108" i="57"/>
  <c r="A159" i="49"/>
  <c r="A113" i="60"/>
  <c r="A292" i="49"/>
  <c r="A105" i="60"/>
  <c r="A123" i="49"/>
  <c r="A25" i="57"/>
  <c r="A300" i="49"/>
  <c r="A96" i="57"/>
  <c r="A53" i="60"/>
  <c r="A269" i="57"/>
  <c r="A18" i="57"/>
  <c r="A86" i="49"/>
  <c r="A63" i="57"/>
  <c r="A286" i="49"/>
  <c r="A134" i="60"/>
  <c r="A276" i="57"/>
  <c r="A162" i="49"/>
  <c r="A223" i="57"/>
  <c r="A203" i="57"/>
  <c r="A214" i="49"/>
  <c r="A263" i="57"/>
  <c r="A280" i="49"/>
  <c r="A177" i="57"/>
  <c r="A12" i="60"/>
  <c r="A45" i="49"/>
  <c r="A19" i="57"/>
  <c r="A116" i="57"/>
  <c r="A156" i="49"/>
  <c r="A196" i="57"/>
  <c r="A244" i="49"/>
  <c r="A261" i="49"/>
  <c r="A240" i="49"/>
  <c r="A19" i="60"/>
  <c r="A138" i="49"/>
  <c r="A245" i="57"/>
  <c r="A104" i="57"/>
  <c r="A197" i="49"/>
  <c r="A42" i="57"/>
  <c r="A89" i="60"/>
  <c r="A24" i="60"/>
  <c r="A202" i="57"/>
  <c r="A138" i="57"/>
  <c r="A231" i="57"/>
  <c r="A32" i="57"/>
  <c r="A110" i="60"/>
  <c r="A190" i="49"/>
  <c r="A119" i="60"/>
  <c r="A81" i="57"/>
  <c r="A142" i="57"/>
  <c r="A130" i="49"/>
  <c r="A33" i="49"/>
  <c r="A77" i="57"/>
  <c r="A277" i="49"/>
  <c r="A160" i="49"/>
  <c r="A99" i="57"/>
  <c r="A179" i="57"/>
  <c r="A92" i="57"/>
  <c r="A183" i="49"/>
  <c r="A148" i="49"/>
  <c r="A79" i="49"/>
  <c r="A151" i="49"/>
  <c r="A35" i="57"/>
  <c r="A217" i="49"/>
  <c r="A102" i="57"/>
  <c r="A106" i="57"/>
  <c r="A227" i="57"/>
  <c r="A290" i="49"/>
  <c r="A194" i="57"/>
  <c r="A298" i="49"/>
  <c r="A180" i="49"/>
  <c r="A206" i="57"/>
  <c r="A184" i="49"/>
  <c r="A278" i="57"/>
  <c r="A304" i="49"/>
  <c r="A41" i="57"/>
  <c r="A245" i="49"/>
  <c r="A317" i="49"/>
  <c r="A213" i="57"/>
  <c r="A135" i="49"/>
  <c r="A38" i="57"/>
  <c r="A88" i="57"/>
  <c r="A109" i="49"/>
  <c r="A241" i="57"/>
  <c r="A69" i="60"/>
  <c r="A274" i="49"/>
  <c r="A92" i="49"/>
  <c r="A282" i="57"/>
  <c r="A104" i="49"/>
  <c r="A219" i="57"/>
  <c r="A318" i="49"/>
  <c r="A85" i="57"/>
  <c r="A165" i="60"/>
  <c r="A75" i="60"/>
  <c r="A36" i="49"/>
  <c r="A137" i="57"/>
  <c r="A20" i="60"/>
  <c r="A34" i="62"/>
  <c r="A120" i="57"/>
  <c r="A38" i="49"/>
  <c r="A190" i="57"/>
  <c r="A233" i="57"/>
  <c r="A26" i="62"/>
  <c r="A23" i="62"/>
  <c r="A114" i="49"/>
  <c r="A228" i="57"/>
  <c r="A247" i="49"/>
  <c r="A242" i="57"/>
  <c r="A29" i="62"/>
  <c r="A170" i="57"/>
  <c r="A26" i="60"/>
  <c r="A286" i="57"/>
  <c r="A282" i="49"/>
  <c r="A176" i="57"/>
  <c r="A5" i="62"/>
  <c r="A104" i="60"/>
  <c r="A125" i="57"/>
  <c r="A43" i="60"/>
  <c r="A89" i="57"/>
  <c r="A248" i="49"/>
  <c r="A15" i="57"/>
  <c r="A46" i="60"/>
  <c r="A214" i="57"/>
  <c r="A184" i="57"/>
  <c r="A20" i="49"/>
  <c r="A201" i="57"/>
  <c r="A156" i="60"/>
  <c r="A121" i="49"/>
  <c r="A38" i="60"/>
  <c r="A288" i="49"/>
  <c r="A92" i="60"/>
  <c r="A297" i="49"/>
  <c r="A141" i="57"/>
  <c r="A50" i="57"/>
  <c r="A7" i="60"/>
  <c r="A221" i="57"/>
  <c r="A62" i="60"/>
  <c r="A122" i="57"/>
  <c r="A169" i="57"/>
  <c r="A64" i="60"/>
  <c r="A41" i="60"/>
  <c r="A249" i="49"/>
  <c r="A65" i="49"/>
  <c r="A305" i="49"/>
  <c r="A161" i="49"/>
  <c r="A59" i="60"/>
  <c r="A322" i="49"/>
  <c r="A65" i="60"/>
  <c r="A42" i="49"/>
  <c r="A233" i="49"/>
  <c r="A208" i="57"/>
  <c r="A165" i="49"/>
  <c r="A211" i="57"/>
  <c r="A239" i="57"/>
  <c r="A11" i="62"/>
  <c r="A199" i="49"/>
  <c r="A102" i="49"/>
  <c r="A87" i="49"/>
  <c r="A155" i="57"/>
  <c r="A5" i="49"/>
  <c r="A207" i="49"/>
  <c r="A23" i="57"/>
  <c r="A157" i="57"/>
  <c r="A24" i="57"/>
  <c r="A55" i="60"/>
  <c r="A105" i="57"/>
  <c r="A130" i="60"/>
  <c r="A202" i="49"/>
  <c r="A34" i="60"/>
  <c r="A312" i="49"/>
  <c r="A109" i="57"/>
  <c r="A97" i="57"/>
  <c r="A182" i="49"/>
  <c r="A249" i="57"/>
  <c r="A93" i="60"/>
  <c r="A94" i="60"/>
  <c r="A134" i="49"/>
  <c r="A22" i="49"/>
  <c r="A40" i="57"/>
  <c r="A132" i="57"/>
  <c r="A30" i="60"/>
  <c r="A159" i="57"/>
  <c r="A40" i="60"/>
  <c r="A151" i="60"/>
  <c r="A90" i="49"/>
  <c r="A116" i="49"/>
  <c r="A17" i="49"/>
  <c r="A60" i="60"/>
  <c r="A44" i="49"/>
  <c r="A66" i="49"/>
  <c r="A291" i="49"/>
  <c r="A167" i="57"/>
  <c r="A7" i="49"/>
  <c r="A108" i="60"/>
  <c r="A18" i="62"/>
  <c r="A93" i="57"/>
  <c r="A262" i="57"/>
  <c r="A58" i="60"/>
  <c r="A246" i="49"/>
  <c r="A78" i="49"/>
  <c r="A152" i="49"/>
  <c r="A131" i="49"/>
  <c r="A112" i="57"/>
  <c r="A11" i="57"/>
  <c r="A156" i="57"/>
  <c r="A133" i="49"/>
  <c r="A215" i="49"/>
  <c r="A30" i="57"/>
  <c r="A57" i="57"/>
  <c r="A165" i="57"/>
  <c r="A302" i="49"/>
  <c r="A175" i="57"/>
  <c r="A79" i="57"/>
  <c r="A106" i="49"/>
  <c r="A163" i="57"/>
  <c r="A10" i="57"/>
  <c r="A49" i="57"/>
  <c r="A207" i="57"/>
  <c r="A182" i="57"/>
  <c r="A226" i="49"/>
  <c r="A63" i="60"/>
  <c r="A228" i="49"/>
  <c r="A123" i="57"/>
  <c r="A16" i="57"/>
  <c r="A13" i="62"/>
  <c r="A177" i="49"/>
  <c r="A162" i="60"/>
  <c r="A74" i="60"/>
  <c r="A103" i="57"/>
  <c r="A212" i="57"/>
  <c r="A256" i="57"/>
  <c r="A155" i="49"/>
  <c r="A98" i="57"/>
  <c r="A154" i="57"/>
  <c r="A8" i="57"/>
  <c r="A117" i="49"/>
  <c r="A28" i="49"/>
  <c r="A97" i="60"/>
  <c r="A315" i="49"/>
  <c r="A193" i="57"/>
  <c r="A66" i="60"/>
  <c r="A74" i="57"/>
  <c r="A147" i="60"/>
  <c r="A130" i="57"/>
  <c r="A216" i="57"/>
  <c r="A47" i="57"/>
  <c r="A222" i="57"/>
  <c r="A220" i="57"/>
  <c r="A72" i="49"/>
  <c r="A274" i="57"/>
  <c r="A221" i="49"/>
  <c r="A67" i="57"/>
  <c r="A271" i="49"/>
  <c r="A150" i="60"/>
  <c r="A71" i="49"/>
  <c r="A111" i="57"/>
  <c r="A72" i="57"/>
  <c r="A229" i="57"/>
  <c r="A265" i="57"/>
  <c r="A17" i="57"/>
  <c r="A88" i="60"/>
  <c r="A148" i="57"/>
  <c r="A25" i="62"/>
  <c r="A283" i="57"/>
  <c r="A98" i="49"/>
  <c r="A248" i="57"/>
  <c r="A124" i="57"/>
  <c r="A206" i="49"/>
  <c r="A223" i="49"/>
  <c r="A220" i="49"/>
  <c r="A164" i="49"/>
  <c r="A41" i="49"/>
  <c r="A204" i="57"/>
  <c r="A146" i="49"/>
  <c r="A48" i="57"/>
  <c r="A129" i="57"/>
  <c r="A43" i="49"/>
  <c r="A273" i="57"/>
  <c r="A320" i="49"/>
  <c r="A242" i="49"/>
  <c r="A211" i="49"/>
  <c r="A48" i="49"/>
  <c r="A139" i="60"/>
  <c r="A115" i="49"/>
  <c r="A56" i="57"/>
  <c r="A151" i="57"/>
  <c r="A192" i="49"/>
  <c r="A57" i="49"/>
  <c r="A293" i="49"/>
  <c r="A39" i="49"/>
  <c r="A46" i="57"/>
  <c r="A284" i="57"/>
  <c r="A309" i="49"/>
  <c r="A168" i="57"/>
  <c r="A200" i="57"/>
  <c r="A267" i="57"/>
  <c r="A83" i="57"/>
  <c r="A314" i="49"/>
  <c r="A73" i="57"/>
  <c r="A75" i="57"/>
  <c r="A127" i="57"/>
  <c r="A161" i="57"/>
  <c r="A100" i="49"/>
  <c r="A236" i="49"/>
  <c r="A23" i="60"/>
  <c r="A64" i="57"/>
  <c r="A275" i="57"/>
  <c r="A213" i="49"/>
  <c r="A137" i="60"/>
  <c r="A99" i="60"/>
  <c r="A189" i="57"/>
  <c r="A306" i="49"/>
  <c r="A266" i="49"/>
  <c r="A96" i="49"/>
  <c r="A6" i="49"/>
  <c r="A215" i="57"/>
  <c r="A47" i="49"/>
  <c r="A252" i="57"/>
  <c r="A181" i="57"/>
  <c r="A187" i="57"/>
  <c r="A142" i="49"/>
  <c r="A170" i="49"/>
  <c r="A69" i="49"/>
  <c r="A244" i="57"/>
  <c r="A146" i="60"/>
  <c r="A18" i="60"/>
  <c r="AB521" i="4"/>
  <c r="S67" i="4"/>
  <c r="BC67" i="4"/>
  <c r="A220" i="4"/>
  <c r="S170" i="4"/>
  <c r="BC170" i="4"/>
  <c r="AT136" i="4"/>
  <c r="AT342" i="4"/>
  <c r="AK460" i="4"/>
  <c r="AT120" i="4"/>
  <c r="BC261" i="4"/>
  <c r="S261" i="4"/>
  <c r="H64" i="21"/>
  <c r="AF25" i="21"/>
  <c r="H64" i="15"/>
  <c r="AF25" i="15"/>
  <c r="AF6" i="15"/>
  <c r="AF6" i="21"/>
  <c r="A115" i="4"/>
  <c r="S479" i="4"/>
  <c r="BC479" i="4"/>
  <c r="AT152" i="4"/>
  <c r="AK484" i="4"/>
  <c r="AB455" i="4"/>
  <c r="AK333" i="4"/>
  <c r="A222" i="4"/>
  <c r="A12" i="4"/>
  <c r="AK481" i="4"/>
  <c r="S353" i="4"/>
  <c r="BC353" i="4"/>
  <c r="AB535" i="4"/>
  <c r="AK193" i="4"/>
  <c r="AB550" i="4"/>
  <c r="AT89" i="4"/>
  <c r="AK556" i="4"/>
  <c r="BC417" i="4"/>
  <c r="S417" i="4"/>
  <c r="AT401" i="4"/>
  <c r="AK216" i="4"/>
  <c r="AB532" i="4"/>
  <c r="S246" i="4"/>
  <c r="BC246" i="4"/>
  <c r="A140" i="4"/>
  <c r="AB335" i="4"/>
  <c r="BC371" i="4"/>
  <c r="S371" i="4"/>
  <c r="AK586" i="4"/>
  <c r="A114" i="4"/>
  <c r="AT581" i="4"/>
  <c r="AK465" i="4"/>
  <c r="AK9" i="4"/>
  <c r="BC319" i="4"/>
  <c r="S319" i="4"/>
  <c r="AK530" i="4"/>
  <c r="AT598" i="4"/>
  <c r="BC227" i="4"/>
  <c r="S227" i="4"/>
  <c r="AB224" i="4"/>
  <c r="AT582" i="4"/>
  <c r="AT570" i="4"/>
  <c r="AT315" i="4"/>
  <c r="BC546" i="4"/>
  <c r="S546" i="4"/>
  <c r="S583" i="4"/>
  <c r="BC583" i="4"/>
  <c r="AT523" i="4"/>
  <c r="AK291" i="4"/>
  <c r="BC27" i="4"/>
  <c r="S27" i="4"/>
  <c r="A102" i="4"/>
  <c r="AB432" i="4"/>
  <c r="A173" i="4"/>
  <c r="AT531" i="4"/>
  <c r="AB117" i="4"/>
  <c r="AT252" i="4"/>
  <c r="AK240" i="4"/>
  <c r="AB586" i="4"/>
  <c r="S115" i="4"/>
  <c r="BC115" i="4"/>
  <c r="AT49" i="4"/>
  <c r="AT381" i="4"/>
  <c r="BC600" i="4"/>
  <c r="S600" i="4"/>
  <c r="AK587" i="4"/>
  <c r="BC163" i="4"/>
  <c r="S163" i="4"/>
  <c r="AB326" i="4"/>
  <c r="AT58" i="4"/>
  <c r="BC15" i="4"/>
  <c r="M15" i="4"/>
  <c r="S15" i="4" s="1"/>
  <c r="AB27" i="4"/>
  <c r="AK537" i="4"/>
  <c r="A100" i="4"/>
  <c r="AK277" i="4"/>
  <c r="BC446" i="4"/>
  <c r="S446" i="4"/>
  <c r="AK463" i="4"/>
  <c r="BC37" i="4"/>
  <c r="S37" i="4"/>
  <c r="S314" i="4"/>
  <c r="BC314" i="4"/>
  <c r="AK58" i="4"/>
  <c r="BC10" i="4"/>
  <c r="S10" i="4"/>
  <c r="AK466" i="4"/>
  <c r="AT287" i="4"/>
  <c r="AK496" i="4"/>
  <c r="AK247" i="4"/>
  <c r="AT149" i="4"/>
  <c r="AK100" i="4"/>
  <c r="AB186" i="4"/>
  <c r="AB400" i="4"/>
  <c r="AB333" i="4"/>
  <c r="AT461" i="4"/>
  <c r="AT102" i="4"/>
  <c r="AB465" i="4"/>
  <c r="AT575" i="4"/>
  <c r="AT524" i="4"/>
  <c r="AK175" i="4"/>
  <c r="AK548" i="4"/>
  <c r="AB563" i="4"/>
  <c r="AT289" i="4"/>
  <c r="AB597" i="4"/>
  <c r="S466" i="4"/>
  <c r="BC466" i="4"/>
  <c r="S530" i="4"/>
  <c r="BC530" i="4"/>
  <c r="A39" i="4"/>
  <c r="AK316" i="4"/>
  <c r="AK517" i="4"/>
  <c r="A213" i="4"/>
  <c r="AT196" i="4"/>
  <c r="AT532" i="4"/>
  <c r="AK281" i="4"/>
  <c r="AK308" i="4"/>
  <c r="AT411" i="4"/>
  <c r="AB421" i="4"/>
  <c r="AK62" i="4"/>
  <c r="BC345" i="4"/>
  <c r="S345" i="4"/>
  <c r="AT259" i="4"/>
  <c r="A107" i="4"/>
  <c r="AB203" i="4"/>
  <c r="S117" i="4"/>
  <c r="BC117" i="4"/>
  <c r="AT597" i="4"/>
  <c r="AT456" i="4"/>
  <c r="AT57" i="4"/>
  <c r="AB393" i="4"/>
  <c r="AK423" i="4"/>
  <c r="AT589" i="4"/>
  <c r="AT130" i="4"/>
  <c r="AB360" i="4"/>
  <c r="S13" i="4"/>
  <c r="BC13" i="4"/>
  <c r="AB138" i="4"/>
  <c r="A78" i="4"/>
  <c r="AK273" i="4"/>
  <c r="AK231" i="4"/>
  <c r="AT301" i="4"/>
  <c r="AT40" i="4"/>
  <c r="BC597" i="4"/>
  <c r="S597" i="4"/>
  <c r="AK302" i="4"/>
  <c r="AT475" i="4"/>
  <c r="BC431" i="4"/>
  <c r="S431" i="4"/>
  <c r="S229" i="4"/>
  <c r="BC229" i="4"/>
  <c r="AT72" i="4"/>
  <c r="AK596" i="4"/>
  <c r="A147" i="4"/>
  <c r="AT357" i="4"/>
  <c r="AB452" i="4"/>
  <c r="AB323" i="4"/>
  <c r="AT544" i="4"/>
  <c r="A187" i="4"/>
  <c r="S578" i="4"/>
  <c r="BC578" i="4"/>
  <c r="AB266" i="4"/>
  <c r="S186" i="4"/>
  <c r="BC186" i="4"/>
  <c r="AK320" i="4"/>
  <c r="BC101" i="4"/>
  <c r="D20" i="41" s="1"/>
  <c r="E20" i="41" s="1"/>
  <c r="S101" i="4"/>
  <c r="AT286" i="4"/>
  <c r="S458" i="4"/>
  <c r="BC458" i="4"/>
  <c r="AT400" i="4"/>
  <c r="AK563" i="4"/>
  <c r="AT498" i="4"/>
  <c r="AT38" i="4"/>
  <c r="AK489" i="4"/>
  <c r="S472" i="4"/>
  <c r="BC472" i="4"/>
  <c r="AB317" i="4"/>
  <c r="A111" i="4"/>
  <c r="AK169" i="4"/>
  <c r="AB162" i="4"/>
  <c r="AK435" i="4"/>
  <c r="AT304" i="4"/>
  <c r="D25" i="15"/>
  <c r="D64" i="21"/>
  <c r="BC7" i="4"/>
  <c r="D6" i="21"/>
  <c r="D6" i="15"/>
  <c r="D64" i="15"/>
  <c r="D25" i="21"/>
  <c r="S7" i="4"/>
  <c r="AB161" i="4"/>
  <c r="AT563" i="4"/>
  <c r="AT347" i="4"/>
  <c r="AB253" i="4"/>
  <c r="AT296" i="4"/>
  <c r="S550" i="4"/>
  <c r="BC550" i="4"/>
  <c r="AB478" i="4"/>
  <c r="AK83" i="4"/>
  <c r="AB192" i="4"/>
  <c r="A145" i="4"/>
  <c r="AK577" i="4"/>
  <c r="A217" i="4"/>
  <c r="AK580" i="4"/>
  <c r="BC491" i="4"/>
  <c r="S491" i="4"/>
  <c r="AB405" i="4"/>
  <c r="AB530" i="4"/>
  <c r="AT584" i="4"/>
  <c r="AK480" i="4"/>
  <c r="S457" i="4"/>
  <c r="BC457" i="4"/>
  <c r="AB205" i="4"/>
  <c r="AK526" i="4"/>
  <c r="AK101" i="4"/>
  <c r="AT371" i="4"/>
  <c r="AT223" i="4"/>
  <c r="AT281" i="4"/>
  <c r="S555" i="4"/>
  <c r="BC555" i="4"/>
  <c r="AK482" i="4"/>
  <c r="A72" i="4"/>
  <c r="AT336" i="4"/>
  <c r="S405" i="4"/>
  <c r="BC405" i="4"/>
  <c r="AT572" i="4"/>
  <c r="AB70" i="4"/>
  <c r="AK45" i="4"/>
  <c r="AK119" i="4"/>
  <c r="AT118" i="4"/>
  <c r="AB298" i="4"/>
  <c r="S160" i="4"/>
  <c r="BC160" i="4"/>
  <c r="A25" i="4"/>
  <c r="AB104" i="4"/>
  <c r="BC185" i="4"/>
  <c r="S185" i="4"/>
  <c r="S516" i="4"/>
  <c r="BC516" i="4"/>
  <c r="AB508" i="4"/>
  <c r="AT294" i="4"/>
  <c r="A17" i="4"/>
  <c r="AT386" i="4"/>
  <c r="AT134" i="4"/>
  <c r="AB299" i="4"/>
  <c r="S440" i="4"/>
  <c r="BC440" i="4"/>
  <c r="A92" i="4"/>
  <c r="S553" i="4"/>
  <c r="BC553" i="4"/>
  <c r="AK525" i="4"/>
  <c r="BC253" i="4"/>
  <c r="S253" i="4"/>
  <c r="A44" i="4"/>
  <c r="AT448" i="4"/>
  <c r="AT212" i="4"/>
  <c r="AK13" i="4"/>
  <c r="AK298" i="4"/>
  <c r="BC192" i="4"/>
  <c r="S192" i="4"/>
  <c r="AT157" i="4"/>
  <c r="A251" i="4"/>
  <c r="AB146" i="4"/>
  <c r="BC194" i="4"/>
  <c r="S194" i="4"/>
  <c r="AT320" i="4"/>
  <c r="AT408" i="4"/>
  <c r="AK61" i="4"/>
  <c r="BC89" i="4"/>
  <c r="S89" i="4"/>
  <c r="AT35" i="4"/>
  <c r="A20" i="4"/>
  <c r="AB216" i="4"/>
  <c r="BC398" i="4"/>
  <c r="S398" i="4"/>
  <c r="AT279" i="4"/>
  <c r="A201" i="4"/>
  <c r="A88" i="4"/>
  <c r="AT450" i="4"/>
  <c r="AT543" i="4"/>
  <c r="AB172" i="4"/>
  <c r="AB72" i="4"/>
  <c r="AT226" i="4"/>
  <c r="AK227" i="4"/>
  <c r="AT486" i="4"/>
  <c r="AB210" i="4"/>
  <c r="AT454" i="4"/>
  <c r="S488" i="4"/>
  <c r="BC488" i="4"/>
  <c r="AK474" i="4"/>
  <c r="AK44" i="4"/>
  <c r="AB500" i="4"/>
  <c r="AT200" i="4"/>
  <c r="S336" i="4"/>
  <c r="BC336" i="4"/>
  <c r="AT31" i="4"/>
  <c r="AB188" i="4"/>
  <c r="AB372" i="4"/>
  <c r="BC190" i="4"/>
  <c r="S190" i="4"/>
  <c r="AB358" i="4"/>
  <c r="AT217" i="4"/>
  <c r="AK505" i="4"/>
  <c r="S478" i="4"/>
  <c r="BC478" i="4"/>
  <c r="AT192" i="4"/>
  <c r="AB541" i="4"/>
  <c r="AT182" i="4"/>
  <c r="BC221" i="4"/>
  <c r="S221" i="4"/>
  <c r="AK348" i="4"/>
  <c r="AK585" i="4"/>
  <c r="S367" i="4"/>
  <c r="BC367" i="4"/>
  <c r="AB46" i="4"/>
  <c r="AK373" i="4"/>
  <c r="BC500" i="4"/>
  <c r="S500" i="4"/>
  <c r="BC106" i="4"/>
  <c r="S106" i="4"/>
  <c r="AK16" i="4"/>
  <c r="BC392" i="4"/>
  <c r="S392" i="4"/>
  <c r="AT180" i="4"/>
  <c r="BC179" i="4"/>
  <c r="S179" i="4"/>
  <c r="BC57" i="4"/>
  <c r="S57" i="4"/>
  <c r="AB345" i="4"/>
  <c r="AB385" i="4"/>
  <c r="AK172" i="4"/>
  <c r="AK512" i="4"/>
  <c r="A122" i="4"/>
  <c r="S60" i="4"/>
  <c r="BC60" i="4"/>
  <c r="S485" i="4"/>
  <c r="BC485" i="4"/>
  <c r="AB343" i="4"/>
  <c r="AT412" i="4"/>
  <c r="AT106" i="4"/>
  <c r="AK106" i="4"/>
  <c r="S584" i="4"/>
  <c r="BC584" i="4"/>
  <c r="AK30" i="4"/>
  <c r="AB55" i="4"/>
  <c r="S419" i="4"/>
  <c r="BC419" i="4"/>
  <c r="AT399" i="4"/>
  <c r="AT53" i="4"/>
  <c r="A182" i="4"/>
  <c r="AK182" i="4"/>
  <c r="AT329" i="4"/>
  <c r="AT255" i="4"/>
  <c r="AT208" i="4"/>
  <c r="AK461" i="4"/>
  <c r="S103" i="4"/>
  <c r="BC103" i="4"/>
  <c r="AK123" i="4"/>
  <c r="AK415" i="4"/>
  <c r="BC285" i="4"/>
  <c r="S285" i="4"/>
  <c r="BC23" i="4"/>
  <c r="S23" i="4"/>
  <c r="AB148" i="4"/>
  <c r="BC413" i="4"/>
  <c r="S413" i="4"/>
  <c r="AB167" i="4"/>
  <c r="AT442" i="4"/>
  <c r="BC527" i="4"/>
  <c r="S527" i="4"/>
  <c r="AB475" i="4"/>
  <c r="AK494" i="4"/>
  <c r="AT517" i="4"/>
  <c r="AK394" i="4"/>
  <c r="AT433" i="4"/>
  <c r="S351" i="4"/>
  <c r="BC351" i="4"/>
  <c r="AB444" i="4"/>
  <c r="A207" i="4"/>
  <c r="AB251" i="4"/>
  <c r="AB142" i="4"/>
  <c r="A108" i="4"/>
  <c r="AK339" i="4"/>
  <c r="S412" i="4"/>
  <c r="BC412" i="4"/>
  <c r="AT202" i="4"/>
  <c r="AK25" i="4"/>
  <c r="AK91" i="4"/>
  <c r="AT525" i="4"/>
  <c r="AK442" i="4"/>
  <c r="AB374" i="4"/>
  <c r="AB274" i="4"/>
  <c r="S235" i="4"/>
  <c r="BC235" i="4"/>
  <c r="S216" i="4"/>
  <c r="BC216" i="4"/>
  <c r="S75" i="4"/>
  <c r="BC75" i="4"/>
  <c r="AB228" i="4"/>
  <c r="AK211" i="4"/>
  <c r="AB25" i="4"/>
  <c r="S480" i="4"/>
  <c r="BC480" i="4"/>
  <c r="AB196" i="4"/>
  <c r="AT201" i="4"/>
  <c r="AB169" i="4"/>
  <c r="S45" i="4"/>
  <c r="BC45" i="4"/>
  <c r="AT251" i="4"/>
  <c r="AT216" i="4"/>
  <c r="AK326" i="4"/>
  <c r="BC459" i="4"/>
  <c r="S459" i="4"/>
  <c r="S281" i="4"/>
  <c r="BC281" i="4"/>
  <c r="AK518" i="4"/>
  <c r="A178" i="4"/>
  <c r="S410" i="4"/>
  <c r="BC410" i="4"/>
  <c r="AT55" i="4"/>
  <c r="AK146" i="4"/>
  <c r="AK457" i="4"/>
  <c r="AK241" i="4"/>
  <c r="AB336" i="4"/>
  <c r="AK42" i="4"/>
  <c r="AT312" i="4"/>
  <c r="AB20" i="4"/>
  <c r="AT240" i="4"/>
  <c r="AK201" i="4"/>
  <c r="A223" i="4"/>
  <c r="AT430" i="4"/>
  <c r="S41" i="4"/>
  <c r="BC41" i="4"/>
  <c r="AB30" i="4"/>
  <c r="S137" i="4"/>
  <c r="BC137" i="4"/>
  <c r="A84" i="4"/>
  <c r="A197" i="4"/>
  <c r="A212" i="4"/>
  <c r="AT501" i="4"/>
  <c r="AT323" i="4"/>
  <c r="AT119" i="4"/>
  <c r="AB88" i="4"/>
  <c r="AB130" i="4"/>
  <c r="AB496" i="4"/>
  <c r="AB551" i="4"/>
  <c r="AB404" i="4"/>
  <c r="AK312" i="4"/>
  <c r="AB439" i="4"/>
  <c r="BC365" i="4"/>
  <c r="S365" i="4"/>
  <c r="AT184" i="4"/>
  <c r="AT483" i="4"/>
  <c r="AK242" i="4"/>
  <c r="S511" i="4"/>
  <c r="BC511" i="4"/>
  <c r="S437" i="4"/>
  <c r="BC437" i="4"/>
  <c r="AK419" i="4"/>
  <c r="AB236" i="4"/>
  <c r="AT340" i="4"/>
  <c r="AB73" i="4"/>
  <c r="AK436" i="4"/>
  <c r="AT586" i="4"/>
  <c r="AB435" i="4"/>
  <c r="AT183" i="4"/>
  <c r="AT96" i="4"/>
  <c r="AB103" i="4"/>
  <c r="AK170" i="4"/>
  <c r="AK392" i="4"/>
  <c r="AB178" i="4"/>
  <c r="A185" i="4"/>
  <c r="AT94" i="4"/>
  <c r="AT146" i="4"/>
  <c r="BC16" i="4"/>
  <c r="S16" i="4"/>
  <c r="AB515" i="4"/>
  <c r="S389" i="4"/>
  <c r="BC389" i="4"/>
  <c r="AT143" i="4"/>
  <c r="A167" i="4"/>
  <c r="AT536" i="4"/>
  <c r="AB446" i="4"/>
  <c r="AK209" i="4"/>
  <c r="AB226" i="4"/>
  <c r="AT98" i="4"/>
  <c r="AH89" i="21"/>
  <c r="F25" i="21"/>
  <c r="F25" i="15"/>
  <c r="AA38" i="21"/>
  <c r="I49" i="21"/>
  <c r="R37" i="15"/>
  <c r="AP76" i="15"/>
  <c r="E26" i="21"/>
  <c r="E50" i="21"/>
  <c r="AP68" i="21"/>
  <c r="P49" i="15"/>
  <c r="E31" i="21"/>
  <c r="AK7" i="21"/>
  <c r="AF85" i="21"/>
  <c r="I31" i="21"/>
  <c r="V6" i="15"/>
  <c r="AH93" i="15"/>
  <c r="I13" i="21"/>
  <c r="H7" i="21"/>
  <c r="AN66" i="21"/>
  <c r="G12" i="21"/>
  <c r="D30" i="15"/>
  <c r="H28" i="21"/>
  <c r="M38" i="15"/>
  <c r="AP75" i="15"/>
  <c r="E80" i="15"/>
  <c r="AG40" i="21"/>
  <c r="I46" i="21"/>
  <c r="G33" i="15"/>
  <c r="S65" i="15"/>
  <c r="S74" i="15"/>
  <c r="AJ45" i="21"/>
  <c r="E86" i="21"/>
  <c r="AH6" i="21"/>
  <c r="V47" i="21"/>
  <c r="K92" i="15"/>
  <c r="Z79" i="21"/>
  <c r="W35" i="21"/>
  <c r="E36" i="21"/>
  <c r="S37" i="21"/>
  <c r="T8" i="21"/>
  <c r="AJ89" i="21"/>
  <c r="AG82" i="21"/>
  <c r="I44" i="15"/>
  <c r="D33" i="21"/>
  <c r="N67" i="15"/>
  <c r="AF84" i="21"/>
  <c r="D36" i="15"/>
  <c r="AI10" i="15"/>
  <c r="M8" i="15"/>
  <c r="E7" i="15"/>
  <c r="N39" i="15"/>
  <c r="AQ82" i="15"/>
  <c r="AA35" i="15"/>
  <c r="M80" i="21"/>
  <c r="L89" i="21"/>
  <c r="AI42" i="15"/>
  <c r="AH33" i="21"/>
  <c r="D81" i="15"/>
  <c r="S14" i="21"/>
  <c r="AO76" i="21"/>
  <c r="AC10" i="21"/>
  <c r="AQ77" i="21"/>
  <c r="T87" i="21"/>
  <c r="S80" i="21"/>
  <c r="V92" i="21"/>
  <c r="O30" i="15"/>
  <c r="V10" i="21"/>
  <c r="AI84" i="21"/>
  <c r="K89" i="21"/>
  <c r="I8" i="15"/>
  <c r="I15" i="15"/>
  <c r="D50" i="21"/>
  <c r="Y69" i="21"/>
  <c r="AF28" i="15"/>
  <c r="R39" i="15"/>
  <c r="U43" i="21"/>
  <c r="AK54" i="21"/>
  <c r="AN90" i="15"/>
  <c r="Y68" i="21"/>
  <c r="F10" i="15"/>
  <c r="E69" i="21"/>
  <c r="S12" i="15"/>
  <c r="Y93" i="15"/>
  <c r="AF43" i="15"/>
  <c r="P38" i="15"/>
  <c r="AA68" i="15"/>
  <c r="U77" i="21"/>
  <c r="K65" i="15"/>
  <c r="AB44" i="21"/>
  <c r="N26" i="15"/>
  <c r="K42" i="21"/>
  <c r="G37" i="21"/>
  <c r="AC46" i="15"/>
  <c r="AH91" i="15"/>
  <c r="Y66" i="21"/>
  <c r="S77" i="15"/>
  <c r="F52" i="21"/>
  <c r="V26" i="21"/>
  <c r="W54" i="15"/>
  <c r="AI67" i="21"/>
  <c r="AH25" i="15"/>
  <c r="T43" i="21"/>
  <c r="N45" i="15"/>
  <c r="O15" i="21"/>
  <c r="AP71" i="15"/>
  <c r="L69" i="15"/>
  <c r="T40" i="15"/>
  <c r="AA51" i="15"/>
  <c r="AO65" i="15"/>
  <c r="Z50" i="15"/>
  <c r="L39" i="21"/>
  <c r="H25" i="21"/>
  <c r="Y39" i="21"/>
  <c r="AB48" i="15"/>
  <c r="E73" i="15"/>
  <c r="AQ68" i="15"/>
  <c r="E44" i="21"/>
  <c r="AC74" i="21"/>
  <c r="AB15" i="21"/>
  <c r="V93" i="15"/>
  <c r="AB6" i="21"/>
  <c r="T89" i="15"/>
  <c r="AJ7" i="21"/>
  <c r="Y29" i="21"/>
  <c r="I40" i="15"/>
  <c r="S33" i="15"/>
  <c r="Z76" i="21"/>
  <c r="E11" i="15"/>
  <c r="H67" i="15"/>
  <c r="P36" i="15"/>
  <c r="U32" i="21"/>
  <c r="T14" i="15"/>
  <c r="R49" i="15"/>
  <c r="AH85" i="21"/>
  <c r="D91" i="21"/>
  <c r="AJ84" i="15"/>
  <c r="AG6" i="21"/>
  <c r="K66" i="21"/>
  <c r="AA88" i="21"/>
  <c r="D87" i="21"/>
  <c r="D14" i="21"/>
  <c r="L83" i="15"/>
  <c r="O85" i="15"/>
  <c r="AJ47" i="15"/>
  <c r="Y75" i="21"/>
  <c r="AC13" i="15"/>
  <c r="O84" i="21"/>
  <c r="O83" i="21"/>
  <c r="AN89" i="21"/>
  <c r="I41" i="21"/>
  <c r="G13" i="15"/>
  <c r="I41" i="15"/>
  <c r="O54" i="21"/>
  <c r="M34" i="15"/>
  <c r="U12" i="21"/>
  <c r="Y51" i="21"/>
  <c r="V75" i="21"/>
  <c r="AC49" i="21"/>
  <c r="D8" i="15"/>
  <c r="L41" i="15"/>
  <c r="T33" i="21"/>
  <c r="V41" i="15"/>
  <c r="AB65" i="21"/>
  <c r="G41" i="15"/>
  <c r="N90" i="21"/>
  <c r="F11" i="21"/>
  <c r="H81" i="21"/>
  <c r="P46" i="15"/>
  <c r="AF82" i="15"/>
  <c r="D82" i="15"/>
  <c r="S34" i="15"/>
  <c r="O77" i="15"/>
  <c r="S72" i="15"/>
  <c r="K87" i="15"/>
  <c r="AD37" i="15"/>
  <c r="K64" i="15"/>
  <c r="F13" i="15"/>
  <c r="D79" i="15"/>
  <c r="AA65" i="15"/>
  <c r="W52" i="15"/>
  <c r="U6" i="21"/>
  <c r="AF64" i="15"/>
  <c r="AC40" i="15"/>
  <c r="U85" i="21"/>
  <c r="AJ64" i="21"/>
  <c r="AC39" i="15"/>
  <c r="D67" i="15"/>
  <c r="W50" i="21"/>
  <c r="V34" i="21"/>
  <c r="D92" i="15"/>
  <c r="D50" i="15"/>
  <c r="G86" i="21"/>
  <c r="V25" i="15"/>
  <c r="G36" i="21"/>
  <c r="S50" i="15"/>
  <c r="AO91" i="21"/>
  <c r="AC34" i="15"/>
  <c r="R53" i="21"/>
  <c r="V73" i="21"/>
  <c r="Y10" i="21"/>
  <c r="H54" i="21"/>
  <c r="AI15" i="15"/>
  <c r="S92" i="15"/>
  <c r="AK45" i="15"/>
  <c r="AN92" i="21"/>
  <c r="AJ15" i="21"/>
  <c r="AB11" i="15"/>
  <c r="V36" i="21"/>
  <c r="Z87" i="15"/>
  <c r="T7" i="21"/>
  <c r="V37" i="15"/>
  <c r="Y52" i="15"/>
  <c r="O81" i="15"/>
  <c r="G93" i="21"/>
  <c r="AF69" i="21"/>
  <c r="F41" i="15"/>
  <c r="O28" i="15"/>
  <c r="U36" i="21"/>
  <c r="AA30" i="15"/>
  <c r="AH53" i="15"/>
  <c r="AD48" i="21"/>
  <c r="H76" i="15"/>
  <c r="AB81" i="15"/>
  <c r="H48" i="21"/>
  <c r="H75" i="21"/>
  <c r="U86" i="15"/>
  <c r="AI75" i="15"/>
  <c r="AN85" i="21"/>
  <c r="AO90" i="15"/>
  <c r="V85" i="21"/>
  <c r="AG67" i="15"/>
  <c r="E15" i="21"/>
  <c r="U46" i="21"/>
  <c r="AK11" i="21"/>
  <c r="F70" i="15"/>
  <c r="U84" i="21"/>
  <c r="L30" i="15"/>
  <c r="Y51" i="15"/>
  <c r="T25" i="15"/>
  <c r="T80" i="15"/>
  <c r="AI26" i="21"/>
  <c r="N43" i="15"/>
  <c r="L10" i="15"/>
  <c r="H70" i="21"/>
  <c r="U49" i="15"/>
  <c r="AB41" i="21"/>
  <c r="L28" i="21"/>
  <c r="E92" i="21"/>
  <c r="AB74" i="21"/>
  <c r="AQ88" i="15"/>
  <c r="AM68" i="15"/>
  <c r="V79" i="21"/>
  <c r="Y64" i="21"/>
  <c r="AG41" i="21"/>
  <c r="AB72" i="15"/>
  <c r="S48" i="21"/>
  <c r="N64" i="15"/>
  <c r="AB9" i="21"/>
  <c r="AG73" i="21"/>
  <c r="AO84" i="21"/>
  <c r="T82" i="15"/>
  <c r="H85" i="15"/>
  <c r="I37" i="15"/>
  <c r="M79" i="21"/>
  <c r="AA54" i="15"/>
  <c r="L36" i="15"/>
  <c r="Y70" i="21"/>
  <c r="G33" i="21"/>
  <c r="H10" i="15"/>
  <c r="L68" i="21"/>
  <c r="H49" i="15"/>
  <c r="AH10" i="21"/>
  <c r="AG8" i="15"/>
  <c r="AP87" i="15"/>
  <c r="AI10" i="21"/>
  <c r="E54" i="15"/>
  <c r="AA7" i="15"/>
  <c r="O89" i="21"/>
  <c r="AB9" i="15"/>
  <c r="G43" i="21"/>
  <c r="AB42" i="21"/>
  <c r="AA72" i="21"/>
  <c r="Y52" i="21"/>
  <c r="V74" i="21"/>
  <c r="U40" i="21"/>
  <c r="N53" i="15"/>
  <c r="R33" i="15"/>
  <c r="U74" i="21"/>
  <c r="G9" i="15"/>
  <c r="AB80" i="21"/>
  <c r="H29" i="15"/>
  <c r="K50" i="15"/>
  <c r="D34" i="15"/>
  <c r="AN69" i="21"/>
  <c r="Z13" i="15"/>
  <c r="AD30" i="21"/>
  <c r="G67" i="21"/>
  <c r="AQ86" i="15"/>
  <c r="U14" i="21"/>
  <c r="L46" i="15"/>
  <c r="O26" i="21"/>
  <c r="AG48" i="15"/>
  <c r="AF75" i="21"/>
  <c r="AG53" i="15"/>
  <c r="G68" i="15"/>
  <c r="AB33" i="21"/>
  <c r="AH48" i="21"/>
  <c r="Y28" i="21"/>
  <c r="AH40" i="21"/>
  <c r="R75" i="15"/>
  <c r="G36" i="15"/>
  <c r="T52" i="21"/>
  <c r="AK25" i="15"/>
  <c r="F83" i="21"/>
  <c r="F54" i="15"/>
  <c r="AG6" i="15"/>
  <c r="L80" i="21"/>
  <c r="Z36" i="15"/>
  <c r="M86" i="21"/>
  <c r="K76" i="15"/>
  <c r="Y38" i="15"/>
  <c r="AF85" i="15"/>
  <c r="W10" i="15"/>
  <c r="AF73" i="15"/>
  <c r="AB29" i="21"/>
  <c r="AD40" i="21"/>
  <c r="AM82" i="15"/>
  <c r="F54" i="21"/>
  <c r="L78" i="21"/>
  <c r="V10" i="15"/>
  <c r="AQ66" i="21"/>
  <c r="U75" i="15"/>
  <c r="I33" i="15"/>
  <c r="F45" i="15"/>
  <c r="AJ82" i="15"/>
  <c r="AD34" i="21"/>
  <c r="V85" i="15"/>
  <c r="AB83" i="21"/>
  <c r="K15" i="21"/>
  <c r="AH39" i="21"/>
  <c r="N65" i="15"/>
  <c r="E47" i="21"/>
  <c r="O31" i="15"/>
  <c r="AF92" i="15"/>
  <c r="Z81" i="21"/>
  <c r="S47" i="15"/>
  <c r="E31" i="15"/>
  <c r="Y88" i="15"/>
  <c r="AI72" i="21"/>
  <c r="M91" i="21"/>
  <c r="AB32" i="15"/>
  <c r="Y47" i="21"/>
  <c r="G7" i="21"/>
  <c r="D15" i="15"/>
  <c r="AG53" i="21"/>
  <c r="AN81" i="21"/>
  <c r="Y15" i="15"/>
  <c r="AA89" i="15"/>
  <c r="AH34" i="21"/>
  <c r="E53" i="21"/>
  <c r="G29" i="21"/>
  <c r="AD42" i="15"/>
  <c r="W45" i="15"/>
  <c r="O46" i="21"/>
  <c r="AF86" i="15"/>
  <c r="K83" i="15"/>
  <c r="N37" i="21"/>
  <c r="D83" i="15"/>
  <c r="M6" i="15"/>
  <c r="U9" i="21"/>
  <c r="H7" i="15"/>
  <c r="AG45" i="15"/>
  <c r="L74" i="21"/>
  <c r="U6" i="15"/>
  <c r="T12" i="15"/>
  <c r="AI25" i="15"/>
  <c r="G45" i="15"/>
  <c r="Y41" i="15"/>
  <c r="AJ30" i="21"/>
  <c r="AC82" i="15"/>
  <c r="O34" i="21"/>
  <c r="L8" i="21"/>
  <c r="S69" i="21"/>
  <c r="AC28" i="21"/>
  <c r="T49" i="21"/>
  <c r="F65" i="21"/>
  <c r="S54" i="21"/>
  <c r="E33" i="15"/>
  <c r="O51" i="15"/>
  <c r="AI47" i="15"/>
  <c r="P15" i="21"/>
  <c r="N7" i="15"/>
  <c r="F73" i="15"/>
  <c r="AN78" i="15"/>
  <c r="V53" i="15"/>
  <c r="AG28" i="15"/>
  <c r="H26" i="21"/>
  <c r="AC78" i="21"/>
  <c r="L49" i="15"/>
  <c r="U53" i="15"/>
  <c r="D85" i="21"/>
  <c r="E71" i="15"/>
  <c r="AO82" i="21"/>
  <c r="AB41" i="15"/>
  <c r="AB50" i="15"/>
  <c r="AK37" i="21"/>
  <c r="M30" i="15"/>
  <c r="K45" i="15"/>
  <c r="S83" i="15"/>
  <c r="K7" i="15"/>
  <c r="U90" i="15"/>
  <c r="S7" i="15"/>
  <c r="S49" i="15"/>
  <c r="AI77" i="15"/>
  <c r="Y42" i="15"/>
  <c r="H53" i="21"/>
  <c r="P6" i="21"/>
  <c r="Y29" i="15"/>
  <c r="AC14" i="21"/>
  <c r="AD51" i="21"/>
  <c r="AD6" i="15"/>
  <c r="K36" i="21"/>
  <c r="R77" i="21"/>
  <c r="AP83" i="15"/>
  <c r="D52" i="21"/>
  <c r="AN75" i="21"/>
  <c r="N27" i="21"/>
  <c r="N25" i="21"/>
  <c r="Y64" i="15"/>
  <c r="G69" i="15"/>
  <c r="V43" i="21"/>
  <c r="T84" i="21"/>
  <c r="P12" i="15"/>
  <c r="AA80" i="21"/>
  <c r="AJ11" i="15"/>
  <c r="K79" i="15"/>
  <c r="K66" i="15"/>
  <c r="N41" i="15"/>
  <c r="T52" i="15"/>
  <c r="AC77" i="15"/>
  <c r="Y80" i="15"/>
  <c r="U44" i="15"/>
  <c r="Y26" i="21"/>
  <c r="R93" i="21"/>
  <c r="AC81" i="15"/>
  <c r="AB67" i="21"/>
  <c r="T13" i="21"/>
  <c r="R15" i="21"/>
  <c r="O35" i="15"/>
  <c r="AP86" i="15"/>
  <c r="AK52" i="21"/>
  <c r="N12" i="15"/>
  <c r="AF41" i="15"/>
  <c r="AP81" i="21"/>
  <c r="AC29" i="15"/>
  <c r="H69" i="21"/>
  <c r="AC6" i="15"/>
  <c r="L73" i="15"/>
  <c r="K79" i="21"/>
  <c r="AP65" i="21"/>
  <c r="AD26" i="15"/>
  <c r="Z40" i="21"/>
  <c r="AJ72" i="15"/>
  <c r="AA48" i="15"/>
  <c r="H93" i="21"/>
  <c r="AG92" i="21"/>
  <c r="S28" i="15"/>
  <c r="L87" i="15"/>
  <c r="H36" i="21"/>
  <c r="AI38" i="15"/>
  <c r="AC26" i="21"/>
  <c r="AH44" i="21"/>
  <c r="AF76" i="21"/>
  <c r="K78" i="21"/>
  <c r="D27" i="15"/>
  <c r="AC36" i="21"/>
  <c r="F68" i="15"/>
  <c r="AC64" i="21"/>
  <c r="V27" i="15"/>
  <c r="AJ43" i="15"/>
  <c r="V83" i="15"/>
  <c r="G80" i="21"/>
  <c r="Y45" i="15"/>
  <c r="AH51" i="21"/>
  <c r="AJ65" i="15"/>
  <c r="W25" i="15"/>
  <c r="H83" i="15"/>
  <c r="I32" i="21"/>
  <c r="N77" i="21"/>
  <c r="I30" i="15"/>
  <c r="N13" i="15"/>
  <c r="AM76" i="21"/>
  <c r="F6" i="15"/>
  <c r="N12" i="21"/>
  <c r="Y72" i="21"/>
  <c r="K38" i="21"/>
  <c r="O73" i="15"/>
  <c r="AI46" i="15"/>
  <c r="L13" i="15"/>
  <c r="AP74" i="15"/>
  <c r="D81" i="21"/>
  <c r="Y54" i="21"/>
  <c r="AI31" i="21"/>
  <c r="N38" i="15"/>
  <c r="U70" i="21"/>
  <c r="G88" i="15"/>
  <c r="AC49" i="15"/>
  <c r="P34" i="21"/>
  <c r="D44" i="21"/>
  <c r="S29" i="21"/>
  <c r="M74" i="21"/>
  <c r="H49" i="21"/>
  <c r="R39" i="21"/>
  <c r="O50" i="21"/>
  <c r="O8" i="21"/>
  <c r="D89" i="15"/>
  <c r="S72" i="21"/>
  <c r="H27" i="15"/>
  <c r="S26" i="15"/>
  <c r="I34" i="21"/>
  <c r="R11" i="15"/>
  <c r="AM92" i="21"/>
  <c r="D46" i="21"/>
  <c r="K84" i="15"/>
  <c r="AH30" i="15"/>
  <c r="K35" i="15"/>
  <c r="Z69" i="15"/>
  <c r="AM74" i="21"/>
  <c r="G32" i="15"/>
  <c r="AA82" i="21"/>
  <c r="R90" i="15"/>
  <c r="AA66" i="21"/>
  <c r="AH73" i="15"/>
  <c r="W13" i="15"/>
  <c r="Y80" i="21"/>
  <c r="O27" i="21"/>
  <c r="AB39" i="21"/>
  <c r="M36" i="21"/>
  <c r="AM87" i="21"/>
  <c r="V30" i="15"/>
  <c r="AQ89" i="21"/>
  <c r="AG88" i="21"/>
  <c r="V29" i="15"/>
  <c r="Y76" i="21"/>
  <c r="L93" i="21"/>
  <c r="T42" i="15"/>
  <c r="Y10" i="15"/>
  <c r="W14" i="15"/>
  <c r="AG14" i="21"/>
  <c r="U64" i="15"/>
  <c r="T46" i="21"/>
  <c r="P34" i="15"/>
  <c r="AM66" i="15"/>
  <c r="AQ91" i="21"/>
  <c r="P39" i="21"/>
  <c r="O82" i="15"/>
  <c r="U34" i="15"/>
  <c r="P11" i="15"/>
  <c r="AM77" i="15"/>
  <c r="AA78" i="21"/>
  <c r="Z74" i="21"/>
  <c r="AB89" i="15"/>
  <c r="U29" i="21"/>
  <c r="D49" i="15"/>
  <c r="AC53" i="21"/>
  <c r="I6" i="15"/>
  <c r="N30" i="21"/>
  <c r="AH89" i="15"/>
  <c r="Y67" i="15"/>
  <c r="AH90" i="15"/>
  <c r="T12" i="21"/>
  <c r="H35" i="21"/>
  <c r="AJ76" i="21"/>
  <c r="AI37" i="21"/>
  <c r="AM69" i="21"/>
  <c r="AI91" i="21"/>
  <c r="AG40" i="15"/>
  <c r="R82" i="21"/>
  <c r="E72" i="15"/>
  <c r="N29" i="15"/>
  <c r="K48" i="21"/>
  <c r="N7" i="21"/>
  <c r="AA11" i="21"/>
  <c r="T69" i="15"/>
  <c r="T13" i="15"/>
  <c r="AD11" i="21"/>
  <c r="AB47" i="15"/>
  <c r="O74" i="15"/>
  <c r="G88" i="21"/>
  <c r="AK53" i="15"/>
  <c r="Y45" i="21"/>
  <c r="AB76" i="21"/>
  <c r="N54" i="21"/>
  <c r="AJ72" i="21"/>
  <c r="AB88" i="15"/>
  <c r="Z30" i="21"/>
  <c r="AG29" i="21"/>
  <c r="AG69" i="15"/>
  <c r="K81" i="15"/>
  <c r="AN86" i="15"/>
  <c r="AH12" i="21"/>
  <c r="K92" i="21"/>
  <c r="AK7" i="15"/>
  <c r="Z15" i="15"/>
  <c r="S11" i="15"/>
  <c r="AO93" i="15"/>
  <c r="T66" i="21"/>
  <c r="H41" i="21"/>
  <c r="R35" i="15"/>
  <c r="AC41" i="21"/>
  <c r="AA88" i="15"/>
  <c r="AO71" i="15"/>
  <c r="Z35" i="15"/>
  <c r="AP78" i="15"/>
  <c r="AJ51" i="21"/>
  <c r="Z6" i="21"/>
  <c r="H42" i="21"/>
  <c r="E34" i="15"/>
  <c r="S85" i="21"/>
  <c r="AM81" i="15"/>
  <c r="V44" i="15"/>
  <c r="P52" i="15"/>
  <c r="R44" i="21"/>
  <c r="O37" i="15"/>
  <c r="T48" i="15"/>
  <c r="AI8" i="21"/>
  <c r="AC44" i="21"/>
  <c r="U25" i="15"/>
  <c r="L36" i="21"/>
  <c r="U26" i="21"/>
  <c r="AD27" i="15"/>
  <c r="I28" i="21"/>
  <c r="F40" i="21"/>
  <c r="AB33" i="15"/>
  <c r="AB10" i="21"/>
  <c r="AM71" i="21"/>
  <c r="AQ85" i="21"/>
  <c r="Z42" i="15"/>
  <c r="I32" i="15"/>
  <c r="AJ36" i="21"/>
  <c r="F71" i="15"/>
  <c r="G93" i="15"/>
  <c r="E70" i="21"/>
  <c r="R29" i="21"/>
  <c r="Z81" i="15"/>
  <c r="E30" i="15"/>
  <c r="T65" i="15"/>
  <c r="AD49" i="15"/>
  <c r="U66" i="21"/>
  <c r="AI88" i="15"/>
  <c r="V66" i="21"/>
  <c r="L12" i="21"/>
  <c r="AI83" i="21"/>
  <c r="E12" i="15"/>
  <c r="M27" i="15"/>
  <c r="AN91" i="21"/>
  <c r="AH12" i="15"/>
  <c r="AF77" i="21"/>
  <c r="AA39" i="21"/>
  <c r="K64" i="21"/>
  <c r="E14" i="21"/>
  <c r="Y34" i="15"/>
  <c r="AP64" i="21"/>
  <c r="AA15" i="15"/>
  <c r="L31" i="21"/>
  <c r="F49" i="21"/>
  <c r="Z92" i="15"/>
  <c r="Z14" i="21"/>
  <c r="D12" i="21"/>
  <c r="AA75" i="21"/>
  <c r="P37" i="21"/>
  <c r="Z6" i="15"/>
  <c r="R80" i="21"/>
  <c r="R85" i="21"/>
  <c r="AC46" i="21"/>
  <c r="E65" i="15"/>
  <c r="H28" i="15"/>
  <c r="AI82" i="21"/>
  <c r="M29" i="15"/>
  <c r="K86" i="15"/>
  <c r="L91" i="15"/>
  <c r="G76" i="21"/>
  <c r="AF41" i="21"/>
  <c r="AH83" i="15"/>
  <c r="S30" i="15"/>
  <c r="AN73" i="15"/>
  <c r="Y89" i="21"/>
  <c r="M31" i="21"/>
  <c r="R75" i="21"/>
  <c r="AF93" i="15"/>
  <c r="R47" i="15"/>
  <c r="AO88" i="15"/>
  <c r="AG35" i="15"/>
  <c r="T27" i="15"/>
  <c r="H81" i="15"/>
  <c r="AB77" i="15"/>
  <c r="R40" i="15"/>
  <c r="AD10" i="21"/>
  <c r="AA73" i="21"/>
  <c r="AB29" i="15"/>
  <c r="AO89" i="21"/>
  <c r="L42" i="21"/>
  <c r="O92" i="15"/>
  <c r="AN79" i="15"/>
  <c r="AD33" i="15"/>
  <c r="T15" i="21"/>
  <c r="H44" i="21"/>
  <c r="Y13" i="21"/>
  <c r="D82" i="21"/>
  <c r="K49" i="21"/>
  <c r="AH73" i="21"/>
  <c r="Z85" i="21"/>
  <c r="Y68" i="15"/>
  <c r="K13" i="15"/>
  <c r="AI70" i="21"/>
  <c r="F53" i="15"/>
  <c r="AF91" i="15"/>
  <c r="F35" i="21"/>
  <c r="S90" i="15"/>
  <c r="AH28" i="15"/>
  <c r="AG91" i="21"/>
  <c r="E45" i="21"/>
  <c r="AI48" i="21"/>
  <c r="M50" i="15"/>
  <c r="S38" i="21"/>
  <c r="K70" i="21"/>
  <c r="U51" i="15"/>
  <c r="O10" i="15"/>
  <c r="S82" i="15"/>
  <c r="H39" i="15"/>
  <c r="E71" i="21"/>
  <c r="E10" i="21"/>
  <c r="AN77" i="21"/>
  <c r="AI34" i="15"/>
  <c r="T72" i="21"/>
  <c r="Z84" i="15"/>
  <c r="AG34" i="21"/>
  <c r="AH36" i="15"/>
  <c r="H11" i="21"/>
  <c r="AB84" i="21"/>
  <c r="AI91" i="15"/>
  <c r="AI7" i="21"/>
  <c r="AQ73" i="21"/>
  <c r="U8" i="21"/>
  <c r="AP77" i="21"/>
  <c r="H74" i="21"/>
  <c r="E84" i="15"/>
  <c r="G89" i="15"/>
  <c r="AM73" i="15"/>
  <c r="R7" i="15"/>
  <c r="AH75" i="21"/>
  <c r="K69" i="21"/>
  <c r="K36" i="15"/>
  <c r="AH39" i="15"/>
  <c r="AH25" i="21"/>
  <c r="I11" i="15"/>
  <c r="AD42" i="21"/>
  <c r="H65" i="21"/>
  <c r="F29" i="21"/>
  <c r="V36" i="15"/>
  <c r="G52" i="15"/>
  <c r="L51" i="21"/>
  <c r="AA83" i="21"/>
  <c r="E67" i="15"/>
  <c r="N74" i="21"/>
  <c r="AJ83" i="15"/>
  <c r="H27" i="21"/>
  <c r="AF34" i="21"/>
  <c r="H85" i="21"/>
  <c r="O51" i="21"/>
  <c r="AQ65" i="15"/>
  <c r="O11" i="15"/>
  <c r="AJ80" i="21"/>
  <c r="AJ77" i="15"/>
  <c r="AF33" i="21"/>
  <c r="R92" i="15"/>
  <c r="AJ86" i="21"/>
  <c r="E72" i="21"/>
  <c r="T93" i="15"/>
  <c r="AM75" i="21"/>
  <c r="AB45" i="15"/>
  <c r="AB37" i="21"/>
  <c r="AI76" i="21"/>
  <c r="AN93" i="15"/>
  <c r="AO86" i="15"/>
  <c r="K90" i="15"/>
  <c r="AG67" i="21"/>
  <c r="G32" i="21"/>
  <c r="E27" i="21"/>
  <c r="AB92" i="15"/>
  <c r="I50" i="21"/>
  <c r="H42" i="15"/>
  <c r="AK27" i="21"/>
  <c r="Z43" i="15"/>
  <c r="T86" i="15"/>
  <c r="F74" i="15"/>
  <c r="D78" i="15"/>
  <c r="T47" i="15"/>
  <c r="AG52" i="21"/>
  <c r="AK36" i="21"/>
  <c r="AO68" i="15"/>
  <c r="W26" i="15"/>
  <c r="AQ87" i="21"/>
  <c r="AQ79" i="15"/>
  <c r="P41" i="21"/>
  <c r="AD28" i="15"/>
  <c r="Z31" i="15"/>
  <c r="I39" i="21"/>
  <c r="Y82" i="15"/>
  <c r="V88" i="21"/>
  <c r="L65" i="21"/>
  <c r="AH46" i="15"/>
  <c r="AD7" i="21"/>
  <c r="F28" i="15"/>
  <c r="AN79" i="21"/>
  <c r="AC39" i="21"/>
  <c r="V41" i="21"/>
  <c r="U92" i="15"/>
  <c r="V37" i="21"/>
  <c r="V84" i="21"/>
  <c r="AH86" i="15"/>
  <c r="E29" i="21"/>
  <c r="U45" i="15"/>
  <c r="AP79" i="15"/>
  <c r="F48" i="21"/>
  <c r="L76" i="21"/>
  <c r="AI39" i="21"/>
  <c r="AD44" i="15"/>
  <c r="AQ78" i="21"/>
  <c r="K35" i="21"/>
  <c r="R11" i="21"/>
  <c r="H34" i="15"/>
  <c r="H69" i="15"/>
  <c r="AB36" i="15"/>
  <c r="Y79" i="15"/>
  <c r="W31" i="21"/>
  <c r="AK26" i="21"/>
  <c r="AG44" i="21"/>
  <c r="AP69" i="15"/>
  <c r="AJ87" i="21"/>
  <c r="R32" i="15"/>
  <c r="E7" i="21"/>
  <c r="AO93" i="21"/>
  <c r="V40" i="15"/>
  <c r="N38" i="21"/>
  <c r="G27" i="21"/>
  <c r="AN67" i="21"/>
  <c r="H30" i="15"/>
  <c r="E90" i="21"/>
  <c r="S45" i="15"/>
  <c r="K54" i="15"/>
  <c r="G84" i="15"/>
  <c r="Y78" i="21"/>
  <c r="U68" i="21"/>
  <c r="O29" i="15"/>
  <c r="G51" i="15"/>
  <c r="W36" i="15"/>
  <c r="F85" i="15"/>
  <c r="AK11" i="15"/>
  <c r="D89" i="21"/>
  <c r="G11" i="21"/>
  <c r="S67" i="21"/>
  <c r="O15" i="15"/>
  <c r="AA34" i="21"/>
  <c r="V83" i="21"/>
  <c r="AN67" i="15"/>
  <c r="AM72" i="15"/>
  <c r="D33" i="15"/>
  <c r="AO81" i="15"/>
  <c r="AH87" i="15"/>
  <c r="I27" i="21"/>
  <c r="R42" i="15"/>
  <c r="K29" i="15"/>
  <c r="Y40" i="21"/>
  <c r="AJ67" i="21"/>
  <c r="AA34" i="15"/>
  <c r="H68" i="15"/>
  <c r="G31" i="21"/>
  <c r="AF36" i="21"/>
  <c r="N34" i="15"/>
  <c r="AH46" i="21"/>
  <c r="AI54" i="15"/>
  <c r="P14" i="21"/>
  <c r="AG85" i="21"/>
  <c r="D78" i="21"/>
  <c r="W32" i="21"/>
  <c r="M42" i="21"/>
  <c r="F33" i="15"/>
  <c r="AH77" i="15"/>
  <c r="AH65" i="15"/>
  <c r="AI41" i="21"/>
  <c r="R32" i="21"/>
  <c r="W29" i="15"/>
  <c r="AH67" i="15"/>
  <c r="AN70" i="15"/>
  <c r="Z49" i="15"/>
  <c r="M82" i="15"/>
  <c r="O13" i="15"/>
  <c r="S91" i="21"/>
  <c r="AC79" i="15"/>
  <c r="G30" i="21"/>
  <c r="L28" i="15"/>
  <c r="S73" i="15"/>
  <c r="P33" i="15"/>
  <c r="W31" i="15"/>
  <c r="AH29" i="21"/>
  <c r="AA25" i="21"/>
  <c r="U26" i="15"/>
  <c r="AA53" i="21"/>
  <c r="AB70" i="21"/>
  <c r="AI79" i="21"/>
  <c r="AD8" i="15"/>
  <c r="N47" i="15"/>
  <c r="M77" i="21"/>
  <c r="AF48" i="21"/>
  <c r="Y73" i="21"/>
  <c r="N80" i="15"/>
  <c r="AG25" i="15"/>
  <c r="G70" i="21"/>
  <c r="S8" i="15"/>
  <c r="AJ39" i="15"/>
  <c r="N93" i="21"/>
  <c r="D54" i="15"/>
  <c r="U8" i="15"/>
  <c r="AA92" i="21"/>
  <c r="H76" i="21"/>
  <c r="G48" i="15"/>
  <c r="E8" i="15"/>
  <c r="AK30" i="15"/>
  <c r="AC80" i="21"/>
  <c r="AO78" i="15"/>
  <c r="AJ68" i="15"/>
  <c r="AG65" i="15"/>
  <c r="AB70" i="15"/>
  <c r="AP67" i="21"/>
  <c r="U76" i="21"/>
  <c r="AD30" i="15"/>
  <c r="G29" i="15"/>
  <c r="AI81" i="15"/>
  <c r="AC86" i="15"/>
  <c r="M52" i="15"/>
  <c r="W33" i="15"/>
  <c r="AI26" i="15"/>
  <c r="G38" i="21"/>
  <c r="U68" i="15"/>
  <c r="H6" i="15"/>
  <c r="AJ75" i="15"/>
  <c r="AI80" i="15"/>
  <c r="AA8" i="21"/>
  <c r="R40" i="21"/>
  <c r="V87" i="21"/>
  <c r="AP89" i="21"/>
  <c r="N65" i="21"/>
  <c r="L53" i="15"/>
  <c r="P35" i="15"/>
  <c r="U15" i="15"/>
  <c r="R15" i="15"/>
  <c r="AO87" i="15"/>
  <c r="S37" i="15"/>
  <c r="O41" i="21"/>
  <c r="N10" i="21"/>
  <c r="G68" i="21"/>
  <c r="E79" i="15"/>
  <c r="AG12" i="15"/>
  <c r="AH31" i="21"/>
  <c r="D93" i="15"/>
  <c r="H87" i="15"/>
  <c r="T91" i="21"/>
  <c r="S30" i="21"/>
  <c r="K50" i="21"/>
  <c r="AP92" i="21"/>
  <c r="V8" i="21"/>
  <c r="Y81" i="21"/>
  <c r="AJ14" i="15"/>
  <c r="G49" i="21"/>
  <c r="AM90" i="15"/>
  <c r="M38" i="21"/>
  <c r="AN78" i="21"/>
  <c r="D53" i="21"/>
  <c r="AH92" i="15"/>
  <c r="AH37" i="15"/>
  <c r="AN66" i="15"/>
  <c r="V33" i="15"/>
  <c r="S46" i="15"/>
  <c r="D69" i="21"/>
  <c r="E10" i="15"/>
  <c r="O14" i="21"/>
  <c r="S6" i="21"/>
  <c r="AJ50" i="15"/>
  <c r="H37" i="15"/>
  <c r="AG85" i="15"/>
  <c r="M40" i="21"/>
  <c r="Y53" i="21"/>
  <c r="P13" i="15"/>
  <c r="D35" i="15"/>
  <c r="G38" i="15"/>
  <c r="U25" i="21"/>
  <c r="U54" i="15"/>
  <c r="AF73" i="21"/>
  <c r="AK6" i="15"/>
  <c r="AO66" i="15"/>
  <c r="AA13" i="21"/>
  <c r="AK35" i="21"/>
  <c r="AJ25" i="21"/>
  <c r="G13" i="21"/>
  <c r="AF72" i="21"/>
  <c r="U7" i="15"/>
  <c r="R64" i="15"/>
  <c r="D29" i="15"/>
  <c r="O68" i="15"/>
  <c r="N29" i="21"/>
  <c r="AA70" i="15"/>
  <c r="F14" i="21"/>
  <c r="I10" i="15"/>
  <c r="Z82" i="21"/>
  <c r="P43" i="15"/>
  <c r="AP70" i="15"/>
  <c r="L30" i="21"/>
  <c r="Z87" i="21"/>
  <c r="AM85" i="15"/>
  <c r="T72" i="15"/>
  <c r="V65" i="21"/>
  <c r="E90" i="15"/>
  <c r="AQ92" i="15"/>
  <c r="AI73" i="15"/>
  <c r="F28" i="21"/>
  <c r="Z28" i="21"/>
  <c r="E35" i="21"/>
  <c r="S84" i="21"/>
  <c r="T93" i="21"/>
  <c r="AH85" i="15"/>
  <c r="AH38" i="21"/>
  <c r="F43" i="15"/>
  <c r="H91" i="15"/>
  <c r="W6" i="15"/>
  <c r="H93" i="15"/>
  <c r="O39" i="15"/>
  <c r="V33" i="21"/>
  <c r="U66" i="15"/>
  <c r="AC42" i="15"/>
  <c r="AB79" i="15"/>
  <c r="AJ26" i="21"/>
  <c r="L45" i="15"/>
  <c r="H46" i="15"/>
  <c r="AF33" i="15"/>
  <c r="AP75" i="21"/>
  <c r="S76" i="21"/>
  <c r="S75" i="21"/>
  <c r="O11" i="21"/>
  <c r="V40" i="21"/>
  <c r="K88" i="21"/>
  <c r="AD6" i="21"/>
  <c r="AJ53" i="21"/>
  <c r="L77" i="15"/>
  <c r="M75" i="15"/>
  <c r="AJ78" i="15"/>
  <c r="AO89" i="15"/>
  <c r="U65" i="21"/>
  <c r="L6" i="15"/>
  <c r="G50" i="15"/>
  <c r="N83" i="15"/>
  <c r="AA30" i="21"/>
  <c r="AM87" i="15"/>
  <c r="AQ83" i="21"/>
  <c r="N48" i="21"/>
  <c r="AB14" i="15"/>
  <c r="AH64" i="15"/>
  <c r="AG86" i="21"/>
  <c r="AC53" i="15"/>
  <c r="T77" i="21"/>
  <c r="AF53" i="15"/>
  <c r="AI93" i="21"/>
  <c r="V77" i="15"/>
  <c r="H48" i="15"/>
  <c r="AB69" i="21"/>
  <c r="F68" i="21"/>
  <c r="F14" i="15"/>
  <c r="R52" i="21"/>
  <c r="U82" i="21"/>
  <c r="E81" i="15"/>
  <c r="T74" i="15"/>
  <c r="G72" i="21"/>
  <c r="AB30" i="15"/>
  <c r="Z75" i="21"/>
  <c r="V11" i="15"/>
  <c r="G82" i="21"/>
  <c r="H66" i="15"/>
  <c r="M12" i="15"/>
  <c r="O12" i="21"/>
  <c r="E46" i="21"/>
  <c r="AJ26" i="15"/>
  <c r="M88" i="15"/>
  <c r="S67" i="15"/>
  <c r="AG42" i="21"/>
  <c r="L82" i="15"/>
  <c r="K30" i="15"/>
  <c r="I27" i="15"/>
  <c r="AK49" i="15"/>
  <c r="R35" i="21"/>
  <c r="AG37" i="21"/>
  <c r="L39" i="15"/>
  <c r="W39" i="15"/>
  <c r="R46" i="15"/>
  <c r="E41" i="15"/>
  <c r="AD54" i="15"/>
  <c r="G89" i="21"/>
  <c r="P42" i="15"/>
  <c r="G14" i="21"/>
  <c r="AF78" i="21"/>
  <c r="AH14" i="21"/>
  <c r="G83" i="15"/>
  <c r="T26" i="21"/>
  <c r="U81" i="15"/>
  <c r="I51" i="15"/>
  <c r="L85" i="21"/>
  <c r="W39" i="21"/>
  <c r="G79" i="21"/>
  <c r="L48" i="15"/>
  <c r="F88" i="15"/>
  <c r="AD9" i="21"/>
  <c r="AG75" i="15"/>
  <c r="AC31" i="15"/>
  <c r="AA26" i="21"/>
  <c r="AJ85" i="15"/>
  <c r="T44" i="15"/>
  <c r="O52" i="15"/>
  <c r="S34" i="21"/>
  <c r="O7" i="15"/>
  <c r="S93" i="15"/>
  <c r="R34" i="21"/>
  <c r="AB34" i="21"/>
  <c r="H45" i="15"/>
  <c r="AK6" i="21"/>
  <c r="F77" i="21"/>
  <c r="AG47" i="21"/>
  <c r="L25" i="21"/>
  <c r="S13" i="21"/>
  <c r="R89" i="21"/>
  <c r="AH49" i="21"/>
  <c r="Z48" i="15"/>
  <c r="O47" i="21"/>
  <c r="AJ33" i="15"/>
  <c r="U65" i="15"/>
  <c r="Y9" i="21"/>
  <c r="G75" i="21"/>
  <c r="F10" i="21"/>
  <c r="AA29" i="15"/>
  <c r="S28" i="21"/>
  <c r="AF82" i="21"/>
  <c r="V89" i="21"/>
  <c r="AF13" i="15"/>
  <c r="Z52" i="15"/>
  <c r="AJ81" i="15"/>
  <c r="K93" i="21"/>
  <c r="P12" i="21"/>
  <c r="AA69" i="21"/>
  <c r="F27" i="15"/>
  <c r="AP82" i="21"/>
  <c r="K41" i="21"/>
  <c r="AJ31" i="15"/>
  <c r="S40" i="15"/>
  <c r="AG70" i="21"/>
  <c r="T28" i="15"/>
  <c r="AG68" i="21"/>
  <c r="N68" i="21"/>
  <c r="N85" i="15"/>
  <c r="G46" i="21"/>
  <c r="R90" i="21"/>
  <c r="F84" i="15"/>
  <c r="Y46" i="15"/>
  <c r="AC76" i="15"/>
  <c r="V51" i="15"/>
  <c r="O52" i="21"/>
  <c r="AH8" i="15"/>
  <c r="AF66" i="15"/>
  <c r="AA91" i="15"/>
  <c r="L91" i="21"/>
  <c r="AC48" i="15"/>
  <c r="AF32" i="21"/>
  <c r="AB83" i="15"/>
  <c r="D45" i="21"/>
  <c r="V45" i="15"/>
  <c r="E54" i="21"/>
  <c r="AJ67" i="15"/>
  <c r="T35" i="21"/>
  <c r="I15" i="21"/>
  <c r="S81" i="21"/>
  <c r="O73" i="21"/>
  <c r="AF29" i="21"/>
  <c r="Y14" i="21"/>
  <c r="W9" i="21"/>
  <c r="S83" i="21"/>
  <c r="O65" i="15"/>
  <c r="U84" i="15"/>
  <c r="H92" i="21"/>
  <c r="G39" i="15"/>
  <c r="D31" i="15"/>
  <c r="AA46" i="21"/>
  <c r="AA90" i="15"/>
  <c r="V35" i="21"/>
  <c r="N13" i="21"/>
  <c r="L44" i="21"/>
  <c r="T73" i="15"/>
  <c r="AA41" i="21"/>
  <c r="E74" i="21"/>
  <c r="L73" i="21"/>
  <c r="AI30" i="21"/>
  <c r="K7" i="21"/>
  <c r="Y91" i="15"/>
  <c r="E82" i="21"/>
  <c r="V39" i="21"/>
  <c r="K28" i="15"/>
  <c r="Z44" i="21"/>
  <c r="AD13" i="15"/>
  <c r="AH52" i="21"/>
  <c r="AO75" i="21"/>
  <c r="AK34" i="21"/>
  <c r="AD41" i="21"/>
  <c r="T73" i="21"/>
  <c r="W47" i="15"/>
  <c r="AF9" i="15"/>
  <c r="D73" i="21"/>
  <c r="AA52" i="21"/>
  <c r="K51" i="15"/>
  <c r="AC92" i="15"/>
  <c r="F42" i="15"/>
  <c r="Y76" i="15"/>
  <c r="AN64" i="15"/>
  <c r="N77" i="15"/>
  <c r="N46" i="21"/>
  <c r="G87" i="15"/>
  <c r="L26" i="15"/>
  <c r="AG30" i="15"/>
  <c r="T41" i="21"/>
  <c r="O64" i="21"/>
  <c r="V31" i="21"/>
  <c r="AC41" i="15"/>
  <c r="AG78" i="15"/>
  <c r="AI69" i="21"/>
  <c r="AD13" i="21"/>
  <c r="F8" i="21"/>
  <c r="Y42" i="21"/>
  <c r="V68" i="15"/>
  <c r="M37" i="21"/>
  <c r="E83" i="21"/>
  <c r="Z88" i="21"/>
  <c r="P52" i="21"/>
  <c r="AP85" i="15"/>
  <c r="P35" i="21"/>
  <c r="AI36" i="21"/>
  <c r="Z93" i="15"/>
  <c r="D44" i="15"/>
  <c r="AA67" i="21"/>
  <c r="AM80" i="15"/>
  <c r="AQ79" i="21"/>
  <c r="W38" i="21"/>
  <c r="S89" i="15"/>
  <c r="AP88" i="15"/>
  <c r="AD33" i="21"/>
  <c r="G77" i="21"/>
  <c r="AI39" i="15"/>
  <c r="F80" i="21"/>
  <c r="R83" i="21"/>
  <c r="AI86" i="15"/>
  <c r="AA75" i="15"/>
  <c r="M72" i="21"/>
  <c r="AC11" i="15"/>
  <c r="G66" i="15"/>
  <c r="Y85" i="21"/>
  <c r="D39" i="21"/>
  <c r="AD25" i="15"/>
  <c r="AF11" i="21"/>
  <c r="U39" i="15"/>
  <c r="K11" i="21"/>
  <c r="M72" i="15"/>
  <c r="W6" i="21"/>
  <c r="M64" i="15"/>
  <c r="V39" i="15"/>
  <c r="R45" i="21"/>
  <c r="AI52" i="15"/>
  <c r="AD38" i="21"/>
  <c r="R48" i="21"/>
  <c r="AO91" i="15"/>
  <c r="N28" i="15"/>
  <c r="S44" i="21"/>
  <c r="AK48" i="15"/>
  <c r="L38" i="15"/>
  <c r="Y32" i="15"/>
  <c r="G83" i="21"/>
  <c r="Z37" i="21"/>
  <c r="AK37" i="15"/>
  <c r="U79" i="15"/>
  <c r="Y86" i="15"/>
  <c r="H11" i="15"/>
  <c r="AA85" i="15"/>
  <c r="R38" i="15"/>
  <c r="Z64" i="15"/>
  <c r="K46" i="21"/>
  <c r="AD12" i="15"/>
  <c r="AM83" i="21"/>
  <c r="AB54" i="21"/>
  <c r="K38" i="15"/>
  <c r="H89" i="15"/>
  <c r="AB36" i="21"/>
  <c r="Z68" i="21"/>
  <c r="AG13" i="21"/>
  <c r="AJ86" i="15"/>
  <c r="AB88" i="21"/>
  <c r="F12" i="21"/>
  <c r="AN73" i="21"/>
  <c r="AJ44" i="21"/>
  <c r="S52" i="15"/>
  <c r="Y36" i="21"/>
  <c r="AC7" i="15"/>
  <c r="AJ50" i="21"/>
  <c r="AC80" i="15"/>
  <c r="P25" i="15"/>
  <c r="G37" i="15"/>
  <c r="R8" i="21"/>
  <c r="L51" i="15"/>
  <c r="R67" i="15"/>
  <c r="L26" i="21"/>
  <c r="M90" i="15"/>
  <c r="Z85" i="15"/>
  <c r="T87" i="15"/>
  <c r="H71" i="21"/>
  <c r="G80" i="15"/>
  <c r="AD11" i="15"/>
  <c r="AD48" i="15"/>
  <c r="AA77" i="21"/>
  <c r="T37" i="21"/>
  <c r="AJ78" i="21"/>
  <c r="P7" i="15"/>
  <c r="AJ53" i="15"/>
  <c r="G35" i="21"/>
  <c r="D53" i="15"/>
  <c r="AI27" i="21"/>
  <c r="M26" i="15"/>
  <c r="AJ27" i="21"/>
  <c r="H80" i="21"/>
  <c r="M88" i="21"/>
  <c r="Z25" i="15"/>
  <c r="AJ47" i="21"/>
  <c r="T54" i="21"/>
  <c r="S50" i="21"/>
  <c r="L7" i="15"/>
  <c r="AI42" i="21"/>
  <c r="K93" i="15"/>
  <c r="H10" i="21"/>
  <c r="AA12" i="15"/>
  <c r="O39" i="21"/>
  <c r="F34" i="15"/>
  <c r="K75" i="15"/>
  <c r="AI49" i="21"/>
  <c r="AH78" i="15"/>
  <c r="F51" i="15"/>
  <c r="U10" i="15"/>
  <c r="AI41" i="15"/>
  <c r="AQ76" i="15"/>
  <c r="G15" i="15"/>
  <c r="AG92" i="15"/>
  <c r="L78" i="15"/>
  <c r="AA43" i="21"/>
  <c r="Y47" i="15"/>
  <c r="L64" i="15"/>
  <c r="AG90" i="15"/>
  <c r="AD31" i="21"/>
  <c r="O79" i="15"/>
  <c r="Y36" i="15"/>
  <c r="L65" i="15"/>
  <c r="H38" i="21"/>
  <c r="M52" i="21"/>
  <c r="R67" i="21"/>
  <c r="AF15" i="21"/>
  <c r="AC13" i="21"/>
  <c r="U31" i="15"/>
  <c r="AF54" i="15"/>
  <c r="R42" i="21"/>
  <c r="AC89" i="15"/>
  <c r="N81" i="15"/>
  <c r="AO72" i="21"/>
  <c r="F76" i="21"/>
  <c r="F90" i="15"/>
  <c r="M11" i="21"/>
  <c r="V27" i="21"/>
  <c r="D90" i="15"/>
  <c r="AH27" i="15"/>
  <c r="M48" i="15"/>
  <c r="W44" i="15"/>
  <c r="AB53" i="21"/>
  <c r="AB40" i="15"/>
  <c r="AM88" i="15"/>
  <c r="M81" i="21"/>
  <c r="E38" i="15"/>
  <c r="K78" i="15"/>
  <c r="AG33" i="21"/>
  <c r="AA33" i="21"/>
  <c r="AG39" i="15"/>
  <c r="AB65" i="15"/>
  <c r="AA27" i="15"/>
  <c r="AB31" i="21"/>
  <c r="AK32" i="15"/>
  <c r="AG43" i="15"/>
  <c r="AQ67" i="21"/>
  <c r="AB12" i="21"/>
  <c r="T85" i="21"/>
  <c r="AH8" i="21"/>
  <c r="O40" i="21"/>
  <c r="P30" i="15"/>
  <c r="N89" i="21"/>
  <c r="AG46" i="15"/>
  <c r="AA42" i="21"/>
  <c r="N8" i="15"/>
  <c r="K89" i="15"/>
  <c r="AI51" i="21"/>
  <c r="AJ40" i="21"/>
  <c r="AJ8" i="15"/>
  <c r="V28" i="21"/>
  <c r="I48" i="21"/>
  <c r="W51" i="15"/>
  <c r="D13" i="21"/>
  <c r="I35" i="21"/>
  <c r="F41" i="21"/>
  <c r="U67" i="21"/>
  <c r="P26" i="21"/>
  <c r="U41" i="21"/>
  <c r="O64" i="15"/>
  <c r="AD49" i="21"/>
  <c r="AF90" i="15"/>
  <c r="AA38" i="15"/>
  <c r="AB14" i="21"/>
  <c r="AH31" i="15"/>
  <c r="AC51" i="21"/>
  <c r="AO77" i="21"/>
  <c r="M6" i="21"/>
  <c r="U50" i="15"/>
  <c r="L83" i="21"/>
  <c r="M48" i="21"/>
  <c r="I8" i="21"/>
  <c r="D67" i="21"/>
  <c r="AN85" i="15"/>
  <c r="M73" i="21"/>
  <c r="AK13" i="15"/>
  <c r="H70" i="15"/>
  <c r="W49" i="15"/>
  <c r="AD52" i="21"/>
  <c r="AJ44" i="15"/>
  <c r="S78" i="21"/>
  <c r="AF79" i="15"/>
  <c r="AN86" i="21"/>
  <c r="R88" i="15"/>
  <c r="D42" i="15"/>
  <c r="AM88" i="21"/>
  <c r="O40" i="15"/>
  <c r="AG78" i="21"/>
  <c r="AI86" i="21"/>
  <c r="P44" i="15"/>
  <c r="F38" i="21"/>
  <c r="V8" i="15"/>
  <c r="AC83" i="15"/>
  <c r="AC67" i="15"/>
  <c r="L85" i="15"/>
  <c r="D7" i="15"/>
  <c r="AH45" i="15"/>
  <c r="AB93" i="15"/>
  <c r="AG69" i="21"/>
  <c r="AP73" i="21"/>
  <c r="AJ42" i="15"/>
  <c r="N39" i="21"/>
  <c r="AA74" i="21"/>
  <c r="AQ85" i="15"/>
  <c r="T53" i="21"/>
  <c r="M44" i="21"/>
  <c r="AM68" i="21"/>
  <c r="AA31" i="15"/>
  <c r="AD27" i="21"/>
  <c r="AD45" i="21"/>
  <c r="U30" i="21"/>
  <c r="P32" i="21"/>
  <c r="AC38" i="15"/>
  <c r="AF78" i="15"/>
  <c r="L34" i="15"/>
  <c r="S90" i="21"/>
  <c r="P40" i="15"/>
  <c r="AB73" i="21"/>
  <c r="S10" i="15"/>
  <c r="S86" i="15"/>
  <c r="S25" i="21"/>
  <c r="AG7" i="21"/>
  <c r="AP86" i="21"/>
  <c r="V73" i="15"/>
  <c r="AI68" i="21"/>
  <c r="AO64" i="15"/>
  <c r="V48" i="21"/>
  <c r="AB35" i="21"/>
  <c r="U13" i="21"/>
  <c r="AK31" i="15"/>
  <c r="AO92" i="15"/>
  <c r="AG27" i="21"/>
  <c r="AK52" i="15"/>
  <c r="T27" i="21"/>
  <c r="W43" i="15"/>
  <c r="AA47" i="21"/>
  <c r="AF14" i="15"/>
  <c r="H84" i="15"/>
  <c r="AC26" i="15"/>
  <c r="K31" i="21"/>
  <c r="H26" i="15"/>
  <c r="AH76" i="21"/>
  <c r="O25" i="15"/>
  <c r="T89" i="21"/>
  <c r="AO85" i="15"/>
  <c r="AD32" i="21"/>
  <c r="R33" i="21"/>
  <c r="AJ13" i="21"/>
  <c r="I45" i="21"/>
  <c r="M35" i="21"/>
  <c r="Y50" i="15"/>
  <c r="AH49" i="15"/>
  <c r="G65" i="15"/>
  <c r="Y37" i="15"/>
  <c r="AA64" i="15"/>
  <c r="AA35" i="21"/>
  <c r="AH82" i="21"/>
  <c r="AG46" i="21"/>
  <c r="S12" i="21"/>
  <c r="AF38" i="21"/>
  <c r="S82" i="21"/>
  <c r="N50" i="21"/>
  <c r="AA52" i="15"/>
  <c r="M15" i="21"/>
  <c r="AA72" i="15"/>
  <c r="AG50" i="15"/>
  <c r="D65" i="21"/>
  <c r="AA53" i="15"/>
  <c r="R27" i="15"/>
  <c r="U10" i="21"/>
  <c r="V91" i="15"/>
  <c r="E41" i="21"/>
  <c r="Z31" i="21"/>
  <c r="L88" i="15"/>
  <c r="G73" i="15"/>
  <c r="AF11" i="15"/>
  <c r="S49" i="21"/>
  <c r="AO73" i="15"/>
  <c r="N6" i="15"/>
  <c r="AG82" i="15"/>
  <c r="AB87" i="21"/>
  <c r="AH42" i="21"/>
  <c r="AK8" i="21"/>
  <c r="AN82" i="21"/>
  <c r="AF44" i="21"/>
  <c r="Y39" i="15"/>
  <c r="V31" i="15"/>
  <c r="AF87" i="21"/>
  <c r="AG93" i="21"/>
  <c r="U37" i="15"/>
  <c r="V69" i="15"/>
  <c r="K9" i="15"/>
  <c r="AA6" i="15"/>
  <c r="AC70" i="21"/>
  <c r="U45" i="21"/>
  <c r="K48" i="15"/>
  <c r="E53" i="15"/>
  <c r="AB13" i="15"/>
  <c r="AK46" i="15"/>
  <c r="AH70" i="15"/>
  <c r="AK47" i="21"/>
  <c r="E6" i="21"/>
  <c r="F26" i="21"/>
  <c r="U80" i="21"/>
  <c r="M89" i="15"/>
  <c r="K80" i="15"/>
  <c r="AP90" i="15"/>
  <c r="R50" i="15"/>
  <c r="E73" i="21"/>
  <c r="H75" i="15"/>
  <c r="U83" i="15"/>
  <c r="Z67" i="15"/>
  <c r="Z15" i="21"/>
  <c r="R38" i="21"/>
  <c r="Y35" i="15"/>
  <c r="AJ29" i="21"/>
  <c r="K54" i="21"/>
  <c r="AQ76" i="21"/>
  <c r="L84" i="21"/>
  <c r="V7" i="21"/>
  <c r="AA50" i="21"/>
  <c r="AH34" i="15"/>
  <c r="AC52" i="15"/>
  <c r="AI51" i="15"/>
  <c r="AP65" i="15"/>
  <c r="Z89" i="21"/>
  <c r="P50" i="21"/>
  <c r="U50" i="21"/>
  <c r="AM90" i="21"/>
  <c r="M65" i="21"/>
  <c r="AB7" i="15"/>
  <c r="AG93" i="15"/>
  <c r="AH7" i="21"/>
  <c r="E78" i="15"/>
  <c r="AP80" i="15"/>
  <c r="L35" i="21"/>
  <c r="U72" i="15"/>
  <c r="AF93" i="21"/>
  <c r="F51" i="21"/>
  <c r="S88" i="15"/>
  <c r="AA37" i="21"/>
  <c r="F78" i="21"/>
  <c r="H54" i="15"/>
  <c r="AC84" i="21"/>
  <c r="F30" i="15"/>
  <c r="E42" i="15"/>
  <c r="S6" i="15"/>
  <c r="S92" i="21"/>
  <c r="R48" i="15"/>
  <c r="P48" i="21"/>
  <c r="AC10" i="15"/>
  <c r="AF65" i="15"/>
  <c r="I43" i="15"/>
  <c r="K32" i="21"/>
  <c r="R72" i="21"/>
  <c r="AB7" i="21"/>
  <c r="AJ41" i="15"/>
  <c r="M41" i="15"/>
  <c r="M39" i="21"/>
  <c r="AK39" i="21"/>
  <c r="AA69" i="15"/>
  <c r="U73" i="21"/>
  <c r="AB26" i="21"/>
  <c r="AP73" i="15"/>
  <c r="V79" i="15"/>
  <c r="E43" i="21"/>
  <c r="AN72" i="21"/>
  <c r="AO70" i="15"/>
  <c r="T36" i="15"/>
  <c r="L79" i="21"/>
  <c r="AA65" i="21"/>
  <c r="AB84" i="15"/>
  <c r="N35" i="21"/>
  <c r="V48" i="15"/>
  <c r="O28" i="21"/>
  <c r="AF49" i="15"/>
  <c r="AB89" i="21"/>
  <c r="M43" i="15"/>
  <c r="AJ37" i="15"/>
  <c r="Y44" i="21"/>
  <c r="AG12" i="21"/>
  <c r="AG77" i="15"/>
  <c r="G78" i="21"/>
  <c r="R82" i="15"/>
  <c r="AH48" i="15"/>
  <c r="AN65" i="15"/>
  <c r="G43" i="15"/>
  <c r="U92" i="21"/>
  <c r="L54" i="15"/>
  <c r="F79" i="15"/>
  <c r="AI77" i="21"/>
  <c r="AM69" i="15"/>
  <c r="AA13" i="15"/>
  <c r="G74" i="15"/>
  <c r="T81" i="15"/>
  <c r="F6" i="21"/>
  <c r="M49" i="21"/>
  <c r="V11" i="21"/>
  <c r="M92" i="21"/>
  <c r="U33" i="21"/>
  <c r="AF28" i="21"/>
  <c r="E46" i="15"/>
  <c r="R87" i="15"/>
  <c r="K85" i="15"/>
  <c r="V54" i="21"/>
  <c r="T45" i="21"/>
  <c r="AF9" i="21"/>
  <c r="I40" i="21"/>
  <c r="Y28" i="15"/>
  <c r="D29" i="21"/>
  <c r="S68" i="21"/>
  <c r="Z27" i="15"/>
  <c r="Z11" i="21"/>
  <c r="AJ65" i="21"/>
  <c r="G54" i="15"/>
  <c r="AB27" i="15"/>
  <c r="G86" i="15"/>
  <c r="R37" i="21"/>
  <c r="AB66" i="15"/>
  <c r="L41" i="21"/>
  <c r="D66" i="15"/>
  <c r="AH81" i="21"/>
  <c r="AC75" i="21"/>
  <c r="Z90" i="15"/>
  <c r="O43" i="21"/>
  <c r="U91" i="15"/>
  <c r="V34" i="15"/>
  <c r="AF30" i="21"/>
  <c r="AK13" i="21"/>
  <c r="Y65" i="21"/>
  <c r="P48" i="15"/>
  <c r="AI14" i="15"/>
  <c r="F73" i="21"/>
  <c r="AG44" i="15"/>
  <c r="AG10" i="15"/>
  <c r="N69" i="21"/>
  <c r="D46" i="15"/>
  <c r="R88" i="21"/>
  <c r="AJ69" i="15"/>
  <c r="F80" i="15"/>
  <c r="AH84" i="21"/>
  <c r="AB10" i="15"/>
  <c r="Y69" i="15"/>
  <c r="AI89" i="21"/>
  <c r="G50" i="21"/>
  <c r="AP87" i="21"/>
  <c r="AG49" i="21"/>
  <c r="L84" i="15"/>
  <c r="K84" i="21"/>
  <c r="S74" i="21"/>
  <c r="O72" i="15"/>
  <c r="N76" i="15"/>
  <c r="W52" i="21"/>
  <c r="AA41" i="15"/>
  <c r="Z45" i="21"/>
  <c r="V47" i="15"/>
  <c r="D86" i="21"/>
  <c r="T34" i="15"/>
  <c r="AC25" i="21"/>
  <c r="H45" i="21"/>
  <c r="AA47" i="15"/>
  <c r="R54" i="15"/>
  <c r="F82" i="21"/>
  <c r="R53" i="15"/>
  <c r="W28" i="15"/>
  <c r="AF46" i="21"/>
  <c r="L44" i="15"/>
  <c r="U48" i="21"/>
  <c r="V49" i="21"/>
  <c r="AF70" i="15"/>
  <c r="AM64" i="21"/>
  <c r="V13" i="21"/>
  <c r="P53" i="15"/>
  <c r="T38" i="15"/>
  <c r="E48" i="21"/>
  <c r="T8" i="15"/>
  <c r="R13" i="15"/>
  <c r="AI90" i="15"/>
  <c r="K37" i="15"/>
  <c r="G28" i="21"/>
  <c r="AI80" i="21"/>
  <c r="Z86" i="21"/>
  <c r="W50" i="15"/>
  <c r="AC42" i="21"/>
  <c r="Y11" i="15"/>
  <c r="G87" i="21"/>
  <c r="AC37" i="21"/>
  <c r="E42" i="21"/>
  <c r="AQ81" i="21"/>
  <c r="AD9" i="15"/>
  <c r="T29" i="15"/>
  <c r="P9" i="21"/>
  <c r="N42" i="21"/>
  <c r="AF7" i="15"/>
  <c r="W37" i="21"/>
  <c r="O47" i="15"/>
  <c r="I47" i="21"/>
  <c r="AA11" i="15"/>
  <c r="AJ54" i="21"/>
  <c r="T83" i="15"/>
  <c r="AC90" i="21"/>
  <c r="Y14" i="15"/>
  <c r="I25" i="15"/>
  <c r="N86" i="21"/>
  <c r="F49" i="15"/>
  <c r="O66" i="21"/>
  <c r="T66" i="15"/>
  <c r="K76" i="21"/>
  <c r="AH87" i="21"/>
  <c r="AP84" i="15"/>
  <c r="H90" i="15"/>
  <c r="M54" i="21"/>
  <c r="Y38" i="21"/>
  <c r="K65" i="21"/>
  <c r="O30" i="21"/>
  <c r="AB51" i="21"/>
  <c r="P37" i="15"/>
  <c r="AN87" i="15"/>
  <c r="H50" i="15"/>
  <c r="P51" i="21"/>
  <c r="D76" i="15"/>
  <c r="N26" i="21"/>
  <c r="O41" i="15"/>
  <c r="N54" i="15"/>
  <c r="D74" i="15"/>
  <c r="AG38" i="21"/>
  <c r="AM77" i="21"/>
  <c r="AS77" i="21" s="1"/>
  <c r="AI12" i="21"/>
  <c r="AF65" i="21"/>
  <c r="AH51" i="15"/>
  <c r="AK42" i="15"/>
  <c r="L81" i="21"/>
  <c r="AN93" i="21"/>
  <c r="AA27" i="21"/>
  <c r="S51" i="15"/>
  <c r="AJ87" i="15"/>
  <c r="AH35" i="21"/>
  <c r="U88" i="15"/>
  <c r="I14" i="15"/>
  <c r="L29" i="15"/>
  <c r="U52" i="21"/>
  <c r="G74" i="21"/>
  <c r="AC35" i="21"/>
  <c r="V15" i="21"/>
  <c r="N92" i="15"/>
  <c r="V81" i="21"/>
  <c r="AN84" i="15"/>
  <c r="AC81" i="21"/>
  <c r="AA43" i="15"/>
  <c r="AA46" i="15"/>
  <c r="AA82" i="15"/>
  <c r="AI6" i="15"/>
  <c r="S75" i="15"/>
  <c r="AI48" i="15"/>
  <c r="V49" i="15"/>
  <c r="AD25" i="21"/>
  <c r="AB8" i="15"/>
  <c r="I34" i="15"/>
  <c r="M78" i="15"/>
  <c r="F33" i="21"/>
  <c r="S66" i="15"/>
  <c r="E27" i="15"/>
  <c r="AN80" i="21"/>
  <c r="AH13" i="15"/>
  <c r="AA93" i="15"/>
  <c r="R86" i="15"/>
  <c r="N69" i="15"/>
  <c r="E66" i="15"/>
  <c r="AG64" i="15"/>
  <c r="Z83" i="21"/>
  <c r="K27" i="15"/>
  <c r="T47" i="21"/>
  <c r="E67" i="21"/>
  <c r="V54" i="15"/>
  <c r="AQ66" i="15"/>
  <c r="N37" i="15"/>
  <c r="S84" i="15"/>
  <c r="I54" i="15"/>
  <c r="AB75" i="15"/>
  <c r="AC66" i="21"/>
  <c r="M25" i="21"/>
  <c r="L13" i="21"/>
  <c r="W11" i="21"/>
  <c r="AB39" i="15"/>
  <c r="T51" i="21"/>
  <c r="R69" i="15"/>
  <c r="M14" i="15"/>
  <c r="O48" i="15"/>
  <c r="L10" i="21"/>
  <c r="Z26" i="15"/>
  <c r="AB50" i="21"/>
  <c r="N79" i="15"/>
  <c r="AF39" i="21"/>
  <c r="L81" i="15"/>
  <c r="AG39" i="21"/>
  <c r="AG37" i="15"/>
  <c r="S45" i="21"/>
  <c r="L52" i="21"/>
  <c r="R81" i="15"/>
  <c r="AH76" i="15"/>
  <c r="AG29" i="15"/>
  <c r="M69" i="15"/>
  <c r="Z50" i="21"/>
  <c r="AB51" i="15"/>
  <c r="F7" i="15"/>
  <c r="G6" i="21"/>
  <c r="G84" i="21"/>
  <c r="H15" i="15"/>
  <c r="D84" i="21"/>
  <c r="S38" i="15"/>
  <c r="W7" i="21"/>
  <c r="L92" i="21"/>
  <c r="M67" i="21"/>
  <c r="U28" i="15"/>
  <c r="S27" i="21"/>
  <c r="H73" i="21"/>
  <c r="AD29" i="21"/>
  <c r="U27" i="15"/>
  <c r="G7" i="15"/>
  <c r="AP85" i="21"/>
  <c r="AK40" i="21"/>
  <c r="AC30" i="15"/>
  <c r="E48" i="15"/>
  <c r="N84" i="15"/>
  <c r="K26" i="21"/>
  <c r="O44" i="15"/>
  <c r="U76" i="15"/>
  <c r="O33" i="21"/>
  <c r="T38" i="21"/>
  <c r="AI68" i="15"/>
  <c r="M82" i="21"/>
  <c r="AF74" i="21"/>
  <c r="AJ29" i="15"/>
  <c r="AC77" i="21"/>
  <c r="S33" i="21"/>
  <c r="W35" i="15"/>
  <c r="O84" i="15"/>
  <c r="V90" i="15"/>
  <c r="AD36" i="21"/>
  <c r="F65" i="15"/>
  <c r="K47" i="15"/>
  <c r="D40" i="21"/>
  <c r="N74" i="15"/>
  <c r="G40" i="21"/>
  <c r="H47" i="15"/>
  <c r="V80" i="21"/>
  <c r="T65" i="21"/>
  <c r="Y73" i="15"/>
  <c r="V30" i="21"/>
  <c r="L70" i="15"/>
  <c r="S25" i="15"/>
  <c r="S35" i="15"/>
  <c r="Z8" i="21"/>
  <c r="U78" i="21"/>
  <c r="T35" i="15"/>
  <c r="AD46" i="15"/>
  <c r="P46" i="21"/>
  <c r="K10" i="15"/>
  <c r="AJ93" i="21"/>
  <c r="V6" i="21"/>
  <c r="E8" i="21"/>
  <c r="L66" i="21"/>
  <c r="AO79" i="15"/>
  <c r="T77" i="15"/>
  <c r="R12" i="21"/>
  <c r="I52" i="15"/>
  <c r="E52" i="15"/>
  <c r="K27" i="21"/>
  <c r="V88" i="15"/>
  <c r="AA15" i="21"/>
  <c r="AQ90" i="21"/>
  <c r="H82" i="21"/>
  <c r="E38" i="21"/>
  <c r="H88" i="15"/>
  <c r="I50" i="15"/>
  <c r="AK14" i="21"/>
  <c r="S35" i="21"/>
  <c r="L6" i="21"/>
  <c r="H77" i="15"/>
  <c r="R41" i="21"/>
  <c r="AA45" i="15"/>
  <c r="F88" i="21"/>
  <c r="V28" i="15"/>
  <c r="X28" i="15" s="1"/>
  <c r="E25" i="15"/>
  <c r="AM92" i="15"/>
  <c r="AN92" i="15"/>
  <c r="H44" i="15"/>
  <c r="AC8" i="21"/>
  <c r="AG84" i="15"/>
  <c r="M10" i="15"/>
  <c r="W29" i="21"/>
  <c r="S14" i="15"/>
  <c r="U14" i="15"/>
  <c r="AF12" i="21"/>
  <c r="T85" i="15"/>
  <c r="AF89" i="21"/>
  <c r="Z73" i="15"/>
  <c r="D41" i="21"/>
  <c r="AD40" i="15"/>
  <c r="AI70" i="15"/>
  <c r="AC85" i="21"/>
  <c r="R86" i="21"/>
  <c r="AA84" i="15"/>
  <c r="AH69" i="21"/>
  <c r="R70" i="15"/>
  <c r="E49" i="15"/>
  <c r="S88" i="21"/>
  <c r="I33" i="21"/>
  <c r="AP78" i="21"/>
  <c r="AF50" i="21"/>
  <c r="V72" i="21"/>
  <c r="G91" i="15"/>
  <c r="L75" i="15"/>
  <c r="G72" i="15"/>
  <c r="U69" i="15"/>
  <c r="AM64" i="15"/>
  <c r="F86" i="21"/>
  <c r="N9" i="21"/>
  <c r="AM78" i="21"/>
  <c r="Z40" i="15"/>
  <c r="H35" i="15"/>
  <c r="M93" i="21"/>
  <c r="AH15" i="15"/>
  <c r="Y78" i="15"/>
  <c r="Y9" i="15"/>
  <c r="AC78" i="15"/>
  <c r="N46" i="15"/>
  <c r="K44" i="15"/>
  <c r="O38" i="15"/>
  <c r="G26" i="15"/>
  <c r="D77" i="21"/>
  <c r="T49" i="15"/>
  <c r="AG8" i="21"/>
  <c r="F84" i="21"/>
  <c r="AG89" i="15"/>
  <c r="AJ91" i="21"/>
  <c r="N36" i="15"/>
  <c r="K14" i="21"/>
  <c r="S54" i="15"/>
  <c r="G65" i="21"/>
  <c r="AD34" i="15"/>
  <c r="AB71" i="15"/>
  <c r="Z52" i="21"/>
  <c r="N53" i="21"/>
  <c r="E91" i="21"/>
  <c r="AQ70" i="15"/>
  <c r="I12" i="21"/>
  <c r="AM66" i="21"/>
  <c r="L27" i="21"/>
  <c r="AP90" i="21"/>
  <c r="AK12" i="21"/>
  <c r="AJ66" i="21"/>
  <c r="F43" i="21"/>
  <c r="AQ93" i="15"/>
  <c r="F75" i="21"/>
  <c r="AA79" i="15"/>
  <c r="AG52" i="15"/>
  <c r="R29" i="15"/>
  <c r="AH35" i="15"/>
  <c r="H46" i="21"/>
  <c r="O69" i="21"/>
  <c r="E51" i="15"/>
  <c r="L33" i="15"/>
  <c r="AQ74" i="21"/>
  <c r="F26" i="15"/>
  <c r="AP68" i="15"/>
  <c r="AD37" i="21"/>
  <c r="R68" i="15"/>
  <c r="U87" i="21"/>
  <c r="AI34" i="21"/>
  <c r="T82" i="21"/>
  <c r="X82" i="21" s="1"/>
  <c r="Z54" i="21"/>
  <c r="P41" i="15"/>
  <c r="O86" i="15"/>
  <c r="AM86" i="21"/>
  <c r="AS86" i="21" s="1"/>
  <c r="AH67" i="21"/>
  <c r="R87" i="21"/>
  <c r="AA87" i="15"/>
  <c r="F66" i="15"/>
  <c r="AI30" i="15"/>
  <c r="R31" i="21"/>
  <c r="K72" i="15"/>
  <c r="D39" i="15"/>
  <c r="T44" i="21"/>
  <c r="AP84" i="21"/>
  <c r="E40" i="15"/>
  <c r="Y12" i="15"/>
  <c r="G69" i="21"/>
  <c r="Z86" i="15"/>
  <c r="AF8" i="21"/>
  <c r="AO85" i="21"/>
  <c r="AP66" i="15"/>
  <c r="K73" i="21"/>
  <c r="T26" i="15"/>
  <c r="F15" i="21"/>
  <c r="G25" i="21"/>
  <c r="AF44" i="15"/>
  <c r="Y40" i="15"/>
  <c r="U27" i="21"/>
  <c r="AF69" i="15"/>
  <c r="AI28" i="15"/>
  <c r="AP72" i="21"/>
  <c r="K14" i="15"/>
  <c r="AF35" i="15"/>
  <c r="Y75" i="15"/>
  <c r="G71" i="15"/>
  <c r="AG36" i="15"/>
  <c r="W41" i="15"/>
  <c r="I37" i="21"/>
  <c r="Z45" i="15"/>
  <c r="Z88" i="15"/>
  <c r="K40" i="21"/>
  <c r="K51" i="21"/>
  <c r="F38" i="15"/>
  <c r="F72" i="15"/>
  <c r="AC30" i="21"/>
  <c r="AO66" i="21"/>
  <c r="AF92" i="21"/>
  <c r="AG42" i="15"/>
  <c r="AC72" i="15"/>
  <c r="Y31" i="15"/>
  <c r="N10" i="15"/>
  <c r="AQ77" i="15"/>
  <c r="M84" i="21"/>
  <c r="AB90" i="15"/>
  <c r="K33" i="15"/>
  <c r="M68" i="21"/>
  <c r="V72" i="15"/>
  <c r="AF84" i="15"/>
  <c r="AH80" i="21"/>
  <c r="AP83" i="21"/>
  <c r="R79" i="15"/>
  <c r="D11" i="21"/>
  <c r="AB92" i="21"/>
  <c r="F40" i="15"/>
  <c r="AJ28" i="21"/>
  <c r="W12" i="15"/>
  <c r="V81" i="15"/>
  <c r="W12" i="21"/>
  <c r="F11" i="15"/>
  <c r="G8" i="15"/>
  <c r="AI33" i="15"/>
  <c r="AF7" i="21"/>
  <c r="E52" i="21"/>
  <c r="K52" i="21"/>
  <c r="G46" i="15"/>
  <c r="Y41" i="21"/>
  <c r="AI79" i="15"/>
  <c r="AA67" i="15"/>
  <c r="AN88" i="21"/>
  <c r="AI53" i="15"/>
  <c r="AC34" i="21"/>
  <c r="AC87" i="21"/>
  <c r="U9" i="15"/>
  <c r="R69" i="21"/>
  <c r="AG43" i="21"/>
  <c r="AM67" i="15"/>
  <c r="AA77" i="15"/>
  <c r="AK48" i="21"/>
  <c r="AH26" i="15"/>
  <c r="M83" i="21"/>
  <c r="Z80" i="15"/>
  <c r="F39" i="21"/>
  <c r="P45" i="21"/>
  <c r="L43" i="15"/>
  <c r="AH50" i="15"/>
  <c r="Y50" i="21"/>
  <c r="AI50" i="15"/>
  <c r="R43" i="15"/>
  <c r="I42" i="21"/>
  <c r="AD45" i="15"/>
  <c r="H65" i="15"/>
  <c r="N25" i="15"/>
  <c r="O66" i="15"/>
  <c r="AG76" i="21"/>
  <c r="AA90" i="21"/>
  <c r="AI44" i="21"/>
  <c r="R93" i="15"/>
  <c r="M76" i="15"/>
  <c r="T50" i="21"/>
  <c r="AP82" i="15"/>
  <c r="AA48" i="21"/>
  <c r="D52" i="15"/>
  <c r="O14" i="15"/>
  <c r="R52" i="15"/>
  <c r="U38" i="15"/>
  <c r="AH37" i="21"/>
  <c r="AJ10" i="21"/>
  <c r="AA68" i="21"/>
  <c r="AA14" i="21"/>
  <c r="K80" i="21"/>
  <c r="Y71" i="15"/>
  <c r="W53" i="15"/>
  <c r="AB86" i="15"/>
  <c r="AC27" i="15"/>
  <c r="AJ34" i="15"/>
  <c r="AQ81" i="15"/>
  <c r="L50" i="15"/>
  <c r="F92" i="21"/>
  <c r="O88" i="15"/>
  <c r="AO88" i="21"/>
  <c r="H8" i="15"/>
  <c r="AC28" i="15"/>
  <c r="T88" i="15"/>
  <c r="H79" i="21"/>
  <c r="N75" i="21"/>
  <c r="AJ68" i="21"/>
  <c r="Y26" i="15"/>
  <c r="AH66" i="15"/>
  <c r="D11" i="15"/>
  <c r="AA10" i="15"/>
  <c r="O75" i="15"/>
  <c r="G77" i="15"/>
  <c r="AH88" i="15"/>
  <c r="L38" i="21"/>
  <c r="L87" i="21"/>
  <c r="T15" i="15"/>
  <c r="AA85" i="21"/>
  <c r="AF88" i="15"/>
  <c r="AO86" i="21"/>
  <c r="D93" i="21"/>
  <c r="Y72" i="15"/>
  <c r="Z27" i="21"/>
  <c r="W8" i="15"/>
  <c r="O67" i="15"/>
  <c r="E39" i="21"/>
  <c r="AI43" i="15"/>
  <c r="V35" i="15"/>
  <c r="AA51" i="21"/>
  <c r="L12" i="15"/>
  <c r="AH38" i="15"/>
  <c r="P26" i="15"/>
  <c r="G47" i="15"/>
  <c r="AI37" i="15"/>
  <c r="N15" i="15"/>
  <c r="AM82" i="21"/>
  <c r="AH68" i="15"/>
  <c r="E76" i="21"/>
  <c r="H86" i="21"/>
  <c r="O76" i="15"/>
  <c r="AO74" i="15"/>
  <c r="AC54" i="15"/>
  <c r="AA79" i="21"/>
  <c r="W45" i="21"/>
  <c r="AP69" i="21"/>
  <c r="Y46" i="21"/>
  <c r="Z65" i="21"/>
  <c r="E79" i="21"/>
  <c r="AK42" i="21"/>
  <c r="E74" i="15"/>
  <c r="AN77" i="15"/>
  <c r="N91" i="15"/>
  <c r="N51" i="21"/>
  <c r="S44" i="15"/>
  <c r="N31" i="15"/>
  <c r="U70" i="15"/>
  <c r="AI12" i="15"/>
  <c r="AJ36" i="15"/>
  <c r="D43" i="21"/>
  <c r="G92" i="15"/>
  <c r="O80" i="21"/>
  <c r="M54" i="15"/>
  <c r="AP93" i="21"/>
  <c r="AC76" i="21"/>
  <c r="T10" i="15"/>
  <c r="R45" i="15"/>
  <c r="M91" i="15"/>
  <c r="D35" i="21"/>
  <c r="V38" i="15"/>
  <c r="H43" i="21"/>
  <c r="E69" i="15"/>
  <c r="AF87" i="15"/>
  <c r="M36" i="15"/>
  <c r="AA29" i="21"/>
  <c r="D73" i="15"/>
  <c r="F39" i="15"/>
  <c r="K73" i="15"/>
  <c r="Z69" i="21"/>
  <c r="M50" i="21"/>
  <c r="T79" i="15"/>
  <c r="W40" i="15"/>
  <c r="AH7" i="15"/>
  <c r="AM72" i="21"/>
  <c r="AJ90" i="21"/>
  <c r="N79" i="21"/>
  <c r="Y87" i="15"/>
  <c r="AH54" i="15"/>
  <c r="R76" i="21"/>
  <c r="AJ91" i="15"/>
  <c r="AC93" i="15"/>
  <c r="S65" i="21"/>
  <c r="AK44" i="15"/>
  <c r="E39" i="15"/>
  <c r="P49" i="21"/>
  <c r="T64" i="15"/>
  <c r="AC47" i="21"/>
  <c r="AB28" i="15"/>
  <c r="AA45" i="21"/>
  <c r="I9" i="15"/>
  <c r="AI36" i="15"/>
  <c r="I26" i="21"/>
  <c r="G81" i="21"/>
  <c r="T81" i="21"/>
  <c r="R78" i="21"/>
  <c r="R73" i="21"/>
  <c r="N87" i="21"/>
  <c r="M13" i="15"/>
  <c r="AC45" i="15"/>
  <c r="K32" i="15"/>
  <c r="AA36" i="15"/>
  <c r="E88" i="15"/>
  <c r="U29" i="15"/>
  <c r="AF68" i="15"/>
  <c r="K15" i="15"/>
  <c r="AF49" i="21"/>
  <c r="AG7" i="15"/>
  <c r="D31" i="21"/>
  <c r="AG10" i="21"/>
  <c r="AH64" i="21"/>
  <c r="T92" i="21"/>
  <c r="D51" i="15"/>
  <c r="AA64" i="21"/>
  <c r="AA81" i="15"/>
  <c r="AB72" i="21"/>
  <c r="O83" i="15"/>
  <c r="V82" i="21"/>
  <c r="R8" i="15"/>
  <c r="Y30" i="15"/>
  <c r="G26" i="21"/>
  <c r="AN70" i="21"/>
  <c r="AN90" i="21"/>
  <c r="AI64" i="15"/>
  <c r="H73" i="15"/>
  <c r="U42" i="21"/>
  <c r="S27" i="15"/>
  <c r="Y67" i="21"/>
  <c r="AB79" i="21"/>
  <c r="AF81" i="15"/>
  <c r="F45" i="21"/>
  <c r="W48" i="15"/>
  <c r="P31" i="21"/>
  <c r="Z76" i="15"/>
  <c r="F47" i="15"/>
  <c r="AH65" i="21"/>
  <c r="AA39" i="15"/>
  <c r="AQ86" i="21"/>
  <c r="E50" i="15"/>
  <c r="K91" i="21"/>
  <c r="N75" i="15"/>
  <c r="AA74" i="15"/>
  <c r="AI66" i="21"/>
  <c r="AF47" i="21"/>
  <c r="O12" i="15"/>
  <c r="AM80" i="21"/>
  <c r="T41" i="15"/>
  <c r="W49" i="21"/>
  <c r="AQ87" i="15"/>
  <c r="N30" i="15"/>
  <c r="Q30" i="15" s="1"/>
  <c r="D42" i="21"/>
  <c r="AI29" i="21"/>
  <c r="K34" i="21"/>
  <c r="AJ42" i="21"/>
  <c r="AG87" i="15"/>
  <c r="K52" i="15"/>
  <c r="AF64" i="21"/>
  <c r="AC93" i="21"/>
  <c r="H47" i="21"/>
  <c r="Y35" i="21"/>
  <c r="E78" i="21"/>
  <c r="AK32" i="21"/>
  <c r="AI81" i="21"/>
  <c r="F37" i="21"/>
  <c r="F86" i="15"/>
  <c r="AF67" i="21"/>
  <c r="K53" i="15"/>
  <c r="AO71" i="21"/>
  <c r="Z25" i="21"/>
  <c r="AH30" i="21"/>
  <c r="T45" i="15"/>
  <c r="Z93" i="21"/>
  <c r="K12" i="21"/>
  <c r="V67" i="15"/>
  <c r="D66" i="21"/>
  <c r="D37" i="21"/>
  <c r="U91" i="21"/>
  <c r="AK28" i="21"/>
  <c r="D9" i="15"/>
  <c r="M39" i="15"/>
  <c r="V25" i="21"/>
  <c r="AH45" i="21"/>
  <c r="AF90" i="21"/>
  <c r="Z79" i="15"/>
  <c r="D41" i="15"/>
  <c r="D37" i="15"/>
  <c r="AH15" i="21"/>
  <c r="AI35" i="21"/>
  <c r="AA71" i="15"/>
  <c r="AJ66" i="15"/>
  <c r="U54" i="21"/>
  <c r="N40" i="15"/>
  <c r="AC33" i="15"/>
  <c r="W42" i="15"/>
  <c r="P29" i="21"/>
  <c r="K30" i="21"/>
  <c r="O36" i="15"/>
  <c r="V78" i="15"/>
  <c r="AF42" i="21"/>
  <c r="AL42" i="21" s="1"/>
  <c r="K34" i="15"/>
  <c r="AI31" i="15"/>
  <c r="M64" i="21"/>
  <c r="AM91" i="21"/>
  <c r="O88" i="21"/>
  <c r="AB34" i="15"/>
  <c r="Z39" i="21"/>
  <c r="T33" i="15"/>
  <c r="R47" i="21"/>
  <c r="Y53" i="15"/>
  <c r="AB43" i="15"/>
  <c r="L43" i="21"/>
  <c r="AM76" i="15"/>
  <c r="AO80" i="21"/>
  <c r="AA40" i="21"/>
  <c r="AG31" i="15"/>
  <c r="AF89" i="15"/>
  <c r="AI76" i="15"/>
  <c r="N44" i="21"/>
  <c r="U69" i="21"/>
  <c r="E47" i="15"/>
  <c r="R66" i="21"/>
  <c r="G75" i="15"/>
  <c r="I10" i="21"/>
  <c r="E89" i="21"/>
  <c r="H15" i="21"/>
  <c r="K8" i="21"/>
  <c r="K49" i="15"/>
  <c r="L37" i="21"/>
  <c r="M66" i="21"/>
  <c r="D45" i="15"/>
  <c r="AP80" i="21"/>
  <c r="L35" i="15"/>
  <c r="AB71" i="21"/>
  <c r="AH70" i="21"/>
  <c r="T39" i="21"/>
  <c r="F46" i="15"/>
  <c r="AH75" i="15"/>
  <c r="O44" i="21"/>
  <c r="AD28" i="21"/>
  <c r="F47" i="21"/>
  <c r="AI64" i="21"/>
  <c r="AI33" i="21"/>
  <c r="H40" i="15"/>
  <c r="I45" i="15"/>
  <c r="U87" i="15"/>
  <c r="F93" i="21"/>
  <c r="V75" i="15"/>
  <c r="W13" i="21"/>
  <c r="Z7" i="21"/>
  <c r="W7" i="15"/>
  <c r="AP77" i="15"/>
  <c r="I44" i="21"/>
  <c r="U32" i="15"/>
  <c r="AF15" i="15"/>
  <c r="D48" i="15"/>
  <c r="AG49" i="15"/>
  <c r="N33" i="15"/>
  <c r="R79" i="21"/>
  <c r="AD35" i="21"/>
  <c r="M44" i="15"/>
  <c r="AD8" i="21"/>
  <c r="S36" i="21"/>
  <c r="AJ48" i="21"/>
  <c r="AQ83" i="15"/>
  <c r="L75" i="21"/>
  <c r="W30" i="21"/>
  <c r="O38" i="21"/>
  <c r="AO68" i="21"/>
  <c r="W36" i="21"/>
  <c r="Z66" i="15"/>
  <c r="AI15" i="21"/>
  <c r="AK45" i="21"/>
  <c r="Y33" i="21"/>
  <c r="H12" i="15"/>
  <c r="V76" i="15"/>
  <c r="K13" i="21"/>
  <c r="AM73" i="21"/>
  <c r="AG72" i="15"/>
  <c r="T79" i="21"/>
  <c r="AO64" i="21"/>
  <c r="AJ27" i="15"/>
  <c r="F53" i="21"/>
  <c r="AF81" i="21"/>
  <c r="K28" i="21"/>
  <c r="G30" i="15"/>
  <c r="N32" i="15"/>
  <c r="Z66" i="21"/>
  <c r="S15" i="15"/>
  <c r="Y30" i="21"/>
  <c r="H79" i="15"/>
  <c r="U13" i="15"/>
  <c r="P31" i="15"/>
  <c r="AA40" i="15"/>
  <c r="N80" i="21"/>
  <c r="AI25" i="21"/>
  <c r="AI87" i="21"/>
  <c r="AC43" i="21"/>
  <c r="AB25" i="21"/>
  <c r="AB73" i="15"/>
  <c r="AM84" i="21"/>
  <c r="D71" i="15"/>
  <c r="AH79" i="15"/>
  <c r="F46" i="21"/>
  <c r="E33" i="21"/>
  <c r="AG81" i="21"/>
  <c r="AC88" i="15"/>
  <c r="AA49" i="15"/>
  <c r="K43" i="15"/>
  <c r="AJ10" i="15"/>
  <c r="T43" i="15"/>
  <c r="AI74" i="21"/>
  <c r="D79" i="21"/>
  <c r="H52" i="21"/>
  <c r="T54" i="15"/>
  <c r="W48" i="21"/>
  <c r="Y92" i="15"/>
  <c r="G11" i="15"/>
  <c r="J11" i="15" s="1"/>
  <c r="I14" i="21"/>
  <c r="AI38" i="21"/>
  <c r="AI54" i="21"/>
  <c r="L31" i="15"/>
  <c r="F36" i="15"/>
  <c r="AF32" i="15"/>
  <c r="L48" i="21"/>
  <c r="AA81" i="21"/>
  <c r="N49" i="15"/>
  <c r="V78" i="21"/>
  <c r="AJ74" i="15"/>
  <c r="Y83" i="21"/>
  <c r="F48" i="15"/>
  <c r="AI46" i="21"/>
  <c r="O92" i="21"/>
  <c r="E26" i="15"/>
  <c r="U47" i="21"/>
  <c r="AI92" i="15"/>
  <c r="AL92" i="15" s="1"/>
  <c r="F91" i="21"/>
  <c r="AA37" i="15"/>
  <c r="AK49" i="21"/>
  <c r="F44" i="21"/>
  <c r="Z71" i="21"/>
  <c r="T42" i="21"/>
  <c r="G8" i="21"/>
  <c r="R26" i="15"/>
  <c r="AA80" i="15"/>
  <c r="AG15" i="21"/>
  <c r="AH27" i="21"/>
  <c r="V52" i="15"/>
  <c r="AM86" i="15"/>
  <c r="AS86" i="15" s="1"/>
  <c r="M93" i="15"/>
  <c r="H83" i="21"/>
  <c r="V52" i="21"/>
  <c r="F82" i="15"/>
  <c r="I38" i="15"/>
  <c r="AB54" i="15"/>
  <c r="Z80" i="21"/>
  <c r="S10" i="21"/>
  <c r="R72" i="15"/>
  <c r="X72" i="15" s="1"/>
  <c r="Y27" i="21"/>
  <c r="U89" i="15"/>
  <c r="V44" i="21"/>
  <c r="H71" i="15"/>
  <c r="E65" i="21"/>
  <c r="S29" i="15"/>
  <c r="P54" i="21"/>
  <c r="O46" i="15"/>
  <c r="W54" i="21"/>
  <c r="AM74" i="15"/>
  <c r="AB46" i="15"/>
  <c r="Z84" i="21"/>
  <c r="P50" i="15"/>
  <c r="AC70" i="15"/>
  <c r="V42" i="21"/>
  <c r="AJ48" i="15"/>
  <c r="T75" i="15"/>
  <c r="AQ71" i="15"/>
  <c r="M90" i="21"/>
  <c r="D49" i="21"/>
  <c r="U44" i="21"/>
  <c r="AG83" i="15"/>
  <c r="T30" i="21"/>
  <c r="F75" i="15"/>
  <c r="Z68" i="15"/>
  <c r="H39" i="21"/>
  <c r="AJ15" i="15"/>
  <c r="D15" i="21"/>
  <c r="L52" i="15"/>
  <c r="S42" i="15"/>
  <c r="AB38" i="15"/>
  <c r="K67" i="15"/>
  <c r="K26" i="15"/>
  <c r="U33" i="15"/>
  <c r="E68" i="21"/>
  <c r="K44" i="21"/>
  <c r="M46" i="15"/>
  <c r="AG51" i="21"/>
  <c r="AC73" i="21"/>
  <c r="K11" i="15"/>
  <c r="R43" i="21"/>
  <c r="D32" i="15"/>
  <c r="AO75" i="15"/>
  <c r="AQ84" i="21"/>
  <c r="S43" i="21"/>
  <c r="E44" i="15"/>
  <c r="G92" i="21"/>
  <c r="W47" i="21"/>
  <c r="N44" i="15"/>
  <c r="K39" i="21"/>
  <c r="K37" i="21"/>
  <c r="V67" i="21"/>
  <c r="AQ74" i="15"/>
  <c r="AA6" i="21"/>
  <c r="I48" i="15"/>
  <c r="AJ43" i="21"/>
  <c r="R49" i="21"/>
  <c r="E85" i="15"/>
  <c r="W43" i="21"/>
  <c r="S46" i="21"/>
  <c r="AD46" i="21"/>
  <c r="AF70" i="21"/>
  <c r="AN76" i="15"/>
  <c r="AG74" i="15"/>
  <c r="R41" i="15"/>
  <c r="AB82" i="15"/>
  <c r="AJ12" i="15"/>
  <c r="AI82" i="15"/>
  <c r="AH29" i="15"/>
  <c r="I13" i="15"/>
  <c r="AO90" i="21"/>
  <c r="AD15" i="21"/>
  <c r="I42" i="15"/>
  <c r="L40" i="15"/>
  <c r="AC74" i="15"/>
  <c r="AI75" i="21"/>
  <c r="I49" i="15"/>
  <c r="AQ84" i="15"/>
  <c r="S36" i="15"/>
  <c r="AQ69" i="15"/>
  <c r="Y92" i="21"/>
  <c r="D7" i="21"/>
  <c r="O26" i="15"/>
  <c r="K45" i="21"/>
  <c r="S52" i="21"/>
  <c r="Y54" i="15"/>
  <c r="E13" i="21"/>
  <c r="G85" i="21"/>
  <c r="O49" i="21"/>
  <c r="AM65" i="15"/>
  <c r="T50" i="15"/>
  <c r="AM75" i="15"/>
  <c r="AC50" i="21"/>
  <c r="AG74" i="21"/>
  <c r="M87" i="15"/>
  <c r="M37" i="15"/>
  <c r="U47" i="15"/>
  <c r="G78" i="15"/>
  <c r="M7" i="21"/>
  <c r="AO78" i="21"/>
  <c r="AD54" i="21"/>
  <c r="P54" i="15"/>
  <c r="AQ80" i="15"/>
  <c r="AI9" i="15"/>
  <c r="Y11" i="21"/>
  <c r="E37" i="21"/>
  <c r="G27" i="15"/>
  <c r="AH47" i="15"/>
  <c r="I53" i="21"/>
  <c r="Y7" i="15"/>
  <c r="N73" i="21"/>
  <c r="L14" i="15"/>
  <c r="AJ13" i="15"/>
  <c r="AJ30" i="15"/>
  <c r="AG30" i="21"/>
  <c r="I46" i="15"/>
  <c r="S91" i="15"/>
  <c r="M86" i="15"/>
  <c r="M27" i="21"/>
  <c r="T64" i="21"/>
  <c r="AO83" i="15"/>
  <c r="AC69" i="21"/>
  <c r="N72" i="21"/>
  <c r="AA70" i="21"/>
  <c r="R28" i="15"/>
  <c r="K82" i="15"/>
  <c r="AA36" i="21"/>
  <c r="AB78" i="15"/>
  <c r="AF12" i="15"/>
  <c r="V46" i="21"/>
  <c r="AK8" i="15"/>
  <c r="O53" i="15"/>
  <c r="F81" i="15"/>
  <c r="AN88" i="15"/>
  <c r="I53" i="15"/>
  <c r="AQ64" i="15"/>
  <c r="AC37" i="15"/>
  <c r="AP81" i="15"/>
  <c r="L86" i="21"/>
  <c r="G31" i="15"/>
  <c r="AI93" i="15"/>
  <c r="AC45" i="21"/>
  <c r="AG25" i="21"/>
  <c r="G48" i="21"/>
  <c r="AA7" i="21"/>
  <c r="AG47" i="15"/>
  <c r="K46" i="15"/>
  <c r="AC75" i="15"/>
  <c r="M84" i="15"/>
  <c r="AN65" i="21"/>
  <c r="F36" i="21"/>
  <c r="O42" i="21"/>
  <c r="H40" i="21"/>
  <c r="AO76" i="15"/>
  <c r="L15" i="15"/>
  <c r="N33" i="21"/>
  <c r="AH82" i="15"/>
  <c r="T90" i="21"/>
  <c r="S89" i="21"/>
  <c r="AC29" i="21"/>
  <c r="Y27" i="15"/>
  <c r="AP88" i="21"/>
  <c r="AK29" i="15"/>
  <c r="AA93" i="21"/>
  <c r="AK10" i="21"/>
  <c r="W9" i="15"/>
  <c r="AB26" i="15"/>
  <c r="S73" i="21"/>
  <c r="O35" i="21"/>
  <c r="AJ69" i="21"/>
  <c r="S66" i="21"/>
  <c r="AN87" i="21"/>
  <c r="AB32" i="21"/>
  <c r="AF40" i="21"/>
  <c r="L33" i="21"/>
  <c r="E29" i="15"/>
  <c r="W15" i="15"/>
  <c r="AD50" i="21"/>
  <c r="AI45" i="15"/>
  <c r="F7" i="21"/>
  <c r="AB47" i="21"/>
  <c r="AC44" i="15"/>
  <c r="AQ78" i="15"/>
  <c r="AJ83" i="21"/>
  <c r="S41" i="21"/>
  <c r="W34" i="21"/>
  <c r="AB12" i="15"/>
  <c r="Z75" i="15"/>
  <c r="N88" i="15"/>
  <c r="L49" i="21"/>
  <c r="AH54" i="21"/>
  <c r="Z33" i="21"/>
  <c r="V7" i="15"/>
  <c r="N92" i="21"/>
  <c r="AB27" i="21"/>
  <c r="AA91" i="21"/>
  <c r="N8" i="21"/>
  <c r="U15" i="21"/>
  <c r="AB93" i="21"/>
  <c r="AH41" i="15"/>
  <c r="AN69" i="15"/>
  <c r="P13" i="21"/>
  <c r="AC7" i="21"/>
  <c r="N76" i="21"/>
  <c r="AG36" i="21"/>
  <c r="M28" i="21"/>
  <c r="F71" i="21"/>
  <c r="F77" i="15"/>
  <c r="AN71" i="21"/>
  <c r="V70" i="21"/>
  <c r="K82" i="21"/>
  <c r="AB13" i="21"/>
  <c r="AC33" i="21"/>
  <c r="M30" i="21"/>
  <c r="U73" i="15"/>
  <c r="AF68" i="21"/>
  <c r="T39" i="15"/>
  <c r="K85" i="21"/>
  <c r="R91" i="15"/>
  <c r="E68" i="15"/>
  <c r="E93" i="15"/>
  <c r="H51" i="21"/>
  <c r="AP89" i="15"/>
  <c r="AJ92" i="15"/>
  <c r="W30" i="15"/>
  <c r="W8" i="21"/>
  <c r="T76" i="15"/>
  <c r="M53" i="21"/>
  <c r="R54" i="21"/>
  <c r="O70" i="21"/>
  <c r="M31" i="15"/>
  <c r="Y70" i="15"/>
  <c r="O85" i="21"/>
  <c r="R68" i="21"/>
  <c r="S68" i="15"/>
  <c r="T36" i="21"/>
  <c r="AA28" i="15"/>
  <c r="AP91" i="21"/>
  <c r="I54" i="21"/>
  <c r="AJ77" i="21"/>
  <c r="Z47" i="21"/>
  <c r="AH79" i="21"/>
  <c r="AQ75" i="15"/>
  <c r="U75" i="21"/>
  <c r="K69" i="15"/>
  <c r="U83" i="21"/>
  <c r="AI83" i="15"/>
  <c r="E28" i="15"/>
  <c r="G9" i="21"/>
  <c r="AD41" i="15"/>
  <c r="M51" i="15"/>
  <c r="V12" i="21"/>
  <c r="AQ68" i="21"/>
  <c r="M45" i="15"/>
  <c r="L46" i="21"/>
  <c r="AB25" i="15"/>
  <c r="AF83" i="21"/>
  <c r="AP79" i="21"/>
  <c r="O87" i="21"/>
  <c r="W10" i="21"/>
  <c r="Y44" i="15"/>
  <c r="T76" i="21"/>
  <c r="AH78" i="21"/>
  <c r="T74" i="21"/>
  <c r="P32" i="15"/>
  <c r="AC66" i="15"/>
  <c r="Z14" i="15"/>
  <c r="AJ82" i="21"/>
  <c r="M49" i="15"/>
  <c r="AJ11" i="21"/>
  <c r="AM65" i="21"/>
  <c r="AC86" i="21"/>
  <c r="AC91" i="15"/>
  <c r="L76" i="15"/>
  <c r="S8" i="21"/>
  <c r="S87" i="15"/>
  <c r="W51" i="21"/>
  <c r="AJ41" i="21"/>
  <c r="M74" i="15"/>
  <c r="Z90" i="21"/>
  <c r="W46" i="21"/>
  <c r="AI32" i="21"/>
  <c r="AJ33" i="21"/>
  <c r="AJ12" i="21"/>
  <c r="AC73" i="15"/>
  <c r="R51" i="21"/>
  <c r="AJ74" i="21"/>
  <c r="L79" i="15"/>
  <c r="R30" i="21"/>
  <c r="AH43" i="21"/>
  <c r="AC43" i="15"/>
  <c r="Z73" i="21"/>
  <c r="AG66" i="15"/>
  <c r="AO82" i="15"/>
  <c r="H77" i="21"/>
  <c r="M51" i="21"/>
  <c r="AK41" i="15"/>
  <c r="F50" i="21"/>
  <c r="AH90" i="21"/>
  <c r="F34" i="21"/>
  <c r="N50" i="15"/>
  <c r="N52" i="21"/>
  <c r="AQ88" i="21"/>
  <c r="R73" i="15"/>
  <c r="AM89" i="15"/>
  <c r="U78" i="15"/>
  <c r="T53" i="15"/>
  <c r="AB37" i="15"/>
  <c r="AP70" i="21"/>
  <c r="N28" i="21"/>
  <c r="AM93" i="15"/>
  <c r="F67" i="15"/>
  <c r="H34" i="21"/>
  <c r="AB77" i="21"/>
  <c r="AN68" i="15"/>
  <c r="K40" i="15"/>
  <c r="U38" i="21"/>
  <c r="O67" i="21"/>
  <c r="AH26" i="21"/>
  <c r="Z49" i="21"/>
  <c r="V84" i="15"/>
  <c r="W37" i="15"/>
  <c r="U37" i="21"/>
  <c r="N67" i="21"/>
  <c r="Z43" i="21"/>
  <c r="H52" i="15"/>
  <c r="H72" i="15"/>
  <c r="D72" i="15"/>
  <c r="P27" i="21"/>
  <c r="M40" i="15"/>
  <c r="AI47" i="21"/>
  <c r="AB64" i="21"/>
  <c r="M42" i="15"/>
  <c r="AG87" i="21"/>
  <c r="AB38" i="21"/>
  <c r="W27" i="21"/>
  <c r="G15" i="21"/>
  <c r="M89" i="21"/>
  <c r="Q89" i="21" s="1"/>
  <c r="AB49" i="15"/>
  <c r="AN75" i="15"/>
  <c r="Y15" i="21"/>
  <c r="AQ90" i="15"/>
  <c r="K72" i="21"/>
  <c r="R44" i="15"/>
  <c r="X44" i="15" s="1"/>
  <c r="T84" i="15"/>
  <c r="N14" i="21"/>
  <c r="D48" i="21"/>
  <c r="O7" i="21"/>
  <c r="K33" i="21"/>
  <c r="D10" i="15"/>
  <c r="J10" i="15" s="1"/>
  <c r="AF10" i="15"/>
  <c r="U43" i="15"/>
  <c r="AO65" i="21"/>
  <c r="F89" i="15"/>
  <c r="I31" i="15"/>
  <c r="I29" i="21"/>
  <c r="AK50" i="15"/>
  <c r="P47" i="15"/>
  <c r="R9" i="15"/>
  <c r="L72" i="15"/>
  <c r="F15" i="15"/>
  <c r="AP91" i="15"/>
  <c r="Y66" i="15"/>
  <c r="H6" i="21"/>
  <c r="AF26" i="15"/>
  <c r="AC87" i="15"/>
  <c r="P7" i="21"/>
  <c r="AI35" i="15"/>
  <c r="V92" i="15"/>
  <c r="AK51" i="15"/>
  <c r="H13" i="15"/>
  <c r="T28" i="21"/>
  <c r="AA78" i="15"/>
  <c r="T78" i="15"/>
  <c r="Z28" i="15"/>
  <c r="AE28" i="15" s="1"/>
  <c r="M29" i="21"/>
  <c r="AD53" i="15"/>
  <c r="G67" i="15"/>
  <c r="Z70" i="15"/>
  <c r="E6" i="15"/>
  <c r="H50" i="21"/>
  <c r="U31" i="21"/>
  <c r="AI9" i="21"/>
  <c r="AN71" i="15"/>
  <c r="AQ70" i="21"/>
  <c r="S79" i="21"/>
  <c r="AJ76" i="15"/>
  <c r="G45" i="21"/>
  <c r="Z10" i="21"/>
  <c r="L89" i="15"/>
  <c r="AF86" i="21"/>
  <c r="AH50" i="21"/>
  <c r="AF27" i="21"/>
  <c r="AL27" i="21" s="1"/>
  <c r="K87" i="21"/>
  <c r="K31" i="15"/>
  <c r="Q31" i="15" s="1"/>
  <c r="O31" i="21"/>
  <c r="AF14" i="21"/>
  <c r="AC68" i="21"/>
  <c r="AH53" i="21"/>
  <c r="AN83" i="21"/>
  <c r="AH93" i="21"/>
  <c r="AB66" i="21"/>
  <c r="R14" i="15"/>
  <c r="AA49" i="21"/>
  <c r="U89" i="21"/>
  <c r="G14" i="15"/>
  <c r="AF47" i="15"/>
  <c r="U34" i="21"/>
  <c r="G79" i="15"/>
  <c r="W44" i="21"/>
  <c r="D26" i="15"/>
  <c r="P53" i="21"/>
  <c r="I28" i="15"/>
  <c r="AJ64" i="15"/>
  <c r="N27" i="15"/>
  <c r="AQ65" i="21"/>
  <c r="AI11" i="15"/>
  <c r="T67" i="21"/>
  <c r="AG54" i="21"/>
  <c r="T48" i="21"/>
  <c r="S69" i="15"/>
  <c r="L77" i="21"/>
  <c r="D14" i="15"/>
  <c r="I38" i="21"/>
  <c r="AG34" i="15"/>
  <c r="AI27" i="15"/>
  <c r="L54" i="21"/>
  <c r="O77" i="21"/>
  <c r="S70" i="15"/>
  <c r="G53" i="15"/>
  <c r="AC52" i="21"/>
  <c r="AD43" i="15"/>
  <c r="E34" i="21"/>
  <c r="AC51" i="15"/>
  <c r="AO74" i="21"/>
  <c r="AG76" i="15"/>
  <c r="Y7" i="21"/>
  <c r="AJ79" i="15"/>
  <c r="Z41" i="21"/>
  <c r="AQ92" i="21"/>
  <c r="AH6" i="15"/>
  <c r="AJ92" i="21"/>
  <c r="AO69" i="21"/>
  <c r="AJ54" i="15"/>
  <c r="AF46" i="15"/>
  <c r="AG80" i="15"/>
  <c r="N90" i="15"/>
  <c r="E92" i="15"/>
  <c r="H25" i="15"/>
  <c r="Y49" i="15"/>
  <c r="AE49" i="15" s="1"/>
  <c r="AH72" i="15"/>
  <c r="Z48" i="21"/>
  <c r="Y85" i="15"/>
  <c r="Z30" i="15"/>
  <c r="AJ52" i="21"/>
  <c r="AJ51" i="15"/>
  <c r="AC85" i="15"/>
  <c r="V82" i="15"/>
  <c r="AJ88" i="21"/>
  <c r="AJ89" i="15"/>
  <c r="AH88" i="21"/>
  <c r="AD31" i="15"/>
  <c r="U42" i="15"/>
  <c r="K91" i="15"/>
  <c r="D68" i="15"/>
  <c r="AB75" i="21"/>
  <c r="T92" i="15"/>
  <c r="AI73" i="21"/>
  <c r="AF34" i="15"/>
  <c r="I52" i="21"/>
  <c r="Y89" i="15"/>
  <c r="AF43" i="21"/>
  <c r="Y88" i="21"/>
  <c r="I12" i="15"/>
  <c r="P11" i="21"/>
  <c r="V64" i="21"/>
  <c r="AI50" i="21"/>
  <c r="M92" i="15"/>
  <c r="U88" i="21"/>
  <c r="AG77" i="21"/>
  <c r="T70" i="15"/>
  <c r="AB78" i="21"/>
  <c r="AK43" i="21"/>
  <c r="P29" i="15"/>
  <c r="AD38" i="15"/>
  <c r="T80" i="21"/>
  <c r="AD36" i="15"/>
  <c r="M85" i="21"/>
  <c r="AB85" i="15"/>
  <c r="AH68" i="21"/>
  <c r="W42" i="21"/>
  <c r="G47" i="21"/>
  <c r="G82" i="15"/>
  <c r="AJ40" i="15"/>
  <c r="H68" i="21"/>
  <c r="M73" i="15"/>
  <c r="L72" i="21"/>
  <c r="AG27" i="15"/>
  <c r="AB91" i="15"/>
  <c r="Y82" i="21"/>
  <c r="AD51" i="15"/>
  <c r="AG45" i="21"/>
  <c r="V45" i="21"/>
  <c r="AI66" i="15"/>
  <c r="AN76" i="21"/>
  <c r="AG26" i="15"/>
  <c r="G49" i="15"/>
  <c r="S81" i="15"/>
  <c r="AQ72" i="15"/>
  <c r="Z13" i="21"/>
  <c r="AJ79" i="21"/>
  <c r="U53" i="21"/>
  <c r="AD10" i="15"/>
  <c r="D91" i="15"/>
  <c r="Y77" i="15"/>
  <c r="G52" i="21"/>
  <c r="K68" i="15"/>
  <c r="U35" i="15"/>
  <c r="M85" i="15"/>
  <c r="Q85" i="15" s="1"/>
  <c r="F52" i="15"/>
  <c r="E70" i="15"/>
  <c r="W41" i="21"/>
  <c r="AC89" i="21"/>
  <c r="D87" i="15"/>
  <c r="AK9" i="15"/>
  <c r="Z29" i="15"/>
  <c r="AM79" i="15"/>
  <c r="AS79" i="15" s="1"/>
  <c r="K83" i="21"/>
  <c r="Z72" i="15"/>
  <c r="AE72" i="15" s="1"/>
  <c r="L45" i="21"/>
  <c r="H38" i="15"/>
  <c r="G85" i="15"/>
  <c r="M68" i="15"/>
  <c r="AB67" i="15"/>
  <c r="E83" i="15"/>
  <c r="F30" i="21"/>
  <c r="F92" i="15"/>
  <c r="W28" i="21"/>
  <c r="AC92" i="21"/>
  <c r="S39" i="15"/>
  <c r="L7" i="21"/>
  <c r="AI14" i="21"/>
  <c r="AJ88" i="15"/>
  <c r="AK54" i="15"/>
  <c r="P47" i="21"/>
  <c r="AJ81" i="21"/>
  <c r="AH13" i="21"/>
  <c r="P25" i="21"/>
  <c r="W27" i="15"/>
  <c r="AN72" i="15"/>
  <c r="AG38" i="15"/>
  <c r="AF40" i="15"/>
  <c r="M78" i="21"/>
  <c r="O36" i="21"/>
  <c r="N82" i="21"/>
  <c r="AI40" i="21"/>
  <c r="E49" i="21"/>
  <c r="J49" i="21" s="1"/>
  <c r="AG41" i="15"/>
  <c r="AL41" i="15" s="1"/>
  <c r="N32" i="21"/>
  <c r="E12" i="21"/>
  <c r="AD29" i="15"/>
  <c r="AK44" i="21"/>
  <c r="Y33" i="15"/>
  <c r="H29" i="21"/>
  <c r="J29" i="21" s="1"/>
  <c r="AK35" i="15"/>
  <c r="O75" i="21"/>
  <c r="T14" i="21"/>
  <c r="S93" i="21"/>
  <c r="Z92" i="21"/>
  <c r="Z41" i="15"/>
  <c r="AE41" i="15" s="1"/>
  <c r="G42" i="15"/>
  <c r="J42" i="15" s="1"/>
  <c r="S86" i="21"/>
  <c r="AB90" i="21"/>
  <c r="O79" i="21"/>
  <c r="Q79" i="21" s="1"/>
  <c r="N85" i="21"/>
  <c r="AI88" i="21"/>
  <c r="AF48" i="15"/>
  <c r="AL48" i="15" s="1"/>
  <c r="Z10" i="15"/>
  <c r="K8" i="15"/>
  <c r="AM84" i="15"/>
  <c r="H12" i="21"/>
  <c r="O6" i="15"/>
  <c r="AO69" i="15"/>
  <c r="AS69" i="15" s="1"/>
  <c r="AC12" i="21"/>
  <c r="AH41" i="21"/>
  <c r="H92" i="15"/>
  <c r="AD14" i="21"/>
  <c r="AE14" i="21" s="1"/>
  <c r="Y90" i="15"/>
  <c r="S53" i="15"/>
  <c r="D84" i="15"/>
  <c r="J84" i="15" s="1"/>
  <c r="AJ90" i="15"/>
  <c r="AK26" i="15"/>
  <c r="AG35" i="21"/>
  <c r="M66" i="15"/>
  <c r="AG81" i="15"/>
  <c r="U49" i="21"/>
  <c r="U11" i="21"/>
  <c r="I47" i="15"/>
  <c r="L90" i="15"/>
  <c r="AC65" i="21"/>
  <c r="AA84" i="21"/>
  <c r="Z29" i="21"/>
  <c r="N93" i="15"/>
  <c r="T10" i="21"/>
  <c r="AA44" i="21"/>
  <c r="AD47" i="15"/>
  <c r="P27" i="15"/>
  <c r="E82" i="15"/>
  <c r="D47" i="15"/>
  <c r="AA44" i="15"/>
  <c r="AI40" i="15"/>
  <c r="AK40" i="15"/>
  <c r="P39" i="15"/>
  <c r="AH77" i="21"/>
  <c r="O89" i="15"/>
  <c r="T68" i="21"/>
  <c r="D26" i="21"/>
  <c r="J26" i="21" s="1"/>
  <c r="D47" i="21"/>
  <c r="J47" i="21" s="1"/>
  <c r="S48" i="15"/>
  <c r="W40" i="21"/>
  <c r="H84" i="21"/>
  <c r="I9" i="21"/>
  <c r="AA12" i="21"/>
  <c r="U39" i="21"/>
  <c r="Z37" i="15"/>
  <c r="AE37" i="15" s="1"/>
  <c r="E14" i="15"/>
  <c r="AF51" i="21"/>
  <c r="H30" i="21"/>
  <c r="F81" i="21"/>
  <c r="AO92" i="21"/>
  <c r="H67" i="21"/>
  <c r="AA87" i="21"/>
  <c r="R78" i="15"/>
  <c r="Y34" i="21"/>
  <c r="AE34" i="21" s="1"/>
  <c r="D34" i="21"/>
  <c r="AI43" i="21"/>
  <c r="AG51" i="15"/>
  <c r="AB15" i="15"/>
  <c r="Z11" i="15"/>
  <c r="H33" i="15"/>
  <c r="J33" i="15" s="1"/>
  <c r="N82" i="15"/>
  <c r="AK31" i="21"/>
  <c r="L69" i="21"/>
  <c r="Y13" i="15"/>
  <c r="AE13" i="15" s="1"/>
  <c r="AA54" i="21"/>
  <c r="AB44" i="15"/>
  <c r="N9" i="15"/>
  <c r="AM93" i="21"/>
  <c r="AG72" i="21"/>
  <c r="R84" i="15"/>
  <c r="X84" i="15" s="1"/>
  <c r="Y86" i="21"/>
  <c r="AC8" i="15"/>
  <c r="AB48" i="21"/>
  <c r="O29" i="21"/>
  <c r="AI89" i="15"/>
  <c r="AA92" i="15"/>
  <c r="AC71" i="15"/>
  <c r="AK15" i="21"/>
  <c r="L34" i="21"/>
  <c r="V53" i="21"/>
  <c r="AH52" i="15"/>
  <c r="V74" i="15"/>
  <c r="AG54" i="15"/>
  <c r="P10" i="15"/>
  <c r="L53" i="21"/>
  <c r="AG83" i="21"/>
  <c r="AQ82" i="21"/>
  <c r="AC88" i="21"/>
  <c r="N83" i="21"/>
  <c r="F72" i="21"/>
  <c r="U7" i="21"/>
  <c r="N48" i="15"/>
  <c r="O43" i="15"/>
  <c r="AA31" i="21"/>
  <c r="E89" i="15"/>
  <c r="U81" i="21"/>
  <c r="AO67" i="15"/>
  <c r="R9" i="21"/>
  <c r="S42" i="21"/>
  <c r="D88" i="15"/>
  <c r="W14" i="21"/>
  <c r="R31" i="15"/>
  <c r="AN89" i="15"/>
  <c r="K53" i="21"/>
  <c r="Y87" i="21"/>
  <c r="AH80" i="15"/>
  <c r="AP67" i="15"/>
  <c r="AO80" i="15"/>
  <c r="U28" i="21"/>
  <c r="M43" i="21"/>
  <c r="AC31" i="21"/>
  <c r="N45" i="21"/>
  <c r="T6" i="21"/>
  <c r="T46" i="15"/>
  <c r="AD52" i="15"/>
  <c r="AI53" i="21"/>
  <c r="AH47" i="21"/>
  <c r="O25" i="21"/>
  <c r="Y84" i="15"/>
  <c r="M34" i="21"/>
  <c r="Z78" i="21"/>
  <c r="N87" i="15"/>
  <c r="Y48" i="15"/>
  <c r="AE48" i="15" s="1"/>
  <c r="D75" i="21"/>
  <c r="E77" i="15"/>
  <c r="T90" i="15"/>
  <c r="X90" i="15" s="1"/>
  <c r="U90" i="21"/>
  <c r="AJ80" i="15"/>
  <c r="G70" i="15"/>
  <c r="AG86" i="15"/>
  <c r="AL86" i="15" s="1"/>
  <c r="AA76" i="21"/>
  <c r="AE76" i="21" s="1"/>
  <c r="S40" i="21"/>
  <c r="AF37" i="15"/>
  <c r="AL37" i="15" s="1"/>
  <c r="W25" i="21"/>
  <c r="F85" i="21"/>
  <c r="G40" i="15"/>
  <c r="H37" i="21"/>
  <c r="U93" i="15"/>
  <c r="X93" i="15" s="1"/>
  <c r="I35" i="15"/>
  <c r="G10" i="15"/>
  <c r="AF39" i="15"/>
  <c r="U36" i="15"/>
  <c r="N78" i="15"/>
  <c r="AN81" i="15"/>
  <c r="R74" i="15"/>
  <c r="H80" i="15"/>
  <c r="AQ69" i="21"/>
  <c r="AC35" i="15"/>
  <c r="O13" i="21"/>
  <c r="AB91" i="21"/>
  <c r="N70" i="21"/>
  <c r="AM83" i="15"/>
  <c r="R74" i="21"/>
  <c r="X74" i="21" s="1"/>
  <c r="AQ72" i="21"/>
  <c r="R76" i="15"/>
  <c r="R80" i="15"/>
  <c r="O86" i="21"/>
  <c r="AH86" i="21"/>
  <c r="AI28" i="21"/>
  <c r="G10" i="21"/>
  <c r="W34" i="15"/>
  <c r="Z65" i="15"/>
  <c r="H31" i="15"/>
  <c r="AF31" i="15"/>
  <c r="R10" i="21"/>
  <c r="X10" i="21" s="1"/>
  <c r="L67" i="21"/>
  <c r="AN82" i="15"/>
  <c r="AB68" i="15"/>
  <c r="AG15" i="15"/>
  <c r="M13" i="21"/>
  <c r="AB30" i="21"/>
  <c r="AB52" i="21"/>
  <c r="AJ38" i="15"/>
  <c r="P43" i="21"/>
  <c r="AG88" i="15"/>
  <c r="H90" i="21"/>
  <c r="AH36" i="21"/>
  <c r="M80" i="15"/>
  <c r="L64" i="21"/>
  <c r="T7" i="15"/>
  <c r="Z54" i="15"/>
  <c r="AK27" i="15"/>
  <c r="Y8" i="21"/>
  <c r="T91" i="15"/>
  <c r="R66" i="15"/>
  <c r="E51" i="21"/>
  <c r="AF50" i="15"/>
  <c r="K29" i="21"/>
  <c r="AF29" i="15"/>
  <c r="Y81" i="15"/>
  <c r="AE81" i="15" s="1"/>
  <c r="U79" i="21"/>
  <c r="O54" i="15"/>
  <c r="O8" i="15"/>
  <c r="AA10" i="21"/>
  <c r="Z42" i="21"/>
  <c r="AB46" i="21"/>
  <c r="E36" i="15"/>
  <c r="K39" i="15"/>
  <c r="Q39" i="15" s="1"/>
  <c r="AM70" i="15"/>
  <c r="AS70" i="15" s="1"/>
  <c r="T67" i="15"/>
  <c r="D90" i="21"/>
  <c r="R36" i="21"/>
  <c r="R12" i="15"/>
  <c r="AH44" i="15"/>
  <c r="AC50" i="15"/>
  <c r="Y48" i="21"/>
  <c r="M7" i="15"/>
  <c r="Q7" i="15" s="1"/>
  <c r="M10" i="21"/>
  <c r="AB82" i="21"/>
  <c r="K88" i="15"/>
  <c r="Q88" i="15" s="1"/>
  <c r="AH11" i="21"/>
  <c r="D8" i="21"/>
  <c r="AC90" i="15"/>
  <c r="D40" i="15"/>
  <c r="K47" i="21"/>
  <c r="T68" i="15"/>
  <c r="P8" i="15"/>
  <c r="T29" i="21"/>
  <c r="F83" i="15"/>
  <c r="N73" i="15"/>
  <c r="L47" i="15"/>
  <c r="M25" i="15"/>
  <c r="Y71" i="21"/>
  <c r="AD26" i="21"/>
  <c r="AQ93" i="21"/>
  <c r="AH69" i="15"/>
  <c r="O91" i="21"/>
  <c r="AJ49" i="21"/>
  <c r="V13" i="15"/>
  <c r="E66" i="21"/>
  <c r="AC68" i="15"/>
  <c r="AJ35" i="21"/>
  <c r="S53" i="21"/>
  <c r="L47" i="21"/>
  <c r="N11" i="15"/>
  <c r="AI44" i="15"/>
  <c r="I36" i="21"/>
  <c r="AQ73" i="15"/>
  <c r="AS73" i="15" s="1"/>
  <c r="AG89" i="21"/>
  <c r="Z83" i="15"/>
  <c r="G73" i="21"/>
  <c r="O49" i="15"/>
  <c r="Q49" i="15" s="1"/>
  <c r="AG11" i="15"/>
  <c r="Y49" i="21"/>
  <c r="E40" i="21"/>
  <c r="G66" i="21"/>
  <c r="O10" i="21"/>
  <c r="R30" i="15"/>
  <c r="T83" i="21"/>
  <c r="N11" i="21"/>
  <c r="L67" i="15"/>
  <c r="F42" i="21"/>
  <c r="V86" i="15"/>
  <c r="E80" i="21"/>
  <c r="AB31" i="15"/>
  <c r="AI74" i="15"/>
  <c r="R85" i="15"/>
  <c r="E28" i="21"/>
  <c r="AK47" i="15"/>
  <c r="AA14" i="15"/>
  <c r="O6" i="21"/>
  <c r="AB80" i="15"/>
  <c r="AC79" i="21"/>
  <c r="Z34" i="21"/>
  <c r="Z89" i="15"/>
  <c r="O65" i="21"/>
  <c r="AI90" i="21"/>
  <c r="N78" i="21"/>
  <c r="G90" i="21"/>
  <c r="L93" i="15"/>
  <c r="E84" i="21"/>
  <c r="I6" i="21"/>
  <c r="AF76" i="15"/>
  <c r="AL76" i="15" s="1"/>
  <c r="AF8" i="15"/>
  <c r="AL8" i="15" s="1"/>
  <c r="AK25" i="21"/>
  <c r="V93" i="21"/>
  <c r="D85" i="15"/>
  <c r="Y65" i="15"/>
  <c r="K75" i="21"/>
  <c r="P33" i="21"/>
  <c r="AF67" i="15"/>
  <c r="R27" i="21"/>
  <c r="X27" i="21" s="1"/>
  <c r="AI87" i="15"/>
  <c r="AF54" i="21"/>
  <c r="AQ71" i="21"/>
  <c r="U41" i="15"/>
  <c r="U55" i="15" s="1"/>
  <c r="U52" i="15"/>
  <c r="O74" i="21"/>
  <c r="V26" i="15"/>
  <c r="F89" i="21"/>
  <c r="I36" i="15"/>
  <c r="V69" i="21"/>
  <c r="AH11" i="15"/>
  <c r="V43" i="15"/>
  <c r="O81" i="21"/>
  <c r="M15" i="15"/>
  <c r="L25" i="15"/>
  <c r="O87" i="15"/>
  <c r="AF30" i="15"/>
  <c r="M87" i="21"/>
  <c r="AJ46" i="21"/>
  <c r="P28" i="21"/>
  <c r="E75" i="15"/>
  <c r="AG33" i="15"/>
  <c r="Z67" i="21"/>
  <c r="Z46" i="21"/>
  <c r="AE46" i="21" s="1"/>
  <c r="S43" i="15"/>
  <c r="D28" i="21"/>
  <c r="O82" i="21"/>
  <c r="AK43" i="15"/>
  <c r="AF79" i="21"/>
  <c r="M33" i="21"/>
  <c r="Q33" i="21" s="1"/>
  <c r="AP64" i="15"/>
  <c r="L8" i="15"/>
  <c r="N34" i="21"/>
  <c r="G76" i="15"/>
  <c r="F78" i="15"/>
  <c r="AF80" i="15"/>
  <c r="AL80" i="15" s="1"/>
  <c r="AI85" i="15"/>
  <c r="AL85" i="15" s="1"/>
  <c r="U12" i="15"/>
  <c r="U11" i="15"/>
  <c r="AJ34" i="21"/>
  <c r="AO81" i="21"/>
  <c r="D65" i="15"/>
  <c r="J65" i="15" s="1"/>
  <c r="AG13" i="15"/>
  <c r="AF74" i="15"/>
  <c r="R81" i="21"/>
  <c r="AB6" i="15"/>
  <c r="P45" i="15"/>
  <c r="M76" i="21"/>
  <c r="Z77" i="15"/>
  <c r="AP76" i="21"/>
  <c r="K10" i="21"/>
  <c r="I29" i="15"/>
  <c r="J29" i="15" s="1"/>
  <c r="M65" i="15"/>
  <c r="Q65" i="15" s="1"/>
  <c r="AH66" i="21"/>
  <c r="K74" i="21"/>
  <c r="AB76" i="15"/>
  <c r="M79" i="15"/>
  <c r="AQ64" i="21"/>
  <c r="K12" i="15"/>
  <c r="Q12" i="15" s="1"/>
  <c r="H43" i="15"/>
  <c r="L50" i="21"/>
  <c r="Q50" i="21" s="1"/>
  <c r="AG70" i="15"/>
  <c r="R91" i="21"/>
  <c r="AO67" i="21"/>
  <c r="AF83" i="15"/>
  <c r="AL83" i="15" s="1"/>
  <c r="AI32" i="15"/>
  <c r="M81" i="15"/>
  <c r="AN74" i="15"/>
  <c r="F37" i="15"/>
  <c r="AA33" i="15"/>
  <c r="AB74" i="15"/>
  <c r="AO73" i="21"/>
  <c r="H82" i="15"/>
  <c r="AJ8" i="21"/>
  <c r="AI13" i="21"/>
  <c r="N89" i="15"/>
  <c r="AF75" i="15"/>
  <c r="AL75" i="15" s="1"/>
  <c r="Z51" i="15"/>
  <c r="W33" i="21"/>
  <c r="X33" i="21" s="1"/>
  <c r="H14" i="21"/>
  <c r="AK29" i="21"/>
  <c r="S78" i="15"/>
  <c r="N43" i="21"/>
  <c r="N66" i="21"/>
  <c r="V42" i="15"/>
  <c r="AK15" i="15"/>
  <c r="D83" i="21"/>
  <c r="J83" i="21" s="1"/>
  <c r="AC14" i="15"/>
  <c r="AE14" i="15" s="1"/>
  <c r="F50" i="15"/>
  <c r="AF66" i="21"/>
  <c r="Z70" i="21"/>
  <c r="AJ6" i="21"/>
  <c r="R84" i="21"/>
  <c r="X84" i="21" s="1"/>
  <c r="M70" i="15"/>
  <c r="AP66" i="21"/>
  <c r="N31" i="21"/>
  <c r="Q31" i="21" s="1"/>
  <c r="E81" i="21"/>
  <c r="F93" i="15"/>
  <c r="AJ31" i="21"/>
  <c r="Y83" i="15"/>
  <c r="AE83" i="15" s="1"/>
  <c r="AB42" i="15"/>
  <c r="AG26" i="21"/>
  <c r="S31" i="21"/>
  <c r="H86" i="15"/>
  <c r="AC36" i="15"/>
  <c r="AC38" i="21"/>
  <c r="AM85" i="21"/>
  <c r="AS85" i="21" s="1"/>
  <c r="U86" i="21"/>
  <c r="X86" i="21" s="1"/>
  <c r="AM81" i="21"/>
  <c r="AS81" i="21" s="1"/>
  <c r="V15" i="15"/>
  <c r="X15" i="15" s="1"/>
  <c r="W15" i="21"/>
  <c r="N72" i="15"/>
  <c r="O48" i="21"/>
  <c r="Q48" i="21" s="1"/>
  <c r="AH92" i="21"/>
  <c r="AJ84" i="21"/>
  <c r="D51" i="21"/>
  <c r="T11" i="21"/>
  <c r="AG68" i="15"/>
  <c r="M33" i="15"/>
  <c r="F74" i="21"/>
  <c r="Z38" i="21"/>
  <c r="AP92" i="15"/>
  <c r="N86" i="15"/>
  <c r="AF51" i="15"/>
  <c r="AL51" i="15" s="1"/>
  <c r="AH33" i="15"/>
  <c r="AF88" i="21"/>
  <c r="AL88" i="21" s="1"/>
  <c r="I26" i="15"/>
  <c r="AI78" i="15"/>
  <c r="AL78" i="15" s="1"/>
  <c r="Y43" i="21"/>
  <c r="V76" i="21"/>
  <c r="Z12" i="21"/>
  <c r="AJ25" i="15"/>
  <c r="AL25" i="15" s="1"/>
  <c r="AA26" i="15"/>
  <c r="W26" i="21"/>
  <c r="AJ28" i="15"/>
  <c r="AI49" i="15"/>
  <c r="L66" i="15"/>
  <c r="I39" i="15"/>
  <c r="L68" i="15"/>
  <c r="M41" i="21"/>
  <c r="E25" i="21"/>
  <c r="AO84" i="15"/>
  <c r="AI65" i="21"/>
  <c r="Z64" i="21"/>
  <c r="Z94" i="21" s="1"/>
  <c r="O69" i="15"/>
  <c r="G90" i="15"/>
  <c r="AB87" i="15"/>
  <c r="O90" i="21"/>
  <c r="L15" i="21"/>
  <c r="V77" i="21"/>
  <c r="AF10" i="21"/>
  <c r="AH84" i="15"/>
  <c r="P9" i="15"/>
  <c r="AJ70" i="21"/>
  <c r="AK50" i="21"/>
  <c r="D88" i="21"/>
  <c r="J88" i="21" s="1"/>
  <c r="U64" i="21"/>
  <c r="F31" i="15"/>
  <c r="D43" i="15"/>
  <c r="N64" i="21"/>
  <c r="Q64" i="21" s="1"/>
  <c r="AB8" i="21"/>
  <c r="AC67" i="21"/>
  <c r="U93" i="21"/>
  <c r="AI92" i="21"/>
  <c r="K68" i="21"/>
  <c r="O50" i="15"/>
  <c r="AG84" i="21"/>
  <c r="S11" i="21"/>
  <c r="H13" i="21"/>
  <c r="D80" i="21"/>
  <c r="AM71" i="15"/>
  <c r="AK38" i="21"/>
  <c r="AK36" i="15"/>
  <c r="V87" i="15"/>
  <c r="P30" i="21"/>
  <c r="AC27" i="21"/>
  <c r="N14" i="15"/>
  <c r="V38" i="21"/>
  <c r="Z91" i="21"/>
  <c r="AC54" i="21"/>
  <c r="H87" i="21"/>
  <c r="V46" i="15"/>
  <c r="M70" i="21"/>
  <c r="AK9" i="21"/>
  <c r="T69" i="21"/>
  <c r="AG48" i="21"/>
  <c r="W11" i="15"/>
  <c r="V29" i="21"/>
  <c r="T6" i="15"/>
  <c r="AC15" i="15"/>
  <c r="N51" i="15"/>
  <c r="D70" i="15"/>
  <c r="Z36" i="21"/>
  <c r="N41" i="21"/>
  <c r="R7" i="21"/>
  <c r="M83" i="15"/>
  <c r="Q83" i="15" s="1"/>
  <c r="V14" i="21"/>
  <c r="AQ67" i="15"/>
  <c r="AC48" i="21"/>
  <c r="AF42" i="15"/>
  <c r="AL42" i="15" s="1"/>
  <c r="AF53" i="21"/>
  <c r="AB52" i="15"/>
  <c r="U51" i="21"/>
  <c r="O27" i="15"/>
  <c r="AP72" i="15"/>
  <c r="AA25" i="15"/>
  <c r="AK38" i="15"/>
  <c r="L27" i="15"/>
  <c r="U48" i="15"/>
  <c r="F70" i="21"/>
  <c r="AK12" i="15"/>
  <c r="AD39" i="21"/>
  <c r="AE39" i="21" s="1"/>
  <c r="Z26" i="21"/>
  <c r="K90" i="21"/>
  <c r="R92" i="21"/>
  <c r="X92" i="21" s="1"/>
  <c r="F12" i="15"/>
  <c r="T31" i="15"/>
  <c r="D9" i="21"/>
  <c r="G34" i="15"/>
  <c r="D54" i="21"/>
  <c r="Y77" i="21"/>
  <c r="K42" i="15"/>
  <c r="V68" i="21"/>
  <c r="F66" i="21"/>
  <c r="G6" i="15"/>
  <c r="Z72" i="21"/>
  <c r="U30" i="15"/>
  <c r="AI11" i="21"/>
  <c r="D38" i="21"/>
  <c r="AH40" i="15"/>
  <c r="AK39" i="15"/>
  <c r="Y12" i="21"/>
  <c r="AE12" i="21" s="1"/>
  <c r="AC25" i="15"/>
  <c r="N81" i="21"/>
  <c r="M77" i="15"/>
  <c r="AH14" i="15"/>
  <c r="U77" i="15"/>
  <c r="U80" i="15"/>
  <c r="AC84" i="15"/>
  <c r="AI7" i="15"/>
  <c r="G34" i="21"/>
  <c r="R13" i="21"/>
  <c r="X13" i="21" s="1"/>
  <c r="D86" i="15"/>
  <c r="P36" i="21"/>
  <c r="AP74" i="21"/>
  <c r="AJ93" i="15"/>
  <c r="R26" i="21"/>
  <c r="AJ7" i="15"/>
  <c r="E85" i="21"/>
  <c r="L90" i="21"/>
  <c r="S41" i="15"/>
  <c r="N47" i="21"/>
  <c r="R36" i="15"/>
  <c r="F29" i="15"/>
  <c r="AP71" i="21"/>
  <c r="P42" i="21"/>
  <c r="Z51" i="21"/>
  <c r="K9" i="21"/>
  <c r="AJ85" i="21"/>
  <c r="I51" i="21"/>
  <c r="Y74" i="15"/>
  <c r="P10" i="21"/>
  <c r="M75" i="21"/>
  <c r="N42" i="15"/>
  <c r="Z46" i="15"/>
  <c r="R14" i="21"/>
  <c r="G39" i="21"/>
  <c r="J39" i="21" s="1"/>
  <c r="AO87" i="21"/>
  <c r="AS87" i="21" s="1"/>
  <c r="T78" i="21"/>
  <c r="O33" i="15"/>
  <c r="AH91" i="21"/>
  <c r="K77" i="15"/>
  <c r="Q77" i="15" s="1"/>
  <c r="F90" i="21"/>
  <c r="V51" i="21"/>
  <c r="G35" i="15"/>
  <c r="AF80" i="21"/>
  <c r="AL80" i="21" s="1"/>
  <c r="D28" i="15"/>
  <c r="E87" i="15"/>
  <c r="R64" i="21"/>
  <c r="AG65" i="21"/>
  <c r="M11" i="15"/>
  <c r="AP93" i="15"/>
  <c r="O93" i="21"/>
  <c r="AF38" i="15"/>
  <c r="AL38" i="15" s="1"/>
  <c r="AG80" i="21"/>
  <c r="AF52" i="21"/>
  <c r="R77" i="15"/>
  <c r="AK28" i="15"/>
  <c r="AI8" i="15"/>
  <c r="O90" i="15"/>
  <c r="AA50" i="15"/>
  <c r="AB11" i="21"/>
  <c r="AB16" i="21" s="1"/>
  <c r="T70" i="21"/>
  <c r="AC47" i="15"/>
  <c r="AG66" i="21"/>
  <c r="I25" i="21"/>
  <c r="AJ70" i="15"/>
  <c r="U85" i="15"/>
  <c r="S87" i="21"/>
  <c r="U35" i="21"/>
  <c r="Z38" i="15"/>
  <c r="T11" i="15"/>
  <c r="D27" i="21"/>
  <c r="D76" i="21"/>
  <c r="J76" i="21" s="1"/>
  <c r="O78" i="15"/>
  <c r="N6" i="21"/>
  <c r="F87" i="21"/>
  <c r="R51" i="15"/>
  <c r="X51" i="15" s="1"/>
  <c r="F44" i="15"/>
  <c r="Y84" i="21"/>
  <c r="AE84" i="21" s="1"/>
  <c r="N15" i="21"/>
  <c r="H66" i="21"/>
  <c r="R65" i="21"/>
  <c r="X65" i="21" s="1"/>
  <c r="AO72" i="15"/>
  <c r="AJ49" i="15"/>
  <c r="Z7" i="15"/>
  <c r="AE7" i="15" s="1"/>
  <c r="AG73" i="15"/>
  <c r="AD7" i="15"/>
  <c r="AD32" i="15"/>
  <c r="AC69" i="15"/>
  <c r="AD15" i="15"/>
  <c r="Y43" i="15"/>
  <c r="AE43" i="15" s="1"/>
  <c r="G25" i="15"/>
  <c r="H78" i="15"/>
  <c r="AC11" i="21"/>
  <c r="T88" i="21"/>
  <c r="O45" i="21"/>
  <c r="AM91" i="15"/>
  <c r="L70" i="21"/>
  <c r="H74" i="15"/>
  <c r="Y37" i="21"/>
  <c r="AE37" i="21" s="1"/>
  <c r="G12" i="15"/>
  <c r="J12" i="15" s="1"/>
  <c r="K77" i="21"/>
  <c r="N49" i="21"/>
  <c r="Q49" i="21" s="1"/>
  <c r="I30" i="21"/>
  <c r="AA28" i="21"/>
  <c r="AH74" i="21"/>
  <c r="L74" i="15"/>
  <c r="V64" i="15"/>
  <c r="N40" i="21"/>
  <c r="E13" i="15"/>
  <c r="P28" i="15"/>
  <c r="AM89" i="21"/>
  <c r="AS89" i="21" s="1"/>
  <c r="G54" i="21"/>
  <c r="AF72" i="15"/>
  <c r="Z78" i="15"/>
  <c r="AD43" i="21"/>
  <c r="F67" i="21"/>
  <c r="J67" i="21" s="1"/>
  <c r="AB68" i="21"/>
  <c r="S15" i="21"/>
  <c r="K70" i="15"/>
  <c r="G44" i="15"/>
  <c r="F69" i="15"/>
  <c r="G71" i="21"/>
  <c r="AK33" i="21"/>
  <c r="AL33" i="21" s="1"/>
  <c r="H8" i="21"/>
  <c r="J8" i="21" s="1"/>
  <c r="N70" i="15"/>
  <c r="AI72" i="15"/>
  <c r="L11" i="21"/>
  <c r="AK51" i="21"/>
  <c r="M28" i="15"/>
  <c r="Z12" i="15"/>
  <c r="Z8" i="15"/>
  <c r="H36" i="15"/>
  <c r="J36" i="15" s="1"/>
  <c r="P38" i="21"/>
  <c r="AQ75" i="21"/>
  <c r="AS75" i="21" s="1"/>
  <c r="S47" i="21"/>
  <c r="AB53" i="15"/>
  <c r="AF35" i="21"/>
  <c r="L42" i="15"/>
  <c r="Z35" i="21"/>
  <c r="AI29" i="15"/>
  <c r="AL29" i="15" s="1"/>
  <c r="O45" i="15"/>
  <c r="G81" i="15"/>
  <c r="J81" i="15" s="1"/>
  <c r="U67" i="15"/>
  <c r="G28" i="15"/>
  <c r="G55" i="15" s="1"/>
  <c r="AF77" i="15"/>
  <c r="AL77" i="15" s="1"/>
  <c r="D13" i="15"/>
  <c r="K67" i="21"/>
  <c r="I43" i="21"/>
  <c r="AI78" i="21"/>
  <c r="K41" i="15"/>
  <c r="Q41" i="15" s="1"/>
  <c r="AH10" i="15"/>
  <c r="Z91" i="15"/>
  <c r="AE91" i="15" s="1"/>
  <c r="AF36" i="15"/>
  <c r="O42" i="15"/>
  <c r="Z53" i="21"/>
  <c r="D72" i="21"/>
  <c r="J72" i="21" s="1"/>
  <c r="S70" i="21"/>
  <c r="AG79" i="21"/>
  <c r="AK30" i="21"/>
  <c r="S76" i="15"/>
  <c r="X76" i="15" s="1"/>
  <c r="O80" i="15"/>
  <c r="M46" i="21"/>
  <c r="AC91" i="21"/>
  <c r="S80" i="15"/>
  <c r="M8" i="21"/>
  <c r="AM79" i="21"/>
  <c r="AK53" i="21"/>
  <c r="F76" i="15"/>
  <c r="Z39" i="15"/>
  <c r="AE39" i="15" s="1"/>
  <c r="Z74" i="15"/>
  <c r="AF27" i="15"/>
  <c r="AI45" i="21"/>
  <c r="AK41" i="21"/>
  <c r="H33" i="21"/>
  <c r="M47" i="15"/>
  <c r="N35" i="15"/>
  <c r="Q35" i="15" s="1"/>
  <c r="Y32" i="21"/>
  <c r="D69" i="15"/>
  <c r="M69" i="21"/>
  <c r="AN64" i="21"/>
  <c r="AS64" i="21" s="1"/>
  <c r="T86" i="21"/>
  <c r="R65" i="15"/>
  <c r="V66" i="15"/>
  <c r="G53" i="21"/>
  <c r="J53" i="21" s="1"/>
  <c r="M12" i="21"/>
  <c r="Q12" i="21" s="1"/>
  <c r="F91" i="15"/>
  <c r="D12" i="15"/>
  <c r="H51" i="15"/>
  <c r="L82" i="21"/>
  <c r="E30" i="21"/>
  <c r="O93" i="15"/>
  <c r="E37" i="15"/>
  <c r="H31" i="21"/>
  <c r="AH42" i="15"/>
  <c r="D70" i="21"/>
  <c r="S51" i="21"/>
  <c r="U46" i="15"/>
  <c r="S85" i="15"/>
  <c r="AC64" i="15"/>
  <c r="Z53" i="15"/>
  <c r="AE53" i="15" s="1"/>
  <c r="D80" i="15"/>
  <c r="G51" i="21"/>
  <c r="AH28" i="21"/>
  <c r="AB28" i="21"/>
  <c r="P8" i="21"/>
  <c r="AF26" i="21"/>
  <c r="D68" i="21"/>
  <c r="J68" i="21" s="1"/>
  <c r="E91" i="15"/>
  <c r="S26" i="21"/>
  <c r="X26" i="21" s="1"/>
  <c r="P15" i="15"/>
  <c r="U40" i="15"/>
  <c r="E35" i="15"/>
  <c r="AQ89" i="15"/>
  <c r="U74" i="15"/>
  <c r="H72" i="21"/>
  <c r="AC15" i="21"/>
  <c r="AE15" i="21" s="1"/>
  <c r="W46" i="15"/>
  <c r="V50" i="15"/>
  <c r="AH83" i="21"/>
  <c r="AF45" i="21"/>
  <c r="AL45" i="21" s="1"/>
  <c r="M35" i="15"/>
  <c r="Z77" i="21"/>
  <c r="L80" i="15"/>
  <c r="I11" i="21"/>
  <c r="J11" i="21" s="1"/>
  <c r="Y91" i="21"/>
  <c r="AE91" i="21" s="1"/>
  <c r="AJ38" i="21"/>
  <c r="F35" i="15"/>
  <c r="S39" i="21"/>
  <c r="I7" i="21"/>
  <c r="J7" i="21" s="1"/>
  <c r="S64" i="15"/>
  <c r="E75" i="21"/>
  <c r="R10" i="15"/>
  <c r="X10" i="15" s="1"/>
  <c r="H41" i="15"/>
  <c r="AI52" i="21"/>
  <c r="Z82" i="15"/>
  <c r="O34" i="15"/>
  <c r="Q34" i="15" s="1"/>
  <c r="AB43" i="21"/>
  <c r="AE43" i="21" s="1"/>
  <c r="W38" i="15"/>
  <c r="F79" i="21"/>
  <c r="J79" i="21" s="1"/>
  <c r="AM78" i="15"/>
  <c r="AS78" i="15" s="1"/>
  <c r="AJ6" i="15"/>
  <c r="T51" i="15"/>
  <c r="P40" i="21"/>
  <c r="AC82" i="21"/>
  <c r="AE82" i="21" s="1"/>
  <c r="N66" i="15"/>
  <c r="L11" i="15"/>
  <c r="AC72" i="21"/>
  <c r="D10" i="21"/>
  <c r="J10" i="21" s="1"/>
  <c r="AN91" i="15"/>
  <c r="AI65" i="15"/>
  <c r="T37" i="15"/>
  <c r="X37" i="15" s="1"/>
  <c r="AQ91" i="15"/>
  <c r="AN68" i="21"/>
  <c r="AS68" i="21" s="1"/>
  <c r="E15" i="15"/>
  <c r="AJ52" i="15"/>
  <c r="V70" i="15"/>
  <c r="O68" i="21"/>
  <c r="Q68" i="21" s="1"/>
  <c r="N68" i="15"/>
  <c r="AJ73" i="21"/>
  <c r="AL73" i="21" s="1"/>
  <c r="E76" i="15"/>
  <c r="AC71" i="21"/>
  <c r="Y79" i="21"/>
  <c r="V91" i="21"/>
  <c r="AJ14" i="21"/>
  <c r="N84" i="21"/>
  <c r="Q84" i="21" s="1"/>
  <c r="AA86" i="21"/>
  <c r="M45" i="21"/>
  <c r="AG75" i="21"/>
  <c r="P51" i="15"/>
  <c r="Q51" i="15" s="1"/>
  <c r="D38" i="15"/>
  <c r="J38" i="15" s="1"/>
  <c r="AA86" i="15"/>
  <c r="AB40" i="21"/>
  <c r="AE40" i="21" s="1"/>
  <c r="M47" i="21"/>
  <c r="Y74" i="21"/>
  <c r="AE74" i="21" s="1"/>
  <c r="S7" i="21"/>
  <c r="V89" i="15"/>
  <c r="AF13" i="21"/>
  <c r="AL13" i="21" s="1"/>
  <c r="AQ80" i="21"/>
  <c r="S13" i="15"/>
  <c r="AM70" i="21"/>
  <c r="AS70" i="21" s="1"/>
  <c r="AB45" i="21"/>
  <c r="G91" i="21"/>
  <c r="H53" i="15"/>
  <c r="AN83" i="15"/>
  <c r="AS83" i="15" s="1"/>
  <c r="AJ37" i="21"/>
  <c r="AN80" i="15"/>
  <c r="U82" i="15"/>
  <c r="T25" i="21"/>
  <c r="E43" i="15"/>
  <c r="K81" i="21"/>
  <c r="Q81" i="21" s="1"/>
  <c r="AF52" i="15"/>
  <c r="AL52" i="15" s="1"/>
  <c r="AD50" i="15"/>
  <c r="R28" i="21"/>
  <c r="Z33" i="15"/>
  <c r="AE33" i="15" s="1"/>
  <c r="F27" i="21"/>
  <c r="AH74" i="15"/>
  <c r="R46" i="21"/>
  <c r="X46" i="21" s="1"/>
  <c r="Y8" i="15"/>
  <c r="AH43" i="15"/>
  <c r="W53" i="21"/>
  <c r="X53" i="21" s="1"/>
  <c r="AO70" i="21"/>
  <c r="D75" i="15"/>
  <c r="J75" i="15" s="1"/>
  <c r="O91" i="15"/>
  <c r="Q91" i="15" s="1"/>
  <c r="AG14" i="15"/>
  <c r="AD35" i="15"/>
  <c r="R83" i="15"/>
  <c r="X83" i="15" s="1"/>
  <c r="AK34" i="15"/>
  <c r="AC83" i="21"/>
  <c r="AE83" i="21" s="1"/>
  <c r="V50" i="21"/>
  <c r="AB69" i="15"/>
  <c r="AA89" i="21"/>
  <c r="L92" i="15"/>
  <c r="R70" i="21"/>
  <c r="N52" i="15"/>
  <c r="Q52" i="15" s="1"/>
  <c r="E45" i="15"/>
  <c r="O72" i="21"/>
  <c r="Q72" i="21" s="1"/>
  <c r="G44" i="21"/>
  <c r="J44" i="21" s="1"/>
  <c r="I7" i="15"/>
  <c r="J7" i="15" s="1"/>
  <c r="AI6" i="21"/>
  <c r="U72" i="21"/>
  <c r="AF91" i="21"/>
  <c r="AL91" i="21" s="1"/>
  <c r="Z34" i="15"/>
  <c r="AE34" i="15" s="1"/>
  <c r="AC65" i="15"/>
  <c r="F8" i="15"/>
  <c r="N88" i="21"/>
  <c r="AN84" i="21"/>
  <c r="AK33" i="15"/>
  <c r="AA73" i="15"/>
  <c r="T30" i="15"/>
  <c r="X30" i="15" s="1"/>
  <c r="N91" i="21"/>
  <c r="M14" i="21"/>
  <c r="AB81" i="21"/>
  <c r="AB94" i="21" s="1"/>
  <c r="AJ46" i="15"/>
  <c r="AI84" i="15"/>
  <c r="AD44" i="21"/>
  <c r="AE44" i="21" s="1"/>
  <c r="AA66" i="15"/>
  <c r="AA94" i="15" s="1"/>
  <c r="T75" i="21"/>
  <c r="X75" i="21" s="1"/>
  <c r="AA76" i="15"/>
  <c r="AE76" i="15" s="1"/>
  <c r="Z47" i="15"/>
  <c r="R89" i="15"/>
  <c r="X89" i="15" s="1"/>
  <c r="S64" i="21"/>
  <c r="AA83" i="15"/>
  <c r="F69" i="21"/>
  <c r="J69" i="21" s="1"/>
  <c r="Y31" i="21"/>
  <c r="AE31" i="21" s="1"/>
  <c r="D36" i="21"/>
  <c r="J36" i="21" s="1"/>
  <c r="AJ75" i="21"/>
  <c r="AA71" i="21"/>
  <c r="D77" i="15"/>
  <c r="J77" i="15" s="1"/>
  <c r="AO77" i="15"/>
  <c r="AS77" i="15" s="1"/>
  <c r="V80" i="15"/>
  <c r="AC12" i="15"/>
  <c r="O78" i="21"/>
  <c r="Q78" i="21" s="1"/>
  <c r="AK46" i="21"/>
  <c r="Z71" i="15"/>
  <c r="Z94" i="15" s="1"/>
  <c r="H88" i="21"/>
  <c r="L37" i="15"/>
  <c r="Q37" i="15" s="1"/>
  <c r="R50" i="21"/>
  <c r="X50" i="21" s="1"/>
  <c r="D74" i="21"/>
  <c r="AG79" i="15"/>
  <c r="AD53" i="21"/>
  <c r="AE53" i="21" s="1"/>
  <c r="AC6" i="21"/>
  <c r="AE6" i="21" s="1"/>
  <c r="Y90" i="21"/>
  <c r="AE90" i="21" s="1"/>
  <c r="V86" i="21"/>
  <c r="AJ73" i="15"/>
  <c r="AL73" i="15" s="1"/>
  <c r="AJ35" i="15"/>
  <c r="S79" i="15"/>
  <c r="X79" i="15" s="1"/>
  <c r="AA42" i="15"/>
  <c r="E87" i="21"/>
  <c r="H14" i="15"/>
  <c r="E11" i="21"/>
  <c r="T34" i="21"/>
  <c r="AD14" i="15"/>
  <c r="AO83" i="21"/>
  <c r="K86" i="21"/>
  <c r="Q86" i="21" s="1"/>
  <c r="AG90" i="21"/>
  <c r="L88" i="21"/>
  <c r="Q88" i="21" s="1"/>
  <c r="V90" i="21"/>
  <c r="X90" i="21" s="1"/>
  <c r="AB49" i="21"/>
  <c r="H91" i="21"/>
  <c r="O37" i="21"/>
  <c r="Q37" i="21" s="1"/>
  <c r="H89" i="21"/>
  <c r="M67" i="15"/>
  <c r="Q67" i="15" s="1"/>
  <c r="L14" i="21"/>
  <c r="P14" i="15"/>
  <c r="AK10" i="15"/>
  <c r="AI85" i="21"/>
  <c r="AL85" i="21" s="1"/>
  <c r="M26" i="21"/>
  <c r="L40" i="21"/>
  <c r="Q40" i="21" s="1"/>
  <c r="E86" i="15"/>
  <c r="P6" i="15"/>
  <c r="P16" i="15" s="1"/>
  <c r="AB64" i="15"/>
  <c r="AE64" i="15" s="1"/>
  <c r="AF37" i="21"/>
  <c r="AL37" i="21" s="1"/>
  <c r="L29" i="21"/>
  <c r="AI69" i="15"/>
  <c r="L86" i="15"/>
  <c r="T31" i="21"/>
  <c r="AD47" i="21"/>
  <c r="AD39" i="15"/>
  <c r="AG50" i="21"/>
  <c r="AN74" i="21"/>
  <c r="O76" i="21"/>
  <c r="O70" i="15"/>
  <c r="Q70" i="15" s="1"/>
  <c r="E88" i="21"/>
  <c r="AA8" i="15"/>
  <c r="H78" i="21"/>
  <c r="Y93" i="21"/>
  <c r="AE93" i="21" s="1"/>
  <c r="K74" i="15"/>
  <c r="G41" i="21"/>
  <c r="J41" i="21" s="1"/>
  <c r="W32" i="15"/>
  <c r="N36" i="21"/>
  <c r="K43" i="21"/>
  <c r="F13" i="21"/>
  <c r="J13" i="21" s="1"/>
  <c r="AB86" i="21"/>
  <c r="AE86" i="21" s="1"/>
  <c r="E93" i="21"/>
  <c r="J93" i="21" s="1"/>
  <c r="S31" i="15"/>
  <c r="V12" i="15"/>
  <c r="X12" i="15" s="1"/>
  <c r="AK14" i="15"/>
  <c r="V14" i="15"/>
  <c r="AI13" i="15"/>
  <c r="E77" i="21"/>
  <c r="J77" i="21" s="1"/>
  <c r="AG11" i="21"/>
  <c r="D30" i="21"/>
  <c r="J30" i="21" s="1"/>
  <c r="AG64" i="21"/>
  <c r="AL64" i="21" s="1"/>
  <c r="R34" i="15"/>
  <c r="X34" i="15" s="1"/>
  <c r="AO79" i="21"/>
  <c r="Z44" i="15"/>
  <c r="O53" i="21"/>
  <c r="AI67" i="15"/>
  <c r="AL67" i="15" s="1"/>
  <c r="AF45" i="15"/>
  <c r="AD12" i="21"/>
  <c r="AD16" i="21" s="1"/>
  <c r="AG31" i="21"/>
  <c r="D32" i="21"/>
  <c r="D92" i="21"/>
  <c r="J92" i="21" s="1"/>
  <c r="AB85" i="21"/>
  <c r="AE85" i="21" s="1"/>
  <c r="AJ45" i="15"/>
  <c r="D71" i="21"/>
  <c r="J71" i="21" s="1"/>
  <c r="AG91" i="15"/>
  <c r="AL91" i="15" s="1"/>
  <c r="G42" i="21"/>
  <c r="AC40" i="21"/>
  <c r="AB35" i="15"/>
  <c r="AE35" i="15" s="1"/>
  <c r="T40" i="21"/>
  <c r="X40" i="21" s="1"/>
  <c r="AH72" i="21"/>
  <c r="AJ39" i="21"/>
  <c r="F31" i="21"/>
  <c r="P44" i="21"/>
  <c r="Q44" i="21" s="1"/>
  <c r="AM67" i="21"/>
  <c r="M53" i="15"/>
  <c r="AH81" i="15"/>
  <c r="AL81" i="15" s="1"/>
  <c r="AF31" i="21"/>
  <c r="V65" i="15"/>
  <c r="X65" i="15" s="1"/>
  <c r="AG28" i="21"/>
  <c r="AL28" i="21" s="1"/>
  <c r="S77" i="21"/>
  <c r="X77" i="21" s="1"/>
  <c r="F87" i="15"/>
  <c r="AB357" i="4"/>
  <c r="AB21" i="4"/>
  <c r="AK410" i="4"/>
  <c r="BC255" i="4"/>
  <c r="S255" i="4"/>
  <c r="S515" i="4"/>
  <c r="BC515" i="4"/>
  <c r="AT203" i="4"/>
  <c r="AT548" i="4"/>
  <c r="AB324" i="4"/>
  <c r="AK604" i="4"/>
  <c r="BC64" i="4"/>
  <c r="S64" i="4"/>
  <c r="AT497" i="4"/>
  <c r="AB510" i="4"/>
  <c r="AT107" i="4"/>
  <c r="AB67" i="4"/>
  <c r="AB472" i="4"/>
  <c r="AT139" i="4"/>
  <c r="AK345" i="4"/>
  <c r="AK396" i="4"/>
  <c r="AT193" i="4"/>
  <c r="S593" i="4"/>
  <c r="BC593" i="4"/>
  <c r="S475" i="4"/>
  <c r="BC475" i="4"/>
  <c r="AK543" i="4"/>
  <c r="AK173" i="4"/>
  <c r="AK570" i="4"/>
  <c r="S599" i="4"/>
  <c r="BC599" i="4"/>
  <c r="AB108" i="4"/>
  <c r="AK108" i="4"/>
  <c r="AK508" i="4"/>
  <c r="AB600" i="4"/>
  <c r="AT311" i="4"/>
  <c r="S494" i="4"/>
  <c r="BC494" i="4"/>
  <c r="AB276" i="4"/>
  <c r="S310" i="4"/>
  <c r="BC310" i="4"/>
  <c r="AB546" i="4"/>
  <c r="AK594" i="4"/>
  <c r="AT316" i="4"/>
  <c r="AT466" i="4"/>
  <c r="AK72" i="4"/>
  <c r="A198" i="4"/>
  <c r="AB314" i="4"/>
  <c r="BC87" i="4"/>
  <c r="S87" i="4"/>
  <c r="AB569" i="4"/>
  <c r="AB582" i="4"/>
  <c r="AB407" i="4"/>
  <c r="AB534" i="4"/>
  <c r="AB201" i="4"/>
  <c r="S237" i="4"/>
  <c r="BC237" i="4"/>
  <c r="AK28" i="4"/>
  <c r="AT504" i="4"/>
  <c r="AB581" i="4"/>
  <c r="AT549" i="4"/>
  <c r="AK497" i="4"/>
  <c r="A150" i="4"/>
  <c r="AB304" i="4"/>
  <c r="BC61" i="4"/>
  <c r="S61" i="4"/>
  <c r="AK139" i="4"/>
  <c r="AB311" i="4"/>
  <c r="S244" i="4"/>
  <c r="BC244" i="4"/>
  <c r="A10" i="4"/>
  <c r="AB115" i="4"/>
  <c r="AK483" i="4"/>
  <c r="A237" i="4"/>
  <c r="AT353" i="4"/>
  <c r="AT435" i="4"/>
  <c r="AT161" i="4"/>
  <c r="S311" i="4"/>
  <c r="BC311" i="4"/>
  <c r="S133" i="4"/>
  <c r="BC133" i="4"/>
  <c r="AB341" i="4"/>
  <c r="A232" i="4"/>
  <c r="AB365" i="4"/>
  <c r="BC368" i="4"/>
  <c r="S368" i="4"/>
  <c r="BC188" i="4"/>
  <c r="S188" i="4"/>
  <c r="AB76" i="4"/>
  <c r="A26" i="4"/>
  <c r="AK234" i="4"/>
  <c r="AB256" i="4"/>
  <c r="AK189" i="4"/>
  <c r="AB170" i="4"/>
  <c r="AK532" i="4"/>
  <c r="AK509" i="4"/>
  <c r="AT51" i="4"/>
  <c r="AB453" i="4"/>
  <c r="AT318" i="4"/>
  <c r="BC551" i="4"/>
  <c r="S551" i="4"/>
  <c r="A142" i="4"/>
  <c r="A175" i="4"/>
  <c r="AB559" i="4"/>
  <c r="AT416" i="4"/>
  <c r="BC46" i="4"/>
  <c r="S46" i="4"/>
  <c r="AB163" i="4"/>
  <c r="BC356" i="4"/>
  <c r="S356" i="4"/>
  <c r="S465" i="4"/>
  <c r="BC465" i="4"/>
  <c r="A118" i="4"/>
  <c r="AK221" i="4"/>
  <c r="BC558" i="4"/>
  <c r="S558" i="4"/>
  <c r="BC20" i="4"/>
  <c r="S20" i="4"/>
  <c r="BC300" i="4"/>
  <c r="S300" i="4"/>
  <c r="AK202" i="4"/>
  <c r="BC445" i="4"/>
  <c r="S445" i="4"/>
  <c r="AT428" i="4"/>
  <c r="AB373" i="4"/>
  <c r="AB397" i="4"/>
  <c r="AB120" i="4"/>
  <c r="AB430" i="4"/>
  <c r="S289" i="4"/>
  <c r="BC289" i="4"/>
  <c r="BC208" i="4"/>
  <c r="S208" i="4"/>
  <c r="BC191" i="4"/>
  <c r="S191" i="4"/>
  <c r="AB325" i="4"/>
  <c r="AB401" i="4"/>
  <c r="AT126" i="4"/>
  <c r="A253" i="4"/>
  <c r="AK34" i="4"/>
  <c r="AB467" i="4"/>
  <c r="S272" i="4"/>
  <c r="BC272" i="4"/>
  <c r="AK458" i="4"/>
  <c r="AK598" i="4"/>
  <c r="AB353" i="4"/>
  <c r="AB315" i="4"/>
  <c r="AK540" i="4"/>
  <c r="A179" i="4"/>
  <c r="AK67" i="4"/>
  <c r="AK602" i="4"/>
  <c r="AK270" i="4"/>
  <c r="S65" i="4"/>
  <c r="BC65" i="4"/>
  <c r="BC524" i="4"/>
  <c r="S524" i="4"/>
  <c r="S278" i="4"/>
  <c r="BC278" i="4"/>
  <c r="BC333" i="4"/>
  <c r="S333" i="4"/>
  <c r="A134" i="4"/>
  <c r="AT230" i="4"/>
  <c r="AT123" i="4"/>
  <c r="AB268" i="4"/>
  <c r="AK65" i="4"/>
  <c r="S594" i="4"/>
  <c r="BC594" i="4"/>
  <c r="AK12" i="4"/>
  <c r="AB486" i="4"/>
  <c r="BC470" i="4"/>
  <c r="S470" i="4"/>
  <c r="AT176" i="4"/>
  <c r="AK274" i="4"/>
  <c r="AB301" i="4"/>
  <c r="AB92" i="4"/>
  <c r="S541" i="4"/>
  <c r="BC541" i="4"/>
  <c r="AT105" i="4"/>
  <c r="BC266" i="4"/>
  <c r="S266" i="4"/>
  <c r="S134" i="4"/>
  <c r="BC134" i="4"/>
  <c r="AB259" i="4"/>
  <c r="A199" i="4"/>
  <c r="AB131" i="4"/>
  <c r="BC127" i="4"/>
  <c r="S127" i="4"/>
  <c r="A65" i="4"/>
  <c r="AB411" i="4"/>
  <c r="AB232" i="4"/>
  <c r="AT391" i="4"/>
  <c r="AB313" i="4"/>
  <c r="A49" i="4"/>
  <c r="AT369" i="4"/>
  <c r="AB566" i="4"/>
  <c r="AB56" i="4"/>
  <c r="A161" i="4"/>
  <c r="BC9" i="4"/>
  <c r="S9" i="4"/>
  <c r="AB41" i="4"/>
  <c r="AB137" i="4"/>
  <c r="AT574" i="4"/>
  <c r="AB53" i="4"/>
  <c r="AB308" i="4"/>
  <c r="S461" i="4"/>
  <c r="BC461" i="4"/>
  <c r="AT299" i="4"/>
  <c r="S271" i="4"/>
  <c r="BC271" i="4"/>
  <c r="BC329" i="4"/>
  <c r="S329" i="4"/>
  <c r="AT37" i="4"/>
  <c r="AK462" i="4"/>
  <c r="AT261" i="4"/>
  <c r="A164" i="4"/>
  <c r="AK386" i="4"/>
  <c r="AB127" i="4"/>
  <c r="AB243" i="4"/>
  <c r="AK84" i="4"/>
  <c r="AT71" i="4"/>
  <c r="AK429" i="4"/>
  <c r="A58" i="4"/>
  <c r="AT426" i="4"/>
  <c r="AB206" i="4"/>
  <c r="AK289" i="4"/>
  <c r="BC535" i="4"/>
  <c r="S535" i="4"/>
  <c r="AK304" i="4"/>
  <c r="S587" i="4"/>
  <c r="BC587" i="4"/>
  <c r="AK464" i="4"/>
  <c r="AT246" i="4"/>
  <c r="AK261" i="4"/>
  <c r="AK272" i="4"/>
  <c r="A195" i="4"/>
  <c r="AK235" i="4"/>
  <c r="AT327" i="4"/>
  <c r="AB350" i="4"/>
  <c r="AK571" i="4"/>
  <c r="AK279" i="4"/>
  <c r="AB187" i="4"/>
  <c r="BC595" i="4"/>
  <c r="S595" i="4"/>
  <c r="BC421" i="4"/>
  <c r="S421" i="4"/>
  <c r="S338" i="4"/>
  <c r="BC338" i="4"/>
  <c r="AB394" i="4"/>
  <c r="S56" i="4"/>
  <c r="BC56" i="4"/>
  <c r="AK402" i="4"/>
  <c r="AB603" i="4"/>
  <c r="AB101" i="4"/>
  <c r="AT367" i="4"/>
  <c r="AT566" i="4"/>
  <c r="AK555" i="4"/>
  <c r="AB215" i="4"/>
  <c r="S180" i="4"/>
  <c r="BC180" i="4"/>
  <c r="AK190" i="4"/>
  <c r="S139" i="4"/>
  <c r="BC139" i="4"/>
  <c r="S33" i="4"/>
  <c r="BC33" i="4"/>
  <c r="S568" i="4"/>
  <c r="BC568" i="4"/>
  <c r="AT25" i="4"/>
  <c r="AT382" i="4"/>
  <c r="AT75" i="4"/>
  <c r="AK375" i="4"/>
  <c r="AK151" i="4"/>
  <c r="A218" i="4"/>
  <c r="A225" i="4"/>
  <c r="AB526" i="4"/>
  <c r="S545" i="4"/>
  <c r="BC545" i="4"/>
  <c r="AB212" i="4"/>
  <c r="AT449" i="4"/>
  <c r="AB556" i="4"/>
  <c r="AB15" i="4"/>
  <c r="AB514" i="4"/>
  <c r="S296" i="4"/>
  <c r="BC296" i="4"/>
  <c r="AB275" i="4"/>
  <c r="S140" i="4"/>
  <c r="BC140" i="4"/>
  <c r="A128" i="4"/>
  <c r="AT469" i="4"/>
  <c r="A95" i="4"/>
  <c r="AB588" i="4"/>
  <c r="AB140" i="4"/>
  <c r="AK60" i="4"/>
  <c r="AK377" i="4"/>
  <c r="BC124" i="4"/>
  <c r="S124" i="4"/>
  <c r="A126" i="4"/>
  <c r="AT36" i="4"/>
  <c r="A193" i="4"/>
  <c r="AB558" i="4"/>
  <c r="A221" i="4"/>
  <c r="S379" i="4"/>
  <c r="BC379" i="4"/>
  <c r="AB286" i="4"/>
  <c r="S476" i="4"/>
  <c r="BC476" i="4"/>
  <c r="S145" i="4"/>
  <c r="BC145" i="4"/>
  <c r="AB263" i="4"/>
  <c r="AT278" i="4"/>
  <c r="AK562" i="4"/>
  <c r="AT142" i="4"/>
  <c r="AB180" i="4"/>
  <c r="AB237" i="4"/>
  <c r="AB543" i="4"/>
  <c r="AT494" i="4"/>
  <c r="AK305" i="4"/>
  <c r="AB338" i="4"/>
  <c r="AK529" i="4"/>
  <c r="A86" i="4"/>
  <c r="AK546" i="4"/>
  <c r="AT346" i="4"/>
  <c r="S344" i="4"/>
  <c r="BC344" i="4"/>
  <c r="AT276" i="4"/>
  <c r="AT87" i="4"/>
  <c r="A76" i="4"/>
  <c r="AB221" i="4"/>
  <c r="BC93" i="4"/>
  <c r="S93" i="4"/>
  <c r="AT328" i="4"/>
  <c r="AK510" i="4"/>
  <c r="AK236" i="4"/>
  <c r="AT555" i="4"/>
  <c r="S222" i="4"/>
  <c r="BC222" i="4"/>
  <c r="BC110" i="4"/>
  <c r="S110" i="4"/>
  <c r="BC320" i="4"/>
  <c r="S320" i="4"/>
  <c r="A176" i="4"/>
  <c r="BC250" i="4"/>
  <c r="S250" i="4"/>
  <c r="AK531" i="4"/>
  <c r="AK206" i="4"/>
  <c r="AB576" i="4"/>
  <c r="AT422" i="4"/>
  <c r="BC406" i="4"/>
  <c r="S406" i="4"/>
  <c r="AB409" i="4"/>
  <c r="AT88" i="4"/>
  <c r="AK284" i="4"/>
  <c r="AB272" i="4"/>
  <c r="BC214" i="4"/>
  <c r="S214" i="4"/>
  <c r="AK511" i="4"/>
  <c r="S352" i="4"/>
  <c r="BC352" i="4"/>
  <c r="A93" i="4"/>
  <c r="AT227" i="4"/>
  <c r="S325" i="4"/>
  <c r="BC325" i="4"/>
  <c r="BC215" i="4"/>
  <c r="S215" i="4"/>
  <c r="BC531" i="4"/>
  <c r="S531" i="4"/>
  <c r="BC322" i="4"/>
  <c r="S322" i="4"/>
  <c r="AB65" i="4"/>
  <c r="AK269" i="4"/>
  <c r="AK414" i="4"/>
  <c r="AK97" i="4"/>
  <c r="AT285" i="4"/>
  <c r="AB125" i="4"/>
  <c r="AK381" i="4"/>
  <c r="AB84" i="4"/>
  <c r="AK376" i="4"/>
  <c r="AT553" i="4"/>
  <c r="BC113" i="4"/>
  <c r="S113" i="4"/>
  <c r="A233" i="4"/>
  <c r="BC165" i="4"/>
  <c r="S165" i="4"/>
  <c r="S442" i="4"/>
  <c r="BC442" i="4"/>
  <c r="BC596" i="4"/>
  <c r="S596" i="4"/>
  <c r="AT348" i="4"/>
  <c r="AK255" i="4"/>
  <c r="AT155" i="4"/>
  <c r="AK560" i="4"/>
  <c r="AB528" i="4"/>
  <c r="A59" i="4"/>
  <c r="BC566" i="4"/>
  <c r="S566" i="4"/>
  <c r="AT48" i="4"/>
  <c r="AB35" i="4"/>
  <c r="AK245" i="4"/>
  <c r="AT63" i="4"/>
  <c r="AB595" i="4"/>
  <c r="AT455" i="4"/>
  <c r="AB491" i="4"/>
  <c r="A106" i="4"/>
  <c r="AK148" i="4"/>
  <c r="AK542" i="4"/>
  <c r="AB445" i="4"/>
  <c r="A196" i="4"/>
  <c r="S435" i="4"/>
  <c r="BC435" i="4"/>
  <c r="AB522" i="4"/>
  <c r="S228" i="4"/>
  <c r="BC228" i="4"/>
  <c r="A43" i="4"/>
  <c r="S533" i="4"/>
  <c r="BC533" i="4"/>
  <c r="AB355" i="4"/>
  <c r="AT190" i="4"/>
  <c r="AK576" i="4"/>
  <c r="AK424" i="4"/>
  <c r="BC184" i="4"/>
  <c r="S184" i="4"/>
  <c r="AB529" i="4"/>
  <c r="AK99" i="4"/>
  <c r="AT224" i="4"/>
  <c r="AT419" i="4"/>
  <c r="A9" i="4"/>
  <c r="AT359" i="4"/>
  <c r="AB354" i="4"/>
  <c r="BC68" i="4"/>
  <c r="S68" i="4"/>
  <c r="AT256" i="4"/>
  <c r="AK358" i="4"/>
  <c r="AT164" i="4"/>
  <c r="BC286" i="4"/>
  <c r="S286" i="4"/>
  <c r="AT62" i="4"/>
  <c r="BC603" i="4"/>
  <c r="S603" i="4"/>
  <c r="A211" i="4"/>
  <c r="S213" i="4"/>
  <c r="BC213" i="4"/>
  <c r="AB471" i="4"/>
  <c r="AB54" i="4"/>
  <c r="BC324" i="4"/>
  <c r="S324" i="4"/>
  <c r="A244" i="4"/>
  <c r="A188" i="4"/>
  <c r="AT596" i="4"/>
  <c r="AK413" i="4"/>
  <c r="S226" i="4"/>
  <c r="BC226" i="4"/>
  <c r="AT44" i="4"/>
  <c r="A226" i="4"/>
  <c r="AT511" i="4"/>
  <c r="AK493" i="4"/>
  <c r="AK388" i="4"/>
  <c r="AT547" i="4"/>
  <c r="AB23" i="4"/>
  <c r="BC374" i="4"/>
  <c r="S374" i="4"/>
  <c r="AK506" i="4"/>
  <c r="AB14" i="4"/>
  <c r="AB231" i="4"/>
  <c r="AK475" i="4"/>
  <c r="AB284" i="4"/>
  <c r="AK63" i="4"/>
  <c r="BC276" i="4"/>
  <c r="S276" i="4"/>
  <c r="AK26" i="4"/>
  <c r="AB587" i="4"/>
  <c r="AB384" i="4"/>
  <c r="AT324" i="4"/>
  <c r="AT309" i="4"/>
  <c r="S454" i="4"/>
  <c r="BC454" i="4"/>
  <c r="AB209" i="4"/>
  <c r="AT361" i="4"/>
  <c r="A68" i="4"/>
  <c r="BC173" i="4"/>
  <c r="D12" i="41" s="1"/>
  <c r="E12" i="41" s="1"/>
  <c r="S173" i="4"/>
  <c r="A149" i="4"/>
  <c r="S434" i="4"/>
  <c r="BC434" i="4"/>
  <c r="AT187" i="4"/>
  <c r="BC79" i="4"/>
  <c r="S79" i="4"/>
  <c r="S290" i="4"/>
  <c r="BC290" i="4"/>
  <c r="AT236" i="4"/>
  <c r="AB420" i="4"/>
  <c r="AK581" i="4"/>
  <c r="AB51" i="4"/>
  <c r="AB106" i="4"/>
  <c r="AB347" i="4"/>
  <c r="AK186" i="4"/>
  <c r="AK105" i="4"/>
  <c r="AK351" i="4"/>
  <c r="BC30" i="4"/>
  <c r="S30" i="4"/>
  <c r="AK380" i="4"/>
  <c r="S182" i="4"/>
  <c r="BC182" i="4"/>
  <c r="AK160" i="4"/>
  <c r="AB388" i="4"/>
  <c r="AK360" i="4"/>
  <c r="AK249" i="4"/>
  <c r="AT321" i="4"/>
  <c r="AK503" i="4"/>
  <c r="BC91" i="4"/>
  <c r="S91" i="4"/>
  <c r="S240" i="4"/>
  <c r="BC240" i="4"/>
  <c r="BC151" i="4"/>
  <c r="D24" i="41" s="1"/>
  <c r="S151" i="4"/>
  <c r="AK133" i="4"/>
  <c r="AT284" i="4"/>
  <c r="S230" i="4"/>
  <c r="BC230" i="4"/>
  <c r="AB477" i="4"/>
  <c r="AK330" i="4"/>
  <c r="AT470" i="4"/>
  <c r="AB182" i="4"/>
  <c r="AK590" i="4"/>
  <c r="AK168" i="4"/>
  <c r="AT339" i="4"/>
  <c r="AB480" i="4"/>
  <c r="AT135" i="4"/>
  <c r="BC399" i="4"/>
  <c r="S399" i="4"/>
  <c r="AB509" i="4"/>
  <c r="AK554" i="4"/>
  <c r="AT121" i="4"/>
  <c r="AB482" i="4"/>
  <c r="A148" i="4"/>
  <c r="A135" i="4"/>
  <c r="AT585" i="4"/>
  <c r="AT277" i="4"/>
  <c r="AK430" i="4"/>
  <c r="BC386" i="4"/>
  <c r="S386" i="4"/>
  <c r="AT583" i="4"/>
  <c r="AT535" i="4"/>
  <c r="AK584" i="4"/>
  <c r="S493" i="4"/>
  <c r="BC493" i="4"/>
  <c r="AK299" i="4"/>
  <c r="BC69" i="4"/>
  <c r="S69" i="4"/>
  <c r="AK325" i="4"/>
  <c r="AB512" i="4"/>
  <c r="S218" i="4"/>
  <c r="BC218" i="4"/>
  <c r="BC47" i="4"/>
  <c r="S47" i="4"/>
  <c r="AB537" i="4"/>
  <c r="AK408" i="4"/>
  <c r="BC50" i="4"/>
  <c r="S50" i="4"/>
  <c r="AT432" i="4"/>
  <c r="S149" i="4"/>
  <c r="BC149" i="4"/>
  <c r="AK103" i="4"/>
  <c r="S508" i="4"/>
  <c r="BC508" i="4"/>
  <c r="AB139" i="4"/>
  <c r="A205" i="4"/>
  <c r="S484" i="4"/>
  <c r="BC484" i="4"/>
  <c r="BC427" i="4"/>
  <c r="S427" i="4"/>
  <c r="AB281" i="4"/>
  <c r="AT153" i="4"/>
  <c r="AT383" i="4"/>
  <c r="AB579" i="4"/>
  <c r="AB288" i="4"/>
  <c r="AK198" i="4"/>
  <c r="AK450" i="4"/>
  <c r="S207" i="4"/>
  <c r="BC207" i="4"/>
  <c r="AT194" i="4"/>
  <c r="AK239" i="4"/>
  <c r="AK127" i="4"/>
  <c r="AT410" i="4"/>
  <c r="AT420" i="4"/>
  <c r="AK313" i="4"/>
  <c r="AT389" i="4"/>
  <c r="AB447" i="4"/>
  <c r="AT313" i="4"/>
  <c r="S331" i="4"/>
  <c r="BC331" i="4"/>
  <c r="AT206" i="4"/>
  <c r="BC204" i="4"/>
  <c r="S204" i="4"/>
  <c r="AB520" i="4"/>
  <c r="AB318" i="4"/>
  <c r="AK251" i="4"/>
  <c r="AK257" i="4"/>
  <c r="AK589" i="4"/>
  <c r="AB93" i="4"/>
  <c r="AT199" i="4"/>
  <c r="F64" i="21"/>
  <c r="F94" i="21" s="1"/>
  <c r="R6" i="21"/>
  <c r="R16" i="21" s="1"/>
  <c r="AK7" i="4"/>
  <c r="R25" i="15"/>
  <c r="X25" i="15" s="1"/>
  <c r="F64" i="15"/>
  <c r="R25" i="21"/>
  <c r="R6" i="15"/>
  <c r="A139" i="4"/>
  <c r="A156" i="4"/>
  <c r="BC522" i="4"/>
  <c r="S522" i="4"/>
  <c r="AB494" i="4"/>
  <c r="BC62" i="4"/>
  <c r="S62" i="4"/>
  <c r="A171" i="4"/>
  <c r="AK371" i="4"/>
  <c r="S337" i="4"/>
  <c r="BC337" i="4"/>
  <c r="BC298" i="4"/>
  <c r="S298" i="4"/>
  <c r="AT33" i="4"/>
  <c r="S504" i="4"/>
  <c r="BC504" i="4"/>
  <c r="AB497" i="4"/>
  <c r="AB229" i="4"/>
  <c r="AB195" i="4"/>
  <c r="AT406" i="4"/>
  <c r="BC122" i="4"/>
  <c r="S122" i="4"/>
  <c r="S55" i="4"/>
  <c r="BC55" i="4"/>
  <c r="A152" i="4"/>
  <c r="BC167" i="4"/>
  <c r="S167" i="4"/>
  <c r="BC464" i="4"/>
  <c r="S464" i="4"/>
  <c r="AT529" i="4"/>
  <c r="AT78" i="4"/>
  <c r="AT242" i="4"/>
  <c r="AK220" i="4"/>
  <c r="BC315" i="4"/>
  <c r="S315" i="4"/>
  <c r="AK397" i="4"/>
  <c r="AK411" i="4"/>
  <c r="BC166" i="4"/>
  <c r="S166" i="4"/>
  <c r="S487" i="4"/>
  <c r="BC487" i="4"/>
  <c r="AK352" i="4"/>
  <c r="AT376" i="4"/>
  <c r="BC233" i="4"/>
  <c r="S233" i="4"/>
  <c r="AK516" i="4"/>
  <c r="S547" i="4"/>
  <c r="BC547" i="4"/>
  <c r="S467" i="4"/>
  <c r="BC467" i="4"/>
  <c r="AK389" i="4"/>
  <c r="AT398" i="4"/>
  <c r="BC496" i="4"/>
  <c r="S496" i="4"/>
  <c r="AK179" i="4"/>
  <c r="BC517" i="4"/>
  <c r="S517" i="4"/>
  <c r="AB501" i="4"/>
  <c r="AK184" i="4"/>
  <c r="AK126" i="4"/>
  <c r="AB562" i="4"/>
  <c r="BC362" i="4"/>
  <c r="S362" i="4"/>
  <c r="A42" i="4"/>
  <c r="BC499" i="4"/>
  <c r="S499" i="4"/>
  <c r="AK90" i="4"/>
  <c r="AK350" i="4"/>
  <c r="AK538" i="4"/>
  <c r="AB305" i="4"/>
  <c r="BC82" i="4"/>
  <c r="S82" i="4"/>
  <c r="AB328" i="4"/>
  <c r="AB387" i="4"/>
  <c r="AB155" i="4"/>
  <c r="AT90" i="4"/>
  <c r="AB367" i="4"/>
  <c r="A249" i="4"/>
  <c r="AK322" i="4"/>
  <c r="AB110" i="4"/>
  <c r="AB250" i="4"/>
  <c r="AB344" i="4"/>
  <c r="AT593" i="4"/>
  <c r="BC131" i="4"/>
  <c r="S131" i="4"/>
  <c r="AT220" i="4"/>
  <c r="AK409" i="4"/>
  <c r="AK547" i="4"/>
  <c r="BC335" i="4"/>
  <c r="S335" i="4"/>
  <c r="A69" i="4"/>
  <c r="A56" i="4"/>
  <c r="AB484" i="4"/>
  <c r="AB255" i="4"/>
  <c r="AB168" i="4"/>
  <c r="A87" i="4"/>
  <c r="AB107" i="4"/>
  <c r="BC273" i="4"/>
  <c r="S273" i="4"/>
  <c r="BC450" i="4"/>
  <c r="S450" i="4"/>
  <c r="S360" i="4"/>
  <c r="BC360" i="4"/>
  <c r="AT308" i="4"/>
  <c r="AB593" i="4"/>
  <c r="A177" i="4"/>
  <c r="S232" i="4"/>
  <c r="BC232" i="4"/>
  <c r="A153" i="4"/>
  <c r="AB560" i="4"/>
  <c r="BC236" i="4"/>
  <c r="S236" i="4"/>
  <c r="A21" i="4"/>
  <c r="AB244" i="4"/>
  <c r="AK79" i="4"/>
  <c r="S537" i="4"/>
  <c r="BC537" i="4"/>
  <c r="AK321" i="4"/>
  <c r="BC510" i="4"/>
  <c r="S510" i="4"/>
  <c r="BC354" i="4"/>
  <c r="S354" i="4"/>
  <c r="AB99" i="4"/>
  <c r="AK307" i="4"/>
  <c r="AB312" i="4"/>
  <c r="AT591" i="4"/>
  <c r="AK311" i="4"/>
  <c r="AK597" i="4"/>
  <c r="AK134" i="4"/>
  <c r="AB58" i="4"/>
  <c r="AT554" i="4"/>
  <c r="S385" i="4"/>
  <c r="BC385" i="4"/>
  <c r="AB121" i="4"/>
  <c r="AB38" i="4"/>
  <c r="AK328" i="4"/>
  <c r="BC40" i="4"/>
  <c r="S40" i="4"/>
  <c r="A119" i="4"/>
  <c r="AT352" i="4"/>
  <c r="AK593" i="4"/>
  <c r="AT257" i="4"/>
  <c r="AB113" i="4"/>
  <c r="AB289" i="4"/>
  <c r="AT459" i="4"/>
  <c r="AB390" i="4"/>
  <c r="AK33" i="4"/>
  <c r="AT546" i="4"/>
  <c r="AT344" i="4"/>
  <c r="AK467" i="4"/>
  <c r="AK382" i="4"/>
  <c r="AB572" i="4"/>
  <c r="S219" i="4"/>
  <c r="BC219" i="4"/>
  <c r="AT506" i="4"/>
  <c r="S330" i="4"/>
  <c r="BC330" i="4"/>
  <c r="AK566" i="4"/>
  <c r="AB61" i="4"/>
  <c r="AT30" i="4"/>
  <c r="AB97" i="4"/>
  <c r="AT542" i="4"/>
  <c r="AK331" i="4"/>
  <c r="AT189" i="4"/>
  <c r="A174" i="4"/>
  <c r="AK117" i="4"/>
  <c r="AK131" i="4"/>
  <c r="AK490" i="4"/>
  <c r="AT147" i="4"/>
  <c r="AT95" i="4"/>
  <c r="AK132" i="4"/>
  <c r="S279" i="4"/>
  <c r="BC279" i="4"/>
  <c r="AT215" i="4"/>
  <c r="AK268" i="4"/>
  <c r="AT375" i="4"/>
  <c r="S94" i="4"/>
  <c r="BC94" i="4"/>
  <c r="AT534" i="4"/>
  <c r="AT116" i="4"/>
  <c r="AB204" i="4"/>
  <c r="AT372" i="4"/>
  <c r="BC162" i="4"/>
  <c r="BF164" i="4" s="1"/>
  <c r="S162" i="4"/>
  <c r="AT330" i="4"/>
  <c r="BC156" i="4"/>
  <c r="S156" i="4"/>
  <c r="AK266" i="4"/>
  <c r="AB198" i="4"/>
  <c r="AB109" i="4"/>
  <c r="AT13" i="4"/>
  <c r="S44" i="4"/>
  <c r="BC44" i="4"/>
  <c r="BC146" i="4"/>
  <c r="S146" i="4"/>
  <c r="AK77" i="4"/>
  <c r="AT429" i="4"/>
  <c r="AT295" i="4"/>
  <c r="AT556" i="4"/>
  <c r="AK487" i="4"/>
  <c r="AK78" i="4"/>
  <c r="AB171" i="4"/>
  <c r="AB239" i="4"/>
  <c r="AT604" i="4"/>
  <c r="AK64" i="4"/>
  <c r="A192" i="4"/>
  <c r="BC490" i="4"/>
  <c r="S490" i="4"/>
  <c r="S234" i="4"/>
  <c r="BC234" i="4"/>
  <c r="AB247" i="4"/>
  <c r="AB516" i="4"/>
  <c r="AK145" i="4"/>
  <c r="AT258" i="4"/>
  <c r="AB105" i="4"/>
  <c r="AT561" i="4"/>
  <c r="BC54" i="4"/>
  <c r="S54" i="4"/>
  <c r="AK89" i="4"/>
  <c r="AK174" i="4"/>
  <c r="AK383" i="4"/>
  <c r="AT478" i="4"/>
  <c r="AT364" i="4"/>
  <c r="AB545" i="4"/>
  <c r="AB451" i="4"/>
  <c r="AT262" i="4"/>
  <c r="A18" i="4"/>
  <c r="AT79" i="4"/>
  <c r="A73" i="4"/>
  <c r="AT99" i="4"/>
  <c r="S574" i="4"/>
  <c r="BC574" i="4"/>
  <c r="S59" i="4"/>
  <c r="BC59" i="4"/>
  <c r="AB94" i="4"/>
  <c r="AT243" i="4"/>
  <c r="AT133" i="4"/>
  <c r="AT514" i="4"/>
  <c r="A41" i="4"/>
  <c r="BC543" i="4"/>
  <c r="S543" i="4"/>
  <c r="AB279" i="4"/>
  <c r="AB45" i="4"/>
  <c r="AT434" i="4"/>
  <c r="AB602" i="4"/>
  <c r="AK52" i="4"/>
  <c r="AB174" i="4"/>
  <c r="AK591" i="4"/>
  <c r="AT270" i="4"/>
  <c r="A98" i="4"/>
  <c r="AT264" i="4"/>
  <c r="AB434" i="4"/>
  <c r="BC564" i="4"/>
  <c r="S564" i="4"/>
  <c r="BC391" i="4"/>
  <c r="S391" i="4"/>
  <c r="AK488" i="4"/>
  <c r="AK188" i="4"/>
  <c r="AB348" i="4"/>
  <c r="AT268" i="4"/>
  <c r="AT43" i="4"/>
  <c r="AK129" i="4"/>
  <c r="S364" i="4"/>
  <c r="BC364" i="4"/>
  <c r="AK346" i="4"/>
  <c r="AK258" i="4"/>
  <c r="AT540" i="4"/>
  <c r="BC355" i="4"/>
  <c r="S355" i="4"/>
  <c r="AT440" i="4"/>
  <c r="AB571" i="4"/>
  <c r="S118" i="4"/>
  <c r="BC118" i="4"/>
  <c r="AB460" i="4"/>
  <c r="AK595" i="4"/>
  <c r="A230" i="4"/>
  <c r="AB459" i="4"/>
  <c r="AB570" i="4"/>
  <c r="BC116" i="4"/>
  <c r="S116" i="4"/>
  <c r="AB233" i="4"/>
  <c r="AB135" i="4"/>
  <c r="AT42" i="4"/>
  <c r="AT579" i="4"/>
  <c r="AK544" i="4"/>
  <c r="AB150" i="4"/>
  <c r="A46" i="4"/>
  <c r="AB33" i="4"/>
  <c r="AT587" i="4"/>
  <c r="AT254" i="4"/>
  <c r="AB77" i="4"/>
  <c r="AB363" i="4"/>
  <c r="S452" i="4"/>
  <c r="BC452" i="4"/>
  <c r="BC575" i="4"/>
  <c r="S575" i="4"/>
  <c r="AK38" i="4"/>
  <c r="AT573" i="4"/>
  <c r="AT444" i="4"/>
  <c r="AK232" i="4"/>
  <c r="AK374" i="4"/>
  <c r="AB359" i="4"/>
  <c r="AT269" i="4"/>
  <c r="AB185" i="4"/>
  <c r="A238" i="4"/>
  <c r="AT247" i="4"/>
  <c r="AB254" i="4"/>
  <c r="AB463" i="4"/>
  <c r="AK583" i="4"/>
  <c r="AK229" i="4"/>
  <c r="AK486" i="4"/>
  <c r="BC88" i="4"/>
  <c r="S88" i="4"/>
  <c r="AT21" i="4"/>
  <c r="AB598" i="4"/>
  <c r="AK354" i="4"/>
  <c r="AB383" i="4"/>
  <c r="AT244" i="4"/>
  <c r="BC97" i="4"/>
  <c r="S97" i="4"/>
  <c r="BC343" i="4"/>
  <c r="S343" i="4"/>
  <c r="AB577" i="4"/>
  <c r="AB568" i="4"/>
  <c r="AT505" i="4"/>
  <c r="AB361" i="4"/>
  <c r="AL35" i="15"/>
  <c r="AO94" i="15"/>
  <c r="K16" i="21"/>
  <c r="X41" i="15"/>
  <c r="Y94" i="21"/>
  <c r="AS78" i="21"/>
  <c r="X36" i="21"/>
  <c r="J46" i="15"/>
  <c r="K55" i="21"/>
  <c r="AP94" i="15"/>
  <c r="AE51" i="21"/>
  <c r="AL38" i="21"/>
  <c r="X14" i="15"/>
  <c r="Q69" i="21"/>
  <c r="J81" i="21"/>
  <c r="X28" i="21"/>
  <c r="Q48" i="15"/>
  <c r="J40" i="21"/>
  <c r="AE49" i="21"/>
  <c r="Q45" i="21"/>
  <c r="AE79" i="21"/>
  <c r="AL40" i="15"/>
  <c r="AE35" i="21"/>
  <c r="AS74" i="15"/>
  <c r="AL47" i="15"/>
  <c r="AE38" i="21"/>
  <c r="J38" i="21"/>
  <c r="AL26" i="15"/>
  <c r="AE92" i="15"/>
  <c r="AL81" i="21"/>
  <c r="Q29" i="21"/>
  <c r="AS89" i="15"/>
  <c r="X82" i="15"/>
  <c r="Q8" i="21"/>
  <c r="AL83" i="21"/>
  <c r="J70" i="21"/>
  <c r="AL31" i="15"/>
  <c r="X38" i="21"/>
  <c r="Q38" i="15"/>
  <c r="AL47" i="21"/>
  <c r="X83" i="21"/>
  <c r="AE27" i="15"/>
  <c r="J69" i="15"/>
  <c r="X27" i="15"/>
  <c r="AL49" i="21"/>
  <c r="AE42" i="21"/>
  <c r="J80" i="21"/>
  <c r="AL12" i="15"/>
  <c r="AL14" i="15"/>
  <c r="J73" i="15"/>
  <c r="X52" i="15"/>
  <c r="J83" i="15"/>
  <c r="Q39" i="21"/>
  <c r="AS65" i="15"/>
  <c r="AE50" i="21"/>
  <c r="X33" i="15"/>
  <c r="X69" i="21"/>
  <c r="W16" i="15"/>
  <c r="AL7" i="21"/>
  <c r="AE10" i="21"/>
  <c r="AL88" i="15"/>
  <c r="X49" i="21"/>
  <c r="AS69" i="21"/>
  <c r="AE67" i="15"/>
  <c r="Q84" i="15"/>
  <c r="AL48" i="21"/>
  <c r="AL76" i="21"/>
  <c r="X67" i="21"/>
  <c r="Q66" i="15"/>
  <c r="AE47" i="15"/>
  <c r="J52" i="21"/>
  <c r="X6" i="21"/>
  <c r="Q6" i="15"/>
  <c r="X81" i="21"/>
  <c r="AL72" i="21"/>
  <c r="AL72" i="15"/>
  <c r="J88" i="15"/>
  <c r="AL51" i="21"/>
  <c r="AL39" i="21"/>
  <c r="Q47" i="21"/>
  <c r="J73" i="21"/>
  <c r="Q25" i="21"/>
  <c r="X42" i="15"/>
  <c r="X47" i="21"/>
  <c r="AL40" i="21"/>
  <c r="X86" i="15"/>
  <c r="AS80" i="21"/>
  <c r="X13" i="15"/>
  <c r="J33" i="21"/>
  <c r="J87" i="15"/>
  <c r="J72" i="15"/>
  <c r="AL30" i="21"/>
  <c r="AE77" i="15"/>
  <c r="Q40" i="15"/>
  <c r="X79" i="21"/>
  <c r="AL50" i="15"/>
  <c r="J48" i="15"/>
  <c r="AL53" i="21"/>
  <c r="AS65" i="21"/>
  <c r="AE70" i="15"/>
  <c r="X54" i="21"/>
  <c r="Q53" i="15"/>
  <c r="AE36" i="21"/>
  <c r="Q80" i="15"/>
  <c r="Q46" i="21"/>
  <c r="Q91" i="21"/>
  <c r="X87" i="15"/>
  <c r="AL68" i="15"/>
  <c r="Q7" i="21"/>
  <c r="J68" i="15"/>
  <c r="Q73" i="15"/>
  <c r="Q80" i="21"/>
  <c r="J45" i="21"/>
  <c r="AL66" i="15"/>
  <c r="X45" i="15"/>
  <c r="AE47" i="21"/>
  <c r="X34" i="21"/>
  <c r="AS85" i="15"/>
  <c r="AS75" i="15"/>
  <c r="AL78" i="21"/>
  <c r="X46" i="15"/>
  <c r="J82" i="21"/>
  <c r="X40" i="15"/>
  <c r="X47" i="15"/>
  <c r="Q50" i="15"/>
  <c r="X80" i="21"/>
  <c r="AS67" i="15"/>
  <c r="AL77" i="21"/>
  <c r="AS82" i="21"/>
  <c r="AE51" i="15"/>
  <c r="J92" i="15"/>
  <c r="J67" i="15"/>
  <c r="U16" i="21"/>
  <c r="J79" i="15"/>
  <c r="AL90" i="15"/>
  <c r="AL82" i="15"/>
  <c r="AE10" i="15"/>
  <c r="AE75" i="21"/>
  <c r="AE31" i="15"/>
  <c r="AE29" i="21"/>
  <c r="Q38" i="21"/>
  <c r="AE69" i="21"/>
  <c r="J89" i="21"/>
  <c r="X42" i="21"/>
  <c r="AL84" i="21"/>
  <c r="AE36" i="15"/>
  <c r="Q35" i="21"/>
  <c r="Q79" i="15"/>
  <c r="D16" i="41"/>
  <c r="E16" i="41" s="1"/>
  <c r="AL25" i="21"/>
  <c r="AE25" i="15"/>
  <c r="Y55" i="15"/>
  <c r="AL10" i="21"/>
  <c r="X31" i="15"/>
  <c r="X80" i="15"/>
  <c r="Q74" i="15"/>
  <c r="AL79" i="21"/>
  <c r="X78" i="15"/>
  <c r="AE87" i="21"/>
  <c r="Q74" i="21"/>
  <c r="Q8" i="15"/>
  <c r="X69" i="15"/>
  <c r="AL11" i="15"/>
  <c r="W16" i="21"/>
  <c r="Q36" i="21"/>
  <c r="AE85" i="15"/>
  <c r="Q78" i="15"/>
  <c r="Q43" i="15"/>
  <c r="AL10" i="15"/>
  <c r="Q28" i="21"/>
  <c r="AE65" i="21"/>
  <c r="J45" i="15"/>
  <c r="AL49" i="15"/>
  <c r="J41" i="15"/>
  <c r="X91" i="15"/>
  <c r="AL68" i="21"/>
  <c r="X67" i="15"/>
  <c r="X50" i="15"/>
  <c r="AS83" i="21"/>
  <c r="X48" i="21"/>
  <c r="X45" i="21"/>
  <c r="AE67" i="21"/>
  <c r="AE30" i="15"/>
  <c r="X8" i="15"/>
  <c r="AS71" i="15"/>
  <c r="AL43" i="21"/>
  <c r="X73" i="21"/>
  <c r="AL27" i="15"/>
  <c r="AL39" i="15"/>
  <c r="AL29" i="21"/>
  <c r="J52" i="15"/>
  <c r="Q41" i="21"/>
  <c r="J15" i="15"/>
  <c r="X7" i="15"/>
  <c r="AE88" i="15"/>
  <c r="AS82" i="15"/>
  <c r="AE38" i="15"/>
  <c r="AE13" i="21"/>
  <c r="AS87" i="15"/>
  <c r="AE70" i="21"/>
  <c r="AL79" i="15"/>
  <c r="X35" i="15"/>
  <c r="AK16" i="15"/>
  <c r="AE45" i="21"/>
  <c r="AS90" i="15"/>
  <c r="AE26" i="15"/>
  <c r="J14" i="21"/>
  <c r="AE73" i="21"/>
  <c r="AS92" i="21"/>
  <c r="AE72" i="21"/>
  <c r="AS76" i="21"/>
  <c r="AE45" i="15"/>
  <c r="X39" i="15"/>
  <c r="J50" i="21"/>
  <c r="AL54" i="15"/>
  <c r="AL15" i="21"/>
  <c r="AE80" i="15"/>
  <c r="J30" i="15"/>
  <c r="Q45" i="15"/>
  <c r="D11" i="41"/>
  <c r="E11" i="41" s="1"/>
  <c r="Q6" i="21"/>
  <c r="BC39" i="4"/>
  <c r="AA587" i="12"/>
  <c r="AA591" i="12" s="1"/>
  <c r="AA592" i="12" s="1"/>
  <c r="C592" i="12" s="1"/>
  <c r="AB587" i="12"/>
  <c r="AB591" i="12" s="1"/>
  <c r="AB592" i="12" s="1"/>
  <c r="D592" i="12" s="1"/>
  <c r="AC587" i="12"/>
  <c r="AC591" i="12" s="1"/>
  <c r="AC592" i="12" s="1"/>
  <c r="E592" i="12" s="1"/>
  <c r="Z587" i="12"/>
  <c r="Z591" i="12" s="1"/>
  <c r="Z592" i="12" s="1"/>
  <c r="B592" i="12" s="1"/>
  <c r="AL29" i="4"/>
  <c r="T29" i="4"/>
  <c r="AC29" i="4"/>
  <c r="J86" i="15" l="1"/>
  <c r="J66" i="21"/>
  <c r="J80" i="15"/>
  <c r="AE15" i="15"/>
  <c r="AL11" i="21"/>
  <c r="AT83" i="15"/>
  <c r="AK55" i="21"/>
  <c r="K55" i="15"/>
  <c r="J28" i="15"/>
  <c r="AI55" i="15"/>
  <c r="D18" i="41"/>
  <c r="E18" i="41" s="1"/>
  <c r="D14" i="41"/>
  <c r="E14" i="41" s="1"/>
  <c r="D23" i="41"/>
  <c r="E23" i="41" s="1"/>
  <c r="Q43" i="21"/>
  <c r="AE65" i="15"/>
  <c r="X77" i="15"/>
  <c r="J85" i="15"/>
  <c r="J37" i="21"/>
  <c r="Q82" i="15"/>
  <c r="X53" i="15"/>
  <c r="AE92" i="21"/>
  <c r="AE7" i="21"/>
  <c r="Q26" i="15"/>
  <c r="AM47" i="21"/>
  <c r="X74" i="15"/>
  <c r="D94" i="15"/>
  <c r="AE74" i="15"/>
  <c r="AS79" i="21"/>
  <c r="D16" i="15"/>
  <c r="Q28" i="15"/>
  <c r="X14" i="21"/>
  <c r="J31" i="15"/>
  <c r="AM31" i="15" s="1"/>
  <c r="AL70" i="21"/>
  <c r="AS84" i="15"/>
  <c r="AL66" i="21"/>
  <c r="Q87" i="21"/>
  <c r="AL54" i="21"/>
  <c r="AE26" i="21"/>
  <c r="X73" i="15"/>
  <c r="X66" i="21"/>
  <c r="D22" i="41"/>
  <c r="E22" i="41" s="1"/>
  <c r="D55" i="21"/>
  <c r="J51" i="21"/>
  <c r="AM41" i="15"/>
  <c r="D94" i="21"/>
  <c r="I16" i="21"/>
  <c r="D5" i="41"/>
  <c r="E5" i="41" s="1"/>
  <c r="N55" i="21"/>
  <c r="AE8" i="15"/>
  <c r="AE66" i="15"/>
  <c r="D55" i="15"/>
  <c r="AE64" i="21"/>
  <c r="AE94" i="21" s="1"/>
  <c r="L9" i="41" s="1"/>
  <c r="L10" i="41" s="1"/>
  <c r="AT77" i="15"/>
  <c r="J13" i="15"/>
  <c r="Y16" i="21"/>
  <c r="R55" i="21"/>
  <c r="AL31" i="21"/>
  <c r="AL45" i="15"/>
  <c r="AM45" i="15" s="1"/>
  <c r="X70" i="21"/>
  <c r="AL35" i="21"/>
  <c r="F94" i="15"/>
  <c r="AE68" i="21"/>
  <c r="Q77" i="21"/>
  <c r="Q70" i="21"/>
  <c r="X36" i="15"/>
  <c r="G16" i="15"/>
  <c r="AE77" i="21"/>
  <c r="Q15" i="21"/>
  <c r="AL33" i="15"/>
  <c r="Q75" i="21"/>
  <c r="AE71" i="21"/>
  <c r="J85" i="21"/>
  <c r="AE84" i="15"/>
  <c r="AT84" i="15" s="1"/>
  <c r="AE52" i="15"/>
  <c r="AN94" i="15"/>
  <c r="J89" i="15"/>
  <c r="N16" i="15"/>
  <c r="J34" i="21"/>
  <c r="AM34" i="21" s="1"/>
  <c r="X48" i="15"/>
  <c r="AM48" i="15" s="1"/>
  <c r="Q85" i="21"/>
  <c r="AE89" i="15"/>
  <c r="J14" i="15"/>
  <c r="AM14" i="15" s="1"/>
  <c r="AL86" i="21"/>
  <c r="J48" i="21"/>
  <c r="Q82" i="21"/>
  <c r="AT82" i="21" s="1"/>
  <c r="Q46" i="15"/>
  <c r="AS84" i="21"/>
  <c r="AO94" i="21"/>
  <c r="AS76" i="15"/>
  <c r="X78" i="21"/>
  <c r="X76" i="21"/>
  <c r="AL87" i="15"/>
  <c r="J35" i="21"/>
  <c r="W55" i="15"/>
  <c r="AF55" i="15"/>
  <c r="AL69" i="15"/>
  <c r="G55" i="21"/>
  <c r="AS66" i="15"/>
  <c r="X44" i="21"/>
  <c r="AL30" i="15"/>
  <c r="AM30" i="15" s="1"/>
  <c r="AL67" i="21"/>
  <c r="X68" i="15"/>
  <c r="J46" i="21"/>
  <c r="AE79" i="15"/>
  <c r="AS66" i="21"/>
  <c r="X49" i="15"/>
  <c r="Q44" i="15"/>
  <c r="AE78" i="15"/>
  <c r="AM94" i="15"/>
  <c r="AS64" i="15"/>
  <c r="J91" i="15"/>
  <c r="AL89" i="21"/>
  <c r="AE8" i="21"/>
  <c r="X41" i="21"/>
  <c r="Q27" i="21"/>
  <c r="AE73" i="15"/>
  <c r="AL74" i="21"/>
  <c r="Q92" i="21"/>
  <c r="AE66" i="21"/>
  <c r="AD55" i="21"/>
  <c r="AI16" i="15"/>
  <c r="Q29" i="15"/>
  <c r="Q54" i="15"/>
  <c r="Q76" i="21"/>
  <c r="AL65" i="15"/>
  <c r="AT65" i="15" s="1"/>
  <c r="X88" i="15"/>
  <c r="X8" i="21"/>
  <c r="AD55" i="15"/>
  <c r="AL13" i="15"/>
  <c r="AL53" i="15"/>
  <c r="J35" i="15"/>
  <c r="AL36" i="21"/>
  <c r="AM36" i="21" s="1"/>
  <c r="AS72" i="15"/>
  <c r="X11" i="21"/>
  <c r="AE89" i="21"/>
  <c r="AL41" i="21"/>
  <c r="AP94" i="21"/>
  <c r="Q81" i="15"/>
  <c r="AE80" i="21"/>
  <c r="AT80" i="21" s="1"/>
  <c r="AE42" i="15"/>
  <c r="AL75" i="21"/>
  <c r="AE52" i="21"/>
  <c r="AS68" i="15"/>
  <c r="AL69" i="21"/>
  <c r="AT69" i="21" s="1"/>
  <c r="J50" i="15"/>
  <c r="J8" i="15"/>
  <c r="AM8" i="15" s="1"/>
  <c r="J91" i="21"/>
  <c r="Q42" i="21"/>
  <c r="Q92" i="15"/>
  <c r="D16" i="21"/>
  <c r="J6" i="21"/>
  <c r="AL6" i="15"/>
  <c r="AF16" i="15"/>
  <c r="H94" i="21"/>
  <c r="AN94" i="21"/>
  <c r="AL74" i="15"/>
  <c r="AL43" i="15"/>
  <c r="X25" i="21"/>
  <c r="W55" i="21"/>
  <c r="AE54" i="15"/>
  <c r="AI55" i="21"/>
  <c r="AS91" i="21"/>
  <c r="AL90" i="21"/>
  <c r="J42" i="21"/>
  <c r="AM42" i="21" s="1"/>
  <c r="J43" i="21"/>
  <c r="AE41" i="21"/>
  <c r="AL36" i="15"/>
  <c r="Q14" i="15"/>
  <c r="U55" i="21"/>
  <c r="J15" i="21"/>
  <c r="AE12" i="15"/>
  <c r="AM12" i="15" s="1"/>
  <c r="J39" i="15"/>
  <c r="AM39" i="15" s="1"/>
  <c r="AL89" i="15"/>
  <c r="X85" i="15"/>
  <c r="AT85" i="15" s="1"/>
  <c r="X29" i="21"/>
  <c r="J44" i="15"/>
  <c r="X81" i="15"/>
  <c r="Q27" i="15"/>
  <c r="Q30" i="21"/>
  <c r="I55" i="15"/>
  <c r="X37" i="21"/>
  <c r="AM37" i="21" s="1"/>
  <c r="AM94" i="21"/>
  <c r="AE69" i="15"/>
  <c r="X72" i="21"/>
  <c r="AT72" i="21" s="1"/>
  <c r="J65" i="21"/>
  <c r="AE50" i="15"/>
  <c r="Q89" i="15"/>
  <c r="J90" i="15"/>
  <c r="Q11" i="21"/>
  <c r="AS80" i="15"/>
  <c r="AT80" i="15" s="1"/>
  <c r="AE46" i="15"/>
  <c r="Q93" i="21"/>
  <c r="X89" i="21"/>
  <c r="J93" i="15"/>
  <c r="Q90" i="15"/>
  <c r="Q13" i="15"/>
  <c r="AL93" i="15"/>
  <c r="X85" i="21"/>
  <c r="AT85" i="21" s="1"/>
  <c r="I16" i="15"/>
  <c r="AE54" i="21"/>
  <c r="AC94" i="21"/>
  <c r="U16" i="15"/>
  <c r="X75" i="15"/>
  <c r="Q87" i="15"/>
  <c r="J82" i="15"/>
  <c r="Q66" i="21"/>
  <c r="AT66" i="21" s="1"/>
  <c r="J25" i="21"/>
  <c r="D13" i="41"/>
  <c r="E13" i="41" s="1"/>
  <c r="Q25" i="15"/>
  <c r="D9" i="41"/>
  <c r="E9" i="41" s="1"/>
  <c r="Y16" i="15"/>
  <c r="D4" i="41"/>
  <c r="E4" i="41" s="1"/>
  <c r="AS91" i="15"/>
  <c r="AT91" i="15" s="1"/>
  <c r="R55" i="15"/>
  <c r="AI16" i="21"/>
  <c r="AC94" i="15"/>
  <c r="Q67" i="21"/>
  <c r="AT67" i="21" s="1"/>
  <c r="J27" i="21"/>
  <c r="X64" i="21"/>
  <c r="X7" i="21"/>
  <c r="AM7" i="21" s="1"/>
  <c r="J43" i="15"/>
  <c r="AL50" i="21"/>
  <c r="AM50" i="21" s="1"/>
  <c r="AF16" i="21"/>
  <c r="X15" i="21"/>
  <c r="AB94" i="15"/>
  <c r="X91" i="21"/>
  <c r="Q10" i="21"/>
  <c r="AM10" i="21" s="1"/>
  <c r="X11" i="15"/>
  <c r="J90" i="21"/>
  <c r="J70" i="15"/>
  <c r="AT70" i="15" s="1"/>
  <c r="AE71" i="15"/>
  <c r="AE48" i="21"/>
  <c r="J47" i="15"/>
  <c r="AE29" i="15"/>
  <c r="Q68" i="15"/>
  <c r="AE88" i="21"/>
  <c r="AL34" i="15"/>
  <c r="AL46" i="15"/>
  <c r="AL14" i="21"/>
  <c r="AE44" i="15"/>
  <c r="Q69" i="15"/>
  <c r="AT69" i="15" s="1"/>
  <c r="AE11" i="21"/>
  <c r="X43" i="21"/>
  <c r="AE27" i="21"/>
  <c r="AB55" i="21"/>
  <c r="AL15" i="15"/>
  <c r="J37" i="15"/>
  <c r="AM37" i="15" s="1"/>
  <c r="AA94" i="21"/>
  <c r="AE87" i="15"/>
  <c r="Q33" i="15"/>
  <c r="AM33" i="15" s="1"/>
  <c r="J71" i="15"/>
  <c r="AS72" i="21"/>
  <c r="AE40" i="15"/>
  <c r="X26" i="15"/>
  <c r="AL8" i="21"/>
  <c r="Q72" i="15"/>
  <c r="AT72" i="15" s="1"/>
  <c r="J51" i="15"/>
  <c r="AM51" i="15" s="1"/>
  <c r="X29" i="15"/>
  <c r="AS93" i="15"/>
  <c r="AS90" i="21"/>
  <c r="Q14" i="21"/>
  <c r="AM14" i="21" s="1"/>
  <c r="AL12" i="21"/>
  <c r="Q10" i="15"/>
  <c r="AM10" i="15" s="1"/>
  <c r="G16" i="21"/>
  <c r="Q52" i="21"/>
  <c r="Q13" i="21"/>
  <c r="AM13" i="21" s="1"/>
  <c r="J54" i="15"/>
  <c r="J27" i="15"/>
  <c r="Q65" i="21"/>
  <c r="AL7" i="15"/>
  <c r="AM7" i="15" s="1"/>
  <c r="AL70" i="15"/>
  <c r="AL46" i="21"/>
  <c r="X54" i="15"/>
  <c r="X88" i="21"/>
  <c r="AT88" i="21" s="1"/>
  <c r="AL93" i="21"/>
  <c r="AS88" i="21"/>
  <c r="P55" i="15"/>
  <c r="Q64" i="15"/>
  <c r="AL82" i="21"/>
  <c r="AK16" i="21"/>
  <c r="AE81" i="21"/>
  <c r="AT81" i="21" s="1"/>
  <c r="J78" i="21"/>
  <c r="AE78" i="21"/>
  <c r="AE82" i="15"/>
  <c r="AT82" i="15" s="1"/>
  <c r="J78" i="15"/>
  <c r="AT78" i="15" s="1"/>
  <c r="AE68" i="15"/>
  <c r="J12" i="21"/>
  <c r="X39" i="21"/>
  <c r="Y94" i="15"/>
  <c r="AD16" i="15"/>
  <c r="P16" i="21"/>
  <c r="AK55" i="15"/>
  <c r="J34" i="15"/>
  <c r="AM34" i="15" s="1"/>
  <c r="J64" i="15"/>
  <c r="AT64" i="15" s="1"/>
  <c r="J64" i="21"/>
  <c r="H94" i="15"/>
  <c r="K16" i="15"/>
  <c r="Y55" i="21"/>
  <c r="AE25" i="21"/>
  <c r="G94" i="21"/>
  <c r="AE28" i="21"/>
  <c r="I55" i="21"/>
  <c r="J54" i="21"/>
  <c r="E94" i="21"/>
  <c r="AF55" i="21"/>
  <c r="AM48" i="21"/>
  <c r="R16" i="15"/>
  <c r="X6" i="15"/>
  <c r="AS67" i="21"/>
  <c r="J74" i="21"/>
  <c r="N16" i="21"/>
  <c r="AL52" i="21"/>
  <c r="Q42" i="15"/>
  <c r="Q90" i="21"/>
  <c r="G94" i="15"/>
  <c r="AL92" i="21"/>
  <c r="AL26" i="21"/>
  <c r="AQ94" i="21"/>
  <c r="AE6" i="15"/>
  <c r="AB16" i="15"/>
  <c r="J28" i="21"/>
  <c r="Q15" i="15"/>
  <c r="J40" i="15"/>
  <c r="J75" i="21"/>
  <c r="AT75" i="21" s="1"/>
  <c r="Q53" i="21"/>
  <c r="AS93" i="21"/>
  <c r="X68" i="21"/>
  <c r="AT68" i="21" s="1"/>
  <c r="AE90" i="15"/>
  <c r="P55" i="21"/>
  <c r="Q83" i="21"/>
  <c r="AT83" i="21" s="1"/>
  <c r="AB55" i="15"/>
  <c r="AQ94" i="15"/>
  <c r="Q11" i="15"/>
  <c r="AE30" i="21"/>
  <c r="AS73" i="21"/>
  <c r="AE33" i="21"/>
  <c r="AM33" i="21" s="1"/>
  <c r="Q34" i="21"/>
  <c r="J31" i="21"/>
  <c r="N55" i="15"/>
  <c r="X43" i="15"/>
  <c r="AM43" i="15" s="1"/>
  <c r="AL84" i="15"/>
  <c r="Q51" i="21"/>
  <c r="AE75" i="15"/>
  <c r="AL28" i="15"/>
  <c r="AM28" i="15" s="1"/>
  <c r="AL44" i="15"/>
  <c r="Q73" i="21"/>
  <c r="AE86" i="15"/>
  <c r="X31" i="21"/>
  <c r="X87" i="21"/>
  <c r="J26" i="15"/>
  <c r="Q36" i="15"/>
  <c r="J86" i="21"/>
  <c r="AT86" i="21" s="1"/>
  <c r="Q75" i="15"/>
  <c r="X70" i="15"/>
  <c r="AS92" i="15"/>
  <c r="X35" i="21"/>
  <c r="X12" i="21"/>
  <c r="X30" i="21"/>
  <c r="Q47" i="15"/>
  <c r="AM47" i="15" s="1"/>
  <c r="Q26" i="21"/>
  <c r="AM26" i="21" s="1"/>
  <c r="J84" i="21"/>
  <c r="X51" i="21"/>
  <c r="AL64" i="15"/>
  <c r="AE93" i="15"/>
  <c r="X66" i="15"/>
  <c r="X52" i="21"/>
  <c r="AL65" i="21"/>
  <c r="J74" i="15"/>
  <c r="AT74" i="15" s="1"/>
  <c r="J76" i="15"/>
  <c r="AL87" i="21"/>
  <c r="AT87" i="21" s="1"/>
  <c r="AE11" i="15"/>
  <c r="AM11" i="15" s="1"/>
  <c r="J66" i="15"/>
  <c r="AT66" i="15" s="1"/>
  <c r="Q54" i="21"/>
  <c r="AL44" i="21"/>
  <c r="AS88" i="15"/>
  <c r="AT88" i="15" s="1"/>
  <c r="Q93" i="15"/>
  <c r="J53" i="15"/>
  <c r="X38" i="15"/>
  <c r="AM38" i="15" s="1"/>
  <c r="X64" i="15"/>
  <c r="X92" i="15"/>
  <c r="AT92" i="15" s="1"/>
  <c r="AL34" i="21"/>
  <c r="Q86" i="15"/>
  <c r="AS71" i="21"/>
  <c r="AS81" i="15"/>
  <c r="J49" i="15"/>
  <c r="AS74" i="21"/>
  <c r="X93" i="21"/>
  <c r="Q76" i="15"/>
  <c r="J87" i="21"/>
  <c r="D21" i="41"/>
  <c r="E21" i="41" s="1"/>
  <c r="J6" i="15"/>
  <c r="J25" i="15"/>
  <c r="AM25" i="15" s="1"/>
  <c r="AL6" i="21"/>
  <c r="E94" i="15"/>
  <c r="AM15" i="21"/>
  <c r="AS94" i="15"/>
  <c r="AM53" i="21"/>
  <c r="AM35" i="15"/>
  <c r="AM52" i="15"/>
  <c r="AM50" i="15"/>
  <c r="AM40" i="15"/>
  <c r="AM27" i="15"/>
  <c r="AM40" i="21"/>
  <c r="AT79" i="15"/>
  <c r="AT67" i="15"/>
  <c r="AM45" i="21"/>
  <c r="AT79" i="21"/>
  <c r="AM36" i="15"/>
  <c r="AT73" i="15"/>
  <c r="AM38" i="21"/>
  <c r="A67" i="21"/>
  <c r="A68" i="21" s="1"/>
  <c r="AM49" i="21"/>
  <c r="AM39" i="21"/>
  <c r="AM29" i="21"/>
  <c r="AM8" i="21"/>
  <c r="AT29" i="4"/>
  <c r="AK29" i="4"/>
  <c r="AB29" i="4"/>
  <c r="AR592" i="12"/>
  <c r="T180" i="12"/>
  <c r="T181" i="12" s="1"/>
  <c r="T203" i="12" s="1"/>
  <c r="T205" i="12" s="1"/>
  <c r="B205" i="12" s="1"/>
  <c r="K29" i="4"/>
  <c r="AT86" i="15" l="1"/>
  <c r="AT73" i="21"/>
  <c r="AM31" i="21"/>
  <c r="AT93" i="21"/>
  <c r="AM26" i="15"/>
  <c r="AM15" i="15"/>
  <c r="AT74" i="21"/>
  <c r="AT87" i="15"/>
  <c r="AT90" i="15"/>
  <c r="AM49" i="15"/>
  <c r="AM53" i="15"/>
  <c r="AM28" i="21"/>
  <c r="AM42" i="15"/>
  <c r="AM54" i="21"/>
  <c r="AM12" i="21"/>
  <c r="AM54" i="15"/>
  <c r="AM43" i="21"/>
  <c r="AT68" i="15"/>
  <c r="AE94" i="15"/>
  <c r="AM30" i="21"/>
  <c r="AM6" i="21"/>
  <c r="AT91" i="21"/>
  <c r="AT89" i="21"/>
  <c r="AM46" i="21"/>
  <c r="AT70" i="21"/>
  <c r="AT81" i="15"/>
  <c r="AM11" i="21"/>
  <c r="AM29" i="15"/>
  <c r="AT92" i="21"/>
  <c r="AM41" i="21"/>
  <c r="AT65" i="21"/>
  <c r="AM52" i="21"/>
  <c r="AT90" i="21"/>
  <c r="AS94" i="21"/>
  <c r="J94" i="21"/>
  <c r="AT64" i="21"/>
  <c r="AT93" i="15"/>
  <c r="AM35" i="21"/>
  <c r="J94" i="15"/>
  <c r="AT76" i="15"/>
  <c r="AT84" i="21"/>
  <c r="AT75" i="15"/>
  <c r="AM44" i="15"/>
  <c r="AT78" i="21"/>
  <c r="AM27" i="21"/>
  <c r="AT76" i="21"/>
  <c r="AT89" i="15"/>
  <c r="AM51" i="21"/>
  <c r="AM44" i="21"/>
  <c r="AT77" i="21"/>
  <c r="AM6" i="15"/>
  <c r="AM25" i="21"/>
  <c r="AM46" i="15"/>
  <c r="AM13" i="15"/>
  <c r="S29" i="4"/>
  <c r="BC29" i="4"/>
  <c r="X180" i="12"/>
  <c r="X181" i="12" s="1"/>
  <c r="X203" i="12" s="1"/>
  <c r="X205" i="12" s="1"/>
  <c r="F205" i="12" s="1"/>
  <c r="AU19" i="4"/>
  <c r="K19" i="4"/>
  <c r="S19" i="4" l="1"/>
  <c r="W180" i="12"/>
  <c r="W181" i="12" s="1"/>
  <c r="W203" i="12" s="1"/>
  <c r="W205" i="12" s="1"/>
  <c r="AR205" i="12" l="1"/>
  <c r="E205" i="12"/>
  <c r="AL19" i="4"/>
  <c r="BC19" i="4" l="1"/>
  <c r="AT19" i="4"/>
  <c r="P398" i="12"/>
  <c r="Z398" i="12" s="1"/>
  <c r="Z402" i="12" s="1"/>
  <c r="Z403" i="12" s="1"/>
  <c r="B403" i="12" s="1"/>
  <c r="AA398" i="12" l="1"/>
  <c r="AA402" i="12" s="1"/>
  <c r="AA403" i="12" s="1"/>
  <c r="C403" i="12" s="1"/>
  <c r="AB398" i="12"/>
  <c r="AB402" i="12" s="1"/>
  <c r="AB403" i="12" s="1"/>
  <c r="D403" i="12" s="1"/>
  <c r="AC398" i="12"/>
  <c r="AC402" i="12" s="1"/>
  <c r="AC403" i="12" s="1"/>
  <c r="E403" i="12" s="1"/>
  <c r="AD398" i="12"/>
  <c r="AD402" i="12" s="1"/>
  <c r="AD403" i="12" s="1"/>
  <c r="F403" i="12" s="1"/>
  <c r="X118" i="12"/>
  <c r="X119" i="12" s="1"/>
  <c r="X141" i="12" s="1"/>
  <c r="X143" i="12" s="1"/>
  <c r="F143" i="12" s="1"/>
  <c r="T24" i="4"/>
  <c r="AU17" i="4"/>
  <c r="AU24" i="4"/>
  <c r="AC24" i="4"/>
  <c r="K24" i="4"/>
  <c r="AL24" i="4"/>
  <c r="V71" i="21" l="1"/>
  <c r="V94" i="21" s="1"/>
  <c r="AH32" i="15"/>
  <c r="AH55" i="15" s="1"/>
  <c r="AH32" i="21"/>
  <c r="AH55" i="21" s="1"/>
  <c r="AH9" i="15"/>
  <c r="AH16" i="15" s="1"/>
  <c r="AH9" i="21"/>
  <c r="AH16" i="21" s="1"/>
  <c r="V71" i="15"/>
  <c r="V94" i="15" s="1"/>
  <c r="AT24" i="4"/>
  <c r="AK24" i="4"/>
  <c r="AB24" i="4"/>
  <c r="O71" i="21"/>
  <c r="O94" i="21" s="1"/>
  <c r="AG9" i="21"/>
  <c r="AG16" i="21" s="1"/>
  <c r="AG32" i="15"/>
  <c r="O71" i="15"/>
  <c r="O94" i="15" s="1"/>
  <c r="AG9" i="15"/>
  <c r="AG32" i="21"/>
  <c r="S24" i="4"/>
  <c r="BC24" i="4"/>
  <c r="AR404" i="12"/>
  <c r="W118" i="12"/>
  <c r="W119" i="12" s="1"/>
  <c r="W141" i="12" s="1"/>
  <c r="W143" i="12" s="1"/>
  <c r="E143" i="12" s="1"/>
  <c r="AL17" i="4"/>
  <c r="Z32" i="15" l="1"/>
  <c r="Z55" i="15" s="1"/>
  <c r="N71" i="15"/>
  <c r="N94" i="15" s="1"/>
  <c r="Z9" i="15"/>
  <c r="Z16" i="15" s="1"/>
  <c r="Z32" i="21"/>
  <c r="Z55" i="21" s="1"/>
  <c r="Z9" i="21"/>
  <c r="Z16" i="21" s="1"/>
  <c r="N71" i="21"/>
  <c r="N94" i="21" s="1"/>
  <c r="AT17" i="4"/>
  <c r="AA32" i="21"/>
  <c r="AA55" i="21" s="1"/>
  <c r="AA9" i="21"/>
  <c r="AA16" i="21" s="1"/>
  <c r="AA9" i="15"/>
  <c r="AA16" i="15" s="1"/>
  <c r="AA32" i="15"/>
  <c r="AA55" i="15" s="1"/>
  <c r="U71" i="21"/>
  <c r="U94" i="21" s="1"/>
  <c r="U71" i="15"/>
  <c r="U94" i="15" s="1"/>
  <c r="AG55" i="15"/>
  <c r="AG55" i="21"/>
  <c r="AG16" i="15"/>
  <c r="V118" i="12"/>
  <c r="V119" i="12" s="1"/>
  <c r="V141" i="12" s="1"/>
  <c r="V143" i="12" s="1"/>
  <c r="D143" i="12" s="1"/>
  <c r="AC17" i="4"/>
  <c r="S32" i="21" l="1"/>
  <c r="S55" i="21" s="1"/>
  <c r="S32" i="15"/>
  <c r="S55" i="15" s="1"/>
  <c r="M71" i="15"/>
  <c r="M94" i="15" s="1"/>
  <c r="S9" i="21"/>
  <c r="S16" i="21" s="1"/>
  <c r="M71" i="21"/>
  <c r="M94" i="21" s="1"/>
  <c r="S9" i="15"/>
  <c r="S16" i="15" s="1"/>
  <c r="AK17" i="4"/>
  <c r="T9" i="21"/>
  <c r="T16" i="21" s="1"/>
  <c r="T71" i="21"/>
  <c r="T94" i="21" s="1"/>
  <c r="T71" i="15"/>
  <c r="T94" i="15" s="1"/>
  <c r="T32" i="21"/>
  <c r="T32" i="15"/>
  <c r="T9" i="15"/>
  <c r="U118" i="12"/>
  <c r="U119" i="12" s="1"/>
  <c r="U141" i="12" s="1"/>
  <c r="U143" i="12" s="1"/>
  <c r="C143" i="12" s="1"/>
  <c r="T17" i="4"/>
  <c r="L32" i="21" l="1"/>
  <c r="L55" i="21" s="1"/>
  <c r="L71" i="15"/>
  <c r="L94" i="15" s="1"/>
  <c r="L71" i="21"/>
  <c r="L94" i="21" s="1"/>
  <c r="L9" i="21"/>
  <c r="L16" i="21" s="1"/>
  <c r="L32" i="15"/>
  <c r="L55" i="15" s="1"/>
  <c r="L9" i="15"/>
  <c r="L16" i="15" s="1"/>
  <c r="AB17" i="4"/>
  <c r="S71" i="21"/>
  <c r="S94" i="21" s="1"/>
  <c r="M32" i="15"/>
  <c r="S71" i="15"/>
  <c r="S94" i="15" s="1"/>
  <c r="M32" i="21"/>
  <c r="M9" i="21"/>
  <c r="M16" i="21" s="1"/>
  <c r="M9" i="15"/>
  <c r="T16" i="15"/>
  <c r="T55" i="15"/>
  <c r="T55" i="21"/>
  <c r="T118" i="12"/>
  <c r="T119" i="12" s="1"/>
  <c r="T141" i="12" s="1"/>
  <c r="T143" i="12" s="1"/>
  <c r="B143" i="12" s="1"/>
  <c r="AR143" i="12" l="1"/>
  <c r="M16" i="15"/>
  <c r="M55" i="15"/>
  <c r="M55" i="21"/>
  <c r="K17" i="4"/>
  <c r="E9" i="21" l="1"/>
  <c r="E16" i="21" s="1"/>
  <c r="K71" i="21"/>
  <c r="E32" i="15"/>
  <c r="E55" i="15" s="1"/>
  <c r="E32" i="21"/>
  <c r="E55" i="21" s="1"/>
  <c r="K71" i="15"/>
  <c r="E9" i="15"/>
  <c r="E16" i="15" s="1"/>
  <c r="F9" i="21"/>
  <c r="F16" i="21" s="1"/>
  <c r="F32" i="15"/>
  <c r="F9" i="15"/>
  <c r="M17" i="4"/>
  <c r="S17" i="4" s="1"/>
  <c r="F32" i="21"/>
  <c r="BC17" i="4"/>
  <c r="R71" i="21"/>
  <c r="R71" i="15"/>
  <c r="K94" i="21" l="1"/>
  <c r="Q71" i="21"/>
  <c r="Q94" i="21" s="1"/>
  <c r="K94" i="15"/>
  <c r="Q71" i="15"/>
  <c r="Q94" i="15" s="1"/>
  <c r="F55" i="21"/>
  <c r="F16" i="15"/>
  <c r="R94" i="15"/>
  <c r="X71" i="15"/>
  <c r="F55" i="15"/>
  <c r="R94" i="21"/>
  <c r="X71" i="21"/>
  <c r="X94" i="21" l="1"/>
  <c r="X94" i="15"/>
  <c r="P706" i="12"/>
  <c r="AD706" i="12" s="1"/>
  <c r="P704" i="12"/>
  <c r="P705" i="12"/>
  <c r="Z705" i="12" s="1"/>
  <c r="AB704" i="12" l="1"/>
  <c r="Z704" i="12"/>
  <c r="AB706" i="12"/>
  <c r="AD705" i="12"/>
  <c r="AB705" i="12"/>
  <c r="Z706" i="12"/>
  <c r="AC705" i="12"/>
  <c r="AA704" i="12"/>
  <c r="AC704" i="12"/>
  <c r="AC706" i="12"/>
  <c r="AA705" i="12"/>
  <c r="AD704" i="12"/>
  <c r="AA706" i="12"/>
  <c r="P703" i="12"/>
  <c r="AD703" i="12" l="1"/>
  <c r="AD707" i="12" s="1"/>
  <c r="AD708" i="12" s="1"/>
  <c r="F708" i="12" s="1"/>
  <c r="Z703" i="12"/>
  <c r="Z707" i="12" s="1"/>
  <c r="Z708" i="12" s="1"/>
  <c r="B708" i="12" s="1"/>
  <c r="AA703" i="12"/>
  <c r="AA707" i="12" s="1"/>
  <c r="AA708" i="12" s="1"/>
  <c r="C708" i="12" s="1"/>
  <c r="AC703" i="12"/>
  <c r="AC707" i="12" s="1"/>
  <c r="AC708" i="12" s="1"/>
  <c r="E708" i="12" s="1"/>
  <c r="AB703" i="12"/>
  <c r="AB707" i="12" s="1"/>
  <c r="AB708" i="12" s="1"/>
  <c r="D708" i="12" s="1"/>
  <c r="AC32" i="4"/>
  <c r="AU32" i="4"/>
  <c r="T32" i="4"/>
  <c r="AL32" i="4"/>
  <c r="AK32" i="4" l="1"/>
  <c r="AT32" i="4"/>
  <c r="AB32" i="4"/>
  <c r="AR708" i="12"/>
  <c r="K32" i="4"/>
  <c r="BC32" i="4" l="1"/>
  <c r="S32" i="4"/>
  <c r="X284" i="12"/>
  <c r="X285" i="12" s="1"/>
  <c r="X307" i="12" s="1"/>
  <c r="X309" i="12" s="1"/>
  <c r="F309" i="12" s="1"/>
  <c r="AU22" i="4"/>
  <c r="AU1" i="4" l="1"/>
  <c r="AJ71" i="21"/>
  <c r="AJ94" i="21" s="1"/>
  <c r="H107" i="21" s="1"/>
  <c r="AJ32" i="15"/>
  <c r="AJ9" i="15"/>
  <c r="AJ71" i="15"/>
  <c r="AJ94" i="15" s="1"/>
  <c r="H104" i="15" s="1"/>
  <c r="AJ32" i="21"/>
  <c r="AJ9" i="21"/>
  <c r="AJ16" i="21" s="1"/>
  <c r="W284" i="12"/>
  <c r="W285" i="12" s="1"/>
  <c r="W307" i="12" s="1"/>
  <c r="W309" i="12" s="1"/>
  <c r="E309" i="12" s="1"/>
  <c r="AL22" i="4"/>
  <c r="AJ55" i="21" l="1"/>
  <c r="AL55" i="21" s="1"/>
  <c r="AL32" i="21"/>
  <c r="AL9" i="21"/>
  <c r="AL16" i="21" s="1"/>
  <c r="AC9" i="15"/>
  <c r="AI71" i="21"/>
  <c r="AI94" i="21" s="1"/>
  <c r="G107" i="21" s="1"/>
  <c r="AT22" i="4"/>
  <c r="AL1" i="4"/>
  <c r="AC32" i="15"/>
  <c r="AC32" i="21"/>
  <c r="AI71" i="15"/>
  <c r="AI94" i="15" s="1"/>
  <c r="G104" i="15" s="1"/>
  <c r="AJ16" i="15"/>
  <c r="AL9" i="15"/>
  <c r="AL16" i="15" s="1"/>
  <c r="AJ55" i="15"/>
  <c r="AL32" i="15"/>
  <c r="AL55" i="15" s="1"/>
  <c r="AC9" i="21"/>
  <c r="AC16" i="21" s="1"/>
  <c r="AC55" i="21" l="1"/>
  <c r="AE55" i="21" s="1"/>
  <c r="AE32" i="21"/>
  <c r="AE9" i="21"/>
  <c r="AE16" i="21" s="1"/>
  <c r="AE32" i="15"/>
  <c r="AE55" i="15" s="1"/>
  <c r="AC55" i="15"/>
  <c r="AE9" i="15"/>
  <c r="AE16" i="15" s="1"/>
  <c r="AC16" i="15"/>
  <c r="V284" i="12"/>
  <c r="V285" i="12" s="1"/>
  <c r="V307" i="12" s="1"/>
  <c r="V309" i="12" s="1"/>
  <c r="D309" i="12" s="1"/>
  <c r="AC22" i="4"/>
  <c r="AK22" i="4" l="1"/>
  <c r="AC1" i="4"/>
  <c r="V9" i="15"/>
  <c r="V32" i="15"/>
  <c r="AH71" i="21"/>
  <c r="AH94" i="21" s="1"/>
  <c r="F107" i="21" s="1"/>
  <c r="F112" i="21" s="1"/>
  <c r="AH71" i="15"/>
  <c r="AH94" i="15" s="1"/>
  <c r="F104" i="15" s="1"/>
  <c r="V32" i="21"/>
  <c r="V9" i="21"/>
  <c r="V16" i="21" s="1"/>
  <c r="U284" i="12"/>
  <c r="U285" i="12"/>
  <c r="U307" i="12" s="1"/>
  <c r="U309" i="12" s="1"/>
  <c r="C309" i="12" s="1"/>
  <c r="T22" i="4"/>
  <c r="V55" i="21" l="1"/>
  <c r="X55" i="21" s="1"/>
  <c r="X32" i="21"/>
  <c r="X9" i="21"/>
  <c r="X16" i="21" s="1"/>
  <c r="AG71" i="21"/>
  <c r="AG94" i="21" s="1"/>
  <c r="E107" i="21" s="1"/>
  <c r="E112" i="21" s="1"/>
  <c r="AB22" i="4"/>
  <c r="T1" i="4"/>
  <c r="O32" i="15"/>
  <c r="O9" i="15"/>
  <c r="AG71" i="15"/>
  <c r="AG94" i="15" s="1"/>
  <c r="E104" i="15" s="1"/>
  <c r="O9" i="21"/>
  <c r="O16" i="21" s="1"/>
  <c r="V55" i="15"/>
  <c r="X32" i="15"/>
  <c r="X55" i="15" s="1"/>
  <c r="X9" i="15"/>
  <c r="X16" i="15" s="1"/>
  <c r="V16" i="15"/>
  <c r="O32" i="21"/>
  <c r="T284" i="12"/>
  <c r="T285" i="12" s="1"/>
  <c r="T307" i="12" s="1"/>
  <c r="T309" i="12" s="1"/>
  <c r="B309" i="12" s="1"/>
  <c r="O55" i="21" l="1"/>
  <c r="Q55" i="21" s="1"/>
  <c r="Q32" i="21"/>
  <c r="Q9" i="21"/>
  <c r="Q16" i="21" s="1"/>
  <c r="AR309" i="12"/>
  <c r="M1" i="12" s="1"/>
  <c r="O55" i="15"/>
  <c r="Q32" i="15"/>
  <c r="Q55" i="15" s="1"/>
  <c r="Q9" i="15"/>
  <c r="Q16" i="15" s="1"/>
  <c r="O16" i="15"/>
  <c r="K22" i="4"/>
  <c r="H9" i="21" l="1"/>
  <c r="H16" i="21" s="1"/>
  <c r="K1" i="4"/>
  <c r="BC1" i="4" s="1"/>
  <c r="S22" i="4"/>
  <c r="AF71" i="21"/>
  <c r="H9" i="15"/>
  <c r="H32" i="15"/>
  <c r="BC22" i="4"/>
  <c r="D19" i="41" s="1"/>
  <c r="D2" i="41" s="1"/>
  <c r="H32" i="21"/>
  <c r="J32" i="21" s="1"/>
  <c r="AF71" i="15"/>
  <c r="L1" i="12"/>
  <c r="C19" i="41"/>
  <c r="H55" i="21" l="1"/>
  <c r="J55" i="21" s="1"/>
  <c r="AM32" i="21"/>
  <c r="J9" i="21"/>
  <c r="E19" i="41"/>
  <c r="N1" i="12"/>
  <c r="AL71" i="15"/>
  <c r="AF94" i="15"/>
  <c r="D104" i="15" s="1"/>
  <c r="H55" i="15"/>
  <c r="J32" i="15"/>
  <c r="H16" i="15"/>
  <c r="J9" i="15"/>
  <c r="AF94" i="21"/>
  <c r="D107" i="21" s="1"/>
  <c r="D112" i="21" s="1"/>
  <c r="AL71" i="21"/>
  <c r="AM9" i="21" l="1"/>
  <c r="AM16" i="21" s="1"/>
  <c r="J16" i="21"/>
  <c r="AM55" i="21"/>
  <c r="AL94" i="21"/>
  <c r="AT71" i="21"/>
  <c r="AT94" i="21" s="1"/>
  <c r="J16" i="15"/>
  <c r="AM9" i="15"/>
  <c r="AM16" i="15" s="1"/>
  <c r="AO2" i="55" s="1"/>
  <c r="AT71" i="15"/>
  <c r="AT94" i="15" s="1"/>
  <c r="AL94" i="15"/>
  <c r="J55" i="15"/>
  <c r="AM32" i="15"/>
  <c r="AM55" i="15" l="1"/>
  <c r="AP6" i="55" l="1"/>
  <c r="L1" i="58" l="1"/>
  <c r="C24" i="41"/>
  <c r="E24" i="41" l="1"/>
  <c r="C2" i="41"/>
  <c r="AO1" i="55" s="1"/>
  <c r="AT1" i="55" s="1"/>
  <c r="AT3" i="55" s="1"/>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Victoria Petrica</author>
  </authors>
  <commentList>
    <comment ref="A54" authorId="0" shapeId="70657" xr:uid="{00000000-0006-0000-0500-000001000000}">
      <text>
        <r>
          <rPr>
            <b/>
            <sz val="9"/>
            <color indexed="81"/>
            <rFont val="Tahoma"/>
            <family val="2"/>
            <charset val="204"/>
          </rPr>
          <t>Victoria Petrica:</t>
        </r>
        <r>
          <rPr>
            <sz val="9"/>
            <color indexed="81"/>
            <rFont val="Tahoma"/>
            <family val="2"/>
            <charset val="204"/>
          </rPr>
          <t xml:space="preserve">
Aici la bugetul aplicatiei e introdus si costul deppozitului</t>
        </r>
      </text>
      <mc:AlternateContent xmlns:mc="http://schemas.openxmlformats.org/markup-compatibility/2006">
        <mc:Choice Requires="v"/>
        <mc:Fallback>
          <commentPr defaultSize="0" autoFill="0" autoLine="0">
            <anchor>
              <from>
                <xdr:col>1</xdr:col>
                <xdr:colOff>190500</xdr:colOff>
                <xdr:row>66</xdr:row>
                <xdr:rowOff>139700</xdr:rowOff>
              </from>
              <to>
                <xdr:col>1</xdr:col>
                <xdr:colOff>2019300</xdr:colOff>
                <xdr:row>70</xdr:row>
                <xdr:rowOff>63500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Rita</author>
  </authors>
  <commentList>
    <comment ref="O225" authorId="0" shapeId="23563" xr:uid="{00000000-0006-0000-0D00-000001000000}">
      <text>
        <r>
          <rPr>
            <b/>
            <sz val="9"/>
            <color indexed="81"/>
            <rFont val="Tahoma"/>
            <family val="2"/>
            <charset val="204"/>
          </rPr>
          <t>Rita:</t>
        </r>
        <r>
          <rPr>
            <sz val="9"/>
            <color indexed="81"/>
            <rFont val="Tahoma"/>
            <family val="2"/>
            <charset val="204"/>
          </rPr>
          <t xml:space="preserve">
redus costul de la 1850 la 1480 de Dna Irina. Revizuit costul total de la 11100 la 10 000 dupa negocierile de la Geneva </t>
        </r>
      </text>
      <mc:AlternateContent xmlns:mc="http://schemas.openxmlformats.org/markup-compatibility/2006">
        <mc:Choice Requires="v"/>
        <mc:Fallback>
          <commentPr defaultSize="0" autoFill="0" autoLine="0">
            <anchor>
              <from>
                <xdr:col>22</xdr:col>
                <xdr:colOff>711200</xdr:colOff>
                <xdr:row>248</xdr:row>
                <xdr:rowOff>101600</xdr:rowOff>
              </from>
              <to>
                <xdr:col>25</xdr:col>
                <xdr:colOff>457200</xdr:colOff>
                <xdr:row>310</xdr:row>
                <xdr:rowOff>12700</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NewUser</author>
  </authors>
  <commentList>
    <comment ref="R16" authorId="0" shapeId="12289" xr:uid="{00000000-0006-0000-1000-000001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27</xdr:col>
                <xdr:colOff>965200</xdr:colOff>
                <xdr:row>5</xdr:row>
                <xdr:rowOff>203200</xdr:rowOff>
              </from>
              <to>
                <xdr:col>28</xdr:col>
                <xdr:colOff>965200</xdr:colOff>
                <xdr:row>7</xdr:row>
                <xdr:rowOff>609600</xdr:rowOff>
              </to>
            </anchor>
          </commentPr>
        </mc:Fallback>
      </mc:AlternateContent>
    </comment>
    <comment ref="R18" authorId="0" shapeId="12290" xr:uid="{00000000-0006-0000-1000-000002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27</xdr:col>
                <xdr:colOff>965200</xdr:colOff>
                <xdr:row>6</xdr:row>
                <xdr:rowOff>254000</xdr:rowOff>
              </from>
              <to>
                <xdr:col>28</xdr:col>
                <xdr:colOff>965200</xdr:colOff>
                <xdr:row>8</xdr:row>
                <xdr:rowOff>50800</xdr:rowOff>
              </to>
            </anchor>
          </commentPr>
        </mc:Fallback>
      </mc:AlternateContent>
    </comment>
    <comment ref="R28" authorId="0" shapeId="12291" xr:uid="{00000000-0006-0000-1000-000003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27</xdr:col>
                <xdr:colOff>965200</xdr:colOff>
                <xdr:row>11</xdr:row>
                <xdr:rowOff>203200</xdr:rowOff>
              </from>
              <to>
                <xdr:col>28</xdr:col>
                <xdr:colOff>965200</xdr:colOff>
                <xdr:row>12</xdr:row>
                <xdr:rowOff>304800</xdr:rowOff>
              </to>
            </anchor>
          </commentPr>
        </mc:Fallback>
      </mc:AlternateContent>
    </comment>
    <comment ref="R30" authorId="0" shapeId="12292" xr:uid="{00000000-0006-0000-1000-000004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27</xdr:col>
                <xdr:colOff>965200</xdr:colOff>
                <xdr:row>11</xdr:row>
                <xdr:rowOff>762000</xdr:rowOff>
              </from>
              <to>
                <xdr:col>28</xdr:col>
                <xdr:colOff>965200</xdr:colOff>
                <xdr:row>12</xdr:row>
                <xdr:rowOff>863600</xdr:rowOff>
              </to>
            </anchor>
          </commentPr>
        </mc:Fallback>
      </mc:AlternateContent>
    </comment>
    <comment ref="R46" authorId="0" shapeId="12293" xr:uid="{00000000-0006-0000-1000-000005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29</xdr:col>
                <xdr:colOff>254000</xdr:colOff>
                <xdr:row>19</xdr:row>
                <xdr:rowOff>254000</xdr:rowOff>
              </from>
              <to>
                <xdr:col>30</xdr:col>
                <xdr:colOff>304800</xdr:colOff>
                <xdr:row>22</xdr:row>
                <xdr:rowOff>152400</xdr:rowOff>
              </to>
            </anchor>
          </commentPr>
        </mc:Fallback>
      </mc:AlternateContent>
    </comment>
    <comment ref="R48" authorId="0" shapeId="12294" xr:uid="{00000000-0006-0000-1000-000006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29</xdr:col>
                <xdr:colOff>254000</xdr:colOff>
                <xdr:row>21</xdr:row>
                <xdr:rowOff>50800</xdr:rowOff>
              </from>
              <to>
                <xdr:col>30</xdr:col>
                <xdr:colOff>304800</xdr:colOff>
                <xdr:row>24</xdr:row>
                <xdr:rowOff>0</xdr:rowOff>
              </to>
            </anchor>
          </commentPr>
        </mc:Fallback>
      </mc:AlternateContent>
    </comment>
    <comment ref="R58" authorId="0" shapeId="12295" xr:uid="{00000000-0006-0000-1000-000007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29</xdr:col>
                <xdr:colOff>254000</xdr:colOff>
                <xdr:row>28</xdr:row>
                <xdr:rowOff>50800</xdr:rowOff>
              </from>
              <to>
                <xdr:col>30</xdr:col>
                <xdr:colOff>304800</xdr:colOff>
                <xdr:row>30</xdr:row>
                <xdr:rowOff>406400</xdr:rowOff>
              </to>
            </anchor>
          </commentPr>
        </mc:Fallback>
      </mc:AlternateContent>
    </comment>
    <comment ref="R60" authorId="0" shapeId="12296" xr:uid="{00000000-0006-0000-1000-000008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29</xdr:col>
                <xdr:colOff>254000</xdr:colOff>
                <xdr:row>29</xdr:row>
                <xdr:rowOff>152400</xdr:rowOff>
              </from>
              <to>
                <xdr:col>30</xdr:col>
                <xdr:colOff>304800</xdr:colOff>
                <xdr:row>32</xdr:row>
                <xdr:rowOff>165100</xdr:rowOff>
              </to>
            </anchor>
          </commentPr>
        </mc:Fallback>
      </mc:AlternateContent>
    </comment>
  </commentList>
</comments>
</file>

<file path=xl/comments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NewUser</author>
  </authors>
  <commentList>
    <comment ref="N43" authorId="0" shapeId="17420" xr:uid="{00000000-0006-0000-1100-000001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13</xdr:col>
                <xdr:colOff>1371600</xdr:colOff>
                <xdr:row>40</xdr:row>
                <xdr:rowOff>330200</xdr:rowOff>
              </from>
              <to>
                <xdr:col>13</xdr:col>
                <xdr:colOff>2489200</xdr:colOff>
                <xdr:row>43</xdr:row>
                <xdr:rowOff>139700</xdr:rowOff>
              </to>
            </anchor>
          </commentPr>
        </mc:Fallback>
      </mc:AlternateContent>
    </comment>
    <comment ref="W43" authorId="0" shapeId="17424" xr:uid="{00000000-0006-0000-1100-000002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19</xdr:col>
                <xdr:colOff>304800</xdr:colOff>
                <xdr:row>41</xdr:row>
                <xdr:rowOff>139700</xdr:rowOff>
              </from>
              <to>
                <xdr:col>21</xdr:col>
                <xdr:colOff>1016000</xdr:colOff>
                <xdr:row>44</xdr:row>
                <xdr:rowOff>38100</xdr:rowOff>
              </to>
            </anchor>
          </commentPr>
        </mc:Fallback>
      </mc:AlternateContent>
    </comment>
    <comment ref="N45" authorId="0" shapeId="17421" xr:uid="{00000000-0006-0000-1100-000003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13</xdr:col>
                <xdr:colOff>1371600</xdr:colOff>
                <xdr:row>42</xdr:row>
                <xdr:rowOff>279400</xdr:rowOff>
              </from>
              <to>
                <xdr:col>13</xdr:col>
                <xdr:colOff>2489200</xdr:colOff>
                <xdr:row>45</xdr:row>
                <xdr:rowOff>342900</xdr:rowOff>
              </to>
            </anchor>
          </commentPr>
        </mc:Fallback>
      </mc:AlternateContent>
    </comment>
    <comment ref="W45" authorId="0" shapeId="17425" xr:uid="{00000000-0006-0000-1100-000004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19</xdr:col>
                <xdr:colOff>304800</xdr:colOff>
                <xdr:row>43</xdr:row>
                <xdr:rowOff>76200</xdr:rowOff>
              </from>
              <to>
                <xdr:col>21</xdr:col>
                <xdr:colOff>1016000</xdr:colOff>
                <xdr:row>46</xdr:row>
                <xdr:rowOff>127000</xdr:rowOff>
              </to>
            </anchor>
          </commentPr>
        </mc:Fallback>
      </mc:AlternateContent>
    </comment>
    <comment ref="N55" authorId="0" shapeId="17422" xr:uid="{00000000-0006-0000-1100-000005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13</xdr:col>
                <xdr:colOff>1371600</xdr:colOff>
                <xdr:row>52</xdr:row>
                <xdr:rowOff>330200</xdr:rowOff>
              </from>
              <to>
                <xdr:col>13</xdr:col>
                <xdr:colOff>2489200</xdr:colOff>
                <xdr:row>55</xdr:row>
                <xdr:rowOff>190500</xdr:rowOff>
              </to>
            </anchor>
          </commentPr>
        </mc:Fallback>
      </mc:AlternateContent>
    </comment>
    <comment ref="W55" authorId="0" shapeId="17426" xr:uid="{00000000-0006-0000-1100-000006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19</xdr:col>
                <xdr:colOff>304800</xdr:colOff>
                <xdr:row>51</xdr:row>
                <xdr:rowOff>342900</xdr:rowOff>
              </from>
              <to>
                <xdr:col>21</xdr:col>
                <xdr:colOff>1016000</xdr:colOff>
                <xdr:row>54</xdr:row>
                <xdr:rowOff>279400</xdr:rowOff>
              </to>
            </anchor>
          </commentPr>
        </mc:Fallback>
      </mc:AlternateContent>
    </comment>
    <comment ref="N57" authorId="0" shapeId="17423" xr:uid="{00000000-0006-0000-1100-000007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13</xdr:col>
                <xdr:colOff>1371600</xdr:colOff>
                <xdr:row>54</xdr:row>
                <xdr:rowOff>279400</xdr:rowOff>
              </from>
              <to>
                <xdr:col>13</xdr:col>
                <xdr:colOff>2489200</xdr:colOff>
                <xdr:row>57</xdr:row>
                <xdr:rowOff>139700</xdr:rowOff>
              </to>
            </anchor>
          </commentPr>
        </mc:Fallback>
      </mc:AlternateContent>
    </comment>
    <comment ref="W57" authorId="0" shapeId="17427" xr:uid="{00000000-0006-0000-1100-000008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19</xdr:col>
                <xdr:colOff>304800</xdr:colOff>
                <xdr:row>54</xdr:row>
                <xdr:rowOff>330200</xdr:rowOff>
              </from>
              <to>
                <xdr:col>21</xdr:col>
                <xdr:colOff>1016000</xdr:colOff>
                <xdr:row>55</xdr:row>
                <xdr:rowOff>292100</xdr:rowOff>
              </to>
            </anchor>
          </commentPr>
        </mc:Fallback>
      </mc:AlternateContent>
    </comment>
  </commentList>
</comments>
</file>

<file path=xl/comments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Victoria Petrica</author>
    <author>NewUser</author>
  </authors>
  <commentList>
    <comment ref="U16" authorId="0" shapeId="58452" xr:uid="{00000000-0006-0000-1900-000001000000}">
      <text>
        <r>
          <rPr>
            <b/>
            <sz val="9"/>
            <color indexed="81"/>
            <rFont val="Tahoma"/>
            <family val="2"/>
            <charset val="204"/>
          </rPr>
          <t>Victoria Petrica:</t>
        </r>
        <r>
          <rPr>
            <sz val="9"/>
            <color indexed="81"/>
            <rFont val="Tahoma"/>
            <family val="2"/>
            <charset val="204"/>
          </rPr>
          <t xml:space="preserve">
Dus intors inclusiv lucrator outreach</t>
        </r>
      </text>
      <mc:AlternateContent xmlns:mc="http://schemas.openxmlformats.org/markup-compatibility/2006">
        <mc:Choice Requires="v"/>
        <mc:Fallback>
          <commentPr defaultSize="0" autoFill="0" autoLine="0">
            <anchor>
              <from>
                <xdr:col>20</xdr:col>
                <xdr:colOff>647700</xdr:colOff>
                <xdr:row>14</xdr:row>
                <xdr:rowOff>203200</xdr:rowOff>
              </from>
              <to>
                <xdr:col>20</xdr:col>
                <xdr:colOff>2197100</xdr:colOff>
                <xdr:row>18</xdr:row>
                <xdr:rowOff>101600</xdr:rowOff>
              </to>
            </anchor>
          </commentPr>
        </mc:Fallback>
      </mc:AlternateContent>
    </comment>
    <comment ref="N69" authorId="1" shapeId="58413" xr:uid="{00000000-0006-0000-1900-000002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13</xdr:col>
                <xdr:colOff>1917700</xdr:colOff>
                <xdr:row>45</xdr:row>
                <xdr:rowOff>203200</xdr:rowOff>
              </from>
              <to>
                <xdr:col>14</xdr:col>
                <xdr:colOff>1079500</xdr:colOff>
                <xdr:row>51</xdr:row>
                <xdr:rowOff>317500</xdr:rowOff>
              </to>
            </anchor>
          </commentPr>
        </mc:Fallback>
      </mc:AlternateContent>
    </comment>
    <comment ref="W69" authorId="1" shapeId="58412" xr:uid="{00000000-0006-0000-1900-000003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22</xdr:col>
                <xdr:colOff>266700</xdr:colOff>
                <xdr:row>45</xdr:row>
                <xdr:rowOff>203200</xdr:rowOff>
              </from>
              <to>
                <xdr:col>22</xdr:col>
                <xdr:colOff>1206500</xdr:colOff>
                <xdr:row>51</xdr:row>
                <xdr:rowOff>317500</xdr:rowOff>
              </to>
            </anchor>
          </commentPr>
        </mc:Fallback>
      </mc:AlternateContent>
    </comment>
    <comment ref="N71" authorId="1" shapeId="58411" xr:uid="{00000000-0006-0000-1900-000004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13</xdr:col>
                <xdr:colOff>1917700</xdr:colOff>
                <xdr:row>52</xdr:row>
                <xdr:rowOff>177800</xdr:rowOff>
              </from>
              <to>
                <xdr:col>14</xdr:col>
                <xdr:colOff>1092200</xdr:colOff>
                <xdr:row>73</xdr:row>
                <xdr:rowOff>203200</xdr:rowOff>
              </to>
            </anchor>
          </commentPr>
        </mc:Fallback>
      </mc:AlternateContent>
    </comment>
    <comment ref="W71" authorId="1" shapeId="58410" xr:uid="{00000000-0006-0000-1900-000005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22</xdr:col>
                <xdr:colOff>266700</xdr:colOff>
                <xdr:row>52</xdr:row>
                <xdr:rowOff>177800</xdr:rowOff>
              </from>
              <to>
                <xdr:col>22</xdr:col>
                <xdr:colOff>1206500</xdr:colOff>
                <xdr:row>64</xdr:row>
                <xdr:rowOff>165100</xdr:rowOff>
              </to>
            </anchor>
          </commentPr>
        </mc:Fallback>
      </mc:AlternateContent>
    </comment>
    <comment ref="N81" authorId="1" shapeId="58409" xr:uid="{00000000-0006-0000-1900-000006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13</xdr:col>
                <xdr:colOff>1917700</xdr:colOff>
                <xdr:row>63</xdr:row>
                <xdr:rowOff>152400</xdr:rowOff>
              </from>
              <to>
                <xdr:col>14</xdr:col>
                <xdr:colOff>1092200</xdr:colOff>
                <xdr:row>64</xdr:row>
                <xdr:rowOff>114300</xdr:rowOff>
              </to>
            </anchor>
          </commentPr>
        </mc:Fallback>
      </mc:AlternateContent>
    </comment>
    <comment ref="W81" authorId="1" shapeId="58408" xr:uid="{00000000-0006-0000-1900-000007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22</xdr:col>
                <xdr:colOff>266700</xdr:colOff>
                <xdr:row>63</xdr:row>
                <xdr:rowOff>152400</xdr:rowOff>
              </from>
              <to>
                <xdr:col>22</xdr:col>
                <xdr:colOff>1206500</xdr:colOff>
                <xdr:row>64</xdr:row>
                <xdr:rowOff>114300</xdr:rowOff>
              </to>
            </anchor>
          </commentPr>
        </mc:Fallback>
      </mc:AlternateContent>
    </comment>
    <comment ref="N83" authorId="1" shapeId="58407" xr:uid="{00000000-0006-0000-1900-000008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13</xdr:col>
                <xdr:colOff>1917700</xdr:colOff>
                <xdr:row>63</xdr:row>
                <xdr:rowOff>203200</xdr:rowOff>
              </from>
              <to>
                <xdr:col>14</xdr:col>
                <xdr:colOff>1092200</xdr:colOff>
                <xdr:row>64</xdr:row>
                <xdr:rowOff>101600</xdr:rowOff>
              </to>
            </anchor>
          </commentPr>
        </mc:Fallback>
      </mc:AlternateContent>
    </comment>
    <comment ref="W83" authorId="1" shapeId="58406" xr:uid="{00000000-0006-0000-1900-000009000000}">
      <text>
        <r>
          <rPr>
            <b/>
            <sz val="9"/>
            <color indexed="81"/>
            <rFont val="Tahoma"/>
            <family val="2"/>
            <charset val="204"/>
          </rPr>
          <t>NewUser:</t>
        </r>
        <r>
          <rPr>
            <sz val="9"/>
            <color indexed="81"/>
            <rFont val="Tahoma"/>
            <family val="2"/>
            <charset val="204"/>
          </rPr>
          <t xml:space="preserve">
sursa: vers5_Moldova estimari 2021_2025.xls</t>
        </r>
      </text>
      <mc:AlternateContent xmlns:mc="http://schemas.openxmlformats.org/markup-compatibility/2006">
        <mc:Choice Requires="v"/>
        <mc:Fallback>
          <commentPr defaultSize="0" autoFill="0" autoLine="0">
            <anchor>
              <from>
                <xdr:col>22</xdr:col>
                <xdr:colOff>266700</xdr:colOff>
                <xdr:row>63</xdr:row>
                <xdr:rowOff>203200</xdr:rowOff>
              </from>
              <to>
                <xdr:col>22</xdr:col>
                <xdr:colOff>1206500</xdr:colOff>
                <xdr:row>64</xdr:row>
                <xdr:rowOff>101600</xdr:rowOff>
              </to>
            </anchor>
          </commentPr>
        </mc:Fallback>
      </mc:AlternateContent>
    </comment>
  </commentList>
</comments>
</file>

<file path=xl/sharedStrings.xml><?xml version="1.0" encoding="utf-8"?>
<sst xmlns="http://purl.oclc.org/ooxml/spreadsheetml/main" count="22088" uniqueCount="4101">
  <si>
    <t>ID</t>
  </si>
  <si>
    <t>Cost Input Name</t>
  </si>
  <si>
    <t>Cost grouping</t>
  </si>
  <si>
    <t>Direct Program Costs/Indirect and Overhead Costs</t>
  </si>
  <si>
    <t>PSM</t>
  </si>
  <si>
    <t>1.0 Human Resources</t>
  </si>
  <si>
    <t>Indirect and Overhead Costs</t>
  </si>
  <si>
    <t>No</t>
  </si>
  <si>
    <t>1.1 Salaries - program management</t>
  </si>
  <si>
    <t>1.2 Salaries - outreach workers, medical staff and other service providers</t>
  </si>
  <si>
    <t>Direct Program Costs</t>
  </si>
  <si>
    <t>1.3 Performance-based supplements, incentives</t>
  </si>
  <si>
    <t>1.4 Other HR Costs</t>
  </si>
  <si>
    <t>2.0 Travel related costs (TRC)</t>
  </si>
  <si>
    <t>2.0 Travel related costs</t>
  </si>
  <si>
    <t>2.1 Training related per diems/transport/other costs</t>
  </si>
  <si>
    <t>2.2 Technical Assistance related per diems/transport/other costs</t>
  </si>
  <si>
    <t>2.3 Supervision/surveys/data collection related per diems/transport/other costs</t>
  </si>
  <si>
    <t>2.4 Meeting/Advocacy related per diems/transport/other costs</t>
  </si>
  <si>
    <t>2.4 Meeting/Advocacy related per diems/transport/other costs.</t>
  </si>
  <si>
    <t>2.5 Other Transportation Costs</t>
  </si>
  <si>
    <t>3.0 External professional services</t>
  </si>
  <si>
    <t>3.1 Technical Assistance Fees/Consultants</t>
  </si>
  <si>
    <t>3.2 Fiscal/Fiduciary Agent fees</t>
  </si>
  <si>
    <t>3.3 External audit fees</t>
  </si>
  <si>
    <t>3.4 Other external professional services</t>
  </si>
  <si>
    <t xml:space="preserve">3.5 Insurance Related costs </t>
  </si>
  <si>
    <t>4.0 Health Products - Pharmaceutical Products</t>
  </si>
  <si>
    <t>Yes</t>
  </si>
  <si>
    <t>4.1 Antiretrovirals medicines</t>
  </si>
  <si>
    <t>4.2 Anti-tuberculosis medicines</t>
  </si>
  <si>
    <t>4.3 Antimalarials medicines</t>
  </si>
  <si>
    <t>4.4 Opioid substitutes medicines</t>
  </si>
  <si>
    <t>4.5 Opportunistic infections and STI medicines</t>
  </si>
  <si>
    <t>4.6 Private Sector subsidies for ACTs (Co-payments)</t>
  </si>
  <si>
    <t>4.7 Other medicines</t>
  </si>
  <si>
    <t xml:space="preserve">5.0 Health Products  - Non-Pharmaceuticals </t>
  </si>
  <si>
    <t>5.1 Insecticide-treated Nets (LLINs/ITNs)</t>
  </si>
  <si>
    <t>5.2 Condoms - Male</t>
  </si>
  <si>
    <t>5.3 Condoms - Female</t>
  </si>
  <si>
    <t>5.4 Rapid Diagnostic Test</t>
  </si>
  <si>
    <t>5.5 Insecticides</t>
  </si>
  <si>
    <t>5.6 Laboratory reagents</t>
  </si>
  <si>
    <t>5.7 Syringes and needles</t>
  </si>
  <si>
    <t>5.8 Other consumables</t>
  </si>
  <si>
    <t>5.9 Private Sector subsidies for RDTs (Co-payments)</t>
  </si>
  <si>
    <t>6.0 Health Products - Equipment</t>
  </si>
  <si>
    <t xml:space="preserve">6.1 CD4 analyser/accessories           </t>
  </si>
  <si>
    <t xml:space="preserve">6.2 HIV Viral Load analyser/accessories                          </t>
  </si>
  <si>
    <t xml:space="preserve">6.3 Microscopes                          </t>
  </si>
  <si>
    <t xml:space="preserve">6.4 TB Molecular Test equipment                               </t>
  </si>
  <si>
    <t>6.5 Maintenance and service costs for health equipment</t>
  </si>
  <si>
    <t>6.6 Other health equipment</t>
  </si>
  <si>
    <t>7.0 Procurement and Supply-Chain Management costs</t>
  </si>
  <si>
    <t>7.1 Procurement agent and handling fees</t>
  </si>
  <si>
    <t>7.2 Freight and insurance costs (Health products)</t>
  </si>
  <si>
    <t>7.3 Warehouse and Storage Costs</t>
  </si>
  <si>
    <t>7.4 in-country distribution costs</t>
  </si>
  <si>
    <t>7.5 Quality assurance and quality control costs (QA/QC)</t>
  </si>
  <si>
    <t>7.6 PSM Customs Clearance</t>
  </si>
  <si>
    <t>7.7 Other PSM costs</t>
  </si>
  <si>
    <t>8.0 Infrastructure</t>
  </si>
  <si>
    <t>8.1 Furniture</t>
  </si>
  <si>
    <t>8.2 Renovation/constructions</t>
  </si>
  <si>
    <t>8.3 Infrastructure maintenance and other INF costs</t>
  </si>
  <si>
    <t>9.0 Non-health equipment (NHP)</t>
  </si>
  <si>
    <t>9.0  Non-health equipment</t>
  </si>
  <si>
    <t>9.1 IT - Computers, computer equipment, Software and applications</t>
  </si>
  <si>
    <t xml:space="preserve">9.2 Vehicles </t>
  </si>
  <si>
    <t>9.3 Other non-health equipment</t>
  </si>
  <si>
    <t xml:space="preserve">9.3  Other non-health equipment </t>
  </si>
  <si>
    <t>9.4 Maintenance and service costs non-health equipment</t>
  </si>
  <si>
    <t>9.4 Maintenance and service costs for Equipment</t>
  </si>
  <si>
    <t>10.0 Communication Material and Publications</t>
  </si>
  <si>
    <t>10.1 Printed materials (forms, books, guidelines, brochure, leaflets...)</t>
  </si>
  <si>
    <t>10.1 Printed materials (forms, books, guidelines, brochure, leaflets..)</t>
  </si>
  <si>
    <t>10.2 Television/Radio spots and programmes</t>
  </si>
  <si>
    <t>10.3 Promotional Material (t-shirts, mugs, pins...) and other CMP costs</t>
  </si>
  <si>
    <t>10.3 Promotional Material (t-shirts, mugs, pins..) and other CMP costs</t>
  </si>
  <si>
    <t>11.0 Indirect and Overhead Costs</t>
  </si>
  <si>
    <t>11.1 Office related costs</t>
  </si>
  <si>
    <t>11.2 Unrecoverable taxes and duties</t>
  </si>
  <si>
    <t>11.3 Indirect cost recovery (ICR) - % based</t>
  </si>
  <si>
    <t>11.4 Other PA costs</t>
  </si>
  <si>
    <t>12.0 Living support to client/ target population</t>
  </si>
  <si>
    <t>12.1 OVC Support (school fees, uniforms, books etc..)</t>
  </si>
  <si>
    <t>12.2 Food and care packages</t>
  </si>
  <si>
    <t>12.3 Cash incentives/transfer to patients/beneficiaries/counsellors/mediators</t>
  </si>
  <si>
    <t xml:space="preserve">12.4 Micro-loans and micro-grants </t>
  </si>
  <si>
    <t>12.5 Other LSCTP costs</t>
  </si>
  <si>
    <t>13.0 Cash on Delivery</t>
  </si>
  <si>
    <t>Column1</t>
  </si>
  <si>
    <t>Module</t>
  </si>
  <si>
    <t>Name</t>
  </si>
  <si>
    <t>TB/HIV</t>
  </si>
  <si>
    <t>N/A</t>
  </si>
  <si>
    <t>Product Name</t>
  </si>
  <si>
    <t>Total</t>
  </si>
  <si>
    <t>Comments</t>
  </si>
  <si>
    <t>Currency</t>
  </si>
  <si>
    <t>Number of TB patients in Republic of Moldova, 2010-2019</t>
  </si>
  <si>
    <t>Based on SYME TB data, Right bank, civilian sector</t>
  </si>
  <si>
    <t>New</t>
  </si>
  <si>
    <t>New pulmonary SS+/Xpert+</t>
  </si>
  <si>
    <t>New pulmonary SS-</t>
  </si>
  <si>
    <t>New EP</t>
  </si>
  <si>
    <t>Retreatment</t>
  </si>
  <si>
    <t>Relapses total</t>
  </si>
  <si>
    <t>Relapses pulm. SS+/Xpert+</t>
  </si>
  <si>
    <t>Relapses pulm. SS-</t>
  </si>
  <si>
    <t>Relapses EP</t>
  </si>
  <si>
    <t>Other retreatment</t>
  </si>
  <si>
    <t>Other SS+/Xpert+</t>
  </si>
  <si>
    <t>Other retreatment SS-/EP</t>
  </si>
  <si>
    <t>TOTAL</t>
  </si>
  <si>
    <t>Based on SYME TB data, Right bank, prison sector</t>
  </si>
  <si>
    <t>Based on SYME TB data, Right bank, total</t>
  </si>
  <si>
    <t>Based on SYME TB data, Left bank, civilian sector</t>
  </si>
  <si>
    <t>Based on SYME TB data, Left bank, prison sector</t>
  </si>
  <si>
    <t>Based on SYME TB data, Left bank, total</t>
  </si>
  <si>
    <t>Based on SYME TB data, Moldova, total</t>
  </si>
  <si>
    <t>MDR-TB (%)</t>
  </si>
  <si>
    <t>CN</t>
  </si>
  <si>
    <t>Retratamente</t>
  </si>
  <si>
    <t>RR/MDR-TB (%)</t>
  </si>
  <si>
    <t>RR/MDR</t>
  </si>
  <si>
    <t>H (± S)</t>
  </si>
  <si>
    <t>H and E (+/-S)</t>
  </si>
  <si>
    <t>Mortality</t>
  </si>
  <si>
    <t>2011/2010</t>
  </si>
  <si>
    <t>2012/2011</t>
  </si>
  <si>
    <t>2013/2012</t>
  </si>
  <si>
    <t>2014/2013</t>
  </si>
  <si>
    <t>2015/2014</t>
  </si>
  <si>
    <t>2016/2015</t>
  </si>
  <si>
    <t>2017/2016</t>
  </si>
  <si>
    <t>2018/2017</t>
  </si>
  <si>
    <t>2019/2018</t>
  </si>
  <si>
    <t>average 19/10</t>
  </si>
  <si>
    <t>average 19/15</t>
  </si>
  <si>
    <t>average 19/10, fara anii 2013-2015</t>
  </si>
  <si>
    <t>Estimated number of TB patients in Republic of Moldova, 2020-2025</t>
  </si>
  <si>
    <t>in 2019 Relapses EP au reprezentat 4% din Relapses pulm, am mentinut aceeasi proportie pt calcule</t>
  </si>
  <si>
    <t>in 2019 New SS- au reprezentat 35% din toti CN pulm, am mentinut aceeasi proportie pt calcule</t>
  </si>
  <si>
    <t>in 2019 Relapses SS- au reprezentat 80% din Relapses pulm SS+, am mentinut aceeasi proportie pt calcule</t>
  </si>
  <si>
    <t>in 2019 Other SS+ au reprezentat 210% comparativ cu recidivele, am mentinut aceeasi proportie pt calcule</t>
  </si>
  <si>
    <t>average 18/11</t>
  </si>
  <si>
    <t>Correction</t>
  </si>
  <si>
    <t>Frecventa investigatiilor si rata (100%)</t>
  </si>
  <si>
    <t>simptomatici</t>
  </si>
  <si>
    <t>Recidive</t>
  </si>
  <si>
    <t xml:space="preserve">Retratamente </t>
  </si>
  <si>
    <t>Cazuri PDR</t>
  </si>
  <si>
    <t>Cazuri RR/MDR</t>
  </si>
  <si>
    <t>MTB detection and screening for MDR (Xpert MTB/RIF)</t>
  </si>
  <si>
    <t>Microscopy (diagnostic)</t>
  </si>
  <si>
    <t>Microscopy (treatment monitoring)</t>
  </si>
  <si>
    <t>Culture (manual on LJ for diagnosis)</t>
  </si>
  <si>
    <t>Culture (manual on LJ for treatment monitoring)</t>
  </si>
  <si>
    <t>BD MGIT TBc identification test</t>
  </si>
  <si>
    <t>Culture (automated MGIT) (diagnostic)</t>
  </si>
  <si>
    <t>Culture (automated MGIT) (treatment monitoring)</t>
  </si>
  <si>
    <t>DST to 1st line drugs (manual)</t>
  </si>
  <si>
    <t>DST to 2nd line drugs (manual)</t>
  </si>
  <si>
    <t>DST to 1st line drugs (automated MGIT)</t>
  </si>
  <si>
    <t>DST to 2d line drugs (automated MGIT)</t>
  </si>
  <si>
    <t>Identification / HR DST (LPA Hain)</t>
  </si>
  <si>
    <t>DST to 2nd line drugs (LPA Hain)</t>
  </si>
  <si>
    <t>DR TB in Republic of Moldova, 2010-2019</t>
  </si>
  <si>
    <t>MDR TB</t>
  </si>
  <si>
    <t>RR/MDR TB</t>
  </si>
  <si>
    <t>Poly-resistance</t>
  </si>
  <si>
    <t>FQ-resistance</t>
  </si>
  <si>
    <t>Poly-resistance (%)</t>
  </si>
  <si>
    <t>FQ-resistance (%)</t>
  </si>
  <si>
    <t>Moldova population, 2010-2025</t>
  </si>
  <si>
    <t>FORECAST</t>
  </si>
  <si>
    <t>Moldova, total</t>
  </si>
  <si>
    <t>Right bank</t>
  </si>
  <si>
    <t>Left bank</t>
  </si>
  <si>
    <t>% annual population growth</t>
  </si>
  <si>
    <t>Average annual rate change, %</t>
  </si>
  <si>
    <t>2019/2014</t>
  </si>
  <si>
    <t>Investigatii_RO</t>
  </si>
  <si>
    <t>Caz_RO</t>
  </si>
  <si>
    <t xml:space="preserve">Cazuri MDR cu preXDR/ XDR </t>
  </si>
  <si>
    <t>Investigatii_ENG</t>
  </si>
  <si>
    <t>Investigatii_RU</t>
  </si>
  <si>
    <t>Caz_ENG</t>
  </si>
  <si>
    <t>Caz_RU</t>
  </si>
  <si>
    <t>Frecvența</t>
  </si>
  <si>
    <t>Caracteristici testare_RO</t>
  </si>
  <si>
    <t>Caracteristici testare_ENG</t>
  </si>
  <si>
    <t>Caracteristici testare_RU</t>
  </si>
  <si>
    <t>Corrections</t>
  </si>
  <si>
    <t>Malul_drept_civil</t>
  </si>
  <si>
    <t>Malul_drept_penit</t>
  </si>
  <si>
    <t>Malul_drept_total</t>
  </si>
  <si>
    <t>Malul_stang_civil</t>
  </si>
  <si>
    <t>Malul_stang_penit</t>
  </si>
  <si>
    <t>Malul_stang_total</t>
  </si>
  <si>
    <t>Regiuni_RO</t>
  </si>
  <si>
    <t>Regiuni_ENG</t>
  </si>
  <si>
    <t>Moldova_total</t>
  </si>
  <si>
    <t>COD</t>
  </si>
  <si>
    <t xml:space="preserve">R.of Moldova NSP and TB Application to NFM, Right Bank </t>
  </si>
  <si>
    <t>Forecast by categories</t>
  </si>
  <si>
    <t>New pulmonary ss AFB+/Xpert+</t>
  </si>
  <si>
    <t>New pulmonary ss AFB- and E/P</t>
  </si>
  <si>
    <t>New cases total</t>
  </si>
  <si>
    <t>Re-treatment ss AFB+/Xpert+</t>
  </si>
  <si>
    <t>Other re-treatment ss AFB- and E/P</t>
  </si>
  <si>
    <t>Re-treatment cases total</t>
  </si>
  <si>
    <t>Projected number of TB patients</t>
  </si>
  <si>
    <t>Re-treatment</t>
  </si>
  <si>
    <t>Projected number of culture positive patients</t>
  </si>
  <si>
    <t>%</t>
  </si>
  <si>
    <t>MDR prevalence among culture positive cases, %</t>
  </si>
  <si>
    <t>PDR % among smear / culture positive cases</t>
  </si>
  <si>
    <r>
      <t xml:space="preserve">Number of diagnosed PDR-TB patients that can be enrolled in 1st/2nd line treatment </t>
    </r>
    <r>
      <rPr>
        <b/>
        <u/>
        <sz val="10"/>
        <rFont val="Calibri"/>
        <family val="2"/>
        <charset val="238"/>
      </rPr>
      <t>(ACTUAL TREATMENT NEED)</t>
    </r>
  </si>
  <si>
    <t>Number of patients to be treated by category:</t>
  </si>
  <si>
    <t>1st/2nd line, PDR</t>
  </si>
  <si>
    <t>2nd line, MDR</t>
  </si>
  <si>
    <t xml:space="preserve">2nd/3rd line (pre-XDR to Fq &amp; XDR) </t>
  </si>
  <si>
    <t>Estimate of treatment and laboratory testing needs for 5 years 2021-2025</t>
  </si>
  <si>
    <t>P</t>
  </si>
  <si>
    <t>EP</t>
  </si>
  <si>
    <t>SS+</t>
  </si>
  <si>
    <t>SS-</t>
  </si>
  <si>
    <t>R</t>
  </si>
  <si>
    <t>Oth</t>
  </si>
  <si>
    <t>P/EP</t>
  </si>
  <si>
    <t>total</t>
  </si>
  <si>
    <t>All</t>
  </si>
  <si>
    <t>R/Oth</t>
  </si>
  <si>
    <t>RB</t>
  </si>
  <si>
    <t>LB</t>
  </si>
  <si>
    <t>MDA</t>
  </si>
  <si>
    <t>x</t>
  </si>
  <si>
    <t>region</t>
  </si>
  <si>
    <t>case_tip</t>
  </si>
  <si>
    <t>SS+/SS-</t>
  </si>
  <si>
    <t>RB(civil)</t>
  </si>
  <si>
    <t>RB(penit)</t>
  </si>
  <si>
    <t>LB(civil)</t>
  </si>
  <si>
    <t>LB(penit)</t>
  </si>
  <si>
    <t>1.</t>
  </si>
  <si>
    <t>2.</t>
  </si>
  <si>
    <t>3.</t>
  </si>
  <si>
    <t>poly</t>
  </si>
  <si>
    <t>FQrez</t>
  </si>
  <si>
    <t>% de acoperire</t>
  </si>
  <si>
    <t>4.</t>
  </si>
  <si>
    <t>4.1</t>
  </si>
  <si>
    <t>4.2</t>
  </si>
  <si>
    <r>
      <t xml:space="preserve">Estimated number of M/XDR-TB patients </t>
    </r>
    <r>
      <rPr>
        <b/>
        <u/>
        <sz val="10"/>
        <rFont val="Calibri"/>
        <family val="2"/>
      </rPr>
      <t>(TOTAL NEED)</t>
    </r>
  </si>
  <si>
    <r>
      <t xml:space="preserve">Number of M/XDR-TB patients to be diagnosed </t>
    </r>
    <r>
      <rPr>
        <b/>
        <u/>
        <sz val="10"/>
        <rFont val="Calibri"/>
        <family val="2"/>
      </rPr>
      <t>(NEED ADJUSTED FOR DIAGNOSTIC COVERAGE)</t>
    </r>
  </si>
  <si>
    <r>
      <t xml:space="preserve">Number of diagnosed MDR-TB patients that can be enrolled in 2nd line treatment </t>
    </r>
    <r>
      <rPr>
        <b/>
        <u/>
        <sz val="10"/>
        <rFont val="Calibri"/>
        <family val="2"/>
      </rPr>
      <t>(ACTUAL TREATMENT NEED)</t>
    </r>
  </si>
  <si>
    <r>
      <t xml:space="preserve">Number of PDR-TB patients </t>
    </r>
    <r>
      <rPr>
        <b/>
        <u/>
        <sz val="10"/>
        <rFont val="Calibri"/>
        <family val="2"/>
      </rPr>
      <t>(TOTAL NEED)</t>
    </r>
  </si>
  <si>
    <r>
      <t xml:space="preserve">Number of PDR-TB patients to be diagnosed </t>
    </r>
    <r>
      <rPr>
        <b/>
        <u/>
        <sz val="10"/>
        <rFont val="Calibri"/>
        <family val="2"/>
      </rPr>
      <t>(NEED ADJUSTED FOR DIAGNOSTIC COVERAGE)</t>
    </r>
  </si>
  <si>
    <t>4.1.1</t>
  </si>
  <si>
    <t>4.1.2</t>
  </si>
  <si>
    <t>4.1.3</t>
  </si>
  <si>
    <t>4.1.4</t>
  </si>
  <si>
    <t>4.1.5</t>
  </si>
  <si>
    <t>projected</t>
  </si>
  <si>
    <t>Needs' coverage with DST, %</t>
  </si>
  <si>
    <t>4.1.6</t>
  </si>
  <si>
    <t>ref year 2019</t>
  </si>
  <si>
    <t>Needs' coverage with treatment,%</t>
  </si>
  <si>
    <t>1st line</t>
  </si>
  <si>
    <t>to_treat</t>
  </si>
  <si>
    <t>incl: FQ_rez</t>
  </si>
  <si>
    <t>Needs' coverage with 2nd line treatment,% MDR</t>
  </si>
  <si>
    <t>rez FQ</t>
  </si>
  <si>
    <t>RR/MDR_rez_FQ</t>
  </si>
  <si>
    <t>sensit</t>
  </si>
  <si>
    <t>4.2.1</t>
  </si>
  <si>
    <t>4.2.3</t>
  </si>
  <si>
    <t>4.2.2</t>
  </si>
  <si>
    <t>4.2.4</t>
  </si>
  <si>
    <t>4.2.5</t>
  </si>
  <si>
    <t>4.2.6</t>
  </si>
  <si>
    <t xml:space="preserve">R.of Moldova NSP and TB Application to NFM, Left Bank </t>
  </si>
  <si>
    <t>Număr probe/investigatie</t>
  </si>
  <si>
    <t>Total total probe</t>
  </si>
  <si>
    <t>RB_All_sensit_to_treat</t>
  </si>
  <si>
    <t>RB_All_poly_to_treat</t>
  </si>
  <si>
    <t>RB_All_RR/MDR_to_treat</t>
  </si>
  <si>
    <t>RB_All_RR/MDR_rez_FQ_to_treat</t>
  </si>
  <si>
    <t>Culture (manual on LJ for MGIT control)</t>
  </si>
  <si>
    <t>Tratament TB sensibil</t>
  </si>
  <si>
    <t>LB_All_sensit_to_treat</t>
  </si>
  <si>
    <t>LB_All_poly_to_treat</t>
  </si>
  <si>
    <t>LB_All_RR/MDR_to_treat</t>
  </si>
  <si>
    <t>LB_All_RR/MDR_rez_FQ_to_treat</t>
  </si>
  <si>
    <t>ml</t>
  </si>
  <si>
    <t>Cazuri estimate pentru tratament</t>
  </si>
  <si>
    <t>1.1</t>
  </si>
  <si>
    <t>Forme pediatrice</t>
  </si>
  <si>
    <t>media 2015-2019</t>
  </si>
  <si>
    <t>an de ref 2019</t>
  </si>
  <si>
    <t>Forme pentru adulti MD_civil</t>
  </si>
  <si>
    <t>Forme pentru adulti MD_peniteciare</t>
  </si>
  <si>
    <t>1.2</t>
  </si>
  <si>
    <t>1.2.1</t>
  </si>
  <si>
    <t>Malul_drept_cazuri_estimate</t>
  </si>
  <si>
    <t>copii 0-12 ani</t>
  </si>
  <si>
    <t>Combinate/Mono</t>
  </si>
  <si>
    <t>Cat_I_I(MDA)</t>
  </si>
  <si>
    <t>Composition</t>
  </si>
  <si>
    <t>2E(400)RH(150/75)Z(400)/4RH(150/75)</t>
  </si>
  <si>
    <t>Medicines</t>
  </si>
  <si>
    <t>Ethambutol  400mg  Film coated tablet(s)</t>
  </si>
  <si>
    <t>Pyrazinamide  400mg  Film uncoated tablet(s)</t>
  </si>
  <si>
    <t>2-FDC RH (150/75)  150mg+75mg  Film coated tablet(s)</t>
  </si>
  <si>
    <t>Cat_I_I(MDA) +Etb</t>
  </si>
  <si>
    <t>2E(400)RH(150/75)Z(400)/4E(400)RH(150/75)</t>
  </si>
  <si>
    <t>Cat_I_reactii_adv</t>
  </si>
  <si>
    <t>Rifampicin  300mg  Film coated tablet(s)</t>
  </si>
  <si>
    <t>Isoniazid  300mg  Film uncoated tablet(s)</t>
  </si>
  <si>
    <t>Izoniazidum  100mg/ml  Solution for injection</t>
  </si>
  <si>
    <t>Ethambutol  10%/10ml  Solution for injection</t>
  </si>
  <si>
    <t>Cat_I_reactii_adv+Etb</t>
  </si>
  <si>
    <t>Categoria I (MDA)</t>
  </si>
  <si>
    <t>4-FDC RHZE (150/75/400/275)  150mg+75mg+400mg+275mg  Film coated tablet(s)</t>
  </si>
  <si>
    <t>Categoria I (MDA)+Etb</t>
  </si>
  <si>
    <t>Days per month</t>
  </si>
  <si>
    <t>Units per Day</t>
  </si>
  <si>
    <t>Months</t>
  </si>
  <si>
    <t>Treatment regimen name</t>
  </si>
  <si>
    <t>Denumire produs</t>
  </si>
  <si>
    <t>Cost unitate_MDL</t>
  </si>
  <si>
    <t>Cantitate totala</t>
  </si>
  <si>
    <t>Cost total MDL</t>
  </si>
  <si>
    <t>SUMAR</t>
  </si>
  <si>
    <t xml:space="preserve">Direcții de acțiuni </t>
  </si>
  <si>
    <t>Intervenții</t>
  </si>
  <si>
    <t>CNAM</t>
  </si>
  <si>
    <t>3.3.  Asigurarea aderenței la tratament, inclusiv prin utilizarea metodelor inovative, centrate pe persoană</t>
  </si>
  <si>
    <t>4.1.  Consolidarea capacităților pentru realizarea unui control eficient al co-infecţiei TB/HIV</t>
  </si>
  <si>
    <t>5.1.  Asigurarea măsurilor de profilaxie specifică</t>
  </si>
  <si>
    <t>6.3.  Consolidarea capacităților resurselor umane implicate în controlul TB</t>
  </si>
  <si>
    <t>6.4.  Elaborarea actelor normative pentru supravegherea bazată pe date individuale,  îmbunătățind calitatea înregistrării actelor de stare civilă, calitatea și utilizarea rațională a medicamentelor și farmacovigilența</t>
  </si>
  <si>
    <t>Nr liniei de buget</t>
  </si>
  <si>
    <t>linia  de buget nr</t>
  </si>
  <si>
    <t>Surse de finantare_ENG</t>
  </si>
  <si>
    <t>Surse de finantare_Ro</t>
  </si>
  <si>
    <t>Surse de finantare_Ru</t>
  </si>
  <si>
    <t>MMPSF</t>
  </si>
  <si>
    <t>MJ</t>
  </si>
  <si>
    <t>GFATM</t>
  </si>
  <si>
    <t>Tip produs</t>
  </si>
  <si>
    <t xml:space="preserve">Obiective </t>
  </si>
  <si>
    <t>Distribuirea per scheme</t>
  </si>
  <si>
    <t>Calcul per scheme</t>
  </si>
  <si>
    <t>CUPRINS</t>
  </si>
  <si>
    <t>Estimare cazuri</t>
  </si>
  <si>
    <t>Sursa de finantare</t>
  </si>
  <si>
    <t>Mesaj de eroare</t>
  </si>
  <si>
    <t>2021
Q1
cantitate</t>
  </si>
  <si>
    <t>2021
Q1
suma</t>
  </si>
  <si>
    <t>2021
Q2
cantitate</t>
  </si>
  <si>
    <t>2021
Q2
suma</t>
  </si>
  <si>
    <t>2021
Q3
cantitate</t>
  </si>
  <si>
    <t>2021
Q3
suma</t>
  </si>
  <si>
    <t>2021
Q4
cantitate</t>
  </si>
  <si>
    <t>2021
Q4
suma</t>
  </si>
  <si>
    <t>2021
Total</t>
  </si>
  <si>
    <t>2022
Total</t>
  </si>
  <si>
    <t>2022
Q1
cantitate</t>
  </si>
  <si>
    <t>2022
Q1
suma</t>
  </si>
  <si>
    <t>2022
Q2
cantitate</t>
  </si>
  <si>
    <t>2022
Q2
suma</t>
  </si>
  <si>
    <t>2022
Q3
cantitate</t>
  </si>
  <si>
    <t>2022
Q3
suma</t>
  </si>
  <si>
    <t>2022
Q4
cantitate</t>
  </si>
  <si>
    <t>2022
Q4
suma</t>
  </si>
  <si>
    <t>ref year 2018</t>
  </si>
  <si>
    <t>R.of Moldova NSP and TB Application to NFM, Total Moldova</t>
  </si>
  <si>
    <t>4.3</t>
  </si>
  <si>
    <t>4.3.1</t>
  </si>
  <si>
    <t>4.3.2</t>
  </si>
  <si>
    <t>4.3.3</t>
  </si>
  <si>
    <t>4.3.4</t>
  </si>
  <si>
    <t>4.3.5</t>
  </si>
  <si>
    <t>4.3.6</t>
  </si>
  <si>
    <t>Populatie</t>
  </si>
  <si>
    <t>Tratamentul tuberculozei sensibile</t>
  </si>
  <si>
    <t>1.1.  Depistarea activă a TB în grupurile cu risc și vigilență sporită pentru TB</t>
  </si>
  <si>
    <t>4.2.  Consolidarea acțiunilor colaborative în controlul TB cu alte programe naționale</t>
  </si>
  <si>
    <t>5.3.  Asigurarea controlului infecției în IMSP și alte AP cu rețele sanitare proprii</t>
  </si>
  <si>
    <t>6.1.  Consolidarea capacităților pentru managementul eficient al PNCT</t>
  </si>
  <si>
    <t>6.5.  Fortificarea implicării comunității și OSC în controlul TB prin abordare centrată pe persoană</t>
  </si>
  <si>
    <t>6.7.  Realizarea Strategiei de pledoarie, comunicare și mobilizare socială în controlul TB, inclusiv prin reducerea stigmei și discriminării, cu alocarea resurselor necesare</t>
  </si>
  <si>
    <t>2023
Total</t>
  </si>
  <si>
    <t>2023
Q1
cantitate</t>
  </si>
  <si>
    <t>2023
Q1
suma</t>
  </si>
  <si>
    <t>2023
Q2
cantitate</t>
  </si>
  <si>
    <t>2023
Q2
suma</t>
  </si>
  <si>
    <t>2023
Q3
cantitate</t>
  </si>
  <si>
    <t>2023
Q3
suma</t>
  </si>
  <si>
    <t>2023
Q4
cantitate</t>
  </si>
  <si>
    <t>2023
Q4
suma</t>
  </si>
  <si>
    <t>2024
Total</t>
  </si>
  <si>
    <t>2024
Q1
cantitate</t>
  </si>
  <si>
    <t>2024
Q1
suma</t>
  </si>
  <si>
    <t>2024
Q2
cantitate</t>
  </si>
  <si>
    <t>2024
Q2
suma</t>
  </si>
  <si>
    <t>2024
Q3
cantitate</t>
  </si>
  <si>
    <t>2024
Q3
suma</t>
  </si>
  <si>
    <t>2024
Q4
cantitate</t>
  </si>
  <si>
    <t>2024
Q4
suma</t>
  </si>
  <si>
    <t>2025
Total</t>
  </si>
  <si>
    <t>2025
Q1
cantitate</t>
  </si>
  <si>
    <t>2025
Q1
suma</t>
  </si>
  <si>
    <t>2025
Q2
cantitate</t>
  </si>
  <si>
    <t>2025
Q2
suma</t>
  </si>
  <si>
    <t>2025
Q3
cantitate</t>
  </si>
  <si>
    <t>2025
Q3
suma</t>
  </si>
  <si>
    <t>2025
Q4
cantitate</t>
  </si>
  <si>
    <t>Denumire fila</t>
  </si>
  <si>
    <t>Tratament_FLD_SLD</t>
  </si>
  <si>
    <t>Management caz</t>
  </si>
  <si>
    <t>cost input category_NM</t>
  </si>
  <si>
    <t>Sheet2</t>
  </si>
  <si>
    <t>Book_sheets</t>
  </si>
  <si>
    <t>Categoria I (MDA)  2RHZ(75/50/150)/4RH(75/50)</t>
  </si>
  <si>
    <t>3-FDC RHZ(75/50/150)  75mg+50mg+150mg  Dispersible tablet(s)</t>
  </si>
  <si>
    <t>2-FDC RH (75/50)  75mg+50mg  Dispersible tablet(s)</t>
  </si>
  <si>
    <t>2E(400)H(300)R(300)Z(400)/4H(300)R(300)</t>
  </si>
  <si>
    <t>2RHZE(150/75/400/275)/4RH(150/75)</t>
  </si>
  <si>
    <t>2RHZE(150/75/400/275)/4E(400)RH(150/75)</t>
  </si>
  <si>
    <t>2E(400)H(300)R(300)Z(400)/4E(400)H(300)R(300)</t>
  </si>
  <si>
    <t>Cost unitate, MDL</t>
  </si>
  <si>
    <t>USD</t>
  </si>
  <si>
    <t>Ambalaj, unitati</t>
  </si>
  <si>
    <t>pret ambalaj</t>
  </si>
  <si>
    <t>Curs valutar</t>
  </si>
  <si>
    <t>EURO</t>
  </si>
  <si>
    <t>Curs Grant</t>
  </si>
  <si>
    <t>Curs BNM</t>
  </si>
  <si>
    <t>Curs BNM mediu, ianuarie martie 2020</t>
  </si>
  <si>
    <t>MDL</t>
  </si>
  <si>
    <t>Valuta</t>
  </si>
  <si>
    <t>Ethambutol 100 mg Dispersible tablet(s)</t>
  </si>
  <si>
    <t>Isoniazid  100mg  Film uncoated tablet(s)</t>
  </si>
  <si>
    <t>EUR</t>
  </si>
  <si>
    <t>1.2.2</t>
  </si>
  <si>
    <t>1.2.3</t>
  </si>
  <si>
    <t>Data</t>
  </si>
  <si>
    <t>fila</t>
  </si>
  <si>
    <t>Comentariu</t>
  </si>
  <si>
    <t>Nr</t>
  </si>
  <si>
    <t>Pentru forme pediatrice preturile luam de la GDF?</t>
  </si>
  <si>
    <t>Etb forme pediatrice luam pastile dispersabile sau simple</t>
  </si>
  <si>
    <t>Cost sumar activitate 2021-2025</t>
  </si>
  <si>
    <t>Ce facem cu Transnistria? Linia I calculam?</t>
  </si>
  <si>
    <t>1.3.1</t>
  </si>
  <si>
    <t>1.3</t>
  </si>
  <si>
    <t>intrebari comentarii</t>
  </si>
  <si>
    <t>Schema PDR?</t>
  </si>
  <si>
    <t>Scheme MDR</t>
  </si>
  <si>
    <t>Amikacin  500mg/2ml  Solution for injection</t>
  </si>
  <si>
    <t>Bedaquiline  100mg  Film uncoated tablet(s)</t>
  </si>
  <si>
    <t>Clofazimine  100mg  Capsule(s)</t>
  </si>
  <si>
    <t>Cycloserine  250mg  Capsule(s)</t>
  </si>
  <si>
    <t>Delamanid  50mg  Film coated tablet(s)</t>
  </si>
  <si>
    <t>Ethionamide  250mg  Film coated tablet(s)</t>
  </si>
  <si>
    <t>Levofloxacin  250mg  Film coated tablet(s)</t>
  </si>
  <si>
    <t>Linezolid  600mg  Film coated tablet(s)</t>
  </si>
  <si>
    <t>Moxifloxacin  400mg  Film coated tablet(s)</t>
  </si>
  <si>
    <t>P-aminosalicylate sodium salt  4000mg  Granules/Sachet</t>
  </si>
  <si>
    <t>Short regimen_(I)_Cs</t>
  </si>
  <si>
    <t>Short regimen_(II)_Dlm</t>
  </si>
  <si>
    <t>1Bdq(100)Cfz(100)Cs(250)Lfx(250)Lnz(600)/10Bdq(100)Cfz(100)Cs(250)Lfx(250)Lnz(600)</t>
  </si>
  <si>
    <t>1Bdq(100)Cfz(100)Dlm(50)Lfx(250)Lnz(600)/10Bdq(100)Cfz(100)Dlm(50)Lfx(250)Lnz(600)</t>
  </si>
  <si>
    <t>% of use</t>
  </si>
  <si>
    <t>Patients per scheme</t>
  </si>
  <si>
    <t>% Cfz fata de Cs</t>
  </si>
  <si>
    <t>Imp/Cls +Amx mai cumparam?</t>
  </si>
  <si>
    <t>Units/day</t>
  </si>
  <si>
    <t>10 [Lfx/Mxf-Lzd-Cfz-Cs]-12 Bdq /8 [Lfx/Mfx-Lzd-Cfz-Cs]</t>
  </si>
  <si>
    <t>Cost unitate_USD</t>
  </si>
  <si>
    <t>Sursa</t>
  </si>
  <si>
    <t xml:space="preserve">IDA Quality Analysing costs </t>
  </si>
  <si>
    <t xml:space="preserve">Freight </t>
  </si>
  <si>
    <t xml:space="preserve">Procurement agent fee </t>
  </si>
  <si>
    <t>Cost total , USD</t>
  </si>
  <si>
    <t>Cost MDL</t>
  </si>
  <si>
    <t>1.3.2</t>
  </si>
  <si>
    <t>1.3.3</t>
  </si>
  <si>
    <t>Clofazimin 50_(24-30kg)_18months  18Cfz(50)/0</t>
  </si>
  <si>
    <t>Cycloserin 125_(24-30kg)_18months  18Cs(125)/0</t>
  </si>
  <si>
    <t>Delamanid 50_(24-30kg)_12months  12Dlm(50)/0</t>
  </si>
  <si>
    <t>Ethambutol 100_(24-30kg)_18months  18E(100)/0</t>
  </si>
  <si>
    <t>Levofloxacin 100_(24-30kg)_18months  18Lfx(100)/0</t>
  </si>
  <si>
    <t>Linezolid 600_(24-30kg)_18months  18Lnz(600)/0</t>
  </si>
  <si>
    <t>Moxifloxacin 100_(24-30kg)_18months  18Mfx(100)/0</t>
  </si>
  <si>
    <t>Pyrazinamid 150_(24-30kg)_18months  18Z(150)/0</t>
  </si>
  <si>
    <t>1.3.4</t>
  </si>
  <si>
    <t>Malul_stang_cazuri_estimate</t>
  </si>
  <si>
    <t>Tratament linia I_Malul Drept_civil_adulti</t>
  </si>
  <si>
    <t>Tratament linia I_Malul Drept_penitenciare</t>
  </si>
  <si>
    <t>1.3.5</t>
  </si>
  <si>
    <t>Tratament Malul Drept RR/MDR/FQ rez_civil adulti</t>
  </si>
  <si>
    <t>Tratament Malul Drept RR/MDR/FQ rez_copii</t>
  </si>
  <si>
    <t>Tratament Malul Drept RR/MDR/FQ rez_penitenciare</t>
  </si>
  <si>
    <t>Tratament Malul Stang RR/MDR/FQ rez_copii</t>
  </si>
  <si>
    <t>Tratament Malul Stang RR/MDR/FQ rez_adulti (civil+penitenciar)</t>
  </si>
  <si>
    <t>Scheme MDR rez FQ</t>
  </si>
  <si>
    <t>10 [Lfx/Mxf-Lzd-Cfz-Cs]-12 Bdq /12 [Lfx/Mfx-Lzd-Cfz-Cs]</t>
  </si>
  <si>
    <t>Bdq cite luni dam in MDR? 6? Iar MDR+FQ rez?</t>
  </si>
  <si>
    <t>Buget local (Malul Stang)</t>
  </si>
  <si>
    <t>Buget local (Malul Drept)</t>
  </si>
  <si>
    <t>Descriere activitate</t>
  </si>
  <si>
    <t>Descriere succinta interventie</t>
  </si>
  <si>
    <t>Pentru sistemul penitenciare tot acelea scheme ca si pentru civil? TB sensibila</t>
  </si>
  <si>
    <t>interventia 3.1.3 forme pediatrice include si cele pentru tuberculoza rezistenta?</t>
  </si>
  <si>
    <t>2021-2025</t>
  </si>
  <si>
    <t>Distribuirea % intre diferite surse</t>
  </si>
  <si>
    <t>ok preturile noastre</t>
  </si>
  <si>
    <t>rez h + lfx</t>
  </si>
  <si>
    <t>12 luni</t>
  </si>
  <si>
    <t>da</t>
  </si>
  <si>
    <t>Clarificari</t>
  </si>
  <si>
    <t>data</t>
  </si>
  <si>
    <t>dispersabile</t>
  </si>
  <si>
    <t>acelasi</t>
  </si>
  <si>
    <t>Pretomanid??</t>
  </si>
  <si>
    <t>Denumire</t>
  </si>
  <si>
    <t>Unitate de masură</t>
  </si>
  <si>
    <t>tip_bun</t>
  </si>
  <si>
    <t>Denumire catalog GDF</t>
  </si>
  <si>
    <t>Sodium phosphate dibasic, anhydrous Na2HP04</t>
  </si>
  <si>
    <t>g</t>
  </si>
  <si>
    <t>reagent</t>
  </si>
  <si>
    <t>Di-Sodium hydrogen phosphate, anhydrous</t>
  </si>
  <si>
    <t>Potassium phosphate monobasic, crystal KH2 P04</t>
  </si>
  <si>
    <t>Potassium dihydrogen phosphate</t>
  </si>
  <si>
    <t>Apă distilată</t>
  </si>
  <si>
    <t>halat</t>
  </si>
  <si>
    <t>bucată</t>
  </si>
  <si>
    <t>Alte materiale</t>
  </si>
  <si>
    <t>Mănuşi, pereche</t>
  </si>
  <si>
    <t>Recipient de sticlă - 0,5 l</t>
  </si>
  <si>
    <t>Recipient de sticlă - 1,0 l</t>
  </si>
  <si>
    <t>Recipient de sticlă - 2,0 l</t>
  </si>
  <si>
    <t>Cuve mici pentru cântărire praf</t>
  </si>
  <si>
    <t>Spatulă pentru preluarea prafului la cântărire</t>
  </si>
  <si>
    <t>Folie de staniol</t>
  </si>
  <si>
    <t>metru</t>
  </si>
  <si>
    <t>Etichete</t>
  </si>
  <si>
    <t>Balanţă analitică (sensibilitatea 0.01 g)</t>
  </si>
  <si>
    <t>Echipament</t>
  </si>
  <si>
    <t>Autoclav curat pentru sterilizare</t>
  </si>
  <si>
    <t>Autoclav pentru decontaminare deşeuri</t>
  </si>
  <si>
    <t>Frigider</t>
  </si>
  <si>
    <t>Ph-metru</t>
  </si>
  <si>
    <t>Sodium hydroxide (Hidroxid de Natriu)</t>
  </si>
  <si>
    <t>Sodium cilrate (Citrat de Natriu)</t>
  </si>
  <si>
    <t>NALC</t>
  </si>
  <si>
    <t>tuburi, 15 ml (pentru sol NaOH 4%)</t>
  </si>
  <si>
    <t>Mediu agar, pulbere deshidratată</t>
  </si>
  <si>
    <t>Sânge defibrinat</t>
  </si>
  <si>
    <t>Tulpina de control</t>
  </si>
  <si>
    <t>Plăci Petri - d = 15x100 mm</t>
  </si>
  <si>
    <t>Flacon de sticlă termorezistente 1,0 l</t>
  </si>
  <si>
    <t>Flacon de sticlă termorezistente 0,5 l</t>
  </si>
  <si>
    <t>Incubator</t>
  </si>
  <si>
    <t>Cântar</t>
  </si>
  <si>
    <t>Distilator</t>
  </si>
  <si>
    <t>Fosfat monobazic de potasiu (KH2P04)</t>
  </si>
  <si>
    <t>Sulfat de magneziu (MgS04. 7H20)</t>
  </si>
  <si>
    <t>Cifrat de magneziu</t>
  </si>
  <si>
    <t>Asparagin</t>
  </si>
  <si>
    <t>Glicerol</t>
  </si>
  <si>
    <t>Colorant verde de malahit</t>
  </si>
  <si>
    <t>Ouâ de găină</t>
  </si>
  <si>
    <t>Pipetă sterilă, 10 ml</t>
  </si>
  <si>
    <t>Colbă 0,5 l</t>
  </si>
  <si>
    <t>Colbă 1,0 l</t>
  </si>
  <si>
    <t>Tuburi pentru medii 14 ml</t>
  </si>
  <si>
    <t>Pipetă automată 1 ml</t>
  </si>
  <si>
    <t>Pipetă automată 5 ml</t>
  </si>
  <si>
    <t xml:space="preserve">Conuri sterile pentru pipetă automată </t>
  </si>
  <si>
    <t>Dezinfectant</t>
  </si>
  <si>
    <t>Alcool 70%</t>
  </si>
  <si>
    <t>Pungi pentru deșeuri</t>
  </si>
  <si>
    <t>Containere pentru deșeuri</t>
  </si>
  <si>
    <t>Hotă de securitate biologică clasa II</t>
  </si>
  <si>
    <t>Pupinel</t>
  </si>
  <si>
    <t>Clorura de bariu 1,0 %</t>
  </si>
  <si>
    <t>Acid sulfuric 1,0%</t>
  </si>
  <si>
    <t xml:space="preserve">Eprubetă </t>
  </si>
  <si>
    <t>Peliculă parafilm</t>
  </si>
  <si>
    <t>tulpină proaspătă de M. tuberculosis H37Rv</t>
  </si>
  <si>
    <t>Mediu 7H9</t>
  </si>
  <si>
    <t>Soluției fiziologică 0,9%</t>
  </si>
  <si>
    <t xml:space="preserve">Standart McFarland nr.1 </t>
  </si>
  <si>
    <t>Standart McFarland nr.0,5</t>
  </si>
  <si>
    <t>Mărgele de sticlă 2 mm</t>
  </si>
  <si>
    <t>GDF
code</t>
  </si>
  <si>
    <t>Supplier</t>
  </si>
  <si>
    <t>Unit</t>
  </si>
  <si>
    <t>Supplier technical specifications</t>
  </si>
  <si>
    <t>Indicative 
FCA Price</t>
  </si>
  <si>
    <t xml:space="preserve">3. SPECIMEN TRANPORTATION AND PROCESSING	</t>
  </si>
  <si>
    <t>3.3. Specimen processing reagents</t>
  </si>
  <si>
    <t xml:space="preserve"> 5-Sulfosalicylic acid dihydrate</t>
  </si>
  <si>
    <t>TTM</t>
  </si>
  <si>
    <t xml:space="preserve"> 5-Sulfosalicylic acid dihydrate, for synthesis ≥ 99%, 100g plastic bottle</t>
  </si>
  <si>
    <t xml:space="preserve">4. MOLECULAR TESTING	</t>
  </si>
  <si>
    <t>4.3. GeneXpert consumables</t>
  </si>
  <si>
    <t>EDGE-SWAP-1</t>
  </si>
  <si>
    <t>1 GeneXpert Edge instrument swap</t>
  </si>
  <si>
    <t>Cepheid</t>
  </si>
  <si>
    <t xml:space="preserve">A refurbished instrument is provided to swap out an instrument or module requiring calibration or repair.
To be purchased when an Edge is not under initial or extended warranty. Shipping costs are additional.
Item contains: 1 x Power Cable </t>
  </si>
  <si>
    <t>GX-SWAP-1</t>
  </si>
  <si>
    <t>1 GeneXpert module replacement/swap</t>
  </si>
  <si>
    <t>A refurbished module(s) is provided to swap out a module(s) requiring calibration or repair. To be purchased when a GeneXpert is not under initial or extended warranty. Shipping costs are additional.</t>
  </si>
  <si>
    <t xml:space="preserve">9. AUTOCLAVES	</t>
  </si>
  <si>
    <t xml:space="preserve">9.3. Autoclave washer disinfector	</t>
  </si>
  <si>
    <t>1/2 insert  for baskets</t>
  </si>
  <si>
    <r>
      <t xml:space="preserve">Upper basket with washing arm .
</t>
    </r>
    <r>
      <rPr>
        <b/>
        <sz val="12"/>
        <color indexed="10"/>
        <rFont val="Calibri"/>
        <family val="2"/>
      </rPr>
      <t>GDF Recommendation:</t>
    </r>
    <r>
      <rPr>
        <sz val="12"/>
        <color indexed="10"/>
        <rFont val="Calibri"/>
        <family val="2"/>
      </rPr>
      <t xml:space="preserve">
Product linked to the Laboratory washer-disinfector (106101)</t>
    </r>
  </si>
  <si>
    <t>1/4 insert, for test tubes 160x16</t>
  </si>
  <si>
    <r>
      <t xml:space="preserve">Net basket 1/4mm 200h/7.87 h.
</t>
    </r>
    <r>
      <rPr>
        <b/>
        <sz val="12"/>
        <color indexed="10"/>
        <rFont val="Calibri"/>
        <family val="2"/>
      </rPr>
      <t>GDF Recommendation:</t>
    </r>
    <r>
      <rPr>
        <sz val="12"/>
        <color indexed="10"/>
        <rFont val="Calibri"/>
        <family val="2"/>
      </rPr>
      <t xml:space="preserve">
Product linked to the Laboratory washer-disinfector (106101)</t>
    </r>
  </si>
  <si>
    <t>4.9. Line Probe Assay (LPA) equipment</t>
  </si>
  <si>
    <t>4 - Adapter for 50 ml tubes for refrigerated bench top centrifuge</t>
  </si>
  <si>
    <t xml:space="preserve">1772 Reducing adaptor size 13, 4 times (50ml) Falcon </t>
  </si>
  <si>
    <t>4 - Lids for rotor buckets for refrigerated bench top centrifuge</t>
  </si>
  <si>
    <t>1751 Aerosol tight lids for rotor bucket, set of 4 pcs</t>
  </si>
  <si>
    <t>4 - Place rotor for refrigerated bench top centrifuge</t>
  </si>
  <si>
    <t>4-place swing out 90˚rotor for bench top centrifuge capacity 4x290ml</t>
  </si>
  <si>
    <t>4 - Rotor buckets for refrigerated bench top centrifuge</t>
  </si>
  <si>
    <t>1752 Rotor bucket set of 4 pcs</t>
  </si>
  <si>
    <t>4-Adapter  for 12 ml/15 ml tubes for refrigerated bench top centrifuge</t>
  </si>
  <si>
    <t xml:space="preserve">1771 Reducing adapter  for 15 ml/12 ml tubes  Falcon, set of 4 pcs </t>
  </si>
  <si>
    <t xml:space="preserve">11. PPE, BIOSAFETY AND WASTE MANAGEMENT	</t>
  </si>
  <si>
    <t xml:space="preserve">11.3. Biosafety consumables	</t>
  </si>
  <si>
    <t>Absorbent laboratory paper</t>
  </si>
  <si>
    <t>Bench Surface protection, High-quality, smooth, absorbent paper that quickly absorbs liquid spills with a thick, laminated polyethylene layer that prevents seeping onto the work surface, 570x450mm, 50pcs per box</t>
  </si>
  <si>
    <t>4.4. GeneXpert services</t>
  </si>
  <si>
    <t>AccessCare Xpert enhanced Service and Maintenance</t>
  </si>
  <si>
    <r>
      <t xml:space="preserve">Only for countries with signed Service Level Agreements with Cepheid for AccessCare
AccessCare (surcharge) covers:
•	Sending a refurbished module when a module fails (module swapping)
•	Sending spare parts
•	Installation and trainings around the country
•	On-site visits to swap modules and install spare parts
•	On-site visits for annual preventative maintenance 
•	Online system of monitoring service request status
•	Monthly reporting of key performance indicators of . Cepheid’s and service provider’s performance against targets
</t>
    </r>
    <r>
      <rPr>
        <b/>
        <sz val="12"/>
        <color indexed="10"/>
        <rFont val="Cambria"/>
        <family val="1"/>
      </rPr>
      <t xml:space="preserve">GDF Recommendations:
</t>
    </r>
    <r>
      <rPr>
        <sz val="12"/>
        <color indexed="10"/>
        <rFont val="Cambria"/>
        <family val="1"/>
      </rPr>
      <t>· Please add the specific country negotiated price (in column I), in order to get the total price for teh requested quantity</t>
    </r>
  </si>
  <si>
    <t>3.4. Specimen processing consumables</t>
  </si>
  <si>
    <t>Adhesive labels</t>
  </si>
  <si>
    <t>Labels, adhesive 50x19mm, packaging 486 pcs per box (10boxes)</t>
  </si>
  <si>
    <t>1. MICROSCOPY</t>
  </si>
  <si>
    <t>1.4. Smear microscopy consumables</t>
  </si>
  <si>
    <t>AFB quality control slides</t>
  </si>
  <si>
    <t>Svizera</t>
  </si>
  <si>
    <t>Quality control slides to validate routine staining procedures. Individually packed in sealed foil pouches to preserve control sample integrity. Includes: 
· 3 slides for moderate organism count (3+) per high-powered field;
· 3 slides for low organism count (2+) per high-powered field
Each slide includes positive test sample and negative control per high-powered field.</t>
  </si>
  <si>
    <t>4.13. Electrophoresis reagents</t>
  </si>
  <si>
    <t>Agarose</t>
  </si>
  <si>
    <t>Agarose SeaKem LE(Lonza)</t>
  </si>
  <si>
    <t>5. INTERFERON-γ RELEASE ASSAY (IGRA)</t>
  </si>
  <si>
    <t>5.1. IGRA test kits</t>
  </si>
  <si>
    <t>AIM-V Medium (50 mL)</t>
  </si>
  <si>
    <t>Oxford Immunotec</t>
  </si>
  <si>
    <t>50 ml</t>
  </si>
  <si>
    <t>AIM-V Medium (500 mL)</t>
  </si>
  <si>
    <t>Airflow test set</t>
  </si>
  <si>
    <t>Dräger, Smoke sticks starter kit with rubber ball pump, rubber caps, 10 smoke tubes, tube opener ;
Product linked to the refill: Smoke stick pack (106508)</t>
  </si>
  <si>
    <t>Alarm clock</t>
  </si>
  <si>
    <t xml:space="preserve">Alarm clock, with stop function, digital, programmable for mx. 99 min, memory function, with alarm function at 0, </t>
  </si>
  <si>
    <t xml:space="preserve">6. SPECIMEN CULTURE AND DST	</t>
  </si>
  <si>
    <t>6.9. Solid and liquid culture DST: Second-line drug pure substances powder</t>
  </si>
  <si>
    <t>Amikacin  for laboratory use</t>
  </si>
  <si>
    <t>5 g</t>
  </si>
  <si>
    <t>Amikacin, free base for laboratory use;
·  1 g is needed for 100 tests to be done in solid or liquid culture;
· Powder presentation, needs to be prepared manually. Follow manufacturer's instructions</t>
  </si>
  <si>
    <t>6.8. Solid and liquid culture DST: Second-line drug pure substances lyophilized</t>
  </si>
  <si>
    <t>Amikacin - lyophilized drug for laboratory use with BACTEC MGIT</t>
  </si>
  <si>
    <t>BD</t>
  </si>
  <si>
    <r>
      <t xml:space="preserve">6-vial pack, 332 µg / vial  - to perform 240 tests;
</t>
    </r>
    <r>
      <rPr>
        <b/>
        <sz val="12"/>
        <color indexed="10"/>
        <rFont val="Cambria"/>
        <family val="1"/>
      </rPr>
      <t>GDF Recommendation:</t>
    </r>
    <r>
      <rPr>
        <sz val="12"/>
        <color indexed="10"/>
        <rFont val="Cambria"/>
        <family val="1"/>
      </rPr>
      <t xml:space="preserve">
· To perform liquid culture, MGIT tubes (106026) need to be ordered;
· This item has a very short shelf life. Need to order according to consumption</t>
    </r>
  </si>
  <si>
    <t>7. MTB IDENTIFICATION</t>
  </si>
  <si>
    <t>7.2. MTB Identification Chemicals for solid and liquid culture</t>
  </si>
  <si>
    <t>Analine / o-toluidine</t>
  </si>
  <si>
    <t>Analine/ o-toluidine for synthesis</t>
  </si>
  <si>
    <t>1.2. Smear microscopy equipment</t>
  </si>
  <si>
    <t>Analytical balance</t>
  </si>
  <si>
    <t>Analytical Balance ABT 120-5DNM, with single-cell weighing system, weighing range: 42 – 120 g, readout: 0,01 – 0,1 mg, reproducibility: 0,02 – 0,1 mg, linearity: 0,05 – 0,2 mg, incl. thermal printer with data interface RS-232;
Product has 2 years warranty;
Voltage / Amp / Frequency: 230V/ 50/60Hz, 110V 60Hz</t>
  </si>
  <si>
    <t>9.2. Autoclave water supply</t>
  </si>
  <si>
    <t>Aqua purificator cabinet for two de-mineralising cartridges</t>
  </si>
  <si>
    <t xml:space="preserve">Stainless steel storage cabinet for 2x cartridges  </t>
  </si>
  <si>
    <t>6.6. Liquid culture consumables</t>
  </si>
  <si>
    <t>AST Carrier Set (2-tube) - 3 carriers</t>
  </si>
  <si>
    <t>AST Carrier Set (3-tube) - 3 carriers</t>
  </si>
  <si>
    <t>AST Carrier Set (4-tube) - 3 carriers</t>
  </si>
  <si>
    <t>AST Carrier Set (5-tube) - 3 carriers</t>
  </si>
  <si>
    <t>AST Carrier Set (8-tube) - 3 carriers</t>
  </si>
  <si>
    <t>1.3. Smear microscopy reagents</t>
  </si>
  <si>
    <t>Auramine counterstaining solution</t>
  </si>
  <si>
    <t>Counterstaining solution, Methylene blue 0.3%, 1 litter</t>
  </si>
  <si>
    <t>Auramine decolourisation solution</t>
  </si>
  <si>
    <t>Ready-made decolourisation solution– 0,5% Hydrochloric Acid Alcohol, 1 litter</t>
  </si>
  <si>
    <t>Auramine O</t>
  </si>
  <si>
    <t>25 g</t>
  </si>
  <si>
    <t>Auramine O;, 25 gr</t>
  </si>
  <si>
    <t>Auramine stain solution and reagents set</t>
  </si>
  <si>
    <t>Set of 3 items: Auramine O C17H22ClN3 (5 g), Colourless phenol C6H6O crystals (200 g) an C2H6O ethanol Denatured 96% (1 litter)</t>
  </si>
  <si>
    <t>9.1. Autoclave equipment</t>
  </si>
  <si>
    <t>Autoclave basic unit for Media Kitchen</t>
  </si>
  <si>
    <r>
      <t xml:space="preserve">Autoclave type VX-75, with integrated stainless steel structure,  Vertical top-loading unit, 25 programs, RS232 and RS 485 for external data transfer, 80ltr. Chamber dimension 400x 600mm,  max pressure 5bar/ 150°C, 380V, 50/60 Hz.Product with 2 years warranty
</t>
    </r>
    <r>
      <rPr>
        <b/>
        <sz val="12"/>
        <color indexed="10"/>
        <rFont val="Cambria"/>
        <family val="1"/>
      </rPr>
      <t>GDF Recommendation:</t>
    </r>
    <r>
      <rPr>
        <sz val="12"/>
        <color indexed="10"/>
        <rFont val="Cambria"/>
        <family val="1"/>
      </rPr>
      <t xml:space="preserve">
GDF has 2 options for Autoclave basic unit for Media Kitchen ( Systec and SHP) please select the brand desired;
· This item needs to be ordered with the below items:
1. 106118 Exhaust air filtration system for Autoclave
2. 106119 Autoclave stainless steel buckets 
3. 106120 Autoclave stainless steel baskets
4. 106121 Printer for Autoclave
5. 106580 Compressor for Autoclave 106116
6. 106490 Installation and Training - Autoclave</t>
    </r>
  </si>
  <si>
    <r>
      <t xml:space="preserve">Autoclave Laboclav 80MSLV with blue lid for waste management, tank vol. 30lt, chamber size 82lt, max pressure 2.8 bar, max temp. 143°C, voltage 3N 400V~(±5%), 50 Hz, 16A, 4.5KW, with liquid control unit, liquid sterilization and recooling system. Product with 2 years warranty
</t>
    </r>
    <r>
      <rPr>
        <b/>
        <sz val="12"/>
        <color indexed="10"/>
        <rFont val="Cambria"/>
        <family val="1"/>
      </rPr>
      <t xml:space="preserve">GDF Recommendation:
</t>
    </r>
    <r>
      <rPr>
        <sz val="12"/>
        <color indexed="10"/>
        <rFont val="Cambria"/>
        <family val="1"/>
      </rPr>
      <t>GDF has 2 options for Autoclave basic unit for Media Kitchen ( Systec and SHP) please select the brand desired;
· This item needs to be ordered with the below items:
1. 106118 Exhaust air filtration system for Autoclave
2. 106119 Autoclave stainless steel buckets 
3. 106120 Autoclave stainless steel baskets
4. 106121 Printer for Autoclave
5. 106580 Compressor for Autoclave 106116
6. 106490 Installation and Training - Autoclave</t>
    </r>
  </si>
  <si>
    <t>Autoclave basic unit for Waste Management</t>
  </si>
  <si>
    <r>
      <t xml:space="preserve">Autoclave Laboclav 80V with red lid for waste management, tank vol. 30lt, chamber size 82lt, max pressure 2.8 bar, max temp. 143°C, voltage 3N 400V~(±5%), 50 Hz, 16A, 4.5KW. Product with 2 years warranty
</t>
    </r>
    <r>
      <rPr>
        <b/>
        <sz val="12"/>
        <color indexed="10"/>
        <rFont val="Cambria"/>
        <family val="1"/>
      </rPr>
      <t>GDF Recommendation:</t>
    </r>
    <r>
      <rPr>
        <sz val="12"/>
        <color indexed="10"/>
        <rFont val="Cambria"/>
        <family val="1"/>
      </rPr>
      <t xml:space="preserve">
GDF has 2 options for Autoclave basic unit for Waste Management (Systec and SHP). Please select the brand desired;
· This item needs to be ordered with the below items:
1. 106118 Exhaust air filtration system for Autoclave
2. 106119 Autoclave stainless steel buckets 
3. 106120 Autoclave stainless steel baskets
3. 106121 Printer for Autoclave
4. 106490 Installation and Training - Autoclave</t>
    </r>
  </si>
  <si>
    <r>
      <t xml:space="preserve">Autoclave type VX-75, with integrated stainless steel structure,  Vertical top-loading unit, 25 programs, RS232 and RS 485 for external data transfer, 80ltr. Chamber dimension 400x 600mm,  max pressure 5bar/ 150°C, 380V, 50/60 Hz, with integrated vacuum system for waste autoclaving. Product with 2 years warranty
</t>
    </r>
    <r>
      <rPr>
        <b/>
        <sz val="12"/>
        <color indexed="10"/>
        <rFont val="Cambria"/>
        <family val="1"/>
      </rPr>
      <t xml:space="preserve">GDF Recommendation:
</t>
    </r>
    <r>
      <rPr>
        <sz val="12"/>
        <color indexed="10"/>
        <rFont val="Cambria"/>
        <family val="1"/>
      </rPr>
      <t>GDF has 2 options for Autoclave basic unit for Waste Management (Systec and SHP). Please select the brand desired;
· This item needs to be ordered with the below items:
1. 106118 Exhaust air filtration system for Autoclave
2. 106119 Autoclave stainless steel buckets 
3. 106120 Autoclave stainless steel baskets
3. 106121 Printer for Autoclave
4. 106490 Installation and Training - Autoclave</t>
    </r>
  </si>
  <si>
    <t>Autoclave stainless steel baskets</t>
  </si>
  <si>
    <r>
      <t xml:space="preserve">Autoclave basket with drip tray for Laboclav 80, size: 100x400x250 mm .
</t>
    </r>
    <r>
      <rPr>
        <b/>
        <sz val="12"/>
        <color indexed="10"/>
        <rFont val="Calibri"/>
        <family val="2"/>
      </rPr>
      <t>GDF Recommendation:</t>
    </r>
    <r>
      <rPr>
        <sz val="12"/>
        <color indexed="10"/>
        <rFont val="Calibri"/>
        <family val="2"/>
      </rPr>
      <t xml:space="preserve">
Please order same quantity as the autoclave for Media Kitchen (106116)</t>
    </r>
  </si>
  <si>
    <r>
      <t xml:space="preserve">Autoclave basket with drip tray for Laboclav 80, size: 100x400x250 mm.
</t>
    </r>
    <r>
      <rPr>
        <b/>
        <sz val="12"/>
        <color indexed="10"/>
        <rFont val="Calibri"/>
        <family val="2"/>
      </rPr>
      <t>GDF Recommendation:</t>
    </r>
    <r>
      <rPr>
        <sz val="12"/>
        <color indexed="10"/>
        <rFont val="Calibri"/>
        <family val="2"/>
      </rPr>
      <t xml:space="preserve">
Please order same quantity as the autoclave for Media Kitchen (106117)</t>
    </r>
  </si>
  <si>
    <r>
      <t xml:space="preserve">Autoclave basket 360x225 mm.
</t>
    </r>
    <r>
      <rPr>
        <b/>
        <sz val="12"/>
        <color indexed="10"/>
        <rFont val="Calibri"/>
        <family val="2"/>
      </rPr>
      <t>GDF Recommendation:</t>
    </r>
    <r>
      <rPr>
        <sz val="12"/>
        <color indexed="10"/>
        <rFont val="Calibri"/>
        <family val="2"/>
      </rPr>
      <t xml:space="preserve">
Please order same quantity as the autoclave for Media Kitchen (106116)</t>
    </r>
  </si>
  <si>
    <r>
      <t xml:space="preserve">Autoclave basket 360x225 mm.
</t>
    </r>
    <r>
      <rPr>
        <b/>
        <sz val="12"/>
        <color indexed="10"/>
        <rFont val="Calibri"/>
        <family val="2"/>
      </rPr>
      <t>GDF Recommendation:</t>
    </r>
    <r>
      <rPr>
        <sz val="12"/>
        <color indexed="10"/>
        <rFont val="Calibri"/>
        <family val="2"/>
      </rPr>
      <t xml:space="preserve">
Please order same quantity as the autoclave for Media Kitchen (106117)</t>
    </r>
  </si>
  <si>
    <t xml:space="preserve">Autoclave stainless steel buckets </t>
  </si>
  <si>
    <r>
      <t xml:space="preserve">Autoclave basket stainless steel bucket for sterilisation, 360x355 mm.
</t>
    </r>
    <r>
      <rPr>
        <b/>
        <sz val="12"/>
        <color indexed="10"/>
        <rFont val="Calibri"/>
        <family val="2"/>
      </rPr>
      <t>GDF Recommendation:</t>
    </r>
    <r>
      <rPr>
        <sz val="12"/>
        <color indexed="10"/>
        <rFont val="Calibri"/>
        <family val="2"/>
      </rPr>
      <t xml:space="preserve">
Please order same quantity as the autoclave for Media Kitchen (106116)</t>
    </r>
  </si>
  <si>
    <r>
      <t xml:space="preserve">Autoclave basket stainless steel bucket for sterilisation, 360x355 mm.
</t>
    </r>
    <r>
      <rPr>
        <b/>
        <sz val="12"/>
        <color indexed="10"/>
        <rFont val="Calibri"/>
        <family val="2"/>
      </rPr>
      <t>GDF Recommendation:</t>
    </r>
    <r>
      <rPr>
        <sz val="12"/>
        <color indexed="10"/>
        <rFont val="Calibri"/>
        <family val="2"/>
      </rPr>
      <t xml:space="preserve">
Please order same quantity as the autoclave for Media Kitchen (106117)</t>
    </r>
  </si>
  <si>
    <r>
      <t xml:space="preserve">Autoclave basket stainless steel for Laboclav 80, size: 80x400x300 mm 
</t>
    </r>
    <r>
      <rPr>
        <b/>
        <sz val="12"/>
        <color indexed="10"/>
        <rFont val="Calibri"/>
        <family val="2"/>
      </rPr>
      <t>GDF Recommendation:</t>
    </r>
    <r>
      <rPr>
        <sz val="12"/>
        <color indexed="10"/>
        <rFont val="Calibri"/>
        <family val="2"/>
      </rPr>
      <t xml:space="preserve">
Please order same quantity as the autoclave for Media Kitchen (106116)</t>
    </r>
  </si>
  <si>
    <r>
      <t xml:space="preserve">Autoclave basket stainless steel for Laboclav 80, size: 80x400x300 mm .
</t>
    </r>
    <r>
      <rPr>
        <b/>
        <sz val="12"/>
        <color indexed="10"/>
        <rFont val="Calibri"/>
        <family val="2"/>
      </rPr>
      <t>GDF Recommendation:</t>
    </r>
    <r>
      <rPr>
        <sz val="12"/>
        <color indexed="10"/>
        <rFont val="Calibri"/>
        <family val="2"/>
      </rPr>
      <t xml:space="preserve">
Please order same quantity as the autoclave for Media Kitchen (106117)</t>
    </r>
  </si>
  <si>
    <t>8. MEDIA PREPARATION</t>
  </si>
  <si>
    <t>8.1. Media preparation equipment</t>
  </si>
  <si>
    <t>Automated culture media dispenser</t>
  </si>
  <si>
    <t>Automatic filling station, PD 5206, flow rate 1.3-3.900ml, flow rate accuracy ±2 %, rpm 24-600, speed setting and control digital, vol. dosing 0.1-9,999, interval dosing 0.1-9,999 in breaks 0.1sec-750h. Product with 2 years warranty;
Voltage / Amp / Frequency: 230V/ 50/60Hz, 110V 60Hz</t>
  </si>
  <si>
    <t>6.4. Liquid culture equipment</t>
  </si>
  <si>
    <t>BACTEC Installation and Training</t>
  </si>
  <si>
    <t>BACTEC MGIT 320 System - 441743 (including 440107 + 445941)</t>
  </si>
  <si>
    <r>
      <t xml:space="preserve">Non-radiometric, fully automated BACTEC MGIT 320 system (annual capacity of 2,700 tubes) for the rapid detection of mycobacteria in clinical specimens, other than blood, as well as antimicrobial susceptibility testing of anti-tuberculosis drugs known as S.I.R.E., I.R., and PZA. Product with 1 year warranty. 
This product includes: Starter Kit (440107), and AST Starter Kit (445941). Se above for composition of these items.
</t>
    </r>
    <r>
      <rPr>
        <b/>
        <sz val="12"/>
        <color indexed="10"/>
        <rFont val="Cambria"/>
        <family val="1"/>
      </rPr>
      <t xml:space="preserve">GDF Recommendation: </t>
    </r>
    <r>
      <rPr>
        <sz val="12"/>
        <color indexed="10"/>
        <rFont val="Cambria"/>
        <family val="1"/>
      </rPr>
      <t xml:space="preserve">
· The BACTEC MGIT320 contains only one drawer holding 320 MGIT tubes, for a throughput of approximately 2700 specimens per year;
· Printer (106016) needs to be procured separately.
· BACTEC MGIT 320 System:</t>
    </r>
    <r>
      <rPr>
        <sz val="12"/>
        <color indexed="8"/>
        <rFont val="Cambria"/>
        <family val="1"/>
      </rPr>
      <t xml:space="preserve"> </t>
    </r>
    <r>
      <rPr>
        <u/>
        <sz val="12"/>
        <color indexed="40"/>
        <rFont val="Cambria"/>
        <family val="1"/>
      </rPr>
      <t>www.bd.com/resource.aspx?IDX=11570</t>
    </r>
  </si>
  <si>
    <t>BACTEC MGIT 960 AST transport rack</t>
  </si>
  <si>
    <t xml:space="preserve">BACTEC MGIT 960 AST transport rack </t>
  </si>
  <si>
    <t>BACTEC MGIT 960 SIRE kit</t>
  </si>
  <si>
    <r>
      <t xml:space="preserve">The BD BACTEC™ MGIT™ 960 SIRE Kit is a rapid qualitative procedure for susceptibility testing of Mycobacterium tuberculosis, from culture, to streptomycin (STR), isoniazid (INH), rifampicin (RIF) and ethambutol (EMB);
</t>
    </r>
    <r>
      <rPr>
        <b/>
        <sz val="12"/>
        <color indexed="10"/>
        <rFont val="Cambria"/>
        <family val="1"/>
      </rPr>
      <t>GDF Recommendation:</t>
    </r>
    <r>
      <rPr>
        <sz val="12"/>
        <color indexed="10"/>
        <rFont val="Cambria"/>
        <family val="1"/>
      </rPr>
      <t xml:space="preserve">
For each box of SIRE kits, you need 2 boxes of MGIT Tubes (106026)</t>
    </r>
  </si>
  <si>
    <t>BACTEC MGIT 960 Supplement Kit (PANTA and OADC combined)</t>
  </si>
  <si>
    <t>1 pack is 6 tubes of 15 ml OADC and 6 tubes of PANTA
The kit includes 6 vials of lyophilised BBL™ MGIT™ PANTA™ Antibiotic Mixture and 6 vials of 15 ml BD BACTEC™ MGIT™ 960 Growth Supplement. The BD BACTEC™ MGIT™ Growth Supplement contains Middlebrook OADC enrichment (Oleic acid, Bovine albumin, Dextrose, Catalase and Polyoxyethylene stearate [POES]). The BBL™ MGIT™ PANTA™ Antibiotic Mixture contains Polymyxin B, Amphotericin B, Nalidixic acid, Trimethoprim and Azlocillin.</t>
  </si>
  <si>
    <t>BACTEC MGIT 960 System - 445870 (including 440107 + 445941)</t>
  </si>
  <si>
    <r>
      <t xml:space="preserve">Non-radiometric, fully automated BACTEC MGIT 960 system (annual capacity of 8,300 tubes) for the rapid detection of mycobacteria in clinical specimens, other than blood, as well as antimicrobial susceptibility testing of anti-tuberculosis drugs known as S.I.R.E., I.R., and PZA. Product with 1 year warranty. This product includes: Starter Kit (440107), and AST Starter Kit (445941)
</t>
    </r>
    <r>
      <rPr>
        <b/>
        <sz val="12"/>
        <color indexed="8"/>
        <rFont val="Cambria"/>
        <family val="1"/>
      </rPr>
      <t>Starter Kit (440107):</t>
    </r>
    <r>
      <rPr>
        <sz val="12"/>
        <color indexed="8"/>
        <rFont val="Cambria"/>
        <family val="1"/>
      </rPr>
      <t xml:space="preserve">
Manual Users BACTEC MGIT960; Quick Ref Guide MGIT960 RAW; Label Barcode BBL MGIT Tube; Station Plug Detail; Temperature QC Device; Kit Calibrator MGIT960 51 Pk; Cord 17255 Belden; Cordset 3 Cond Detachable; Cordset UK 6A/250V Black; Filter Air 5.5in X 5.5in; Filter Intake; Software Bactec MGIT USB Packaged; Carton 14.25in x 11.12 x 7.5in; Bubble Bag 4in x 7-1/2in; Label Drawer Needs Service; Label All Instrument (Label MGIT960 Tube Brkg Warn, Label MGIT960 Tube Brkg Jap, Label MGIT960 Tube Brkg Span, Label MGIT960 Tube Brkg Ital, Label MGIT960 Tube Brkg Germ, Label MGIT960 Tube Brkg French)
</t>
    </r>
    <r>
      <rPr>
        <b/>
        <sz val="12"/>
        <color indexed="8"/>
        <rFont val="Cambria"/>
        <family val="1"/>
      </rPr>
      <t>AST Starter Kit (445941):</t>
    </r>
    <r>
      <rPr>
        <sz val="12"/>
        <color indexed="8"/>
        <rFont val="Cambria"/>
        <family val="1"/>
      </rPr>
      <t xml:space="preserve">
User Manual; Quick reference guide; 2 x Transport rack; 16 x 5-tube AST Set carrier; 16 x 2-tube AST Set carrier; 3 x 3-tube AST Set carrier; 3 x 4-tube AST Set carrier and 3 x 8-tube AST Set carrier.</t>
    </r>
    <r>
      <rPr>
        <sz val="12"/>
        <color indexed="8"/>
        <rFont val="Cambria"/>
        <family val="1"/>
      </rPr>
      <t xml:space="preserve">
</t>
    </r>
    <r>
      <rPr>
        <b/>
        <sz val="12"/>
        <color indexed="10"/>
        <rFont val="Cambria"/>
        <family val="1"/>
      </rPr>
      <t>GDF Recommendations:</t>
    </r>
    <r>
      <rPr>
        <sz val="12"/>
        <color indexed="10"/>
        <rFont val="Cambria"/>
        <family val="1"/>
      </rPr>
      <t xml:space="preserve">
· Printer (106016) needs to be procured separately.
· BACTEC MGIT 960 Syste</t>
    </r>
    <r>
      <rPr>
        <sz val="12"/>
        <color indexed="8"/>
        <rFont val="Cambria"/>
        <family val="1"/>
      </rPr>
      <t xml:space="preserve">m: </t>
    </r>
    <r>
      <rPr>
        <u/>
        <sz val="12"/>
        <color indexed="40"/>
        <rFont val="Cambria"/>
        <family val="1"/>
      </rPr>
      <t>www.bd.com/resource.aspx?IDX=15213</t>
    </r>
  </si>
  <si>
    <t>BACTEC MGIT PZA Kit</t>
  </si>
  <si>
    <t>The BD BACTEC™ MGIT™ 960 PZA Kit is used for susceptibility testing of Mycobacterium tuberculosis in culture to pyrazinamide (PZA) in a qualitative test lasting 4-17 days. The Kit contains 2 vials of lyophilised antimicrobic and 6 vials of PZA Supplement. PZA must be reconstituted with 2.5 ml of sterile/deionized water before addition to BBL™ MGIT™ tubes. Carton of 2 lyophilised vials and 6 PZA Supplements</t>
  </si>
  <si>
    <t xml:space="preserve">BACTEC MGIT PZA Tubes </t>
  </si>
  <si>
    <t>The BD BACTEC™ MGIT™ 960 PZA Medium is a tube containing modified Middlebrook 7H9 Broth with a reduced pH of 5.9 and is to be used for susceptibility testing of Mycobacterium tuberculosis</t>
  </si>
  <si>
    <t xml:space="preserve">BACTEC Printer </t>
  </si>
  <si>
    <t>PRINTER BROTHER L5000D</t>
  </si>
  <si>
    <t>10. BIOSAFETY CABINETS</t>
  </si>
  <si>
    <t xml:space="preserve">10.1. Biosafety cabinet (BSC) Class II - 2 filters equipment	</t>
  </si>
  <si>
    <t>Base Support for BSC -  5 feet</t>
  </si>
  <si>
    <r>
      <t xml:space="preserve">Base Support frame for BSC Mars 1500.
</t>
    </r>
    <r>
      <rPr>
        <b/>
        <sz val="12"/>
        <color indexed="10"/>
        <rFont val="Cambria"/>
        <family val="1"/>
      </rPr>
      <t>GDF Recommendation:</t>
    </r>
    <r>
      <rPr>
        <sz val="12"/>
        <color indexed="10"/>
        <rFont val="Cambria"/>
        <family val="1"/>
      </rPr>
      <t xml:space="preserve">
Needed if you do not have laboratory benches or the like where you can put the BSC on.</t>
    </r>
  </si>
  <si>
    <t>Basic fuchsin</t>
  </si>
  <si>
    <t>Basic fuchsin; 4 x 25 gr</t>
  </si>
  <si>
    <t>Battery pack for microscope</t>
  </si>
  <si>
    <t>Battery supply unit consisting of battery and charger in one unit, for power supply via the line or the battery;
This battery can be use for a light microscope (106535) or for a LED microscope (106531)</t>
  </si>
  <si>
    <t>Battery pack for UPS 3000 VA</t>
  </si>
  <si>
    <t xml:space="preserve">Battery pack for UPS 3000 VA, to amplify the existing back up time of the UPS up to 150 min, auto select 50/60Hz 220/230/240v +/- 2 % Sinus, with UPS software. Product with 2 years warranty. </t>
  </si>
  <si>
    <t xml:space="preserve">10.2. Biosafety cabinet (BSC) Class II - 3 filters equipment		</t>
  </si>
  <si>
    <t xml:space="preserve">Battery pack for UPS 3000 VA, to amplify the existing back up time of the UPS up to 150 min, auto select 50/60Hz 220/230/240v +/- 2 % Sinus, with UPS software. Product with 2 years warranty </t>
  </si>
  <si>
    <t>Battery pack for UPS 3000 VA, to amplify the existing back up time of the UPS up to 150 min, auto select 50/60Hz 220/230/240v +/- 2 % Sinus, with UPS software. Product with 2 years warranty;</t>
  </si>
  <si>
    <t>4.5. Loop-mediated isothermal amplification (TB-LAMP) equipment</t>
  </si>
  <si>
    <t>Battery pack for UPS 700 VA</t>
  </si>
  <si>
    <t>Battery pack for UPS 700 VA, to amplify the existing back up time of the UPS up to 150 min, auto select 50/60Hz 220/230/240v +/- 2 % Sinus, with UPS software. Product with 2 years warranty;</t>
  </si>
  <si>
    <t xml:space="preserve">BBL MGIT OADC Enrichment </t>
  </si>
  <si>
    <t>OADC to be ordered with lyophilized SLDs for DST on liquid culture. 6 vials of 15 ml (90ml)</t>
  </si>
  <si>
    <t xml:space="preserve">BBL MGIT tubes for use in BACTEC MGIT 960 (7ml) </t>
  </si>
  <si>
    <t>The BACTEC™ MGIT™ Tube is intended for the detection and recovery of mycobacteria using the BD BACTEC™ MGIT™ 960 system. Each plastic tube has a screw-top cap and contains 7 ml of modified Middlebrook 7H9 Broth base, which is supplemented with BD BACTEC™ MGIT™ Growth Supplement (Cat. No. 245124). Acceptable specimen types are digested and decontaminated clinical specimens (except urine) and sterile body fluids (except blood). additionally, these tubes can also be used for antimicrobial susceptibility testing of mycobacteria, including SIRE and PZA testing.</t>
  </si>
  <si>
    <t>BD BACTEC MGIT  960 - Plug for Bad Station</t>
  </si>
  <si>
    <t>BBL™ Plug, Bad Station (10/sp)</t>
  </si>
  <si>
    <t xml:space="preserve">BD BACTEC MGIT  960 - Spare bar code Set carrier </t>
  </si>
  <si>
    <t>BD BBL™ AST Carrier Set, Spare Barcodes (1/ca)</t>
  </si>
  <si>
    <t xml:space="preserve">BD BACTEC MGIT 960 - Temperature QC Tube </t>
  </si>
  <si>
    <t>BD BBL™ QC Temperature Tube (1 ea.)</t>
  </si>
  <si>
    <t xml:space="preserve">BD BBL Calibrators Kit (for 1 drawer) (1 ea) </t>
  </si>
  <si>
    <r>
      <t xml:space="preserve">BD BBL™ Calibrators Kit (for 1 drawer). Contains 17 vials.
</t>
    </r>
    <r>
      <rPr>
        <b/>
        <sz val="12"/>
        <color indexed="10"/>
        <rFont val="Cambria"/>
        <family val="1"/>
      </rPr>
      <t>GDF Recommendation:</t>
    </r>
    <r>
      <rPr>
        <sz val="12"/>
        <color indexed="10"/>
        <rFont val="Cambria"/>
        <family val="1"/>
      </rPr>
      <t xml:space="preserve">
For replenishment, need to order 3 units per BACTEC 960 system: 1 unit is for 1 drawer</t>
    </r>
  </si>
  <si>
    <t xml:space="preserve">6.2. Solid culture reagents	</t>
  </si>
  <si>
    <t>BD BBL LJ slants w. Glyc. &amp; PACT</t>
  </si>
  <si>
    <r>
      <t xml:space="preserve">Lowenstein-Jensen Medium + PACT as an egg-based medium containing antimicrobials for the cultivation of Mycobacterium tuberculosis and other mycobacterial species.
</t>
    </r>
    <r>
      <rPr>
        <b/>
        <sz val="12"/>
        <color indexed="10"/>
        <rFont val="Cambria"/>
        <family val="1"/>
      </rPr>
      <t>GDF Recommendation:</t>
    </r>
    <r>
      <rPr>
        <sz val="12"/>
        <color indexed="10"/>
        <rFont val="Cambria"/>
        <family val="1"/>
      </rPr>
      <t xml:space="preserve">
This item has a very short shelf life. Need to order according to consumption.</t>
    </r>
  </si>
  <si>
    <t>BD BBL Lowenstein-Jensen Medium, slants</t>
  </si>
  <si>
    <t>Lowenstein-Jensen Medium is an egg-based medium used for the isolation and cultivation of mycobacteria. The medium tubed is used for the semi quantitative catalase test as an aid to the classification of mycobacteria</t>
  </si>
  <si>
    <t>6.5. Liquid culture reagents</t>
  </si>
  <si>
    <t xml:space="preserve">BD BBL Middlebrook 7H9 Broth with Glycerol, 5 mL </t>
  </si>
  <si>
    <r>
      <t xml:space="preserve">Middlebrook 7H9 Broth with Glycerol is a non-selective liquid culture medium for the cultivation of mycobacteria, including M. Tuberculosis. It is used primarily for growth of pure cultures of mycobacteria for use in laboratory studies. Prepared tubes, 5 ml.
</t>
    </r>
    <r>
      <rPr>
        <b/>
        <sz val="12"/>
        <color indexed="10"/>
        <rFont val="Cambria"/>
        <family val="1"/>
      </rPr>
      <t>GDF Recommendation:</t>
    </r>
    <r>
      <rPr>
        <sz val="12"/>
        <color indexed="10"/>
        <rFont val="Cambria"/>
        <family val="1"/>
      </rPr>
      <t xml:space="preserve">
This item has a very short shelf life. Need to order according to consumption.</t>
    </r>
  </si>
  <si>
    <t>BD BBL Middlebrook OADC Enrichment, 100 mL per bottle</t>
  </si>
  <si>
    <t>6 x 100 ml</t>
  </si>
  <si>
    <r>
      <t xml:space="preserve">BD BBL™ Middlebrook OADC Enrichment, 100 mL per bottle (6/sp) ;
</t>
    </r>
    <r>
      <rPr>
        <b/>
        <sz val="12"/>
        <color indexed="10"/>
        <rFont val="Cambria"/>
        <family val="1"/>
      </rPr>
      <t>GDF Recommendation:</t>
    </r>
    <r>
      <rPr>
        <sz val="12"/>
        <color indexed="10"/>
        <rFont val="Cambria"/>
        <family val="1"/>
      </rPr>
      <t xml:space="preserve">
This item has a very short shelf life. Need to order according to consumption.</t>
    </r>
  </si>
  <si>
    <t xml:space="preserve">BD BBL Middlebrook OADC Enrichment, 20 mL per tube, ''A'' size tube </t>
  </si>
  <si>
    <r>
      <t xml:space="preserve"> BD BBL™ Middlebrook OADC Enrichment, 20 mL per tube, ''A'' size tube (10/sp);
</t>
    </r>
    <r>
      <rPr>
        <b/>
        <sz val="12"/>
        <color indexed="10"/>
        <rFont val="Cambria"/>
        <family val="1"/>
      </rPr>
      <t>GDF Recommendation:</t>
    </r>
    <r>
      <rPr>
        <sz val="12"/>
        <color indexed="10"/>
        <rFont val="Cambria"/>
        <family val="1"/>
      </rPr>
      <t xml:space="preserve">
This item has a very short shelf life. Need to order according to consumption.</t>
    </r>
  </si>
  <si>
    <t xml:space="preserve">BD MGIT Fluorescence Manual Tube Reader </t>
  </si>
  <si>
    <t>The BD BACTEC™ MicroMGIT Fluorescence Reader is used for the qualitative reading of fluorescence in Manual MGIT™ Tubes (4 ml). The reader has a standard 9 volt battery, a low voltage indicator, and dimensions of 9.2 cm x 14.5 cm x 12.0 cm (W x D x H). A calibration tube is included.</t>
  </si>
  <si>
    <t>Beaker 1000 ml</t>
  </si>
  <si>
    <t>1000ml, borosilicate, graduated, heavy duty, for general laboratory use. The measures (50, 100, 150, 200, 250) printed in white on the glass</t>
  </si>
  <si>
    <t>Beaker 250 ml</t>
  </si>
  <si>
    <t>250ml, borosilicate, graduated, heavy duty, for general laboratory use. The measures (50, 100, 150, 200, 250) printed in white on the glass</t>
  </si>
  <si>
    <t>Biosafety Cabinet - 2 filters (4, 5 or 6 feet)</t>
  </si>
  <si>
    <r>
      <t xml:space="preserve">ScanLaf, Mars 1500, class II Biological safety Cabinet, EN 123980, with 3 Hepa filter H14, 99,999% efficient against 0.3µm particles, with motorised front window, digital control level,  noise level 56dB, Integrated UV Light, USB port and gas tap. Product with 2 years warranty;
</t>
    </r>
    <r>
      <rPr>
        <u/>
        <sz val="12"/>
        <color indexed="40"/>
        <rFont val="Cambria"/>
        <family val="1"/>
      </rPr>
      <t>Product brochure: www.labogene.com/Class-2-Cabinets--Mars</t>
    </r>
  </si>
  <si>
    <t>Biosafety Cabinet - 3 filters (4, 5 or 6 feet)</t>
  </si>
  <si>
    <r>
      <t xml:space="preserve">ScanLaf, Mars Pro 1500, class II Biological safety Cabinet, EN 123980, with 3 Hepa filter H14, 99,999% efficient against 0.3µm particles, with motorised front window, digital control level,  noise level 56dB, Integrated UV Light, USB port and gas tap. Product with 2 years warranty. Voltage / Amp / Frequency: 230V/ 50 Hz or 110V/ 60 Hz.
</t>
    </r>
    <r>
      <rPr>
        <b/>
        <sz val="12"/>
        <color indexed="10"/>
        <rFont val="Cambria"/>
        <family val="1"/>
      </rPr>
      <t xml:space="preserve">GDF Recommendation:
</t>
    </r>
    <r>
      <rPr>
        <sz val="12"/>
        <color indexed="10"/>
        <rFont val="Cambria"/>
        <family val="1"/>
      </rPr>
      <t>· GDF recommends to provide the labs with 3-filter-BSC’s (Mars 1500 Pro);
· Product brochure available here: https://www.labogene.com/Class-2-Cabinets--Mars-Pro</t>
    </r>
  </si>
  <si>
    <t>Boric acid</t>
  </si>
  <si>
    <t>Boric acid, for analyses EMSURE® ACS, ISO, Reag. Ph Eur &gt; 99.5%</t>
  </si>
  <si>
    <t xml:space="preserve">6.3. Solid culture consumables	</t>
  </si>
  <si>
    <t>Borosilicate glass culture tubes 12 ml</t>
  </si>
  <si>
    <t>Culture tubes, diameter 16 mm, length 125 mm, wall strength 1mm, thread outside; inner diameter min.13 mm; borosilicate glass with ISO winding, autoclavable screw caps with gasket out of PP or Teflon. Some prefer 18 mm diameter</t>
  </si>
  <si>
    <t xml:space="preserve">Bottle Middlebrook 7H9 Broth </t>
  </si>
  <si>
    <t>BD Difco™ Middlebrook 7H9 Broth, Use with Tween™ 80 or Glycerol and Middlebrook ADC Enrichment for cultivation of mycobacteria and preparation of tubercle emulsion for susceptibility testing, 500 g (1 ea)</t>
  </si>
  <si>
    <t>8.4. Media preparation consumables</t>
  </si>
  <si>
    <t>Box for 10 to 25 cm pipettes</t>
  </si>
  <si>
    <t xml:space="preserve">Pipette box aluminium/stainless steel with lid, square, silicon insert, desinfectable and autoclavable/sterilisable up to +205 °C , length total 290 mm, usable length of 257 mm </t>
  </si>
  <si>
    <t>Box for 35 cm pipettes</t>
  </si>
  <si>
    <t xml:space="preserve">Pipette box aluminium/stainless steel with lid, square, silicon insert, desinfectable and autoclavable/sterilisable up to +205 °C , length total 430 mm, usable length of 412 mm </t>
  </si>
  <si>
    <t>Brain heart infusion agar</t>
  </si>
  <si>
    <t>Brain Heart infusion Agar, for cultivation of fastidious microorganisms 500g</t>
  </si>
  <si>
    <t xml:space="preserve">Bright field microscope - ZN </t>
  </si>
  <si>
    <t>MEG</t>
  </si>
  <si>
    <r>
      <t xml:space="preserve">Binocular microscope Olympus CX23 with: 
- Binocular tube
- Stand with quadruple revolving nose-piece
- Eyepieces 10x with Helicoid adjustment (FN 20, anti fungus); right-handle- double plate stage
- Abbe condenser; power cord
- Plan objectives (anti-fungus) 4x, 10x, 40x, 100x 
- With AC adapter and fixing belt for transportation
- Power supply: 100-240VAC, 50/60Hz.
Product has 1 year warranty;
· Olympus CX23 features: </t>
    </r>
    <r>
      <rPr>
        <u/>
        <sz val="12"/>
        <color indexed="40"/>
        <rFont val="Cambria"/>
        <family val="1"/>
      </rPr>
      <t>www.olympus-lifescience.com/en/microscopes/upright/cx23/</t>
    </r>
  </si>
  <si>
    <t xml:space="preserve">Brush for Erlenmeyer flasks </t>
  </si>
  <si>
    <t>Erlenmeyer, bottle brush length 470mm</t>
  </si>
  <si>
    <t>Brush for test tubes</t>
  </si>
  <si>
    <t>Rotalab® tub brush, length 300mm, Ø25mm, packaging 5 pcs</t>
  </si>
  <si>
    <t>3.2. Specimen processing equipment</t>
  </si>
  <si>
    <t>Bunsen burner</t>
  </si>
  <si>
    <t>Teclu gas burner: diameter of flame exit: outer Ø 18mm, inner Ø mm</t>
  </si>
  <si>
    <t>Calibrated thermometer</t>
  </si>
  <si>
    <t>Measuring range   -50.0 to +300.0 ° C 
Accuracy  ±0.2 °C (-50 to +200 °C)
±0.3 °C (rest meas. range) 
Resolution  0.1 °C 
Working temperature  -20 to +50 °C 
Dimensions (W x D x H)  64 x 40 x 182 mm 
Weight  171 g 
Delivery incl. thermometer testo 112 incl. Pt 100 Immersion-/Penetration probe (L 115 mm, Ø 5 mm) with attached cable (cable length approx. 1.2 m), Certificate of Calibration and E-Block battery 9 V.</t>
  </si>
  <si>
    <t>8.2. Media preparation plasticware</t>
  </si>
  <si>
    <t>Canister 10 lt</t>
  </si>
  <si>
    <t>Bürkle, Canister wide mouth with screw cap, capacity 10Lt.
HDPE, transparent. Extra wide filling opening also makes cleaning inside much easier, which is important particularly when storing and transporting sensitive substances. UV-stabilised. Good chemical resistance. Heat resistant up to 110 °C. With threaded connector on the side just above the canister bottom, and drain cock 216-2850.
Product inked to  stop cock PP (106145)</t>
  </si>
  <si>
    <t>Canister 30 lt</t>
  </si>
  <si>
    <t>Bürkle, Canister wide mouth with screw cap, capacity 31Lt.
HDPE, transparent. Extra wide filling opening also makes cleaning inside much easier, which is important particularly when storing and transporting sensitive substances. UV-stabilised. Good chemical resistance. Heat resistant up to 110 °C. With threaded connector on the side just above the canister bottom, and drain cock 216-2851;
Product inked to  stop cock PP (106145)</t>
  </si>
  <si>
    <t>7.1. MTB Identification Rapid test for solid and liquid culture</t>
  </si>
  <si>
    <t xml:space="preserve">Capilia TB-Neo - Rapid test for detection of MPT 64 Antigen </t>
  </si>
  <si>
    <t>TAUNS</t>
  </si>
  <si>
    <r>
      <t xml:space="preserve">To detect M. tuberculosis complex antigens in a suspension of bacteria cultured on the medium for acid-fast bacteria (AFB) or in a portion of the liquid medium for AFB in which bacteria have been cultured (to assist in the diagnosis of tuberculosis). Reading time is 3-8 min.
· Product linked to the extraction buffer (106612);
· Product features: </t>
    </r>
    <r>
      <rPr>
        <u/>
        <sz val="12"/>
        <color indexed="40"/>
        <rFont val="Cambria"/>
        <family val="1"/>
      </rPr>
      <t>http://capilia.jp/english/capilia_tb-neo.html</t>
    </r>
  </si>
  <si>
    <t xml:space="preserve">Capilia TB-Neo Extraction buffer </t>
  </si>
  <si>
    <t>20 ml</t>
  </si>
  <si>
    <t>This product is an extraction buffer using Capilia TB-Neo to prepare a sample that is employed for the identification test of M. Tuberculosis when using a solid medium for acid-fast bacteria (AFB).
Product linked to Capilia TB-Neo - Rapid test for detection of MPT 64 Antigen (106611);</t>
  </si>
  <si>
    <t>Capreomycin - lyophilized drug for laboratory use with BACTEC MGIT</t>
  </si>
  <si>
    <r>
      <t xml:space="preserve">6-vial pack, 830 µg / vial - to perform 240 tests;
</t>
    </r>
    <r>
      <rPr>
        <b/>
        <sz val="12"/>
        <color indexed="10"/>
        <rFont val="Cambria"/>
        <family val="1"/>
      </rPr>
      <t>GDF Recommendation:</t>
    </r>
    <r>
      <rPr>
        <sz val="12"/>
        <color indexed="10"/>
        <rFont val="Cambria"/>
        <family val="1"/>
      </rPr>
      <t xml:space="preserve">
· To perform liquid culture, MGIT tubes (106026) need to be ordered;
· This item has a very short shelf life. Need to order according to consumption</t>
    </r>
  </si>
  <si>
    <t>Capreomycin for laboratory use</t>
  </si>
  <si>
    <t>Capreomycin for laboratory use;
·  1 g is needed for 100 tests to be done in solid or liquid culture;
· Powder presentation, needs to be prepared manually. Follow manufacturer's instructions</t>
  </si>
  <si>
    <t>Cetylpyridinium chloride monohydrate</t>
  </si>
  <si>
    <t xml:space="preserve">Cetylpyridinium chloride monohydrate </t>
  </si>
  <si>
    <t xml:space="preserve">11.4. Biosafety disinfectants	</t>
  </si>
  <si>
    <t>Chlorine disinfectant</t>
  </si>
  <si>
    <t>For simultaneous disinfecting in the laboratory and medical field. Based on NaDCC (sodium dichloroisocyanurate). Weight of tablet 6 g. Recommended active chlorine content for acinetobacter bactericidal, (Clostridium difficile (also spores), E. Coli, Enterococcus, Klebsiella, Pseudomonas and Staphylococcus (MRSA) (tested acc. to EN 1276), contains 1000 ppm - this corresponds to a dosage of one tablet in 1 litre water.</t>
  </si>
  <si>
    <t>Cleaner and disinfectant for instruments</t>
  </si>
  <si>
    <t>Bomix® plus 2lt, Aldehyde-free instrument decontaminant</t>
  </si>
  <si>
    <t>Clofazimine for laboratory use</t>
  </si>
  <si>
    <t>Clofazimine for laboratory use. 1 g;
Powder presentation; needs to be prepared manually. Follow manufacturer's instructions</t>
  </si>
  <si>
    <t>4.11. Line Probe Assay (LPA) consumables</t>
  </si>
  <si>
    <t>Combitips 12.5 ml</t>
  </si>
  <si>
    <r>
      <t xml:space="preserve">Dispenser tips classic, 12.5ml individually packed Compatible with: Ritter® pipette® and pipette® pro, Eppendorf® Multipette® 4780, Brand® HandyStep® and HandyStep®electronic, Minilab 100/101, Easy Step, Distriman®;
</t>
    </r>
    <r>
      <rPr>
        <b/>
        <sz val="12"/>
        <color indexed="10"/>
        <rFont val="Cambria"/>
        <family val="1"/>
      </rPr>
      <t xml:space="preserve">GDF Recommendation:
</t>
    </r>
    <r>
      <rPr>
        <sz val="12"/>
        <color indexed="10"/>
        <rFont val="Cambria"/>
        <family val="1"/>
      </rPr>
      <t>Product linked to the hand-dispenser pipette (106115)</t>
    </r>
  </si>
  <si>
    <t>Combitips 5 ml</t>
  </si>
  <si>
    <r>
      <t xml:space="preserve">Dispenser tips classic, 5ml, individually packed  Compatible with: Ritter® pipette® and pipette® pro, Eppendorf® Multipette® 4780, Brand® HandyStep® and HandyStep®electronic, Minilab 100/101, Easy Step, Distriman®;
</t>
    </r>
    <r>
      <rPr>
        <b/>
        <sz val="12"/>
        <color indexed="10"/>
        <rFont val="Cambria"/>
        <family val="1"/>
      </rPr>
      <t>GDF Recommendation:</t>
    </r>
    <r>
      <rPr>
        <sz val="12"/>
        <color indexed="10"/>
        <rFont val="Cambria"/>
        <family val="1"/>
      </rPr>
      <t xml:space="preserve">
Product linked to the hand-dispenser pipette (106115)</t>
    </r>
  </si>
  <si>
    <t>Compressor for Autoclave 106116</t>
  </si>
  <si>
    <t>Compressor Planet-Air L-S50-15, 1-motor with suction capacity 50 I/min, container volume 15 litre, with pressure reducer, water strainer, quick coupler and 0,01 micro filter. 
Please order same quantity as the autoclave for Media Kitchen (106116)</t>
  </si>
  <si>
    <t xml:space="preserve">Compressor Planet-Air L-S50-15, 1-motor with suction capacity 50 I/min, container volume 15 litre, with pressure reducer, water strainer, quick coupler and 0,01 micro filter. 2 years warranty. </t>
  </si>
  <si>
    <t>Conductivity measuring device</t>
  </si>
  <si>
    <t>Conductivity meter LKM Type a 1.0 with quick connections, conductivity in µS/cm and temp in °C, conductivity measuring range: 0.055-199.9 µS/cm, temp range 0.1-99.9 °C, automatic temp compensation, 230V/ 50Hz.
Product linked to the separate water supply (106107)</t>
  </si>
  <si>
    <t>11.1 Personal Protective equipment (PPE)</t>
  </si>
  <si>
    <t>Cotton laboratory coat size L</t>
  </si>
  <si>
    <t>Laboratory coat with cuffs, 100 % Cotton, twill 3/1, white, 205 g/m²,  Rivet closing at front, 3 pockets</t>
  </si>
  <si>
    <t>Cotton laboratory coat size M</t>
  </si>
  <si>
    <t>Cotton laboratory coat size S</t>
  </si>
  <si>
    <t>Cotton surgical gown size L</t>
  </si>
  <si>
    <t>Surgical gown with cuffs, 100% Cotton, plain weave, white, 175 g/m², Closing with binding bands out of main fabric </t>
  </si>
  <si>
    <t>Cotton surgical gown size M</t>
  </si>
  <si>
    <t>Cotton surgical gown size S</t>
  </si>
  <si>
    <t>Cotton wick for spirit lamp 1 m</t>
  </si>
  <si>
    <t>Spare wick for spirit lamp, approx. 1 meter. resalable packaging</t>
  </si>
  <si>
    <t>Cotton wool</t>
  </si>
  <si>
    <t>Nobavit, Cotton wool, 100% cotton, 1kg 40cm width</t>
  </si>
  <si>
    <t>Cryo-gloves for laboratory deep freezer 550 lt</t>
  </si>
  <si>
    <t>Cryo-gloves for laboratory deep freezer 550 lt;
Product linked to the deep Freezer 550L (106592)</t>
  </si>
  <si>
    <t xml:space="preserve">Culture transportation packaging </t>
  </si>
  <si>
    <t xml:space="preserve">Alex Breuer GmbH BIO bottle transport box for cultures with BioPack insert, IATA approved, 2 lt, height  inside 210mm, including label and absorbate material </t>
  </si>
  <si>
    <t xml:space="preserve">Cyanogen bromide </t>
  </si>
  <si>
    <t>50 g</t>
  </si>
  <si>
    <r>
      <t xml:space="preserve">Cyanogen bromide for synthesis.
</t>
    </r>
    <r>
      <rPr>
        <b/>
        <sz val="12"/>
        <color indexed="10"/>
        <rFont val="Cambria"/>
        <family val="1"/>
      </rPr>
      <t>GDF Recommendation:</t>
    </r>
    <r>
      <rPr>
        <sz val="12"/>
        <color indexed="10"/>
        <rFont val="Cambria"/>
        <family val="1"/>
      </rPr>
      <t xml:space="preserve">
Dangerous item. It can ONLY be transported by road</t>
    </r>
  </si>
  <si>
    <t>Denatured alcohol</t>
  </si>
  <si>
    <t>Ethanol for stain solutions and decolourization. Approx. 99 %; 1 litre</t>
  </si>
  <si>
    <t>Densitometer</t>
  </si>
  <si>
    <t>Densitometer, MiniDen, designed to measure cell suspensions turbidity in the range of 0.3-0.5 McFarland units (100x109  cells/ml - 150x109 cells/ml). Product includes adaptor of 16mm and set of McFarland stds. Products with 2 years warranty. Voltage / Amp / Frequency: 230V/ 50/60Hz, 110V 60Hz</t>
  </si>
  <si>
    <t>Desiccator</t>
  </si>
  <si>
    <t xml:space="preserve">Desiccator "Novus", art. No. 1164/20: stress, vacuum density and pressure tested, with std ground stopcock in the  interchangeable cover, Porcelain for desiccators 1175/20, with various perforations and one large hole in centre </t>
  </si>
  <si>
    <t>Detergent powder</t>
  </si>
  <si>
    <t>10 kg</t>
  </si>
  <si>
    <t xml:space="preserve">Detergent kit DECONEX 22 HPF/ average for 3 month </t>
  </si>
  <si>
    <t>2. RAPID ANTIGEN DETECTION</t>
  </si>
  <si>
    <t>2.1 Rapid antigen detection tests (LAM)</t>
  </si>
  <si>
    <t>Determine TB LAM Ag</t>
  </si>
  <si>
    <t>Abbott Diagnostics Medical</t>
  </si>
  <si>
    <r>
      <t xml:space="preserve">Alere Determine TB LAM Ag is for the detection of LAM antigen of Mycobacteria in human urine as an aid in the diagnosis of active mycobacterial infection in HIV positive individuals with clinical symptoms of tuberculosis. 
Kit content:TB LAM Ag Test Card, 10 cards (10 tests/card) ; reference Scale Card;
Accessories required but not provided: Urine collection cups 
2) Pipette 60 μL and disposable pipette tips; timer
Determine TB LAM Ag : </t>
    </r>
    <r>
      <rPr>
        <u/>
        <sz val="12"/>
        <color indexed="40"/>
        <rFont val="Cambria"/>
        <family val="1"/>
      </rPr>
      <t>www.alere.com/en/home/product-details/determine-tb-lam.html</t>
    </r>
  </si>
  <si>
    <t xml:space="preserve">1.1 Smear microscopy kits	</t>
  </si>
  <si>
    <t>Diagnostic consumables kit - 
ZN microscopy</t>
  </si>
  <si>
    <r>
      <rPr>
        <b/>
        <sz val="12"/>
        <color indexed="8"/>
        <rFont val="Cambria"/>
        <family val="1"/>
      </rPr>
      <t>Firs box (Dangerous goods):</t>
    </r>
    <r>
      <rPr>
        <sz val="12"/>
        <color indexed="8"/>
        <rFont val="Cambria"/>
        <family val="1"/>
      </rPr>
      <t xml:space="preserve">
• 6 x 1 L ZN stain solution (strong Carbol Fuchsin 1% solution)
• 6 x 1 L ZN decolorization sol</t>
    </r>
    <r>
      <rPr>
        <sz val="12"/>
        <color indexed="8"/>
        <rFont val="Cambria"/>
        <family val="1"/>
      </rPr>
      <t xml:space="preserve">ution (ready-made decolorization solution– 3.0% HCl/alcohol); 5 x 0.5 L denatured alcohol, 96%
• 6 x 1 L ZN counterstaining solution (Methylene blue 0.1%)
• 50 x 20 microscope slides; 100x lens cleaning tissues
</t>
    </r>
    <r>
      <rPr>
        <b/>
        <sz val="12"/>
        <color indexed="8"/>
        <rFont val="Cambria"/>
        <family val="1"/>
      </rPr>
      <t>Second box (General cargo):</t>
    </r>
    <r>
      <rPr>
        <sz val="12"/>
        <color indexed="8"/>
        <rFont val="Cambria"/>
        <family val="1"/>
      </rPr>
      <t xml:space="preserve">
</t>
    </r>
    <r>
      <rPr>
        <sz val="12"/>
        <color indexed="8"/>
        <rFont val="Cambria"/>
        <family val="1"/>
      </rPr>
      <t>• 10x pencils; 2x waterproof marker pens
• 500x plastic bags: width 200 mm x length 300 mm
• 2 x 1,000 wooden a</t>
    </r>
    <r>
      <rPr>
        <sz val="12"/>
        <color indexed="8"/>
        <rFont val="Cambria"/>
        <family val="1"/>
      </rPr>
      <t>pplicator sticks; 100x filter papers
• 400x nitrile pairs of gloves (100 sm</t>
    </r>
    <r>
      <rPr>
        <sz val="12"/>
        <color indexed="8"/>
        <rFont val="Cambria"/>
        <family val="1"/>
      </rPr>
      <t>all, 200 medium, 100 large)</t>
    </r>
    <r>
      <rPr>
        <sz val="12"/>
        <color indexed="8"/>
        <rFont val="Cambria"/>
        <family val="1"/>
      </rPr>
      <t xml:space="preserve">
• 4x25 ml immersion oil; 5 x 50 tabs stable chlorine disinfectant
</t>
    </r>
    <r>
      <rPr>
        <b/>
        <sz val="12"/>
        <color indexed="8"/>
        <rFont val="Cambria"/>
        <family val="1"/>
      </rPr>
      <t>Third box (</t>
    </r>
    <r>
      <rPr>
        <b/>
        <sz val="12"/>
        <color indexed="8"/>
        <rFont val="Cambria"/>
        <family val="1"/>
      </rPr>
      <t>General cargo)</t>
    </r>
    <r>
      <rPr>
        <sz val="12"/>
        <color indexed="8"/>
        <rFont val="Cambria"/>
        <family val="1"/>
      </rPr>
      <t xml:space="preserve">
30x150 Carton of paper towels.
</t>
    </r>
    <r>
      <rPr>
        <b/>
        <sz val="12"/>
        <color indexed="10"/>
        <rFont val="Cambria"/>
        <family val="1"/>
      </rPr>
      <t>GDF Recommendation:</t>
    </r>
    <r>
      <rPr>
        <sz val="12"/>
        <color indexed="10"/>
        <rFont val="Cambria"/>
        <family val="1"/>
      </rPr>
      <t xml:space="preserve"> 
• Shelf lives of products in the kit vary, the shortest product shelf life has 35 months; • For logistics purposes: 72 kits (11 pallets) will fill up a 20 foot container.
• GLI Handbook on Lab Diagnosis of TB by Sputum Microscopy:</t>
    </r>
    <r>
      <rPr>
        <sz val="12"/>
        <color indexed="8"/>
        <rFont val="Cambria"/>
        <family val="1"/>
      </rPr>
      <t xml:space="preserve"> </t>
    </r>
    <r>
      <rPr>
        <u/>
        <sz val="12"/>
        <color indexed="40"/>
        <rFont val="Cambria"/>
        <family val="1"/>
      </rPr>
      <t>www.stoptb.org/wg/gli/assets/documents/TB%20MICROSCOPY%20HANDBOOK_FINAL.pdf</t>
    </r>
  </si>
  <si>
    <t>Diagnostic consumables kit - LED/Auramine microscopy</t>
  </si>
  <si>
    <r>
      <rPr>
        <b/>
        <sz val="12"/>
        <rFont val="Cambria"/>
        <family val="1"/>
      </rPr>
      <t>Firs box (Dangerous goods):</t>
    </r>
    <r>
      <rPr>
        <sz val="12"/>
        <rFont val="Cambria"/>
        <family val="1"/>
      </rPr>
      <t xml:space="preserve">
• Auramine stain solution, reagents (Set of three components:
200g - colourless phenol C6H6O crystals; 1 L - C2H6O ethanol; and 5g - Auramine O C17H22ClN3); • 0.5 L denatured alcohol, 96%
• 6 x 1 L auramine decolorization solution (Ready-made
decolorization solution– 0.5% HCl/alcohol)
• 6 x 1 L auramine counterstaining solution (Methylene blue 0.3%)
</t>
    </r>
    <r>
      <rPr>
        <b/>
        <sz val="12"/>
        <rFont val="Cambria"/>
        <family val="1"/>
      </rPr>
      <t>Second box (General cargo):</t>
    </r>
    <r>
      <rPr>
        <sz val="12"/>
        <rFont val="Cambria"/>
        <family val="1"/>
      </rPr>
      <t xml:space="preserve">
• 50 x 20 microscope slides; • 100x lens cleaning tissues; • 4x25 ml immersion oil
• 100x filter papers; • 10x pencils; • 2x waterproof marker pens
• 500x plastic bags: width 200 mm x length 300 mm
• 400x nitrile pairs of gloves (100 small, 200 medium, 100 large)
• 1,000x wooden applicator sticks; • 5 x 50 tabs stable chlorine disinfectant
</t>
    </r>
    <r>
      <rPr>
        <b/>
        <sz val="12"/>
        <rFont val="Cambria"/>
        <family val="1"/>
      </rPr>
      <t xml:space="preserve">Third box (General cargo):
</t>
    </r>
    <r>
      <rPr>
        <sz val="12"/>
        <rFont val="Cambria"/>
        <family val="1"/>
      </rPr>
      <t xml:space="preserve">30x150 Carton of paper towels.
</t>
    </r>
    <r>
      <rPr>
        <b/>
        <sz val="12"/>
        <color indexed="10"/>
        <rFont val="Cambria"/>
        <family val="1"/>
      </rPr>
      <t xml:space="preserve">GDF Recommendation: </t>
    </r>
    <r>
      <rPr>
        <sz val="12"/>
        <color indexed="10"/>
        <rFont val="Cambria"/>
        <family val="1"/>
      </rPr>
      <t xml:space="preserve">
• Shelf lives of products in the kit vary, the shortest product shelf life has 35 months; •For logistics purposes: 72 kits (11 pallets) will fill up a 20 foot container.
• GLI Handbook on Lab Diagnosis of TB by Sputum Microscopy:</t>
    </r>
    <r>
      <rPr>
        <sz val="12"/>
        <rFont val="Cambria"/>
        <family val="1"/>
      </rPr>
      <t xml:space="preserve"> </t>
    </r>
    <r>
      <rPr>
        <u/>
        <sz val="12"/>
        <color indexed="40"/>
        <rFont val="Cambria"/>
        <family val="1"/>
      </rPr>
      <t>www.stoptb.org/wg/gli/assets/documents/TB%20MICROSCOPY%20HANDBOOK_FINAL.pdf</t>
    </r>
  </si>
  <si>
    <t>Digital thermometer</t>
  </si>
  <si>
    <t>Greisinger GTH 1170 Precision quick response thermometer: specs; measuring range -65 to + 199.9°C, resolution 0.1°C or 1 °C, accuracy -65 to +199.9°C ±0.5°C ; digital offset and scale adjustment for optimum precision, 9V battery type IEC 6F22 included.</t>
  </si>
  <si>
    <t>Dihydro-streptomycin (DHSM) - for laboratory use</t>
  </si>
  <si>
    <t>Dihydro-streptomycin;
Powder presentation; needs to be prepared manually. Follow manufacturer's instructions</t>
  </si>
  <si>
    <t>6.7. Solid and liquid culture DST: First-line drug pure substances</t>
  </si>
  <si>
    <t>Dimethyl sulfoxide</t>
  </si>
  <si>
    <t>250 ml</t>
  </si>
  <si>
    <t>Dimethyl sulfoxide, for analyses &gt; 99,5%</t>
  </si>
  <si>
    <t>11.6. Waste management consumables</t>
  </si>
  <si>
    <t>Discard bin 2 lt</t>
  </si>
  <si>
    <t xml:space="preserve">Bench top bin for small items like pipette tips and micro centrifuge tubes, hinged swinging lid, printed with biohazard symbol, holds 250x250mm autoclavable bags </t>
  </si>
  <si>
    <t>Disinfectant for alcohol-resistant surfaces</t>
  </si>
  <si>
    <t>5 lt</t>
  </si>
  <si>
    <t xml:space="preserve">Bacillol AF, alcoholic fast disinfectant, 5lt jerry can </t>
  </si>
  <si>
    <t>Disinfectant for floors</t>
  </si>
  <si>
    <t>Medizid AF, disinfectant for floor, 2lt jerry can</t>
  </si>
  <si>
    <t>Disinfectant for hands</t>
  </si>
  <si>
    <t>Disinfectant sterilium classic, 1lt bottle</t>
  </si>
  <si>
    <t xml:space="preserve">Di-Sodium hydrogen phosphate </t>
  </si>
  <si>
    <t>Di-Sodium hydrogen phosphate dodecahydrate</t>
  </si>
  <si>
    <t>di-Sodium hydrogen phosphate dodecahydrate for analyses EMSURE ® ISO, Reagent Ph Eur</t>
  </si>
  <si>
    <t>di-Sodium hydrogen phosphate anhydrous (offered also with crystal water) + 2water) Na2HPO4, MW: 141.96, p.a. for buffer</t>
  </si>
  <si>
    <t>Dispenser for soap-disinfectant</t>
  </si>
  <si>
    <t xml:space="preserve">TTM soap and disinfectant dispenser , wall mounted, for 1 lt bottles, </t>
  </si>
  <si>
    <t>Dispenser pipette 10 ml</t>
  </si>
  <si>
    <t>Eppendorf Hand-dispenser pipette, Multipipette ® Plus</t>
  </si>
  <si>
    <t>Disposable inoculation loops 10 µl</t>
  </si>
  <si>
    <t>VWR disposable loop, flexible 10µl, packaging in bags of 10 pcs, in box of 500 pcs. Product linked to the loop holder (106232)</t>
  </si>
  <si>
    <t xml:space="preserve">Disposable laboratory coats size L </t>
  </si>
  <si>
    <t>Laboratory coat made of Polypropylene- single use, white, 50 g/m², size L, packaging in box of 50</t>
  </si>
  <si>
    <t>Disposable laboratory coats size M</t>
  </si>
  <si>
    <t>Laboratory coat made of Polypropylene- single use, white, 50 g/m², size M, packaging in box of 50</t>
  </si>
  <si>
    <t xml:space="preserve">Disposable laboratory coats size S </t>
  </si>
  <si>
    <t>Laboratory coat made of Polypropylene- single use, white, 50 g/m², size S, packaging in box of 50</t>
  </si>
  <si>
    <t>Disposable nitrile gloves size L</t>
  </si>
  <si>
    <t>Disposable nitril gloves, light blue powder free, with structured finger tips length 300mm, strength 0.10 mm, size 8-9 , in spender box, 100 pcs per box</t>
  </si>
  <si>
    <t>Disposable nitrile gloves size M</t>
  </si>
  <si>
    <t>Disposable nitril gloves, light blue powder free, with structured finger tips length 300mm, strength 0.10 mm, size 7-8 , in spender box, 100 pcs per box</t>
  </si>
  <si>
    <t>Disposable nitrile gloves size S</t>
  </si>
  <si>
    <t>Disposable nitril gloves, light blue powder free, with structured finger tips length 300mm, strength 0.10 mm, size 6-7 , in spender box, 100 pcs per box</t>
  </si>
  <si>
    <t>Disposable respirators N95</t>
  </si>
  <si>
    <t>3M, foldable mask, FFP2 protection level, STD: EN 149:2001FFP2, CE Marked, Assigned Protection Factor: 10xWEL (Nominal Protection Factor 12x WEL)</t>
  </si>
  <si>
    <t xml:space="preserve">DNA ladder </t>
  </si>
  <si>
    <t xml:space="preserve">Roth DNA Ladder kombi, 100-10000 bp, 20μ + 50μ + gel buffer/ CL22.1. Control for separation of DNA fragments </t>
  </si>
  <si>
    <t>Double Exhaust filter</t>
  </si>
  <si>
    <r>
      <t xml:space="preserve">Double HEPA Exhaust Filter and frame for MARS 900/1200 - dimensions 610 x 457 x 115 mm
Double HEPA Exhaust Filter and frame for MARS 1500/1800 - dimensions 915 x 457 x 115 mm.
</t>
    </r>
    <r>
      <rPr>
        <b/>
        <sz val="12"/>
        <color indexed="10"/>
        <rFont val="Cambria"/>
        <family val="1"/>
      </rPr>
      <t>GDF Recommendation:</t>
    </r>
    <r>
      <rPr>
        <sz val="12"/>
        <color indexed="10"/>
        <rFont val="Cambria"/>
        <family val="1"/>
      </rPr>
      <t xml:space="preserve">
If you need a 3-filter-BSC but do not have the space for a 3-filter-BSC, you can use this to “make” a 3-filter-BSC of a 2-filter-BSC.</t>
    </r>
  </si>
  <si>
    <t>EDTA</t>
  </si>
  <si>
    <t>250 g</t>
  </si>
  <si>
    <t xml:space="preserve">EDTA Bio chemical </t>
  </si>
  <si>
    <t>6.1. Solid culture equipment</t>
  </si>
  <si>
    <t>Electric sterilizer for loops and needles</t>
  </si>
  <si>
    <t>Bacti-Cinerator IV Sterilizer Safely sterilizes loops and needles by infrared heat, Complete sterilization occurs in only 5 to 7 seconds at optimum temperature of 1500°F. Heat is contained in deep ceramic tube to safeguard laboratory personnel—no open flame. No need to wait for instruments to turn red.
· 2 years warranty; 
· Voltage / Amp / Frequency: 230V/ 50/60Hz, 110V 60Hz</t>
  </si>
  <si>
    <t>Electronic pipette dispenser 50 ml</t>
  </si>
  <si>
    <t>Multi pipette ®stream: Automatic Combitip ®plus tip recognition and volume recognition, volume range from 1µ-50ml, illuminated easy to - read display, 1 button tip rejector, rapid, ergonomic dispensing with motorized piston, high precision while handling</t>
  </si>
  <si>
    <t>4.12. Electrophoresis equipment</t>
  </si>
  <si>
    <t>Electrophoresis chamber</t>
  </si>
  <si>
    <t>Electrophoresis, horizontal mini gel system for separation of nucleic acids fragments PHERO-sub 0710-E complete system incl. 1x gel tray 70x100mm, UV transparent, 1x casting dams (2pcs.), 2x comb, 8 slots, 1mm, loading guides, platform, Cable set. Product with 2 years warranty. Voltage / Amp / Frequency: 230V/ 50/60Hz, 110V 60Hz</t>
  </si>
  <si>
    <t xml:space="preserve">8.3. Media preparation glassware	</t>
  </si>
  <si>
    <t>Erlenmeyer flask 100 ml</t>
  </si>
  <si>
    <t xml:space="preserve">Erlenmeyer flask, borosilicate Din/ ISO 3585, wide neck, graduated, 100ml </t>
  </si>
  <si>
    <t>Erlenmeyer flask 1000 ml</t>
  </si>
  <si>
    <t xml:space="preserve">Erlenmeyer flask, borosilicate Din/ ISO 3585, wide neck, graduated, 1000ml </t>
  </si>
  <si>
    <t>Erlenmeyer flask 2000 ml</t>
  </si>
  <si>
    <t xml:space="preserve">Erlenmeyer flask, borosilicate Din/ ISO 3585, wide neck, graduated, 2000ml </t>
  </si>
  <si>
    <t>Erlenmeyer flask 250 ml</t>
  </si>
  <si>
    <t xml:space="preserve">Erlenmeyer flask, borosilicate Din/ ISO 3585, wide neck, graduated, 250ml </t>
  </si>
  <si>
    <t>Erlenmeyer flask 50 ml</t>
  </si>
  <si>
    <t xml:space="preserve">Erlenmeyer flask, borosilicate Din/ ISO 3585, wide neck, graduated, 50ml </t>
  </si>
  <si>
    <t>Erlenmeyer flask 500 ml</t>
  </si>
  <si>
    <t xml:space="preserve">Erlenmeyer flask, borosilicate Din/ ISO 3585, wide neck, graduated, 500ml </t>
  </si>
  <si>
    <t>Ethambutol for laboratory use</t>
  </si>
  <si>
    <t>Ethambutol ;
Powder presentation; needs to be prepared manually. Follow manufacturer's instructions</t>
  </si>
  <si>
    <t>Ethanol 96%</t>
  </si>
  <si>
    <t>Ethanol, 96%, technical grade, C2H6O, MW: 46,07, boiling point: 75 -78 °C</t>
  </si>
  <si>
    <t>Ethidium bromide powder</t>
  </si>
  <si>
    <t xml:space="preserve">Ethidium bromide, for bio chemical usage </t>
  </si>
  <si>
    <t>Ethidium bromide solution</t>
  </si>
  <si>
    <t>5 ml</t>
  </si>
  <si>
    <t>Ethidium bromide solution, 500 µg/mL in H2O</t>
  </si>
  <si>
    <t>Ethionamide for laboratory use</t>
  </si>
  <si>
    <t>Ethionamide for laboratory use;
·  1 g is needed for 100 tests to be done in solid or liquid culture;
· Powder presentation, needs to be prepared manually. Follow manufacturer's instructions</t>
  </si>
  <si>
    <t>Exhaust air filtration system for Autoclave</t>
  </si>
  <si>
    <r>
      <t xml:space="preserve">Exhaust air filter system for Laboclav 80V and 80 MSLV: filter element 0,2 µm, Pt 100 sensor, filter control, stainless steel housing.
</t>
    </r>
    <r>
      <rPr>
        <b/>
        <sz val="12"/>
        <color indexed="10"/>
        <rFont val="Calibri"/>
        <family val="2"/>
      </rPr>
      <t>GDF Recommendation:</t>
    </r>
    <r>
      <rPr>
        <sz val="12"/>
        <color indexed="10"/>
        <rFont val="Calibri"/>
        <family val="2"/>
      </rPr>
      <t xml:space="preserve">
Please order same quantity as the autoclave for Media Kitchen (106116)</t>
    </r>
  </si>
  <si>
    <r>
      <t xml:space="preserve">Exhaust air filter system for Laboclav 80V and 80 MSLV: filter element 0,2 µm, Pt 100 sensor, filter control, stainless steel housing.
</t>
    </r>
    <r>
      <rPr>
        <b/>
        <sz val="12"/>
        <color indexed="10"/>
        <rFont val="Calibri"/>
        <family val="2"/>
      </rPr>
      <t>GDF Recommendation:</t>
    </r>
    <r>
      <rPr>
        <sz val="12"/>
        <color indexed="10"/>
        <rFont val="Calibri"/>
        <family val="2"/>
      </rPr>
      <t xml:space="preserve">
Please order same quantity as the autoclave for Media Kitchen (106117)</t>
    </r>
  </si>
  <si>
    <r>
      <t xml:space="preserve">Exhaust air filtration system for above mentioned autoclaves.
</t>
    </r>
    <r>
      <rPr>
        <b/>
        <sz val="12"/>
        <color indexed="10"/>
        <rFont val="Calibri"/>
        <family val="2"/>
      </rPr>
      <t>GDF Recommendation:</t>
    </r>
    <r>
      <rPr>
        <sz val="12"/>
        <color indexed="10"/>
        <rFont val="Calibri"/>
        <family val="2"/>
      </rPr>
      <t xml:space="preserve">
Please order same quantity as the autoclave for Media Kitchen (106116)</t>
    </r>
  </si>
  <si>
    <r>
      <t xml:space="preserve">Exhaust air filtration system for above mentioned autoclaves.
</t>
    </r>
    <r>
      <rPr>
        <b/>
        <sz val="12"/>
        <color indexed="10"/>
        <rFont val="Calibri"/>
        <family val="2"/>
      </rPr>
      <t>GDF Recommendation:</t>
    </r>
    <r>
      <rPr>
        <sz val="12"/>
        <color indexed="10"/>
        <rFont val="Calibri"/>
        <family val="2"/>
      </rPr>
      <t xml:space="preserve">
Please order same quantity as the autoclave for Media Kitchen (106117)</t>
    </r>
  </si>
  <si>
    <t>Exhaust HEPA Air Filter</t>
  </si>
  <si>
    <r>
      <t xml:space="preserve">Exhaust HEPA filter for Mars 1200, 1500 or 1800.
</t>
    </r>
    <r>
      <rPr>
        <b/>
        <sz val="12"/>
        <color indexed="10"/>
        <rFont val="Cambria"/>
        <family val="1"/>
      </rPr>
      <t>GDF Recommendation:</t>
    </r>
    <r>
      <rPr>
        <sz val="12"/>
        <color indexed="10"/>
        <rFont val="Cambria"/>
        <family val="1"/>
      </rPr>
      <t xml:space="preserve">
· GDF recommends that these filters are always available for the replacement of non-functioning filters.
·  Please order same quantity as the Biosafety cabinet (106076)</t>
    </r>
  </si>
  <si>
    <r>
      <t xml:space="preserve">Exhaust HEPA filter for Mars 1200, 1500 or 1800.
</t>
    </r>
    <r>
      <rPr>
        <b/>
        <sz val="12"/>
        <color indexed="10"/>
        <rFont val="Cambria"/>
        <family val="1"/>
      </rPr>
      <t xml:space="preserve">GDF Recommendation:
</t>
    </r>
    <r>
      <rPr>
        <sz val="12"/>
        <color indexed="10"/>
        <rFont val="Cambria"/>
        <family val="1"/>
      </rPr>
      <t>· GDF recommends that these filters are always available for the replacement of non-functioning filters.
·  Please order same quantity as the Biosafety cabinet (106076)</t>
    </r>
  </si>
  <si>
    <t xml:space="preserve">Filters, Air MGIT 960 (rectangular) </t>
  </si>
  <si>
    <t>Filters, Air MGIT 960 (square)</t>
  </si>
  <si>
    <t>First aid kit for laboratories</t>
  </si>
  <si>
    <t>First Aid Kit for scientific laboratories, content according DIN 13169, with additional eye rinsing bottle, wall mounted, lockable cupboard, door with sealing gasket K932.1</t>
  </si>
  <si>
    <t>Floating test tube rack</t>
  </si>
  <si>
    <t>Floating rack 24 places for tubes 1.5-2ml, yellow, for ultrasonic bath, Set of 5 pcs</t>
  </si>
  <si>
    <t>Formaldehyde/neutralization fumigation top plate</t>
  </si>
  <si>
    <r>
      <t xml:space="preserve">Formaldehyde/ neutralization fumigation top plate.
</t>
    </r>
    <r>
      <rPr>
        <b/>
        <sz val="12"/>
        <color indexed="10"/>
        <rFont val="Cambria"/>
        <family val="1"/>
      </rPr>
      <t>GDF Recommendation:</t>
    </r>
    <r>
      <rPr>
        <sz val="12"/>
        <color indexed="10"/>
        <rFont val="Cambria"/>
        <family val="1"/>
      </rPr>
      <t xml:space="preserve">
·  Please order same quantity as the Biosafety cabinet (106076)</t>
    </r>
  </si>
  <si>
    <t>11.5. Waste management reagents</t>
  </si>
  <si>
    <t>Formalin solution</t>
  </si>
  <si>
    <t>Formaldehyde solution min. 37% GR for analysis stabilized with about 10% methanol ACS,Reag. Ph Eur 1 * 1 l</t>
  </si>
  <si>
    <t>Four-way rack for 15-50 ml tubes</t>
  </si>
  <si>
    <t>Rack with four different usable sides, high chemical resistant, high temperature resistant and autoclavable</t>
  </si>
  <si>
    <t>Fromaldehyde/neutralization fumigation top plate</t>
  </si>
  <si>
    <r>
      <t xml:space="preserve">Formaldehyde/ neutralization fumigation top plate.
</t>
    </r>
    <r>
      <rPr>
        <b/>
        <sz val="12"/>
        <color indexed="10"/>
        <rFont val="Cambria"/>
        <family val="1"/>
      </rPr>
      <t>GDF Recommendation:</t>
    </r>
    <r>
      <rPr>
        <sz val="12"/>
        <color indexed="10"/>
        <rFont val="Cambria"/>
        <family val="1"/>
      </rPr>
      <t xml:space="preserve">
·  Not needed for a 3-Filter-BSC. But in some countries it is mandatory.</t>
    </r>
  </si>
  <si>
    <t>Gel load buffer</t>
  </si>
  <si>
    <t>Carl Roth 6x Gel load buffer (with Ficoll), 5x1.8ml</t>
  </si>
  <si>
    <t>GXIV-Module</t>
  </si>
  <si>
    <t>GeneXpert additional module for GXIV-4 (4 modules) or XIV-16 (16 modules)</t>
  </si>
  <si>
    <t>GeneXpert additional module (new)</t>
  </si>
  <si>
    <t>4.2. GeneXpert cartridges</t>
  </si>
  <si>
    <t>XPERTCHECKCE- 5</t>
  </si>
  <si>
    <t>GeneXpert Calibration kit for 4 modules (1 calibration per year)</t>
  </si>
  <si>
    <t xml:space="preserve">XpertCheck pack for 4 modules(includes 5 Xpert check kits), for annual check of calibration. For a site with a GXXVI 16 module instrument, 4 packs are required. </t>
  </si>
  <si>
    <t>700-4510</t>
  </si>
  <si>
    <t>GeneXpert dust filter for GXIV-4 (4 modules)</t>
  </si>
  <si>
    <r>
      <t xml:space="preserve">KIT,GX4 R2 SVC &amp; Air filtration for HBDC (Dust Filter);
</t>
    </r>
    <r>
      <rPr>
        <b/>
        <sz val="12"/>
        <color indexed="10"/>
        <rFont val="Cambria"/>
        <family val="1"/>
      </rPr>
      <t>GDF Recommendations:</t>
    </r>
    <r>
      <rPr>
        <sz val="12"/>
        <color indexed="10"/>
        <rFont val="Cambria"/>
        <family val="1"/>
      </rPr>
      <t xml:space="preserve">
· Need additional filter for dusty environments;
· Product linked to all the Xpert systems</t>
    </r>
  </si>
  <si>
    <t>4.1. GeneXpert equipment</t>
  </si>
  <si>
    <t>GXI-EDGE-L</t>
  </si>
  <si>
    <t>GeneXpert Edge Instrument kit (1-module configuration)</t>
  </si>
  <si>
    <t xml:space="preserve">GeneXpert Edge Platform, with tablet and auxiliary batteries. The Edge comes with an initial 2-year warranty on parts.
Item contains: 1 x GeneXpert Edge Instrument; 1 x Edge Tablet; 1 x Tablet stand; 1 x Ext. DVD Drive; 2 x Power bank external batteries, small; 1 x Scanner; 1 x Universal power strip; 1 x Getting started guide; 1 x Users guide; 1 x Quick Reference guide ; 1x HEPA Filter </t>
  </si>
  <si>
    <t>850-0563 </t>
  </si>
  <si>
    <t>GeneXpert Edge Power bank external battery, medium</t>
  </si>
  <si>
    <t>850-0535</t>
  </si>
  <si>
    <t>GeneXpert Edge Power bank external battery, small</t>
  </si>
  <si>
    <t>XPERTCHECKCE- 5 Edge</t>
  </si>
  <si>
    <t>GeneXpert Edge Preventative Maintenance (PM) kit</t>
  </si>
  <si>
    <t>5 x1</t>
  </si>
  <si>
    <t>XpertCheck calibration pack (preventative maintenance) for Edge.
XpertCheck pack for Edge, for annual check of calibration. Includes 5 Xpert check cartridges, 1 HEPA filter and 1 brush.</t>
  </si>
  <si>
    <t>WX01RG12</t>
  </si>
  <si>
    <t xml:space="preserve">GeneXpert Edge warranty extension 1 year </t>
  </si>
  <si>
    <t>1-year warranty extension for a 1-module GeneXpert Edge, including 1 PM kit (XpertCheck, HEPA Filter and brush) for beginning of year.
Warranties only cover parts and shipment, and do not include costs for in-country travel or time of service providers, which needs to be budgeted separately;</t>
  </si>
  <si>
    <t>WX01UP36</t>
  </si>
  <si>
    <t>GeneXpert Edge warranty extension 3 years –  (4 XpertCheck kits - purchased with system)</t>
  </si>
  <si>
    <t>3-year warranty extension for a 1-module GeneXpert Edge, including XpertCheck for beginning of
years 2, 3, 4 and 5.
Warranties only cover parts and shipment, and do not include costs for in-country travel or time of service providers, which needs to be budgeted separately;</t>
  </si>
  <si>
    <t>GXIV-2-D</t>
  </si>
  <si>
    <t>GeneXpert IV -2 modules with desktop computer</t>
  </si>
  <si>
    <t>GeneXpert  with only 2 modules, with desktop computer with an initial 2-year warranty on parts. The Xpert check is needed after year 1 to ensure warranty validity in year 2.
This system may be a good option for a site with low expected utilization, but with the possibility to buy additional modules in the future when utilization increases</t>
  </si>
  <si>
    <t>GXIV-2-L</t>
  </si>
  <si>
    <t>GeneXpert IV -2 modules with laptop computer</t>
  </si>
  <si>
    <r>
      <t xml:space="preserve">GeneXpert  with only 2 modules, with laptop computer with an initial 2-year warranty on parts. The Xpert check is needed after year 1 to ensure warranty validity in year 2.
</t>
    </r>
    <r>
      <rPr>
        <b/>
        <sz val="12"/>
        <color indexed="10"/>
        <rFont val="Cambria"/>
        <family val="1"/>
      </rPr>
      <t>GDF Recommendation:</t>
    </r>
    <r>
      <rPr>
        <sz val="12"/>
        <color indexed="10"/>
        <rFont val="Cambria"/>
        <family val="1"/>
      </rPr>
      <t xml:space="preserve">
· If the GeneXpert will stay in a laboratory and will not be travelling, the desktop may be a better option;
· This system may be a good option for a site with low expected utilization, but with the possibility to buy additional modules in the future when utilization increases</t>
    </r>
  </si>
  <si>
    <t>GXIV-4-D</t>
  </si>
  <si>
    <t>GeneXpert IV-4 modules with desktop computer</t>
  </si>
  <si>
    <r>
      <t xml:space="preserve">GeneXpert 4-module instrument with desktop computer with an initial 2-year warranty on parts. The Xpert check is needed after year 1 to ensure warranty validity in year 2.
Most commonly used configuration globally; GeneXpert IV product link : </t>
    </r>
    <r>
      <rPr>
        <u/>
        <sz val="12"/>
        <color indexed="40"/>
        <rFont val="Cambria"/>
        <family val="1"/>
      </rPr>
      <t>www.cepheid.com/us/cepheid-solutions/systems/genexpert-systems/genexpert-iv</t>
    </r>
  </si>
  <si>
    <t>GXIV-4-L</t>
  </si>
  <si>
    <t>GeneXpert IV-4 modules with laptop computer</t>
  </si>
  <si>
    <t>GeneXpert 4-module instrument with laptop computer with an initial 2-year warranty on parts. The Xpert check is needed after year 1 to ensure warranty validity in year 2.
If the GeneXpert will stay in a laboratory and will not be travelling, the  desktop may be a better option</t>
  </si>
  <si>
    <t>CGXMTB-RIF-50</t>
  </si>
  <si>
    <t>GeneXpert MTB/RIF kit of 50 tests</t>
  </si>
  <si>
    <t>50 tests</t>
  </si>
  <si>
    <t>Xpert MTB/RIF kit of 50 tests</t>
  </si>
  <si>
    <t>GXMTB/RIF-ULTRA-50</t>
  </si>
  <si>
    <t>GeneXpert MTB/RIF Ultra kit of 50 tests</t>
  </si>
  <si>
    <t>Xpert MTB/RIF ULTRA kit of 50 tests;
This item has a very short shelf life. Need to order according to consumption.</t>
  </si>
  <si>
    <t>GX4-4 VAL</t>
  </si>
  <si>
    <t xml:space="preserve">GeneXpert verification panels delivered with GXIV-4 </t>
  </si>
  <si>
    <t>Set of dry culture spots to verify initial performance of a new 4-module GeneXpert after installation;
Validation packs (also known as verification kits) are free and should be sent with all new GeneXperts, to verify initial performance after installation</t>
  </si>
  <si>
    <t>WV16RG12</t>
  </si>
  <si>
    <t>GeneXpert warranty extension 1 year for 16 modules (1 XpertCheck kit)</t>
  </si>
  <si>
    <t>GeneXpert warranty extension 1 year for 16 modules system, includes 1 Xpert check kit for year 1. This means that for year 2, another kit must be ordered separately.
Warranties only cover parts and shipment, and do not include costs for in-country travel or time of service providers, which needs to be budgeted separately.</t>
  </si>
  <si>
    <t>WX02RG12</t>
  </si>
  <si>
    <t>GeneXpert warranty extension 1 year for 2 modules (1 XpertCheck kit)</t>
  </si>
  <si>
    <t>GeneXpert warranty extension 1 year for 2 modules system, includes 1 Xpert check kit for year 1. This means that for year 2, another kit must be ordered separately.
Warranties only cover parts and shipment, and do not include costs for in-country travel or time of service providers, which needs to be budgeted separately;</t>
  </si>
  <si>
    <t>WX04RG12</t>
  </si>
  <si>
    <t>GeneXpert warranty extension 1 year for 4 modules (1 XpertCheck kit)</t>
  </si>
  <si>
    <t>GeneXpert warranty extension 1 year for 4 modules system, includes 1 Xpert check kit for year 1. This means that for year 2, another kit must be ordered separately.
Warranties only cover parts and shipment, and do not include costs for in-country travel or time of service providers, which needs to be budgeted separately.</t>
  </si>
  <si>
    <t>WX16RG36</t>
  </si>
  <si>
    <t>GeneXpert warranty extension 3 years for 16 modules (3 XpertCheck kits)</t>
  </si>
  <si>
    <t>3-year warranty extension for a 16-module GeneXpert, including XpertCheck for beginning of each of the 3 years. Paid before the end of the two first years of warranty; 
Warranties only cover parts and shipment, and do not include costs for in-country travel or time of service providers, which needs to be budgeted separately;
This warranty includes 3 XpertChecks in total</t>
  </si>
  <si>
    <t>WX16UP36</t>
  </si>
  <si>
    <t>GeneXpert warranty extension 3 years for 16 modules (4  XpertCheck kits  - purchased with system)</t>
  </si>
  <si>
    <t>3-year warranty extension for a 16-module GeneXpert, including XpertCheck for beginning of years 2, 3, 4 and 5. Paid upfront together with the system purchase. This means that for year 5 another kit must be ordered separately;
Warranties only cover parts and shipment, and do not include costs for in-country travel or time of service providers, which needs to be budgeted separately.</t>
  </si>
  <si>
    <t>WX02UP36</t>
  </si>
  <si>
    <t>GeneXpert warranty extension 3 years for 2 module (4 XpertCheck kits - purchased with system)</t>
  </si>
  <si>
    <t>3-year warranty extension for a 2-module GeneXpert, including XperCheck for beginning of years 2, 3, 4 and 5. Paid upfront together with the system purchase. This means that for year 5 another kit must be ordered separately;
Warranties only cover parts and shipment, and do not include costs for in-country travel or time of service providers, which needs to be budgeted separately.</t>
  </si>
  <si>
    <t>WX02RG36</t>
  </si>
  <si>
    <t>GeneXpert warranty extension 3 years for 2 modules (3 XpertCheck kits)</t>
  </si>
  <si>
    <t>3-year warranty extension for a 2-module GeneXpert, including XpertCheck for beginning of each of the 3 years. Paid before the end of the two first years of warranty;
Warranties only cover parts and shipment, and do not include costs for in-country travel or time of service providers, which needs to be budgeted separately;
This warranty includes 3 XpertChecks in total</t>
  </si>
  <si>
    <t>WX04RG36</t>
  </si>
  <si>
    <t>GeneXpert warranty extension 3 years for 4 modules (3 XpertCheck kits)</t>
  </si>
  <si>
    <t>3-year warranty extension for a 4-module GeneXpert, including XpertCheck for beginning of each of the 3 years. Paid before the end of the two first years of warranty;
Warranties only cover parts and shipment, and do not include costs for in-country travel or time of service providers, which needs to be budgeted separately;
This warranty includes 3 XpertChecks in total</t>
  </si>
  <si>
    <t>WX04UP36</t>
  </si>
  <si>
    <t>GeneXpert warranty extension 3 years for 4 modules (4  XpertCheck kits - purchased with system)</t>
  </si>
  <si>
    <t>3-year warranty extension for a 4-module GeneXpert, including XpertCheck for beginning of years 2, 3, 4 and 5. Paid upfront together with the system purchase. This means that for year 5 another kit must be ordered separately;
Warranties only cover parts and shipment, and do not include costs for in-country travel or time of service providers, which needs to be budgeted separately.</t>
  </si>
  <si>
    <t>SARS-CoV-2</t>
  </si>
  <si>
    <t>GeneXpert Xpress SARS-CoV-2</t>
  </si>
  <si>
    <t>10 tests</t>
  </si>
  <si>
    <r>
      <t xml:space="preserve">GeneXpert Xpress SARS-CoV-2 of 10 tests.
The Xpert Xpress SARS-CoV-2 test is a rapid, real-time RT-PCR test intended for the qualitative detection of nucleic acid from the SARS-CoV-2 in either nasopharyngeal swab and/or nasal wash/ aspirate specimens collected from individuals suspected of COVID-19 by their healthcare provider.
</t>
    </r>
    <r>
      <rPr>
        <b/>
        <sz val="12"/>
        <color indexed="10"/>
        <rFont val="Cambria"/>
        <family val="1"/>
      </rPr>
      <t>GDF Recommendation:</t>
    </r>
    <r>
      <rPr>
        <sz val="12"/>
        <color indexed="10"/>
        <rFont val="Cambria"/>
        <family val="1"/>
      </rPr>
      <t xml:space="preserve">
·  Cartridges are only compatible with GeneXpert Systems running software version 4.7 or higher (Windows 7 or newer)</t>
    </r>
  </si>
  <si>
    <t>GXXVI-16-D</t>
  </si>
  <si>
    <t>GeneXpert XVI-16 modules with desktop computer</t>
  </si>
  <si>
    <t>GeneXpert 16-module instrument with desktop computer with an initial 2-year warranty on parts. The Xpert check is needed after year 1 to ensure warranty validity in year 2.</t>
  </si>
  <si>
    <t>GXXVI-16-L</t>
  </si>
  <si>
    <t>GeneXpert XVI-16 modules with Laptop computer</t>
  </si>
  <si>
    <t>GeneXpert 16-module instrument with laptop computer with an initial 2-year warranty on parts. The Xpert check is needed after year 1 to ensure warranty validity in year 2.</t>
  </si>
  <si>
    <t>4.10. Line Probe Assay (LPA) reagents</t>
  </si>
  <si>
    <t>GenoLyse, Version 1.0</t>
  </si>
  <si>
    <t>Hain LifeSciences</t>
  </si>
  <si>
    <r>
      <t xml:space="preserve">Kit for extraction of bacterial DNA;
</t>
    </r>
    <r>
      <rPr>
        <b/>
        <sz val="12"/>
        <color indexed="10"/>
        <rFont val="Cambria"/>
        <family val="1"/>
      </rPr>
      <t>GDF Recommendation:</t>
    </r>
    <r>
      <rPr>
        <sz val="12"/>
        <color indexed="10"/>
        <rFont val="Cambria"/>
        <family val="1"/>
      </rPr>
      <t xml:space="preserve">
· If the lab performs only Genotype MTBDRsl, need to order Genolyse separately;
· If Genotype MTBDRsl is performed after GenoType MTBDRplus, there is no need to order Genolyse.</t>
    </r>
  </si>
  <si>
    <t>Genoscan reader (GS-001) + PC + Screen + software</t>
  </si>
  <si>
    <t>The GenoScan® system is used for analysis of line probe assays (GenoType, GenoQuick®) from Hain Lifescience. The GenoScan® software reads strips from digital images generated by the GenoScan® reader, analyses the strip patterns, and supports the user in evaluation.</t>
  </si>
  <si>
    <t>GenoType MTBC</t>
  </si>
  <si>
    <r>
      <t xml:space="preserve">Molecular line probe assay for differentiation of the mycobacterium tuberculosis complex from culture; Product features: </t>
    </r>
    <r>
      <rPr>
        <u/>
        <sz val="12"/>
        <color indexed="40"/>
        <rFont val="Cambria"/>
        <family val="1"/>
      </rPr>
      <t>www.hain-lifescience.de/en/products/microbiology/mycobacteria/tuberculosis/genotype-mtbc.html</t>
    </r>
  </si>
  <si>
    <t>GenoType MTBDR plus V2 Test kit:
 1) GenoType MTBDRplus Version 2.0 (30496A); 
2) GenoLyse including service and support pack (51610).</t>
  </si>
  <si>
    <r>
      <t xml:space="preserve">Molecular line probe assay for identification of </t>
    </r>
    <r>
      <rPr>
        <i/>
        <sz val="12"/>
        <color indexed="8"/>
        <rFont val="Cambria"/>
        <family val="1"/>
      </rPr>
      <t>M. tuberculosis</t>
    </r>
    <r>
      <rPr>
        <sz val="12"/>
        <color indexed="8"/>
        <rFont val="Cambria"/>
        <family val="1"/>
      </rPr>
      <t xml:space="preserve"> complex and its resistance to rifampicin and isoniazid from smear-positive specimens and cultures. Product includes Master mix</t>
    </r>
    <r>
      <rPr>
        <sz val="12"/>
        <color indexed="8"/>
        <rFont val="Cambria"/>
        <family val="1"/>
      </rPr>
      <t xml:space="preserve">;
WHO Guidance for 1st-line LPA: </t>
    </r>
    <r>
      <rPr>
        <u/>
        <sz val="12"/>
        <color indexed="40"/>
        <rFont val="Cambria"/>
        <family val="1"/>
      </rPr>
      <t>www.who.int/tb/publications/molecular-test-resistance/en/</t>
    </r>
  </si>
  <si>
    <t>GenoType MTBDRsl 2.0 (without Genolyse)</t>
  </si>
  <si>
    <r>
      <t xml:space="preserve">Molecular line probe assay for identification of </t>
    </r>
    <r>
      <rPr>
        <i/>
        <sz val="12"/>
        <color indexed="8"/>
        <rFont val="Cambria"/>
        <family val="1"/>
      </rPr>
      <t>M. tuberculosis</t>
    </r>
    <r>
      <rPr>
        <sz val="12"/>
        <color indexed="8"/>
        <rFont val="Cambria"/>
        <family val="1"/>
      </rPr>
      <t xml:space="preserve"> complex and its resistance to fluoroquinolones and aminoglycosides/cyclic peptides from rifampicin-resistant or MDR sputum specimens or cultures. Product includes Master mix</t>
    </r>
    <r>
      <rPr>
        <sz val="12"/>
        <color indexed="8"/>
        <rFont val="Cambria"/>
        <family val="1"/>
      </rPr>
      <t xml:space="preserve">;
</t>
    </r>
    <r>
      <rPr>
        <b/>
        <sz val="12"/>
        <color indexed="10"/>
        <rFont val="Cambria"/>
        <family val="1"/>
      </rPr>
      <t>GDF Recommendation:</t>
    </r>
    <r>
      <rPr>
        <sz val="12"/>
        <color indexed="10"/>
        <rFont val="Cambria"/>
        <family val="1"/>
      </rPr>
      <t xml:space="preserve">
· It is recommended to use MTBDRplus extracts; if not, Genolyse must be ordered separated;
· WHO Guidance for 2nd-line LPA:</t>
    </r>
    <r>
      <rPr>
        <sz val="12"/>
        <color indexed="8"/>
        <rFont val="Cambria"/>
        <family val="1"/>
      </rPr>
      <t xml:space="preserve"> </t>
    </r>
    <r>
      <rPr>
        <u/>
        <sz val="12"/>
        <color indexed="40"/>
        <rFont val="Cambria"/>
        <family val="1"/>
      </rPr>
      <t>www.who.int/tb/publications/lpa-mdr-diagnostics/en/</t>
    </r>
  </si>
  <si>
    <t>GenoType Mycobacterium AS (without GenoLyse)</t>
  </si>
  <si>
    <t>Molecular line probe assay for identification of nontuberculous mycobacteria from cultured material;
Validated with GenoLyse only; Genolyse must be ordered separately</t>
  </si>
  <si>
    <t>GenoType Mycobacterium CM Version 2 (without GenoLyse)</t>
  </si>
  <si>
    <t>Molecular line probe assay for identification of clinically relevant mycobacterial species from culture;
Validated with GenoLyse only; Genolyse must be ordered separately</t>
  </si>
  <si>
    <t>Glass beads 3 mm</t>
  </si>
  <si>
    <t xml:space="preserve">Glass beads 3mm, solid, spherical, clear glass, pack of 1 kg </t>
  </si>
  <si>
    <t>Glass beads 5 mm</t>
  </si>
  <si>
    <t xml:space="preserve">Glass beads 5mm, solid, spherical, clear glass, pack of 1 kg </t>
  </si>
  <si>
    <t>Glass bottle 28 ml</t>
  </si>
  <si>
    <t>Marienfeld, pathological vials, white flint glass, washed with aluminium screw cap, with black rubber seal, 28ml, wide neck.</t>
  </si>
  <si>
    <t>Glass dropping funnel 1000 ml</t>
  </si>
  <si>
    <t>Dropping funnel with pressure compensation, PTFE plug, made of borosilicate glass 3.3 with graduation, cylindrical, With pressure compensation tube, NS core, NS sleeve and cock plug with threaded safety device. Din 12567</t>
  </si>
  <si>
    <t>Glass dropping funnel 250 ml</t>
  </si>
  <si>
    <t>Glass flask 1000 ml</t>
  </si>
  <si>
    <t>Thick walled glass bottle, Grade 3.3 borosilicate glass, with graduations, DIN GL 45 thread, pouring ring and blue PP screw cap, transparent, very good chemical resistant, autoclavable, according to ISO 4796, with ring and cap of PP, 1000 ml</t>
  </si>
  <si>
    <t>Glass flask 2000 ml</t>
  </si>
  <si>
    <t>Thick walled glass bottle, Grade 3.3 borosilicate glass, with graduations, DIN GL 45 thread, pouring ring and blue PP screw cap, transparent, very good chemical resistant, autoclavable, according to ISO 4796, with ring and cap of PP, 2000 ml</t>
  </si>
  <si>
    <t>Glass flask 2500 ml</t>
  </si>
  <si>
    <t>Culture media bottle, 2500ml, clear Duran glass</t>
  </si>
  <si>
    <t>Glass flask 500 ml</t>
  </si>
  <si>
    <t>Thick walled glass bottle, Grade 3.3 borosilicate glass, with graduations, DIN GL 45 thread, pouring ring and blue PP screw cap, transparent, very good chemical resistant, autoclavable, according to ISO 4796, with ring and cap of PP, 500 ml</t>
  </si>
  <si>
    <t>Glass funnel 125 mm</t>
  </si>
  <si>
    <t>Funnel soda lime glass, DIN 12445, plain angle 60°, with short and angled -ground stern, Ø 125mm</t>
  </si>
  <si>
    <t>Glass laboratory beaker 100 ml</t>
  </si>
  <si>
    <t>Laboratory beaker, low form with graduation and spout,     100 ml</t>
  </si>
  <si>
    <t>Glass laboratory beaker 1000 ml</t>
  </si>
  <si>
    <t xml:space="preserve">Laboratory beaker, low form with graduation and spout,   1000 ml     </t>
  </si>
  <si>
    <t>Glass laboratory beaker 2000 ml</t>
  </si>
  <si>
    <t>Laboratory beaker, low form with graduation and spout,   2000 ml</t>
  </si>
  <si>
    <t>Glass laboratory beaker 250 ml</t>
  </si>
  <si>
    <t>Laboratory beaker, low form with graduation and spout,     250 ml</t>
  </si>
  <si>
    <t>Glass laboratory beaker 600 ml</t>
  </si>
  <si>
    <t>Laboratory beaker, low form with graduation and spout,     600 ml</t>
  </si>
  <si>
    <t>Glass measuring cylinder 100 ml</t>
  </si>
  <si>
    <t>Duran® measuring cyl. Glass A, blue graduated, hexagonal foot and protective collar made of PP can be slipped on easily, DIN 12680-2, comes with batch identification, autoclavable, capacity 100ml graduation 0,5ml</t>
  </si>
  <si>
    <t>Glass measuring cylinder 1000 ml</t>
  </si>
  <si>
    <t>Duran® measuring cyl. Glass A, blue graduated, hexagonal foot and protective collar made of PP can be slipped on easily, DIN 12680-2, comes with batch identification, autoclavable, capacity 1000ml graduation 10ml</t>
  </si>
  <si>
    <t>Glass measuring cylinder 25 ml</t>
  </si>
  <si>
    <t>Duran® measuring cyl. Glass A, blue graduated, hexagonal foot and protective collar made of PP can be slipped on easily, DIN 12680-2, comes with batch identification, autoclavable, capacity 25ml graduation 0,25ml</t>
  </si>
  <si>
    <t>Glass measuring cylinder 250 ml</t>
  </si>
  <si>
    <t>Duran® measuring cyl. Glass A, blue graduated, hexagonal foot and protective collar made of PP can be slipped on easily, DIN 12680-2, comes with batch identification, autoclavable, capacity 500ml graduation 5ml</t>
  </si>
  <si>
    <t>Glass measuring cylinder 50 ml</t>
  </si>
  <si>
    <t>Duran® measuring cyl. Glass A, blue graduated, hexagonal foot and protective collar made of PP can be slipped on easily, DIN 12680-2, comes with batch identification, autoclavable, capacity 50ml graduation 0.5ml</t>
  </si>
  <si>
    <t>Glass measuring cylinder 500 ml</t>
  </si>
  <si>
    <t>Duran® measuring cyl. Glass A, blue graduated, hexagonal foot and protective collar made of PP can be slipped on easily, DIN 12680-2, comes with batch identification, autoclavable, capacity 500ml graduation 1ml</t>
  </si>
  <si>
    <t>Glass measuring pipette 1 ml</t>
  </si>
  <si>
    <t>VWR Blaubrand®, measuring pipettes 1 ml, graduated in brown 0,01 gdt., conformity certified, with ring mark and lettering in blue, pack of 10 pieces, ISO 835, 612-3152</t>
  </si>
  <si>
    <t>Glass measuring pipette 10 ml</t>
  </si>
  <si>
    <t>VWR Blaubrand®, measuring pipettes 10 ml, graduated in brown 0,01 gdt., conformity certified, with ring mark and lettering in blue, pack of 10 pieces, ISO 835, 612-3159</t>
  </si>
  <si>
    <t>Glass measuring pipette 2 ml</t>
  </si>
  <si>
    <t>VWR Blaubrand®, measuring pipettes 2 ml, graduated in brown 0,01 gdt., conformity certified, with ring mark and lettering in blue, pack of 10 pieces, ISO 835, 612-3154</t>
  </si>
  <si>
    <t>Glass measuring pipette 5 ml</t>
  </si>
  <si>
    <t>VWR Blaubrand®, measuring pipettes 5 ml, graduated in brown 0,01 gdt., conformity certified, with ring mark and lettering in blue, pack of 10 pieces, ISO 835, 612-3157</t>
  </si>
  <si>
    <t>Glass petri dish</t>
  </si>
  <si>
    <t>Petri dish absolutely plain, heat resisting glass, two parts incl. cover, superior quality</t>
  </si>
  <si>
    <t>Glass volumetric flask 100 ml</t>
  </si>
  <si>
    <t>Volumetric Flask, BLAUBRAND®, Class A, blue graduation, conformity certificate, DURAN®, with PP stopper calibrated to contain (TC,In), DIN/ ISO 1042, toleranz 0.10ml, 100ml</t>
  </si>
  <si>
    <t>Glass volumetric flask 1000 ml</t>
  </si>
  <si>
    <t>Volumetric Flask, BLAUBRAND®, Class A, blue graduation, conformity certificate, DURAN®, with PP stopper calibrated to contain (TC,In), DIN/ ISO 1042, tolerant 0.4ml, 1000ml</t>
  </si>
  <si>
    <t>Glass volumetric flask 20 ml</t>
  </si>
  <si>
    <t>Volumetric flasks 20 ml, borosilicate 3.3, class A, autoclavable, DIN/ ISO 1042, calibrated IN, with 1 circular mark, toleranz ± 0.04 ml, per piece</t>
  </si>
  <si>
    <t>Glass volumetric flask 200 ml</t>
  </si>
  <si>
    <t>Volumetric Flask, BLAUBRAND®, Class A, blue graduation, conformity certificate, DURAN®, with PP stopper calibrated to contain (TC,In), DIN/ ISO 1042, toleranz 0.15ml, 200ml</t>
  </si>
  <si>
    <t>Glass volumetric flask 25 ml</t>
  </si>
  <si>
    <t>Volumetric flasks 25 ml, borosilicate 3.3, class A, autoclavable, DIN/ ISO 1042, calibrated IN, with 1 circular mark, toleranz ± 0.04 ml, per piece</t>
  </si>
  <si>
    <t>Glass volumetric flask 250 ml</t>
  </si>
  <si>
    <t>Volumetric Flask, BLAUBRAND®, Class A, blue graduation, conformity certificate, DURAN®, with PP stopper calibrated to contain (TC,In), DIN/ ISO 1042, toleranz 0.15ml, 250ml</t>
  </si>
  <si>
    <t>Glass volumetric flask 50 ml</t>
  </si>
  <si>
    <t>Volumetric flasks 50 ml, borosilicate 3.3, class A, autoclavable, DIN/ ISO 1042, calibrated IN, with 1 circular mark, toleranz ± 0.06 ml, per piece</t>
  </si>
  <si>
    <t>Glass volumetric flask 500 ml</t>
  </si>
  <si>
    <t>Volumetric Flask, BLAUBRAND®, Class A, blue graduation, conformity certificate, DURAN®, with PP stopper calibrated to contain (TC,In), DIN/ ISO 1042, toleranz 0.25ml, 500ml</t>
  </si>
  <si>
    <t>Glassware stand</t>
  </si>
  <si>
    <t>Stand plate: Steel, varnished:  Firm, non-slip stand. For a wide variety of uses. With threaded hole on face side. With rubber feet for a firm footing , easy to clean, robust, rod stainless steel art. no. 241-7133, rust-proof, 12 mm diameter, very good chemical resistance. 
Three-pronged Clamp art. no. 241-7433: Zinc die-casting, powder-coated, the prongs of the clamps are covered with a plastic coating to protect the items clamped, without bosshead for fixing to stand, with wing screws for rapid easy fixing
Bosshead art.no. 241-7179, clamping range up to 16 mm, angle: 90 + 180, for quick, easy assembly</t>
  </si>
  <si>
    <t>Glycerol 99</t>
  </si>
  <si>
    <t>Glycerol for analyses, 99% Reag. Ph Eur, 1 lt</t>
  </si>
  <si>
    <t>Glycerol 99.5</t>
  </si>
  <si>
    <t>Glycerol for analyses EMSURE®ACS, Reag. Ph Eur</t>
  </si>
  <si>
    <t xml:space="preserve">Graduated pipette with suction piston </t>
  </si>
  <si>
    <t>Graduated pipette with piston, capacity: 50 ml, graduated: 0,2 ml</t>
  </si>
  <si>
    <t xml:space="preserve">GT blot - 48 </t>
  </si>
  <si>
    <r>
      <t xml:space="preserve">The GT-Blot 48 is for use with reverse line blot strip assays and provides full automation for the washing and hybridization steps;
</t>
    </r>
    <r>
      <rPr>
        <b/>
        <sz val="12"/>
        <color indexed="10"/>
        <rFont val="Cambria"/>
        <family val="1"/>
      </rPr>
      <t>GDF Recommendation:</t>
    </r>
    <r>
      <rPr>
        <sz val="12"/>
        <color indexed="10"/>
        <rFont val="Cambria"/>
        <family val="1"/>
      </rPr>
      <t xml:space="preserve">
For customers using the GT-Blot 48 only; approximately 1 Reagent set is suitable for 4 GT kits</t>
    </r>
  </si>
  <si>
    <t>GT-Blot 48 reagent set</t>
  </si>
  <si>
    <r>
      <t xml:space="preserve">The Reagent Set for DNA•STRIP Kits is a reagent set for use with test kits based on the DNA•STRIP technology. The reagents can replace or replenish the solutions provided with DNA•STRIP kits. The procedures described in the instructions for use of the DNA•STRIP test kit will be unaffected.
</t>
    </r>
    <r>
      <rPr>
        <b/>
        <sz val="12"/>
        <color indexed="10"/>
        <rFont val="Cambria"/>
        <family val="1"/>
      </rPr>
      <t>GDF Recommendation:</t>
    </r>
    <r>
      <rPr>
        <sz val="12"/>
        <color indexed="10"/>
        <rFont val="Cambria"/>
        <family val="1"/>
      </rPr>
      <t xml:space="preserve">
This item will be enough for 4 HAIN kits</t>
    </r>
  </si>
  <si>
    <t xml:space="preserve">GT-Blot 48 Tray for 96 strips (black) </t>
  </si>
  <si>
    <t>Tray for use in combination with the GT-Blot 48</t>
  </si>
  <si>
    <t xml:space="preserve">GTQ-Cycler 96 </t>
  </si>
  <si>
    <t>High-capacity thermal cycler assisting you processing with the GenoType and GenoQuick® test systems</t>
  </si>
  <si>
    <t>Hand pump for Cleaner and disinfectant for instruments</t>
  </si>
  <si>
    <t xml:space="preserve">Hand pump for cleaning instrument 10ml dosage </t>
  </si>
  <si>
    <t>Hot plate stirrer</t>
  </si>
  <si>
    <t>Heating and magnetic stirrer RCT: with basic safety control, adjustable safety circuit of hotplate temperature (50-360 °C), direct connection of medium temperature sensor PT 1000 possible. Including protective hood and Pt 1000 sensor. Magnet stirrer: max stirring volume 20l, motor power input/ output 16/9W, rpm 50 to 1500 min. Heater function: heating power 600 w, digital, temperature range from temperature to 310 °C.
Product with 2 years warranty;
Voltage / Amp / Frequency: 230V/ 50/60Hz, 110V 60Hz</t>
  </si>
  <si>
    <t>HumaHeat</t>
  </si>
  <si>
    <t>Human</t>
  </si>
  <si>
    <r>
      <t xml:space="preserve">Heater designed for the sample lysis with Loopamp PURE DNA Extraction Kit before performing the LAMP reaction with HumaTurb system;
</t>
    </r>
    <r>
      <rPr>
        <b/>
        <sz val="12"/>
        <color indexed="10"/>
        <rFont val="Cambria"/>
        <family val="1"/>
      </rPr>
      <t>GDF Recommendation:</t>
    </r>
    <r>
      <rPr>
        <sz val="12"/>
        <color indexed="10"/>
        <rFont val="Cambria"/>
        <family val="1"/>
      </rPr>
      <t xml:space="preserve">
Accessory product for reference laboratories using HumaTurb C + HumaTurbA</t>
    </r>
  </si>
  <si>
    <t>HumaLoop T</t>
  </si>
  <si>
    <r>
      <t xml:space="preserve">Preprogrammed incubator with built-in heating block, reaction block, timer and fluorescence detection unit for lysis, amplification, enzyme inactivation and visual result interpretation.
· The operator can run a maximum of 16 reactions in one run of HumaLoop T. Of these 16 tests, 14 are patient samples and 2 are controls. Each cycle takes 1.5 hours, therefore 5 cycles may be run per day in a well-functioning laboratory (up to 70 patient samples per day);
· Product with 1 year warranty;
</t>
    </r>
    <r>
      <rPr>
        <b/>
        <sz val="12"/>
        <color indexed="10"/>
        <rFont val="Cambria"/>
        <family val="1"/>
      </rPr>
      <t>GDF Recommendation:</t>
    </r>
    <r>
      <rPr>
        <sz val="12"/>
        <color indexed="10"/>
        <rFont val="Cambria"/>
        <family val="1"/>
      </rPr>
      <t xml:space="preserve">
· A UPS (106443) should be ordered with this product;
· WHO Guidance for LAMP</t>
    </r>
    <r>
      <rPr>
        <sz val="12"/>
        <color indexed="8"/>
        <rFont val="Cambria"/>
        <family val="1"/>
      </rPr>
      <t xml:space="preserve">: </t>
    </r>
    <r>
      <rPr>
        <u/>
        <sz val="12"/>
        <color indexed="40"/>
        <rFont val="Cambria"/>
        <family val="1"/>
      </rPr>
      <t>www.who.int/tb/publications/lamp-diagnosis-molecular/en/</t>
    </r>
  </si>
  <si>
    <t>HumaTurb C+ HumaTurb A</t>
  </si>
  <si>
    <t>1 C &amp;
1 A</t>
  </si>
  <si>
    <r>
      <t xml:space="preserve">Programmable system with preinstalled settings, amplification and control units for isothermal amplification, enzyme inactivation and real-time turbidity detection;
</t>
    </r>
    <r>
      <rPr>
        <b/>
        <sz val="12"/>
        <color indexed="10"/>
        <rFont val="Cambria"/>
        <family val="1"/>
      </rPr>
      <t>GDF Recommendation:</t>
    </r>
    <r>
      <rPr>
        <sz val="12"/>
        <color indexed="10"/>
        <rFont val="Cambria"/>
        <family val="1"/>
      </rPr>
      <t xml:space="preserve">
High throughput system, for reference laboratories (up to 96 tests per run), as an alternative to HumaLoop T</t>
    </r>
  </si>
  <si>
    <t>HuMax ITA</t>
  </si>
  <si>
    <t>Benchtop micro centrifuge with incubation &amp; mixing function</t>
  </si>
  <si>
    <t>HVP fumigation plate</t>
  </si>
  <si>
    <r>
      <t xml:space="preserve">HVP fumigation plate.
</t>
    </r>
    <r>
      <rPr>
        <b/>
        <sz val="12"/>
        <color indexed="10"/>
        <rFont val="Cambria"/>
        <family val="1"/>
      </rPr>
      <t xml:space="preserve">GDF Recommendation:
</t>
    </r>
    <r>
      <rPr>
        <sz val="12"/>
        <color indexed="10"/>
        <rFont val="Cambria"/>
        <family val="1"/>
      </rPr>
      <t>·  Optional item, in addition to the Fromaldehyde/neutralization fumigation top plate (106471)</t>
    </r>
  </si>
  <si>
    <r>
      <t xml:space="preserve">HVP fumigation plate.
</t>
    </r>
    <r>
      <rPr>
        <b/>
        <sz val="12"/>
        <color indexed="10"/>
        <rFont val="Calibri"/>
        <family val="2"/>
      </rPr>
      <t>GDF Recommendation:</t>
    </r>
    <r>
      <rPr>
        <sz val="12"/>
        <color indexed="10"/>
        <rFont val="Calibri"/>
        <family val="2"/>
      </rPr>
      <t xml:space="preserve">
·  Not needed for a 3-Filter-BSC. But in some countries it is mandatory.</t>
    </r>
  </si>
  <si>
    <t>Hydrochloric acid</t>
  </si>
  <si>
    <t>Hydrochloric acid, 37 %, ACS reagent; 2 x 500 g</t>
  </si>
  <si>
    <t>Hydrogen peroxide</t>
  </si>
  <si>
    <t xml:space="preserve">Hydrogen peroxide (Perhydrol®)  stabilized for higher temperature </t>
  </si>
  <si>
    <t>Immersion oil</t>
  </si>
  <si>
    <t>Immersion oil; 100 ml</t>
  </si>
  <si>
    <t>Indoor and outdoor thermometer</t>
  </si>
  <si>
    <t>Electronic maxima-minima thermometer, measuring indoor and outdoor temperatures, memory function for min/max values, Outdoor temperature alarm with adjustable upper and lower limit values, Outer probe with 1.5m lead, measuring range, indoor -10 to + 50°C, outdoor -50 to +70°C, resolution 0.1°C, accuracy ±1°C (0 to + 50°C), ±2°C (rest measuring range), 110 x 70x 20mm, inclusive 1 spare battery. Product with 2 years warranty;
· Voltage / Amp / Frequency: battery 1.5 V</t>
  </si>
  <si>
    <t>Inlay for pipette box</t>
  </si>
  <si>
    <t>Inlay for pipette box Vitan 75 shoe A temp -10 to &gt; +200°C</t>
  </si>
  <si>
    <t>Inoculation loop 3mm</t>
  </si>
  <si>
    <t>Inoculation loops, Platinum/Iridium wire, length 5 cm, wire diameter 0.6, loop diameter 3mm; Product linked to the loop holder (106232)</t>
  </si>
  <si>
    <t>Inoculation loop 4mm</t>
  </si>
  <si>
    <t>These NiCr 8020 loop, lengths 5cm, with internal diameters of 4 mm. They are heat resistant and can be flamed to sterilise the loop. Product linked to the loop holder (106232)</t>
  </si>
  <si>
    <t>Inspissator for TB culture medium preparation</t>
  </si>
  <si>
    <t>Inspissator TBT 100-IN control unit, tank, quilt&amp; blanket, range ambient +5°C to 90°C, with std constant level device fitted, to hold up to 156 test tubes (16x150mm) or 162 universal containers or glass bijous. Unit does not include electronic timer, racks are slanted but not adjustable, water level sensor: the grant inspissator has a constant level device and is fitted with a visible alarm.  Product with 2 years warranty;
Voltage / Amp / Frequency: 230V/ 50/60Hz, 110V 60Hz</t>
  </si>
  <si>
    <t>Installation and Training - Autoclave</t>
  </si>
  <si>
    <r>
      <t xml:space="preserve">The installation of the autoclave is done in the laboratory with pre-installation work as plumbing and electricity. Also training on use and troubleshooting for the autoclave.
</t>
    </r>
    <r>
      <rPr>
        <b/>
        <sz val="12"/>
        <color indexed="10"/>
        <rFont val="Cambria"/>
        <family val="1"/>
      </rPr>
      <t>GDF Recommendation:</t>
    </r>
    <r>
      <rPr>
        <sz val="12"/>
        <color indexed="10"/>
        <rFont val="Cambria"/>
        <family val="1"/>
      </rPr>
      <t xml:space="preserve">
For each autoclave please calculate 5 “units” for the installation, as 5 days is estimated for the completion of the installation of one autoclave.  E.g: for 1 autoclave= 5 installations. Final invoice will be on actuals</t>
    </r>
  </si>
  <si>
    <t>Installation and Training - BSC</t>
  </si>
  <si>
    <r>
      <t xml:space="preserve">Installation of BSC in the laboratory. If necessary duct the BSC outside with a Thimble construction
Certification of BSC after installation
Training on use and troubleshooting of BSC and if necessary on certification.
</t>
    </r>
    <r>
      <rPr>
        <b/>
        <sz val="12"/>
        <color indexed="10"/>
        <rFont val="Cambria"/>
        <family val="1"/>
      </rPr>
      <t>GDF Recommendation:</t>
    </r>
    <r>
      <rPr>
        <sz val="12"/>
        <color indexed="10"/>
        <rFont val="Cambria"/>
        <family val="1"/>
      </rPr>
      <t xml:space="preserve">
For each BSC please calculate 5 “units” for the installation, as 5 days  is estimated for the completion of the installation of one BSC.  E.g: for 1 BSC= 5 installations. Final invoice will be on actuals</t>
    </r>
  </si>
  <si>
    <r>
      <t xml:space="preserve">Installation of BSC in the laboratory. If necessary duct the BSC outside with a Thimble construction. Certification of BSC after installation. Training on use and troubleshooting of BSC and if necessary on certification.
</t>
    </r>
    <r>
      <rPr>
        <b/>
        <sz val="12"/>
        <color indexed="10"/>
        <rFont val="Cambria"/>
        <family val="1"/>
      </rPr>
      <t>GDF Recommendation:</t>
    </r>
    <r>
      <rPr>
        <sz val="12"/>
        <color indexed="10"/>
        <rFont val="Cambria"/>
        <family val="1"/>
      </rPr>
      <t xml:space="preserve">
For each BSC please calculate 5 “units” for the installation, as 5 days  is estimated for the completion of the installation of one BSC.  E.g: for 1 BSC= 5 installations. Final invoice will be on actuals</t>
    </r>
  </si>
  <si>
    <t>4.8. Loop-mediated isothermal amplification (TB-LAMP) services</t>
  </si>
  <si>
    <t>Installation for TB-LAMP</t>
  </si>
  <si>
    <r>
      <t xml:space="preserve">• On-site inspection according to site preparation check list, and installation of system(s)
• Testing incubator of HumaHeat and turbidimetric functionality of HumaTurb C + A
• Testing incubators and fluorescence module of HumaLoop according to Operation Qualification (OQ)
• All equipment and test kits needed for OQ
• Issue of Installation and Operation Qualification certificates, and start of basic warranty :
</t>
    </r>
    <r>
      <rPr>
        <b/>
        <sz val="12"/>
        <color indexed="10"/>
        <rFont val="Cambria"/>
        <family val="1"/>
      </rPr>
      <t>GDF Recommendation:</t>
    </r>
    <r>
      <rPr>
        <sz val="12"/>
        <color indexed="10"/>
        <rFont val="Cambria"/>
        <family val="1"/>
      </rPr>
      <t xml:space="preserve">
Travel and accommodation expenses, where applicable, are not included and will be charged separately by HUMAN to the recipient. </t>
    </r>
  </si>
  <si>
    <t>Ion exchanger cartridge</t>
  </si>
  <si>
    <t>Ion Exchange Cartridge, particle system, connected directly to water tab, pressure resistant up to 10bar, DIN285 for laboratory glassware washer,  V&amp;A stainless steel can be cleaned and sanitized, unlimited regeneration of the mixed bed resin, environmentally friendly, Flow rate 300/h, capacity 2100L, water quality 0.1-20µS/cm, including RDS quick connection 3/4.
Product linked to the separate water supply (106107)</t>
  </si>
  <si>
    <t>Ion exchanger resin for laboratory grade water</t>
  </si>
  <si>
    <t>Regenerative resin 1l .
Product linked to the separate water supply (106107)</t>
  </si>
  <si>
    <t>Isoniazid  for laboratory use</t>
  </si>
  <si>
    <t>5g Isoniazid (INH) Free Base;
Powder presentation; needs to be prepared manually. Follow manufacturer's instructions</t>
  </si>
  <si>
    <t>Isopropanol</t>
  </si>
  <si>
    <t>Ethanol/ Isopropanol, 70 %, 5 L bottles</t>
  </si>
  <si>
    <t>Jar for laboratory blender</t>
  </si>
  <si>
    <t>Waring glass beaker 1l;
Product linked to Glass receptable (106426)</t>
  </si>
  <si>
    <t>Kanamycin – lyophilized drug for laboratory use with BACTEC MGIT</t>
  </si>
  <si>
    <t>Kanamycin for laboratory use</t>
  </si>
  <si>
    <t>Kanamycin, for laboratory use;
·  1 g is needed for 100 tests to be done in solid or liquid culture;
· Powder presentation, needs to be prepared manually. Follow manufacturer's instructions</t>
  </si>
  <si>
    <t xml:space="preserve">Labels for cryovials </t>
  </si>
  <si>
    <t>Labels white, for 2ml tubes, packed in rolls</t>
  </si>
  <si>
    <t>Laboratory aluminium foil</t>
  </si>
  <si>
    <t>Aluminum foil, 600mm width, 100m long, 0,030 mm in dispenser box</t>
  </si>
  <si>
    <t>Laboratory blender</t>
  </si>
  <si>
    <t>Waring Labormixer Reliable devices with powerful motors. For thorough mixing, dispersion and emulsification. Special cutter heads and high speed operation make the laboratory mixer suitable for many applications. Basic devices with capacity of 1 l , heat resistant glass beakers, Supplied with motor, cutter head, beaker and lid, 18000-22000rpm.Voltage / Amp / Frequency: 230V/ 50/60Hz, 110V 60Hz.
Product with 2 years warranty;
This item needs to be ordered with Glass receptable for blender (106427);</t>
  </si>
  <si>
    <t xml:space="preserve">11.2. Biosafety equipment	</t>
  </si>
  <si>
    <t>Laboratory chair</t>
  </si>
  <si>
    <t>Swivel stool (laboratory chair), vertical adjustable 420 - 620 mm, seat and back made of PU foam, disinfect able, 5 wheels, without armrests</t>
  </si>
  <si>
    <t>Laboratory deep freezer 550 lt</t>
  </si>
  <si>
    <t>Deep Freezer 550L / - 40 °C to - 86 °C; Product with 2 years warranty;
This item needs to be ordered with:
1. 106593 Stainless steel rack for Deep Freezer
2. 106594 Cryo Gloves
3. 106595 Voltage Stabilizer 2000W
Voltage / Amp / Frequency: 230 V, 50/60 Hz</t>
  </si>
  <si>
    <t>Laboratory deep freezer 70 lt</t>
  </si>
  <si>
    <t>Chest Freezer: user friendly microprocessor technique, conformable control panel with digital display to enter and read out all security relevant data, adjustable alarm limits for over and under temperatures (1-20K), additional control and alarm option, maintains all display and alarm functions for 60 hours in case of power failure, electronic alarm device and potential free contact for connection to an internal alarm system, RS 232 serial interface for trouble free data transfer, inside cabinet made completely of stainless steel and ex proof, energy saving maintenance-free cooling unit, both not flammable refrigerant and the all around special insulation (up to 150 mm) are CFC free (heat emission is only approx. 400W), temperature range from -50°C to -85°C, capacity 5 lt, unit is included with the following accessories: 6x Storage rack for boxes 50mm height art. no. 6901,  48x storage boxes art. no. 6970. Product with 2 years warranty; Voltage / Amp / Frequency: 230V/ 50/60Hz, 110V 60Hz</t>
  </si>
  <si>
    <t>Laboratory drying rack for glassware</t>
  </si>
  <si>
    <t xml:space="preserve">Draining rack, wire, pre coated, for 24 glasses/ 20 flasks </t>
  </si>
  <si>
    <t>Laboratory freezer 140 lt</t>
  </si>
  <si>
    <t>Vaust GGU 1500/ex: same basic model as Liebherr but with Vaust electronic. Product with 2 years warranty. Voltage / Amp / Frequency: 230V/ 50/60Hz, 110V 60Hz</t>
  </si>
  <si>
    <t>Laboratory hair covers</t>
  </si>
  <si>
    <t>Hair cover, PP barrett type, white Ø 48 cm, packaging 1000 pcs per bag in box of 2000 pcs</t>
  </si>
  <si>
    <t>Laboratory oven 250 lt</t>
  </si>
  <si>
    <t>Memmert UF 260, forced air circulation by quiet air turbine adjustable in 10% steps, continuous adjustment of pre heated fresh air admixture, fuzzy-supported PID microprocessor, solid state switching unit, 1 Product with 2 years warranty.
Product linked to the perforated stainless steel shelf (106100);</t>
  </si>
  <si>
    <t>Laboratory oven 32 lt</t>
  </si>
  <si>
    <t>Memmert UNB200 is been faced out the replacement is UN 30: Ventilation and Control: natural convection, vent connection with restrictor flap, adaptive multifunctional digital microprocessor PID-temperature controller with TFT colour display, 1 Pt100 sensor</t>
  </si>
  <si>
    <t>Laboratory refrigerator 140 lt</t>
  </si>
  <si>
    <t>Liebherr/Vaust Laboratory refrigerator FKUv 1610/ electronic same unit like LKUv 1610  Product with 2 years warranty. Voltage / Amp / Frequency: 230V/ 50/60Hz, 110V 60Hz</t>
  </si>
  <si>
    <t>Laboratory shoe covers</t>
  </si>
  <si>
    <t>PE shoe cover 21x40, blue, 21cm high, with rubber band, extra strong, rhombus foil with ABS structure, box of 1000 pcs packed in bags of 100pcs</t>
  </si>
  <si>
    <t>Laboratory spatulas set</t>
  </si>
  <si>
    <t>Set of spatula: stainless steel,  electrolytically polished, length approx. 150 mm,  blade, 40 mm length, width ranging 3,6,9 mm,   6 pieces in most common sizes of double and micro spatulas, 3 of them with spoon 9x5, 5x3, 9x5mm</t>
  </si>
  <si>
    <t>Laboratory strainer</t>
  </si>
  <si>
    <t>Strainer, stainless steel, diameter 190mm</t>
  </si>
  <si>
    <t>Laboratory tray</t>
  </si>
  <si>
    <t>Universal bowl, 12l, PP transparent, multi usage for storage and laboratory utensils</t>
  </si>
  <si>
    <t>Laboratory trolley</t>
  </si>
  <si>
    <t>Trolley, 18/0 stainless steel, tubular frame: 25 mm ø, thick shelves: 0,8 mm, with 76 x 44 cm surfaces, swivel wheels (2 with brakes), 40 kg maximum load per shelf.</t>
  </si>
  <si>
    <t xml:space="preserve">Laboratory washer-disinfector </t>
  </si>
  <si>
    <r>
      <t xml:space="preserve">Washer disinfector for laboratory glass, LAB 500 SCL (500D has been phased out), ISO 15883-1/3, KIWA, CSA-US, CEI EN 61010-1, EMC and SPRI, chamber volume 171lt, 5600W, pump 550W, Noise 52 dB(A), permitted temp. +5°C/ +40°C, programmable detergent pump, 5 washing programs, inbuilt water softener. Product with 2 years warranty. Voltage / Amp / Frequency: 230V/ 50/60Hz, 110V 60Hz
</t>
    </r>
    <r>
      <rPr>
        <b/>
        <sz val="12"/>
        <color indexed="10"/>
        <rFont val="Cambria"/>
        <family val="1"/>
      </rPr>
      <t>GDF Recommendation:</t>
    </r>
    <r>
      <rPr>
        <sz val="12"/>
        <color indexed="10"/>
        <rFont val="Cambria"/>
        <family val="1"/>
      </rPr>
      <t xml:space="preserve">
This item needs to be ordered with:
1. 106102 Washer-disinfector 1/2 insert
2. 106103 1/2 insert for baskets
3. 106104 Upper basket/ injector for nozzles  
4. 106105 1/4 insert, for test tubes 160x16</t>
    </r>
  </si>
  <si>
    <t>L-Asparagine-monohydrate</t>
  </si>
  <si>
    <t>L-Asparagin-Monohydrate for biochemical usage › 99%</t>
  </si>
  <si>
    <t>Latex gloves size L</t>
  </si>
  <si>
    <t xml:space="preserve">Noba medical examination gloves, latex, powder free, non sterile, packaging 10x 100 pcs </t>
  </si>
  <si>
    <t>Latex gloves size M</t>
  </si>
  <si>
    <t>Latex gloves size S</t>
  </si>
  <si>
    <t xml:space="preserve">LED microscope </t>
  </si>
  <si>
    <t xml:space="preserve">Carl Zeiss </t>
  </si>
  <si>
    <r>
      <t xml:space="preserve">ZEISS fluorescence microscope “Primo Star iLED” (fixed Koehler version) with binocular tube 30°, equipped with quadruple revolving nosepiece (tilted backwards) and objectives “Plan achromatic” 10x, 20x, 40x and 100x (oil), with white LED illumination for transmitted-bright field and blue LED illumination for epi-fluorescence. Product has 2 years warranty
ZEISS Primo star iLED: </t>
    </r>
    <r>
      <rPr>
        <u/>
        <sz val="12"/>
        <color indexed="40"/>
        <rFont val="Cambria"/>
        <family val="1"/>
      </rPr>
      <t>www.zeiss.com/microscopy/int/products/light-microscopes/primo-star-iled.html</t>
    </r>
  </si>
  <si>
    <t>Lens cleaning tissue</t>
  </si>
  <si>
    <t>Lens cleaning tissue 150 tissues in the pack</t>
  </si>
  <si>
    <t>Leucosep Tubes</t>
  </si>
  <si>
    <t>Levofloxacin for laboratory use</t>
  </si>
  <si>
    <t>Levofloxacin for laboratory use;
·  1 g is needed for 100 tests to be done in solid or liquid culture;
· Powder presentation, needs to be prepared manually. Follow manufacturer's instructions</t>
  </si>
  <si>
    <t xml:space="preserve">Light mirror for LED microscope </t>
  </si>
  <si>
    <t>Attachable transmitted-light mirror for Primo Star fixed Köhler;
Spare part of the LED microscope  (basic configuration) (106531</t>
  </si>
  <si>
    <t>Lime glass culture tubes 12 ml</t>
  </si>
  <si>
    <t>Thick walled pyrex tube, Duran, GL 16 thread, A-DMRXL, packaging 100pcs</t>
  </si>
  <si>
    <t>Linezolid for laboratory use</t>
  </si>
  <si>
    <t>25 mg</t>
  </si>
  <si>
    <t>Linezolid for laboratory used, 25 mg;
Powder presentation; needs to be prepared manually. Follow manufacturer's instructions</t>
  </si>
  <si>
    <t>Liquid soap for laboratory</t>
  </si>
  <si>
    <t>Premium liquid soap, 1 lt bottle</t>
  </si>
  <si>
    <t>Long 1 ml tips with filter</t>
  </si>
  <si>
    <r>
      <t xml:space="preserve">Molecular Bio Products *ART* Barrier tips, with Micro Point Cat. No. 2079 100-1000µl packaging 8 x 100 sterile;
</t>
    </r>
    <r>
      <rPr>
        <b/>
        <sz val="12"/>
        <color indexed="10"/>
        <rFont val="Cambria"/>
        <family val="1"/>
      </rPr>
      <t>GDF Recommendation:</t>
    </r>
    <r>
      <rPr>
        <sz val="12"/>
        <color indexed="10"/>
        <rFont val="Cambria"/>
        <family val="1"/>
      </rPr>
      <t xml:space="preserve">
Product linked to the pipette 200 - 1000 µl (106057) </t>
    </r>
  </si>
  <si>
    <t>Loop holder</t>
  </si>
  <si>
    <t>Loop holder, upper part aluminium or stainless steel, with plastic handle, length 240mm, according to Kolle Schwarz</t>
  </si>
  <si>
    <t>4.6. Loop-mediated isothermal amplification (TB-LAMP) reagents</t>
  </si>
  <si>
    <t>Loopamp MTBC Detection Kit</t>
  </si>
  <si>
    <t>2 x 48 
test</t>
  </si>
  <si>
    <r>
      <t xml:space="preserve">Qualitative in vitro diagnostic test for the detection of MTB complex /96 tests9. The amplification under isothermal conditions enables within a short time the fluorescence or turbidity based detection of MTB complex;
</t>
    </r>
    <r>
      <rPr>
        <b/>
        <sz val="12"/>
        <color indexed="10"/>
        <rFont val="Cambria"/>
        <family val="1"/>
      </rPr>
      <t>GDF Recommendation:</t>
    </r>
    <r>
      <rPr>
        <sz val="12"/>
        <color indexed="10"/>
        <rFont val="Cambria"/>
        <family val="1"/>
      </rPr>
      <t xml:space="preserve">
A detection kit of 96 tests and an Extraction kit of 90 tests will provide the appropriate number of reagents for 6 cycles comprising 84 patient samples plus 6 negative controls and 6 positive controls
This item has a very short shelf life. Need to order according to consumption.</t>
    </r>
  </si>
  <si>
    <t>Loopamp PURE DNA Extraction Kit</t>
  </si>
  <si>
    <r>
      <t xml:space="preserve">DNA extraction and isolation method for sputum samples through lysis/heating, removal of inhibitors and elution of DNA directly into the amplification tube;
</t>
    </r>
    <r>
      <rPr>
        <b/>
        <sz val="12"/>
        <color indexed="10"/>
        <rFont val="Cambria"/>
        <family val="1"/>
      </rPr>
      <t>GDF Recommendations:</t>
    </r>
    <r>
      <rPr>
        <sz val="12"/>
        <color indexed="10"/>
        <rFont val="Cambria"/>
        <family val="1"/>
      </rPr>
      <t xml:space="preserve">
A detection kit of 96 tests and an Extraction kit of 90 tests will provide the appropriate number of reagents for 6 cycles comprising 84 patient samples plus 6 negative controls and 6 positive controls</t>
    </r>
  </si>
  <si>
    <t xml:space="preserve">Lowenstein-Jensen Medium -  10 slants - large-size slant </t>
  </si>
  <si>
    <t>220908 - BD BBL™ Lowenstein-Jensen Medium, Slants (10/sp). BD  220908</t>
  </si>
  <si>
    <t>Magnesium sulphate-heptahydrate</t>
  </si>
  <si>
    <t>Magnesium sulphate- heptahydrate for analyses, EMSURE® ACS reagent Ph Eur</t>
  </si>
  <si>
    <t xml:space="preserve">Magnetic bars </t>
  </si>
  <si>
    <t xml:space="preserve">Magnetic followers, cylindric PTFE coated: set of 12 magnetic bares, 2 x 15 mm, 2 x 20 mm, 2 x 25 mm, 1 x 30 mm, 2 x 40 mm, 2x 50 mm, 1 x 60 mm length </t>
  </si>
  <si>
    <t>Magnifying hand lens for laboratory</t>
  </si>
  <si>
    <t>Hand lens model 2642100, lens diameter 100mm, 2X</t>
  </si>
  <si>
    <t>Main HEPA Filter for air down flow</t>
  </si>
  <si>
    <r>
      <t xml:space="preserve">Main HEPA filter for Mars/Fortuna 1200; 1500 or 1800 .
</t>
    </r>
    <r>
      <rPr>
        <b/>
        <sz val="12"/>
        <color indexed="10"/>
        <rFont val="Cambria"/>
        <family val="1"/>
      </rPr>
      <t>GDF Recommendation:</t>
    </r>
    <r>
      <rPr>
        <sz val="12"/>
        <color indexed="10"/>
        <rFont val="Cambria"/>
        <family val="1"/>
      </rPr>
      <t xml:space="preserve">
· GDF recommends that these filters are always available for the replacement of non-functioning filters.
·  Please order same quantity as the Biosafety cabinet (106076)</t>
    </r>
  </si>
  <si>
    <r>
      <t xml:space="preserve">Main HEPA filter for Mars/Fortuna 1200,  1500 or 1800 .
</t>
    </r>
    <r>
      <rPr>
        <b/>
        <sz val="12"/>
        <color indexed="10"/>
        <rFont val="Cambria"/>
        <family val="1"/>
      </rPr>
      <t>GDF Recommendation:</t>
    </r>
    <r>
      <rPr>
        <sz val="12"/>
        <color indexed="10"/>
        <rFont val="Cambria"/>
        <family val="1"/>
      </rPr>
      <t xml:space="preserve">
· GDF recommends that these filters are always available for the replacement of non-functioning filters.
·  Please order same quantity as the Biosafety cabinet (106076)</t>
    </r>
  </si>
  <si>
    <t>Maintenance for TB-LAMP</t>
  </si>
  <si>
    <r>
      <t xml:space="preserve">• 1 year checking on-site conditions
• Extensive cleaning of working area, instrument surface, heating blocks and fluorescence reading unit according to maintenance check list
• Inspection and validation of UPS and power connection
• Temperature check and verifying the incubation and reaction block are reaching the target temperature according to maintenance check list
• Performance of maintenance test kit to assure the instrument is working properly according to Operation Qualification (OQ)
• Needed equipment and test kit to perform the OQ
• Issue of OQ certificate;
</t>
    </r>
    <r>
      <rPr>
        <b/>
        <sz val="12"/>
        <color indexed="10"/>
        <rFont val="Cambria"/>
        <family val="1"/>
      </rPr>
      <t>GDF Recommendation:</t>
    </r>
    <r>
      <rPr>
        <sz val="12"/>
        <color indexed="10"/>
        <rFont val="Cambria"/>
        <family val="1"/>
      </rPr>
      <t xml:space="preserve">
Travel and accommodation expenses, where applicable, are not included and will be charged separately by HUMAN to the recipient. </t>
    </r>
  </si>
  <si>
    <t>Maintenance with warranty extension for TB-LAMP</t>
  </si>
  <si>
    <r>
      <t xml:space="preserve">• Warranty extension for 1 year (on-site) if the maintenance is done before the first warranty period ends and a copy of the filled maintenance check list is returned to HUMAN.
• Extensive cleaning of working area, instrument surface, heating blocks and fluorescence reading unit according to maintenance check list
• Inspection and validation of UPS and power connection
• Temperature check and verifying the incubation and reaction block are reaching the target temperature according to maintenance check list
• Performance of maintenance test kit to assure the instrument is working properly according to Operation Qualification (OQ)
• Needed equipment and test kit to perform the OQ
• Issue of OQ certificate; 
</t>
    </r>
    <r>
      <rPr>
        <b/>
        <sz val="12"/>
        <color indexed="10"/>
        <rFont val="Cambria"/>
        <family val="1"/>
      </rPr>
      <t>GDF Recommendation:</t>
    </r>
    <r>
      <rPr>
        <sz val="12"/>
        <color indexed="10"/>
        <rFont val="Cambria"/>
        <family val="1"/>
      </rPr>
      <t xml:space="preserve">
Travel and accommodation expenses, where applicable, are not included and will be charged separately by HUMAN to the recipient. </t>
    </r>
  </si>
  <si>
    <t>Malachite green oxalate</t>
  </si>
  <si>
    <t>Malachite green oxalate C.I. 42000) for microscopy Certistain®</t>
  </si>
  <si>
    <t>Marker pen</t>
  </si>
  <si>
    <t>Marker pen, black, for all surfaces, resistant against alcohol/ water, writes even on wet surface</t>
  </si>
  <si>
    <t>Marker pen for PCR tubes</t>
  </si>
  <si>
    <t>0.6mm marker pen, specially for laboratory usage, permanent with Dry safe technology to allow the pen to stay open (Test ISO 554), rechargeable</t>
  </si>
  <si>
    <t>Mc Farland standard set</t>
  </si>
  <si>
    <t xml:space="preserve">1 set of Mc Farland standards (0.5, 1.0, 2.0, 3.0,4.0) </t>
  </si>
  <si>
    <t>Measuring cylinder 10 ml</t>
  </si>
  <si>
    <t>10 ml, acid resistant. Incremental measures (1 - 10) imprinted.</t>
  </si>
  <si>
    <t>Measuring pipette 1 ml</t>
  </si>
  <si>
    <t>Measuring pipette, 1ml, subdivision 0.1ml</t>
  </si>
  <si>
    <t>Methylene blue</t>
  </si>
  <si>
    <t>Methylene blue; 10 x 10 g</t>
  </si>
  <si>
    <t>Microcentrifuge</t>
  </si>
  <si>
    <r>
      <t xml:space="preserve">Hettich Centrifuge type Micro 200: capacity: 24x 2.0ml, rpm 15.000min-1, voltage 220-240V, 50-60Hz, with rotor type 2424-A, angle rotor 24x02-2.0ml.
</t>
    </r>
    <r>
      <rPr>
        <b/>
        <sz val="12"/>
        <color indexed="10"/>
        <rFont val="Cambria"/>
        <family val="1"/>
      </rPr>
      <t>GDF Recommendation:</t>
    </r>
    <r>
      <rPr>
        <sz val="12"/>
        <color indexed="10"/>
        <rFont val="Cambria"/>
        <family val="1"/>
      </rPr>
      <t xml:space="preserve">
IIf an UPS is needed for this microcentrifuge, please select the items 106443 UPS 700 VA.</t>
    </r>
  </si>
  <si>
    <t>Microcentrifuge tubes 1.5 ml</t>
  </si>
  <si>
    <t>Microcentrifuge Tubes 1.5ml with attached screw caps, PP, graduated, temp. -196°C, +121°C autoclavable, PP screw cap with silicone seal, with frosted marking field, can withstand centrifugation to 20000g</t>
  </si>
  <si>
    <t>Microcentrifuge tubes 2 ml</t>
  </si>
  <si>
    <t>Microcentrifuge Tubes 2 ml with attached screw caps, PP, graduated, -196°C, +121°C autoclavable, PP screw cap with silicone seal, with frosted marking, can withstand centrifugation to 20000g</t>
  </si>
  <si>
    <t xml:space="preserve">MicroMGIT Calibrator </t>
  </si>
  <si>
    <t>TUBE CALIBRATOR MICRO MGIT (1 ea.)</t>
  </si>
  <si>
    <t>Microscope slides</t>
  </si>
  <si>
    <t>50 x 20</t>
  </si>
  <si>
    <t>Made of soda-lime glass; 76 mm × 24 mm; 1.0–1.2 mm thick; compliant with ISO 8037–1 (Optics and optical instruments --Microscopes --Slides --Part 1: Dimensions, optical properties and marking); cleaned and degreased; straight edges and corners; cellophane wrapped and tropical packing; frosted ends for marking.  50 x 20 slides, total of 1000 slides</t>
  </si>
  <si>
    <t xml:space="preserve">Middlebrook 7H10 Agar </t>
  </si>
  <si>
    <t>BD Difco™ Middlebrook 7H10 Agar, Use with Glycerol and Middlebrook OADC Enrichment for isolation and cultivation of mycobacteria, 500 gr. BD  262710</t>
  </si>
  <si>
    <t xml:space="preserve">Middlebrook 7H11 Agar Base </t>
  </si>
  <si>
    <t>BD BBL™ Prepared Plated Media 7H11 Agar Base</t>
  </si>
  <si>
    <t>Minicentrifuge</t>
  </si>
  <si>
    <t>Mini Centrifuge Sprout: ideal for quick spin-downs of reaction-tubes. Easy to use function. Rotor 6000 rpm (2000 x g), circular for: 6 x 1.5 and 2.0 ml tubes, including adaptor for 6x0.4 and 0.5 ml tubes, 3x 0.4 ml and 3x 1.5 and 20 ml tubes. Rectangular for two 8 x 0.2ml PCR tube-strips or 16 individual 0.2 ml PCR tubes; Ptoduct with 2 years warranty. Voltage / Amp / Frequency: 230V/ 50/60Hz, 110V 60Hz</t>
  </si>
  <si>
    <t>Minishaker / Vortex</t>
  </si>
  <si>
    <t>Genie 2 Vortexer is designed with a solid-state electronic control that provides adjustable speed from 40 to 3200 rpm. Units can be operated in touch or continuous mode using the three-way switch. Product with 2 years warranty. Voltage / Amp / Frequency: 230V/ 50/60Hz, 110V 60Hz</t>
  </si>
  <si>
    <t>Mobile drawer cabinet</t>
  </si>
  <si>
    <t>Mobile container, lockable, on 4 castors, disinfectable, worktop 30 mm thick, Melamin coated, high chemical resistance, temperature resistance to 90 °C, with edges of the worktop lipped, four drawers, smooth action and metal rails with anti bocking system for total extraction</t>
  </si>
  <si>
    <t>Modular heating block</t>
  </si>
  <si>
    <r>
      <t xml:space="preserve">Constructed from a solid anodised aluminium block - Single block. Close contact of tubes to block walls allows for maximum heat retention, Each block has a thermometer well for measuring block temperature;
</t>
    </r>
    <r>
      <rPr>
        <b/>
        <sz val="12"/>
        <color indexed="10"/>
        <rFont val="Cambria"/>
        <family val="1"/>
      </rPr>
      <t>GDF Recommendation:</t>
    </r>
    <r>
      <rPr>
        <sz val="12"/>
        <color indexed="10"/>
        <rFont val="Cambria"/>
        <family val="1"/>
      </rPr>
      <t xml:space="preserve">
Product linked to the standard reaction tubes 1.5 ml (106421)</t>
    </r>
  </si>
  <si>
    <t>Molecular grade water</t>
  </si>
  <si>
    <t>10 x 1.7ml</t>
  </si>
  <si>
    <t>DNAase, RNAase free water - not chemically treated molecular grade water - 1.7mlx10 or 10ml</t>
  </si>
  <si>
    <t>Moxifloxacin - lyophilized drug for laboratory use with BACTEC MGIT</t>
  </si>
  <si>
    <r>
      <t xml:space="preserve">6-vial pack, 498 µg / vial -  - to perform 240 tests;
</t>
    </r>
    <r>
      <rPr>
        <b/>
        <sz val="12"/>
        <color indexed="10"/>
        <rFont val="Cambria"/>
        <family val="1"/>
      </rPr>
      <t>GDF Recommendation:</t>
    </r>
    <r>
      <rPr>
        <sz val="12"/>
        <color indexed="10"/>
        <rFont val="Cambria"/>
        <family val="1"/>
      </rPr>
      <t xml:space="preserve">
· To perform liquid culture, MGIT tubes (106026) need to be ordered;
· This item has a very short shelf life. Need to order according to consumption</t>
    </r>
  </si>
  <si>
    <t>Moxifloxacin for laboratory use</t>
  </si>
  <si>
    <t>Moxifloxacin for laboratory use;
·  1 g is needed for 100 tests to be done in solid or liquid culture;
· Powder presentation, needs to be prepared manually. Follow manufacturer's instructions</t>
  </si>
  <si>
    <t>MycoPrep Specimen Digestion / Decontamination Kit -  150ml</t>
  </si>
  <si>
    <r>
      <t xml:space="preserve">This kit contains reagents necessary for the preparation of respiratory and non respiratory (blood excluded) specimens for identification of mycobacteria. The kit includes bottles of NaOH-citrate solution (containing a plastic ampule with NALC) and powdered phosphate buffer. After activation of the NALC ampule, the NALC-NaOH mixture is stable for 24 hours.
</t>
    </r>
    <r>
      <rPr>
        <b/>
        <sz val="12"/>
        <color indexed="10"/>
        <rFont val="Cambria"/>
        <family val="1"/>
      </rPr>
      <t>GDF Recommendation:</t>
    </r>
    <r>
      <rPr>
        <sz val="12"/>
        <color indexed="10"/>
        <rFont val="Cambria"/>
        <family val="1"/>
      </rPr>
      <t xml:space="preserve">
This item has a very short shelf life. Need to order according to consumption.</t>
    </r>
  </si>
  <si>
    <t>N-(1-Naphthyl)-ethylendiamine dihydrochloride in glass bottle</t>
  </si>
  <si>
    <t>N-(1-Naphthyl)-ethylendiamine dihydrochloride, for analyses ACS</t>
  </si>
  <si>
    <t>N-acetyl-L-cysteine</t>
  </si>
  <si>
    <t>N-Acetyl-L-cysteine for biological usage in bottles of 100g</t>
  </si>
  <si>
    <t>Nicotinic acid amide for laboratory use</t>
  </si>
  <si>
    <t>Nicotinic acid amide;
Powder presentation; needs to be prepared manually. Follow manufacturer's instructions</t>
  </si>
  <si>
    <t>Non sterile Pasteur pipettes 3 ml</t>
  </si>
  <si>
    <t>TTM Pasteur pipette unsterile length 155mm, non toxic and controlled, packaging 500 pcs</t>
  </si>
  <si>
    <t>Non-disposable nitrile gloves size L</t>
  </si>
  <si>
    <t>Gloves SOLVEX NITRIL green, 0.38mm G9, category III, packaging 12 pcs per box</t>
  </si>
  <si>
    <t>Non-disposable nitrile gloves size M</t>
  </si>
  <si>
    <t>Gloves SOLVEX NITRIL green, 0.38mm G8, category III, packaging 12 pcs per box</t>
  </si>
  <si>
    <t>Non-disposable nitrile gloves size S</t>
  </si>
  <si>
    <t>Gloves SOLVEX NITRIL green, 0.38mm G7, category III, packaging 12 pcs per box</t>
  </si>
  <si>
    <t>Ofloxacin - lyophilized drug for laboratory use with BACTEC MGIT</t>
  </si>
  <si>
    <r>
      <t xml:space="preserve">6-vial pack, 664 µg / vial  - to perform 240 tests;
</t>
    </r>
    <r>
      <rPr>
        <b/>
        <sz val="12"/>
        <color indexed="10"/>
        <rFont val="Cambria"/>
        <family val="1"/>
      </rPr>
      <t>GDF Recommendation:</t>
    </r>
    <r>
      <rPr>
        <sz val="12"/>
        <color indexed="10"/>
        <rFont val="Cambria"/>
        <family val="1"/>
      </rPr>
      <t xml:space="preserve">
· To perform liquid culture, MGIT tubes (106026) need to be ordered;
· This item has a very short shelf life. Need to order according to consumption</t>
    </r>
  </si>
  <si>
    <t>Ofloxacin for laboratory use</t>
  </si>
  <si>
    <t>Ofloxacin for laboratory use;
·  1 g is needed for 100 tests to be done in solid or liquid culture;
· Powder presentation, needs to be prepared manually. Follow manufacturer's instructions</t>
  </si>
  <si>
    <t>Orbital shaker</t>
  </si>
  <si>
    <t>Compact, universal small shaker suitable for shaking tasks with all small vessels and microtiter plates, adjustable speed of up to 3.000 rpm</t>
  </si>
  <si>
    <t>Overhead stirrer</t>
  </si>
  <si>
    <t>Overhead stirrer and universal adaptor, with individual adjustment from 20-100 U/min, for 2 vessels, max weight 1 kg, universal adaptor for vessels from 50-160mm height</t>
  </si>
  <si>
    <t>Paper towel holder</t>
  </si>
  <si>
    <t>TTM Wall mounted towel holder for minimum 200 towels</t>
  </si>
  <si>
    <t>Paper towels</t>
  </si>
  <si>
    <t>Paper towels, single use 5000 per box, folded for wall dispenser</t>
  </si>
  <si>
    <t xml:space="preserve">Para-nitrobenzoic acid </t>
  </si>
  <si>
    <t>4-Nitrobenzoic acid for synthesis, 100 g</t>
  </si>
  <si>
    <t>PCR tubes 0.2 ml</t>
  </si>
  <si>
    <t>Single PCR Tubes with Attached Caps, 0.2 ml  PCR tubes with attached caps are compatible with leading thermal cyclers with heated lids, autoclavable</t>
  </si>
  <si>
    <t>pH meter</t>
  </si>
  <si>
    <t>Hanna Instruments bench pH meter, ph211: with large multifunction display, which indicates the pH- value or V-value and temperature, automatic calibration with 5 pre- programmed std buffers (pH 4.01; 6.86; 7.01; 9.18; 10.01), graphic symbols show the user how to calibrate and use the unit, temperature compensation automatic and manual, pH 0.00 to 14.00, mV ±  1999 (ORP), Range, ± 399.9 (ISE) , °C 0.0 to 100.0, pH 0.01, mV 1 (ORP) Resolution 0.1 (ISE), °C 0.1, pH ± 0.01 m'V ± 1 (ORP), Accuracy ± 0.2 (ISE) ° C ± 0.5.
Product with 2 years warranty;
Voltage / Amp / Frequency: 230V/ 50/60Hz, 110V 60Hz</t>
  </si>
  <si>
    <t>pH strips</t>
  </si>
  <si>
    <t>100 
strips</t>
  </si>
  <si>
    <t>pH- indication sticks in box of 100 tests, ph. from 6.5-10,0, graduation 0,2-0,5, with colour indication, can not blend as it is in tubes</t>
  </si>
  <si>
    <t>Phenol</t>
  </si>
  <si>
    <t>Phenol, &gt;99.5% p.a. detached crystals, Carbolic acid, Hyrdoxybenzene, C6H6O, M94,11g/mol, bp 181,8°C, d 1,06, flp 79°C mp 40,8°C, ADR 6,1II/WGK 2, EG-No 2036327 plastic bottle 1kg</t>
  </si>
  <si>
    <t xml:space="preserve">Phenol crystals </t>
  </si>
  <si>
    <t>Phenol, 2 x 250 gr</t>
  </si>
  <si>
    <t>Pipette filler 1 to 200 ml - battery</t>
  </si>
  <si>
    <t>Accu automatic pipetting assistance. Adjustable 5 levels, incl. Charger. Products with 2 years warranty. Voltage / Amp / Frequency: 230V/ 50/60Hz, 110V 60Hz</t>
  </si>
  <si>
    <t>Pipette fillers set</t>
  </si>
  <si>
    <t xml:space="preserve">Pipump, pipette filler set : 1132005, size 0 (yellow 0-0.02ml), 1132006 size 2 (blue 0-2ml), 1132007, size 10 (green, 0-10ml)  </t>
  </si>
  <si>
    <t>Pipette washer kit</t>
  </si>
  <si>
    <t>Kartell Automatic Pipette Washer, with 2x baskets and pipette handle, 170 Ø. Product with 2 years warranty. Voltage / Amp / Frequency: 230V/ 50/60Hz, 110V 60Hz</t>
  </si>
  <si>
    <t>4.7. Loop-mediated isothermal amplification (TB-LAMP) consumables</t>
  </si>
  <si>
    <t>Pipette-60 set for TB-LAMP</t>
  </si>
  <si>
    <t>Pipette and filter tips for the Transfer of sputum samples for TB LAMP
Pipette – 60 set: (Aspiration performance 60 µl +/_ 4.0%
35 mm in diameter x 192 mm I length, Approx. 26 gram
Filtered tips for 4 x 96 tips/box
7.5 mm in diameter x 75 mm in length, approx. 1.0 gram/tip</t>
  </si>
  <si>
    <t>Plastic bags 2 lt</t>
  </si>
  <si>
    <t>Disposable bag, autoclavable up to 121°C, 200x300mm, 40µm, box of 100pcs;
Product linked to the tri-pod stand (106349)</t>
  </si>
  <si>
    <t>Plastic bags 30 lt</t>
  </si>
  <si>
    <t>Bags, Biohazard 27lt, with temperature indicator, text is in white before autoclaving, than black.  The text 'autoclaved' indicates successful autoclaving, with highly visible label  'Biohazard'; bags meet ASTM D 709-98 Standard; packaging 200 pcs per box.
Product linked to the stand for bags (106445)</t>
  </si>
  <si>
    <t>Plastic bottle 500 ml</t>
  </si>
  <si>
    <t>Plastic bottle PE-LD with lid, natural colour/ 500ml</t>
  </si>
  <si>
    <t>Plastic foil 100 m</t>
  </si>
  <si>
    <t>Plastic foil, PE, roll of 100m, 300x0.2mm</t>
  </si>
  <si>
    <t>Plastic foil welder</t>
  </si>
  <si>
    <t>Plastic welder, welding rod 300mm, 500W, 230V/ 50/60Hz, 110V 60Hz
Product with 2 years warranty;</t>
  </si>
  <si>
    <t>Plastic funnel 75 mm</t>
  </si>
  <si>
    <t>Funnel vitlab, PP plain with short stern, Ø 75mm</t>
  </si>
  <si>
    <t>Plastic laboratory beaker 100 ml</t>
  </si>
  <si>
    <t>Beakers, Low Form, with spout and easy-to-read black printed graduations, very good chemical resistance, good thermal resistance from –100…+150 °C, Autoclavable, ISO 7056, 100ml, graduated</t>
  </si>
  <si>
    <t>Plastic laboratory beaker 1000 ml</t>
  </si>
  <si>
    <t>Beakers, Low Form, with spout and easy-to-read black printed graduations, very good chemical resistance, good thermal resistance from –100…+150 °C, Autoclavable, ISO 7056, 1000ml, graduated</t>
  </si>
  <si>
    <t>Plastic laboratory beaker 2000 ml</t>
  </si>
  <si>
    <t xml:space="preserve">Beakers; 2000 ml; PP, ISO 7056 and DIN 12331 max temp. 135°C; low form; with spout and graduation, autoclavable </t>
  </si>
  <si>
    <t>Plastic laboratory beaker 250 ml</t>
  </si>
  <si>
    <t>Beakers, Low Form, with spout and easy-to-read black printed graduations, very good chemical resistance, good thermal resistance from –100…+150 °C, Autoclavable, ISO 7056, 250ml, graduated</t>
  </si>
  <si>
    <t>Plastic laboratory beaker 500 ml</t>
  </si>
  <si>
    <t>Beakers, Low Form, with spout and easy-to-read black printed graduations, very good chemical resistance, good thermal resistance from –100…+150 °C, Autoclavable, ISO 7056, 500ml, graduated</t>
  </si>
  <si>
    <t>Plastic measuring cylinder 100 ml</t>
  </si>
  <si>
    <t>Measuring cyl., transparent PMP (TPX®), tall form, autoclavable, 100ml,  graduation 1.0ml, No meniscus, chemically non-absorbent, non-wetting surface, excellent chemical resistance, Can be used with liquids up to +170 °C, ISO 6706</t>
  </si>
  <si>
    <t>Plastic measuring cylinder 1000 ml</t>
  </si>
  <si>
    <t>Measuring cyl., transparent PMP (TPX®), tall form, autoclavable, 1000ml,  graduation 10ml, No meniscus, chemically non-absorbent, non-wetting surface, excellent chemical resistance, Can be used with liquids up to +170 °C</t>
  </si>
  <si>
    <t>Plastic measuring cylinder 250 ml</t>
  </si>
  <si>
    <t>Measuring cyl., transparent PMP (TPX®), tall form, autoclavable, 250ml,  graduation 2.0ml, No meniscus, chemically non-absorbent, non-wetting surface, excellent chemical resistance, Can be used with liquids up to +170 °C, ISO 6706</t>
  </si>
  <si>
    <t>Plastic measuring cylinder 500 ml</t>
  </si>
  <si>
    <t>Measuring cyl., transparent PMP (TPX®), tall form, autoclavable, 500ml,  graduation 5.0ml, No meniscus, chemically non-absorbent, non-wetting surface, excellent chemical resistance, Can be used with liquids up to +170 °C, ISO 6706</t>
  </si>
  <si>
    <t>Plastic petri dish</t>
  </si>
  <si>
    <t>Petri dishes with vents, PS, crystal clear packed machine sterile, packed in 20pcs/bag in box of 480pcs</t>
  </si>
  <si>
    <t>Plastic powder funnel 100 mm</t>
  </si>
  <si>
    <t>Powder funnel , diameter 100mm, PP transparent</t>
  </si>
  <si>
    <t>Plastic test tube rack for 16 mm tubes</t>
  </si>
  <si>
    <r>
      <t xml:space="preserve">Stands for test tubes, made of PP, autoclavable, stackable, white, approx., 246x104x64mm, Ø 16mm;
</t>
    </r>
    <r>
      <rPr>
        <b/>
        <sz val="12"/>
        <color indexed="10"/>
        <rFont val="Cambria"/>
        <family val="1"/>
      </rPr>
      <t>GDF Recommendation:</t>
    </r>
    <r>
      <rPr>
        <sz val="12"/>
        <color indexed="10"/>
        <rFont val="Cambria"/>
        <family val="1"/>
      </rPr>
      <t xml:space="preserve">
Product linked to the PP-tubes for centrifuge, 15 ml (106384)</t>
    </r>
  </si>
  <si>
    <t>Plastic test tube rack for 18 mm tubes</t>
  </si>
  <si>
    <t>Test tube rack, 50 holes, with alphanumeric markings, Ø 18mm</t>
  </si>
  <si>
    <t>Plastic test tube rack for 30 mm tubes</t>
  </si>
  <si>
    <t>Test tube rack, 21 holes, with alphanumeric markings, Ø 30mm</t>
  </si>
  <si>
    <t>PMP measuring cylinder 50 ml</t>
  </si>
  <si>
    <t>Measuring cyl., transparent PMP (TPX®), tall form, autoclavable, 50ml,  graduation 1.0ml, No meniscus, chemically non-absorbent, non-wetting surface, excellent chemical resistance, Can be used with liquids up to +170 °C, ISO 6706</t>
  </si>
  <si>
    <t>Polysorbate 80</t>
  </si>
  <si>
    <t>Tween® (Polyoxyethene) Ph Eur, NF, JP</t>
  </si>
  <si>
    <t xml:space="preserve">Potassium dihydrogen phosphate, ≥99.5 %, p.a., ACS, Reagent for phosphate, buffer, molecular biology, KH2PO4 , M 136,09 g/mol, D 2,34, mp ~253 °C, WGK1, EG-No. 2319134, CAS-No. [7778-77-0] </t>
  </si>
  <si>
    <t>Power supply for electrophoresis chamber</t>
  </si>
  <si>
    <t>PHEROstab EV245, 400V, 500mA, 50W (230VAC).
Product with 2 years warranty. Voltage / Amp / Frequency: 230V/ 50/60Hz, 110V 60Hz</t>
  </si>
  <si>
    <t>Pre HEPA filter for down flow and in take air</t>
  </si>
  <si>
    <r>
      <t xml:space="preserve">V-shaped H-14 prefilters for Mars Pro 1200 - To order Qty : 12
V-shaped H-14 prefilters for Mars Pro 1500 - To order Qty : 15
V-shaped H-14 prefilters for Mars Pro 1800 - To order Qty : 18.
</t>
    </r>
    <r>
      <rPr>
        <b/>
        <sz val="12"/>
        <color indexed="10"/>
        <rFont val="Cambria"/>
        <family val="1"/>
      </rPr>
      <t>GDF Recommendation:</t>
    </r>
    <r>
      <rPr>
        <sz val="12"/>
        <color indexed="10"/>
        <rFont val="Cambria"/>
        <family val="1"/>
      </rPr>
      <t xml:space="preserve">
· GDF recommends that these filters are always available for the replacement of non-functioning filters.
·  Please order same quantity as the Biosafety cabinet (106076)</t>
    </r>
  </si>
  <si>
    <t>Precision balance</t>
  </si>
  <si>
    <t>Kern PCB 3500-2 precision balance, measuring range max 3.5 kg, readout 10mg, reproducibility 10mg, linearity ± 30 mg, pre tare function of known containers, data transfer for example to Printer or PC, battery option, auto of function;
· Essential for the preparation of ZN reagents;
· Product has 2 years warranty;
· Voltage / Amp / Frequency: 230V/ 50/60Hz, 110V 60Hz</t>
  </si>
  <si>
    <t>Precision incubator</t>
  </si>
  <si>
    <r>
      <t xml:space="preserve">Precision Incubator, ventilation and Control, natural convection, continuous adjustment of pre-heated fresh air admixture, vent connection with restrictor flap, adaptive multifunctional digital PID microprocessor.
· Product linked  to the perforated stainless steel shelf (106248)
· Incubator features: </t>
    </r>
    <r>
      <rPr>
        <u/>
        <sz val="12"/>
        <color indexed="40"/>
        <rFont val="Cambria"/>
        <family val="1"/>
      </rPr>
      <t>www.memmert.com/products/incubators/incubator/IN750/</t>
    </r>
  </si>
  <si>
    <t>Printer for Autoclave</t>
  </si>
  <si>
    <r>
      <t xml:space="preserve">Printer for autoclave Laboclav 55-195.
</t>
    </r>
    <r>
      <rPr>
        <b/>
        <sz val="12"/>
        <color indexed="10"/>
        <rFont val="Calibri"/>
        <family val="2"/>
      </rPr>
      <t>GDF Recommendation:</t>
    </r>
    <r>
      <rPr>
        <sz val="12"/>
        <color indexed="10"/>
        <rFont val="Calibri"/>
        <family val="2"/>
      </rPr>
      <t xml:space="preserve">
Please order same quantity as the autoclave for Media Kitchen (106116)</t>
    </r>
  </si>
  <si>
    <r>
      <t xml:space="preserve">Printer for autoclave Laboclav 55-195.
</t>
    </r>
    <r>
      <rPr>
        <b/>
        <sz val="12"/>
        <color indexed="10"/>
        <rFont val="Calibri"/>
        <family val="2"/>
      </rPr>
      <t>GDF Recommendation:</t>
    </r>
    <r>
      <rPr>
        <sz val="12"/>
        <color indexed="10"/>
        <rFont val="Calibri"/>
        <family val="2"/>
      </rPr>
      <t xml:space="preserve">
Please order same quantity as the autoclave for Media Kitchen (106117)</t>
    </r>
  </si>
  <si>
    <r>
      <t xml:space="preserve">Printer for autoclave.
</t>
    </r>
    <r>
      <rPr>
        <b/>
        <sz val="12"/>
        <color indexed="10"/>
        <rFont val="Calibri"/>
        <family val="2"/>
      </rPr>
      <t>GDF Recommendation:</t>
    </r>
    <r>
      <rPr>
        <sz val="12"/>
        <color indexed="10"/>
        <rFont val="Calibri"/>
        <family val="2"/>
      </rPr>
      <t xml:space="preserve">
Please order same quantity as the autoclave for Media Kitchen (106116)</t>
    </r>
  </si>
  <si>
    <r>
      <t xml:space="preserve">Printer for autoclave.
</t>
    </r>
    <r>
      <rPr>
        <b/>
        <sz val="12"/>
        <color indexed="10"/>
        <rFont val="Calibri"/>
        <family val="2"/>
      </rPr>
      <t>GDF Recommendation:</t>
    </r>
    <r>
      <rPr>
        <sz val="12"/>
        <color indexed="10"/>
        <rFont val="Calibri"/>
        <family val="2"/>
      </rPr>
      <t xml:space="preserve">
Please order same quantity as the autoclave for Media Kitchen (106117)</t>
    </r>
  </si>
  <si>
    <t>Protective goggles</t>
  </si>
  <si>
    <t>UVEX goggle, EN166and 170</t>
  </si>
  <si>
    <t>Protionamide for laboratory use</t>
  </si>
  <si>
    <t>Protionamide for laboratory use;
·  1 g is needed for 100 tests to be done in solid or liquid culture;
· Powder presentation, needs to be prepared manually. Follow manufacturer's instructions</t>
  </si>
  <si>
    <t>QFT-Plus Blood Collect 40 Tubes Single Patient</t>
  </si>
  <si>
    <t>Qiagen</t>
  </si>
  <si>
    <t>40 tubes</t>
  </si>
  <si>
    <t>QFT-Plus Blood Collect 40 Tubes Single Patient. 10 sets of 4 tubes – for 0 to 810 m altitude</t>
  </si>
  <si>
    <t>QFT-Plus Blood Collect 40 Tubes Single Patient - High Altitude</t>
  </si>
  <si>
    <t>QFT-Plus Blood Collect 40 Tubes Single Patient - High Altitude. 10 sets of 4 tubes – for High Altitude &gt;1,020m</t>
  </si>
  <si>
    <t>QFT-Plus Blood Collection 200 Tubes</t>
  </si>
  <si>
    <t>QFT-Plus Blood Collection 200 Tube. 50 sets of 4 tubes – for 0 to 810 m altitude</t>
  </si>
  <si>
    <t>QFT-Plus Blood Collection 200 Tubes - High Altitude</t>
  </si>
  <si>
    <t>QFT-Plus Blood Collection 200 Tubes - High Altitude. 50 sets of 4 tubes – for High Altitude &gt;1,020m</t>
  </si>
  <si>
    <t>QuantiFERON-TB Gold Plus (QFT-Plus) ELISA 2 x 96</t>
  </si>
  <si>
    <t>2 x 96</t>
  </si>
  <si>
    <t>QuantiFERON-TB Gold Plus (QFT-Plus) ELISA 2 x 96. Up to 44 tests max</t>
  </si>
  <si>
    <t>QuantiFERON-TB Gold Plus (QFT-Plus) ELISA 20 x 96</t>
  </si>
  <si>
    <t>20 x 96</t>
  </si>
  <si>
    <t xml:space="preserve">QuantiFERON-TB Gold Plus (QFT-Plus) ELISA 20 x 96. Up to 440 tests max. </t>
  </si>
  <si>
    <t>Quick chiller for tubes 0.2 to 1.5 ml</t>
  </si>
  <si>
    <t>Quick Chill™ unit, polycarbonate; non-toxic insulating solution, with handle. For use in molecular biology applications such as ethanol precipitation of DNA/RNA samples. For repeatedly use for up to 45 minutes, holds 12 x 1.5 or 0.5 ml microcentrifuge tubes (16 inserts for 0.5 ml included). Stackable design.</t>
  </si>
  <si>
    <t>Rack for 1.5-2 ml tubes</t>
  </si>
  <si>
    <t>Rack, PP autoclavable, for tubes 0,2 - 2,0 ml, 20positions</t>
  </si>
  <si>
    <t>Rack for 3 single channel pipettes</t>
  </si>
  <si>
    <t>Stand for 3 micro pipettes multi function</t>
  </si>
  <si>
    <t>Rack for 4 single channel pipettes</t>
  </si>
  <si>
    <t>Pipettor stand, Ergonomical: slightly curved to the user, universal fitting for all pipettors,   material: easy to clean, 3 mm thick acryl</t>
  </si>
  <si>
    <t xml:space="preserve">Rack for 50 ml tubes </t>
  </si>
  <si>
    <r>
      <t xml:space="preserve">Rack for centrifuge tubes, 3x6 positions, for 50ml centrifuge tubes or test tubes up to 30mm diameter;
</t>
    </r>
    <r>
      <rPr>
        <b/>
        <sz val="12"/>
        <color indexed="10"/>
        <rFont val="Cambria"/>
        <family val="1"/>
      </rPr>
      <t>GDF Recommendation:</t>
    </r>
    <r>
      <rPr>
        <sz val="12"/>
        <color indexed="10"/>
        <rFont val="Cambria"/>
        <family val="1"/>
      </rPr>
      <t xml:space="preserve">
Product linked to PP-tubes for centrifuge 50 ml (106340)</t>
    </r>
  </si>
  <si>
    <t>Rack for 6 single  channel pipettes</t>
  </si>
  <si>
    <t>Pipette rack, 6 positions, clear acrylic stand for 6x pipettes</t>
  </si>
  <si>
    <t>Rack for glass bottles</t>
  </si>
  <si>
    <t>Tube / Brush rack, epoxy coated steel wire racks, 5 x 10 places, for tubes of 33 mm</t>
  </si>
  <si>
    <t>Rack for laboratory deep freezer 550 lt</t>
  </si>
  <si>
    <r>
      <t xml:space="preserve">Rack for laboratory deep freezer 550 lt (106592);
</t>
    </r>
    <r>
      <rPr>
        <b/>
        <sz val="12"/>
        <color indexed="10"/>
        <rFont val="Calibri"/>
        <family val="2"/>
      </rPr>
      <t>GDF Recommendation:</t>
    </r>
    <r>
      <rPr>
        <sz val="12"/>
        <color indexed="10"/>
        <rFont val="Calibri"/>
        <family val="2"/>
      </rPr>
      <t xml:space="preserve">
· The deep freezer (106592) has 5 black doors inside. You can put 4 racks behind each black door. That means that you can put max. 20 racks in one deep freezer.</t>
    </r>
  </si>
  <si>
    <t>Rack for loop holder</t>
  </si>
  <si>
    <t>Rack for loop holder, PP, disinfectable, 6x holders;
Product linked to the loop holder (106232)</t>
  </si>
  <si>
    <t>Rack for PCR tubes of 0.2 ml</t>
  </si>
  <si>
    <r>
      <t xml:space="preserve">Set of Rotilabo®-PCR-stands, Made of SBS. With 96 holes in 8 x 12 array, for vials 0.2 ml, individual vials, on strips or plates, in different colours 4x blue, 4x red, 2x white Dimensions L 127 x W 85 x H 16 mm.
</t>
    </r>
    <r>
      <rPr>
        <b/>
        <sz val="12"/>
        <color indexed="10"/>
        <rFont val="Cambria"/>
        <family val="1"/>
      </rPr>
      <t>GDF Recommendation:</t>
    </r>
    <r>
      <rPr>
        <sz val="12"/>
        <color indexed="10"/>
        <rFont val="Cambria"/>
        <family val="1"/>
      </rPr>
      <t xml:space="preserve">
Product linked to the PCR tubes (106385)</t>
    </r>
  </si>
  <si>
    <t>Rack for sterile cryovials 2 ml</t>
  </si>
  <si>
    <r>
      <t xml:space="preserve">Rack for cryovials made of white PC, the snap in attachment in the base stops the vials from turning when opening and closing the box and also enables speedy and convenient one-hand operation. With alpha numerical coding. 50 holes in a 5x 10 array. autoclavable;
</t>
    </r>
    <r>
      <rPr>
        <b/>
        <sz val="12"/>
        <color indexed="10"/>
        <rFont val="Cambria"/>
        <family val="1"/>
      </rPr>
      <t>GDF Recommendation:</t>
    </r>
    <r>
      <rPr>
        <sz val="12"/>
        <color indexed="10"/>
        <rFont val="Cambria"/>
        <family val="1"/>
      </rPr>
      <t xml:space="preserve">
Product linked to cryo-vial with cap (106383)</t>
    </r>
  </si>
  <si>
    <t>Rapid test for detection of MPT 64 Antigen - SD Bioline TB Ag MPT64</t>
  </si>
  <si>
    <t>Abbott Diagnostics Korea</t>
  </si>
  <si>
    <t>25 tests</t>
  </si>
  <si>
    <r>
      <t xml:space="preserve">Rapid discrimination between the M. tuberculosis complex and MOTT bacilli. Identification of the M. tuberculosis complex in combination with culture systems. Sample: Colony, Condensation fluid(Solid cultures) or Liquid cultures.
MPT 64 Antigen: </t>
    </r>
    <r>
      <rPr>
        <u/>
        <sz val="12"/>
        <color indexed="40"/>
        <rFont val="Cambria"/>
        <family val="1"/>
      </rPr>
      <t>www.standardia.com/en/home/product/Rapid_Diagnostic_Test/TB_Ag_MPT64.html</t>
    </r>
  </si>
  <si>
    <t>Reagent bottle 1 lt</t>
  </si>
  <si>
    <t xml:space="preserve">Bottles 1 L, made of amber borosilicate glass, with a GL45 thread and cap, compliant with ISO 4746 or equivalent (Oxygen-free copper – scale adhesion test). </t>
  </si>
  <si>
    <t>Reagent bottle 2 lt</t>
  </si>
  <si>
    <t>Laboratory bottle, round, amber, borosilicate glass, with screw cap, 2000 ml</t>
  </si>
  <si>
    <t>Refill for airflow test set</t>
  </si>
  <si>
    <t>Dräger, Refill pack for smoke sticks 10 pcs;
Product linked to the smoke stick starter kit (106507)</t>
  </si>
  <si>
    <t>Reflecting mirror for bright field microscope - ZN</t>
  </si>
  <si>
    <t>Mirror unit for microscope Olympus CH20/CX21/CX22 and CX23;
Spare part of the Binocular bright field microscope - ZN (106535)</t>
  </si>
  <si>
    <t>Refrigerated bench top centrifuge</t>
  </si>
  <si>
    <r>
      <t xml:space="preserve">Capacity 4x 290ml, rpm 15000 min-1/ RCF 24.400, DESIGN
- Metal housing; - Stainless steel centrifuging chamber; - For 50 ml tubes;
- Viewing port in the lid; - Powered lid locking
- Ergonomic control and information panel; - Easy rotor changing; 
Product with 2 years warranty;
</t>
    </r>
    <r>
      <rPr>
        <b/>
        <sz val="12"/>
        <color indexed="10"/>
        <rFont val="Cambria"/>
        <family val="1"/>
      </rPr>
      <t>GDF Recommendation:</t>
    </r>
    <r>
      <rPr>
        <sz val="12"/>
        <color indexed="10"/>
        <rFont val="Cambria"/>
        <family val="1"/>
      </rPr>
      <t xml:space="preserve">
This item needs to be ordered with:
1. 106225 4-place swing out rotor
2. 106226 Rotor buckets 
3. 106227 Aerosol tight lids for rotor buckets 
4. 106228 Reducing adapter for 50 ml tubes
5. 106229 Reducing adapter for 15 ml/12 ml tubes
IIf an UPS is needed for this ocentrifuge, please select the items 106081 UPS 3000 VA.
Product features</t>
    </r>
    <r>
      <rPr>
        <sz val="12"/>
        <color indexed="8"/>
        <rFont val="Cambria"/>
        <family val="1"/>
      </rPr>
      <t xml:space="preserve">: </t>
    </r>
    <r>
      <rPr>
        <u/>
        <sz val="12"/>
        <color indexed="40"/>
        <rFont val="Cambria"/>
        <family val="1"/>
      </rPr>
      <t>www.meslo.com/product/1706/Hettich-ROTINA-380-R-Cooled-Centrifuge.html</t>
    </r>
  </si>
  <si>
    <t>3.1 Specimen transport consumables</t>
  </si>
  <si>
    <t>Refrigerated specimen transport box</t>
  </si>
  <si>
    <t>Electric cooler Powerbox Plus 28 L, operates of 12V car cigarette lighter and 230V, cooling performance 20°C below ambient temperature</t>
  </si>
  <si>
    <t>Repetitive pipette for combitips</t>
  </si>
  <si>
    <t>Handy Step Brand, repetitive pipette is contoured to fit your hand comfortably. All controls are designed for intuitive use with one hand. With wall bracket.</t>
  </si>
  <si>
    <t>Rifampicin for laboratory use</t>
  </si>
  <si>
    <t>Rifampicin; About 1000 test done with 1 gr;
· Powder presentation; needs to be prepared manually. Follow manufacturer's instructions</t>
  </si>
  <si>
    <t>Rinse aid for dish washer</t>
  </si>
  <si>
    <t>Rinse aid, NEODISCHER N, 1lt bottles</t>
  </si>
  <si>
    <t>Round filter paper 150mm</t>
  </si>
  <si>
    <t>100 filters</t>
  </si>
  <si>
    <t>Filter paper round, weight approx. 85 g/m², retention &gt; 4µm, diameter 150 mm, packs of 100</t>
  </si>
  <si>
    <t>Round filter paper 185mm</t>
  </si>
  <si>
    <t>Filter paper round, weight approx. 85 g/m², retention &gt; 4µm, diameter 185 mm, packs of 100</t>
  </si>
  <si>
    <t>Rubber pipetting bulb</t>
  </si>
  <si>
    <t>Pileusball, STD</t>
  </si>
  <si>
    <t>Safety box for liquids 2 lt</t>
  </si>
  <si>
    <t>Round disposal box 2.0 lt made of PP2 with screw cap and label Large opening, suitable for ESR pipettes. Include 30 pcs</t>
  </si>
  <si>
    <t>Safety gas burner</t>
  </si>
  <si>
    <r>
      <t xml:space="preserve">Gasprofi 1 SCS, safety gas burner, with foot switch, IR sensor, with rest heat display and splash guard;
</t>
    </r>
    <r>
      <rPr>
        <b/>
        <sz val="12"/>
        <color indexed="10"/>
        <rFont val="Cambria"/>
        <family val="1"/>
      </rPr>
      <t>GDF Recommendation:</t>
    </r>
    <r>
      <rPr>
        <sz val="12"/>
        <color indexed="10"/>
        <rFont val="Cambria"/>
        <family val="1"/>
      </rPr>
      <t xml:space="preserve">
This item needs to be ordered with the tubing (106222)</t>
    </r>
  </si>
  <si>
    <t>Salt for dish washer</t>
  </si>
  <si>
    <t xml:space="preserve">Salt: Kontrakalk, 1 box of 6x2 kg.
</t>
  </si>
  <si>
    <t>Screw caps for glass bottles</t>
  </si>
  <si>
    <t xml:space="preserve">Screw-cap (for pathological vials with number 106339), made of aluminium, with rubber seal, 4000 pieces. </t>
  </si>
  <si>
    <t>Screw caps for the canister 10/30 lt</t>
  </si>
  <si>
    <t>Screw caps with weld in PFTE membrane, 0.2 µm pore size, autoclavable to 140 °C</t>
  </si>
  <si>
    <t>Sealing film</t>
  </si>
  <si>
    <t>Parafilm, M for use between -40 to +50°C, length 58m</t>
  </si>
  <si>
    <t>Separate water supply for deionised water + conductivity measure</t>
  </si>
  <si>
    <r>
      <t xml:space="preserve">Separate water supply unit wall mounted, stainless steel, for deionised water, pressure up to 10 bar, 300l/min, quality 0.1-20µS/cm, water temp. Max 30°C, with digital conductivity measure, measuring range 0-199.9 µS/cm, including 1.5m  R3/4" hoses and mounting kit, with digital display .
</t>
    </r>
    <r>
      <rPr>
        <b/>
        <sz val="12"/>
        <color indexed="10"/>
        <rFont val="Cambria"/>
        <family val="1"/>
      </rPr>
      <t>GDF Recommendation:</t>
    </r>
    <r>
      <rPr>
        <sz val="12"/>
        <color indexed="10"/>
        <rFont val="Cambria"/>
        <family val="1"/>
      </rPr>
      <t xml:space="preserve">
This item needs to be ordered with:
1. 106124
2. 106125
3. 106126</t>
    </r>
  </si>
  <si>
    <t>Set of 4 funnels with 100 filters</t>
  </si>
  <si>
    <t>Set (1 large, 1 medium and 2 small) of 4 funnels with 100 filter papers</t>
  </si>
  <si>
    <t>Shelf for precision incubator</t>
  </si>
  <si>
    <t>Perforated stainless steel shelf. Product linked to the precision Incubator (106247)</t>
  </si>
  <si>
    <t>Shelves for laboratory oven 250 lt</t>
  </si>
  <si>
    <t>Stainless steel Grid for Memmert UF 260 E3 ;
Product linked to the Universal Hot-air oven (106099)</t>
  </si>
  <si>
    <t>SIide-holding forceps</t>
  </si>
  <si>
    <t>Slide holding forceps - 11,5cm in length, coating made of PFTE, stainless steel, packed in a plastic pouch, CE marked or equivalent</t>
  </si>
  <si>
    <t>Silica gel for desiccator</t>
  </si>
  <si>
    <t>Silica gel for desiccator, 1 kg, with humidity indicator</t>
  </si>
  <si>
    <t xml:space="preserve">Single channel pipette 1 - 10 µl </t>
  </si>
  <si>
    <r>
      <t xml:space="preserve">Gilson NEO P10N, 1-channel pipette, variable from 1-10µl, accuracy&lt; 0.10 to 0.20, precision &lt; 0.03 to 0.06;
</t>
    </r>
    <r>
      <rPr>
        <b/>
        <sz val="12"/>
        <color indexed="10"/>
        <rFont val="Cambria"/>
        <family val="1"/>
      </rPr>
      <t>GDF Recommendation:</t>
    </r>
    <r>
      <rPr>
        <sz val="12"/>
        <color indexed="10"/>
        <rFont val="Cambria"/>
        <family val="1"/>
      </rPr>
      <t xml:space="preserve">
Product linked to the tips, 0.1 - 10 µl  (106554)</t>
    </r>
  </si>
  <si>
    <t xml:space="preserve">Single channel pipette 10 - 100 µl </t>
  </si>
  <si>
    <r>
      <t xml:space="preserve">Gilson pipetman NEO  P100 N (10-100 μl) ISO 8655, Chemical and UV resistant, resistant to disinfectant, autoclavable;
</t>
    </r>
    <r>
      <rPr>
        <b/>
        <sz val="12"/>
        <color indexed="10"/>
        <rFont val="Cambria"/>
        <family val="1"/>
      </rPr>
      <t xml:space="preserve">GDF Recommendation:
</t>
    </r>
    <r>
      <rPr>
        <sz val="12"/>
        <color indexed="10"/>
        <rFont val="Cambria"/>
        <family val="1"/>
      </rPr>
      <t>Product linked to the tips, 10 - 100 µl (106388)</t>
    </r>
  </si>
  <si>
    <t xml:space="preserve">Single channel pipette 2 - 20 µl </t>
  </si>
  <si>
    <r>
      <t xml:space="preserve">Gilson NEO P20N, 1-channel pipette, variable from 2.0-20µl, accuracy&lt; 0.10 to 0.20, precision &lt; 0.03 to 0.06;
</t>
    </r>
    <r>
      <rPr>
        <b/>
        <sz val="12"/>
        <color indexed="10"/>
        <rFont val="Cambria"/>
        <family val="1"/>
      </rPr>
      <t>GDF Recommendation:</t>
    </r>
    <r>
      <rPr>
        <sz val="12"/>
        <color indexed="10"/>
        <rFont val="Cambria"/>
        <family val="1"/>
      </rPr>
      <t xml:space="preserve">
Product linked to the tips, 1.0 - 20 µl (106555)</t>
    </r>
  </si>
  <si>
    <t xml:space="preserve">Single channel pipette 20 - 200 µl </t>
  </si>
  <si>
    <r>
      <t xml:space="preserve">Gilson pipetman NEO  P200 N (20-200 μl) ISO 8655, Chemical and UV resistant, resistant to disinfectant, autoclavable;
</t>
    </r>
    <r>
      <rPr>
        <b/>
        <sz val="12"/>
        <color indexed="10"/>
        <rFont val="Cambria"/>
        <family val="1"/>
      </rPr>
      <t>GDF Recommendation:</t>
    </r>
    <r>
      <rPr>
        <sz val="12"/>
        <color indexed="10"/>
        <rFont val="Cambria"/>
        <family val="1"/>
      </rPr>
      <t xml:space="preserve">
Product linked to the tips, 20 - 200 µl (106389)</t>
    </r>
  </si>
  <si>
    <t xml:space="preserve">Single channel pipette 200 - 1000 µl </t>
  </si>
  <si>
    <r>
      <t xml:space="preserve">Gilson pipetman NEO  P1000 N (200-1000 μl) ISO 8655, Chemical and UV resistant, resistant to disinfectant, autoclavable ;
</t>
    </r>
    <r>
      <rPr>
        <b/>
        <sz val="12"/>
        <color indexed="10"/>
        <rFont val="Cambria"/>
        <family val="1"/>
      </rPr>
      <t>GDF Recommendation:</t>
    </r>
    <r>
      <rPr>
        <sz val="12"/>
        <color indexed="10"/>
        <rFont val="Cambria"/>
        <family val="1"/>
      </rPr>
      <t xml:space="preserve">
Product linked to the tips, 100 - 1000 µl (106390)</t>
    </r>
  </si>
  <si>
    <t>Skim milk powder</t>
  </si>
  <si>
    <t xml:space="preserve">Skim milk powder for microbiology </t>
  </si>
  <si>
    <t>Slanted rack for 16 mm tubes</t>
  </si>
  <si>
    <r>
      <t xml:space="preserve">Nalgene, PC, white/transparent, inclined rack, angle of either 5° or 20°, 4x10 places, heat resistant up to 135°C, autoclavable,  alphanumeric labelling.
</t>
    </r>
    <r>
      <rPr>
        <b/>
        <sz val="12"/>
        <color indexed="10"/>
        <rFont val="Cambria"/>
        <family val="1"/>
      </rPr>
      <t>GDF Recommendation:</t>
    </r>
    <r>
      <rPr>
        <sz val="12"/>
        <color indexed="10"/>
        <rFont val="Cambria"/>
        <family val="1"/>
      </rPr>
      <t xml:space="preserve">
Product linked to the culture tubes with screw cap (106338)</t>
    </r>
  </si>
  <si>
    <t>Slanted rack for 20 mm tubes</t>
  </si>
  <si>
    <t>Nalgene, PC, white/transparent, inclined rack, angle of either 5° or 20°, 4x10 places, heat resistant up to 135°C, autoclavable,  alphanumeric labelling</t>
  </si>
  <si>
    <t>Slide drying rack</t>
  </si>
  <si>
    <t>Hold standard slides (3 x 1" or 25 x 75mm) during drying and cleaning. Constructed of strong, chemical-resistant Stainless steal Capacity: 40 slides; measures rack 11.75 x 4.13 x 1".</t>
  </si>
  <si>
    <t>Slide storage box</t>
  </si>
  <si>
    <t>Boxes able to hold 100 slides (slides 76 mm ~ 26 mm), with a sturdy lock, a cork-lined base and a flap cover with an index-card holder, made of plastic.</t>
  </si>
  <si>
    <t>Slide warmer</t>
  </si>
  <si>
    <t>Slide warmer with black anodised working plate, temp. Up to 100°C, regulation in 1°C steps, digital display, overheating protection. Products with 2 years warranty. Voltage / Amp / Frequency: 230V/ 50/60Hz, 110V 60Hz</t>
  </si>
  <si>
    <t>Sodium acetate trihydrate</t>
  </si>
  <si>
    <t>Sodium acetate trihydrate, analytical grade</t>
  </si>
  <si>
    <t>Sodium chloride</t>
  </si>
  <si>
    <t>Sodium chloride for analyses EMSURE® ACS, ISO, Reag. Ph Eur&gt;99%</t>
  </si>
  <si>
    <t>Sodium hydroxide</t>
  </si>
  <si>
    <t>Sodium hydroxide, NaOH, MW 40.00, purum ≥ 98%, pellets, in plastic bottle, tight screw cap (hygroscopic and CO2 binding from the air) for analyses EMSURE® ISO › 99%</t>
  </si>
  <si>
    <t>Sodium pyruvate</t>
  </si>
  <si>
    <t>Sodium Pyruvate reagent plus ›= 99%</t>
  </si>
  <si>
    <t>Sodium-L-Glutamate-monohydrate</t>
  </si>
  <si>
    <t>Sodium-L-Glutamate-monohydrate, C5H8NNaO4 • H2O, MW: 187.13, purum, ≥ 98%, 1 kg plastic bottle</t>
  </si>
  <si>
    <t>Solar panel and battery system for GeneXpert System</t>
  </si>
  <si>
    <t>Solar panel system 12/24 V for min 8 hour operation time with GeneXpert 4-module system;
Consisting of: Solar panel type STP085s-12/Bb, specs according to EN 60904-3 (STC), DIN EN 50380, STECA PR charge controller, model PR 3030 with integrated display built in Ah meter, automatic load reconnection, SOC regulation, automatic voltage selection (12V, 24V), data logger, simple filed adjustable parameter by 2 button, ext. temp. sensor, day and night alarm CE certified, DIN EN ISO 14001, invertor type Phonix 24/ 750 with remote control panel DIP switch 50/ 60 Hz and power safe mode, 8 batteries 6v 330Ah, installation kit for 36 m, with 1x multi plug for 4 connections (example: equipment, computer, monitor, printer), set of 10 spare fuses. Product has 2 years warranty;</t>
  </si>
  <si>
    <t>Special marker pens for Hain strips</t>
  </si>
  <si>
    <r>
      <t xml:space="preserve">Special marker pens for Hain strips (better than pencil, soft grade, which could be used);
</t>
    </r>
    <r>
      <rPr>
        <b/>
        <sz val="12"/>
        <color indexed="10"/>
        <rFont val="Cambria"/>
        <family val="1"/>
      </rPr>
      <t>GDF Recommendation:</t>
    </r>
    <r>
      <rPr>
        <sz val="12"/>
        <color indexed="10"/>
        <rFont val="Cambria"/>
        <family val="1"/>
      </rPr>
      <t xml:space="preserve">
· For free with any HAIN kits. 
· If the lab needs only a marker use this code (106355).</t>
    </r>
  </si>
  <si>
    <t>Specimen transport box</t>
  </si>
  <si>
    <t>Transport box for specimen, isolated, PE formed material, with 2 cooling elements</t>
  </si>
  <si>
    <t>Spirit lamp 200 ml</t>
  </si>
  <si>
    <t>Glass alcohol lamp with screw top lid, complete cotton wick, 200ml</t>
  </si>
  <si>
    <t>Spray dispenser 1 lt</t>
  </si>
  <si>
    <t>Spray head with 2 x 1lt bottle</t>
  </si>
  <si>
    <t>Sputum containers</t>
  </si>
  <si>
    <r>
      <t xml:space="preserve">Break/leak-resistant (waterproof) container, made of transparent plastic pure polyethylene or polypropylene, completely combustible without generating toxic compounds; wide mouth to easily collect sputum, opening angle of 270°; IEC 60529 certified IP67; a multi-thread closing screw cap of double thread; with identification through a frosted writing panel that accepts pencil; dimensions: Volume is 80 ml; height 66 mm; mouth diameter 52 mm;
These containers can be used to collect urine samples as well;
</t>
    </r>
    <r>
      <rPr>
        <b/>
        <sz val="12"/>
        <color indexed="10"/>
        <rFont val="Cambria"/>
        <family val="1"/>
      </rPr>
      <t>GDF Recommendation:</t>
    </r>
    <r>
      <rPr>
        <sz val="12"/>
        <color indexed="10"/>
        <rFont val="Cambria"/>
        <family val="1"/>
      </rPr>
      <t xml:space="preserve">
For logistics purposes: 176 boxes (11 pallets) will fill up a 20' container</t>
    </r>
  </si>
  <si>
    <t>Square filter paper 580mm</t>
  </si>
  <si>
    <t>Macherey-Nagel, Filter paper MN 616md, filtration time 55, 580x580mm, weight 85g/m², 100 pc</t>
  </si>
  <si>
    <t>Staining bottle 250 ml</t>
  </si>
  <si>
    <t>Polyethylene flasks with a narrow neck with a screw cap, a swan neck or a jet dispenser; volume 250 ml</t>
  </si>
  <si>
    <t>Staining bottle 500 ml</t>
  </si>
  <si>
    <t>Polyethylene flasks with a narrow neck with a screw cap, a swan neck or a jet dispenser; volume 500 ml</t>
  </si>
  <si>
    <t>Staining rack</t>
  </si>
  <si>
    <t xml:space="preserve">Constructed in the laboratory from glass rods and rubber or silicon tubes, or from wire (preferably stainless steel wire) of appropriate size. Racks to have a bowl (made of glass or stainless steel) to collect staining solutions. </t>
  </si>
  <si>
    <t>Stainless steel bucket 10 lt</t>
  </si>
  <si>
    <t>Contacto stainless steel bucket with lid, 10lt</t>
  </si>
  <si>
    <t>Stainless steel funnel</t>
  </si>
  <si>
    <t>Contacto funnel stainless steel, diameter of ramp 22 mm, top diameter 150 mm, total height approx. 170 mm</t>
  </si>
  <si>
    <t>Stainless steel funnel 120 mm</t>
  </si>
  <si>
    <t>Contacto funnel stainless steel, diameter of ramp 15 mm, top diameter 120 mm, total height approx. 165 mm</t>
  </si>
  <si>
    <t>Stainless steel test tube rack for 18 mm tubes</t>
  </si>
  <si>
    <r>
      <t xml:space="preserve">Test tube rack stainless steel, 3x12 places, 18mm;
</t>
    </r>
    <r>
      <rPr>
        <b/>
        <sz val="12"/>
        <color indexed="10"/>
        <rFont val="Cambria"/>
        <family val="1"/>
      </rPr>
      <t>GDF Recommendation:</t>
    </r>
    <r>
      <rPr>
        <sz val="12"/>
        <color indexed="10"/>
        <rFont val="Cambria"/>
        <family val="1"/>
      </rPr>
      <t xml:space="preserve">
Product linked to the culture tubes with screw cap (106338)</t>
    </r>
  </si>
  <si>
    <t>Stainless steel test tube rack for 35 mm tubes</t>
  </si>
  <si>
    <t>Test tube rack stainless steel, 3x7 places, 35mm</t>
  </si>
  <si>
    <t>Stand for plastic bags 30 lt</t>
  </si>
  <si>
    <t>Clavies® Biohazard bag holder for 30lt bags;
Product linked to the plastic bags 30L (106444)  and the transparent polypropylene bags(106348)</t>
  </si>
  <si>
    <t>Starter kit for LED / ZN microscopy-
Consumables</t>
  </si>
  <si>
    <r>
      <rPr>
        <b/>
        <sz val="12"/>
        <color indexed="8"/>
        <rFont val="Cambria"/>
        <family val="1"/>
      </rPr>
      <t>Firs box (General cargo):</t>
    </r>
    <r>
      <rPr>
        <sz val="12"/>
        <color indexed="8"/>
        <rFont val="Cambria"/>
        <family val="1"/>
      </rPr>
      <t xml:space="preserve">
2x Glass alcohol lamp with 1 meter pre-cut wicks; 1x Timer; 
2x Staining racks; 2x Slide drying racks; 6x Slide storage boxes;
2x Slide-holding forceps;4x Reagent bottles; 3x Staining bottle 250 ml; 
3x Staining bottle 500 ml; 1x Beaker 250ml; 1x Beaker 1000ml;
1x Measuring cylinder 10 ml; 2x Goggles;
4x Funnels (1 large 155 mm, 1 medium 120 mm and 2 small 45 mm) with 100 filter papers;
1x Set of pencil sharpener with 10 pencils;
3x Stands for waste bags with 500 plastic bags;
1x Paper towel dispenser
5x Handbook - Lab Diagnosis of TB by Sputum Microscopy;
1x Standard Operating Procedures (SOPs); 1x WHO Policy statement
</t>
    </r>
    <r>
      <rPr>
        <b/>
        <sz val="12"/>
        <color indexed="8"/>
        <rFont val="Cambria"/>
        <family val="1"/>
      </rPr>
      <t xml:space="preserve">Second box (General cargo):
</t>
    </r>
    <r>
      <rPr>
        <sz val="12"/>
        <color indexed="8"/>
        <rFont val="Cambria"/>
        <family val="1"/>
      </rPr>
      <t xml:space="preserve"> 1 carton of paper;
</t>
    </r>
    <r>
      <rPr>
        <b/>
        <sz val="12"/>
        <color indexed="10"/>
        <rFont val="Cambria"/>
        <family val="1"/>
      </rPr>
      <t xml:space="preserve">GDF Recommendation: </t>
    </r>
    <r>
      <rPr>
        <sz val="12"/>
        <color indexed="10"/>
        <rFont val="Cambria"/>
        <family val="1"/>
      </rPr>
      <t xml:space="preserve">
· For logistics purposes: 104 kits (11 pallets) will fill up a 20 foot container;
· GLI Handbook on Lab Diagnosis of TB by Sputum Microscopy:</t>
    </r>
    <r>
      <rPr>
        <sz val="12"/>
        <color indexed="8"/>
        <rFont val="Cambria"/>
        <family val="1"/>
      </rPr>
      <t xml:space="preserve"> </t>
    </r>
    <r>
      <rPr>
        <u/>
        <sz val="12"/>
        <color indexed="40"/>
        <rFont val="Cambria"/>
        <family val="1"/>
      </rPr>
      <t>www.stoptb.org/wg/gli/assets/documents/TB%20MICROSCOPY%20HANDBOOK_FINAL.pdf</t>
    </r>
  </si>
  <si>
    <t>Steel laboratory forceps</t>
  </si>
  <si>
    <t>Forceps, stainless steel, anatom. pointed 130mm, polished</t>
  </si>
  <si>
    <t>Sterile cryovials 2 ml single handed</t>
  </si>
  <si>
    <t xml:space="preserve">Cryovial PP Y sterilized external Th (SAL10-6), with lid, 2ml, temperature up to -196°C, free of  RNAsen, DNAsen, DNA and Endotoxine, packaging 1000pcs </t>
  </si>
  <si>
    <t>Sterile cryovials 2ml</t>
  </si>
  <si>
    <t xml:space="preserve">Cryo-vial, sterile with cap, 2 ml Material: PP screw cap same material, dimensions: 12.5x49 mm, with stand </t>
  </si>
  <si>
    <t>Sterile dispenser tips 10ml</t>
  </si>
  <si>
    <t xml:space="preserve">Combitips plus 10ml Biopur sterile </t>
  </si>
  <si>
    <t>Sterile disposable surgical gowns size L</t>
  </si>
  <si>
    <t xml:space="preserve">Lab coat NOBADRESS single usage, material fibrous web, sterile, single packed, blue, packaging of 20 pcs per box </t>
  </si>
  <si>
    <t>Sterile disposable surgical gowns size M</t>
  </si>
  <si>
    <t>Sterile disposable surgical gowns size S</t>
  </si>
  <si>
    <t xml:space="preserve">Sterile filter tips 0.1-10 µl </t>
  </si>
  <si>
    <t>10 x 96 tips</t>
  </si>
  <si>
    <r>
      <t xml:space="preserve">Pipette filter tips PP, capacity 0.1-10µl, free from DNA/RNAse and ATP, autoclavable, sterile, 10  racks of 96 pcs;
</t>
    </r>
    <r>
      <rPr>
        <b/>
        <sz val="12"/>
        <color indexed="10"/>
        <rFont val="Cambria"/>
        <family val="1"/>
      </rPr>
      <t>GDF Recommendation:</t>
    </r>
    <r>
      <rPr>
        <sz val="12"/>
        <color indexed="10"/>
        <rFont val="Cambria"/>
        <family val="1"/>
      </rPr>
      <t xml:space="preserve">
Product linked to the  pipette 1 - 10 µl - (106053)</t>
    </r>
  </si>
  <si>
    <t xml:space="preserve">Sterile filter tips 0.2-20 µl </t>
  </si>
  <si>
    <r>
      <t xml:space="preserve">Pipette filter tips PP, capacity 0.2-20µl, free from DNA/RNAse and ATP, autoclavable, sterile, 10 racks of 96 pcs;
</t>
    </r>
    <r>
      <rPr>
        <b/>
        <sz val="12"/>
        <color indexed="10"/>
        <rFont val="Cambria"/>
        <family val="1"/>
      </rPr>
      <t>GDF Recommendation:</t>
    </r>
    <r>
      <rPr>
        <sz val="12"/>
        <color indexed="10"/>
        <rFont val="Cambria"/>
        <family val="1"/>
      </rPr>
      <t xml:space="preserve">
Product linked to the pipette  2,0 - 20 µl (106054)</t>
    </r>
  </si>
  <si>
    <t xml:space="preserve">Sterile filter tips 100-1000 µl </t>
  </si>
  <si>
    <r>
      <t xml:space="preserve">Pipette filter tips PP, capacity 100-1000µl, free from DNA/RNAse and ATP, length 89mm, autoclavable, sterile, 10 racks of 96 pcs;
</t>
    </r>
    <r>
      <rPr>
        <b/>
        <sz val="12"/>
        <color indexed="10"/>
        <rFont val="Cambria"/>
        <family val="1"/>
      </rPr>
      <t>GDF Recommendation:</t>
    </r>
    <r>
      <rPr>
        <sz val="12"/>
        <color indexed="10"/>
        <rFont val="Cambria"/>
        <family val="1"/>
      </rPr>
      <t xml:space="preserve">
Product linked to the pipette 200 - 1000 µl (106057)</t>
    </r>
  </si>
  <si>
    <t xml:space="preserve">Sterile filter tips 1-200 µl </t>
  </si>
  <si>
    <r>
      <t xml:space="preserve">Pipette filter tips PP, capacity 1-200µl, free from DNA/RNAse and ATP, autoclavable, sterile, 10 racks of 96 pcs;
</t>
    </r>
    <r>
      <rPr>
        <b/>
        <sz val="12"/>
        <color indexed="10"/>
        <rFont val="Cambria"/>
        <family val="1"/>
      </rPr>
      <t>GDF Recommendation:</t>
    </r>
    <r>
      <rPr>
        <sz val="12"/>
        <color indexed="10"/>
        <rFont val="Cambria"/>
        <family val="1"/>
      </rPr>
      <t xml:space="preserve">
Product linked to pipette 20 -200 ul (106056)</t>
    </r>
  </si>
  <si>
    <t xml:space="preserve">Sterile filter tips 5-100 µl </t>
  </si>
  <si>
    <r>
      <t xml:space="preserve">Pipette filter tips PP, capacity 5-100µl, free from DNA/RNAse and ATP, length 89mm, autoclavable, sterile, 10 racks of 96 pcs;
</t>
    </r>
    <r>
      <rPr>
        <b/>
        <sz val="12"/>
        <color indexed="10"/>
        <rFont val="Cambria"/>
        <family val="1"/>
      </rPr>
      <t xml:space="preserve">GDF Recommendation: </t>
    </r>
    <r>
      <rPr>
        <sz val="12"/>
        <color indexed="10"/>
        <rFont val="Cambria"/>
        <family val="1"/>
      </rPr>
      <t xml:space="preserve">
Product linked to the pipette 10 - 100 µl  (106055)</t>
    </r>
  </si>
  <si>
    <t>Sterile Pasteur pipettes 3 ml</t>
  </si>
  <si>
    <t xml:space="preserve">Pipette Pasteur Graduation 0,5ml, Ster/10, individually packed </t>
  </si>
  <si>
    <t>Sterile plastic centrifuge tubes 15 ml</t>
  </si>
  <si>
    <t>Centrifuge tube , 15ml, SUPERCLEAR™, material PP, with lid</t>
  </si>
  <si>
    <t>Sterile plastic centrifuge tubes 50 ml</t>
  </si>
  <si>
    <t>Centrifuge tubes 50ml,  super clear™, PP aor Ps, conical, printer graduation, extra thick walls to allow centrifugation up to 15000g, with extra large, solvent resistant, white labelling area and black graduations flat PE caps can close with quick 3/4 turn, allowing one handed operation, patented earth friendly® racks can be labelled with lab markers, 1 rack contains 25tubes</t>
  </si>
  <si>
    <t>Sterile plastic laboratory forceps</t>
  </si>
  <si>
    <t>Megro, Pinzette sterile, white plastic, individual packaging,   145 mm, box of 50 pcs</t>
  </si>
  <si>
    <t>Sterile serological pipette 10 ml</t>
  </si>
  <si>
    <t>Serological pipette 10 ml, graduation 0.1 ml</t>
  </si>
  <si>
    <t>Sterile serological pipette 5 ml</t>
  </si>
  <si>
    <t>Serological pipette 5 ml, graduation 0.1 ml</t>
  </si>
  <si>
    <t>Sterile syringe filter</t>
  </si>
  <si>
    <t>Syringe filter for single use, ACRODISC LC PVDF 0.2µm 25mm</t>
  </si>
  <si>
    <t>Sterile syringes 20 ml</t>
  </si>
  <si>
    <t>Single use syringes, sterile 20 ml individual packed</t>
  </si>
  <si>
    <t>Sterilization indicator tape for autoclaves - steam</t>
  </si>
  <si>
    <t>Stereilisation adhesive tape, This is a roll of 50 meters
The colour of the sensitive ink changes after sterilisation. The adhesive tape indicates that the expected temperature was reached during the sterilisation process, roll of 50m, 19mm width</t>
  </si>
  <si>
    <t>Sterilization indicator tape for hot air oven - dry</t>
  </si>
  <si>
    <t xml:space="preserve">Drit-heat indicator tape, specially designed for dry heat sterilisation, colour change from green to brown, roll of 50m, 19 mm width </t>
  </si>
  <si>
    <t>Stop cock for the canister 10/30 lt</t>
  </si>
  <si>
    <t>Bürkle stop cock PP 3/4 thread 216-2854;
Product linked to the balloon HDPE 30 L (106143) and 10 L (106144)</t>
  </si>
  <si>
    <t>Storage cardboard box for PCR tubes 0.2 ml</t>
  </si>
  <si>
    <r>
      <t xml:space="preserve">High resistance PP. Designed to accommodate 96 individual 0.2 ml tubes or 12 or 8 strips of 8- or 12- tubes, Tube wells are easily identified by imprinted numbers and letters, Removable, hinged lid, in different colours.
</t>
    </r>
    <r>
      <rPr>
        <b/>
        <sz val="12"/>
        <color indexed="10"/>
        <rFont val="Cambria"/>
        <family val="1"/>
      </rPr>
      <t>GDF Recommendation:</t>
    </r>
    <r>
      <rPr>
        <sz val="12"/>
        <color indexed="10"/>
        <rFont val="Cambria"/>
        <family val="1"/>
      </rPr>
      <t xml:space="preserve">
Product linked to PCR tubes (106385)</t>
    </r>
  </si>
  <si>
    <t>Storage cardboard box for sterile cryovials 2ml</t>
  </si>
  <si>
    <r>
      <t xml:space="preserve">Cardboard cryobox, 50mm high, white, 136x136mm, with 9x9 inlet;
</t>
    </r>
    <r>
      <rPr>
        <b/>
        <sz val="12"/>
        <color indexed="10"/>
        <rFont val="Cambria"/>
        <family val="1"/>
      </rPr>
      <t>GDF Recommendation</t>
    </r>
    <r>
      <rPr>
        <sz val="12"/>
        <color indexed="10"/>
        <rFont val="Cambria"/>
        <family val="1"/>
      </rPr>
      <t>:
Product linked to the standard reaction tubes 1.5 ml (106421)</t>
    </r>
  </si>
  <si>
    <t>Storage plastic box for PCR tubes 0.2 ml</t>
  </si>
  <si>
    <r>
      <t xml:space="preserve">Simport Cryo-storage-box with lid plastic, suitable for cryovial 1ml to 2ml, for storage of up to 81 pcs. Operating range -196 °C to +121 °C, autoclavable, with numeric position label, colour (blue, red or green);
</t>
    </r>
    <r>
      <rPr>
        <b/>
        <sz val="12"/>
        <color indexed="10"/>
        <rFont val="Cambria"/>
        <family val="1"/>
      </rPr>
      <t>GDF Recommendation:</t>
    </r>
    <r>
      <rPr>
        <sz val="12"/>
        <color indexed="10"/>
        <rFont val="Cambria"/>
        <family val="1"/>
      </rPr>
      <t xml:space="preserve">
Product linked to cryo-vialwith cap, 2 ml (106344)</t>
    </r>
  </si>
  <si>
    <t>Storage plastic box for sterile cryovials 2ml</t>
  </si>
  <si>
    <t>Simport Cryo-storage-box with lid plastic, suitable for cryovial 1ml to 2ml, for storage of up to 100 pcs. Operating range -196 °C to +121 °C, autoclavable, with numeric position label, colour (blue, red or green)</t>
  </si>
  <si>
    <t>Sturdy container 2 lt</t>
  </si>
  <si>
    <r>
      <t xml:space="preserve">Container, Wide Mouth, with Screw Cap HDPE, white
Can be used for foodstuffs. A unit includes the container, a transparent inner seal and a lid with tamper-resistant seal and predetermined breaking point, 2 lt, 1pc;
</t>
    </r>
    <r>
      <rPr>
        <b/>
        <sz val="12"/>
        <color indexed="10"/>
        <rFont val="Cambria"/>
        <family val="1"/>
      </rPr>
      <t>GDF Recommendation:</t>
    </r>
    <r>
      <rPr>
        <sz val="12"/>
        <color indexed="10"/>
        <rFont val="Cambria"/>
        <family val="1"/>
      </rPr>
      <t xml:space="preserve">
Product linked to the material for packing specimen (106245)</t>
    </r>
  </si>
  <si>
    <t>Sulphanilamide</t>
  </si>
  <si>
    <t>Sulphanilamide, AnalaR NORMPUR ≥ 99%, melting point &gt; 164 °C</t>
  </si>
  <si>
    <t>Sulphuric acid</t>
  </si>
  <si>
    <t>Sulphuric acid; 1000 ml</t>
  </si>
  <si>
    <t>Swan-neck bottles - set</t>
  </si>
  <si>
    <t>Swan neck bottles, natural colour with lid and dispenser tube,  set of one each 250, 500, 1000ml</t>
  </si>
  <si>
    <t>Tabletop PCR workstation with UV light</t>
  </si>
  <si>
    <t>PCR Workstation: glass sides, which are resistant to UV-cracking and can be cleaned with the medium of choice, equipped with 1 x 25 watt UV-lamp (254 nm), 1x 15 watt white light lamp and 1 x UV/Air cleaner (254 nm).Dimensions: 69x51x57 cm;
· Product with 2 years warranty;
· Voltage / Amp / Frequency: 230V/ 50/60Hz, 110V 60Hz;
· Item to be upright transported, fragile</t>
  </si>
  <si>
    <t>TB medium LJ base</t>
  </si>
  <si>
    <t>TB-medium according to Löwenstein- Jensen (basis)</t>
  </si>
  <si>
    <t>T-Cell Select</t>
  </si>
  <si>
    <t>T-Cell Xtend</t>
  </si>
  <si>
    <t>3x2 ml</t>
  </si>
  <si>
    <t xml:space="preserve">Thermic anemometer </t>
  </si>
  <si>
    <t>Anemometer TSI 9565X and telescopic probe 1962 - to measure velocity of air or gas flow and temperature, with memory function and one test probe. Voltage / Amp / Frequency: battery 1.5 V. product with 2 years warranty.
· Product linked to the Biosafety Cabinet (106076);</t>
  </si>
  <si>
    <t>Thermoblock</t>
  </si>
  <si>
    <t>Thermo heater, exchangeable heating blocks for different standard reaction tubes, range + 5 ºC above ambient to &gt;100  ºC, heating time 25  ºC to 100  ºC ≤ 20 min., uniformity within the block +/- 0,2°C (at 37°C)</t>
  </si>
  <si>
    <t>Thermocycler</t>
  </si>
  <si>
    <t>Thermocycler, 96 positions for 0.2 ml tubes; Static temperature uniformity
• ±0.5ºC, 30 seconds after clock-start at 95ºC; Temperature accuracy
• ±0.25ºC (range: 35–100ºC)Temperature calibration
• Calibrated to standards traceable to the National Institute of Standards and Technology (NIST). Heated cover
• Maintains constant temperature of 105ºC for oil-free operation. Ramp time reproducibility
• Reaches thermal set points within ±5 seconds.</t>
  </si>
  <si>
    <t>Thermometer for laboratory deep-freezers</t>
  </si>
  <si>
    <t>Carl roth deep freeze thermometer</t>
  </si>
  <si>
    <t>Thermometer for Laboratory ovens</t>
  </si>
  <si>
    <t>Oven thermometer aluminium 70x75mm 50°~ +300°C 42g</t>
  </si>
  <si>
    <t>Thermoshaker / Twincubator</t>
  </si>
  <si>
    <t>The Thermoshaker /TwinCubator is for use with reverse line blot strip assays and for manual hybridization and washing steps</t>
  </si>
  <si>
    <t>Thimble for Class IIA, hood for BSC (vertical or horizontal)</t>
  </si>
  <si>
    <r>
      <t xml:space="preserve">Ducting kit with anti blow back valve.
</t>
    </r>
    <r>
      <rPr>
        <b/>
        <sz val="12"/>
        <color indexed="10"/>
        <rFont val="Cambria"/>
        <family val="1"/>
      </rPr>
      <t xml:space="preserve">GDF Recommendation:
</t>
    </r>
    <r>
      <rPr>
        <sz val="12"/>
        <color indexed="10"/>
        <rFont val="Cambria"/>
        <family val="1"/>
      </rPr>
      <t>·  Please inform if the vertical or horizontal version is needed;
· GDF recommends the vertical version - minimal room height: 250 cm
·  Please order same quantity as the Biosafety cabinet (106076)</t>
    </r>
  </si>
  <si>
    <r>
      <t xml:space="preserve">Ducting kit with anti-blow back valve.
</t>
    </r>
    <r>
      <rPr>
        <b/>
        <sz val="12"/>
        <color indexed="10"/>
        <rFont val="Cambria"/>
        <family val="1"/>
      </rPr>
      <t xml:space="preserve">GDF Recommendation:
</t>
    </r>
    <r>
      <rPr>
        <sz val="12"/>
        <color indexed="10"/>
        <rFont val="Cambria"/>
        <family val="1"/>
      </rPr>
      <t>·  Please inform if the vertical or horizontal version is needed;
· GDF recommends the vertical version - minimal room height: 250 cm
·  Please order same quantity as the Biosafety cabinet (106076)</t>
    </r>
  </si>
  <si>
    <t>Timer</t>
  </si>
  <si>
    <t>Robust mechanical interval timer, for periods up to 60 min, the end of the period signalled by loud, long bell ring.</t>
  </si>
  <si>
    <t>Training for TB-LAMP</t>
  </si>
  <si>
    <r>
      <t xml:space="preserve">End user training for 2 days:
• Introduction to Loopamp technology
• Familiarization with products and procedures
• Preparation of materials, workspace and training documentation.
• Performing TB assay
• Results interpretation &amp; troubleshooting
• Examination of trainees. Each trainee receives a certificate after passing the exam.
• Test kits to be used for training purposes are not included in the pricing and should be provided by the trainee or can be ordered via the assigned partner of HUMAN;
</t>
    </r>
    <r>
      <rPr>
        <b/>
        <sz val="12"/>
        <color indexed="10"/>
        <rFont val="Cambria"/>
        <family val="1"/>
      </rPr>
      <t>GDF Recommendation:</t>
    </r>
    <r>
      <rPr>
        <sz val="12"/>
        <color indexed="10"/>
        <rFont val="Cambria"/>
        <family val="1"/>
      </rPr>
      <t xml:space="preserve">
Travel and accommodation expenses, where applicable, are not included and will be charged separately by HUMAN to the recipient.</t>
    </r>
    <r>
      <rPr>
        <sz val="12"/>
        <color indexed="8"/>
        <rFont val="Cambria"/>
        <family val="1"/>
      </rPr>
      <t xml:space="preserve"> </t>
    </r>
  </si>
  <si>
    <t>Transparent polypropylene bags</t>
  </si>
  <si>
    <t>5 x 200 pieces</t>
  </si>
  <si>
    <t>Sekuroka® disposable bag Made of 40 µm thick PP. Heat stable to +134 °C. Transparent, with „Biohazard“ warning, size 420x600mm</t>
  </si>
  <si>
    <t>Transport case for bright field microscope - ZN</t>
  </si>
  <si>
    <r>
      <t xml:space="preserve">Wooden storage/transport box for Olympus microscopes models CH20/CX21/CX22 and CX/23, with carrying handle, size 26.4x30.5x47.4cm;
</t>
    </r>
    <r>
      <rPr>
        <b/>
        <sz val="12"/>
        <color indexed="10"/>
        <rFont val="Cambria"/>
        <family val="1"/>
      </rPr>
      <t xml:space="preserve">GDF Recommendation: </t>
    </r>
    <r>
      <rPr>
        <sz val="12"/>
        <color indexed="10"/>
        <rFont val="Cambria"/>
        <family val="1"/>
      </rPr>
      <t xml:space="preserve">
If the microscope will stay in the lab, a transport case may not be necessary</t>
    </r>
  </si>
  <si>
    <t>Transport case for LED microscope</t>
  </si>
  <si>
    <r>
      <t xml:space="preserve">Case for transport and storage for Primo Star FL iLED (D); also suitable for Primo Star without iLED. With trolley, 2 wheels, lateral handle and lockable; dustproof; outside dimensions of the case: 615x540x325 mm, weight 7.5 kg;
</t>
    </r>
    <r>
      <rPr>
        <b/>
        <sz val="12"/>
        <color indexed="10"/>
        <rFont val="Cambria"/>
        <family val="1"/>
      </rPr>
      <t xml:space="preserve">GDF Recommendation: </t>
    </r>
    <r>
      <rPr>
        <sz val="12"/>
        <color indexed="10"/>
        <rFont val="Cambria"/>
        <family val="1"/>
      </rPr>
      <t xml:space="preserve">
If the microscope will stay in the lab, a transport case may not be necessary</t>
    </r>
  </si>
  <si>
    <t>Tri-Magnesium di-citrate nonahydrate</t>
  </si>
  <si>
    <t>Tri-Magnesium di-citrate nonahydrate, Mg3(C6H5O7)2 • 9 H2O, MW: 613,25, ≥ 95%</t>
  </si>
  <si>
    <t>Tripod stand</t>
  </si>
  <si>
    <t>Tripod stand with fire mat</t>
  </si>
  <si>
    <t>Tripod stand for plastic bags 2 lt</t>
  </si>
  <si>
    <t>Tri-pod stand for waste bags of 2 litres capacity</t>
  </si>
  <si>
    <t>TRIS</t>
  </si>
  <si>
    <t>TRIS, &gt; 99%, buffer grade ACS, Reag. Ph Eur 99%</t>
  </si>
  <si>
    <t>Tri-Sodium citrate dihydrate</t>
  </si>
  <si>
    <t>Tri-Sodium citrate dihydrate, for analyses EMSURE® ACS, ISO, Reag. Ph Eur&gt;99%</t>
  </si>
  <si>
    <t>Tri-Sodium phosphate dodecahydrate</t>
  </si>
  <si>
    <t>Tri-sodium phosphate dodecahydrate , NA3PO4·12H2O, MW:380.12 in plastic bottles</t>
  </si>
  <si>
    <t>T-SPOT.TB Test</t>
  </si>
  <si>
    <t>24 tests</t>
  </si>
  <si>
    <t>Tubing for safety gas burner</t>
  </si>
  <si>
    <t>Safety gas tube 750mm long, with clamps inner diameter 9mm;
Product linked to the safety gas burner (106221)</t>
  </si>
  <si>
    <t xml:space="preserve">Upper basket/ injector for  nozzles  </t>
  </si>
  <si>
    <r>
      <t xml:space="preserve">Upper basket with 36 jets mm 80/110h diameter 6mm.
</t>
    </r>
    <r>
      <rPr>
        <b/>
        <sz val="12"/>
        <color indexed="10"/>
        <rFont val="Calibri"/>
        <family val="2"/>
      </rPr>
      <t>GDF Recommendation:</t>
    </r>
    <r>
      <rPr>
        <sz val="12"/>
        <color indexed="10"/>
        <rFont val="Calibri"/>
        <family val="2"/>
      </rPr>
      <t xml:space="preserve">
Product linked to the Laboratory washer-disinfector (106101)</t>
    </r>
  </si>
  <si>
    <t>UPS 3000 VA</t>
  </si>
  <si>
    <t>On-Line UPS Vanguard  VGD-3000: UPS capacity 3000 VA 230V sine wave output, 50/60 Hz outlets 4x Iec 320, surge protection RJ11/RJ45,  20-30 min buffer. Product with 2 years warranty.</t>
  </si>
  <si>
    <t>On-Line UPS Vanguard  VGD-3000: UPS capacity 3000 VA 230V sine wave output, 50/60 Hz outlets 4x Iec 320, surge protection RJ11/RJ45,  20-30 min buffer. Product with 2 years warranty;</t>
  </si>
  <si>
    <t>UPS 700 VA</t>
  </si>
  <si>
    <t>On-Line UPS Vanguard  VGD-700: UPS capacity 700 VA 230V sine wave output, 50/60 Hz outlets 4x Iec 320, surge protection RJ11/RJ45. Product with 2 years warranty;</t>
  </si>
  <si>
    <t>UV crosslinker</t>
  </si>
  <si>
    <t>BLX-254: UC crosslinking of DANN and RNA after Northern, Southern slot or dot blots and colony or plaque lifts, Programmable Smart Microprocessor Controller Operation modes, optimal Crosslink mode automatically provides a present UV energy dosage of 120 mJ/cm², energy set mode (0-999.990 µJ/cm²), Time mode 80-9,900 seconds) , intensity mode shows steady state UV intensity output, with irradiance display resolution of ± 5µ W/cm² over the entire range; Product with 2 years warranty. Voltage / Amp / Frequency: 230V/ 50/60Hz, 110V 60Hz</t>
  </si>
  <si>
    <t>UV transilluminator 312nm</t>
  </si>
  <si>
    <t>Spectroline,  UV - light  illuminator, ETX-20M, 15 Watt 312nm, 20x20cm Filter 15W; Product with 2 years warranty. Voltage / Amp / Frequency: 230V/ 50/60Hz, 110V 60Hz</t>
  </si>
  <si>
    <t>UV transilluminator 365nm</t>
  </si>
  <si>
    <t>Spectroline, ETX-20L, Trans illuminator long life UV filter glass , minimal UV damage 312nm and 365 nm virtually eliminate transmission of 254nm radiation, variable intensity control from 100% down to 20% for maximum sample preparation time and sensitivity 15 Watt unit; Product with 2 years warranty. Voltage / Amp / Frequency: 230V/ 50/60Hz, 110V 60Hz</t>
  </si>
  <si>
    <t>Vacuum pump for desiccator</t>
  </si>
  <si>
    <t>Laborport® N86KN.18: Mini Diaphragm Vacuum pump and compressor single head pump, dry running device used in a wide range of laboratory application, the unit is maintenance free; Transfers, compress and pump down without contamination; the heart of this very compact pump is a KNF structured diaphragm; This patented diaphragm was stressed-optimized using the Finite Elements method; Technical data: delivery (l/min)¹ 6; ultimate vacuum (mbar abs.) 100; operating (bar g) 2.4; permissible glass and ambient temperature +5 to +40°C, 65W,  
Product linked to the vacuum tube 3 m (106153)</t>
  </si>
  <si>
    <t>Vacuum tube 3 m</t>
  </si>
  <si>
    <t>Vacuum tube, 3 m;
Product linked to the membrane vacuum pump (106151)</t>
  </si>
  <si>
    <t>Vermiculite for packaging specimens</t>
  </si>
  <si>
    <r>
      <t xml:space="preserve">Soft sorbant granulate material for the transport of chemicals and specimens - 1 unit = 8 kg;
</t>
    </r>
    <r>
      <rPr>
        <b/>
        <sz val="12"/>
        <color indexed="10"/>
        <rFont val="Cambria"/>
        <family val="1"/>
      </rPr>
      <t>GDF Recommendation:</t>
    </r>
    <r>
      <rPr>
        <sz val="12"/>
        <color indexed="10"/>
        <rFont val="Cambria"/>
        <family val="1"/>
      </rPr>
      <t xml:space="preserve">
Product linked to the sturdy container (106244)</t>
    </r>
  </si>
  <si>
    <t>Voltage stabilizer for laboratory deep freezer 550 lt</t>
  </si>
  <si>
    <t>Voltage stabilizer for laboratory deep freezer 550 lt;
Voltage Stabilizer 2000W;Voltage / Amp / Frequency: min. 171 - 272 V, 8 Amp
Product with  2 years warranty;
Product linked to the deep Freezer 550L (106592);</t>
  </si>
  <si>
    <t>Washer-disinfector 1/2 insert</t>
  </si>
  <si>
    <r>
      <t xml:space="preserve">Insert with 28 spring hooks for laboratory glassware.
</t>
    </r>
    <r>
      <rPr>
        <b/>
        <sz val="12"/>
        <color indexed="10"/>
        <rFont val="Calibri"/>
        <family val="2"/>
      </rPr>
      <t>GDF Recommendation:</t>
    </r>
    <r>
      <rPr>
        <sz val="12"/>
        <color indexed="10"/>
        <rFont val="Calibri"/>
        <family val="2"/>
      </rPr>
      <t xml:space="preserve">
Product linked to the Laboratory washer-disinfector (106101)</t>
    </r>
  </si>
  <si>
    <t>Waste container for liquids 4 lt</t>
  </si>
  <si>
    <t xml:space="preserve">Sekuroka safety waste disposable system, made of break resistant (fluorinated) HDPE, system consists of waste container and removable safety funnel with lid, reduces emissions of volatile substances in the laboratory, integrated ventilating valve with PTFE syringe filter to prevent overflowing, removable sieve insert, 4 litre </t>
  </si>
  <si>
    <t>Waste containers for sharps 2 lt</t>
  </si>
  <si>
    <t>Sekuroka®-safety bin, standard, capacity 2.1lt, in box of 10 pcs</t>
  </si>
  <si>
    <t>Waste containers for solids 10 lt</t>
  </si>
  <si>
    <t>Carton with integral biohazard bag HDPE, Snug fitting lid has flap through which waste is inserted, When carton is filled, internal safety cap is pulled into place and the entire unit is ready for incineration, size 196x196x254mm</t>
  </si>
  <si>
    <t>Water distiller</t>
  </si>
  <si>
    <t>Fully automatic water distil: water still for single distillation (fully automatic) 4l/h, with 16 litre. storage tank, suitable for both bench and wall mounting, very good distillate quality; conductivity approx. 2.3 µs/ cm at 25°C,  the distillate storage tank accepts twice the hourly capacity of still, electronic level switch switches the still off when storage tank is full and restarts it automatically when distillate is withdrawn, electronic impurity detector switches the unit off in case of high degree impurities of water, thermostat low water cut off, economical energy consumption by distillation of the heated cooling water, this unit is specially been used in research and development e.g. for preparing bacteriological and medical samples.   Product with 2 years warranty. Voltage / Amp / Frequency: 230V/ 50/60Hz, 110V 60Hz</t>
  </si>
  <si>
    <t>Waterbath 22 lt</t>
  </si>
  <si>
    <t xml:space="preserve">Water bath WNB 22: microprocessor PID temperature controller with integrated autodiagnostic system with fault indicator, one Pt 100 sensor class a in 4 wire circuit, integrated digital timer from 1 min to 99.59 hours for ON continuous operation </t>
  </si>
  <si>
    <t>Waterbath 7 lt</t>
  </si>
  <si>
    <t>Waterbath, with microprocessor PID-temp. Controller with integrated autodiagnostic system with fault indicator, solid state switching unit, one Pt100 sensor class A in 4-wire-circuit, integrated digital timer from 1min. To 99,59 hours, continuous operation</t>
  </si>
  <si>
    <t>Weighing boats</t>
  </si>
  <si>
    <t>Weighing boats, rectangular, glazed porcelain, 55 x 25 x 10 mm, pack of 12 pieces</t>
  </si>
  <si>
    <t>Wooden applicator sticks 150 mm</t>
  </si>
  <si>
    <t>Wooden applicator sticks 150 mm x 1000 units</t>
  </si>
  <si>
    <t>Woulff bottle kit</t>
  </si>
  <si>
    <t xml:space="preserve">Duran® woulff's bottle kit, H995.1: Pressure plus-screw thread bottle 1000ml, 1 top without filter plate; 2x plastic cutting ring Ø outer 8.6 mm; 2x screw cap GL 14, 1x screw cap GL 45 and 1x silicone ring </t>
  </si>
  <si>
    <t>Ziehl Neelsen counterstaining solution</t>
  </si>
  <si>
    <t>Counterstaining solution, Methylene blue 0.1%, 1 litter</t>
  </si>
  <si>
    <t>Ziehl Neelsen decolourisation solution</t>
  </si>
  <si>
    <t>Ready-made decolourisation solution– 3% Hydrochloric Acid Alcohol, 1 litter Pack size: 4 bottles of 250 ml each.</t>
  </si>
  <si>
    <t>Ziehl Neelsen stain solution</t>
  </si>
  <si>
    <t>Strong Carbol Fuchsin 1% solution, 4 bottles of 250ml, a total of 1 litter</t>
  </si>
  <si>
    <t>1</t>
  </si>
  <si>
    <t>2</t>
  </si>
  <si>
    <t>Obiectiv_abr</t>
  </si>
  <si>
    <t>Cost unitate_CNAM</t>
  </si>
  <si>
    <t>Cost unitate_GFATM_MDL</t>
  </si>
  <si>
    <t>Cost unitate MMPSF</t>
  </si>
  <si>
    <t>Cost unitate GFATM_valuta</t>
  </si>
  <si>
    <t>Valuta cost GFATM</t>
  </si>
  <si>
    <t>Unitate masura</t>
  </si>
  <si>
    <t>Bucată</t>
  </si>
  <si>
    <t>kg</t>
  </si>
  <si>
    <t>litru</t>
  </si>
  <si>
    <t>Buget_sumar_MDL</t>
  </si>
  <si>
    <t>Buget_sumar_EUR</t>
  </si>
  <si>
    <t xml:space="preserve">Total </t>
  </si>
  <si>
    <t>Imipenem + Cilastatin  500mg+500mg  Powder for injection</t>
  </si>
  <si>
    <t>Amoxicillin + Clavulanic acid  875mg+125mg  Film coated tablet(s)</t>
  </si>
  <si>
    <t>ok</t>
  </si>
  <si>
    <t>Tratament linia I_MD_forme pediatrice</t>
  </si>
  <si>
    <t>1.2.4</t>
  </si>
  <si>
    <t>Tratament linia I_Malul_Stang_forme pediatrice</t>
  </si>
  <si>
    <t>1.2.5</t>
  </si>
  <si>
    <t>Tratament linia I_Malul_Stang_civil+penit_adulti</t>
  </si>
  <si>
    <t>Tratament RR/MDR/FQ rez</t>
  </si>
  <si>
    <t>1.4</t>
  </si>
  <si>
    <t>Tratament tuberculozei polidrogrezistenta</t>
  </si>
  <si>
    <t>Tratament Malul Drept TB poly</t>
  </si>
  <si>
    <t>1.4.1</t>
  </si>
  <si>
    <t>MDA_poly</t>
  </si>
  <si>
    <t>9E(400)R(300)Z(400)Lfx(250)</t>
  </si>
  <si>
    <t>1.4.2</t>
  </si>
  <si>
    <t>Tratament Malul Stang TB poly</t>
  </si>
  <si>
    <t>Preturi_medicamente</t>
  </si>
  <si>
    <t>Nivel</t>
  </si>
  <si>
    <t>Denumire nivel</t>
  </si>
  <si>
    <t>Numar nivel</t>
  </si>
  <si>
    <t>Cheie</t>
  </si>
  <si>
    <t>Descendent</t>
  </si>
  <si>
    <t>Abr</t>
  </si>
  <si>
    <t>Denumire lunga</t>
  </si>
  <si>
    <t>Buget_detaliat</t>
  </si>
  <si>
    <t>Categorie cost</t>
  </si>
  <si>
    <t>IMSP IFP Chiril Draganiuc</t>
  </si>
  <si>
    <t>1.2.6 Transportarea specimenelor pentru realizarea supravegherii de rutină a rezistenței la medicamente</t>
  </si>
  <si>
    <t>DFP SCM Balti</t>
  </si>
  <si>
    <t>ST Bender</t>
  </si>
  <si>
    <t>Consum istoric, anul 2019, sursa Km validati de IP UCIMP DS</t>
  </si>
  <si>
    <t>Calcul necesitati penru 2021-2025</t>
  </si>
  <si>
    <t>Date initiale cheltuieli de transport:</t>
  </si>
  <si>
    <t>Malul Drept</t>
  </si>
  <si>
    <t>Combustibil si ulei</t>
  </si>
  <si>
    <t>Deservire profilactica</t>
  </si>
  <si>
    <t>Malul Stang</t>
  </si>
  <si>
    <t xml:space="preserve">2.1.1 Procurarea medicamentelor antituberculoase de linia 2 p-u pacientii M/XDR TB, transportarea în teritorii </t>
  </si>
  <si>
    <t>Transportarea specimenelor pentru realizarea supravegherii de rutină a rezistenței la medicamente</t>
  </si>
  <si>
    <t>Curierat_sputa_medic</t>
  </si>
  <si>
    <t xml:space="preserve">2.1.  Asigurarea depistării TB prin aplicarea constantă și extinderea metodelor microbiologice rapide de diagnostic </t>
  </si>
  <si>
    <t>3.1.  Asigurarea continuă cu medicamente TB</t>
  </si>
  <si>
    <t>3.2.  Asigurarea monitorizării tratamentului, managementului și prevenirii reacțiilor adverse la medicamente TB</t>
  </si>
  <si>
    <t>5.2.  Asigurarea informării privind respectarea măsurilor de control al infecției  pentru reducerea riscului de transmitere a TB în societate</t>
  </si>
  <si>
    <t>6.2.  Consolidarea sistemelor de sănătate prin mecanisme de finanțare bine aliniate pentru TB</t>
  </si>
  <si>
    <t xml:space="preserve">6.6.  Protecția socială, reducerea sărăciei și acțiuni asupra altor factori determinanți ai TB, inclusiv printre migranți si deținuți </t>
  </si>
  <si>
    <t>7.1.  Efectuarea cercetărilor științifice aplicative</t>
  </si>
  <si>
    <t>7.2.  Realizarea studiilor operaționale</t>
  </si>
  <si>
    <t>2.1.1.        Aplicarea metodelor molecular genetice pentru diagnosticul rapid al TB și RR/MDR TB</t>
  </si>
  <si>
    <t>3.2.2.        Asigurarea actualizării Regulamentului privind managementul medicamentelor TB și sistemului de farmacovigilență în tratamentul pacienților cu TB</t>
  </si>
  <si>
    <t>3.3.1.        Asigurarea abordării multidisciplinare, inclusiv evaluarea necesitaților si gestionarea cazului pentru fiecare persoana afectata de TB si a familiei si acordarea suportului psihosocial pentru asigurarea aderenței la tratament.</t>
  </si>
  <si>
    <t>3.3.3.        Extinderea utilizării VOT la nivel național</t>
  </si>
  <si>
    <t>3.3.4.        Asigurarea suportului de la egal la egal persoanelor cu TB de către prestatori  OSC</t>
  </si>
  <si>
    <t>4.1.2.        Dezvoltarea parteneriatelor colaborative TB/HIV/hepatite/narcologie la nivel de comunități prin implicarea OSC și APL</t>
  </si>
  <si>
    <t>4.2.2.        Fortificarea acțiunilor colaborative  pentru depistarea, diagnosticul, tratamentul și prevenirea TB în rândul persoanelor cu patologie combinată: TB/hepatită virală, TB/boală mintală, TB/diabet zaharat, etc., inclusiv în rândul grupurilor vulnerabile</t>
  </si>
  <si>
    <t>5.2.2.        Elaborarea și editarea materialelor educaționale și informative despre TB pentru grupurile cheie</t>
  </si>
  <si>
    <t>5.2.3.        Realizarea intervențiilor pentru educare și informare (materiale IEC, intervenții mass media, etc.)</t>
  </si>
  <si>
    <t xml:space="preserve">6.2.1.        Optimizarea serviciului spitalicesc de profil ftiziopneumologic </t>
  </si>
  <si>
    <t>6.2.3.        Revizuirea mecanismelor de contractare a prestatorilor și modalităților de finanțare a serviciilor TB la fiecare nivel - AMP, AMSA, AMS.</t>
  </si>
  <si>
    <t xml:space="preserve">6.2.5.        Asigurarea mentenanței echipamentelor din cadrul staționarelor și subdiviziunilor de profil </t>
  </si>
  <si>
    <t>6.3.1.        Instruirea continuă a personalului din serviciul de ftiziopneumologie, inclusiv și instruirea la distanță pe platforme digitale cu obținerea certificării</t>
  </si>
  <si>
    <t>6.3.3.        Instruirea prin rezidenţiat a specialiștilor în ftiziopneumologie</t>
  </si>
  <si>
    <t>6.3.6.        Instruirea personalului OSC în activități de control TB prin training-uri, schimb de experiență, participări la conferințe, vizite de lucru etc</t>
  </si>
  <si>
    <t>6.4.2.        Actualizarea, integrarea, menținerea și ajustarea continuă a sistemului informațional de colectare a datelor, inclusiv a sistemului informațional de M&amp;E</t>
  </si>
  <si>
    <t>6.5.1.        Elaborarea și implementarea mecanismelor de contractare în cadrul fondurilor de stat sau a altor mecanisme de finanțare relevante pentru OSC-uri pentru asigurarea oferirii suportului psihosocial și serviciilor de depistarea activă a TB</t>
  </si>
  <si>
    <t>6.5.2.        Realizarea activităților prin granturi mici pentru educare, informare, depistare precoce și intervenții pentru creșterea aderenței la tratament</t>
  </si>
  <si>
    <t>6.5.3.        Fortificarea parteneriatului cu APL și alte părți implicate, inclusiv prin mecanisme de finanțare din bugete locale</t>
  </si>
  <si>
    <t>6.6.1.        Fortificarea controlului TB în penitenciare, inclusiv prin implicarea OSC</t>
  </si>
  <si>
    <t xml:space="preserve">6.6.2.        Acompanierea și suportul persoanelor eliberate din detenție în asigurarea continuității tratamentului  </t>
  </si>
  <si>
    <t>6.6.3.        Fortificarea controlului TB în rândul migranților</t>
  </si>
  <si>
    <t>6.7.1.        Realizarea activităților de educare a pacienților cu TB privind Carta pacientului TB și Declarația Drepturilor Persoanelor cu TB</t>
  </si>
  <si>
    <t xml:space="preserve">6.7.2.        Dezvoltarea instrumentelor inovative de comunicare prin utilizarea tehnologiilor informaționale </t>
  </si>
  <si>
    <t xml:space="preserve">6.7.3.        Dezvoltarea și implementarea mecanismelor de monitorizare a calității serviciilor TB în raport cu respectarea drepturilor pacientului </t>
  </si>
  <si>
    <t>7.2.3.        Participarea OSC în  realizarea studiilor operaționale, inclusiv în realizarea acestora la nivel de comunitate</t>
  </si>
  <si>
    <t>Grand Total</t>
  </si>
  <si>
    <t>Formula</t>
  </si>
  <si>
    <t>Normative si costuri</t>
  </si>
  <si>
    <t>% fata de anul de referinta 2019</t>
  </si>
  <si>
    <t>Total, MDL</t>
  </si>
  <si>
    <t>Obiective specifice</t>
  </si>
  <si>
    <t>(denumirea investigaţiei)</t>
  </si>
  <si>
    <t>Cabinetul radiografic digital mobil pe bază de șasiu   PULMOEXPRESS</t>
  </si>
  <si>
    <t>C A L C U L A R E A</t>
  </si>
  <si>
    <t>Medic</t>
  </si>
  <si>
    <t>P/m mijloc.</t>
  </si>
  <si>
    <t>alt personal</t>
  </si>
  <si>
    <t>Suma, lei</t>
  </si>
  <si>
    <t>Timp la 1 investigaţie, min</t>
  </si>
  <si>
    <t>Costul 1 minute, lei</t>
  </si>
  <si>
    <t>Calculul cheltuielilor materiale la 1 (una) radiografie</t>
  </si>
  <si>
    <t>Medicamente/ consumabile:</t>
  </si>
  <si>
    <t>Unitatea de măsură</t>
  </si>
  <si>
    <t>Preţ, lei</t>
  </si>
  <si>
    <t>cantitatea</t>
  </si>
  <si>
    <t>costul materialelor</t>
  </si>
  <si>
    <t>Toner p/u 1000</t>
  </si>
  <si>
    <t>1000 foi</t>
  </si>
  <si>
    <t>investigație</t>
  </si>
  <si>
    <t>Hîrtie A4</t>
  </si>
  <si>
    <t>500 foi</t>
  </si>
  <si>
    <t>1 foae</t>
  </si>
  <si>
    <t>Deservirea tehnică integrală a utilajului</t>
  </si>
  <si>
    <t>lei</t>
  </si>
  <si>
    <t>min</t>
  </si>
  <si>
    <t>Total, lei</t>
  </si>
  <si>
    <t>Cabinetul radiografic digital mobil pe bază de șasiu PULMOEXPRESS</t>
  </si>
  <si>
    <t>Cheltuieli de personal</t>
  </si>
  <si>
    <t>durata de timp pentru a parcurge distanţa de 1 (unu) km</t>
  </si>
  <si>
    <t>Calculul cheltuielilor materiale aferente parcurgerii distanţei de 1 (unu) kilometru</t>
  </si>
  <si>
    <t>Cantitatea</t>
  </si>
  <si>
    <t>Costul materialelor</t>
  </si>
  <si>
    <t>Motorină cu TVA</t>
  </si>
  <si>
    <t>18,75lit/100 km</t>
  </si>
  <si>
    <t>litri</t>
  </si>
  <si>
    <t>Ulei</t>
  </si>
  <si>
    <t>litri/1000 km</t>
  </si>
  <si>
    <t>Deservirea profilactică a unităţii de transport</t>
  </si>
  <si>
    <t>10000 km</t>
  </si>
  <si>
    <t>Alte cheltuieli (12%)</t>
  </si>
  <si>
    <t>Calculul  tarifului unui kilometru</t>
  </si>
  <si>
    <t>Persoanelor din grupurile cu vigilență sporită pentru TB</t>
  </si>
  <si>
    <t>Persoanelor din grupurile cu risc și vigilență sporită pentru TB în localități, utilizând instalațiile radiologice mobile cu introducerea inteligenței artificiale medicale</t>
  </si>
  <si>
    <t>Persoanelor din populațiile-cheie - PTHIV, deținuți, PAFA, consumatori de droguri și alte grupuri vulnerabile, cu acces redus la AMP, cu suportul OSC</t>
  </si>
  <si>
    <t xml:space="preserve">Support for supervision visits from central level to rayons </t>
  </si>
  <si>
    <t>Sites</t>
  </si>
  <si>
    <t>Mun.Chisinau</t>
  </si>
  <si>
    <t>SM Municipal</t>
  </si>
  <si>
    <t>AMT Botanica</t>
  </si>
  <si>
    <t>AMT Buiucani</t>
  </si>
  <si>
    <t>AMT Centru</t>
  </si>
  <si>
    <t>AMT Ciocana</t>
  </si>
  <si>
    <t>7</t>
  </si>
  <si>
    <t>AMT Riscani</t>
  </si>
  <si>
    <t>Mun. Balti</t>
  </si>
  <si>
    <t>*</t>
  </si>
  <si>
    <t>Anenii Noi</t>
  </si>
  <si>
    <t>Basarabeasca</t>
  </si>
  <si>
    <t>Briceni</t>
  </si>
  <si>
    <t>Cahul</t>
  </si>
  <si>
    <t>Cantemir</t>
  </si>
  <si>
    <t>Calarasi</t>
  </si>
  <si>
    <t>Causeni</t>
  </si>
  <si>
    <t>Cimislia</t>
  </si>
  <si>
    <t>Criuleni</t>
  </si>
  <si>
    <t>Donduseni</t>
  </si>
  <si>
    <t>Drochia</t>
  </si>
  <si>
    <t>Dubasari /Cocieri</t>
  </si>
  <si>
    <t>Edinet</t>
  </si>
  <si>
    <t>Falesti</t>
  </si>
  <si>
    <t>Floresti</t>
  </si>
  <si>
    <t>Glodeni</t>
  </si>
  <si>
    <t>Hincesti</t>
  </si>
  <si>
    <t>Ialoveni</t>
  </si>
  <si>
    <t>Leova</t>
  </si>
  <si>
    <t>Nisporeni</t>
  </si>
  <si>
    <t>Ocnita</t>
  </si>
  <si>
    <t>Orhei</t>
  </si>
  <si>
    <t>Rezina</t>
  </si>
  <si>
    <t>Riscani</t>
  </si>
  <si>
    <t>Singerei</t>
  </si>
  <si>
    <t>Soroca</t>
  </si>
  <si>
    <t>Straseni</t>
  </si>
  <si>
    <t>Vorniceni (Straseni)</t>
  </si>
  <si>
    <t>Soldanesti</t>
  </si>
  <si>
    <t>Stefan Voda</t>
  </si>
  <si>
    <t>Taraclia</t>
  </si>
  <si>
    <t>Telenesti</t>
  </si>
  <si>
    <t>Ungheni</t>
  </si>
  <si>
    <t>Comrat</t>
  </si>
  <si>
    <t>Ceadir-Lunga</t>
  </si>
  <si>
    <t>Vulcanesti</t>
  </si>
  <si>
    <t>DIP (Pruncul)</t>
  </si>
  <si>
    <t>Km</t>
  </si>
  <si>
    <t>Bender</t>
  </si>
  <si>
    <t>Tiraspol</t>
  </si>
  <si>
    <t>Slobozia</t>
  </si>
  <si>
    <t>Dnestrovsc</t>
  </si>
  <si>
    <t>Grigoriopol</t>
  </si>
  <si>
    <t>Ribnita</t>
  </si>
  <si>
    <t>Dubasari</t>
  </si>
  <si>
    <t>Camenca</t>
  </si>
  <si>
    <t>Penitenciare</t>
  </si>
  <si>
    <t xml:space="preserve">Anexa nr.2 </t>
  </si>
  <si>
    <t>la Regulamentul cu privire la delegarea</t>
  </si>
  <si>
    <r>
      <t xml:space="preserve">salariaţilor </t>
    </r>
    <r>
      <rPr>
        <sz val="12"/>
        <color theme="1"/>
        <rFont val="Times New Roman"/>
        <family val="1"/>
        <charset val="204"/>
      </rPr>
      <t>entităţilor</t>
    </r>
    <r>
      <rPr>
        <sz val="12"/>
        <color rgb="FF000000"/>
        <rFont val="Times New Roman"/>
        <family val="1"/>
        <charset val="204"/>
      </rPr>
      <t xml:space="preserve"> din Republica Moldova </t>
    </r>
  </si>
  <si>
    <t>NORMELE DIURNELOR ŞI PLAFOANELE DE CAZARE PE CATEGORII A PERSOANELOR DELEGATE</t>
  </si>
  <si>
    <t>Nr.</t>
  </si>
  <si>
    <t xml:space="preserve"> d/o</t>
  </si>
  <si>
    <t>Denumirea ţării</t>
  </si>
  <si>
    <t>Moneda</t>
  </si>
  <si>
    <t>Normele de diurne</t>
  </si>
  <si>
    <t>Plafoane-limită de cazare</t>
  </si>
  <si>
    <t xml:space="preserve">II </t>
  </si>
  <si>
    <t>I. Republica Moldova</t>
  </si>
  <si>
    <t>Mun.Chişinău</t>
  </si>
  <si>
    <t>Mun.Bălţi, Tiraspol</t>
  </si>
  <si>
    <t>Alte municipii şi oraşe</t>
  </si>
  <si>
    <r>
      <rPr>
        <b/>
        <sz val="9"/>
        <rFont val="Arial"/>
        <family val="2"/>
        <charset val="204"/>
      </rPr>
      <t xml:space="preserve">Locatie
</t>
    </r>
    <r>
      <rPr>
        <sz val="9"/>
        <rFont val="Arial"/>
        <family val="2"/>
        <charset val="238"/>
      </rPr>
      <t xml:space="preserve">
(Sites)</t>
    </r>
  </si>
  <si>
    <r>
      <rPr>
        <b/>
        <sz val="9"/>
        <rFont val="Arial"/>
        <family val="2"/>
        <charset val="204"/>
      </rPr>
      <t xml:space="preserve">Km per vizită
</t>
    </r>
    <r>
      <rPr>
        <sz val="9"/>
        <rFont val="Arial"/>
        <family val="2"/>
        <charset val="238"/>
      </rPr>
      <t xml:space="preserve">
(Km per visit)</t>
    </r>
  </si>
  <si>
    <r>
      <t xml:space="preserve">Distanța Chișinău-teritorii
</t>
    </r>
    <r>
      <rPr>
        <b/>
        <sz val="9"/>
        <rFont val="Arial"/>
        <family val="2"/>
        <charset val="204"/>
      </rPr>
      <t>Chisinau - rayon</t>
    </r>
    <r>
      <rPr>
        <sz val="9"/>
        <rFont val="Arial"/>
        <family val="2"/>
        <charset val="238"/>
      </rPr>
      <t xml:space="preserve">
(km)</t>
    </r>
  </si>
  <si>
    <r>
      <rPr>
        <b/>
        <sz val="9"/>
        <rFont val="Arial"/>
        <family val="2"/>
        <charset val="204"/>
      </rPr>
      <t xml:space="preserve">Nr de curse per vizită
</t>
    </r>
    <r>
      <rPr>
        <sz val="9"/>
        <rFont val="Arial"/>
        <family val="2"/>
        <charset val="238"/>
      </rPr>
      <t xml:space="preserve">
(nr of rides 
per 1 visit)</t>
    </r>
  </si>
  <si>
    <t>Pentru vizitele care necestiă cazare, distanța pană la locul cazării
(rayon-Balti or 
rayon-Cahul
(km))</t>
  </si>
  <si>
    <t>Km aditionali pentru vizitarea Centrelor de Santate
(40 km/zi)
aditonal km 
(40km/1day)</t>
  </si>
  <si>
    <t>Diurne
Per/diem x 
5person x 2days, MDL</t>
  </si>
  <si>
    <t>Exam_grup_risc</t>
  </si>
  <si>
    <t>Vizite_monitorizare</t>
  </si>
  <si>
    <r>
      <t xml:space="preserve">Acomodare, persoană/zi, MDL
</t>
    </r>
    <r>
      <rPr>
        <i/>
        <sz val="11"/>
        <color theme="1"/>
        <rFont val="Calibri"/>
        <family val="2"/>
        <charset val="204"/>
        <scheme val="minor"/>
      </rPr>
      <t>Accomodation, Cost per day/per person, MDL</t>
    </r>
  </si>
  <si>
    <r>
      <t xml:space="preserve">Diurne persoană/zi, MDL
</t>
    </r>
    <r>
      <rPr>
        <i/>
        <sz val="11"/>
        <color theme="1"/>
        <rFont val="Calibri"/>
        <family val="2"/>
        <charset val="204"/>
        <scheme val="minor"/>
      </rPr>
      <t>Per/diem Cost per day/per person, MDL</t>
    </r>
  </si>
  <si>
    <r>
      <t xml:space="preserve">Combustibil în mediul pentru 100 km, litri
</t>
    </r>
    <r>
      <rPr>
        <i/>
        <sz val="11"/>
        <color theme="1"/>
        <rFont val="Calibri"/>
        <family val="2"/>
        <charset val="204"/>
        <scheme val="minor"/>
      </rPr>
      <t>Fuel l/100km</t>
    </r>
  </si>
  <si>
    <r>
      <t xml:space="preserve">Cost litru combustibil, MDL
</t>
    </r>
    <r>
      <rPr>
        <i/>
        <sz val="11"/>
        <color theme="1"/>
        <rFont val="Calibri"/>
        <family val="2"/>
        <charset val="204"/>
        <scheme val="minor"/>
      </rPr>
      <t>Fuel cost per 1 lt, MDL</t>
    </r>
  </si>
  <si>
    <r>
      <t xml:space="preserve">Pretul uleiului pentru 1l, lei
</t>
    </r>
    <r>
      <rPr>
        <i/>
        <sz val="11"/>
        <color theme="1"/>
        <rFont val="Calibri"/>
        <family val="2"/>
        <charset val="204"/>
        <scheme val="minor"/>
      </rPr>
      <t>Oil cost per 1 lt, MDL</t>
    </r>
  </si>
  <si>
    <r>
      <t xml:space="preserve">Deservirea profilactică a automobilului la 10000km, MDL
</t>
    </r>
    <r>
      <rPr>
        <i/>
        <sz val="11"/>
        <color theme="1"/>
        <rFont val="Calibri"/>
        <family val="2"/>
        <charset val="204"/>
        <scheme val="minor"/>
      </rPr>
      <t>Preventative maintenance services/10000 km, MDL</t>
    </r>
  </si>
  <si>
    <t>Zile/vizită
Days/visit</t>
  </si>
  <si>
    <t>Numari vizite</t>
  </si>
  <si>
    <t>Acomodare/5 persone/noapte, MDL
Accomodation 
per 1 night x 5 persons, MDL</t>
  </si>
  <si>
    <t>Vizite cu acomodare*
Accomodation</t>
  </si>
  <si>
    <t>Diurne+Acomodare</t>
  </si>
  <si>
    <r>
      <t xml:space="preserve">Consumul de ulei la 10000 km, l
</t>
    </r>
    <r>
      <rPr>
        <i/>
        <sz val="11"/>
        <color theme="1"/>
        <rFont val="Calibri"/>
        <family val="2"/>
        <charset val="204"/>
        <scheme val="minor"/>
      </rPr>
      <t>Oil per 10000 km, lt</t>
    </r>
  </si>
  <si>
    <t>Cost combustibil, MDL
Fuel cost, MDL</t>
  </si>
  <si>
    <t>Litri combustibil
Fuel, lt</t>
  </si>
  <si>
    <t>Litri ulei
Oil, lt</t>
  </si>
  <si>
    <t>Cost ulei, MDL
Oil cost, MDL</t>
  </si>
  <si>
    <t>Acomodare+Diurne</t>
  </si>
  <si>
    <t>Deservire tehnica, MDL
Preventative maintenance services, MDL</t>
  </si>
  <si>
    <r>
      <t xml:space="preserve">Persoane/echipa
</t>
    </r>
    <r>
      <rPr>
        <i/>
        <sz val="11"/>
        <color theme="1"/>
        <rFont val="Calibri"/>
        <family val="2"/>
        <charset val="204"/>
        <scheme val="minor"/>
      </rPr>
      <t>Persons/visit</t>
    </r>
  </si>
  <si>
    <r>
      <t xml:space="preserve">Pentru vizitele la o distanță mai mare de 150 km de Chișinău
</t>
    </r>
    <r>
      <rPr>
        <i/>
        <sz val="11"/>
        <color theme="1"/>
        <rFont val="Calibri"/>
        <family val="2"/>
        <charset val="204"/>
        <scheme val="minor"/>
      </rPr>
      <t>For sites situated farther than 150 km from Chisinau</t>
    </r>
  </si>
  <si>
    <t>ITL</t>
  </si>
  <si>
    <t>TB sensibila</t>
  </si>
  <si>
    <t>TB MDR</t>
  </si>
  <si>
    <t>Examen radiologic toracic</t>
  </si>
  <si>
    <t>ECG</t>
  </si>
  <si>
    <t>Urograma</t>
  </si>
  <si>
    <t>ALAT</t>
  </si>
  <si>
    <t>ASAT</t>
  </si>
  <si>
    <t>Creatinine</t>
  </si>
  <si>
    <t>Ureea</t>
  </si>
  <si>
    <t>Glicemia</t>
  </si>
  <si>
    <t>Amilaza</t>
  </si>
  <si>
    <t>Glutamiltranspeptidaza</t>
  </si>
  <si>
    <t>Acid uric</t>
  </si>
  <si>
    <t>Kaliu seric</t>
  </si>
  <si>
    <t>Acid lactic</t>
  </si>
  <si>
    <t>Proteina generala</t>
  </si>
  <si>
    <t>Albumina serica</t>
  </si>
  <si>
    <t>Magneziu seric</t>
  </si>
  <si>
    <t>Fer seric</t>
  </si>
  <si>
    <t>Calciu seric</t>
  </si>
  <si>
    <t>Test de sarcina</t>
  </si>
  <si>
    <t>Audiometria</t>
  </si>
  <si>
    <t>CD4</t>
  </si>
  <si>
    <t>Incarcatura virala</t>
  </si>
  <si>
    <t>Consult cardiolog</t>
  </si>
  <si>
    <t>Consult oftalmolog</t>
  </si>
  <si>
    <t>Consult ORL</t>
  </si>
  <si>
    <t>Consult infectionist</t>
  </si>
  <si>
    <t>Consult gastrolog</t>
  </si>
  <si>
    <t>Consult endocrinolog</t>
  </si>
  <si>
    <t>Consult ginecolog</t>
  </si>
  <si>
    <t>TB sensibila + DZ</t>
  </si>
  <si>
    <t>TB MDR + DZ</t>
  </si>
  <si>
    <t>TB sensibila + af.hepatice</t>
  </si>
  <si>
    <t>TB MDR + af.hepatice</t>
  </si>
  <si>
    <t>TB sensibila  + IR cronica</t>
  </si>
  <si>
    <t>TB MDR  + IR cronica</t>
  </si>
  <si>
    <t>TB sensibila  + HIV</t>
  </si>
  <si>
    <t>TB MDR  + HIV</t>
  </si>
  <si>
    <t>Denumirea investigatie si consultatiilor</t>
  </si>
  <si>
    <t>cod.inves</t>
  </si>
  <si>
    <t>tariful</t>
  </si>
  <si>
    <t>nr. de investiatii</t>
  </si>
  <si>
    <t>costul</t>
  </si>
  <si>
    <t>Hemograma</t>
  </si>
  <si>
    <t>1095.1</t>
  </si>
  <si>
    <t>Bilurbina</t>
  </si>
  <si>
    <t>Dozarea lipazei</t>
  </si>
  <si>
    <t>Fosfataza alcanica</t>
  </si>
  <si>
    <t>1641.1</t>
  </si>
  <si>
    <t xml:space="preserve"> Determinarea TSH</t>
  </si>
  <si>
    <t>1841.84</t>
  </si>
  <si>
    <t>Investigarea singelui la markerii a infectiei HIV-SIDA(Metoda ELISA)</t>
  </si>
  <si>
    <t>Examinarea acuitatii vizuale</t>
  </si>
  <si>
    <t>Clirensul creatininei+filtratia glomerurala(propa Reberg)</t>
  </si>
  <si>
    <t>1812.1</t>
  </si>
  <si>
    <t>1856.2</t>
  </si>
  <si>
    <t>Examen ecografic a unui organ</t>
  </si>
  <si>
    <t>Consult  nefrolog</t>
  </si>
  <si>
    <t>Protombrina</t>
  </si>
  <si>
    <t>Dozarea colesterolulu</t>
  </si>
  <si>
    <t>Dozarea colesterolulu(HDL)</t>
  </si>
  <si>
    <t>Dozarea colestorului(LDL)</t>
  </si>
  <si>
    <t>Numaratoarea trombocitelor</t>
  </si>
  <si>
    <t>Dozarea trigliceridelor</t>
  </si>
  <si>
    <t>Analiza complexa a metabolismului respirator la aparatul ABL-555</t>
  </si>
  <si>
    <t>Proma Zimnițchi</t>
  </si>
  <si>
    <t>Proba Niciporenco</t>
  </si>
  <si>
    <t>Investigrea bacteriologica a urinei</t>
  </si>
  <si>
    <t>Dozarea lactat .(LDH) in ser</t>
  </si>
  <si>
    <t>Dozarea hemoglobinei glicolizate</t>
  </si>
  <si>
    <t>Microalbuminuria</t>
  </si>
  <si>
    <t>Consul neurolog</t>
  </si>
  <si>
    <t>Examen biochimic desfasurat cu GGTP</t>
  </si>
  <si>
    <t>Alfa-fetoproteina</t>
  </si>
  <si>
    <t>1651.12</t>
  </si>
  <si>
    <t>Proteinuria nictemerala</t>
  </si>
  <si>
    <t>Determinarea nr. de leucocite active in urina</t>
  </si>
  <si>
    <t>Usg renale si vizicii urinare</t>
  </si>
  <si>
    <t>Eco cordului</t>
  </si>
  <si>
    <t>Renograma cu izotopi</t>
  </si>
  <si>
    <t>Radiografia simpla si urografia i/v</t>
  </si>
  <si>
    <t>1145.3</t>
  </si>
  <si>
    <t>Screning la sifilis</t>
  </si>
  <si>
    <t>Anti Toxoplasmoma Ig G</t>
  </si>
  <si>
    <t>Testul Papanicolau</t>
  </si>
  <si>
    <t>HLA-B 5701</t>
  </si>
  <si>
    <t xml:space="preserve">Ag la Cryptococcus  </t>
  </si>
  <si>
    <t>Cons dermatolog</t>
  </si>
  <si>
    <t xml:space="preserve">Deter.Ati .HCV </t>
  </si>
  <si>
    <t>Deter.anti HDV sumar</t>
  </si>
  <si>
    <t>Deter.anti Hbcor sumar</t>
  </si>
  <si>
    <t>Deter.anti HBsAg</t>
  </si>
  <si>
    <t>Deter.anti HBsAg prin metoda imuno.</t>
  </si>
  <si>
    <t>1711.1</t>
  </si>
  <si>
    <t>Determinarea GGT cu analizatorul modular consolidat automat</t>
  </si>
  <si>
    <t>1651.41</t>
  </si>
  <si>
    <t>Determinarea Alfa-fetoproteinei (AFP) prin metoda imunofluoriscentă – ferment dependent</t>
  </si>
  <si>
    <t>Ecocardiografie (M, 2D, Doppler, Doppler Color)</t>
  </si>
  <si>
    <t>Ecografia sistemului urinar (2D) + Doppler</t>
  </si>
  <si>
    <t>1050.20</t>
  </si>
  <si>
    <t>Consultația med. oftalmolog</t>
  </si>
  <si>
    <t>Consultația med. ORL</t>
  </si>
  <si>
    <t>Consultația med. infectionist</t>
  </si>
  <si>
    <t>Consultația med. ginecolog</t>
  </si>
  <si>
    <t>Determinarea anticorpilor IgG anti-toxoplasma prin metoda imunochimică, cu detecţie prin electrochemiluminiscenţă (ECLIA)</t>
  </si>
  <si>
    <t>1741.151</t>
  </si>
  <si>
    <t>Procesarea și colorarea unui frotiu citologic prin metoda Papanicolau</t>
  </si>
  <si>
    <t>Determinarea HBs Ag prin metoda imunofluoriscentă – ferment dependent</t>
  </si>
  <si>
    <t>Însămînţare la fungi patogeni</t>
  </si>
  <si>
    <t>Subtotal, investigatii</t>
  </si>
  <si>
    <t>Durata tratamentului, zile</t>
  </si>
  <si>
    <t>Cost zi pat</t>
  </si>
  <si>
    <t>Cost medicamente / zi</t>
  </si>
  <si>
    <t>Cost alimentatie</t>
  </si>
  <si>
    <t>Subtotal</t>
  </si>
  <si>
    <t>Total caz tratat, cost MDL</t>
  </si>
  <si>
    <t>Numar cazuri</t>
  </si>
  <si>
    <t>Coat total, MDL</t>
  </si>
  <si>
    <t xml:space="preserve">Development of the guidelines </t>
  </si>
  <si>
    <t>#</t>
  </si>
  <si>
    <t>Tarife și normative</t>
  </si>
  <si>
    <t>Calcule</t>
  </si>
  <si>
    <t>Suportul vizitelor de monitorizare, echipa din stanga Nistrului</t>
  </si>
  <si>
    <t xml:space="preserve">Support for supervision visits from central level to rayons, Regional Bender Unit </t>
  </si>
  <si>
    <t xml:space="preserve">Suportul vizitelor de monitorizare de la nivel central
</t>
  </si>
  <si>
    <t>Sursa:</t>
  </si>
  <si>
    <t>Suportul vizitelor de monitorizare, echipa centrală în raioanele din stanga Nistrului</t>
  </si>
  <si>
    <t>Support for supervision visits from central level to rayons, left bank</t>
  </si>
  <si>
    <r>
      <t xml:space="preserve">Distanța Bender-teritorii
</t>
    </r>
    <r>
      <rPr>
        <b/>
        <sz val="9"/>
        <rFont val="Arial"/>
        <family val="2"/>
        <charset val="204"/>
      </rPr>
      <t>Bender - rayon</t>
    </r>
    <r>
      <rPr>
        <sz val="9"/>
        <rFont val="Arial"/>
        <family val="2"/>
        <charset val="238"/>
      </rPr>
      <t xml:space="preserve">
(km)</t>
    </r>
  </si>
  <si>
    <t>cite vizite in teritoriu pe an 2 sau 1.5?</t>
  </si>
  <si>
    <t>se vor face vizite in Transnistria de echipa PNCT, cite pe an</t>
  </si>
  <si>
    <t>echipa din Transnistria va face vizite de monitorizare?</t>
  </si>
  <si>
    <t>Volumul grupelor de risc, care investigatie si % intre grupele de risc, ce fel de investigatii?</t>
  </si>
  <si>
    <t xml:space="preserve">„Allergenum tuberculosum depuratum fluidum in dilutione regulari ad usum intracutaneum” (tuberculin) 2 UT/doza 1ml (10 doze) </t>
  </si>
  <si>
    <t>Anul</t>
  </si>
  <si>
    <t>pret, unitate,</t>
  </si>
  <si>
    <t>QuantiFERON-TB Gold</t>
  </si>
  <si>
    <t>% de cazuri? Cu afect hepatice, IR cronica?</t>
  </si>
  <si>
    <t>Actualizarea PCN privind diagnosticul și tratamentul ITBL, în conformitate cu recomandările OMS, necesita costificare?</t>
  </si>
  <si>
    <t>Algoritm de investigatii in conformitate cu tipul pacientului</t>
  </si>
  <si>
    <t>Pyridoxine, 100 mg, Uncoated tablet(s)</t>
  </si>
  <si>
    <t>Numarul mediu al populatiei cu resedinta obisnuita pe virste si sexe, 2014-2018</t>
  </si>
  <si>
    <t>Ani	"Virste"	"Total pe tara Ambele sexe"</t>
  </si>
  <si>
    <t>85 si peste</t>
  </si>
  <si>
    <t>Populatia cu resedinta obisnuita si indicatorii demografici revizuiti (2014-2018)</t>
  </si>
  <si>
    <t>0-4</t>
  </si>
  <si>
    <t>5-17</t>
  </si>
  <si>
    <t>&gt;17</t>
  </si>
  <si>
    <t>0-17</t>
  </si>
  <si>
    <t>Numarul mediu al populatiei stabile pe virste, medii si sexe, 1980-2018</t>
  </si>
  <si>
    <t>2. Calcul necesitate</t>
  </si>
  <si>
    <t>% inrolare in tratament</t>
  </si>
  <si>
    <t>Cost total, MDL</t>
  </si>
  <si>
    <t>Cost uniate</t>
  </si>
  <si>
    <t>Număr de persoane</t>
  </si>
  <si>
    <t>Copii</t>
  </si>
  <si>
    <t>Adulti</t>
  </si>
  <si>
    <t>Malul Drept, Chimioprofilaxie  TB RR/MDR</t>
  </si>
  <si>
    <t>Malul Stang, Chimioprofilaxie  TB RR/MDR</t>
  </si>
  <si>
    <t>1095.2.</t>
  </si>
  <si>
    <t>Radiografia cutiei toracice, 8×10in(20×24)-1 în regim digital</t>
  </si>
  <si>
    <t>1 examinare</t>
  </si>
  <si>
    <t>CATALOGUL TARIFELOR UNICE</t>
  </si>
  <si>
    <t>Populatie estimata 2021-2025, Malul Drept</t>
  </si>
  <si>
    <t>Rifapentine, 150 mg, Film coated tablet</t>
  </si>
  <si>
    <t>Cantiate totala</t>
  </si>
  <si>
    <t>adulti</t>
  </si>
  <si>
    <t>copii</t>
  </si>
  <si>
    <t>Malul Drept, Chimioprofilaxie  TB sensibila, sector civil</t>
  </si>
  <si>
    <t>Malul Stang, Chimioprofilaxie  TB sensibila, sector civil</t>
  </si>
  <si>
    <t>Malul Drept, Chimioprofilaxie sector penitenciar</t>
  </si>
  <si>
    <t>% anual de acoperire</t>
  </si>
  <si>
    <t>estimati pentru chimioprofilaxie</t>
  </si>
  <si>
    <t>Malul Stang, Chimioprofilaxie sector penitenciar</t>
  </si>
  <si>
    <t>QFT-Plus test kit: ELISA 2 x
96 (for 44 patient tests)</t>
  </si>
  <si>
    <t>QFT-Plus blood collection
tubes (for 50 patient tests)</t>
  </si>
  <si>
    <t>Persoane, care urmeaza a fi testate</t>
  </si>
  <si>
    <t>unitati in ambalal</t>
  </si>
  <si>
    <t>Cantitati pentru procurare</t>
  </si>
  <si>
    <t>Cost, MDL</t>
  </si>
  <si>
    <r>
      <t>Sumarul va fi prezentat aici, calculele detaliate sunt in fisier separat "</t>
    </r>
    <r>
      <rPr>
        <b/>
        <sz val="11"/>
        <color theme="1"/>
        <rFont val="Calibri"/>
        <family val="2"/>
        <charset val="204"/>
        <scheme val="minor"/>
      </rPr>
      <t>Calcule necesitati laborator"</t>
    </r>
  </si>
  <si>
    <t>1.1.4.        Asigurarea examinării persoanelor din grupurile cu risc și vigilență sporită pentru TB în localități, utilizând instalațiile radiologice mobile cu introducerea inteligenței artificiale medicale</t>
  </si>
  <si>
    <t>1.1.5.        Asigurarea depistării persoanelor din populațiile-cheie - PTHIV, PAFA, consumatori de droguri și alte grupuri vulnerabile, cu acces redus la AMP, cu suportul OSC la nivel de comunitate</t>
  </si>
  <si>
    <t>2.2.  Fortificarea rețelei de laborator prin asigurarea controlului calității și biosecurității în conformitate cu standardele naționale și internaționale în cadrul rețelei naționale de laboratoare implicate în diagnosticul microbiologic al TB</t>
  </si>
  <si>
    <t>3.1.5.        Trecerea la noile regimuri de tratament per orale scurte modificate (mSTR)  cu asigurarea condițiilor pentru cercetare operațională urmată de o tranziție la practica de rutină</t>
  </si>
  <si>
    <t xml:space="preserve">3.2.3.        Asigurarea farmacovigilenței active cu elaborarea și implementarea PSO pentru aDSM </t>
  </si>
  <si>
    <t>4.2.1.        Elaborarea regulamentului de servicii integrate la nivel teritorial in corespundere cu necesitatile persoanei cu co-morbiditati.</t>
  </si>
  <si>
    <t>4.2.3.        Asigurarea platformelor de servicii integrate de prevenire si suport pentru persoanele afectate de TB cu alte co-morbiditați la nivel de OSC și comunitar</t>
  </si>
  <si>
    <t>5.1.2.        Actualizarea PCN privind diagnosticul și tratamentul ITBL, în conformitate cu recomandările OMS</t>
  </si>
  <si>
    <t>5.2.1.        Desfășurarea activităților de informare și schimbare a atitudinilor  și comportamentelor la nivel național si local</t>
  </si>
  <si>
    <t>6.5.4.        Documentarea barierelor de acces (financiare, stigma, DO, gen) și estimarea mărimii populațiilor cheie</t>
  </si>
  <si>
    <t>Verificare</t>
  </si>
  <si>
    <t>Obiective_specifice</t>
  </si>
  <si>
    <t>"Cod" directie de actiune</t>
  </si>
  <si>
    <t>Nr interventii</t>
  </si>
  <si>
    <t>"Cod" Obiectiv</t>
  </si>
  <si>
    <t>populatia adulta</t>
  </si>
  <si>
    <t>SUMAR, MDL sursa CNAM</t>
  </si>
  <si>
    <t>Examinarea grup de risc Transnistria</t>
  </si>
  <si>
    <t>Persoanelor din grupurile cu vigilență sporită pentru TB, costificam pentru investigarii Ro</t>
  </si>
  <si>
    <t>Rifapentine/Isoniazid 300mg/300mg, Film coated tablet(s)</t>
  </si>
  <si>
    <t>% din examinari/an a grupului de risc</t>
  </si>
  <si>
    <t>Cifrele vor fi preluate din constificarile PAS</t>
  </si>
  <si>
    <t>Chimioprofilaxia detinuti, cit % acoperire, cit de des??? Luam ca la civil la nr de contacti, sau la toata populatia penitenciarelor?</t>
  </si>
  <si>
    <t>Pulmoscan % din investigatii si care metoda anume(dimensiuni pelicula)</t>
  </si>
  <si>
    <t>simptomatici, copii din contact+ copii grupa de risc(in care intra si contactii)+grupa cu vigilenta sporita</t>
  </si>
  <si>
    <t>adulti contacti intradomiciliari la BAAR+ si acei cu HIV, concretizat ghid</t>
  </si>
  <si>
    <t xml:space="preserve"> la toti minim 9 luni sau 1 an</t>
  </si>
  <si>
    <t xml:space="preserve">Persoanelor din contact cu bolnavii TB </t>
  </si>
  <si>
    <t>Estimate of Tuberculosis (TB) contacts for 5 years 2021-2025</t>
  </si>
  <si>
    <t>5.</t>
  </si>
  <si>
    <t>5.1</t>
  </si>
  <si>
    <t>Estimated pulmonary cases</t>
  </si>
  <si>
    <t>LB(civil)_R</t>
  </si>
  <si>
    <t>RB(civil)_New</t>
  </si>
  <si>
    <t>RB(civil)_R</t>
  </si>
  <si>
    <t>RB(penit)_New</t>
  </si>
  <si>
    <t>RB(penit)_R</t>
  </si>
  <si>
    <t>RB_New</t>
  </si>
  <si>
    <t>RB_R</t>
  </si>
  <si>
    <t>LB(civil)_New</t>
  </si>
  <si>
    <t>LB(penit)_New</t>
  </si>
  <si>
    <t>LB(penit)_R</t>
  </si>
  <si>
    <t>MDA_New</t>
  </si>
  <si>
    <t>MDA_R</t>
  </si>
  <si>
    <t>LB_New</t>
  </si>
  <si>
    <t>LB_R</t>
  </si>
  <si>
    <t>RB_New_RR/MDR_%</t>
  </si>
  <si>
    <t>RB_R_RR/MDR_%</t>
  </si>
  <si>
    <t>LB_New_RR/MDR_%</t>
  </si>
  <si>
    <t>LB_R_RR/MDR_%</t>
  </si>
  <si>
    <t>% of RR/MDR cases</t>
  </si>
  <si>
    <t>Household contacts related to 1 pulmonary TB case</t>
  </si>
  <si>
    <t>DS TB</t>
  </si>
  <si>
    <t>Right bank, civilian sector</t>
  </si>
  <si>
    <t>Right bank, prison sector</t>
  </si>
  <si>
    <t>Right bank, total</t>
  </si>
  <si>
    <t>Left bank, civilian sector</t>
  </si>
  <si>
    <t>Left bank, prison sector</t>
  </si>
  <si>
    <t>Left bank, total</t>
  </si>
  <si>
    <t>Estimated number of DS TB contacts</t>
  </si>
  <si>
    <t>% of persons &gt;18 years old in general population</t>
  </si>
  <si>
    <t>% of persons &lt;18 years old in general population</t>
  </si>
  <si>
    <t>Estimated number of RR/MDR TB contacts</t>
  </si>
  <si>
    <t>contacts</t>
  </si>
  <si>
    <t>adults</t>
  </si>
  <si>
    <t>children</t>
  </si>
  <si>
    <t>Adults</t>
  </si>
  <si>
    <t>Children</t>
  </si>
  <si>
    <t>DS</t>
  </si>
  <si>
    <t>RB(civil)_DS__contacts_adults</t>
  </si>
  <si>
    <t>RB(civil)_DS__contacts_children</t>
  </si>
  <si>
    <t>RB(civil)_RR/MDR__contacts_children</t>
  </si>
  <si>
    <t>LB(civil)_DS__contacts_children</t>
  </si>
  <si>
    <t>LB(civil)_DS__contacts_adults</t>
  </si>
  <si>
    <t>RB(civil)_RR/MDR__contacts_adults</t>
  </si>
  <si>
    <t>LB(civil)_RR/MDR__contacts_children</t>
  </si>
  <si>
    <t>LB(civil)_RR/MDR__contacts_adults</t>
  </si>
  <si>
    <t>RB(penit)_DS__contacts_adults</t>
  </si>
  <si>
    <t>LB(penit)_DS__contacts_adults</t>
  </si>
  <si>
    <t>6.</t>
  </si>
  <si>
    <t>Estimate of simptomatics for 5 years 2021-2025</t>
  </si>
  <si>
    <t>6.1</t>
  </si>
  <si>
    <t>6.2</t>
  </si>
  <si>
    <t>RB(civil)_All_total_</t>
  </si>
  <si>
    <t>LB(civil)_All_total_</t>
  </si>
  <si>
    <t>RB(penit)_All_total_</t>
  </si>
  <si>
    <t>LB(penit)_All_total_</t>
  </si>
  <si>
    <t>Persoanelor din grupurile cu risc sporit TB</t>
  </si>
  <si>
    <t>Estimated number of contacts, Total</t>
  </si>
  <si>
    <t>RB(civil)___contacts_adults</t>
  </si>
  <si>
    <t>% din populatie generala, vor fi examinati doar cei cu semne sugestive, % indicat in "% de acoperire"</t>
  </si>
  <si>
    <t>RB(civil)_symptom_total_</t>
  </si>
  <si>
    <t>RB(penit)_symptom_total_</t>
  </si>
  <si>
    <t>LB(civil)_symptom_total_</t>
  </si>
  <si>
    <t>LB(penit)_symptom_total_</t>
  </si>
  <si>
    <t>Total estimated number of symptomatics</t>
  </si>
  <si>
    <t>Number of symtomatics related to 1 TB case</t>
  </si>
  <si>
    <t>Estimated number of adult symptomatics</t>
  </si>
  <si>
    <t>Estimated number of symptomatics children</t>
  </si>
  <si>
    <t>sympt</t>
  </si>
  <si>
    <t>RB(civil)___sympt_children</t>
  </si>
  <si>
    <t>populatia estimata copii</t>
  </si>
  <si>
    <t>&gt;18 years</t>
  </si>
  <si>
    <t>% grup de risc din populatie</t>
  </si>
  <si>
    <t>Contingentele estimate pentru examinare</t>
  </si>
  <si>
    <t>% grup cu vigilenta sporita</t>
  </si>
  <si>
    <t>grupa de risc</t>
  </si>
  <si>
    <t>grupa de vigilenta sporita</t>
  </si>
  <si>
    <t>tuberculina copii + adulti care vor face chimioprofilaxie? Si inca cine IGRA</t>
  </si>
  <si>
    <t>de vazut in SIME</t>
  </si>
  <si>
    <t>Next-Generation Sequencing Pricelist</t>
  </si>
  <si>
    <t>Price and Sequencing Capability Comparison of PacBio RS, Ion Torrent PGM, and Illumina MiSeq</t>
  </si>
  <si>
    <t>Next-Gen Sequencer</t>
  </si>
  <si>
    <t>Machine Cost</t>
  </si>
  <si>
    <t>Minimum Throughput</t>
  </si>
  <si>
    <t>Cost per run</t>
  </si>
  <si>
    <t>Sequencing Run Time</t>
  </si>
  <si>
    <t>Cost Per Mb</t>
  </si>
  <si>
    <t>Illumina MiSeq</t>
  </si>
  <si>
    <t>1500 Mb (2 x 150 Bases)</t>
  </si>
  <si>
    <t xml:space="preserve">$750 </t>
  </si>
  <si>
    <t>27 Hours</t>
  </si>
  <si>
    <t xml:space="preserve">$0.50 </t>
  </si>
  <si>
    <t>1.5-2 Gb</t>
  </si>
  <si>
    <t xml:space="preserve">$502 </t>
  </si>
  <si>
    <t>454 GS Junior</t>
  </si>
  <si>
    <t>35 Mb (400 Bases)</t>
  </si>
  <si>
    <t xml:space="preserve">$1,100 </t>
  </si>
  <si>
    <t>8 Hours</t>
  </si>
  <si>
    <t xml:space="preserve">$31 </t>
  </si>
  <si>
    <t>Ion Torrent PGM - 314 Chip</t>
  </si>
  <si>
    <t>10Mb (100 Bases)</t>
  </si>
  <si>
    <t xml:space="preserve">$225 </t>
  </si>
  <si>
    <t>3 Hours</t>
  </si>
  <si>
    <t xml:space="preserve">$22.50 </t>
  </si>
  <si>
    <t>Ion Torrent PGM - 316 Chip</t>
  </si>
  <si>
    <t>100Mb</t>
  </si>
  <si>
    <t xml:space="preserve">$425 </t>
  </si>
  <si>
    <t xml:space="preserve">$4.25 </t>
  </si>
  <si>
    <t>Ion Torrent PGM - 318 Chip</t>
  </si>
  <si>
    <t>1000Mb</t>
  </si>
  <si>
    <t xml:space="preserve">$625 </t>
  </si>
  <si>
    <t xml:space="preserve">$0.63 </t>
  </si>
  <si>
    <t>Ion Torrent -318 Chip</t>
  </si>
  <si>
    <t>1Gb</t>
  </si>
  <si>
    <t xml:space="preserve">$1,000 </t>
  </si>
  <si>
    <t>2 Hours</t>
  </si>
  <si>
    <t>PacBio RS</t>
  </si>
  <si>
    <t>100 Mb</t>
  </si>
  <si>
    <t xml:space="preserve">$2,000 </t>
  </si>
  <si>
    <t>Illumina GAIIx</t>
  </si>
  <si>
    <t>30 Gb</t>
  </si>
  <si>
    <t xml:space="preserve">$148 </t>
  </si>
  <si>
    <t>10 Days</t>
  </si>
  <si>
    <t>Illumina HiSeq 2000</t>
  </si>
  <si>
    <t>600 Gb</t>
  </si>
  <si>
    <t xml:space="preserve">$41 </t>
  </si>
  <si>
    <t>11 Days</t>
  </si>
  <si>
    <t>Illumina HiSeq 4000</t>
  </si>
  <si>
    <t>Procurarea secventiatorului, instalare, instruire</t>
  </si>
  <si>
    <t>Estimare_laborator</t>
  </si>
  <si>
    <t>*100%</t>
  </si>
  <si>
    <t>2 vizite</t>
  </si>
  <si>
    <t>ok, o data la 2 ani</t>
  </si>
  <si>
    <t>pret, unitate, MDL</t>
  </si>
  <si>
    <t>Pret unitate_Buget</t>
  </si>
  <si>
    <t>Pret unitate_UCIMP</t>
  </si>
  <si>
    <t>Malul Drept, Chimioprofilaxie PTH</t>
  </si>
  <si>
    <t>Malul Stang, Chimioprofilaxie PTH</t>
  </si>
  <si>
    <t>CN_HIV_Malul Drept</t>
  </si>
  <si>
    <t>CN_HIV_Malul Stang</t>
  </si>
  <si>
    <t>Chimioprofilaxi HIV, malul drept, CN nu sunt in crestere?</t>
  </si>
  <si>
    <t>Chimioprofilaxi HIV, malul stang, cite cazuri?</t>
  </si>
  <si>
    <t>numar de doze in mediu pe proba</t>
  </si>
  <si>
    <t>1.1.</t>
  </si>
  <si>
    <t>1.2.</t>
  </si>
  <si>
    <t>1.2.1.</t>
  </si>
  <si>
    <t>1.2.2.</t>
  </si>
  <si>
    <t>1.2.3.</t>
  </si>
  <si>
    <t>1.3.</t>
  </si>
  <si>
    <t>% of registred cases with TB/HIV</t>
  </si>
  <si>
    <t>Number of registred cases with TB/HIV</t>
  </si>
  <si>
    <t>Ref year_2019</t>
  </si>
  <si>
    <t>Co-Trimoxazol %</t>
  </si>
  <si>
    <t>Co-Trimoxazol nr</t>
  </si>
  <si>
    <t>CO-Trimoxazoli tablet BP 80/400mg</t>
  </si>
  <si>
    <t>Co_trim_ linia I_Malul Drept_penitenciare</t>
  </si>
  <si>
    <t>Co_trim_ linia I_Malul Drept_civil</t>
  </si>
  <si>
    <t>Co-trimoxazol, la sensibili si MDR durata, care schema? Cost Co_tr</t>
  </si>
  <si>
    <t>Total unitati per scheme</t>
  </si>
  <si>
    <t>Total, unitati</t>
  </si>
  <si>
    <t>Co_trim_ Malul Drept RR/MDR/FQ rez_civil adulti</t>
  </si>
  <si>
    <t>Co_trim_ Malul Drept RR/MDR/FQ rez_penitenc_ adulti</t>
  </si>
  <si>
    <t>Cost, total</t>
  </si>
  <si>
    <t>Co_trim_ Malul Stang TB poly</t>
  </si>
  <si>
    <t>Co_trim_ Malul Drept TB poly</t>
  </si>
  <si>
    <t>Durata zilei de munca, ore</t>
  </si>
  <si>
    <t>Nr de investigatii/zi</t>
  </si>
  <si>
    <t>ore</t>
  </si>
  <si>
    <t>Durata deplasarii in teren, zile</t>
  </si>
  <si>
    <t>Nr zile lucratoare/an</t>
  </si>
  <si>
    <t>% de timp in teren</t>
  </si>
  <si>
    <t>restul timpului pentru citire imagini, deservire tehnica</t>
  </si>
  <si>
    <t>Nr de deplasari in tere an</t>
  </si>
  <si>
    <t>Distanta medie la o cursa dus-intors, Km</t>
  </si>
  <si>
    <t>Km/an</t>
  </si>
  <si>
    <t>Cost, deplasare Pulmoscan/an, MDL</t>
  </si>
  <si>
    <t>N zile utilizare utilaj/an</t>
  </si>
  <si>
    <t>in mediu distanta pina in teritoriu 110 km intro directie</t>
  </si>
  <si>
    <t>Capacitatea unui utilaj testari/an</t>
  </si>
  <si>
    <t>Cost, radiografii prin Pulmoscan/an, MDL</t>
  </si>
  <si>
    <t>Cost total pentru un utilaj Pulmoscan/an, MDL</t>
  </si>
  <si>
    <t>Nr utilaje mobile implicate in testare</t>
  </si>
  <si>
    <t>Nr testari/an</t>
  </si>
  <si>
    <t>% din populatie generala, au fost exclusi contactii in linie separata si cei investigati cu pulmoscan</t>
  </si>
  <si>
    <t>Transportarea specimenelor pentru realizarea supravegherii de rutină a rezistenței la medicamente, Km/an</t>
  </si>
  <si>
    <t>Suport salarial soferi, MDL
Support to drivers, MDL</t>
  </si>
  <si>
    <t>Transport  speciemene sputa, Malul Drept, remunerare soferi</t>
  </si>
  <si>
    <t>Transport speciemene sputa, Malul Drept combustibil si mentenanta</t>
  </si>
  <si>
    <t>Transport medicamente, Malul Drept, remunerare soferi</t>
  </si>
  <si>
    <t>Transport medicamente, Malul Drept, combustibil si mentenanta</t>
  </si>
  <si>
    <r>
      <t xml:space="preserve">Suport salarial soferi, MDL per km, 
</t>
    </r>
    <r>
      <rPr>
        <i/>
        <sz val="11"/>
        <color theme="1"/>
        <rFont val="Calibri"/>
        <family val="2"/>
        <charset val="204"/>
        <scheme val="minor"/>
      </rPr>
      <t>Support to drivers, MDL per km</t>
    </r>
  </si>
  <si>
    <r>
      <t xml:space="preserve">Suport salarial soferi, MDL per luna, Malul Stang
</t>
    </r>
    <r>
      <rPr>
        <i/>
        <sz val="11"/>
        <color theme="1"/>
        <rFont val="Calibri"/>
        <family val="2"/>
        <charset val="204"/>
        <scheme val="minor"/>
      </rPr>
      <t>Support to drivers, MDL per month, Left Border</t>
    </r>
  </si>
  <si>
    <r>
      <t xml:space="preserve">Procurarea medicamentelor antituberculoase de linia 2 p-u pacientii M/XDR TB, transportarea în teritorii, Km/an
</t>
    </r>
    <r>
      <rPr>
        <i/>
        <sz val="11"/>
        <color theme="1"/>
        <rFont val="Calibri"/>
        <family val="2"/>
        <charset val="204"/>
        <scheme val="minor"/>
      </rPr>
      <t>Transportation SLD, Km/year</t>
    </r>
  </si>
  <si>
    <r>
      <t xml:space="preserve">Procurarea medicamentelor antituberculoase de linia 2 p-u pacientii M/XDR TB, transportarea în teritorii (resurse umane)
</t>
    </r>
    <r>
      <rPr>
        <i/>
        <sz val="11"/>
        <color theme="1"/>
        <rFont val="Calibri"/>
        <family val="2"/>
        <charset val="204"/>
        <scheme val="minor"/>
      </rPr>
      <t>Transportation SLD, Km/year</t>
    </r>
  </si>
  <si>
    <t>Nr soferi
Nr of drivers</t>
  </si>
  <si>
    <t>Acoperire anuala</t>
  </si>
  <si>
    <t>Transport  speciemene sputa, Malul Stang, combustibil si mentenanta</t>
  </si>
  <si>
    <t>Transport  speciemene sputa, Malul Stang, remunerare soferi</t>
  </si>
  <si>
    <t>Transport  medicamente, Malul Stang, combustibil si mentenanta</t>
  </si>
  <si>
    <t>Transport  medicamente, Malul Stang, remunerare soferi</t>
  </si>
  <si>
    <t>Control</t>
  </si>
  <si>
    <t>Acoperire</t>
  </si>
  <si>
    <t>3+1 driver</t>
  </si>
  <si>
    <t>Remunerare personal</t>
  </si>
  <si>
    <t>Suport salarial personal/zi
Per/diem Cost per day/per person</t>
  </si>
  <si>
    <t>Suport salarial</t>
  </si>
  <si>
    <t>Suport vizite LNR controlul calitatii</t>
  </si>
  <si>
    <t>Centre de microscopie Malul Drept</t>
  </si>
  <si>
    <t>Distanta medie, km</t>
  </si>
  <si>
    <t>Nr centre de microscopie</t>
  </si>
  <si>
    <t>echipa, persoane (1 specialist laborator +sofer)</t>
  </si>
  <si>
    <t>MOLDOVA Tuberculosis 2021-2025: Buget si Plan de Lucru general pentru Programul National de Control al Tuberculozei</t>
  </si>
  <si>
    <t xml:space="preserve">1 EUR / USD </t>
  </si>
  <si>
    <t>1 EUR / MDL</t>
  </si>
  <si>
    <t>All costs in MDL</t>
  </si>
  <si>
    <t>1 USD / MDL</t>
  </si>
  <si>
    <t>No.</t>
  </si>
  <si>
    <t>Objective / Activity</t>
  </si>
  <si>
    <t>Description</t>
  </si>
  <si>
    <t>Budget details</t>
  </si>
  <si>
    <t>Impl-ing agency</t>
  </si>
  <si>
    <t>Year 1</t>
  </si>
  <si>
    <t>Year 2</t>
  </si>
  <si>
    <t>Year 3</t>
  </si>
  <si>
    <t>Year 4</t>
  </si>
  <si>
    <t>Year 5</t>
  </si>
  <si>
    <t>TOTAL 5 years</t>
  </si>
  <si>
    <t xml:space="preserve">Objective 1: Asigurarea examinării prin screening sistematic pentru TB activă a cel puțin 90% din contacți către finele anului 2025 prin asigurarea accesului universal la screening sistematic al contacților și grupurilor cu risc sporit TB. </t>
  </si>
  <si>
    <t>1.1. Depistarea activă a TB în grupurile cu risc și vigilență sporită pentru TB</t>
  </si>
  <si>
    <t xml:space="preserve">Module: </t>
  </si>
  <si>
    <t>1.1.1</t>
  </si>
  <si>
    <t>Asigurarea examinării persoanelor din grupurile cu risc sporit TB, inclusiv contacți</t>
  </si>
  <si>
    <t>No. of units</t>
  </si>
  <si>
    <t>Unit cost</t>
  </si>
  <si>
    <t>Sub-total</t>
  </si>
  <si>
    <t>1.1.2</t>
  </si>
  <si>
    <t>Asigurarea examinării persoanelor din grupurile cu vigilență sporită pentru TB</t>
  </si>
  <si>
    <t>1.1.4</t>
  </si>
  <si>
    <t>Asigurarea examinării persoanelor din grupurile cu risc și vigilență sporită pentru TB în localități, utilizând instalațiile radiologice mobile cu introducerea inteligenței artificiale medicale</t>
  </si>
  <si>
    <t>1.1.4.1</t>
  </si>
  <si>
    <t xml:space="preserve">
Vor fi achizitionate instrumente de inteligență artificială (IA) pentru 7 vehicule mobile echipate cu Xrays.(4 pentru malul drept si 3 pentru malul sting) 
</t>
  </si>
  <si>
    <t>Costurile includ: pentru primul an - Achizitionarea instrumentului de IA de tip offline pentru 7 vehicule mobile(4 pentru malul drept si 3 pentru malul sting -6000 USD X7)+1SD fiecare imagine. S-a estimat cite 120 imagini zilnice per masina, cite 15 zile lucratoare pe luna. Pentru anii 2-5 doar costurile pentru investigatii.</t>
  </si>
  <si>
    <t>imagini pe zi</t>
  </si>
  <si>
    <t>1.1.4.2</t>
  </si>
  <si>
    <t xml:space="preserve">Vor fi organizate Instruiri pentru personalul implicat in implementarea tehnologiei inteligentei artificiale pentru asigurarea examinarii persoanelor din grupurile de risc si cu vigilenta sporita pentru TB in localitati.
</t>
  </si>
  <si>
    <t xml:space="preserve">Costurile includ:
Costuri pentru instruiri ( instruire de 3 zile cel puțin o dată pe an în primii 3 ani), implicând un consultant internațional pentru a desfasura primele instruiri și exersări. (Costurile pentru instruiri precum și costurile pentru trainerul international, inclusive traducere simultana 3 zile).
</t>
  </si>
  <si>
    <t>Consultancy and training</t>
  </si>
  <si>
    <t>1.1.4.3</t>
  </si>
  <si>
    <t xml:space="preserve">
Va fi realizata ajustarea SOP_urilor internationale si elaborarea SOPurilor nationale pentru implementarea Inteligentei Artificiale in tară. Pentru aceasta vor fi contractati doi consultanti nationali.
</t>
  </si>
  <si>
    <t>Costurile includ:
Costuri pentru elaborarea SOP_urilor - 2 consultanti nationali cite 10 zile fiecare.</t>
  </si>
  <si>
    <t>Consultancy</t>
  </si>
  <si>
    <t>1.1.5</t>
  </si>
  <si>
    <t>Asigurarea examinării persoanelor din populațiile-cheie - PTHIV, PAFA, consumatori de droguri și alte grupuri vulnerabile, cu acces redus la AMP, cu suportul OSC</t>
  </si>
  <si>
    <t xml:space="preserve">Vor fi contractate ONGurile active in domeniu pentru  a presta servicii de sceening la TB populatiilor cheie, greu accesibile sistemului medical - PTH, detinuti, CDI, PAFA. </t>
  </si>
  <si>
    <t>Au fost include 4 granturi a cite 300 000 annual, care vor fi achitate din sursele CNAM</t>
  </si>
  <si>
    <t>Grant</t>
  </si>
  <si>
    <t>1.2. Asigurarea diagnosticului infecției TB latente</t>
  </si>
  <si>
    <t>Actualizarea PCN privind diagnosticul și tratamentul ITBL, în conformitate cu recomandările OMS</t>
  </si>
  <si>
    <t>Va fi actualizat Protocolul Clinic National privind diagnosticul si tratamentul ITBL in conformitate cu recomandarile OMS. Protocolul va fi tradus in limba rusa, va fi printat si va fi prezentat specialistilor in domeniu in cadrul a 3 mese rotunde. Pentru aceasta sarcina vor fi contractati doi consultanti nationali.</t>
  </si>
  <si>
    <t xml:space="preserve"> Costul total include si costuri pentru elaborare, traducere in limba rusa,   si pentru 3 workshopuri de prezentare a PCN.  Detalii la fila budget assumptions -  1.2.1</t>
  </si>
  <si>
    <t>Services</t>
  </si>
  <si>
    <t>Asigurarea examinării privind diagnosticul ITBL utilizând testul cutanat cu tuberculină</t>
  </si>
  <si>
    <t>Asigurarea examinării privind diagnosticul ITBL utilizând IGRA</t>
  </si>
  <si>
    <t>Objective 2: Asigurarea diagnosticului precoce al tuturor formelor de TB cu depistarea către finele anului 2025 a cel puțin 90% din numărul total estimat de cazuri cu TB RR/MDR prin asigurarea accesului universal la diagnostic precoce al tuturor formelor de TB și la testele de sensibilitate la medicamente, inclusiv utilizarea testelor rapide.</t>
  </si>
  <si>
    <t>2.1.</t>
  </si>
  <si>
    <t>2.1. Asigurarea depistării TB prin aplicarea constantă și extinderea metodelor microbiologice rapide de diagnostic</t>
  </si>
  <si>
    <t>2.1.1</t>
  </si>
  <si>
    <t>Aplicarea metodelor molecular genetice pentru diagnosticul rapid al TB și RR/MDR TB</t>
  </si>
  <si>
    <t xml:space="preserve">Aceasta activitate este compusa din 2 subactivitati:
1. Procurarea de teste 
2. Asigurarea mentenantei, calibrarii si repararii echipamentelor Xpert </t>
  </si>
  <si>
    <t>2.1.1.1</t>
  </si>
  <si>
    <t>Asigurarea procurării testelor Xpert</t>
  </si>
  <si>
    <t>Tests</t>
  </si>
  <si>
    <t>2.1.1.2</t>
  </si>
  <si>
    <t>Asigurarea mentenantei, calibrarii si repararii echipamentelor Xpert</t>
  </si>
  <si>
    <t>Va fi contractat un consultant national pentru a asigura mentenanta, calibrarea si repararea echipamentelor Xpert si vor fi asigurate cheltuielile aferente acestor activitati. La moment avem 58 echipamente Xpert cu 138 module pe intreg teritoriul tarii, inclusiv malul sting, penitenciarele si centrele SIDA.</t>
  </si>
  <si>
    <t xml:space="preserve">Costul estimativ pentru mentenanta unui modul pe an este: EUR 448. Costul estimativ este determinat de costurile pentru serviciile necesare, detaliile sunt mentionate la fila "Xpert maintenance" in this file. </t>
  </si>
  <si>
    <t>Am inclus costurile de mentenanta in baza istoricului anterior. Trebuie de revazut  care metodologie de cost aplicam.</t>
  </si>
  <si>
    <t>de concretizat cu Dl Crudu mentenanta pe modul</t>
  </si>
  <si>
    <t>2.2.</t>
  </si>
  <si>
    <t>2.2. Asigurarea controlului calității și biosecurității în conformitate cu standardele naționale și internaționale în cadrul rețelei naționale de laboratoare implicate în diagnosticul microbiologic al TB</t>
  </si>
  <si>
    <t>Module:</t>
  </si>
  <si>
    <t>2.2.1</t>
  </si>
  <si>
    <t xml:space="preserve">Realizarea managementului calității în cadrul rețelei de laboratoare implicate în diagnosticul microbiologic al TB </t>
  </si>
  <si>
    <t>2.2.2</t>
  </si>
  <si>
    <t>Participarea în Controlul Calității Extern (CCE) al Laboratorului Național și Laboratoarelor de Referință în microbiologia TB</t>
  </si>
  <si>
    <t>2.2.3</t>
  </si>
  <si>
    <t xml:space="preserve">Implementarea Standardelor de biosecuritate (BSC) în laboratoarele microbiologice TB </t>
  </si>
  <si>
    <t>2.3.</t>
  </si>
  <si>
    <t>2.3 Asigurarea monitorizării tratamentului pacienților cu TB și TB MDR cu supravegherea rezistenței M. tuberculosis către medicamente</t>
  </si>
  <si>
    <t>2.3.1</t>
  </si>
  <si>
    <t>Supravegherea rezistenței M.tuberculosis către medicamente la nivel național</t>
  </si>
  <si>
    <t>2.3.2</t>
  </si>
  <si>
    <t>Implementarea metodelor fenotipice și genotipice de testare rezistenței a M.tuberculosis către preparatele noi (BQ, DLD), inclusiv prin  secvențiere a genomului micobacterian</t>
  </si>
  <si>
    <t>2.3.3</t>
  </si>
  <si>
    <t>Menținerea și consolidarea sistemului de curierat pentru transportarea sputei către LR</t>
  </si>
  <si>
    <t>2.4.</t>
  </si>
  <si>
    <t xml:space="preserve">2.4. Asigurarea diagnosticului diferențiat pentru TB în rândul persoanelor cu simptome caracteristice TB </t>
  </si>
  <si>
    <t>2.4.1</t>
  </si>
  <si>
    <t xml:space="preserve">Aplicarea  metodelor de explorare radioimagistică (radiografie, tomografie, tomosinteză, computer tomografie, imagistica prin rezonanță magnetică  etc.)  </t>
  </si>
  <si>
    <t>2.4.2</t>
  </si>
  <si>
    <t>Asigurarea examinărilor paraclinice (clinice, biochimice, histologice, bronhoscopie  etc)</t>
  </si>
  <si>
    <t>Objective 3. Asigurarea tratamentului TB sensibile și TB RR/MDR cu obținerea ratei de succes printre cazurile noi și recidive TB sensibilă de cel puțin 90% şi printre cazurile de TB RR/MDR nu mai joasă de 80% către anul 2025 prin asigurarea accesului echitabil la tratament de calitate și îngrijiri continue pentru toate persoanele cu TB, prin abordare centrată pe persoană și suport în baza necesităților persoanei</t>
  </si>
  <si>
    <t>3.1.</t>
  </si>
  <si>
    <t>3.1. Asigurarea continuă cu medicamente TB</t>
  </si>
  <si>
    <t>3.1.1</t>
  </si>
  <si>
    <t xml:space="preserve">Asigurarea continuă cu medicamente pentru tratamentul TB sensibile </t>
  </si>
  <si>
    <t>3.1.2</t>
  </si>
  <si>
    <t xml:space="preserve">Asigurarea continuă cu medicamente pentru tratamentul TB RR/MDR/XDR </t>
  </si>
  <si>
    <t>3.1.3</t>
  </si>
  <si>
    <t>Asigurarea continuă cu medicamente, forme pediatrice TB</t>
  </si>
  <si>
    <t>3.1.5</t>
  </si>
  <si>
    <t>Trecerea la noile regimuri de tratament per orale scurte modificate (mSTR)  cu asigurarea conditiilor pentru cercetare operationala</t>
  </si>
  <si>
    <t xml:space="preserve">Pentru asigurarea trecerii calitative si in termeni oportuni la noile regimuri de tratament per oral, vor fi organizate instruiri pentru medicii ftiziatri din teritoriu - 206 persoane in anul 2021, divizati in 11 instruiri. </t>
  </si>
  <si>
    <t xml:space="preserve">Detalii la Budget assumptions. </t>
  </si>
  <si>
    <t>Training</t>
  </si>
  <si>
    <t>3.2.</t>
  </si>
  <si>
    <t>3.2. Asigurarea monitorizării tratamentului, managementului și prevenirii reacțiilor adverse la medicamente TB</t>
  </si>
  <si>
    <t>3.2.1</t>
  </si>
  <si>
    <t>Asigurarea continuă cu medicamente pentru prevenirea și tratamentul reacțiilor adverse la preparatele TB</t>
  </si>
  <si>
    <t>3.2.2</t>
  </si>
  <si>
    <t>Asigurarea actualizării Regulamentului privind managementul medicamentelor TB și sistemului de farmacovigilență în tratamentul pacienților cu TB</t>
  </si>
  <si>
    <t xml:space="preserve">Va fi actualizat Regulamentul privind managementul medicamentelor TB si Regulamentul de farmacovigilenta in tratamentul pacientilor cu TB. Pentru aceasta vor fi contractati doi consultant national (specialist in domeniul TB si specialist in domeniul de farmacologie). </t>
  </si>
  <si>
    <t>Costurile includ costuri de contractare a 2 consultanti pentru cite 20 zile fiecare. Detalii la ”Budget assumptions”</t>
  </si>
  <si>
    <t>3.2.3</t>
  </si>
  <si>
    <t>Asigurarea farmacovigilenței active cu elaborarea SOP pentru aDSM</t>
  </si>
  <si>
    <t>3.2.3.1</t>
  </si>
  <si>
    <t>Pentru asigurarea farmacovigilentei active vor fi organizate 2 instuiri: 1) pentru medicii practicieni pe aDSM  cu  metode de colectare activa si analiza de date  si 2)  pentru echipa de managemnt - AMED si IFP (10-15 persoane). Pentru aceasta va fi invitat un consultant international si implicati si 2 consultanti nationali.</t>
  </si>
  <si>
    <t>Costurile includ contractarea unui consultant intrenational pentru instruirea echipei de management - 15 participanti, durata instruirii de 2 zile si a doua instruire, moderata de 2 consultanti locali pentru 206 participanti, in cadul a 11 instruiri de 2 zile.</t>
  </si>
  <si>
    <t>3.2.3.2</t>
  </si>
  <si>
    <t>Vor fi elaborate SOP privind implementarea aDSM. Pentru aceasta  vor fi angajati 2 consultanti nationali (1 consultant in TB si altul in farmacovigilenta)</t>
  </si>
  <si>
    <t>Costurile includ contractarea a doi consultanti nationali pentru 10 zile fiecare</t>
  </si>
  <si>
    <t>3.3.</t>
  </si>
  <si>
    <t>3.3. Asigurarea aderenței la tratament, inclusiv prin utilizarea metodelor inovative, centrate pe persoană</t>
  </si>
  <si>
    <t>3.3.1</t>
  </si>
  <si>
    <t>Asigurarea abordării multidisciplinare, inclusiv evaluarea necesitaților si gestionarea cazului pentru fiecare persoana afectata de TB si a familiei si acordarea suportului psihosocial pentru asigurarea aderenței la tratament.</t>
  </si>
  <si>
    <t xml:space="preserve">Aceasta activitate consta din 4 subactivitati:
1. Mentinerea echipelor multidisciplinare pe întreg teritoriul tarii (malul drept din surse publice, transnistria din FG) 
2. Consultant pentru supervizarea abilitantă a lucrului echipelor multidisciplinare cu costuri pentru vizite de supervizare (consultantul va lucra cu echipele multidisciplinare în la locul de muncă în scopul fortificării abilităților de lucru cu pacienții problematici, cu risc de abandon prin aplicare standardelor de operare, aplicarea instrumentelor de determinare și prevenire a riscului de abandon, imbunătăți lucrul echipelor)
3. Elaborarea procedurilor standard de operare si a organizarii lucrului de calitate pentru echipa  multidisciplinara - consultant pentru elaborarea standardului, aprobarea lui și implementarea la nivelul echipelor multidisciplinare
4. Foritficarea capacitatii echipelor multidisciplinare din teritoriile maluluii drept și sting - (instruiri anuală de 25 persoane - 5 instruiri)
</t>
  </si>
  <si>
    <t>3.3.1.1</t>
  </si>
  <si>
    <t>Echipelor multidisciplinare din cadrul centrelor comunitare teritoriale vor activa pentru gestionarea cazului de TB, prin oferire de servicii de screening, tratament si suport psihosocial.</t>
  </si>
  <si>
    <t>Costurile includ costul per beneficiar reiesind din pachetul de servicii, pentru beneficiarii de pe malul sting - fila Granutri_ONG</t>
  </si>
  <si>
    <t>3.3.1.2</t>
  </si>
  <si>
    <t>Va fi contractat un Consultant national  pentru supervizarea abilitantă a lucrului echipelor multidisciplinare (consultantul va lucra cu echipele multidisciplinare în la locul de muncă în scopul fortificării abilităților de lucru cu pacienții problematici, cu risc de abandon prin aplicarea standardelor de operare, instrumentelor de determinare și prevenire a riscului de abandon, imbunătăți lucrul echipelor)</t>
  </si>
  <si>
    <t>Costurile includ costurile pentru consultantul national si costurile aferente vizitelor de monitorizare, pentru supervizarea centrelor de pe malul sting - fila 3.3.1.</t>
  </si>
  <si>
    <t>Consultancy and transportation</t>
  </si>
  <si>
    <t>3.3.1.3</t>
  </si>
  <si>
    <t>Vor fi elaborate proceduri standard de operare si a organizarii lucrului de calitate pentru echipa  multidisciplinara. Vor fi contractati 2 consultanti nationali.</t>
  </si>
  <si>
    <t xml:space="preserve">Consultancy </t>
  </si>
  <si>
    <t>3.3.1.4</t>
  </si>
  <si>
    <t xml:space="preserve"> Capacitatile echipelor multidisciplinare din toate teritoriile, inclusiv malul sting vor fi fortificate prin organizarea de instruiri anuale pentru prezentarea informatiilor actuale, discutarea succeselor si impedimentelor in activitatea echipelor, schimb de experienta .</t>
  </si>
  <si>
    <t>Costurile includ costuri pentru 20 instruiri de 2 zile, cite 25 participanti fiecare</t>
  </si>
  <si>
    <t>3.3.2</t>
  </si>
  <si>
    <t>Asigurarea suportului motivațional lunar (stimulente)</t>
  </si>
  <si>
    <t>3.3.3</t>
  </si>
  <si>
    <t>Extinderea utilizării VOT la nivel național</t>
  </si>
  <si>
    <t xml:space="preserve"> Activitatea presupune cresterea utilizarii VOT la nivel national, inclusiv pentru pacientii MDR, pacientii din localitatile rurale, populatiile cheie afectate si va fi bazata pe implementarea curenta si lectiile invatate.Aceasta activitate este propusa ca un instrument aditional pentru asigurarea aderentei la tratament la pacientii cu TB care prezinta dificultati de respectare a DOT. In acelasi timp, aceasta activitate are menirea sa creasca rolul pacientului in managementul propriului tratament. 
- Pe parcursului primului an, tinta pacientilor inclusi in VOT este de  1540 TB siDR-TB (in jur de 50% of cases, in baza informatiei din 2019, inclusiv Transnistria si exclusiv sistemul peniteniar;
Activitatea contine 6 subactivitati.</t>
  </si>
  <si>
    <t xml:space="preserve">Bugetul include costuri de implementare, inclusiv pentru instruiri, transport, supervizare, coordonare, comunicare, asistenta tehnica si suport aditional pentru pacienti.
 </t>
  </si>
  <si>
    <t>3.3.3.1</t>
  </si>
  <si>
    <t>Procurarea de echipamente electronice pentru pacientii implicati in VOT. Vor fi procurate telefoane mobile cu preturi accesibile pentru 60% pacienti in primul ani, 50% in anul 2 si 40% in anul 3. La fel vor fi sustinute serviciile de internet.</t>
  </si>
  <si>
    <t>Detalii fila 3.3.3</t>
  </si>
  <si>
    <t>3.3.3.2</t>
  </si>
  <si>
    <t>Vor fi elaborate materiale informationale privind VOT (brosura, material audio/video)</t>
  </si>
  <si>
    <t>3.3.3.3</t>
  </si>
  <si>
    <t>Va fi multiplicat si distribui pacientilor si prestatorilor de servicii ghidul de utilizare a VOT.</t>
  </si>
  <si>
    <t>3.3.3.4</t>
  </si>
  <si>
    <t>Vor fi organizate instruiri informative si de suport pentru specialistii din 27 raioane de pe ambele malulri ale Nistrului;</t>
  </si>
  <si>
    <t xml:space="preserve">In primul an vor fi organizate 4 instruiri, in anul 2  si 3 - cite 2 instruiri si in anul 4 si 5 - cite 2 instruiri. Detalii fila 3.3.3 </t>
  </si>
  <si>
    <t>3.3.3.5</t>
  </si>
  <si>
    <t>Vor fi organizate vizite de supervizare si suport in toate raioanele unde va fi utilizat instrumentul VOT ( fiecare raion va fi vizitat de doua ori pe an si vor fi supervizate la telefon, on-line la necesitate)</t>
  </si>
  <si>
    <t>3.3.3.6</t>
  </si>
  <si>
    <t xml:space="preserve"> Plasarea sistemului VOT pe serverul PNCTB pe parcursul primului an de implementare.</t>
  </si>
  <si>
    <t>3.3.4</t>
  </si>
  <si>
    <t>Asigurarea suportului de la egal la egal persoanelor cu TB de către prestatori  OSC</t>
  </si>
  <si>
    <t xml:space="preserve"> In cadrul acestei activități, se vor oferi granturi ONGurilor, pentru a oferi consiliere de la egal la egal la persoanele care urmează (sau refuză) tratament TB, cu scopul de a crește aderența la tratament și de a îmbunătăți rezultatele tratamentului. Activitatea vizează populațiile KAP (PTH, PCDI, persoane fără adăpost, foști deținuți etc.) cu risc de întrerupere a tratamentului. Implementatorul va organiza sesiuni de educație în timpul spitalizarii și tratamentului ambulatoriu, consiliere individuală de la egal la egal la egal, precum și grupuri de sprijin pentru diferite grupuri KAP.</t>
  </si>
  <si>
    <t>Detalii fila Grant_ONG, activitate 3.3.4</t>
  </si>
  <si>
    <t>Objective 4. Asigurarea  acoperii universale si continuității serviciilor medicale, gestionare  co-morbidiăților și social-economice în baza necesitaților  persoanei prin extinderea colaborării cu programele naționale HIV, Hepatite, Droguri, Alcool, Diabet, Sănătate mentală, etc., conlucrare cu sectorul penitenciar, social și societatea civila.</t>
  </si>
  <si>
    <t>4.1.</t>
  </si>
  <si>
    <t>4.1. Consolidarea capacităților pentru realizarea unui control eficient al co-infecţiei TB/HIV</t>
  </si>
  <si>
    <t>Asigurarea unui mecanism  multisectorial de coordonare a PNCT cu celelalte ministere, instituții publice</t>
  </si>
  <si>
    <t xml:space="preserve">In scopul monitorizarii realizarii activitatilor de control a tuberculozei si atingerii tintelor stabilite la nivel national si international in cadrul angajamentelor semnate, va fi elaborat un mecanism multisectorial de responsabilizare. </t>
  </si>
  <si>
    <t>Consultanti pentru elaborarea mecanismului - 2 consultanti nationali cite 10 zile fiecare, in primul an si 4 sedinte de o zi.</t>
  </si>
  <si>
    <t xml:space="preserve">  </t>
  </si>
  <si>
    <t>Dezvoltarea parteneriatelor colaborative  la nivel de comunități prin implicarea OSC și APL</t>
  </si>
  <si>
    <t>In contextul mecanismului multisectorial de coordonare a PNCT cu ministerele de resort si institutiile publice, va fi elaborat un mecanism alternativ de monitorizare de catre societatea civila si comunitate a respectarii angajamentelor asumate.</t>
  </si>
  <si>
    <t>Consultanti pentru elaborarea mecanismului - 1 consultant nationali 10 zile, in primul an si 1 sedinte de o zi.</t>
  </si>
  <si>
    <t>de revazut su Valentina</t>
  </si>
  <si>
    <t>Asigurarea screening-ului la TB activă și infecția TB latentă printre persoanele care trăiesc cu HIV</t>
  </si>
  <si>
    <t>Asigurarea diagnosticului TB, inclusiv prin metode rapide, în rândul persoanelor care trăiesc cu HIV</t>
  </si>
  <si>
    <t>Asigurarea tratamentului profilactic TB în rândul persoanelor care trăiesc cu HIV</t>
  </si>
  <si>
    <t>Asigurarea diagnosticului HIV/SIDA printre pacienții cu TB</t>
  </si>
  <si>
    <t>4.1.7</t>
  </si>
  <si>
    <t>Asigurarea tratamentului preventiv cu co-trimoxazol la pacienții cu TB/HIV</t>
  </si>
  <si>
    <t>4.1.8</t>
  </si>
  <si>
    <t>Asigurarea tratamentului ARV la pacienții cu TB/HIV</t>
  </si>
  <si>
    <t>4.1.9</t>
  </si>
  <si>
    <t>Asigurarea tratamentului TB la pacienții cu TB/HIV</t>
  </si>
  <si>
    <t>4.2.</t>
  </si>
  <si>
    <t>4.2. Consolidarea acțiunilor colaborative în controlul TB cu alte programe naționale</t>
  </si>
  <si>
    <t>Elaborarea unui regulament de servicii integrate la nivel teritorial in corespundere cu necesitatile persoanei cu co-morbiditati.</t>
  </si>
  <si>
    <t>Va fi elaborat Cadrul de reglementare pentru servicii integrate TB/HIV/hepatite/narcologie si managementul cazului de echipa multidisciplinara clinica. Stabilirea mecanismelor de referire intre OSC si servicii clinice. Pentru aceasta vor fi contractati 4  consultanti nationali pentru 10 zile fiecare si vor fi efectuate instruiri pentru echipe comune la nivel raional.</t>
  </si>
  <si>
    <t>Costurile includ costurile pentru 4 consultani nationali, 10 zile fiecare si 4 ateliere de lucru de cite o zi, 20 participanti.</t>
  </si>
  <si>
    <t>Fortificarea acțiunilor colaborative  pentru depistarea, diagnosticul, tratamentul și prevenirea TB în rândul persoanelor cu patologie combinată: TB/hepatită virală, TB/boală mintală, TB/diabet zaharat, etc., inclusiv în rândul grupurilor vulnerabile</t>
  </si>
  <si>
    <t>Vor fi desfasurate instruiri cu medicii specialisti endocrinologi, psihiatri, infectionisti, alte specialitati la necesitate si seminare zonale pentru discutarea managementului cazurilor cu TB si comorbiditati.</t>
  </si>
  <si>
    <t>Vor fi organizate cite 8 instruiri anual (200 participanti in total), cite 25 participanti per instruire. La fel, pentru a discuta managementul clinic al cazurilor de TB cu comorbiditati - maladii psihice, diabet zaharat, hepatite virale, HIV etc vor fi organizate anual 4 seminare zonale (nord, centru, sud si Transnistria) cite 50 participanti.</t>
  </si>
  <si>
    <t>Asigurarea unor platforme de servicii integrate de prevenire si suport pentru persoanele afectate de TB cu alte co-morbiditați la nivel de OSC</t>
  </si>
  <si>
    <t xml:space="preserve">Vor fi pilotate 4 proiecte (Nord, Centru, Sud si Transnistria) pentru prestarea serviciilor integrate (de la screening pina la tratament si suport) HIV, TB, ITS, hepatita si TSO. </t>
  </si>
  <si>
    <t xml:space="preserve">Detalii la fila Granturi_ONG </t>
  </si>
  <si>
    <t>de vazut cu echipa HIV…</t>
  </si>
  <si>
    <t xml:space="preserve">Aici au fost incluse costurile medii, urmeaza de discutat cu echipa de la PN HIV si de definitivat tintele </t>
  </si>
  <si>
    <t>de modificat</t>
  </si>
  <si>
    <t>de discutat cu O.Rucsineanu</t>
  </si>
  <si>
    <t>Objective 5. Reducerea transmiterii TB în societate prin măsuri de profilaxie în controlul TB și asigurarea a cel puțin 95% ratei de vaccinare cu vaccinul Bacillus Calmette-Guerin la noi născuți</t>
  </si>
  <si>
    <t>5.1.</t>
  </si>
  <si>
    <t>5.1. Asigurarea măsurilor de profilaxie specifică</t>
  </si>
  <si>
    <t>5.1.1</t>
  </si>
  <si>
    <t>Asigurarea vaccinării Bacillus Calmette-Guérin în conformitate cu PNI</t>
  </si>
  <si>
    <t>5.1.2</t>
  </si>
  <si>
    <t>Realizarea tratamentului ITBL în rândul contacților</t>
  </si>
  <si>
    <t>5.2.</t>
  </si>
  <si>
    <t>5.2. Asigurarea informării privind respectarea măsurilor de control al infecției  pentru reducerea riscului de transmitere a TB în societate</t>
  </si>
  <si>
    <t>5.2.1</t>
  </si>
  <si>
    <t>Desfășurarea activităților de informare și schimbare a atitudinilor la nivel național si local</t>
  </si>
  <si>
    <t>Activitatile de informare si schimbare a atitudinilor la nivel national si local vor fi realizate prin prisma a 5 subactivitati.</t>
  </si>
  <si>
    <t>5.2.1.1</t>
  </si>
  <si>
    <t xml:space="preserve">Va fi elaborat unui material informational pentru APL locale (trimestrial sau simestrial) in fomat de infografice, scurt clar, accesibil neprofesionistilor in domeniu. Date statistice pe raion si comparativ pe tara si includerea info despre masurile recomandate de OMS si NTP pentru controlul TB.
</t>
  </si>
  <si>
    <t>Costurie includ costurile pentru un consulatnt care sa acumuleze informatiile si sa elaboreze materialul</t>
  </si>
  <si>
    <t>5.2.1.2</t>
  </si>
  <si>
    <t>Va fi initiata organizarea sedintlor comisiei parlamentare "Comisia protecţie socială, sănătate şi familie " pentru discutarea problemelor TB cu invitarea conducatorilor canalelor TV si a conducerii consiliului audiovizualului, avind drept scop de baza obtinearea transmiterii gratuite sau la o reducere accesibila a materialilor info vide si audio privind TB.</t>
  </si>
  <si>
    <t>Fara costuri aditionale</t>
  </si>
  <si>
    <t>5.2.1.3</t>
  </si>
  <si>
    <t>Vor fi organizate la nivel de APL  teritoriale/raionale sedinte privind situatia prin TB cu participare multisectoriala - CNAS, CNAM locali, politie, directori institutii de invatamint etc, in 5-6 raioane anual. Raioanele pot fi selectate in dependenta de mai multe variabile - situatie epidemiologica, asigurare mai prosat cu cadre medicale, specialisti in TB, sau chiar si momete pozitive.</t>
  </si>
  <si>
    <t>Costuri pentru organizarea meselor rotunde - budget assumption</t>
  </si>
  <si>
    <t>Meetings</t>
  </si>
  <si>
    <t>5.2.1.4</t>
  </si>
  <si>
    <t>Vor fi organizate concursuri (la nivel de APL) pentru cel mai bun plan de informare a populatiei despre TB si de implementare a masurilor de prevenire. Cistigatorul va fi premiat cu un calculator de exemplu.</t>
  </si>
  <si>
    <t>Contests</t>
  </si>
  <si>
    <t>5.2.1.5</t>
  </si>
  <si>
    <t>Organizarea conferintei anuale catre 24 martie.</t>
  </si>
  <si>
    <t>Conference</t>
  </si>
  <si>
    <t>5.2.2</t>
  </si>
  <si>
    <t>Elaborarea și editarea materialelor educaționale și informative despre TB pentru grupurile cheie</t>
  </si>
  <si>
    <t>5.2.2.1</t>
  </si>
  <si>
    <t>Vor fi actulaizate materialele info elaborate tinind cont de noile recomandari ale OMS si PCN.  Se va pune accent pe materiale de dimensiuni mici cu indicarea recom,andarilor specifice pentru grupurile cheie. La fel, vor fi elaborate materiale pentru lucratorii medicali din prima linie - medici de familie, asistente medicale.</t>
  </si>
  <si>
    <t>5.2.2.2</t>
  </si>
  <si>
    <t>Va fi elaborat un ghid - recomadare pentru ONG privind info de baza despre TB si metodele de lucru cu cu grupurile cheie. Va fi contractata un consultant national pentru 20 zile. Ghidul va distribuit ONGurilor active in domeniu.</t>
  </si>
  <si>
    <t xml:space="preserve">Costurile includ costurile pentru consultantul national - 20 zile si costuri pentru printing - 50 exemplare. </t>
  </si>
  <si>
    <t>5.2.2.3</t>
  </si>
  <si>
    <t>Vor fi organizate mese rotunde pentru discutarea si instruirea privind implementarea ghidului - recomadare pentru ONG privind info de baza despre TB si metodele de lucru cu cu grupurile cheie.</t>
  </si>
  <si>
    <t>Vor fi organizate cite o instruire anuala, de 2 zile, cite 20 participanti</t>
  </si>
  <si>
    <t>5.2.3</t>
  </si>
  <si>
    <t>Realizarea intervențiilor pentru educare și informare (materiale IEC, intervenții mass media, etc.)</t>
  </si>
  <si>
    <t>Organizarea 2 campanii de informare (martie-aprilie si octombrie-noiembrie) cu difuzarea materialelor audio si video.
Organizarea a 4-5 instruiri pentru voluntari - informatori din cadrul studentilor de la colegiile de medicina  - in jur de 100 participanti, care timp de 2 saptamini vor organiza sesiuni informative pentru diverse grupuri de populatie. La fel vor fi implicate ONG active in domeniul TB si HIV care lucreaza cu diferite grupuri cheie.
Actualizarea site-ului tuberculoza.info.</t>
  </si>
  <si>
    <t>5.2.3.1</t>
  </si>
  <si>
    <t>Elaborarea materialelor video si audio privind tuberculoza</t>
  </si>
  <si>
    <t>5.2.3.2</t>
  </si>
  <si>
    <t>Vor fi organizate 2 campanii de informare (martie-aprilie si octombrie-noiembrie) cu difuzarea materialelor audio si video.</t>
  </si>
  <si>
    <t>de extins</t>
  </si>
  <si>
    <t>5.2.3.3</t>
  </si>
  <si>
    <t>Vor fi organizate 4 instruiri pentru voluntari-informatori din cadrul colegiilor de medicina - in jur de 100 participanti</t>
  </si>
  <si>
    <t>5.2.3.4</t>
  </si>
  <si>
    <t>Voluntarii instruiti vor organiza timp de 2 saptamini sesiuni informative la tema TB pentru diverse grupuri de populatie, inclusiv cu implicarea ONGurilor active in domeniile TB si HIV care lucreaza cu grupurile cheie</t>
  </si>
  <si>
    <t>5.2.3.5</t>
  </si>
  <si>
    <t xml:space="preserve">Va fi actualizat site-ul www.tuberculoza.info </t>
  </si>
  <si>
    <t>Costurile includ costuri pentru un consultant care va elabora materiale si le va plasa pe site si costuri pentru mentenanta.</t>
  </si>
  <si>
    <t>5.3.</t>
  </si>
  <si>
    <t>5.3. Asigurarea controlului infecției în IMSP și alte AP cu rețele sanitare proprii</t>
  </si>
  <si>
    <t>5.3.1</t>
  </si>
  <si>
    <t>Implementarea și respectarea PN, PT și la nivel de IMSP în controlul infecției TB</t>
  </si>
  <si>
    <t>Objective 6. Adoptarea politicilor și implementarea măsurilor axate pe atingerea obiectivelor de reducere a poverii TB, prin implementarea abordării centrate pe persoană, reducerea determinantelor sociale, ajustarea mecanismelor de finanțare modelului centrat pe persoană la fiecare nivel de asistență, cu implicarea OSC și a persoanelor afectate.</t>
  </si>
  <si>
    <t>6.1.</t>
  </si>
  <si>
    <t>6.1. Consolidarea capacităților pentru managementul eficient al PNCT</t>
  </si>
  <si>
    <t>6.1.1</t>
  </si>
  <si>
    <t>PSO pentru Monitorizare si Evaluare PNCT de către Departamentul de coordonare PNCT elaborat</t>
  </si>
  <si>
    <t>6.1.2</t>
  </si>
  <si>
    <t>Asigurarea vizitelor complexe de M&amp;E, inclusiv și în cadrul OSC și alte autorități publice cu rețele sanitare proprii</t>
  </si>
  <si>
    <t>6.1.3</t>
  </si>
  <si>
    <t>Instruirea periodică a personalului din cadrul Unității de Coordonare a PNCT</t>
  </si>
  <si>
    <t>6.2.</t>
  </si>
  <si>
    <t>6.2. Consolidarea sistemelor de sănătate prin mecanisme de finanțare bine aliniate pentru TB</t>
  </si>
  <si>
    <t>6.2.1</t>
  </si>
  <si>
    <t xml:space="preserve">Optimizarea serviciului spitalicesc de profil ftiziopneumologic </t>
  </si>
  <si>
    <t>Vor fi organizate 2 sedinte/mese rotunde cu participarea unui consultant international, pentru a discuta si facilita optimizarea serviciului spitalicesc. Sedintele vor fi organizate cu participarea ministerelor de resort, comisiilor parlamentare respective etc.</t>
  </si>
  <si>
    <t>Costul include costul sedintelor. Detalii la Budget assumptions</t>
  </si>
  <si>
    <t>Consultancy and meetings</t>
  </si>
  <si>
    <t>de revazut… de facut 2 sedinte de advocacy a.1</t>
  </si>
  <si>
    <t>cu OMS???</t>
  </si>
  <si>
    <t>6.2.2</t>
  </si>
  <si>
    <t>Fortificarea si extinderea rolului serviciului ftiziopneumologic teritorial in managementul clinic al cazurilor TB care nu necesită spitalizare</t>
  </si>
  <si>
    <t>6.2.3</t>
  </si>
  <si>
    <t>Revizuirea mecanismelor de contractare a prestatorilor și modalităților de finanțare a serviciilor TB la fiecare nivel - AMP, AMSA, AMS.</t>
  </si>
  <si>
    <t>Va fi finalizata elaborarea pachetelor de servicii TB care sa corespunda cu rigorile MSMPS, CNAM si elaborate mecanismele de contractare a acestor servicii. Vor fi contractati 2 consultanti nationali .</t>
  </si>
  <si>
    <t>Costurile includ costul pentru 2 consultanti nationali pentru 10 zile fiecare.</t>
  </si>
  <si>
    <t>6.2.4</t>
  </si>
  <si>
    <t>Asigurarea mentenanței staționarelor și subdiviziunilor de profil</t>
  </si>
  <si>
    <t>6.2.5</t>
  </si>
  <si>
    <t xml:space="preserve">Asigurarea mentenanței echipamentelor din cadrul staționarelor și subdiviziunilor de profil </t>
  </si>
  <si>
    <t>Activitatea presupune angajarea unui specialist bioinginer  care va asigura inventarieare echipamentului la nivel de serviciu ftiziopneumologic, calibrarea acestuia, mentenanta si repararea dupa necesitate si posibilitate. In lipsa acestui specialist se va asigura instruirea a 1-2 specialisti in cadrul Centrului National de Inginerie biomedicala.</t>
  </si>
  <si>
    <t>Costul va include instruirea, salariul specialistului. Cheltuieli de intretinere?</t>
  </si>
  <si>
    <t>de externalizat</t>
  </si>
  <si>
    <t>De revazut cu dl Valeriu</t>
  </si>
  <si>
    <t>2 companii de deservire a echipamentelor</t>
  </si>
  <si>
    <t>de vazut cu Dl Crudu</t>
  </si>
  <si>
    <t>6.2.6</t>
  </si>
  <si>
    <t>Elaborarea mecanismului de raportare a cheltuielilor faptice pentru realizarea activităților PNCT la fiecare nivel din sistemul de sănătate</t>
  </si>
  <si>
    <t>6.2.7</t>
  </si>
  <si>
    <t>Asigurarea mentenanței unităților de stocare a medicamentelor și dispozitivelor medicale la nivel central</t>
  </si>
  <si>
    <t>6.3.</t>
  </si>
  <si>
    <t>6.3. Consolidarea capacităților resurselor umane implicate în controlul TB</t>
  </si>
  <si>
    <t>6.3.1</t>
  </si>
  <si>
    <t>Instruirea continuă a personalului din serviciul de ftiziopneumologie, inclusiv și instruirea la distanță pe platforme digitale cu obținerea certificării</t>
  </si>
  <si>
    <t>Va fi actualizata curicula de studiu in domeniul tuberculozei pentru studenti, rezidenti, alti specialisti. Vor fi contractatiu 2 consultanti nationali cite zile fiecare.</t>
  </si>
  <si>
    <t>Detalii la fila 3.3.1 si 6.3.1</t>
  </si>
  <si>
    <t>6.3.1.2</t>
  </si>
  <si>
    <t>Va organizata o platforma de instruire on-line si telemedicina in cadrul IFP.</t>
  </si>
  <si>
    <t>Costurile include echipamentul necesar dotarii salii de sedinta. Mobilier si reparatie.</t>
  </si>
  <si>
    <t>services</t>
  </si>
  <si>
    <t>6.3.3</t>
  </si>
  <si>
    <t>Va fi dezvoltata o platforma e-learning prin adaptarea platformei on-line Moodle.Platforma va fi concepută pentru a dezvolta capacitatea unei game largi de actori care lucrează in domeniul TB și furnizare de servicii prin asigurarea de instruire interactivă, bazată pe dovezi, pe toate subiectele legate de prevenirea tuberculozei, diagnosticul, tratamentul, îngrijirea și sprijinul, drepturile omului, îngrijire centrată pe pacient, advocacy, comunicare, sensibilizare, furnizare de servicii etc.</t>
  </si>
  <si>
    <t>Costul elaborarii platformei - 264 453.15 MDL</t>
  </si>
  <si>
    <t>6.3.4</t>
  </si>
  <si>
    <t xml:space="preserve">Instruirea continuă în controlul TB a personalului din alte servicii (AMP, sănătate publică, narcologie, infecționiști, morfopatologi etc) </t>
  </si>
  <si>
    <t>6.3.5</t>
  </si>
  <si>
    <t>Instruirea prin rezidenţiat a specialiștilor în ftiziopneumologie</t>
  </si>
  <si>
    <t>6.3.6</t>
  </si>
  <si>
    <t>Instruirea personalului din sistemul administrației penitenciare în controlul TB</t>
  </si>
  <si>
    <t>6.3.7</t>
  </si>
  <si>
    <t xml:space="preserve">Organizarea întrunirilor/instruirilor la nivel central și teritorial cu participarea părților implicate în controlul TB </t>
  </si>
  <si>
    <t>Instruirea în activități de control TB a personalului, care prestează servicii nemedicale  - OSC, outreach și de la egal la egal, psihologii si managerii de caz, suporterii prin training-uri, schimb de experiență, participări la conferințe, vizite de lucru etc</t>
  </si>
  <si>
    <t xml:space="preserve">Instruiri/mese rotunde in dependenta de prioritatile ONGurilor in domeniul TB, cite 2 fiecare an. 
REprezentantii societatii civile si alti actori neguvernamentali activi in domeniul TB vor participa la instruiri/reuniuni/conferinte internationale organizate peste hotare (1 persoana pe an). </t>
  </si>
  <si>
    <t>Costurile pentru instruiri locale si internationale</t>
  </si>
  <si>
    <t>6.3.9</t>
  </si>
  <si>
    <t>Dezvoltarea parteneriatelor cu prestatorii privați de servicii medicale</t>
  </si>
  <si>
    <t>6.3.8</t>
  </si>
  <si>
    <t>Planificarea resurselor umane termen mediu și lung în baza abordării pe necesități</t>
  </si>
  <si>
    <t>Va fi contractat un consultant local pentru elaborarea si implementarea planului referitor la resursele umane.</t>
  </si>
  <si>
    <t>Consultanta locala</t>
  </si>
  <si>
    <t>6.4.</t>
  </si>
  <si>
    <t>6.4. Elaborarea actelor normative pentru supravegherea bazată pe date individuale,  îmbunătățind calitatea înregistrării actelor de stare civilă, calitatea și utilizarea rațională a medicamentelor și farmacovigilența</t>
  </si>
  <si>
    <t>6.4.1</t>
  </si>
  <si>
    <t>Elaborarea Instrucțiunilor metodice privind implementarea PNCT</t>
  </si>
  <si>
    <t>6.4.2</t>
  </si>
  <si>
    <t>Actualizarea, integrarea, menținerea și ajustarea continuă a sistemului informațional de colectare a datelor, inclusiv a sistemului informațional de M&amp;E</t>
  </si>
  <si>
    <t>Se ve elabora caietul de sarcini pentru elaborarea unui sistem informational de colectare  a datelor si apoi sistemul va fi elaborat.</t>
  </si>
  <si>
    <t>Cost elaborare caiet de sarcini - 2000 USD
Cost elaborare program informational - 200000 USD
Anual va fi asigurata mentenanta acestuia si ajustarea la necesitate.</t>
  </si>
  <si>
    <t>Elaborare SYMETA</t>
  </si>
  <si>
    <t>mentenanta</t>
  </si>
  <si>
    <t>de revazut si majorat</t>
  </si>
  <si>
    <t>plus calculatoare si licentele (de la Valentina)</t>
  </si>
  <si>
    <t>plus HIV</t>
  </si>
  <si>
    <t>6.4.3</t>
  </si>
  <si>
    <t>Revizuirea PCN „Tuberculoza la copil” și „Tuberculoza la adult” la necesitate</t>
  </si>
  <si>
    <t>6.4.4</t>
  </si>
  <si>
    <t>Consolidarea continuă a capacității în planificarea și gestionarea aprovizionării și furnizării medicamentelor TB la toate nivelurile sistemului medical, în conformitate cu recomandările OMS</t>
  </si>
  <si>
    <t>6.5.</t>
  </si>
  <si>
    <t>6.5. Fortificarea implicării comunității și OSC în controlul TB prin abordare centrată pe persoană</t>
  </si>
  <si>
    <t>6.5.1</t>
  </si>
  <si>
    <t>Elaborarea și implementarea mecanismelor de contractare în cadrul fondurilor de stat sau a altor mecanisme de finanțare relevante pentru OSC-uri pentru asigurarea oferirii suportului psihosocial și serviciilor de depistarea activă a TB</t>
  </si>
  <si>
    <t>Asistenta tehnica pentru elaborarea mecanismelor de contractare a acestor servicii. Vor fi contractati 2 consultanti nationali .</t>
  </si>
  <si>
    <t>Vor fi contractati doi consultanti nationali cite 10 zile fiecare.</t>
  </si>
  <si>
    <t>6.5.2</t>
  </si>
  <si>
    <t>Realizarea activităților prin granturi mici pentru educare, informare și intervenții pentru creșterea aderenței la tratament si acompanierea dupa finalizarea tratamentului pentru prevenirea recidivelor timp de 1 an</t>
  </si>
  <si>
    <t>Vor fi contractate ONGui pentru presatrea serviciilor de educare, screening, consiliere pentru aderenta la tratament, suport psihosocial.</t>
  </si>
  <si>
    <t>Detalii la fila Granturi_ONG</t>
  </si>
  <si>
    <t>de la Valentina nr.</t>
  </si>
  <si>
    <t>6.5.3</t>
  </si>
  <si>
    <t>Documentarea barierelor de acces (financiare, stigma, DO, gen) și estimarea mărimii populațiilor cheie.</t>
  </si>
  <si>
    <t>6.5.3.1</t>
  </si>
  <si>
    <t>Va fi desfasurata o cercetare operationala pentru stabilirea barierelor de acces la servicii pentru depistare, tratament si ingrijire TB cu elemente de estimare a marimii populatiilor cheie.</t>
  </si>
  <si>
    <t>Va fi contractata o companie sociologica.</t>
  </si>
  <si>
    <t>Survey</t>
  </si>
  <si>
    <t>de la Svetlana….</t>
  </si>
  <si>
    <t>6.5.3.2</t>
  </si>
  <si>
    <t>Va fi organizata o masa rotunda pentru discutarea rezultatelor cercetarii operationale privind accesul la servicii si stabilirea unui plan de actiuni.</t>
  </si>
  <si>
    <t>Costul unei mese rotunde  - 50 participanti, o zi.</t>
  </si>
  <si>
    <t>6.5.3.3</t>
  </si>
  <si>
    <t>Vor fi revizuite actele normative pentru inlaturarea barierelor la accesul la servicii constatate in cadrul cercetarii operationale. Vor fi contractati 3 consultanti nationali (MSMPS, jurist, ONG)</t>
  </si>
  <si>
    <t>Costul pentru 3 consultanti nationali a cite 10 zile.</t>
  </si>
  <si>
    <t>6.5.3.4</t>
  </si>
  <si>
    <t>Realizarea exercitiului de estimare a marimii populatiilor cheie</t>
  </si>
  <si>
    <t>Costul pentru 2 consultanti nationali a cite 10 zile.</t>
  </si>
  <si>
    <t>6.5.4</t>
  </si>
  <si>
    <t>Implicarea OSC în reducerea barierelor și asigurarea accesului grupurilor cheie</t>
  </si>
  <si>
    <t xml:space="preserve">In baza barierelor și recomandărilor identificate și a planului de acțiune propus, ONG-ul va proiecta intervenții pentru a elimina barierele identificate și a înainta actiuni mai centrate pe oameni, bazate pe drepturile omului și sensibile la gen și va asigura că serviciile de tuberculoză ajung la grupurile de populație greu accesibile la moment.
</t>
  </si>
  <si>
    <t>Costuri pentru grant.</t>
  </si>
  <si>
    <t>6.6.</t>
  </si>
  <si>
    <t xml:space="preserve">6.6. Protecția socială, reducerea sărăciei și acțiuni asupra altor factori determinanți ai TB, inclusiv printre migranți si deținuți </t>
  </si>
  <si>
    <t>6.6.1</t>
  </si>
  <si>
    <t>Fortificarea controlului TB în penitenciare, cu acompanierea si suportul persoanelor eliberate, inclusiv prin implicarea OSC</t>
  </si>
  <si>
    <t>Vor fi contractate ONGuri pentru prestarea de servicii detinutilor si ex-detinutilor, inclusiv suport social si acesul la servicii legale, medicale etc, inclusiv in Transnistria.</t>
  </si>
  <si>
    <t>6.6.2</t>
  </si>
  <si>
    <t>Fortificarea controlului TB în rândul migranților</t>
  </si>
  <si>
    <t>Aceasta activitate va fi implementata prin realizarea a 3 subactivitati.</t>
  </si>
  <si>
    <t>6.6.2.1</t>
  </si>
  <si>
    <t>Va fi desfasurata o cercetare printre pacientii cu TB care au in anamnestic cel putin o perioada de 3 luni de migrare pe motiv de munca - 100 persoane pentru a identifica barierile intimpinate in accesarea de servicii si necesittaea de interventii, informatii.</t>
  </si>
  <si>
    <t>Costul pentru cercetare - companie sociologica.</t>
  </si>
  <si>
    <t>Valentina de vazut de la OIM</t>
  </si>
  <si>
    <t>6.6.2.2</t>
  </si>
  <si>
    <t>Va fi organizata o masa rotunda pentru discutarea rezultatelor cercetarii si elaborare de recomandari (20 participanti, 1 zi)</t>
  </si>
  <si>
    <t>Cost pentru organizarea mesei rotunde.</t>
  </si>
  <si>
    <t>consultancy</t>
  </si>
  <si>
    <t>6.6.2.3</t>
  </si>
  <si>
    <t>Vor fi organizate sesiuni informationale cu serviciile de graniceri si vamale despre TB. Cu ajutorul lor, voluntarii vor distribui materiale info in perioadele de sarbatori. Se planifica cite 2 sesiuni de informare anual, cite 1 zi, 20 participanti.</t>
  </si>
  <si>
    <t>Cost instruire 1 zi, 20 participanti, de doua ori pe an.</t>
  </si>
  <si>
    <t>6.6.2.4</t>
  </si>
  <si>
    <t>6.6.3</t>
  </si>
  <si>
    <t>Elaborarea PSO pentru conduita cazului de TB la solicitanții de azil, inclusiv de transfer transfrontalier</t>
  </si>
  <si>
    <t>Vor fi elaborate SOP privind managementul persoanelor solicitante de azil in contextul Tuberculozei.. Pentru aceasta  vor fi angajati 2 consultanti nationali</t>
  </si>
  <si>
    <t>Costurile include servicii de consultanta  - 2 consultanti cite 10 zile fiecare.</t>
  </si>
  <si>
    <t>6.7.</t>
  </si>
  <si>
    <t>6.7. Realizarea Strategiei de pledoarie, comunicare și mobilizare socială în controlul TB, inclusiv prin reducerea stigmei și discriminării, cu alocarea resurselor necesare</t>
  </si>
  <si>
    <t>6.7.1</t>
  </si>
  <si>
    <t>Realizarea activităților de educare a pacienților cu TB privind Carta pacientului TB și Declarația Drepturilor Persoanelor cu TB</t>
  </si>
  <si>
    <t>Activitatile de educare a pacientilor privind Carta pacientului si drepturile pacientului cu TB vor fi realizate prin intermediul a 2 subactivitati.</t>
  </si>
  <si>
    <t>6.7.1.1</t>
  </si>
  <si>
    <t>Carta pacientilor TB si Declaratia Drepturilor Persoanelor cu TB vor fi traduse in romana si rusa, printate si apoi distribuite pacientilor prin intermediul serviciului medical si ONGurilor active in domeniu</t>
  </si>
  <si>
    <t>Costurile includ traducerea din engleza in romana si rusa (4 pagini), printarea a cite 3000 exemplare anual.</t>
  </si>
  <si>
    <t>6.7.1.2</t>
  </si>
  <si>
    <t>Vor fi elaborate materiale video privind Carta pacientului si drepturile pacientului cu TB si difuzarea acestora la TV si in cadrul institutiilor medicale.</t>
  </si>
  <si>
    <t>Costurile includ costuri de elaborare  aunui spot video.</t>
  </si>
  <si>
    <t>6.7.2</t>
  </si>
  <si>
    <t xml:space="preserve">Dezvoltarea instrumentelor inovative de comunicare prin utilizarea tehnologiilor informaționale </t>
  </si>
  <si>
    <t xml:space="preserve">Modul existent al VOT va fi actualizat si ajustat cu includerea functiei de chat Modulul comunitar existent din aplicația VOT va fi ajustat și actualizat, inclusiv adăugarea funcției de chat și a funcției de difuzare și dezvoltare a Inbox-ului de răspuns pentru prestatorii care oferă sprijin persoanelor cu TB și a Panoului de responsabilizare pentru organizația comunitară principală și alți actori TB.
Modulul va avea următoarele avantaje:
- Raportarea este realizată direct de către membrii comunității utilizând telefoanele mobile existente, astfel încât aceste cazuri / feedback-uri ajung la organizația comunitară în timp real și îi ajută să ia măsuri imediate, mai degrabă decât să aștepte săptămâni pentru a avea acces la aceste informații.
- Membrul comunității poate alege să rămână anonim dacă este necesar, permițându-le astfel să-și dea feedback-ul, fără să-și facă griji pentru orice consecință.
- Funcția de chat permite crearea unei punți de legătură între pacient și echipa de suport a pacientului, în același timp, facilitează discuțiile dintre pacient și pacient
- Funcția de difuzare va permite managerilor comunității să realizeze campanii de conștientizare creând astfel o punte de legătură între membrii comunității și liderii comunității.
- Oferă rapoarte statistice și tablouri de bord interactive pentru a obține informații despre feedback-urile în comunitate.
Resbox Inbox ajută utilizatorul echipei de administrare / să valideze / invalideze / dezactiveze un caz ridicat de utilizatorul comunității. Tabloul de bord pentru responsabilzare permite managerilor de programe și altor părți interesate să obțină o imagine de ansamblu asupra barierelor raportate.
</t>
  </si>
  <si>
    <t>Actualizarea software-ului o singură dată în timpul Y1. Costurile de întreținere sunt incluse în activitatea 3.3.3</t>
  </si>
  <si>
    <t>6.7.3</t>
  </si>
  <si>
    <t xml:space="preserve">Dezvoltarea și implementarea mecanismelor de monitorizare a calității serviciilor TB în raport cu respectarea drepturilor pacientului </t>
  </si>
  <si>
    <t xml:space="preserve">Utilizarea aplicației se va asigura că pacienții cu tuberculoză au o voce puternică în monitorizarea calității asistenței medicale și accesul la mijloace sistematice pentru a raporta eventualele lacune și oportunități în furnizarea asistenței medicale, pentru a asigura responsabilitatea furnizorului și a cere servicii de calitate.
Scopul acestei activități este de a permite organizațiilor comunitare să implementeze aplicația și să promoveze utilizarea acesteia în rândul persoanelor care urmează tratament TB.
Va fi contractat un ONG care va realiza mai multe subactivitati:  
</t>
  </si>
  <si>
    <t>6.7.3.1</t>
  </si>
  <si>
    <t xml:space="preserve">Organizarea instruirilor pentru persoanele care urmează tratament TB în utilizarea aplicațiilor;
 </t>
  </si>
  <si>
    <t>Cite o instruire anual pentru cite 20 persoane</t>
  </si>
  <si>
    <t>6.7.3.2</t>
  </si>
  <si>
    <t xml:space="preserve">Asigura funcționalitatea aplicației, inclusiv bucle de feedback și răspunsuri ale comunității;
</t>
  </si>
  <si>
    <t>Maintenance</t>
  </si>
  <si>
    <t>6.7.3.3</t>
  </si>
  <si>
    <t xml:space="preserve">Dezvoltarea unui mecanism pentru ca datele relevante să ajungă la furnizori și NTP-uri pentru a lua măsuri corective pentru îmbunătățirea serviciilor de tuberculoză. Va fi elaborat un algoritm de schimb de date intre PNCT si ONG.
</t>
  </si>
  <si>
    <t>Costul pentru 1 consultant national a cite 10 zile.</t>
  </si>
  <si>
    <t>6.7.3.4</t>
  </si>
  <si>
    <t xml:space="preserve">Organizarea de sesiuni de prezentare a informatiilor colectate, discutare a constatatrilor, advocay pentru imbunatatire.
</t>
  </si>
  <si>
    <t>Objective 7. Accelerarea ratei progresului răspunsului național în atingerea țintelor stabilite prin intensificarea adoptării inovațiilor, disponibilității informațiilor strategice pentru luarea deciziilor și cercetări operaționale</t>
  </si>
  <si>
    <t>7.1.</t>
  </si>
  <si>
    <t>7.1. Efectuarea cercetărilor științifice aplicative</t>
  </si>
  <si>
    <t>7.1.1</t>
  </si>
  <si>
    <t>Dezvoltarea planului național cu identificarea priorităților pentru cercetare și dezvoltare, prin asigurarea unui proces consultativ, inclusiv cu participarea societății civile și realizarea cercetărilor conform agendei stabilite</t>
  </si>
  <si>
    <t>7.1.2</t>
  </si>
  <si>
    <t>Realizarea cercetărilor conform agendei stabilite, cu revizuirea agendei la necesitate</t>
  </si>
  <si>
    <t>7.1.3</t>
  </si>
  <si>
    <t>Participarea OSC în cercetări științifice aplicative, inclusiv în realizarea la nivel de comunitate</t>
  </si>
  <si>
    <t>7.2.</t>
  </si>
  <si>
    <t>7.2. Realizarea studiilor operaționale</t>
  </si>
  <si>
    <t>7.2.1</t>
  </si>
  <si>
    <t>Dezvoltarea planului privind realizarea studiilor operaționale</t>
  </si>
  <si>
    <t>7.2.2</t>
  </si>
  <si>
    <t>Realizarea studiilor conform planului stabilit, cu revizuirea planului la necesitate</t>
  </si>
  <si>
    <t>7.2.3</t>
  </si>
  <si>
    <t>Participarea OSC în  realizarea studiilor operaționale, inclusiv în realizarea acestora la nivel de comunitate</t>
  </si>
  <si>
    <t>Pe parcursul implementarii programului vor fi realizate 4 tipuri de studii operationale</t>
  </si>
  <si>
    <t>7.2.3.1</t>
  </si>
  <si>
    <t>Vor fi realizate doau studii de cheltuieli catastrofice pentru pacientul cu TB</t>
  </si>
  <si>
    <t>Costuri companie sociologica si un eveniment de prezentare a rezultatelor (1 zi, 50 participanti)</t>
  </si>
  <si>
    <t>7.2.3.2</t>
  </si>
  <si>
    <t>Vor fi realizate 2 KAP TB</t>
  </si>
  <si>
    <t>Costuri companie sociologica si un eveniment de prezentare a rezultatelor (1 zi, 50 participanti), primul an si al treilea an.</t>
  </si>
  <si>
    <t>7.2.3.3</t>
  </si>
  <si>
    <t>Va fi realizat auditul clinic al cazurilor TB/HIV</t>
  </si>
  <si>
    <t>Costuri audit, pentru anul 2022</t>
  </si>
  <si>
    <t>7.2.3.4</t>
  </si>
  <si>
    <t>Va fi realizat un studiu privind implementarea inteligentei artificiale in procesul de screening la TB</t>
  </si>
  <si>
    <t>Costul studiului operational.</t>
  </si>
  <si>
    <t>7.3.</t>
  </si>
  <si>
    <t>7.3. Implementarea instrumentelor inovative și bunelor practici</t>
  </si>
  <si>
    <t>7.3.1</t>
  </si>
  <si>
    <t>Documentarea și diseminarea bunelor practici</t>
  </si>
  <si>
    <t>7.4.</t>
  </si>
  <si>
    <t>7.4. Elaborarea unei platforme on-line pentru diseminarea rezultatelor cercetărilor, studiilor și a altor rezultate științifice în domeniul TB</t>
  </si>
  <si>
    <t>7.4.1</t>
  </si>
  <si>
    <t>Diseminarea rezultatelor activităților științifice din domeniul TB, elaborate la nivel de țară</t>
  </si>
  <si>
    <t>Costul unei vizite/ambulator</t>
  </si>
  <si>
    <t xml:space="preserve">1.1.1. Asigurarea examinării persoanelor din grupurile cu risc sporit TB </t>
  </si>
  <si>
    <t xml:space="preserve">1.1.3. Asigurarea examinării persoanelor din grupurile cu vigilență sporită pentru TB </t>
  </si>
  <si>
    <t>1.1.4. Asigurarea examinării persoanelor din grupurile cu risc și vigilență sporită pentru TB în localități, utilizând instalațiile radiologice mobile cu introducerea inteligenței artificiale medicale</t>
  </si>
  <si>
    <t>1.1.5. Asigurarea depistării persoanelor din populațiile-cheie - PTHIV, PAFA, consumatori de droguri și alte grupuri vulnerabile, cu acces redus la AMP, cu suportul OSC la nivel de comunitate</t>
  </si>
  <si>
    <t>2.1.1. Aplicarea metodelor molecular genetice pentru diagnosticul rapid al TB și RR/MDR TB</t>
  </si>
  <si>
    <t xml:space="preserve">2.2.1. Realizarea managementului calității în cadrul rețelei de laboratoare implicate în diagnosticul microbiologic al TB </t>
  </si>
  <si>
    <t>2.2.2. Participarea în Controlul Calității Extern (CCE) al Laboratorului Național și Laboratoarelor de Referință în microbiologia TB</t>
  </si>
  <si>
    <t xml:space="preserve">2.2.3. Implementarea Standardelor de biosecuritate (BSC) în laboratoarele microbiologice TB </t>
  </si>
  <si>
    <t>2.3.1. Aplicarea metodelor fenotipice și genotipice de testare rezistenței a M.tuberculosis către preparatele și supravegherea rezistenței M.tuberculosis către medicamente la nivel național</t>
  </si>
  <si>
    <t>2.3.2. Implementarea metodelor fenotipice și genotipice de testare rezistenței a M.tuberculosis către preparatele noi (BQ, DLD), inclusiv prin  secvențiere a genomului micobacterian</t>
  </si>
  <si>
    <t>2.3.3. Menținerea și consolidarea sistemului de curierat pentru transportarea sputei către LR</t>
  </si>
  <si>
    <t xml:space="preserve">3.1.1. Asigurarea continuă cu medicamente pentru tratamentul TB sensibile </t>
  </si>
  <si>
    <t xml:space="preserve">3.1.2. Asigurarea continuă cu medicamente pentru tratamentul TB RR/MDR/XDR </t>
  </si>
  <si>
    <t>3.1.3. Asigurarea continuă cu medicamente, forme pediatrice TB</t>
  </si>
  <si>
    <t>3.1.4. Asigurarea distribuirii medicamentelor TB în teritorii</t>
  </si>
  <si>
    <t>3.1.5. Trecerea la noile regimuri de tratament per orale scurte modificate (mSTR)  cu asigurarea condițiilor pentru cercetare operațională urmată de o tranziție la practica de rutină</t>
  </si>
  <si>
    <t>3.2.2. Asigurarea actualizării Regulamentului privind managementul medicamentelor TB și sistemului de farmacovigilență în tratamentul pacienților cu TB</t>
  </si>
  <si>
    <t xml:space="preserve">3.2.3. Asigurarea farmacovigilenței active cu elaborarea și implementarea PSO pentru aDSM </t>
  </si>
  <si>
    <t>3.3.1. Asigurarea abordării multidisciplinare, inclusiv evaluarea necesitaților si gestionarea cazului pentru fiecare persoana afectata de TB si a familiei si acordarea suportului psihosocial pentru asigurarea aderenței la tratament.</t>
  </si>
  <si>
    <t>3.3.2. Asigurarea suportului motivațional lunar (stimulente)</t>
  </si>
  <si>
    <t>3.3.3. Extinderea utilizării VOT la nivel național</t>
  </si>
  <si>
    <t>3.3.4. Asigurarea suportului de la egal la egal persoanelor cu TB de către prestatori  OSC</t>
  </si>
  <si>
    <t>4.1.1. Asigurarea unui mecanism  multisectorial de coordonare a PNCT cu celelalte ministere, instituții publice</t>
  </si>
  <si>
    <t>4.1.2. Dezvoltarea parteneriatelor colaborative la nivel de comunități prin implicarea OSC și APL</t>
  </si>
  <si>
    <t>4.1.3. Asigurarea screening-ului la TB activă și infecția TB latentă printre persoanele care trăiesc cu HIV</t>
  </si>
  <si>
    <t>4.1.4. Asigurarea diagnosticului TB, inclusiv prin metode rapide, în rândul persoanelor care trăiesc cu HIV</t>
  </si>
  <si>
    <t>4.1.5. Asigurarea diagnosticului HIV/SIDA printre pacienții cu TB</t>
  </si>
  <si>
    <t>4.1.6. Asigurarea tratamentului preventiv cu co-trimoxazol la pacienții cu TB/HIV</t>
  </si>
  <si>
    <t>4.1.7. Asigurarea tratamentului ARV la pacienții cu TB/HIV</t>
  </si>
  <si>
    <t>4.1.8. Asigurarea tratamentului TB la pacienții cu TB/HIV</t>
  </si>
  <si>
    <t>4.2.1. Elaborarea regulamentului de servicii integrate la nivel teritorial in corespundere cu necesitatile persoanei cu co-morbiditati.</t>
  </si>
  <si>
    <t>4.2.2. Fortificarea acțiunilor colaborative  pentru depistarea, diagnosticul, tratamentul și prevenirea TB în rândul persoanelor cu patologie combinată: TB/hepatită virală, TB/boală mintală, TB/diabet zaharat, etc., inclusiv în rândul grupurilor vulnerabile</t>
  </si>
  <si>
    <t>4.2.3. Asigurarea platformelor de servicii integrate de prevenire si suport pentru persoanele afectate de TB cu alte co-morbiditați la nivel de OSC și comunitar</t>
  </si>
  <si>
    <t>5.1.1. Asigurarea vaccinării Bacillus Calmette-Guérin în conformitate cu PNI</t>
  </si>
  <si>
    <t>5.1.2. Actualizarea PCN privind diagnosticul și tratamentul ITBL, în conformitate cu recomandările OMS</t>
  </si>
  <si>
    <t>5.1.3. Asigurarea examinării privind diagnosticul ITBL utilizând testul cutanat cu tuberculină</t>
  </si>
  <si>
    <t>5.1.4. Asigurarea examinării privind diagnosticul ITBL utilizând IGRA</t>
  </si>
  <si>
    <t>5.1.5. Asigurarea tratamentului profilactic TB în rândul persoanelor care trăiesc cu HIV</t>
  </si>
  <si>
    <t>5.1.6. Realizarea tratamentului ITBL în rândul contacților</t>
  </si>
  <si>
    <t>5.2.1. Desfășurarea activităților de informare și schimbare a atitudinilor  și comportamentelor la nivel național si local</t>
  </si>
  <si>
    <t>5.2.2. Elaborarea și editarea materialelor educaționale și informative despre TB pentru grupurile cheie</t>
  </si>
  <si>
    <t>5.2.3. Realizarea intervențiilor pentru educare și informare (materiale IEC, intervenții mass media, etc.)</t>
  </si>
  <si>
    <t>5.3.1. Implementarea și respectarea PN, PT și la nivel de IMSP în controlul infecției TB</t>
  </si>
  <si>
    <t>6.1.1. Elaborarea PSO pentru Monitorizare si Evaluare PNCT de către Departamentul de coordonare PNCT, inclusiv cu implicarea OSC</t>
  </si>
  <si>
    <t xml:space="preserve">6.2.1. Optimizarea serviciului spitalicesc de profil ftiziopneumologic </t>
  </si>
  <si>
    <t>6.2.2. Fortificarea si extinderea rolului serviciului ftiziopneumologic teritorial in managementul clinic al cazurilor TB care nu necesită spitalizare</t>
  </si>
  <si>
    <t>6.2.3. Revizuirea mecanismelor de contractare a prestatorilor și modalităților de finanțare a serviciilor TB la fiecare nivel - AMP, AMSA, AMS.</t>
  </si>
  <si>
    <t>6.2.4. Asigurarea mentenanței staționarelor și subdiviziunilor de profil</t>
  </si>
  <si>
    <t xml:space="preserve">6.2.5. Asigurarea mentenanței echipamentelor din cadrul staționarelor și subdiviziunilor de profil </t>
  </si>
  <si>
    <t>6.2.6. Elaborarea mecanismului de raportare a cheltuielilor faptice pentru realizarea activităților PNCT la fiecare nivel din sistemul de sănătate</t>
  </si>
  <si>
    <t>6.2.7. Asigurarea mentenanței unităților de stocare a medicamentelor și dispozitivelor medicale la nivel central</t>
  </si>
  <si>
    <t>6.4.1. Elaborarea Instrucțiunilor metodice privind implementarea PNCT</t>
  </si>
  <si>
    <t>6.5.1. Elaborarea și implementarea mecanismelor de contractare în cadrul fondurilor de stat sau a altor mecanisme de finanțare relevante pentru OSC-uri pentru asigurarea oferirii suportului psihosocial și serviciilor de depistarea activă a TB</t>
  </si>
  <si>
    <t>6.5.2. Realizarea activităților prin granturi mici pentru educare, informare, intervenții pentru creșterea aderenței la tratament, acompanierea și suportul persoanelor care au finalizat tratamentul pentru prevenirea recidivelor.</t>
  </si>
  <si>
    <t>6.5.3. Documentarea barierelor de acces (financiare, stigma, DO, gen) și estimarea mărimii populațiilor cheie</t>
  </si>
  <si>
    <t>6.5.4. Implicarea OSC în reducerea barierelor și asigurarea accesului grupurilor cheie la servicii TB</t>
  </si>
  <si>
    <t xml:space="preserve">6.6.1. Fortificarea controlului TB în penitenciare, acompanierea și suportul persoanelor eliberate din detenție în asigurarea continuității tratamentului, inclusiv prin implicarea OSC </t>
  </si>
  <si>
    <t>6.6.2. Fortificarea controlului TB în rândul migranților</t>
  </si>
  <si>
    <t>6.6.3. Elaborarea PSO pentru conduita cazului de TB la solicitanții de azil, inclusiv de transfer transfrontalier a cazului TB</t>
  </si>
  <si>
    <t>6.6.4. Optimizarea centrelor ftiziopneumologice de reabilitare pentru copii și elaborarea mecanismelor comunitare de conduită a cazului copilului afectat de TB</t>
  </si>
  <si>
    <t>6.7.1. Realizarea activităților de educare a pacienților cu TB privind Carta pacientului TB și Declarația Drepturilor Persoanelor cu TB</t>
  </si>
  <si>
    <t xml:space="preserve">6.7.2. Dezvoltarea instrumentelor inovative de comunicare prin utilizarea tehnologiilor informaționale </t>
  </si>
  <si>
    <t xml:space="preserve">6.7.3. Dezvoltarea și implementarea mecanismelor de monitorizare a calității serviciilor TB în raport cu respectarea drepturilor pacientului </t>
  </si>
  <si>
    <t>7.1.1. Dezvoltarea planului național cu identificarea priorităților pentru cercetare și dezvoltare, prin asigurarea unui proces consultativ, inclusiv cu participarea societății civile și realizarea cercetărilor conform agendei stabilite</t>
  </si>
  <si>
    <t>7.1.2. Realizarea cercetărilor conform agendei stabilite, cu revizuirea agendei la necesitate</t>
  </si>
  <si>
    <t>7.1.3. Participarea OSC în cercetări științifice aplicative, inclusiv în realizarea la nivel de comunitate</t>
  </si>
  <si>
    <t>7.2.1. Dezvoltarea planului privind realizarea studiilor operaționale</t>
  </si>
  <si>
    <t>7.2.2. Realizarea studiilor conform planului stabilit, cu revizuirea planului la necesitate</t>
  </si>
  <si>
    <t>7.2.3. Participarea OSC în  realizarea studiilor operaționale, inclusiv în realizarea acestora la nivel de comunitate</t>
  </si>
  <si>
    <t xml:space="preserve">1.1.2. Asigurarea examinării persoanelor din contact cu bolnavii TB </t>
  </si>
  <si>
    <t>L1</t>
  </si>
  <si>
    <t>Radiografie digitală prin Pulmoscan</t>
  </si>
  <si>
    <t>Nr utilaje mobile implicate in testare, Malul Drept</t>
  </si>
  <si>
    <t>Nr utilaje mobile implicate in testare, Malul Stang</t>
  </si>
  <si>
    <t>International Consultancy fee (3.1)</t>
  </si>
  <si>
    <t xml:space="preserve">Travel costs </t>
  </si>
  <si>
    <t xml:space="preserve">Meal ( lunch) </t>
  </si>
  <si>
    <t>Rent of premises</t>
  </si>
  <si>
    <t>Meal(dinner)</t>
  </si>
  <si>
    <t xml:space="preserve">Accomodation </t>
  </si>
  <si>
    <t>Supplies</t>
  </si>
  <si>
    <t>Interpreter's fee, per day</t>
  </si>
  <si>
    <t>Travel participants</t>
  </si>
  <si>
    <t>Secretarial support&amp;coordination (7%)</t>
  </si>
  <si>
    <t>Unitate</t>
  </si>
  <si>
    <t>pret unitate</t>
  </si>
  <si>
    <t>X</t>
  </si>
  <si>
    <t>Denumire produs/serviciu_ro</t>
  </si>
  <si>
    <t>Denumire produs/serviciu_eng</t>
  </si>
  <si>
    <t>Valuta_pret</t>
  </si>
  <si>
    <t>cost/zi</t>
  </si>
  <si>
    <t>cost tichet o directie</t>
  </si>
  <si>
    <t>Sursa pret</t>
  </si>
  <si>
    <t>Pauza cafea</t>
  </si>
  <si>
    <t>Coffe break</t>
  </si>
  <si>
    <t>unitate</t>
  </si>
  <si>
    <t>diurna</t>
  </si>
  <si>
    <t>Diurne consultant internațional</t>
  </si>
  <si>
    <t>Prânz</t>
  </si>
  <si>
    <t>Închiriere spațiu pentru evenimente</t>
  </si>
  <si>
    <t>Cina</t>
  </si>
  <si>
    <t>Acomodare participant curs de instruire/seminar</t>
  </si>
  <si>
    <t>Consumabile de birou</t>
  </si>
  <si>
    <t>set/participant</t>
  </si>
  <si>
    <t xml:space="preserve">Per diem, WHO DSA, average </t>
  </si>
  <si>
    <t>(http://apps.who.int/bfi/tsy/PerDiem.aspx)</t>
  </si>
  <si>
    <t>Cost călătorie, consultant international</t>
  </si>
  <si>
    <t>Cost calatorie RM, participant curs de instruire/seminar</t>
  </si>
  <si>
    <t>Interpret, remunerare</t>
  </si>
  <si>
    <t>cost/noapte</t>
  </si>
  <si>
    <t>Denumire serviciu_ro</t>
  </si>
  <si>
    <t>Denumire serviciu_eng</t>
  </si>
  <si>
    <t>Cost_MDL</t>
  </si>
  <si>
    <t>Cazare, nopti</t>
  </si>
  <si>
    <t>Servicii secretariat, 7%</t>
  </si>
  <si>
    <t>Cost total, curs de instruire</t>
  </si>
  <si>
    <t>Numar de unitati 
per curs, persoana</t>
  </si>
  <si>
    <t>Unitate
Units</t>
  </si>
  <si>
    <t>Pret unitate
Unit cost</t>
  </si>
  <si>
    <t>Valuta_pret
Currency</t>
  </si>
  <si>
    <t>Nr cursuri/an</t>
  </si>
  <si>
    <t>Total cost, MDL</t>
  </si>
  <si>
    <t xml:space="preserve">1.1.4.1. Achizitionarea instrumentelor de inteligență artificială (IA) pentru 7 vehicule mobile echipate cu Xrays.(4 pentru malul drept si 3 pentru malul sting) </t>
  </si>
  <si>
    <t>1.1.4.2. Cursuri de instruire pentru personalul implicat in implementarea tehnologiei inteligentei artificiale pentru asigurarea examinarii persoanelor din grupurile de risc si cu vigilenta sporita pentru TB in localitati.</t>
  </si>
  <si>
    <t>1.1.4.3. Ajustarea SOP_urilor internationale si elaborarea SOPurilor nationale pentru implementarea Inteligentei Artificiale in tară.</t>
  </si>
  <si>
    <t>National Consultancy fee (3.1)</t>
  </si>
  <si>
    <t>cost istoric, PAS</t>
  </si>
  <si>
    <t>Remunerarea consultant national</t>
  </si>
  <si>
    <t>Remunerare consultant internațional</t>
  </si>
  <si>
    <r>
      <t xml:space="preserve">Cazare, numar persoane, 
</t>
    </r>
    <r>
      <rPr>
        <i/>
        <sz val="11"/>
        <color theme="1"/>
        <rFont val="Calibri"/>
        <family val="2"/>
        <charset val="204"/>
        <scheme val="minor"/>
      </rPr>
      <t># of participants requiring  accommodation</t>
    </r>
  </si>
  <si>
    <r>
      <t xml:space="preserve">Rambursare costuri calatorie, numar persoane, 
</t>
    </r>
    <r>
      <rPr>
        <i/>
        <sz val="11"/>
        <color theme="1"/>
        <rFont val="Calibri"/>
        <family val="2"/>
        <charset val="204"/>
        <scheme val="minor"/>
      </rPr>
      <t># of participants requiring  travel costs rembursment</t>
    </r>
  </si>
  <si>
    <r>
      <t xml:space="preserve">Consultant international nr persoane
</t>
    </r>
    <r>
      <rPr>
        <i/>
        <sz val="11"/>
        <color theme="1"/>
        <rFont val="Calibri"/>
        <family val="2"/>
        <charset val="204"/>
        <scheme val="minor"/>
      </rPr>
      <t># of international facilitators</t>
    </r>
  </si>
  <si>
    <r>
      <t xml:space="preserve">Consultant national, nr persoane
</t>
    </r>
    <r>
      <rPr>
        <i/>
        <sz val="11"/>
        <color theme="1"/>
        <rFont val="Calibri"/>
        <family val="2"/>
        <charset val="204"/>
        <scheme val="minor"/>
      </rPr>
      <t># of national facilitators</t>
    </r>
  </si>
  <si>
    <r>
      <t>Numar participanti,</t>
    </r>
    <r>
      <rPr>
        <sz val="11"/>
        <color theme="1"/>
        <rFont val="Calibri"/>
        <family val="2"/>
        <charset val="204"/>
        <scheme val="minor"/>
      </rPr>
      <t xml:space="preserve"> 
</t>
    </r>
    <r>
      <rPr>
        <i/>
        <sz val="11"/>
        <color theme="1"/>
        <rFont val="Calibri"/>
        <family val="2"/>
        <charset val="204"/>
        <scheme val="minor"/>
      </rPr>
      <t># of participants total</t>
    </r>
  </si>
  <si>
    <r>
      <t xml:space="preserve">Durata, zile
</t>
    </r>
    <r>
      <rPr>
        <i/>
        <sz val="11"/>
        <color theme="1"/>
        <rFont val="Calibri"/>
        <family val="2"/>
        <charset val="204"/>
        <scheme val="minor"/>
      </rPr>
      <t>duration, days</t>
    </r>
  </si>
  <si>
    <t xml:space="preserve">Activities </t>
  </si>
  <si>
    <t xml:space="preserve">Editing, printing A4, translation </t>
  </si>
  <si>
    <t>Zile/persoana
Days/person</t>
  </si>
  <si>
    <r>
      <t xml:space="preserve">Numar pagini,
</t>
    </r>
    <r>
      <rPr>
        <i/>
        <sz val="11"/>
        <color theme="1"/>
        <rFont val="Calibri"/>
        <family val="2"/>
        <charset val="204"/>
        <scheme val="minor"/>
      </rPr>
      <t># pages</t>
    </r>
  </si>
  <si>
    <r>
      <t xml:space="preserve">Numar unitati pentru printare, editare,
</t>
    </r>
    <r>
      <rPr>
        <i/>
        <sz val="11"/>
        <color theme="1"/>
        <rFont val="Calibri"/>
        <family val="2"/>
        <charset val="204"/>
        <scheme val="minor"/>
      </rPr>
      <t># units for printing, editing</t>
    </r>
  </si>
  <si>
    <t>Traducere pagina</t>
  </si>
  <si>
    <t>Translation per page</t>
  </si>
  <si>
    <t>pagina</t>
  </si>
  <si>
    <t>cost istoric, UCIMP</t>
  </si>
  <si>
    <t>Total unitati
zile, pagini, unitati</t>
  </si>
  <si>
    <t>Formatare, design, printare</t>
  </si>
  <si>
    <t xml:space="preserve">Formatting, design, printing </t>
  </si>
  <si>
    <t>1.1.4.4. Examinarea persoanelor din grupurile cu risc și vigilență sporită pentru TB în localități, utilizând instalațiile radiologice mobile cu introducerea inteligenței artificiale medicale</t>
  </si>
  <si>
    <t>Small grants program</t>
  </si>
  <si>
    <t>share</t>
  </si>
  <si>
    <t>Q-ty</t>
  </si>
  <si>
    <t>Human resources</t>
  </si>
  <si>
    <t>2.4 Meeting/Advocacy related costs/transport/other costs</t>
  </si>
  <si>
    <t>Printed materials (forms, books, guidelines, brochure, leaflets...) (15%)</t>
  </si>
  <si>
    <t>Planning and administration</t>
  </si>
  <si>
    <t>Total per grant</t>
  </si>
  <si>
    <t>7.</t>
  </si>
  <si>
    <t>8.</t>
  </si>
  <si>
    <t>9.</t>
  </si>
  <si>
    <t>10.</t>
  </si>
  <si>
    <t>5.1.2.1        Actualizarea PCN privind diagnosticul și tratamentul ITBL, în conformitate cu recomandările OMS</t>
  </si>
  <si>
    <t>5.1.2.2.       Masa rotunda - prezentarea PCN privind diagnosticul și tratamentul ITBL, în conformitate cu recomandările OMS</t>
  </si>
  <si>
    <t>3.2.2.1. Asigurarea actualizării Regulamentului privind managementul medicamentelor TB și sistemului de farmacovigilență în tratamentul pacienților cu TB</t>
  </si>
  <si>
    <t>3.2.2.2. Curs de instruire farmacovigilenta, personal de la nivel central</t>
  </si>
  <si>
    <t>3.2.2.3. Curs de instruire farmacovigilenta, medici ftiziopneumologi din teritoriu</t>
  </si>
  <si>
    <t>RA_farmacovigilenta</t>
  </si>
  <si>
    <t>5.1.4.1.        Asigurarea examinării privind diagnosticul ITBL utilizând IGRA</t>
  </si>
  <si>
    <t>5.1.3.1.        Asigurarea examinării privind diagnosticul ITBL utilizând testul cutanat cu tuberculină</t>
  </si>
  <si>
    <t>Centre de microscopie Malul Stang</t>
  </si>
  <si>
    <t>Suport vizite echipa LNR</t>
  </si>
  <si>
    <t>Suport vizite echipa LR Bender</t>
  </si>
  <si>
    <t>remunerare personal, MDL</t>
  </si>
  <si>
    <t>Combust, ulei vizite monitorizare_vizite echipa LNR_Malul Drept</t>
  </si>
  <si>
    <t>Suport _vizite echipa LNR_Malul Drept</t>
  </si>
  <si>
    <t>Suport salarial_vizite echipa LNR_Malul Drept</t>
  </si>
  <si>
    <t>Combust, ulei vizite monitorizare_vizite echipa LR_Bender_Malul Stang</t>
  </si>
  <si>
    <t>Suport _vizite echipa LR_Bender_Malul Stang</t>
  </si>
  <si>
    <t>Suport salarial_vizite echipa LR_Bender_Malul Stang</t>
  </si>
  <si>
    <t>Combust, ulei vizite monitorizare_echipa PNCT_vizite Malul Drept</t>
  </si>
  <si>
    <t>Acomodare_diurne_echipa PNCT_vizite Malul Drept</t>
  </si>
  <si>
    <t>Combust, ulei vizite monitorizare_echipa PCT_Malul_Stang</t>
  </si>
  <si>
    <t>Acomodare_diurne_echipa PCT_Malul_Stang</t>
  </si>
  <si>
    <t>Combust, ulei vizite monitorizare_echipa PNCT in teritoriile de pe Malul Stang</t>
  </si>
  <si>
    <t>Acomodare_diurne_echipa PNCT in teritoriile de pe Malul Stang</t>
  </si>
  <si>
    <t>Control sumar per file</t>
  </si>
  <si>
    <t>Control sumar per buget detaliat</t>
  </si>
  <si>
    <t>3.1.5.1. Trecerea la noile regimuri de tratament per orale scurte modificate (mSTR)  cu asigurarea condițiilor pentru cercetare operațională urmată de o tranziție la practica de rutină</t>
  </si>
  <si>
    <t>Nr cursuri/an, sursa GFATM</t>
  </si>
  <si>
    <t>Nr cursuri/an, sursa CNAM?</t>
  </si>
  <si>
    <t>Cost INSTAND</t>
  </si>
  <si>
    <t>Cost Borstel</t>
  </si>
  <si>
    <t>eur</t>
  </si>
  <si>
    <t>Control extern al calitatii INSTAND</t>
  </si>
  <si>
    <t>Control extern al calitatii BORSTEL</t>
  </si>
  <si>
    <t>de concretizat LNR cite controale externe a calitatii/an pentru Borstel si alt</t>
  </si>
  <si>
    <t>Preturi altele</t>
  </si>
  <si>
    <t>Participare la instriure peste hotare</t>
  </si>
  <si>
    <t>Training of staff (abroad)</t>
  </si>
  <si>
    <t>per curs de instruire</t>
  </si>
  <si>
    <t>Instruirea echipei PNCT peste hotare</t>
  </si>
  <si>
    <t>Warehouse related costs (rent) (PSM)</t>
  </si>
  <si>
    <t>PNCT</t>
  </si>
  <si>
    <t>Mentenanta unităților de stocare a medicamentelor și dispozitivelor medicale la nivel central</t>
  </si>
  <si>
    <t>cost/an</t>
  </si>
  <si>
    <t>3.2.1. Elaborarea mecanismului de asigurarea accesului la medicamente pentru prevenirea și tratamentul reacțiilor adverse la preparatele TB</t>
  </si>
  <si>
    <t xml:space="preserve">6.1.2. Actualizarea, integrarea, menținerea și ajustarea continuă a sistemului informațional de colectare a datelor, inclusiv a sistemului informațional de M&amp;E </t>
  </si>
  <si>
    <t>6.1.3. Asigurarea vizitelor complexe de M&amp;E, inclusiv și în cadrul OSC și alte autorități publice cu rețele sanitare proprii și private</t>
  </si>
  <si>
    <t>6.1.4. Instruirea periodică a personalului din cadrul Unității de Coordonare a PNCT</t>
  </si>
  <si>
    <t>6.3.1. Instruirea continuă a personalului din diferite servicii implicate in controlul TB, inclusiv și instruirea la distanță pe platforme digitale cu obținerea certificării</t>
  </si>
  <si>
    <t>6.3.2. Instruirea prin rezidenţiat a specialiștilor în ftiziopneumologie</t>
  </si>
  <si>
    <t xml:space="preserve">6.3.3. Organizarea întrunirilor/instruirilor la nivel central și teritorial cu participarea părților implicate în controlul TB </t>
  </si>
  <si>
    <t>6.3.4. Dezvoltarea parteneriatelor cu prestatorii privați de servicii medicale</t>
  </si>
  <si>
    <t>6.3.5. Instruirea în activități de control TB a personalului, care prestează servicii nemedicale  - OSC, outreach și de la egal la egal, psihologii si managerii de caz, suporterii prin training-uri, schimb de experiență, participări la conferințe, vizite de lucru etc</t>
  </si>
  <si>
    <t>6.3.6. Planificarea resurselor umane termen mediu și lung în baza abordării pe necesități</t>
  </si>
  <si>
    <t>6.4.2. Revizuirea PCN „Tuberculoza la copil” și „Tuberculoza la adult” la necesitate</t>
  </si>
  <si>
    <t>6.4.3. Consolidarea continuă a capacității în planificarea și gestionarea aprovizionării și furnizării medicamentelor TB la toate nivelurile sistemului medical, în conformitate cu recomandările OMS</t>
  </si>
  <si>
    <t xml:space="preserve">1. Asigurarea examinării prin screening sistematic pentru TB activă a cel puțin 90% din contacți către finele anului 2025 prin asigurarea accesului universal la screening sistematic al contacților și grupurilor cu risc sporit TB, inclusiv și pentru copii  </t>
  </si>
  <si>
    <t>2. Asigurarea diagnosticului precoce al tuturor formelor de TB cu depistarea către finele anului 2025 a cel puțin 90% din numărul total estimat de cazuri cu TB RR/MDR prin asigurarea accesului universal la diagnostic precoce al tuturor formelor de TB și la testele de sensibilitate la medicamente, inclusiv utilizarea testelor rapide.</t>
  </si>
  <si>
    <t>2.3.  Asigurarea monitorizării tratamentului pacienților cu TB și TB MDR cu supravegherea rezistenței M. tuberculosis către medicamente</t>
  </si>
  <si>
    <t>3. Asigurarea tratamentului TB sensibile și TB RR/MDR cu obținerea ratei de succes printre cazurile noi și recidive TB sensibilă de cel puțin 90% şi printre cazurile de TB RR/MDR nu mai joasă de 80% către anul 2025 prin asigurarea accesului echitabil la tratament de calitate și îngrijiri continue pentru toate persoanele cu TB, inclusiv copii, prin abordare centrată pe persoană și suport în baza necesităților persoanei</t>
  </si>
  <si>
    <t>4. Asigurarea  acoperii universale si continuității serviciilor medicale, gestionare  co-morbidiăților și social-economice în baza necesitaților  persoanei prin extinderea colaborării cu programele naționale HIV, Hepatite, Droguri, Alcool, Diabet, Sănătate mentală, etc., conlucrare cu sectorul penitenciar, social și societatea civila</t>
  </si>
  <si>
    <t>5. Reducerea transmiterii TB în societate prin măsuri de profilaxie în controlul TB și asigurarea a cel puțin 95% ratei de vaccinare cu vaccinul Bacillus Calmette-Guerin la noi născuți</t>
  </si>
  <si>
    <t>6. Adoptarea politicilor și implementarea măsurilor axate pe atingerea obiectivelor de reducere a poverii TB, prin implementarea abordării centrate pe persoană, reducerea determinantelor sociale, ajustarea mecanismelor de finanțare modelului centrat pe persoană la fiecare nivel de asistență, cu implicarea OSC și a persoanelor afectate</t>
  </si>
  <si>
    <t>7. Accelerarea ratei progresului răspunsului național în atingerea țintelor stabilite prin intensificarea adoptării inovațiilor, disponibilității informațiilor strategice pentru luarea deciziilor și cercetări operaționale</t>
  </si>
  <si>
    <t>Tratament_Scheme_scurte</t>
  </si>
  <si>
    <t>verificare</t>
  </si>
  <si>
    <t xml:space="preserve">duration, month </t>
  </si>
  <si>
    <t># of units</t>
  </si>
  <si>
    <t>Unit cost, MDL</t>
  </si>
  <si>
    <t>Echipa studiului</t>
  </si>
  <si>
    <t>coordinator</t>
  </si>
  <si>
    <t>persoană</t>
  </si>
  <si>
    <t>supervisor</t>
  </si>
  <si>
    <t>clinician</t>
  </si>
  <si>
    <t>consultant</t>
  </si>
  <si>
    <t>accountant</t>
  </si>
  <si>
    <t>DOT assistant</t>
  </si>
  <si>
    <t>Initiative pentru pacienti</t>
  </si>
  <si>
    <t>Testari de laborator (hep. B, C)</t>
  </si>
  <si>
    <t>teste</t>
  </si>
  <si>
    <t>Testare  TSH</t>
  </si>
  <si>
    <t>Prezentari publice</t>
  </si>
  <si>
    <t>Coffee breaks</t>
  </si>
  <si>
    <t>Supplies for the presentation</t>
  </si>
  <si>
    <t>Birotica</t>
  </si>
  <si>
    <t>unitati/persoana</t>
  </si>
  <si>
    <t>3.1.5.2. Continuarea cercetarii operationale privind implementarea schemelor scurte de tratament</t>
  </si>
  <si>
    <t>Etape</t>
  </si>
  <si>
    <t>Descriere</t>
  </si>
  <si>
    <t>Costuri (EUR)</t>
  </si>
  <si>
    <t>Costuri (MD)</t>
  </si>
  <si>
    <t>Elaborarea studiului de fezabilitate</t>
  </si>
  <si>
    <t>Se vor documenta următoarele:
• Fezabilitatea tehnică a programulelor informatice existente, cuprins din componentele hardware, software și alte resurse tehnice;
• Fezabilitatea operațională, evaluarea motivelor pentru utilizarea unei noi soluții tehnice;
• Asigurarea interoperabilității și identificarea actorilor implicați; 
• Recomandări;</t>
  </si>
  <si>
    <t>Elaborarea caietului de sarcini</t>
  </si>
  <si>
    <t>Va descrie arhitectura sistemului informatic și va conţine explicaţii privind funcționalitățile sistemului, cerinţele faţă de programul de control, cerinţe de securitate, hardware, software, interoperabilitate;</t>
  </si>
  <si>
    <t>Elaborarea sistemului informatic</t>
  </si>
  <si>
    <t>• Autentificare
• Administare
• Tratamentul și monitorizarea pacienților TB
• Tratamentul și monitorizarea pacienților HIV
• Trimiteri
• Laborator
• Managementul stocurilor farmaceutice
• Raportare și exportarea datelor
• Analiză
• Instruire și documentare
• Jurnalizarea evenimentelor din sistem</t>
  </si>
  <si>
    <t>Migrarea și păstrarea integrității datelor din SIME-TB 1.0 în SIMETA 2.0</t>
  </si>
  <si>
    <t>Pregătirea și realizarea scenariilor de testare a sistemului informatic.</t>
  </si>
  <si>
    <t>Pregătirea și livrarea manualului utilizatorului în limba română.</t>
  </si>
  <si>
    <t>Pregătirea și livrarea manualului administratorului în limba română.</t>
  </si>
  <si>
    <t>Documentarea privind configurarea și desfășurarea sistemului.</t>
  </si>
  <si>
    <t>Documentații de instruire destinată trainerilor care vor instrui personalul medical și de management implicat.</t>
  </si>
  <si>
    <t>Asistență în perioada de testare în producție a sistemului.</t>
  </si>
  <si>
    <t>Asistență în punerea sistemului în producție.</t>
  </si>
  <si>
    <t>Suport tehnic post implementare și garanție pentru o perioadă de 12 luni.</t>
  </si>
  <si>
    <t>Etapa de implementare   a sistemului</t>
  </si>
  <si>
    <t>Va începe odată cu aprobarea procesului verbal de acceptare de   proprietarul sistemului informatic.</t>
  </si>
  <si>
    <t xml:space="preserve">Etapa de instruire </t>
  </si>
  <si>
    <t>Dezvoltatorul va asigura instruirea utilizatorilor de nivel central implicați.</t>
  </si>
  <si>
    <t>Darea în exploatare</t>
  </si>
  <si>
    <t>Începe odată cu semnarea actului de punere în exploatare a sistemului informatic și începere exploatării acestuia.</t>
  </si>
  <si>
    <t>Mentenanța sistemului</t>
  </si>
  <si>
    <t>Mentenanța va fi asigurată conform contractului semnat cu compania  IT, care va conține menținerea capacității tehnice a sistemului informatic și servicii de modificare/ajustare a acestuia.</t>
  </si>
  <si>
    <t>Cost</t>
  </si>
  <si>
    <t>Elaborarea, implementare, instriure sistemului informatic</t>
  </si>
  <si>
    <t>Interventie</t>
  </si>
  <si>
    <t>Sub_interventie</t>
  </si>
  <si>
    <t>Nr sub_interventie</t>
  </si>
  <si>
    <t>Denumire subinterventie</t>
  </si>
  <si>
    <t>Descriere subinterventie</t>
  </si>
  <si>
    <t>Examinarea persoanelor din grupurile cu risc sporit TB</t>
  </si>
  <si>
    <t>Examinarea persoanelor din contact cu bolnavii de TB</t>
  </si>
  <si>
    <t>Fila</t>
  </si>
  <si>
    <t xml:space="preserve">Examinarea prin investigatii radiologice a persoanelor din grupurile cu vigilenta sporita </t>
  </si>
  <si>
    <t>2.2.3.1 Mentenanta sistemelor de ventilare din LR in microbiologia tuberculozei</t>
  </si>
  <si>
    <t>Cost per 1 laborator</t>
  </si>
  <si>
    <t>2.2.3.2 Instruirea unui specialist in standarte securitate biologica (certificare hote)</t>
  </si>
  <si>
    <t>Cost Buget, Malul Drept</t>
  </si>
  <si>
    <t>Cost Buget, Malul Stang</t>
  </si>
  <si>
    <t>pure substances</t>
  </si>
  <si>
    <t>equipment</t>
  </si>
  <si>
    <t>consumables</t>
  </si>
  <si>
    <t>reagents</t>
  </si>
  <si>
    <t>test</t>
  </si>
  <si>
    <t>Personal Protective equipment (PPE)</t>
  </si>
  <si>
    <t>Xpert MTB/RIF test</t>
  </si>
  <si>
    <t>XpertCheck Calibration Pack for GeneXpert GX-IV 4-Module System ( 1*5pieces)</t>
  </si>
  <si>
    <t>Cost GFATM, Malul Drept</t>
  </si>
  <si>
    <t>Cost GFATM, Malul Stang</t>
  </si>
  <si>
    <t>Costurile reactivelor, echipamentului de laborator_Malul Drept</t>
  </si>
  <si>
    <t>Costurile reactivelor, echipamentului de laborator_Malul Stang</t>
  </si>
  <si>
    <t>Estimare_lab_2</t>
  </si>
  <si>
    <t>Mentenanta autoclave</t>
  </si>
  <si>
    <t>Cost, eur</t>
  </si>
  <si>
    <t>Mentenanta  BACTEC MGIT 960 System</t>
  </si>
  <si>
    <t>Cost, USD</t>
  </si>
  <si>
    <t>Mentenanta  HAIN equipment</t>
  </si>
  <si>
    <t>Cost, EUR</t>
  </si>
  <si>
    <t>Mentenanta Xpert</t>
  </si>
  <si>
    <t>Works (calibration)</t>
  </si>
  <si>
    <t>Works (replacement module)</t>
  </si>
  <si>
    <t xml:space="preserve">Estimated cost per module (apportioned to all machines) per year: USD 190. </t>
  </si>
  <si>
    <t>* vezi fila Echipament Xpert</t>
  </si>
  <si>
    <t>cost unitar</t>
  </si>
  <si>
    <t>luni</t>
  </si>
  <si>
    <t xml:space="preserve">Local cosultancy </t>
  </si>
  <si>
    <t>Row Labels</t>
  </si>
  <si>
    <t/>
  </si>
  <si>
    <t>Co_trim_linia I_Malul_Stang_civil+penit_adulti</t>
  </si>
  <si>
    <t>Sum of 2021</t>
  </si>
  <si>
    <t>Sum of 2022</t>
  </si>
  <si>
    <t>Sum of 2023</t>
  </si>
  <si>
    <t>Sum of 2024</t>
  </si>
  <si>
    <t>Sum of 2025</t>
  </si>
  <si>
    <t>Sum of Cost sumar activitate 2021-2025</t>
  </si>
  <si>
    <t>Fila sursa</t>
  </si>
  <si>
    <t>3.1.5.1. Curs de instriuire trecerea la scheme scurte pentru medici ftitiopneumologie din teritoriu</t>
  </si>
  <si>
    <t>Coverage with Co-tr treantement</t>
  </si>
  <si>
    <t>% of Co-tr treatment</t>
  </si>
  <si>
    <t>Consultant național pentru supervizarea echipelor multidisciplinare (18 vizite pe luna - estimat 770 MDL per vizita/zi )</t>
  </si>
  <si>
    <t xml:space="preserve">Costuri de transport combustibil (18 vizite lunar cu media pentru o vizita 1302 MDL) </t>
  </si>
  <si>
    <t>3.3.1.2. Vizitele de supervizare abilitantă a echipelor multidisciplinare (consultant national)</t>
  </si>
  <si>
    <t>cost unitate</t>
  </si>
  <si>
    <t xml:space="preserve">nr. Unit </t>
  </si>
  <si>
    <t>Consultatia primara a  psihologului</t>
  </si>
  <si>
    <t>Vizite la domiciliu de catre psiholog impreuna cu echipa</t>
  </si>
  <si>
    <t>Consilierea de catre psiholog a membrilor familei</t>
  </si>
  <si>
    <t>Consilieri de  grup efectuate de psiholog</t>
  </si>
  <si>
    <t>Consultatia asistentului social, ancheta primara la domiciliu a conditiilor si necesitatilor</t>
  </si>
  <si>
    <t>Consultatia asistentului social tratamentului</t>
  </si>
  <si>
    <t>contabil</t>
  </si>
  <si>
    <t>conducator auto</t>
  </si>
  <si>
    <t>ingrijitor de incaperi</t>
  </si>
  <si>
    <t>consum de regie</t>
  </si>
  <si>
    <t>Forme pentru adulti MS_peniteciare</t>
  </si>
  <si>
    <t>Forme pentru adulti MS_civil</t>
  </si>
  <si>
    <t>Costificare servicii Centre comunitare TB in conformitate cu numarul de beneficiari</t>
  </si>
  <si>
    <t>Cazuri sensibile si PDR</t>
  </si>
  <si>
    <t>% acoperire</t>
  </si>
  <si>
    <t>Cazuri sensibile si PDR beneficiari ai Centrelor comunitare</t>
  </si>
  <si>
    <t>Cost per beneficiar</t>
  </si>
  <si>
    <t>Malul Stang, Cazuri sensibile si PDR</t>
  </si>
  <si>
    <t>Cazuri MDR/pre XDR</t>
  </si>
  <si>
    <t>Malul Stang, Cazuri MDR/pre XDR</t>
  </si>
  <si>
    <t>Cazuri MDR/pre XDR beneficiari ai Centrelor comunitare</t>
  </si>
  <si>
    <t>3.3.1.1. Servicii acordate prin intermediul echipelor multidisciplinare ale Centrelor comunitare TB, Malul Stang</t>
  </si>
  <si>
    <t>3.3.1.3. Elaborare PSO abordare multidisciplinara</t>
  </si>
  <si>
    <t>Costificarea suportului motivational, stimulente</t>
  </si>
  <si>
    <t>Malul Drept, Cazuri sensibile si PDR</t>
  </si>
  <si>
    <t>Malul Drept Cazuri MDR/pre XDR</t>
  </si>
  <si>
    <t>% initiere ambulator</t>
  </si>
  <si>
    <t>Cheltuieli de transport</t>
  </si>
  <si>
    <t>Tichet alimentar</t>
  </si>
  <si>
    <t>Cost zi, MDL</t>
  </si>
  <si>
    <t>Luni</t>
  </si>
  <si>
    <t>Lunar, MDL</t>
  </si>
  <si>
    <t>Spitalizare, luni (conform spitalizarilor din SIME TB)</t>
  </si>
  <si>
    <t>Cazuri cu tratament initiat ambulator, a. 2019</t>
  </si>
  <si>
    <t>Zile</t>
  </si>
  <si>
    <t>nr estimat pacienti, care vor incepe tratament in ambulator</t>
  </si>
  <si>
    <t>pentru stimulente CNAM vom creste nr de cei cu initiere ambulator, sau vom micsora durata spitalizarii?</t>
  </si>
  <si>
    <t>nr estimat pacienti, care vor incepe tratament in stationar</t>
  </si>
  <si>
    <t>Total MDL, pacienti, care vor incepe tratament in ambulator</t>
  </si>
  <si>
    <t>Total MDL, pacienti care vor incepe tratament in stationar</t>
  </si>
  <si>
    <t>% aderenta</t>
  </si>
  <si>
    <t>6.1.1.1. Elaborarea PSO pentru Monitorizare si Evaluare PNCT de către Departamentul de coordonare PNCT, inclusiv cu implicarea OSC</t>
  </si>
  <si>
    <t>Procurement of VOT equipment for patients</t>
  </si>
  <si>
    <t>VOT communication costs (Cover mobile internet (monthly fee))</t>
  </si>
  <si>
    <t xml:space="preserve">3.3.3.1. Procurare echipament VOT si servicii internet </t>
  </si>
  <si>
    <t>3.3.3.2. Elaborare materiale informationale VOT</t>
  </si>
  <si>
    <t>3.3.3.3 Multiplicarea si distribuirea pacientilor ghidului VOT</t>
  </si>
  <si>
    <t>Printing of VOT User's guidelines for patients and medical staff and IEC materials</t>
  </si>
  <si>
    <t>3.3.3.4. Curs de instruire VOT</t>
  </si>
  <si>
    <t>Vizite/an</t>
  </si>
  <si>
    <t>3.3.3.3. Multiplicarea si distribuirea pacientilor ghidului VOT</t>
  </si>
  <si>
    <t>Deployment of VOT system on NTP server</t>
  </si>
  <si>
    <t>Aderenta_VOT</t>
  </si>
  <si>
    <t>manager proiect</t>
  </si>
  <si>
    <t>Cost per beneficiar/luna</t>
  </si>
  <si>
    <t>4.1.1.1. Elaborarea unui mecanism multisectorial de responsabilizare</t>
  </si>
  <si>
    <t>4.1.1.2. Sedinte cu privire la mecanism multisectorial de responsabilizare</t>
  </si>
  <si>
    <t>Activ_colaborative</t>
  </si>
  <si>
    <t>4.1.2.1. Elaborarea unui mecanism de parteneriat colaborativ la nivel de comunități prin implicarea OSC și APL</t>
  </si>
  <si>
    <t>4.1.2.2. Sedinte cu privire la mecanism multisectorial de responsabilizare</t>
  </si>
  <si>
    <t>4.1.2.2. Sedinte cu privire la parteneriat colaborativ la nivel de comunități prin implicarea OSC și APL</t>
  </si>
  <si>
    <t>4.2.1.1.  Elaborarea regulamentului de servicii integrate la nivel teritorial in corespundere cu necesitatile persoanei cu co-morbiditati.</t>
  </si>
  <si>
    <t>4.2.1.2. Sedinte cu privire la servicii integrate la nivel teritorial in corespundere cu necesitatile persoanei cu co-morbiditati.</t>
  </si>
  <si>
    <t>Alocat GFATM 2021-2023</t>
  </si>
  <si>
    <t>rest</t>
  </si>
  <si>
    <t>la moment nebugetati</t>
  </si>
  <si>
    <t>Sumar pe file control</t>
  </si>
  <si>
    <t xml:space="preserve">4.2.2.1. Curs de instruire pentru depistarea, diagnosticul, tratamentul și prevenirea TB în rândul persoanelor cu patologie combinată: TB/hepatită virală, TB/boală mintală, TB/diabet </t>
  </si>
  <si>
    <t xml:space="preserve">4.2.2.2. Seminare zonale pentru depistarea, diagnosticul, tratamentul și prevenirea TB în rândul persoanelor cu patologie combinată: TB/hepatită virală, TB/boală mintală, TB/diabet </t>
  </si>
  <si>
    <t>Servicii integrate CDI</t>
  </si>
  <si>
    <t>Daca includem totusi si pachetul de servicii prevenire de la HIV si suportul si aderenta?</t>
  </si>
  <si>
    <t>Consultatia outreach (sesiune de consiliere pre screening 20 min)</t>
  </si>
  <si>
    <t xml:space="preserve">20 minute </t>
  </si>
  <si>
    <t>Consultatia outreach (sesiune screening TB, 30 min)</t>
  </si>
  <si>
    <t>1 ora de lucru</t>
  </si>
  <si>
    <t>Consultatie outreach (sesiune de informare si oferire de material info)</t>
  </si>
  <si>
    <t>4 ore lucratoare</t>
  </si>
  <si>
    <t>Consultatie outreach (sesiune consiliere postscreening pozitiv)</t>
  </si>
  <si>
    <t>50 lei o persoana intro directie</t>
  </si>
  <si>
    <t>Insotire de catre outreach la AMP</t>
  </si>
  <si>
    <t>2 ore lucratore</t>
  </si>
  <si>
    <t>Insotire la X ray si consultatia ftiziopneumologului, narcologului, infectionistului dupa caz</t>
  </si>
  <si>
    <t>1 ora dureaza sedinta</t>
  </si>
  <si>
    <t>Cost transport la Xray</t>
  </si>
  <si>
    <t>0.5 ore de consiliere psihologica</t>
  </si>
  <si>
    <t>Consultatia lucratorului social (impreuna cu medicina primara, APL , epidemiologul vor identifica lista celor care trebuie investigati)</t>
  </si>
  <si>
    <t>CDI</t>
  </si>
  <si>
    <t>Sedinta de grup (informare despre TB si importanta testarii)</t>
  </si>
  <si>
    <t>numarul estimat</t>
  </si>
  <si>
    <t>Consultatia psihologului</t>
  </si>
  <si>
    <t>Testare la HIV/sifilis</t>
  </si>
  <si>
    <t>Anul 1</t>
  </si>
  <si>
    <t>Anul 2</t>
  </si>
  <si>
    <t>Anul 3</t>
  </si>
  <si>
    <t>Anul 4</t>
  </si>
  <si>
    <t>Anul 5</t>
  </si>
  <si>
    <t>Testare la HVC</t>
  </si>
  <si>
    <t>42.3% baseline in 2019(in programe de prevenire HIV</t>
  </si>
  <si>
    <t>numar CDI acoperiti</t>
  </si>
  <si>
    <t>include utilitati, rechizite de birou, intretinere, combistibil, taxe, etc</t>
  </si>
  <si>
    <t>Servicii integrate PTH</t>
  </si>
  <si>
    <t>PTH</t>
  </si>
  <si>
    <t>14589 baseline 2019, acoperiti 9407 - 64.48%</t>
  </si>
  <si>
    <t>numar estimat</t>
  </si>
  <si>
    <t>tinte stabilite</t>
  </si>
  <si>
    <t>numar PTH acoperiti</t>
  </si>
  <si>
    <t>Testare la sifilis</t>
  </si>
  <si>
    <t>Servicii integrate PAFA</t>
  </si>
  <si>
    <t>PAFA</t>
  </si>
  <si>
    <t>3500 baseline</t>
  </si>
  <si>
    <t>numar PAFA acoperiti</t>
  </si>
  <si>
    <t>4.2.3.1.  Asigurarea platformelor de servicii integrate de prevenire si suport pentru CDI la nivel de OSC și comunitar</t>
  </si>
  <si>
    <t>4.2.3.2.  Asigurarea platformelor de servicii integrate de prevenire si suport pentru PTH la nivel de OSC și comunitar</t>
  </si>
  <si>
    <t>4.2.3.3.  Asigurarea platformelor de servicii integrate de prevenire si suport pentru PAFA la nivel de OSC și comunitar</t>
  </si>
  <si>
    <t>4.2.2. Fortificarea acțiunilor colaborative  pentru depistarea, diagnosticul, tratamentul și prevenirea TB în rândul persoanelor cu patologie combinată: TB_HV, TB_boală mintală, TB_DZ, etc., inclusiv în rândul grupurilor vulnerabile</t>
  </si>
  <si>
    <t xml:space="preserve"> Type of payment  </t>
  </si>
  <si>
    <t>Persons</t>
  </si>
  <si>
    <t>Local Consultancy fee (3.1)</t>
  </si>
  <si>
    <t xml:space="preserve">Subtotal </t>
  </si>
  <si>
    <t>5.2.1.1. Consultat activități de informare și schimbare a atitudinilor  și comportamentelor la nivel național si local</t>
  </si>
  <si>
    <t>Cost unitate</t>
  </si>
  <si>
    <t>Contests for mass media</t>
  </si>
  <si>
    <t>cost</t>
  </si>
  <si>
    <t>quantity</t>
  </si>
  <si>
    <t>total per event / task</t>
  </si>
  <si>
    <t>Prizes for winners</t>
  </si>
  <si>
    <t>Award ceremony - Meeting costs</t>
  </si>
  <si>
    <t>Nr evenimente/an</t>
  </si>
  <si>
    <t>Informare</t>
  </si>
  <si>
    <t>5.2.1.2. Organizarea comisiei parlamentare "Comisia protecţie socială, sănătate şi familie " pentru discutarea problemelor TB cu invitarea conducatorilor canalelor TV si a conducerii consiliului audiovizualului, avind drept scop de baza obtinearea transmiterii gratuite sau la o reducere accesibila a materialilor info vide si audio privind TB</t>
  </si>
  <si>
    <t>5.2.1.3. Sedinte, cu participarea APL privind situatia epidemiologica din teritoriu cu participare multisectoriala</t>
  </si>
  <si>
    <t>5.2.1.4. Concursuri la nivel de APL pentru cel mai bun plan de informare a populatiei despre TB</t>
  </si>
  <si>
    <t xml:space="preserve">5.2.1.5. Conferinta anuala dedicata zilei de 24 martie </t>
  </si>
  <si>
    <t>5.2.2.1.  Consultant national in informare și schimbare a atitudinilor la nivel național si local</t>
  </si>
  <si>
    <t>Pret unitate, MDL
Unit cost, MDL</t>
  </si>
  <si>
    <t>Price for elaboration (revision or/and translation), euro</t>
  </si>
  <si>
    <t>Price for design and layout, per item, euro</t>
  </si>
  <si>
    <t>Tuberculoza la adulți , pliant, rom.</t>
  </si>
  <si>
    <t>Tuberculoza la copii , pliant, rom.</t>
  </si>
  <si>
    <t>Tuberculoza la adulți , pliant, rus.</t>
  </si>
  <si>
    <t>Tuberculoza la copii , pliant, rus.</t>
  </si>
  <si>
    <t xml:space="preserve">Tusiti corect, pliant, rom. </t>
  </si>
  <si>
    <t>Tusiti corect, pliant, rus.</t>
  </si>
  <si>
    <t>TB nu este sentinta (nunta), pliant, rom.</t>
  </si>
  <si>
    <t>TB nu este sentinta (nunta), pliant, rus.</t>
  </si>
  <si>
    <t>Simptomele TB, flyer, rom/rus</t>
  </si>
  <si>
    <t>Simptomele TB (pentru migranti), flyer, rom/rus</t>
  </si>
  <si>
    <t>Cum este transmisă tuberculoza, flyer, rom.</t>
  </si>
  <si>
    <t>Cum este transmisă tuberculoza, flyer, rus.</t>
  </si>
  <si>
    <t>Tuberculoza la adulți , poster, rom.</t>
  </si>
  <si>
    <t xml:space="preserve">Tuberculoza la copii, poster, rom. </t>
  </si>
  <si>
    <t xml:space="preserve">Tusiti corect, poster, rom. </t>
  </si>
  <si>
    <t>Tusiti corect, poster, rus.</t>
  </si>
  <si>
    <t>Cum este transmisă tuberculoza, poster, rom.</t>
  </si>
  <si>
    <t>Cum este transmisă tuberculoza, poster, rus.</t>
  </si>
  <si>
    <t>Simptomele tuberculozei, poster, rom.</t>
  </si>
  <si>
    <t>Simptomele tuberculozei, poster, rus.</t>
  </si>
  <si>
    <t>Simptomele tuberculozei, calendar-poster, rom.</t>
  </si>
  <si>
    <t>Simptomele tuberculozei, calendar-poster, rus.</t>
  </si>
  <si>
    <t>Calendar-buzunar „Simptomele tuberculozei”,  rom.</t>
  </si>
  <si>
    <t>Calendar-buzunar „Simptomele tuberculozei”,  rus.</t>
  </si>
  <si>
    <t>Сalendar de perete „Sănătatea ta în mâinile tale”, rom.</t>
  </si>
  <si>
    <t>Сalendar de perete  „Твое здоровье – в твоих руках”, rus.</t>
  </si>
  <si>
    <t>Calendar de masa „Sănătatea ta în mâinile tale ”, rom.</t>
  </si>
  <si>
    <t>Calendar de masa „Твое здоровье – в твоих руках”, rus.</t>
  </si>
  <si>
    <t>Tuberculoza: intrebari si raspunsuri, brosura, rom./rus.</t>
  </si>
  <si>
    <t>Tuberculoza: intrebari si raspunsuri, brosura, rus.</t>
  </si>
  <si>
    <t>Mituri despre tuberculoza, brosura, rom.</t>
  </si>
  <si>
    <t>Mituri despre tuberculoza, brosura, rus.</t>
  </si>
  <si>
    <t>Ghid pentru bolnavi cu TB, brosura, rom./rus.</t>
  </si>
  <si>
    <t>Ghid pentru bolnavi cu TB, brosura, rus.</t>
  </si>
  <si>
    <t>Tuberculoza la copii, brosura, rom./rus.</t>
  </si>
  <si>
    <t>Tuberculoza la copii, brosura, rus.</t>
  </si>
  <si>
    <t>Tratament ambulator, pliant, rom</t>
  </si>
  <si>
    <t>Tratament ambulator, pliant, rus</t>
  </si>
  <si>
    <t>Ghid pentru bolnavi cu MDR-TB, brosura, rom./rus.</t>
  </si>
  <si>
    <t>Ghid pentru bolnavi cu MDR-TB, brosura, rus.</t>
  </si>
  <si>
    <t>Colectarea sputei, poster, rom.</t>
  </si>
  <si>
    <t>Colectarea sputei, poster, rus.</t>
  </si>
  <si>
    <t>Despre tuberculoza pentru PTHIV, brosura, rom.</t>
  </si>
  <si>
    <t>Despre tuberculoza pentru PTHIV, brosura, rus.</t>
  </si>
  <si>
    <t>Despre HIV pentru bolnavi cu TB, brosura, rom./rus.</t>
  </si>
  <si>
    <t>Despre HIV pentru bolnavi cu TB, brosura, rus.</t>
  </si>
  <si>
    <t>Despre TB pentru migranti, pliant, rom.</t>
  </si>
  <si>
    <t>Despre TB pentru migranti, pliant, rus.</t>
  </si>
  <si>
    <t>Я победил туберкулез: истории успеха, брошюра, рум./рус.</t>
  </si>
  <si>
    <t>Туберкулез и я (условное название): история пациента, брошюра, рум.</t>
  </si>
  <si>
    <t>Памятка волонтерам, участвующим в информационных кампаниях по ТБ, брошюра, рум.</t>
  </si>
  <si>
    <t>Памятка для лиц, осуществляющих ДОТ, рум.</t>
  </si>
  <si>
    <t>Памятка для лиц, осуществляющих ДОТ, рус.</t>
  </si>
  <si>
    <t>Denumirea material informational</t>
  </si>
  <si>
    <t>Nr pagini</t>
  </si>
  <si>
    <t>Unitati</t>
  </si>
  <si>
    <t>Pret unitate</t>
  </si>
  <si>
    <t>Cost total editare, MDL</t>
  </si>
  <si>
    <t>Depistarea tuberculozei active: ghid operațional, brosura, rom.</t>
  </si>
  <si>
    <t>Depistarea tuberculozei active:ghid operațional, brosura, rus.</t>
  </si>
  <si>
    <t>Materiale informative elaborate anterior</t>
  </si>
  <si>
    <t xml:space="preserve">Materiale informative noi, elaborare si printare </t>
  </si>
  <si>
    <t>Perioada de editare a setului de materiale informative</t>
  </si>
  <si>
    <t xml:space="preserve">5.2.2.2.  Elaborare, printare, editare materiale informative </t>
  </si>
  <si>
    <t>Set de materiale informationale</t>
  </si>
  <si>
    <t>Billboards production</t>
  </si>
  <si>
    <t>Light boxes production</t>
  </si>
  <si>
    <t>Outdoor advertising maintenance</t>
  </si>
  <si>
    <t>Audio spots production</t>
  </si>
  <si>
    <t>Video spots production</t>
  </si>
  <si>
    <t>5.2.3.1. Elaborarea materialelor video si audio privind tuberculoza</t>
  </si>
  <si>
    <t>5.2.3.2. Realizarea a 2 campanii de informare cu difuzarea materialelor audio si video</t>
  </si>
  <si>
    <t>6.2.1.1. Organizarea a 2 sedinte/mese rotunde cu participarea unui consultant international, pentru a discuta si facilita optimizarea serviciului spitalicesc</t>
  </si>
  <si>
    <t>Sisteme_de_sanatate</t>
  </si>
  <si>
    <t>6.2.3.1. Elaborarea pachetelor de servicii TB care sa corespunda cu rigorile MSMPS, CNAM si elaborate mecanismele de contractare a acestor servicii</t>
  </si>
  <si>
    <t>6.2.4.1.  Asigurarea mentenanței staționarelor</t>
  </si>
  <si>
    <t>IMSP Institutul de Ftiziopneumologie "Chiril Draganiuc"</t>
  </si>
  <si>
    <t>Spitalul Clinic Municipal de Ftiziopneumologie</t>
  </si>
  <si>
    <t>Spitalul Clinic municipal Balti</t>
  </si>
  <si>
    <t>Executat_2019, MDL</t>
  </si>
  <si>
    <t>Executat_2019/zile-pat</t>
  </si>
  <si>
    <t>LNR</t>
  </si>
  <si>
    <t>LR Balti</t>
  </si>
  <si>
    <t>6.2.4.2.  Asigurarea mentenanței laboratoarelor in microbiologia tuberculozei</t>
  </si>
  <si>
    <t>6.2.2.1. Fortificarea si extinderea rolului serviciului ftiziopneumologic teritorial in managementul clinic al cazurilor TB care nu necesită spitalizare</t>
  </si>
  <si>
    <t>Cost unitate/an</t>
  </si>
  <si>
    <t>Nr specialisti ingineri</t>
  </si>
  <si>
    <t xml:space="preserve">6.2.5.1. Asigurarea mentenanței echipamentelor din cadrul staționarelor și subdiviziunilor de profil, contractare specialisti </t>
  </si>
  <si>
    <t>6.2.5.2. Asigurarea mentenanței echipamentelor din cadrul laboratoarelor in microbiologia tuberculozei</t>
  </si>
  <si>
    <t>6.2.6.1. Consultanta internationala si nationala in elaborarea mecanismului de raportare a cheltuielilor faptice pentru realizarea activităților PNCT la fiecare nivel din sistemul de sănătate</t>
  </si>
  <si>
    <t>Cost echipament si reparatie</t>
  </si>
  <si>
    <t>6.3.2.1. Instruirea prin rezidenţiat a specialiștilor în ftiziopneumologie</t>
  </si>
  <si>
    <t>6.3.3.1. Organziarea seminarelor zonale</t>
  </si>
  <si>
    <t>6.3.5.1. Instruirea în activități de control TB a personalului, care prestează servicii nemedicale  - OSC, outreach și de la egal la egal, psihologii si managerii de caz, suporterii prin training-uri.</t>
  </si>
  <si>
    <t>6.3.5.2. Instruirea în activități de control TB a personalului, care prestează servicii nemedicale  - OSC, outreach și de la egal la egal, psihologii si managerii de caz, suporterii prin training-uri peste hotarele tarii</t>
  </si>
  <si>
    <t>6.3.5. Instruirea în activități de control TB a personalului, care prestează servicii nemedicale  - OSC, outreach și de la egal la egal, psihologii si managerii de caz, suporterii</t>
  </si>
  <si>
    <t>6.3.6.1. Consultant in planificarea resurselor umane termen mediu și lung în baza abordării pe necesități</t>
  </si>
  <si>
    <t>6.5.1.1. Consultant elaborare și implementare a mecanismelor de contractare în cadrul fondurilor de stat sau a altor mecanisme de finanțare relevante pentru OSC-uri .</t>
  </si>
  <si>
    <t>asistent DOT/outreach ( supravegherea DOT la domiciliu)</t>
  </si>
  <si>
    <t>Cercetare sociolologica</t>
  </si>
  <si>
    <t xml:space="preserve">Nuber of units </t>
  </si>
  <si>
    <t>Total cost</t>
  </si>
  <si>
    <t>Study coordinators</t>
  </si>
  <si>
    <t>Accountant</t>
  </si>
  <si>
    <t>Field supervisors</t>
  </si>
  <si>
    <t>Methods design, including questionnaire development</t>
  </si>
  <si>
    <t>Pre-testing of questionnaires and adjustment</t>
  </si>
  <si>
    <t>Translation from Romanian into Russian</t>
  </si>
  <si>
    <t>Remuneration of interviewers</t>
  </si>
  <si>
    <t>Travel costs</t>
  </si>
  <si>
    <t>Development of data entry software</t>
  </si>
  <si>
    <t>Data coding and validation</t>
  </si>
  <si>
    <t>Data entry (double)</t>
  </si>
  <si>
    <t>Data analysis</t>
  </si>
  <si>
    <t>Report writing</t>
  </si>
  <si>
    <t>Translation report  from Romanian into Russian and English</t>
  </si>
  <si>
    <t xml:space="preserve">Preparation for printing (includes design, editing, preparation for printing </t>
  </si>
  <si>
    <t>Publication of the report (2 color, combined)</t>
  </si>
  <si>
    <t xml:space="preserve">TOTAL </t>
  </si>
  <si>
    <t>6.5.3.1. Contractarea unei companii sociologice pentru studiu "Documentarea barierelor de acces (financiare, stigma, DO, gen) și estimarea mărimii populațiilor cheie"</t>
  </si>
  <si>
    <t>6.5.3.2 Masa rotunda pentru discutarea rezultatelor cercetarii operationale privind accesul la servicii si stabilirea unui plan de actiuni.</t>
  </si>
  <si>
    <t>6.5.3.3. Revizuirea actelor normative pentru inlaturarea barierelor la accesul la servicii constatate in cadrul cercetarii operationale. Vor fi contractati 3 consultanti nationali (MSMPS, jurist, ONG)</t>
  </si>
  <si>
    <t>6.5.3.4. Realizarea exercitiului de estimare a marimii populatiilor cheie</t>
  </si>
  <si>
    <t>6.5.4.1. Granturi mici  - OSC în reducerea barierelor și asigurarea accesului grupurilor cheie la servicii TB</t>
  </si>
  <si>
    <t xml:space="preserve">6.6.1.1. Granturi mici - Fortificarea controlului TB în penitenciare, acompanierea și suportul persoanelor eliberate din detenție în asigurarea continuității tratamentului, inclusiv prin implicarea OSC </t>
  </si>
  <si>
    <t>6.6.2.3. Sesiuni informationale cu serviciile de graniceri si vamale despre TB</t>
  </si>
  <si>
    <t>6.6.3.1. Elaborarea PSO pentru conduita cazului de TB la solicitanții de azil, inclusiv de transfer transfrontalier a cazului TB</t>
  </si>
  <si>
    <t>6.7.1.1. Traducere si multiplicare Carta pacientului TB și Declarația Drepturilor Persoanelor cu TB</t>
  </si>
  <si>
    <t>6.7.1.2. Elaborarea unui spot video</t>
  </si>
  <si>
    <t>6.7.2.1. Ajustare sistem VOT</t>
  </si>
  <si>
    <t xml:space="preserve"> </t>
  </si>
  <si>
    <t>6.7.3.1. Organizarea instruirilor pentru persoanele care urmează tratament TB în utilizarea aplicațiilor;</t>
  </si>
  <si>
    <t xml:space="preserve">6.7.3.2. Dezvoltarea și implementarea mecanismelor de monitorizare a calității serviciilor TB în raport cu respectarea drepturilor pacientului </t>
  </si>
  <si>
    <t xml:space="preserve">6.7.3.4. Dezvoltarea și implementarea mecanismelor de monitorizare a calității serviciilor TB în raport cu respectarea drepturilor pacientului </t>
  </si>
  <si>
    <t xml:space="preserve">6.7.3.3. Dezvoltarea unui algoritm de schimb de date intre PNCT si ONG.
</t>
  </si>
  <si>
    <t>591 cazuri din 1819 initiat ambulator in 2019</t>
  </si>
  <si>
    <t>42 cazuri din 889 initiat ambulator in 2019</t>
  </si>
  <si>
    <t>medici ftiziopneumologi din teritoriu</t>
  </si>
  <si>
    <t>3.3.1.4. Curs de instruire organizarea lucrului echipei multidisciplinare</t>
  </si>
  <si>
    <t>Beneficiari VOT</t>
  </si>
  <si>
    <t>Cost unitar, MDL</t>
  </si>
  <si>
    <t>Centre VOT</t>
  </si>
  <si>
    <t>exemplare</t>
  </si>
  <si>
    <t>cost unitate, MDL</t>
  </si>
  <si>
    <t>50%  din pacienti in tratament</t>
  </si>
  <si>
    <t>pentru revizuirea materialelor informationale</t>
  </si>
  <si>
    <t>Costuri istorice</t>
  </si>
  <si>
    <t>IEC materials for DR-TB prevention and control: outdoor advertising production and maintenance</t>
  </si>
  <si>
    <t>Costificare echipament</t>
  </si>
  <si>
    <t>sursa TB Rep</t>
  </si>
  <si>
    <t>similar TB regional 30000 euro</t>
  </si>
  <si>
    <t>asistenti DOT din 47 locatii, circa 100 annual</t>
  </si>
  <si>
    <t>e inclus mentenanta sistemului VOT</t>
  </si>
  <si>
    <t>6.7.3.2. Dezvoltarea și implementarea mecanismelor de monitorizare a calității serviciilor TB în raport cu respectarea drepturilor pacientului (mentenata sistem VOT)</t>
  </si>
  <si>
    <t>Postere, unitati</t>
  </si>
  <si>
    <t xml:space="preserve">Development of VOT promotion/awareness materials </t>
  </si>
  <si>
    <t>sursa pretului grantul regional</t>
  </si>
  <si>
    <t>cost revazut</t>
  </si>
  <si>
    <t>Units/year</t>
  </si>
  <si>
    <t>suplimentare in acest eveniment</t>
  </si>
  <si>
    <t xml:space="preserve">Numar de zile contractare/an
</t>
  </si>
  <si>
    <t xml:space="preserve">IIEC materials for DR-TB prevention and control: audio and video materials broadcasting </t>
  </si>
  <si>
    <t>Audio spots broadcasting</t>
  </si>
  <si>
    <t>Video spots broadcasting</t>
  </si>
  <si>
    <t>total cost, MDL</t>
  </si>
  <si>
    <t>169 liber</t>
  </si>
  <si>
    <t>Nr /an</t>
  </si>
  <si>
    <t>spatiu mare, adica plata de 2 ori mai mare pentru acest tip de eveniment</t>
  </si>
  <si>
    <t>Nr exemplare/an</t>
  </si>
  <si>
    <t>Traducere</t>
  </si>
  <si>
    <t>Editare, printare</t>
  </si>
  <si>
    <t xml:space="preserve">Pagini </t>
  </si>
  <si>
    <t>Cost istoric PAS</t>
  </si>
  <si>
    <t>Cost/vizita</t>
  </si>
  <si>
    <t>Nr centre comunitarea, Malul Stang</t>
  </si>
  <si>
    <t>Nr vizite/centru/an</t>
  </si>
  <si>
    <t>Cost total/an</t>
  </si>
  <si>
    <t>Cost estimativ al unui set inteligenta artificiala</t>
  </si>
  <si>
    <t>Cost estimativ suplimentar al unei investigatii cu IA</t>
  </si>
  <si>
    <t>usd</t>
  </si>
  <si>
    <t>Cost IA pentru toate utilajele</t>
  </si>
  <si>
    <t>Nr investigatii/an</t>
  </si>
  <si>
    <t>Cost procurare IA, an</t>
  </si>
  <si>
    <t>Costificare Malul Drept</t>
  </si>
  <si>
    <t>Cost investigatii IA/an</t>
  </si>
  <si>
    <t>Costificare Malul Stang</t>
  </si>
  <si>
    <t xml:space="preserve">3.2.3.1. Asigurarea farmacovigilenței active cu elaborarea și implementarea PSO pentru aDSM </t>
  </si>
  <si>
    <r>
      <t>I</t>
    </r>
    <r>
      <rPr>
        <b/>
        <sz val="14"/>
        <color rgb="FF000000"/>
        <rFont val="Arial"/>
        <family val="2"/>
        <charset val="204"/>
      </rPr>
      <t xml:space="preserve"> </t>
    </r>
  </si>
  <si>
    <r>
      <t>A</t>
    </r>
    <r>
      <rPr>
        <b/>
        <sz val="14"/>
        <color rgb="FF000000"/>
        <rFont val="Arial"/>
        <family val="2"/>
        <charset val="204"/>
      </rPr>
      <t xml:space="preserve"> </t>
    </r>
  </si>
  <si>
    <r>
      <t>B</t>
    </r>
    <r>
      <rPr>
        <b/>
        <sz val="14"/>
        <color rgb="FF000000"/>
        <rFont val="Arial"/>
        <family val="2"/>
        <charset val="204"/>
      </rPr>
      <t xml:space="preserve"> </t>
    </r>
  </si>
  <si>
    <t>de pus cei cu TB din penitenciare</t>
  </si>
  <si>
    <t xml:space="preserve">TB Consultant </t>
  </si>
  <si>
    <t xml:space="preserve">HIV Consultant </t>
  </si>
  <si>
    <t xml:space="preserve">Mortality Consultant </t>
  </si>
  <si>
    <t xml:space="preserve">IT Consultant </t>
  </si>
  <si>
    <t>de verificat nr de exemplare si pagini</t>
  </si>
  <si>
    <t>Cost studiu</t>
  </si>
  <si>
    <t>Divergente</t>
  </si>
  <si>
    <t>La moment nu este inclus in costificare, urmeaza de discutat cu Programul HIN</t>
  </si>
  <si>
    <t xml:space="preserve">Costurile includ: 1. Etapa în pregătirea unui medic, constând într-un stagiu de practică și specializare în spital, imediat după absolvirea facultății (rezidențiat); 2. Salariul de funcție lunar de medic rezident. </t>
  </si>
  <si>
    <t>Numărul estimativ de medici rezidenți instruiți prin rezidențiat (pe an)</t>
  </si>
  <si>
    <t>Costurile studiilor prin rezidențiat, specialitatea Ftiziopneumologie (costurile pe an, lei)</t>
  </si>
  <si>
    <t>Salariu de funcție, medic rezident pe lună (lei)</t>
  </si>
  <si>
    <t>Numar unități</t>
  </si>
  <si>
    <t>cost total euro</t>
  </si>
  <si>
    <t>One day trainig, 25 participants</t>
  </si>
  <si>
    <t xml:space="preserve"> 1 day workshop, for 25 participants: moderators fee x 2 facilitators x2 days x 1 workshops x 55 euro</t>
  </si>
  <si>
    <t>days</t>
  </si>
  <si>
    <t>Travel refund for participants attending seminars: 20 participants x 1 trainings x 8 euro (return)</t>
  </si>
  <si>
    <t>person</t>
  </si>
  <si>
    <t>Coffee breaks provided during seminars: 25 participants x 2 times per day x1 day x 4 euro</t>
  </si>
  <si>
    <t>Meals lunch  provided during seminars: 25 participants x 2 per day x 1 day x 9 euro</t>
  </si>
  <si>
    <t>Materials and office supplies for facilitators' work and participants's kit (A4 paper, toner/cartidge, pens, folder, highlighters etc.): 25 participants x 2 euro</t>
  </si>
  <si>
    <t>person/meeting</t>
  </si>
  <si>
    <t>Rental fees for premises and equipment 1 seminar  x 2 days x 40 euro</t>
  </si>
  <si>
    <t>day</t>
  </si>
  <si>
    <t>Transportation costs (return) for organizing team and moderators (mini-van) to workshops' and trainings' locations: vehicle &amp; fuel 80 km x 0.2 euro</t>
  </si>
  <si>
    <t>km</t>
  </si>
  <si>
    <t>Secretarial support &amp; coordination, incidental  (5%)</t>
  </si>
  <si>
    <t>total euro</t>
  </si>
  <si>
    <t>de transferat anul I-II</t>
  </si>
  <si>
    <t>de transferat anul II</t>
  </si>
  <si>
    <t>de ridicat activitatea la 6.3.1.1.</t>
  </si>
  <si>
    <t>Pivot_sumar</t>
  </si>
  <si>
    <t>expertiza internationala in abordari integrate la nivel comunitar</t>
  </si>
  <si>
    <t>si imigrantilor</t>
  </si>
  <si>
    <t>Mitigare de la HIV de inclus ca linie in granturi mici</t>
  </si>
  <si>
    <t>includerea functieii de chat cu includerea OSC</t>
  </si>
  <si>
    <t>6.7.3.4. Dezvoltarea și implementarea mecanismelor de monitorizare a calității serviciilor TB în raport cu respectarea drepturilor pacientului  (sesiuni de prezentare a informatiei colectate)</t>
  </si>
  <si>
    <t>7.1. de inclus stiinta la IFP</t>
  </si>
  <si>
    <t xml:space="preserve">1.1.4.5.Asigurarea examinării persoanelor din populațiile-cheie - PTHIV, PAFA, consumatori de droguri și alte grupuri vulnerabile, cu acces redus la AMP, cu suportul OSC
</t>
  </si>
  <si>
    <t>Insotire la X ray si consultatia ftiziopneumologului</t>
  </si>
  <si>
    <t>cost total MDL
(1 euro=20 MDL</t>
  </si>
  <si>
    <t>ONG_TB</t>
  </si>
  <si>
    <t>Service/product name_Ro</t>
  </si>
  <si>
    <t>Service/product name_Eng</t>
  </si>
  <si>
    <t>unit cost, MDL</t>
  </si>
  <si>
    <t>Minutes/beneficiary</t>
  </si>
  <si>
    <t xml:space="preserve">Quantity </t>
  </si>
  <si>
    <t>consultația lucrătorului outreach</t>
  </si>
  <si>
    <t>Sedințe în grup</t>
  </si>
  <si>
    <t xml:space="preserve">mater inform </t>
  </si>
  <si>
    <t xml:space="preserve">manager de proiect </t>
  </si>
  <si>
    <t xml:space="preserve">contabil </t>
  </si>
  <si>
    <t>conducător auto</t>
  </si>
  <si>
    <t>Ingrijitor de încăperi</t>
  </si>
  <si>
    <t>Seringi</t>
  </si>
  <si>
    <t>Servețele cu alcool</t>
  </si>
  <si>
    <t>HIV prevention</t>
  </si>
  <si>
    <t>Syringes</t>
  </si>
  <si>
    <t>unit</t>
  </si>
  <si>
    <t>Alcohol swab</t>
  </si>
  <si>
    <t>Prezervative clasice</t>
  </si>
  <si>
    <t>Condoms</t>
  </si>
  <si>
    <t>Prezervative extra strong</t>
  </si>
  <si>
    <t>Condoms extra strong</t>
  </si>
  <si>
    <t>Lubrificant 5ml</t>
  </si>
  <si>
    <t>Lubricant 5 ml</t>
  </si>
  <si>
    <t>Lubrificant 50ml</t>
  </si>
  <si>
    <t>Lubricant 50 ml</t>
  </si>
  <si>
    <t>Test la HIV/sifilis</t>
  </si>
  <si>
    <t>HIV/Sifilis test</t>
  </si>
  <si>
    <t xml:space="preserve">
test manipulation</t>
  </si>
  <si>
    <t>Test la HVC</t>
  </si>
  <si>
    <t>VHC test</t>
  </si>
  <si>
    <t>Test la HVB</t>
  </si>
  <si>
    <t>VHB test</t>
  </si>
  <si>
    <t>Screening TB</t>
  </si>
  <si>
    <t>TB screening (interviewing)</t>
  </si>
  <si>
    <t>Consultația lucrătorului outreach</t>
  </si>
  <si>
    <t>Consultation of the outreach worker</t>
  </si>
  <si>
    <t>consultation/minute</t>
  </si>
  <si>
    <t>Consultația lucrătorului social</t>
  </si>
  <si>
    <t>Consultation of the social worker</t>
  </si>
  <si>
    <t>Consultația psihologului</t>
  </si>
  <si>
    <t>Psychologist consultantion</t>
  </si>
  <si>
    <t>Consultația lucrătorului medical în ONG</t>
  </si>
  <si>
    <t>Medical consultancy in NGOs</t>
  </si>
  <si>
    <t>Group sessions</t>
  </si>
  <si>
    <t>per person/minute</t>
  </si>
  <si>
    <t xml:space="preserve">Mater inform </t>
  </si>
  <si>
    <t>Informational materials</t>
  </si>
  <si>
    <t>kit</t>
  </si>
  <si>
    <t>Seminare/mese rotunde/mat inform pentru treninguri</t>
  </si>
  <si>
    <t>Seminars / round tables / informative mat for trainings</t>
  </si>
  <si>
    <t>per benficiary</t>
  </si>
  <si>
    <t xml:space="preserve">Manager de proiect </t>
  </si>
  <si>
    <t>Project manager</t>
  </si>
  <si>
    <t xml:space="preserve">Contabil </t>
  </si>
  <si>
    <t>Conducător auto</t>
  </si>
  <si>
    <t>Driver</t>
  </si>
  <si>
    <t>Cleaner</t>
  </si>
  <si>
    <t>Consum de regie</t>
  </si>
  <si>
    <t>Utilities</t>
  </si>
  <si>
    <t xml:space="preserve">Test Rapid DUO_Sânge_HIV&amp;Syphilis /HIV&amp;Syphilis rapid diagnostic test </t>
  </si>
  <si>
    <t>Test Rapid HIV_Sânge_AMS_RM</t>
  </si>
  <si>
    <t>Test Rapid HIV Autotestare /HIV Self-testing</t>
  </si>
  <si>
    <t>Test Rapid Sifilis /Syphilis rapid diagnostic test</t>
  </si>
  <si>
    <t>Test Rapid HCV /HCV rapid diagnostic test</t>
  </si>
  <si>
    <t>Test Rapid HBV /HBV rapid diagnostic test</t>
  </si>
  <si>
    <t>Column2</t>
  </si>
  <si>
    <t>HIV_TB</t>
  </si>
  <si>
    <t>Column12</t>
  </si>
  <si>
    <t>Transportation to Xray</t>
  </si>
  <si>
    <t>Transportare la examen radiologic</t>
  </si>
  <si>
    <t>per benficiary one way</t>
  </si>
  <si>
    <t>Cost, MDL beneficiari tuberculoza sensibila</t>
  </si>
  <si>
    <t>Cost, MDL beneficiari tuberculoza rezistenta</t>
  </si>
  <si>
    <t>6.6.2.1. Cercetare sociologica TB în rândul migranților și imigranților</t>
  </si>
  <si>
    <t>6.6.2.2. Masa rotunda - Cercetarea sociologica TB în rândul migranților  și imigranților</t>
  </si>
  <si>
    <t>6.3.1.3. Organizarea platformei de instruire on-line si telemedicina in cadrul IFP(inclusiv clinica Vorniceni, Bender)</t>
  </si>
  <si>
    <t>6.3.1.1. Dezvoltarea platformei e-learning prin adaptarea platformei on-line Moodle</t>
  </si>
  <si>
    <t>6.3.1.2. Contractare consultanti pentru revizuirea curiculei de studiu TB studenti, rezidenti, specialisti de alt profil.</t>
  </si>
  <si>
    <t>TB</t>
  </si>
  <si>
    <t>Asistent_DOT</t>
  </si>
  <si>
    <t>DOT_assistent</t>
  </si>
  <si>
    <t>Consultatia repetata psihologului la domiciliu pentru aderenta la tratament, 6 in timpul tratamentului si 3 dupa finisare</t>
  </si>
  <si>
    <t>Consultatia repetata psihologului la domiciliu pentru aderenta la tratament, 18 in timpul tratamentului si 3 dupa finisare</t>
  </si>
  <si>
    <t xml:space="preserve">6.6.1.1. Granturi mici- Fortificarea controlului TB în penitenciare, acompanierea și suportul persoanelor eliberate din detenție în asigurarea continuității tratamentului, inclusiv prin implicarea OSC </t>
  </si>
  <si>
    <t>Implimentare</t>
  </si>
  <si>
    <t>UCIMP</t>
  </si>
  <si>
    <t>PAS</t>
  </si>
  <si>
    <t>(NGO)</t>
  </si>
  <si>
    <t>Implementare</t>
  </si>
  <si>
    <t>6.2.5.2. Asigurarea mentenanței echipamentelor din cadrul laboratoarelor in microbiologia tuberculozei (Malul Drept)</t>
  </si>
  <si>
    <t>6.2.5.2. Asigurarea mentenanței echipamentelor din cadrul laboratoarelor in microbiologia tuberculozei (Malul Stang)</t>
  </si>
  <si>
    <t>3.3.3.5. Plasarea sistemului VOT pe serverul PNCT</t>
  </si>
  <si>
    <t>3.2.1.1.  Elaborarea mecanismului de asigurarea accesului la medicamente pentru prevenirea și tratamentul reacțiilor adverse la preparatele TB</t>
  </si>
  <si>
    <t>Aici nu sunt costuri. Poate de stabilit o masa rotunda pentru discutii, si la necesitate consultant pentru modificarea actelor normative?</t>
  </si>
  <si>
    <t>6.7.3.6. Curs de instruire PSO pentru OSC cu privire la monitorizarea  calității serviciilor TB în raport cu respectarea drepturilor pacientului</t>
  </si>
  <si>
    <t>6.7.3.5. Elaborarea PSO pentru OSC cu privire la monitorizarea  calității serviciilor TB în raport cu respectarea drepturilor pacientului</t>
  </si>
  <si>
    <t>7.2.3.1. Realizarea a doua studii de cheltuieli catastrofice pentru pacientul cu TB</t>
  </si>
  <si>
    <t>7.2.3.2. Realizarea a doua studii KAP TB</t>
  </si>
  <si>
    <t>7.2.3.3. Realizarea auditului clinic al cazurilor TB/HIV</t>
  </si>
  <si>
    <t>7.2.3.4. Realizarea studiului privind implementarea inteligentei artificiale in procesul de screening la TB</t>
  </si>
  <si>
    <t>cred ca e cazul de scos si de pus in cadrul unui seminar zonal</t>
  </si>
  <si>
    <t>r</t>
  </si>
  <si>
    <t>Co_trim_ Malul Stang RR/MDR/FQ rez_penitenc_ adulti</t>
  </si>
  <si>
    <t>Attrition %</t>
  </si>
  <si>
    <t>3.3.2.1 Asigurarea suportului motivațional lunar (stimulente)_Malul drept</t>
  </si>
  <si>
    <t>3.3.2.2 Asigurarea suportului motivațional lunar (stimulente)_Malul stang</t>
  </si>
  <si>
    <t>Malul Stang Cazuri sensibile si PDR</t>
  </si>
  <si>
    <t>Malul Stang Cazuri MDR/pre XDR</t>
  </si>
  <si>
    <t>Unit price, USD</t>
  </si>
  <si>
    <t>Total PSM cost</t>
  </si>
  <si>
    <t xml:space="preserve">IDA QA costs </t>
  </si>
  <si>
    <t xml:space="preserve">PA fee </t>
  </si>
  <si>
    <t xml:space="preserve">1. Ensure an active targeted case finding (screening for TB in high risk groups mainly) of minimum 90% of TB contacts, till the end of 2025 - by ensuring universal access to a systematic TB screening of contacts and high risk groups, incl. children </t>
  </si>
  <si>
    <t xml:space="preserve">1.1 Ensure active TB case finding in the groups of high risk and increased vigilance for TB  </t>
  </si>
  <si>
    <t>1.1.1. Ensure TB screening of people from groups with high risk of TB</t>
  </si>
  <si>
    <t>1.1.2. Ensure TB screening of people in contact with TB patients</t>
  </si>
  <si>
    <t>1.1.3. Ensure TB screening of people from groups with increased vigilance for TB</t>
  </si>
  <si>
    <t xml:space="preserve">1.1.4. Ensure TB screening of people from the groups of high risk and increased vigilance for TB, using mobile radiologic equipment, with AI applications  </t>
  </si>
  <si>
    <t>1.1.5. Ensure detection of people from KPs - PLHIV, homeless people, IDU, and other vulnerable groups, with reduced access to PHC, and with the support of CSOs at the community level</t>
  </si>
  <si>
    <t>2. Ensure an early diagnosis of all forms of TB, with a detection rate of min 90% of the total nb of the estimated RR/MDR TB cases, at the end of 2025 - by ensuring universal access to an early diagnosis of all forms of TB and to DST, incl. rapid diagnostic testing</t>
  </si>
  <si>
    <t>2.1 Ensure TB detection through consistent implementation and roll-out of rapid molecular diagnostic testing</t>
  </si>
  <si>
    <t>2.1.1. Roll-out genetic molecular methods for rapid diagnosis of TB and RR/MDR TB</t>
  </si>
  <si>
    <t xml:space="preserve">2.2 Strengthen the laboratory network through quality and biosecurity control assurance, according to the national and international standards, implemented in the national TB microbiologic diagnosis laboratory network </t>
  </si>
  <si>
    <t>2.2.1. Implement the quality management system within the laboratory network, involved in TB microbiologic diagnosis</t>
  </si>
  <si>
    <t xml:space="preserve">2.2.2 Participate in the external quality control (EQC) of the National and Regional Reference Laboratories in TB microbiology </t>
  </si>
  <si>
    <t>2.2.3. Implement Biosecurity Standards in the TB microbiology labs</t>
  </si>
  <si>
    <t xml:space="preserve">2.3 Ensure monitoring of TB and MDR TB patient treatment and surveillance of M. tuberculosis drug resistance   </t>
  </si>
  <si>
    <t xml:space="preserve">2.3.1. Apply phenotypic and genotipic methods of testing the M. tuberculosis drug resistance and surveillance of M. tuberculosis drug resistance, on the national level   </t>
  </si>
  <si>
    <t xml:space="preserve">2.3.2. Apply phenotypic and genotipic methods of testing the M. tuberculosis resistance to new drugs (BQ, DLD), incl. by mycobacterium genome sequencing </t>
  </si>
  <si>
    <t xml:space="preserve">2.3.3. Maintain and strengthen the courier service for sputum transportation to the NRL </t>
  </si>
  <si>
    <t xml:space="preserve">3. Ensure the treatment of sensitive TB and RR/MDR TB, with a success rate, among new and relapse sensitive TB cases, of min 90%, and, among RR/MDR TB cases, of min 80%, at the end of 2025 - by ensuring equitable access to quality treatment and continuous care of all TB patients, incl. children, through people-centred approaches and comprehensive patient support </t>
  </si>
  <si>
    <t>3.1 Ensure continuous provision of TB drugs</t>
  </si>
  <si>
    <t>3.1.1. Ensure continuous provision of drugs for sensitive TB treatment</t>
  </si>
  <si>
    <t>3.1.2. Ensure continuous provision of drugs for sensitive MDR treatment</t>
  </si>
  <si>
    <t>3.1.3. Ensure continuos provision of drugs for RR/ MDR/ XDR TB treatment</t>
  </si>
  <si>
    <t>3.1.4. Ensure TB drug distribution in territories</t>
  </si>
  <si>
    <t xml:space="preserve">3.1.5. Transition to new treatment schemes - peroral short modified (mSTR), by creating premises for operational research and further transition into a routine practice  </t>
  </si>
  <si>
    <t>3.2. Ensure monitoring of treatment, management and prevention of adverse reactions to TB drugs</t>
  </si>
  <si>
    <t>3.2.1. Elaborate the mechanism of ensuring access to drugs for the prevention and treatment of adverse reactions to TB drugs</t>
  </si>
  <si>
    <t>3.2.2. Ensure the update of the Regulation on TB drug management and pharmacovigilance system for the treatment of TB patients</t>
  </si>
  <si>
    <t xml:space="preserve">3.2.3. Ensure an active pharmacovigilance, by elaborating and implementing SOPs for aDSM  </t>
  </si>
  <si>
    <t>3.3 Ensure treatment adherence, incl. through innovative people-centred approaches</t>
  </si>
  <si>
    <t xml:space="preserve">3.3.1. Ensure a multidisciplinary approach, incl. need evaluation and case management, to each person affected by TB and its family, and provide psychosocial support for ensuring TB treatment adherence </t>
  </si>
  <si>
    <t>3.3.2. Ensure monthly motivational support (incentives)</t>
  </si>
  <si>
    <t>3.3.3. Extend the VOT (video observed treatment) use at national level</t>
  </si>
  <si>
    <t xml:space="preserve">3.3.4. Ensure peer-to-peer support by CSOs offered to TB patients </t>
  </si>
  <si>
    <t>4. Ensure universal coverage and continuity of medical care services, co-morbidity management, using socio-economic and people-centred approaches - by scaling up the cooperation with the national health programs (on HIV, Hepatitis, Drugs, Alcohol, Diabetes, Mental Health), in partnership with the penitentiary sector and civil society</t>
  </si>
  <si>
    <t>4.1 Build capacities for ensuring an efficient control of the TB/HIV co-infection</t>
  </si>
  <si>
    <t>4.1.1. Ensure a multisectorial coordination mechanism of NTP, together with other ministries and public institutions</t>
  </si>
  <si>
    <t>4.1.2. Develop collaborative partnerships, at community level, with the participation of CSOs and local public administration authorities</t>
  </si>
  <si>
    <t>4.1.3. Ensure screening for TB and LTI (latent tuberculosis infection), among PLHIV</t>
  </si>
  <si>
    <t xml:space="preserve">4.1.4. Ensure TB diagnosis, incl. through rapid methods, among PLHIV </t>
  </si>
  <si>
    <t xml:space="preserve">4.1.5. Ensure TB/HIV diagnosis among TB patients </t>
  </si>
  <si>
    <t>4.1.6. Ensure preventive treatment with co-trimoxazol of TB/HIV patients</t>
  </si>
  <si>
    <t>4.1.7. Ensure ARV treatment of TB/HIV patients</t>
  </si>
  <si>
    <t>4.1.8. Ensure TB treatment of TB/HIV patients</t>
  </si>
  <si>
    <t>4.2 Strengthen collaborative actions, in TB control, with other national programs</t>
  </si>
  <si>
    <t>4.2.1. Elaborate the regulations on services integrated at territorial level, as per the needs of the comorbid patients</t>
  </si>
  <si>
    <t>4.2.2. Strengthen collaborative actions for TB detection, diagnosis, treatment and prevention, among comorbid patients: TB_HV, TB_mental disease, TB_diabetes, etc., incl. from high risk groups</t>
  </si>
  <si>
    <t xml:space="preserve">4.2.3. Promote platforms of integrated prevention and support services for TB affected people with other comorbidities, at community and CSOs level  </t>
  </si>
  <si>
    <t xml:space="preserve">5. Reduce TB transmission through effective preventive treatment and infection control, with a vaccination rate of newborns (with the Bacillus Calmette-Guerin vaccine) of min 95% </t>
  </si>
  <si>
    <t>5.1 Promote measures of specific prevention of TB</t>
  </si>
  <si>
    <t>5.1.1. Ensure Bacillus Calmette-Guerin vaccination, according to the NIP (national immunisation program)</t>
  </si>
  <si>
    <t xml:space="preserve">5.1.2. Update the NCPs (National Clinical Protocols) for LTI diagnosis and treatment, as per the WHO recommendations </t>
  </si>
  <si>
    <t xml:space="preserve">5.1.3. Ensure the investigation for LTI diagnosis, using the TB skin test (tuberculin skin test) </t>
  </si>
  <si>
    <t xml:space="preserve">5.1.4. Ensure the investigation for LTI diagnosis, using the IGRA (Interferon Gamma Release Assay) test </t>
  </si>
  <si>
    <t xml:space="preserve">5.1.5. Ensure TB treatment prophylaxis among PLHIV </t>
  </si>
  <si>
    <t xml:space="preserve">5.1.6. Perform LTI treatment among TB contacts </t>
  </si>
  <si>
    <t xml:space="preserve">5.2 Ensure the information on following the measures of infection control, for reducing the risk of TB transmission    </t>
  </si>
  <si>
    <t xml:space="preserve">5.2.1. Perform activities of information and attitude/ behavior change, at national and social level  </t>
  </si>
  <si>
    <t>5.2.2. Elaborate and print educational and informative materials on TB for KPs</t>
  </si>
  <si>
    <t xml:space="preserve">5.2.3. Implement interventions on education and information (IEC materials, mass media interventions, etc.)  </t>
  </si>
  <si>
    <t>5.3 Ensure infection control in PMSIs (public medical-sanitary institutions) and other PAs (public authorities) with their own sanitary systems</t>
  </si>
  <si>
    <t xml:space="preserve">5.3.1. Implement and conform to the TB infection control programs - at national, territorial, and PMSI level </t>
  </si>
  <si>
    <t>6. Adopt policies and implement measures focused on achieving the objectives of reducing the TB burden, by implementing people-centred approaches, reducing social determinant barriers to TB services, adjusting the financing mechanisms of the people-centred models, at each level of TB healthcare, involving the civil society organizations and TB affected people</t>
  </si>
  <si>
    <t xml:space="preserve">6.1 Build capacities for an efficient management of the NTP </t>
  </si>
  <si>
    <t>6.1.1. Elaborate SOPs for monitoring and evaluating the NTP by the NTP coordination unit, incl. with the participation of CSOs</t>
  </si>
  <si>
    <t xml:space="preserve">6.1.2. Update, integrate, maintain, and adjust continously the informational system for data collection, incl. the M&amp;E informational system </t>
  </si>
  <si>
    <t>6.1.3. Ensure complex M&amp;E visits, incl. in CSOs and other PAs with their own sanitary systems and private ones</t>
  </si>
  <si>
    <t>6.1.4. Regular training of personnel from the NTP coordination unit</t>
  </si>
  <si>
    <t>6.2 Strengthen healthcare systems through financing mechanisms, well-aligned for TB</t>
  </si>
  <si>
    <t>6.2.1. Optimize the hospital service with TB treatment profile</t>
  </si>
  <si>
    <t>6.2.2. Strengthen and expand the role of territorial TB service in the clinical management of TB cases, who do not need hospitalization</t>
  </si>
  <si>
    <t xml:space="preserve">6.2.3. Revise the supplier contracting mechanisms and financing methods of TB services, at each level - PHC, HHC (hospital healthcare), SAHC (specialized ambulatory healthcare) </t>
  </si>
  <si>
    <t>6.2.4. Ensure the maintenance of TB profile inpatient facilities and subdivisions</t>
  </si>
  <si>
    <t>6.2.5. Ensure the maintenance of equipment from TB profile inpatient facilities and subdivisions</t>
  </si>
  <si>
    <t>6.2.6. Elaborate the mechanism of reporting factual expenses of performing NTP activities, at each level of the health system</t>
  </si>
  <si>
    <t>6.2.7. Ensure the maintenance of storage units for drugs and medical devices, at central level</t>
  </si>
  <si>
    <t>6.3 Build capacities of human resources involved in TB control</t>
  </si>
  <si>
    <t xml:space="preserve">6.3.1. Continuous training of peronnel from different services in TB control, incl. distance training on digital platforms, with certification </t>
  </si>
  <si>
    <t xml:space="preserve">6.3.2. Training through residency programs for TB specialists </t>
  </si>
  <si>
    <t xml:space="preserve">6.3.3. Organize meetings/ trainings at central and territorial levels, with the participation of parties involved in TB control </t>
  </si>
  <si>
    <t xml:space="preserve">6.3.4. Develop partnerships with private suppliers of medical services </t>
  </si>
  <si>
    <t xml:space="preserve">6.3.5. Training, on TB control activities, of the personnel offering non-medical services - CSOs, outreach and peer-to-peer, psychologists, case managers, supporters   </t>
  </si>
  <si>
    <t xml:space="preserve">6.3.6. Human resource medium and long-term planning, using a needs-based approach </t>
  </si>
  <si>
    <t>6.4 Development of normative acts for the surveillance based on individual data, by improving the registration quality of civil status documents, the quality and rational use of drugs, incl. the pharmacovigilance aspects</t>
  </si>
  <si>
    <t>6.4.1. Elaborate methodological guidelines for NTP implementation</t>
  </si>
  <si>
    <t xml:space="preserve">6.4.2. Revise the "TB in children" and "TB in adults" NCPs, as necessary </t>
  </si>
  <si>
    <t>6.4.3. Continuous capacity building of planning and managing the supply and distribution of TB drugs, at all levels of healthcare system, as per the WHO recommendations</t>
  </si>
  <si>
    <t>6.5 Strengthen community and CSOs' engagement in TB control, based on people-centred approaches</t>
  </si>
  <si>
    <t xml:space="preserve">6.5.1. Elaborate and implement state budget contracting mechanisms or other relevant financing mechanisms for CSOs, to ensure the provision of psychosocial support and active TB case finding services </t>
  </si>
  <si>
    <t xml:space="preserve">6.5.2. Perform activities funded by small grants - for education, information, and interventions directed to increase treatment adherence and prevent relapses  (by accompanying and offering support to people with treatment completed) </t>
  </si>
  <si>
    <t xml:space="preserve">6.5.3. Document the access barriers (financial, stigma, gender, DO) and estimate the size of KPs </t>
  </si>
  <si>
    <t>6.5.4. Involve CSOs in reducing barriers and ensuring access of KPs to TB services</t>
  </si>
  <si>
    <t>6.6 Promote social protection, poverty reduction, and actions directed to other determinant TB factors, incl. among migrants and prisoners</t>
  </si>
  <si>
    <t xml:space="preserve">6.6.1. Strengthen TB control in prisons, by accompanying and offering support to former detainees, to ensure treatment continuity, incl. with the involvement of CSOs    </t>
  </si>
  <si>
    <t>6.6.2. Strengthen TB control among migrants</t>
  </si>
  <si>
    <t xml:space="preserve">6.6.3. Elaborate SOPs for TB case management among asylum applicants, incl. cross-border transfer cases </t>
  </si>
  <si>
    <t xml:space="preserve">6.6.4. Optimize TB rehabilitation centres for children and elaborate community mechanisms of TB case management for children </t>
  </si>
  <si>
    <t>6.7 Implement the strategy of advocacy, communication and social mobilization in TB control, incl. of reducing stigma and discrimination, through the allocation of necessary funds</t>
  </si>
  <si>
    <t xml:space="preserve">6.7.1. Perform education activities for TB patients, regarding the TB patient Charter and Declaration of the Rights of People Affected by TB </t>
  </si>
  <si>
    <t xml:space="preserve">6.7.2. Develop innovative communication tools, using ITs </t>
  </si>
  <si>
    <t>6.7.3. Develop and implement mechanisms of TB service quality monitoring, with respect to TB patient rights</t>
  </si>
  <si>
    <t xml:space="preserve">7. Accelerate the progress rate of the national response in achieving the targets set, by enhancing innovation adoption, strategic information availability for better decision making, and performing operational researches </t>
  </si>
  <si>
    <t>7.1 Perform applicative scientific reasearches</t>
  </si>
  <si>
    <t xml:space="preserve">7.1.1. Elaborate the national plan, identifying priorities for research and development, by ensuring a consultative process (with civil society participation) and performing researches, as per agenda </t>
  </si>
  <si>
    <t xml:space="preserve">7.1.2. Perform researches, as per the established agenda, with agenda revision, if needed </t>
  </si>
  <si>
    <t>7.1.3. Participation of CSOs in applicative scientific researches, to be performed incl. at community level</t>
  </si>
  <si>
    <t>7.2 Conduct operational studies</t>
  </si>
  <si>
    <t>7.2.1. Elaborate the plan of operational studies</t>
  </si>
  <si>
    <t>7.2.2. Conduct the studies, according to the established plan, with plan revision, if needed</t>
  </si>
  <si>
    <t>7.2.3. Participation of CSOs in operational studies, to be performed incl. at community level</t>
  </si>
  <si>
    <t>Obiectiv</t>
  </si>
  <si>
    <t>Subinterventie</t>
  </si>
  <si>
    <t>Year 2021 Covered from MDA-C-PCIMU  grant</t>
  </si>
  <si>
    <t xml:space="preserve">Year 2021 covered from </t>
  </si>
  <si>
    <t>sa fac cost separat in fila de costificari</t>
  </si>
  <si>
    <t>Asigurarea protectiei datelor la toate nivelel in conformitate cu legislatia in vigoare.</t>
  </si>
  <si>
    <t>IFP, date anul 2020</t>
  </si>
  <si>
    <t>Year 1 (2021)</t>
  </si>
  <si>
    <t>Year 2 (2022)</t>
  </si>
  <si>
    <t>Year 3 (2023)</t>
  </si>
  <si>
    <t>Total 3 years (2021-2023)</t>
  </si>
  <si>
    <t xml:space="preserve">DR-TB: Individualized longer treatment regimens (iLTRs) </t>
  </si>
  <si>
    <t>(Right Bank)</t>
  </si>
  <si>
    <t>(Left Bank)</t>
  </si>
  <si>
    <t xml:space="preserve">DR-TB: modified al-oral shorter treatment regimens (mSTRs) (for FQ-sensitive cases) </t>
  </si>
  <si>
    <t>Total DR TB cases</t>
  </si>
  <si>
    <t>crt.</t>
  </si>
  <si>
    <t>Denumire obiective</t>
  </si>
  <si>
    <t>VII.</t>
  </si>
  <si>
    <t xml:space="preserve">Accelerarea ratei progresului răspunsului național în atingerea țintelor stabilite prin realizarea cercetărilor, intensificarea adoptării inovațiilor, disponibilității informațiilor strategice pentru luarea deciziilor </t>
  </si>
  <si>
    <t>cercetări științifice aplicative</t>
  </si>
  <si>
    <t> TOTAL</t>
  </si>
  <si>
    <t>7.1.2.1 Realizarea cercetărilor conform agendei stabilite, cu revizuirea agendei la necesitate</t>
  </si>
  <si>
    <t>se include si de la egal la egal</t>
  </si>
  <si>
    <t>Roma</t>
  </si>
  <si>
    <t>Migranti</t>
  </si>
  <si>
    <t>Persoane cu dezabilitati</t>
  </si>
  <si>
    <t xml:space="preserve">1.1.4.5.Asigurarea examinării persoanelor din populațiile-cheie - PTHIV, PAFA, consumatori de droguri și alte grupuri vulnerabile, cu acces redus la AMP, cu suportul OSC(inclusiv granturi ONG)
</t>
  </si>
  <si>
    <t>Coverage GFATM</t>
  </si>
  <si>
    <t>Consultatia outreach (sesiune screening, 30 min)</t>
  </si>
  <si>
    <t>Uncovered</t>
  </si>
  <si>
    <t># Covered GFATM</t>
  </si>
  <si>
    <t>Coverage GFATM, MDL</t>
  </si>
  <si>
    <t>CNAM/ (Left bank), MDL</t>
  </si>
  <si>
    <t>#CNAM/(Left bank)</t>
  </si>
  <si>
    <t xml:space="preserve">1.1.4.5.Asigurarea examinării persoanelor din populațiile-cheie - PTHIV, PAFA, consumatori de droguri și alte grupuri vulnerabile, cu acces redus la AMP, cu suportul OSC (Malul Drept)
</t>
  </si>
  <si>
    <t xml:space="preserve">1.1.4.5.Asigurarea examinării persoanelor din populațiile-cheie - PTHIV, PAFA, consumatori de droguri și alte grupuri vulnerabile, cu acces redus la AMP, cu suportul OSC (Malul Stang)
</t>
  </si>
  <si>
    <t>NGO coverage</t>
  </si>
  <si>
    <t>6.5.2.1. Realizarea activităților prin granturi mici pentru educare, informare, intervenții pentru creșterea aderenței la tratament, acompanierea și suportul persoanelor care au finalizat tratamentul pentru prevenirea recidivelor, inclusiv suport de la egal la egal (Malul Drept)</t>
  </si>
  <si>
    <t>6.5.2.2. Realizarea activităților prin granturi mici pentru educare, informare, intervenții pentru creșterea aderenței la tratament, acompanierea și suportul persoanelor care au finalizat tratamentul pentru prevenirea recidivelor, inclusiv suport de la egal la egal (Malul Stang)</t>
  </si>
  <si>
    <t>tuberculoza sensibila</t>
  </si>
  <si>
    <t>tuberculoza rezistenta</t>
  </si>
  <si>
    <t>Beneficiari, care se vor elibera pe parcursul anului</t>
  </si>
  <si>
    <t>Consultatia repetata a psihologului pentru aderenta la tratament</t>
  </si>
  <si>
    <t>Sesiuni de informare inainte de eliberare, efectuate de psiholog</t>
  </si>
  <si>
    <t>Instruiri echipe multidisciplinare efectuate de psiholog</t>
  </si>
  <si>
    <t>Pregatirea dosarului de catre asistentul social</t>
  </si>
  <si>
    <t>Sesiuni de informare a rudelor de catre psiholog</t>
  </si>
  <si>
    <t>Stabilire conexiune cu institutia medicala, de catre asistentul social</t>
  </si>
  <si>
    <t>Acompanierea si referirea la serviciul medical din sectorul civil, asistentul social</t>
  </si>
  <si>
    <t>Identificarea pacientilor eliberati din sala de judecata, asistentul social</t>
  </si>
  <si>
    <t>Identificarea pacientilor care au abandonat tratamentul cu readucerea lor in tratament, asistent social</t>
  </si>
  <si>
    <t>Supravegherea pacientului pina la finele tratamentului, asistent social</t>
  </si>
  <si>
    <t>Beneficiari, care nu se se vor elibera pe parcursul anului</t>
  </si>
  <si>
    <t>?</t>
  </si>
  <si>
    <t>???, MDL</t>
  </si>
  <si>
    <t>9% cost management</t>
  </si>
  <si>
    <t>Intervention: Legal aid services and legal literacy</t>
  </si>
  <si>
    <t xml:space="preserve">ONG drepturile omului </t>
  </si>
  <si>
    <t>Legal support to TB patients</t>
  </si>
  <si>
    <t>Cost per lawyer</t>
  </si>
  <si>
    <t>Operational auport for legal aid to PLHIV</t>
  </si>
  <si>
    <t>Salaries for the administrating personnel (accountant,, director) including income tax 18% and social charges 39%</t>
  </si>
  <si>
    <t>Office rent/maintenance</t>
  </si>
  <si>
    <t>Communication</t>
  </si>
  <si>
    <t>Office supplies (incl. stationary)</t>
  </si>
  <si>
    <t xml:space="preserve">Transportation </t>
  </si>
  <si>
    <t>Bank fees</t>
  </si>
  <si>
    <t>sub-total</t>
  </si>
  <si>
    <t>Ensure litigation</t>
  </si>
  <si>
    <t>Cost per litigator</t>
  </si>
  <si>
    <t>Expertise of selected cases</t>
  </si>
  <si>
    <t>Cost per case (parajurist fee)</t>
  </si>
  <si>
    <t>Grant pentru fundraising</t>
  </si>
  <si>
    <t>Human resources costs</t>
  </si>
  <si>
    <t>Training costs</t>
  </si>
  <si>
    <t>Planning and Administration costs</t>
  </si>
  <si>
    <t>Total per year</t>
  </si>
  <si>
    <t>6.5.4.3 Grant pentru fundraising</t>
  </si>
  <si>
    <t>6.5.4.2 Servicii de asistență și consiliere juridică (Granturi ONG)</t>
  </si>
  <si>
    <t>Suport salarial pentru depistarea si includerea in tratament a cazurilor noi HIV</t>
  </si>
  <si>
    <t>Top-up for NGO staff and doctors for HIV detection and treatment enrollment</t>
  </si>
  <si>
    <t>bonus salarial</t>
  </si>
  <si>
    <t xml:space="preserve">1.1.4.6. Bonificatie pentru depistarea tuberculozei prin intermediul OSC
</t>
  </si>
  <si>
    <t>% suplimentar crestere dupa situatia COVID</t>
  </si>
  <si>
    <t>5.2.1.6 Evaluarea situatiei la nivel de teritoriu si posibilitatea integrarii ONG in activitatile din cadrul programelor teritoriale de control a tuberculozei</t>
  </si>
  <si>
    <t>Nr teritorii/an</t>
  </si>
  <si>
    <t xml:space="preserve">5.2.3.3. Actualizarea site-ul www.tuberculoza.info </t>
  </si>
  <si>
    <t>Participarea echipelor PN HIV/TB la evenimente externe</t>
  </si>
  <si>
    <t>Attendance of international meetings abroad for NP HIV/TB</t>
  </si>
  <si>
    <t>per event</t>
  </si>
  <si>
    <t>Procurare Xpert MTB/XDR</t>
  </si>
  <si>
    <t>Xpert MTB/XDR</t>
  </si>
  <si>
    <t>Procurarea cartrige Xpert MTB/XDR</t>
  </si>
  <si>
    <t xml:space="preserve">Costuri aditionale </t>
  </si>
  <si>
    <t>Costuri aditionale</t>
  </si>
  <si>
    <t>Xpert MTB/XDR test</t>
  </si>
  <si>
    <t>inclusiv 2 pentru teritoriile de est</t>
  </si>
  <si>
    <t>zile pentru deplasare in teren</t>
  </si>
  <si>
    <t>6.5.4.4. Auditarea OSC , inclusiv prin prisma utilizarii datelor cu caracter personal si pregatirea acestora catre acreditare</t>
  </si>
  <si>
    <t>6.5.4.5. Acordarea suportului consultativ pentru procedura de acreditare</t>
  </si>
  <si>
    <t>6.5.4.6. Elaborarea metodologiei de identificare si referire către asistență juridică</t>
  </si>
  <si>
    <t>Imprimanta + calculator</t>
  </si>
  <si>
    <t>Printer+Computer</t>
  </si>
  <si>
    <t>a. elaborare soft</t>
  </si>
  <si>
    <t>b. procurare echimpament</t>
  </si>
  <si>
    <t>Total cost per month, MDL</t>
  </si>
  <si>
    <t>(1.4)</t>
  </si>
  <si>
    <t>Suport salarial specialist NTP</t>
  </si>
  <si>
    <t>(11.1)</t>
  </si>
  <si>
    <t>Cheltuieli de oficiu NTP</t>
  </si>
  <si>
    <t>(2.4)</t>
  </si>
  <si>
    <t>Cheltuieli de transport NTP</t>
  </si>
  <si>
    <t>6.1.1.2. Sustinerea echipei PNCT, inclusiv costuri administrative</t>
  </si>
  <si>
    <t>Descriere per beneficiar, grant reintegrare si reabilitare</t>
  </si>
  <si>
    <t>Identificarea beneficiarilor</t>
  </si>
  <si>
    <t>Consultatia asistentului social pentru sporirea independentei financiare prin obtinerea unei profesii- ore pe an in baza costificarii existente</t>
  </si>
  <si>
    <t>Consiliere outreach</t>
  </si>
  <si>
    <t>Costuri instruire profesionala</t>
  </si>
  <si>
    <t>Consiliere psiholog</t>
  </si>
  <si>
    <t xml:space="preserve">Consultatie asistent social - Suport in procesul de angajare – asistenta in scrierea CV, aplicarea pentru oferte de lucru, pregatire de interviuri, mediere cu angajatorul </t>
  </si>
  <si>
    <t>Coordonator proiect</t>
  </si>
  <si>
    <t>beneficiari</t>
  </si>
  <si>
    <t>6.5.4.7. Grant reintegrare si reabilitare a pacientului cu TB cu suport OSC</t>
  </si>
  <si>
    <t>3.3.2.1 Asigurarea suportului motivațional lunar (stimulente)_Malul stang</t>
  </si>
  <si>
    <t>cost istoric</t>
  </si>
  <si>
    <t xml:space="preserve">6.5.4.8. Cartarea serviciilor disponibile in comunitate pentru încadrarea in câmpul muncii </t>
  </si>
  <si>
    <t>6.5.4.9. Elaborarea SOP pentru managementul de caz pentru reintegrare si incadrare in cimpul muncii</t>
  </si>
  <si>
    <t>6.5.2.2. Realizarea activităților prin granturi mici pentru educare, informare, intervenții pentru creșterea aderenței (Malul Stang)</t>
  </si>
  <si>
    <t>6.5.2.1. Realizarea activităților prin granturi mici pentru educare, informare, intervenții pentru creșterea aderenței (Malul Drept)</t>
  </si>
  <si>
    <t>NTP specialist salary support</t>
  </si>
  <si>
    <t>per month</t>
  </si>
  <si>
    <t>Utilities and other cost NTP</t>
  </si>
  <si>
    <t>Transport cost NTP</t>
  </si>
  <si>
    <t>Contributia anuala GLC</t>
  </si>
  <si>
    <t>a fost inclus in seminar zonal</t>
  </si>
  <si>
    <t>au fost scoase</t>
  </si>
  <si>
    <t>se va face in incinta IFP</t>
  </si>
  <si>
    <t>a fost scos</t>
  </si>
  <si>
    <t>Speciaslist IT</t>
  </si>
  <si>
    <t>nu sunt incluse</t>
  </si>
  <si>
    <t>Va fi perfectat de UN</t>
  </si>
  <si>
    <t>a fost scoasa</t>
  </si>
  <si>
    <t>Unitate de masura</t>
  </si>
  <si>
    <t>Cantitate GFATM, Malul Drept</t>
  </si>
  <si>
    <t>Cantitate GFATM, Malul Stang</t>
  </si>
  <si>
    <t>Pret unitate, 
GFATM</t>
  </si>
  <si>
    <t>Currency GFATM procurement</t>
  </si>
  <si>
    <t>Anul 2021</t>
  </si>
  <si>
    <t>Anul 2022</t>
  </si>
  <si>
    <t>Anul 2023</t>
  </si>
  <si>
    <t>Amikacin</t>
  </si>
  <si>
    <t>Local procurement</t>
  </si>
  <si>
    <t>Bedaquiline</t>
  </si>
  <si>
    <t>Bedaquiline for laboratory use</t>
  </si>
  <si>
    <t>Clofazimine</t>
  </si>
  <si>
    <t>Delamanid</t>
  </si>
  <si>
    <t>Delamanid for laboratory use</t>
  </si>
  <si>
    <t>Ethambutol</t>
  </si>
  <si>
    <t>Ethionamida</t>
  </si>
  <si>
    <t>Isoniazid</t>
  </si>
  <si>
    <t>Kanamycin</t>
  </si>
  <si>
    <t>Levofloxacin</t>
  </si>
  <si>
    <t>Linezolid</t>
  </si>
  <si>
    <t>Moxifloxacin</t>
  </si>
  <si>
    <t>Rifampicin</t>
  </si>
  <si>
    <t>GenoType MTBDR plus, Ver. 2.0 manual,  96 test/kit, kits</t>
  </si>
  <si>
    <t>HAIN</t>
  </si>
  <si>
    <t>GenoType MTBDRsl 2.0</t>
  </si>
  <si>
    <t>GenoType Mycobacterium AS</t>
  </si>
  <si>
    <t xml:space="preserve">GenoType Mycobacterium CM </t>
  </si>
  <si>
    <t>Hidroxid de sodium (NaOH), chimic pur</t>
  </si>
  <si>
    <t>Medii nutritive pentru izolarea M.tuberculosis (Löwenstein-Jensen), - Cycloserine – 30,0 μg/ml</t>
  </si>
  <si>
    <t>NALC (N-Acetyl-L-cystein)</t>
  </si>
  <si>
    <t xml:space="preserve">Nutritive media for isolation M.tuberculosis (Löwenstein-Jensen), 8 ml tube </t>
  </si>
  <si>
    <t>Nutritive media for isolation M.tuberculosis (Löwenstein-Jensen), 8 ml tube</t>
  </si>
  <si>
    <t>Nutritive media for susceptibility testing for M.tuberculosis (Löwenstein-Jensen) -Ethambutol – 2,0 mg/ml.</t>
  </si>
  <si>
    <t>Nutritive media for susceptibility testing for
M.tuberculosis (Löwenstein-Jensen) -Ethambutol – 2,0 mg/ml.</t>
  </si>
  <si>
    <t>Nutritive media for susceptibility testing for M.tuberculosis (Löwenstein-Jensen) -Isoniazid 1,0 mg/ml;</t>
  </si>
  <si>
    <t>Nutritive media for susceptibility testing for
M.tuberculosis (Löwenstein-Jensen) -Isoniazid 1,0 mg/ml;</t>
  </si>
  <si>
    <t>Nutritive media for susceptibility testing for M.tuberculosis (Löwenstein-Jensen) –Moxifloxacine – 2,5 mg/ml</t>
  </si>
  <si>
    <t>Nutritive media for susceptibility testing for
M.tuberculosis (Löwenstein-Jensen) –Moxifloxacine – 2,5 mg/ml</t>
  </si>
  <si>
    <t>Nutritive media for susceptibility testing for M.tuberculosis (Löwenstein-Jensen) -Rifampicin - 40,0 mg/ml.</t>
  </si>
  <si>
    <t>Nutritive media for susceptibility testing for
M.tuberculosis (Löwenstein-Jensen) -Rifampicin - 40,0 mg/ml.</t>
  </si>
  <si>
    <t>Nutritive media for susceptibility testing for M.tuberculosis (Löwenstein-Jensen)-Amikacin– 30,0 mg/ml</t>
  </si>
  <si>
    <t>Nutritive media for susceptibility testing for
M.tuberculosis (Löwenstein-Jensen)-Amikacin– 30,0 mg/ml</t>
  </si>
  <si>
    <t>Nutritive media for susceptibility testing for M.tuberculosis (Löwenstein-Jensen)-Capreomycin– 40,0 mg/ml</t>
  </si>
  <si>
    <t>Nutritive media for susceptibility testing for
M.tuberculosis (Löwenstein-Jensen)-Capreomycin– 40,0 mg/ml</t>
  </si>
  <si>
    <t>Nutritive media for susceptibility testing for M.tuberculosis (Löwenstein-Jensen)-Ethionamide – 40,0 mg/ml</t>
  </si>
  <si>
    <t>Nutritive media for susceptibility testing for
M.tuberculosis (Löwenstein-Jensen)-Ethionamide – 40,0 mg/ml</t>
  </si>
  <si>
    <t>Nutritive media for susceptibility testing for M.tuberculosis (Löwenstein-Jensen)-Levofloxacin – 2,0 mg/ml</t>
  </si>
  <si>
    <t>Nutritive media for susceptibility testing for
M.tuberculosis (Löwenstein-Jensen)-Levofloxacin – 2,0 mg/ml</t>
  </si>
  <si>
    <t xml:space="preserve">TB ID Test </t>
  </si>
  <si>
    <t>Bactec</t>
  </si>
  <si>
    <t>Agitator magnetic</t>
  </si>
  <si>
    <t>Anemometru</t>
  </si>
  <si>
    <t>BACTEC MGIT 960 System</t>
  </si>
  <si>
    <t>Baie de apa 7 litri</t>
  </si>
  <si>
    <t>Balanță analitică</t>
  </si>
  <si>
    <t>Centrifuga cu refrigerare</t>
  </si>
  <si>
    <t>Coagulator pentru medii de cultura</t>
  </si>
  <si>
    <t>Coagulator for culture media</t>
  </si>
  <si>
    <t>Detector de particole pentru hote</t>
  </si>
  <si>
    <t>Particle hunter</t>
  </si>
  <si>
    <t>Filtre pentru hote de securitate</t>
  </si>
  <si>
    <t>Filters for biosafety cabinet</t>
  </si>
  <si>
    <t>Fumigator</t>
  </si>
  <si>
    <t>Hota de securitate biologică (HSB) cu UPS – 3000 VA – 2100 W pentru HSB</t>
  </si>
  <si>
    <t>Microcentrifuga</t>
  </si>
  <si>
    <t>Minicentrifuga</t>
  </si>
  <si>
    <t>pH-metru</t>
  </si>
  <si>
    <t>Termometru cu alarma 0-50 C</t>
  </si>
  <si>
    <t>Alarm Thermometer 0-50 C</t>
  </si>
  <si>
    <t>Termometru cu alarma 20-90 C</t>
  </si>
  <si>
    <t>Alarm Thermometer 20-90 C</t>
  </si>
  <si>
    <t>Termometru cu alarma 50-200 C</t>
  </si>
  <si>
    <t>Alarm Thermometer 50-200 C</t>
  </si>
  <si>
    <t>Termometru pentru congelatoare de laborator</t>
  </si>
  <si>
    <t>Thermoblock/Thermo heater</t>
  </si>
  <si>
    <t xml:space="preserve">Thermocycler, 96 poziții pentru tuburi de  0.2 ml </t>
  </si>
  <si>
    <t>Hain</t>
  </si>
  <si>
    <t>Total GFATM</t>
  </si>
  <si>
    <t>New Xpert XDR modules, Left bank</t>
  </si>
  <si>
    <t>New Xpert XDR modules, Right bank</t>
  </si>
  <si>
    <t>Rght bank</t>
  </si>
  <si>
    <r>
      <t>Functional modules</t>
    </r>
    <r>
      <rPr>
        <sz val="11"/>
        <color theme="1"/>
        <rFont val="Calibri"/>
        <family val="2"/>
        <charset val="204"/>
      </rPr>
      <t>*</t>
    </r>
  </si>
  <si>
    <t>a. Replacement of modules</t>
  </si>
  <si>
    <t>% of replacement</t>
  </si>
  <si>
    <t>CNAM/BL malul stang</t>
  </si>
  <si>
    <t>Xpert replacement module</t>
  </si>
  <si>
    <t>Cost total, USD</t>
  </si>
  <si>
    <t>b. Calibration of modules</t>
  </si>
  <si>
    <t xml:space="preserve">XpertCheck Calibration Pack for GeneXpert GX-IV 4-Module System </t>
  </si>
  <si>
    <t>c. Other service and repairs</t>
  </si>
  <si>
    <r>
      <t>Module functionale</t>
    </r>
    <r>
      <rPr>
        <sz val="11"/>
        <color theme="1"/>
        <rFont val="Calibri"/>
        <family val="2"/>
        <charset val="204"/>
      </rPr>
      <t>*</t>
    </r>
  </si>
  <si>
    <t>Total, Malul Drept</t>
  </si>
  <si>
    <t>6.2.5.3. Mententanta Xpert, inlocuire module (Malul Drept)</t>
  </si>
  <si>
    <t>6.2.5.3. Mententanta Xpert, inlocuire module (Malul Stang)</t>
  </si>
  <si>
    <t>6.2.5.3. Mententanta Xpert, calibrare si reparatie (Malul Drept)</t>
  </si>
  <si>
    <t>6.2.5.3. Mententanta Xpert, calibrare si reparatie (Malul Stang)</t>
  </si>
  <si>
    <t>2.1.1.1. Cost teste Xpert_Malul Drept</t>
  </si>
  <si>
    <t>2.1.1.1. Cost teste Xpert_Malul Stang</t>
  </si>
  <si>
    <t>2.1.1.2. Procurare Xpert MTB/XDR</t>
  </si>
  <si>
    <t>2.1.1.2. Procurarea cartrige Xpert MTB/XDR</t>
  </si>
  <si>
    <t xml:space="preserve">6.1.2.2. Actualizarea, integrarea, menținerea și ajustarea continuă a sistemului informațional de colectare a datelor, inclusiv a sistemului informațional de M&amp;E </t>
  </si>
  <si>
    <t>6.1.2.2. Actualizarea, integrarea, menținerea și ajustarea continuă a sistemului informațional de colectare a datelor, inclusiv a sistemului informațional de M&amp;E  (specialist IT)</t>
  </si>
  <si>
    <t>6.1.2.2. Actualizarea, integrarea, menținerea și ajustarea continuă a sistemului informațional de colectare a datelor, inclusiv a sistemului informațional de M&amp;E  (achizitie calculatoare)</t>
  </si>
  <si>
    <t>Covered from GDF Grant 2020</t>
  </si>
  <si>
    <t>6.1.2.1. Sustinerea echipei PNCT, inclusiv costuri administrative</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</si>
</sst>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3" formatCode="_(* #,##0.00_);_(* \(#,##0.00\);_(* &quot;-&quot;??_);_(@_)"/>
    <numFmt numFmtId="164" formatCode="_-* #,##0.00_-;\-* #,##0.00_-;_-* &quot;-&quot;??_-;_-@_-"/>
    <numFmt numFmtId="165" formatCode="_-* #,##0.00_L_-;\-* #,##0.00_L_-;_-* &quot;-&quot;??_L_-;_-@_-"/>
    <numFmt numFmtId="166" formatCode="0.0"/>
    <numFmt numFmtId="167" formatCode="0.0%"/>
    <numFmt numFmtId="168" formatCode="#,##0.0"/>
    <numFmt numFmtId="169" formatCode="_(&quot;$&quot;* #,##0.00_);_(&quot;$&quot;* \(#,##0.00\);_(&quot;$&quot;* &quot;-&quot;??_);_(@_)"/>
    <numFmt numFmtId="170" formatCode="#,##0.00&quot;L&quot;"/>
    <numFmt numFmtId="171" formatCode="[$$-409]#,##0.00"/>
    <numFmt numFmtId="172" formatCode="#,##0.00\ [$USD]"/>
    <numFmt numFmtId="173" formatCode="#,##0.00_р_."/>
    <numFmt numFmtId="174" formatCode="#,##0.000_р_."/>
    <numFmt numFmtId="175" formatCode="#,##0_р_."/>
    <numFmt numFmtId="176" formatCode="_ [$€-413]\ * #,##0.00_ ;_ [$€-413]\ * \-#,##0.00_ ;_ [$€-413]\ * &quot;-&quot;_ ;_ @_ "/>
    <numFmt numFmtId="177" formatCode="dd/mm/yy;@"/>
    <numFmt numFmtId="178" formatCode="#,##0.0000"/>
    <numFmt numFmtId="179" formatCode="_-* #,##0.00\ [$MDL]_-;\-* #,##0.00\ [$MDL]_-;_-* &quot;-&quot;??\ [$MDL]_-;_-@_-"/>
    <numFmt numFmtId="180" formatCode="_(* #,##0_);_(* \(#,##0\);_(* &quot;-&quot;??_);_(@_)"/>
    <numFmt numFmtId="181" formatCode="[$€-2]\ #,##0.00"/>
    <numFmt numFmtId="182" formatCode="_ [$€-413]\ * #,##0.0000_ ;_ [$€-413]\ * \-#,##0.0000_ ;_ [$€-413]\ * &quot;-&quot;_ ;_ @_ "/>
    <numFmt numFmtId="183" formatCode="_-[$€-2]\ * #,##0.00_-;\-[$€-2]\ * #,##0.00_-;_-[$€-2]\ * &quot;-&quot;??_-;_-@_-"/>
    <numFmt numFmtId="184" formatCode="#,##0.00_ ;\-#,##0.00\ "/>
    <numFmt numFmtId="185" formatCode="#,##0_ ;\-#,##0\ "/>
    <numFmt numFmtId="186" formatCode="_([$€-2]\ * #,##0.00_);_([$€-2]\ * \(#,##0.00\);_([$€-2]\ * &quot;-&quot;??_);_(@_)"/>
    <numFmt numFmtId="187" formatCode="#,##0.0_р_."/>
    <numFmt numFmtId="188" formatCode="#,##0.00\ [$€-1]"/>
  </numFmts>
  <fonts count="267">
    <font>
      <sz val="11"/>
      <color theme="1"/>
      <name val="Calibri"/>
      <family val="2"/>
      <charset val="238"/>
      <scheme val="minor"/>
    </font>
    <font>
      <sz val="11"/>
      <color theme="1"/>
      <name val="Calibri"/>
      <family val="2"/>
      <charset val="204"/>
      <scheme val="minor"/>
    </font>
    <font>
      <sz val="11"/>
      <color theme="1"/>
      <name val="Calibri"/>
      <family val="2"/>
      <charset val="238"/>
      <scheme val="minor"/>
    </font>
    <font>
      <b/>
      <sz val="11"/>
      <color theme="1"/>
      <name val="Arial"/>
      <family val="2"/>
      <charset val="204"/>
    </font>
    <font>
      <b/>
      <sz val="10"/>
      <color theme="1"/>
      <name val="Arial"/>
      <family val="2"/>
      <charset val="204"/>
    </font>
    <font>
      <sz val="10"/>
      <color theme="1"/>
      <name val="Arial"/>
      <family val="2"/>
      <charset val="204"/>
    </font>
    <font>
      <sz val="10"/>
      <color rgb="FFFF0000"/>
      <name val="Arial"/>
      <family val="2"/>
      <charset val="204"/>
    </font>
    <font>
      <sz val="12"/>
      <name val="Arial"/>
      <family val="2"/>
      <charset val="204"/>
    </font>
    <font>
      <sz val="11"/>
      <name val="Calibri"/>
      <family val="2"/>
      <scheme val="minor"/>
    </font>
    <font>
      <b/>
      <sz val="11"/>
      <name val="Calibri"/>
      <family val="2"/>
      <scheme val="minor"/>
    </font>
    <font>
      <b/>
      <i/>
      <sz val="11"/>
      <name val="Calibri"/>
      <family val="2"/>
      <scheme val="minor"/>
    </font>
    <font>
      <b/>
      <i/>
      <sz val="11"/>
      <name val="Calibri"/>
      <family val="2"/>
      <charset val="204"/>
      <scheme val="minor"/>
    </font>
    <font>
      <sz val="11"/>
      <color theme="3" tint="0.39997558519241921"/>
      <name val="Calibri"/>
      <family val="2"/>
      <scheme val="minor"/>
    </font>
    <font>
      <b/>
      <sz val="11"/>
      <name val="Calibri"/>
      <family val="2"/>
      <charset val="204"/>
      <scheme val="minor"/>
    </font>
    <font>
      <b/>
      <sz val="12"/>
      <name val="Calibri"/>
      <family val="2"/>
      <charset val="204"/>
      <scheme val="minor"/>
    </font>
    <font>
      <sz val="10"/>
      <name val="Calibri"/>
      <family val="2"/>
      <charset val="204"/>
      <scheme val="minor"/>
    </font>
    <font>
      <sz val="11"/>
      <name val="Calibri"/>
      <family val="2"/>
      <charset val="204"/>
      <scheme val="minor"/>
    </font>
    <font>
      <sz val="11"/>
      <color rgb="FFFF0000"/>
      <name val="Calibri"/>
      <family val="2"/>
      <scheme val="minor"/>
    </font>
    <font>
      <b/>
      <sz val="11"/>
      <color theme="1"/>
      <name val="Calibri"/>
      <family val="2"/>
      <charset val="204"/>
      <scheme val="minor"/>
    </font>
    <font>
      <sz val="10"/>
      <color rgb="FFFF0000"/>
      <name val="Calibri"/>
      <family val="2"/>
      <scheme val="minor"/>
    </font>
    <font>
      <sz val="10"/>
      <color theme="1"/>
      <name val="Calibri"/>
      <family val="2"/>
      <scheme val="minor"/>
    </font>
    <font>
      <sz val="9"/>
      <name val="Calibri"/>
      <family val="2"/>
      <scheme val="minor"/>
    </font>
    <font>
      <b/>
      <sz val="11"/>
      <color rgb="FFFF0000"/>
      <name val="Calibri"/>
      <family val="2"/>
      <charset val="204"/>
      <scheme val="minor"/>
    </font>
    <font>
      <sz val="11"/>
      <color rgb="FFFF0000"/>
      <name val="Calibri"/>
      <family val="2"/>
      <charset val="204"/>
      <scheme val="minor"/>
    </font>
    <font>
      <sz val="9"/>
      <color rgb="FFFF0000"/>
      <name val="Calibri"/>
      <family val="2"/>
      <scheme val="minor"/>
    </font>
    <font>
      <sz val="10"/>
      <name val="Arial Cyr"/>
      <charset val="204"/>
    </font>
    <font>
      <sz val="10"/>
      <name val="Calibri"/>
      <family val="2"/>
      <scheme val="minor"/>
    </font>
    <font>
      <b/>
      <sz val="14"/>
      <name val="Calibri"/>
      <family val="2"/>
      <scheme val="minor"/>
    </font>
    <font>
      <sz val="14"/>
      <color theme="1"/>
      <name val="Calibri"/>
      <family val="2"/>
      <scheme val="minor"/>
    </font>
    <font>
      <sz val="10"/>
      <color theme="1"/>
      <name val="Calibri"/>
      <family val="2"/>
      <charset val="238"/>
      <scheme val="minor"/>
    </font>
    <font>
      <sz val="10"/>
      <name val="Calibri"/>
      <family val="2"/>
      <charset val="238"/>
    </font>
    <font>
      <b/>
      <sz val="10"/>
      <name val="Calibri"/>
      <family val="2"/>
      <charset val="238"/>
    </font>
    <font>
      <b/>
      <i/>
      <sz val="9"/>
      <name val="Calibri"/>
      <family val="2"/>
      <charset val="238"/>
    </font>
    <font>
      <b/>
      <i/>
      <sz val="10"/>
      <name val="Calibri"/>
      <family val="2"/>
      <charset val="238"/>
    </font>
    <font>
      <b/>
      <i/>
      <sz val="10"/>
      <color theme="1"/>
      <name val="Calibri"/>
      <family val="2"/>
      <charset val="238"/>
    </font>
    <font>
      <b/>
      <sz val="9"/>
      <name val="Calibri"/>
      <family val="2"/>
      <charset val="204"/>
    </font>
    <font>
      <b/>
      <sz val="10"/>
      <color theme="1"/>
      <name val="Calibri"/>
      <family val="2"/>
      <charset val="238"/>
    </font>
    <font>
      <sz val="9"/>
      <name val="Calibri"/>
      <family val="2"/>
      <charset val="238"/>
    </font>
    <font>
      <sz val="8"/>
      <name val="Verdana"/>
      <family val="2"/>
    </font>
    <font>
      <sz val="10"/>
      <color rgb="FFFF0000"/>
      <name val="Calibri"/>
      <family val="2"/>
      <charset val="238"/>
      <scheme val="minor"/>
    </font>
    <font>
      <sz val="8"/>
      <name val="Calibri"/>
      <family val="2"/>
      <charset val="238"/>
    </font>
    <font>
      <sz val="10"/>
      <color theme="1"/>
      <name val="Calibri"/>
      <family val="2"/>
      <charset val="238"/>
    </font>
    <font>
      <b/>
      <i/>
      <sz val="10"/>
      <name val="Calibri"/>
      <family val="2"/>
      <charset val="204"/>
    </font>
    <font>
      <b/>
      <i/>
      <sz val="10"/>
      <color theme="1"/>
      <name val="Calibri"/>
      <family val="2"/>
      <charset val="204"/>
    </font>
    <font>
      <b/>
      <sz val="10"/>
      <name val="Calibri"/>
      <family val="2"/>
      <charset val="204"/>
    </font>
    <font>
      <sz val="10"/>
      <color theme="1"/>
      <name val="Calibri"/>
      <family val="2"/>
      <charset val="204"/>
    </font>
    <font>
      <b/>
      <i/>
      <sz val="14"/>
      <name val="Calibri"/>
      <family val="2"/>
      <scheme val="minor"/>
    </font>
    <font>
      <sz val="10"/>
      <name val="Calibri"/>
      <family val="2"/>
      <charset val="238"/>
      <scheme val="minor"/>
    </font>
    <font>
      <b/>
      <sz val="10"/>
      <name val="Calibri"/>
      <family val="2"/>
      <charset val="238"/>
      <scheme val="minor"/>
    </font>
    <font>
      <b/>
      <u/>
      <sz val="10"/>
      <name val="Calibri"/>
      <family val="2"/>
      <charset val="238"/>
      <scheme val="minor"/>
    </font>
    <font>
      <sz val="11"/>
      <name val="Calibri"/>
      <family val="2"/>
      <charset val="238"/>
      <scheme val="minor"/>
    </font>
    <font>
      <b/>
      <u/>
      <sz val="10"/>
      <name val="Calibri"/>
      <family val="2"/>
      <charset val="238"/>
    </font>
    <font>
      <i/>
      <sz val="9"/>
      <name val="Calibri"/>
      <family val="2"/>
      <charset val="238"/>
      <scheme val="minor"/>
    </font>
    <font>
      <sz val="11"/>
      <color theme="2" tint="-0.249977111117893"/>
      <name val="Calibri"/>
      <family val="2"/>
      <scheme val="minor"/>
    </font>
    <font>
      <sz val="14"/>
      <color theme="2" tint="-0.249977111117893"/>
      <name val="Calibri"/>
      <family val="2"/>
      <scheme val="minor"/>
    </font>
    <font>
      <b/>
      <sz val="16"/>
      <color theme="1"/>
      <name val="Calibri"/>
      <family val="2"/>
      <scheme val="minor"/>
    </font>
    <font>
      <b/>
      <sz val="11"/>
      <color theme="1"/>
      <name val="Calibri"/>
      <family val="2"/>
      <scheme val="minor"/>
    </font>
    <font>
      <sz val="11"/>
      <color theme="0" tint="-0.14999847407452621"/>
      <name val="Calibri"/>
      <family val="2"/>
      <charset val="238"/>
      <scheme val="minor"/>
    </font>
    <font>
      <b/>
      <u/>
      <sz val="10"/>
      <name val="Calibri"/>
      <family val="2"/>
      <scheme val="minor"/>
    </font>
    <font>
      <b/>
      <u/>
      <sz val="10"/>
      <name val="Calibri"/>
      <family val="2"/>
    </font>
    <font>
      <b/>
      <sz val="11"/>
      <color theme="2" tint="-0.249977111117893"/>
      <name val="Calibri"/>
      <family val="2"/>
      <charset val="204"/>
      <scheme val="minor"/>
    </font>
    <font>
      <b/>
      <sz val="10"/>
      <name val="Calibri"/>
      <family val="2"/>
      <charset val="204"/>
      <scheme val="minor"/>
    </font>
    <font>
      <sz val="16"/>
      <color theme="1"/>
      <name val="Calibri"/>
      <family val="2"/>
      <charset val="204"/>
      <scheme val="minor"/>
    </font>
    <font>
      <sz val="11"/>
      <color theme="2" tint="-0.249977111117893"/>
      <name val="Calibri"/>
      <family val="2"/>
      <charset val="204"/>
      <scheme val="minor"/>
    </font>
    <font>
      <sz val="14"/>
      <color theme="1"/>
      <name val="Calibri"/>
      <family val="2"/>
      <charset val="204"/>
      <scheme val="minor"/>
    </font>
    <font>
      <sz val="11"/>
      <color theme="1"/>
      <name val="Calibri"/>
      <family val="2"/>
      <charset val="204"/>
      <scheme val="minor"/>
    </font>
    <font>
      <sz val="8"/>
      <name val="Calibri"/>
      <family val="2"/>
      <charset val="238"/>
      <scheme val="minor"/>
    </font>
    <font>
      <b/>
      <sz val="16"/>
      <color theme="1"/>
      <name val="Calibri"/>
      <family val="2"/>
      <charset val="204"/>
      <scheme val="minor"/>
    </font>
    <font>
      <i/>
      <sz val="11"/>
      <color theme="2" tint="-0.249977111117893"/>
      <name val="Calibri"/>
      <family val="2"/>
      <charset val="204"/>
      <scheme val="minor"/>
    </font>
    <font>
      <sz val="11"/>
      <color theme="2" tint="-0.249977111117893"/>
      <name val="Calibri"/>
      <family val="2"/>
      <charset val="238"/>
      <scheme val="minor"/>
    </font>
    <font>
      <sz val="10"/>
      <name val="Arial"/>
      <family val="2"/>
    </font>
    <font>
      <sz val="12"/>
      <name val="Calibri"/>
      <family val="2"/>
      <charset val="204"/>
      <scheme val="minor"/>
    </font>
    <font>
      <sz val="11"/>
      <color rgb="FFFF0000"/>
      <name val="Calibri"/>
      <family val="2"/>
      <charset val="238"/>
      <scheme val="minor"/>
    </font>
    <font>
      <b/>
      <sz val="14"/>
      <color theme="1"/>
      <name val="Calibri"/>
      <family val="2"/>
      <charset val="204"/>
      <scheme val="minor"/>
    </font>
    <font>
      <b/>
      <sz val="9"/>
      <color indexed="81"/>
      <name val="Tahoma"/>
      <family val="2"/>
      <charset val="204"/>
    </font>
    <font>
      <sz val="9"/>
      <color indexed="81"/>
      <name val="Tahoma"/>
      <family val="2"/>
      <charset val="204"/>
    </font>
    <font>
      <sz val="11"/>
      <color theme="4" tint="0.39997558519241921"/>
      <name val="Calibri"/>
      <family val="2"/>
      <scheme val="minor"/>
    </font>
    <font>
      <sz val="11"/>
      <color theme="0" tint="-0.249977111117893"/>
      <name val="Calibri"/>
      <family val="2"/>
      <scheme val="minor"/>
    </font>
    <font>
      <b/>
      <sz val="14"/>
      <color theme="1"/>
      <name val="Calibri"/>
      <family val="2"/>
      <scheme val="minor"/>
    </font>
    <font>
      <b/>
      <sz val="14"/>
      <color theme="0" tint="-0.14999847407452621"/>
      <name val="Calibri"/>
      <family val="2"/>
      <scheme val="minor"/>
    </font>
    <font>
      <i/>
      <sz val="11"/>
      <color theme="1"/>
      <name val="Calibri"/>
      <family val="2"/>
      <charset val="204"/>
      <scheme val="minor"/>
    </font>
    <font>
      <sz val="10"/>
      <name val="Times"/>
    </font>
    <font>
      <sz val="10"/>
      <color theme="1"/>
      <name val="Arial"/>
      <family val="2"/>
      <charset val="204"/>
    </font>
    <font>
      <u/>
      <sz val="11"/>
      <color theme="10"/>
      <name val="Calibri"/>
      <family val="2"/>
      <charset val="238"/>
      <scheme val="minor"/>
    </font>
    <font>
      <sz val="9"/>
      <color theme="1"/>
      <name val="Arial"/>
      <family val="2"/>
      <charset val="204"/>
    </font>
    <font>
      <sz val="10"/>
      <color rgb="FFFF0000"/>
      <name val="Times"/>
    </font>
    <font>
      <b/>
      <i/>
      <sz val="16"/>
      <color theme="8" tint="-0.249977111117893"/>
      <name val="Calibri"/>
      <family val="2"/>
      <charset val="204"/>
      <scheme val="minor"/>
    </font>
    <font>
      <b/>
      <sz val="16"/>
      <color theme="8" tint="-0.249977111117893"/>
      <name val="Calibri"/>
      <family val="2"/>
      <charset val="204"/>
      <scheme val="minor"/>
    </font>
    <font>
      <sz val="11"/>
      <color theme="8" tint="-0.249977111117893"/>
      <name val="Calibri"/>
      <family val="2"/>
      <charset val="204"/>
      <scheme val="minor"/>
    </font>
    <font>
      <sz val="16"/>
      <color theme="2" tint="-9.9978637043366805E-2"/>
      <name val="Calibri"/>
      <family val="2"/>
      <charset val="204"/>
      <scheme val="minor"/>
    </font>
    <font>
      <sz val="16"/>
      <color theme="8" tint="-0.249977111117893"/>
      <name val="Calibri"/>
      <family val="2"/>
      <charset val="204"/>
      <scheme val="minor"/>
    </font>
    <font>
      <b/>
      <sz val="12"/>
      <color theme="8" tint="-0.249977111117893"/>
      <name val="Calibri"/>
      <family val="2"/>
      <charset val="204"/>
      <scheme val="minor"/>
    </font>
    <font>
      <sz val="10"/>
      <color rgb="FFFF0000"/>
      <name val="Calibri"/>
      <family val="2"/>
      <charset val="204"/>
      <scheme val="minor"/>
    </font>
    <font>
      <sz val="12"/>
      <color theme="1"/>
      <name val="Calibri"/>
      <family val="2"/>
      <charset val="204"/>
      <scheme val="minor"/>
    </font>
    <font>
      <sz val="12"/>
      <color theme="0" tint="-0.249977111117893"/>
      <name val="Calibri"/>
      <family val="2"/>
      <charset val="204"/>
      <scheme val="minor"/>
    </font>
    <font>
      <sz val="12"/>
      <color theme="0" tint="-0.14999847407452621"/>
      <name val="Calibri"/>
      <family val="2"/>
      <charset val="204"/>
      <scheme val="minor"/>
    </font>
    <font>
      <b/>
      <sz val="12"/>
      <color theme="1"/>
      <name val="Calibri"/>
      <family val="2"/>
      <charset val="204"/>
      <scheme val="minor"/>
    </font>
    <font>
      <i/>
      <sz val="12"/>
      <color theme="1"/>
      <name val="Calibri"/>
      <family val="2"/>
      <charset val="204"/>
      <scheme val="minor"/>
    </font>
    <font>
      <sz val="12"/>
      <color theme="8" tint="-0.249977111117893"/>
      <name val="Calibri"/>
      <family val="2"/>
      <charset val="204"/>
      <scheme val="minor"/>
    </font>
    <font>
      <sz val="12"/>
      <color rgb="FFFF0000"/>
      <name val="Calibri"/>
      <family val="2"/>
      <charset val="204"/>
      <scheme val="minor"/>
    </font>
    <font>
      <b/>
      <i/>
      <sz val="12"/>
      <color theme="8" tint="-0.249977111117893"/>
      <name val="Calibri"/>
      <family val="2"/>
      <charset val="204"/>
      <scheme val="minor"/>
    </font>
    <font>
      <sz val="11"/>
      <color theme="0" tint="-0.14999847407452621"/>
      <name val="Calibri"/>
      <family val="2"/>
      <scheme val="minor"/>
    </font>
    <font>
      <sz val="14"/>
      <color theme="0" tint="-0.14999847407452621"/>
      <name val="Calibri"/>
      <family val="2"/>
      <scheme val="minor"/>
    </font>
    <font>
      <sz val="12"/>
      <color theme="9" tint="-0.249977111117893"/>
      <name val="Calibri"/>
      <family val="2"/>
      <charset val="204"/>
      <scheme val="minor"/>
    </font>
    <font>
      <sz val="11"/>
      <color rgb="FF9C0006"/>
      <name val="Calibri"/>
      <family val="2"/>
      <charset val="238"/>
      <scheme val="minor"/>
    </font>
    <font>
      <b/>
      <sz val="11"/>
      <color theme="0"/>
      <name val="Calibri"/>
      <family val="2"/>
      <charset val="238"/>
      <scheme val="minor"/>
    </font>
    <font>
      <sz val="12"/>
      <color theme="1"/>
      <name val="Calibri Light"/>
      <family val="1"/>
      <scheme val="major"/>
    </font>
    <font>
      <sz val="12"/>
      <name val="Calibri Light"/>
      <family val="1"/>
      <scheme val="major"/>
    </font>
    <font>
      <sz val="12"/>
      <color theme="1"/>
      <name val="Calibri"/>
      <family val="2"/>
      <scheme val="minor"/>
    </font>
    <font>
      <b/>
      <sz val="12"/>
      <color indexed="10"/>
      <name val="Calibri"/>
      <family val="2"/>
    </font>
    <font>
      <sz val="12"/>
      <color indexed="10"/>
      <name val="Calibri"/>
      <family val="2"/>
    </font>
    <font>
      <b/>
      <sz val="12"/>
      <color indexed="10"/>
      <name val="Cambria"/>
      <family val="1"/>
    </font>
    <font>
      <sz val="12"/>
      <color indexed="10"/>
      <name val="Cambria"/>
      <family val="1"/>
    </font>
    <font>
      <b/>
      <sz val="12"/>
      <color theme="1"/>
      <name val="Calibri Light"/>
      <family val="1"/>
      <scheme val="major"/>
    </font>
    <font>
      <sz val="12"/>
      <color indexed="8"/>
      <name val="Cambria"/>
      <family val="1"/>
    </font>
    <font>
      <u/>
      <sz val="12"/>
      <color indexed="40"/>
      <name val="Cambria"/>
      <family val="1"/>
    </font>
    <font>
      <b/>
      <sz val="12"/>
      <color indexed="8"/>
      <name val="Cambria"/>
      <family val="1"/>
    </font>
    <font>
      <sz val="12"/>
      <name val="Cambria"/>
      <family val="1"/>
    </font>
    <font>
      <b/>
      <sz val="12"/>
      <name val="Cambria"/>
      <family val="1"/>
    </font>
    <font>
      <i/>
      <sz val="12"/>
      <color indexed="8"/>
      <name val="Cambria"/>
      <family val="1"/>
    </font>
    <font>
      <b/>
      <sz val="10"/>
      <color rgb="FF002060"/>
      <name val="Calibri Light"/>
      <family val="1"/>
      <scheme val="major"/>
    </font>
    <font>
      <sz val="14"/>
      <color theme="2" tint="-9.9978637043366805E-2"/>
      <name val="Calibri"/>
      <family val="2"/>
      <scheme val="minor"/>
    </font>
    <font>
      <sz val="11"/>
      <color indexed="8"/>
      <name val="Calibri"/>
      <family val="2"/>
      <charset val="204"/>
    </font>
    <font>
      <sz val="10"/>
      <name val="Arial"/>
      <family val="2"/>
      <charset val="204"/>
    </font>
    <font>
      <b/>
      <sz val="11"/>
      <color theme="0"/>
      <name val="Calibri"/>
      <family val="2"/>
      <charset val="204"/>
      <scheme val="minor"/>
    </font>
    <font>
      <b/>
      <sz val="14"/>
      <color theme="0" tint="-0.249977111117893"/>
      <name val="Calibri"/>
      <family val="2"/>
      <scheme val="minor"/>
    </font>
    <font>
      <sz val="11"/>
      <color theme="4" tint="0.39997558519241921"/>
      <name val="Calibri"/>
      <family val="2"/>
      <charset val="238"/>
      <scheme val="minor"/>
    </font>
    <font>
      <b/>
      <sz val="11"/>
      <color theme="1"/>
      <name val="Calibri"/>
      <family val="2"/>
      <charset val="238"/>
      <scheme val="minor"/>
    </font>
    <font>
      <sz val="10"/>
      <color theme="1"/>
      <name val="Times New Roman"/>
      <family val="1"/>
      <charset val="204"/>
    </font>
    <font>
      <b/>
      <sz val="10"/>
      <color theme="1"/>
      <name val="Times New Roman"/>
      <family val="1"/>
      <charset val="204"/>
    </font>
    <font>
      <b/>
      <u/>
      <sz val="14"/>
      <name val="Times New Roman"/>
      <family val="1"/>
      <charset val="204"/>
    </font>
    <font>
      <sz val="10"/>
      <name val="Times New Roman"/>
      <family val="1"/>
      <charset val="204"/>
    </font>
    <font>
      <sz val="9"/>
      <name val="Times New Roman"/>
      <family val="1"/>
      <charset val="204"/>
    </font>
    <font>
      <b/>
      <sz val="10"/>
      <name val="Times New Roman"/>
      <family val="1"/>
      <charset val="204"/>
    </font>
    <font>
      <sz val="8"/>
      <name val="Times New Roman"/>
      <family val="1"/>
      <charset val="204"/>
    </font>
    <font>
      <sz val="10"/>
      <name val="Arial CE"/>
      <family val="2"/>
      <charset val="238"/>
    </font>
    <font>
      <b/>
      <u/>
      <sz val="12"/>
      <name val="Times New Roman"/>
      <family val="1"/>
      <charset val="204"/>
    </font>
    <font>
      <b/>
      <sz val="12"/>
      <name val="Arial"/>
      <family val="2"/>
      <charset val="204"/>
    </font>
    <font>
      <b/>
      <sz val="11"/>
      <name val="Arial"/>
      <family val="2"/>
      <charset val="204"/>
    </font>
    <font>
      <b/>
      <sz val="10"/>
      <name val="Arial"/>
      <family val="2"/>
      <charset val="204"/>
    </font>
    <font>
      <b/>
      <sz val="9"/>
      <name val="Arial"/>
      <family val="2"/>
      <charset val="204"/>
    </font>
    <font>
      <sz val="8"/>
      <name val="Arial"/>
      <family val="2"/>
      <charset val="204"/>
    </font>
    <font>
      <u/>
      <sz val="10"/>
      <color theme="10"/>
      <name val="Arial"/>
      <family val="2"/>
      <charset val="204"/>
    </font>
    <font>
      <sz val="9"/>
      <name val="Arial"/>
      <family val="2"/>
      <charset val="204"/>
    </font>
    <font>
      <sz val="11"/>
      <color indexed="17"/>
      <name val="Calibri"/>
      <family val="2"/>
      <charset val="204"/>
    </font>
    <font>
      <sz val="11"/>
      <color theme="1"/>
      <name val="Calibri"/>
      <family val="2"/>
      <scheme val="minor"/>
    </font>
    <font>
      <sz val="12"/>
      <color rgb="FF000000"/>
      <name val="Times New Roman"/>
      <family val="1"/>
      <charset val="204"/>
    </font>
    <font>
      <sz val="12"/>
      <color theme="1"/>
      <name val="Times New Roman"/>
      <family val="1"/>
      <charset val="204"/>
    </font>
    <font>
      <b/>
      <sz val="12"/>
      <color rgb="FF000000"/>
      <name val="Times New Roman"/>
      <family val="1"/>
      <charset val="204"/>
    </font>
    <font>
      <sz val="9"/>
      <name val="Arial"/>
      <family val="2"/>
      <charset val="238"/>
    </font>
    <font>
      <sz val="10"/>
      <name val="Arial"/>
      <family val="2"/>
      <charset val="238"/>
    </font>
    <font>
      <b/>
      <sz val="12"/>
      <name val="Arial"/>
      <family val="2"/>
      <charset val="238"/>
    </font>
    <font>
      <sz val="12"/>
      <name val="Arial"/>
      <family val="2"/>
      <charset val="238"/>
    </font>
    <font>
      <sz val="12"/>
      <color rgb="FFFF0000"/>
      <name val="Calibri"/>
      <family val="2"/>
      <charset val="238"/>
      <scheme val="minor"/>
    </font>
    <font>
      <sz val="12"/>
      <color theme="1"/>
      <name val="Calibri"/>
      <family val="2"/>
      <charset val="238"/>
      <scheme val="minor"/>
    </font>
    <font>
      <sz val="12"/>
      <name val="Calibri"/>
      <family val="2"/>
      <charset val="238"/>
      <scheme val="minor"/>
    </font>
    <font>
      <b/>
      <i/>
      <sz val="11"/>
      <color theme="1"/>
      <name val="Calibri"/>
      <family val="2"/>
      <scheme val="minor"/>
    </font>
    <font>
      <b/>
      <sz val="10"/>
      <color theme="1"/>
      <name val="Calibri"/>
      <family val="2"/>
      <charset val="204"/>
      <scheme val="minor"/>
    </font>
    <font>
      <b/>
      <i/>
      <sz val="12"/>
      <name val="Arial"/>
      <family val="2"/>
      <charset val="204"/>
    </font>
    <font>
      <b/>
      <sz val="12"/>
      <color theme="1"/>
      <name val="Times New Roman"/>
      <family val="1"/>
      <charset val="204"/>
    </font>
    <font>
      <b/>
      <sz val="16"/>
      <name val="Calibri"/>
      <family val="2"/>
      <charset val="204"/>
      <scheme val="minor"/>
    </font>
    <font>
      <b/>
      <i/>
      <sz val="16"/>
      <color theme="1"/>
      <name val="Calibri"/>
      <family val="2"/>
      <charset val="204"/>
      <scheme val="minor"/>
    </font>
    <font>
      <b/>
      <i/>
      <sz val="10"/>
      <color rgb="FF333333"/>
      <name val="Tahoma"/>
      <family val="2"/>
      <charset val="204"/>
    </font>
    <font>
      <sz val="12"/>
      <color theme="4" tint="0.39997558519241921"/>
      <name val="Calibri"/>
      <family val="2"/>
      <scheme val="minor"/>
    </font>
    <font>
      <b/>
      <i/>
      <sz val="16"/>
      <name val="Calibri"/>
      <family val="2"/>
      <charset val="204"/>
      <scheme val="minor"/>
    </font>
    <font>
      <b/>
      <sz val="16"/>
      <color rgb="FFFF0000"/>
      <name val="Calibri"/>
      <family val="2"/>
      <scheme val="minor"/>
    </font>
    <font>
      <sz val="14"/>
      <name val="Calibri"/>
      <family val="2"/>
      <scheme val="minor"/>
    </font>
    <font>
      <b/>
      <sz val="14"/>
      <name val="Calibri"/>
      <family val="2"/>
      <charset val="204"/>
      <scheme val="minor"/>
    </font>
    <font>
      <b/>
      <sz val="10"/>
      <color rgb="FFFF0000"/>
      <name val="Calibri"/>
      <family val="2"/>
    </font>
    <font>
      <sz val="10"/>
      <color rgb="FFFF0000"/>
      <name val="Calibri"/>
      <family val="2"/>
    </font>
    <font>
      <sz val="11"/>
      <color theme="1"/>
      <name val="Times New Roman"/>
      <family val="1"/>
      <charset val="204"/>
    </font>
    <font>
      <sz val="10"/>
      <color rgb="FF000000"/>
      <name val="Times New Roman"/>
      <family val="1"/>
      <charset val="204"/>
    </font>
    <font>
      <b/>
      <sz val="10"/>
      <color rgb="FF000000"/>
      <name val="Times New Roman"/>
      <family val="1"/>
      <charset val="204"/>
    </font>
    <font>
      <sz val="8"/>
      <color rgb="FF000000"/>
      <name val="Arial"/>
      <family val="2"/>
      <charset val="204"/>
    </font>
    <font>
      <i/>
      <sz val="12"/>
      <color rgb="FFFF0000"/>
      <name val="Calibri"/>
      <family val="2"/>
      <charset val="204"/>
      <scheme val="minor"/>
    </font>
    <font>
      <sz val="11"/>
      <color theme="4"/>
      <name val="Calibri"/>
      <family val="2"/>
      <charset val="204"/>
      <scheme val="minor"/>
    </font>
    <font>
      <sz val="12"/>
      <color rgb="FFFF0000"/>
      <name val="Calibri"/>
      <family val="2"/>
      <scheme val="minor"/>
    </font>
    <font>
      <b/>
      <sz val="12"/>
      <color rgb="FFFF0000"/>
      <name val="Calibri"/>
      <family val="2"/>
      <scheme val="minor"/>
    </font>
    <font>
      <sz val="10"/>
      <color rgb="FFFF0000"/>
      <name val="Times New Roman"/>
      <family val="1"/>
      <charset val="204"/>
    </font>
    <font>
      <sz val="11"/>
      <color theme="4"/>
      <name val="Calibri"/>
      <family val="2"/>
      <scheme val="minor"/>
    </font>
    <font>
      <i/>
      <sz val="11"/>
      <color theme="4"/>
      <name val="Calibri"/>
      <family val="2"/>
      <scheme val="minor"/>
    </font>
    <font>
      <b/>
      <sz val="11"/>
      <color rgb="FFFF0000"/>
      <name val="Calibri"/>
      <family val="2"/>
      <scheme val="minor"/>
    </font>
    <font>
      <b/>
      <sz val="11"/>
      <name val="Calibri"/>
      <family val="2"/>
      <charset val="238"/>
      <scheme val="minor"/>
    </font>
    <font>
      <b/>
      <sz val="24"/>
      <name val="Calibri"/>
      <family val="2"/>
    </font>
    <font>
      <sz val="10"/>
      <name val="Calibri"/>
      <family val="2"/>
    </font>
    <font>
      <b/>
      <sz val="12"/>
      <name val="Calibri"/>
      <family val="2"/>
    </font>
    <font>
      <b/>
      <sz val="10"/>
      <name val="Calibri"/>
      <family val="2"/>
    </font>
    <font>
      <b/>
      <sz val="11"/>
      <name val="Calibri"/>
      <family val="2"/>
    </font>
    <font>
      <sz val="12"/>
      <name val="Calibri"/>
      <family val="2"/>
    </font>
    <font>
      <b/>
      <sz val="14"/>
      <name val="Calibri"/>
      <family val="2"/>
    </font>
    <font>
      <b/>
      <i/>
      <sz val="14"/>
      <color indexed="9"/>
      <name val="Calibri"/>
      <family val="2"/>
    </font>
    <font>
      <b/>
      <sz val="14"/>
      <color indexed="9"/>
      <name val="Calibri"/>
      <family val="2"/>
    </font>
    <font>
      <b/>
      <sz val="13"/>
      <name val="Calibri"/>
      <family val="2"/>
    </font>
    <font>
      <sz val="10"/>
      <color rgb="FFFF0000"/>
      <name val="Arial"/>
      <family val="2"/>
    </font>
    <font>
      <b/>
      <sz val="10"/>
      <color indexed="9"/>
      <name val="Calibri"/>
      <family val="2"/>
    </font>
    <font>
      <b/>
      <sz val="12"/>
      <color indexed="9"/>
      <name val="Calibri"/>
      <family val="2"/>
    </font>
    <font>
      <b/>
      <sz val="11"/>
      <color indexed="9"/>
      <name val="Calibri"/>
      <family val="2"/>
    </font>
    <font>
      <i/>
      <sz val="10"/>
      <color rgb="FFFF0000"/>
      <name val="Calibri"/>
      <family val="2"/>
      <scheme val="minor"/>
    </font>
    <font>
      <sz val="10"/>
      <name val="Cambria"/>
      <family val="1"/>
    </font>
    <font>
      <i/>
      <sz val="10"/>
      <name val="Calibri"/>
      <family val="2"/>
      <scheme val="minor"/>
    </font>
    <font>
      <sz val="11"/>
      <name val="Calibri"/>
      <family val="2"/>
      <charset val="204"/>
    </font>
    <font>
      <b/>
      <sz val="10"/>
      <name val="Calibri"/>
      <family val="2"/>
      <scheme val="minor"/>
    </font>
    <font>
      <i/>
      <sz val="10"/>
      <name val="Calibri"/>
      <family val="2"/>
      <charset val="204"/>
    </font>
    <font>
      <b/>
      <u/>
      <sz val="16"/>
      <name val="Calibri"/>
      <family val="2"/>
      <charset val="204"/>
      <scheme val="minor"/>
    </font>
    <font>
      <b/>
      <i/>
      <u/>
      <sz val="16"/>
      <name val="Calibri"/>
      <family val="2"/>
      <charset val="204"/>
      <scheme val="minor"/>
    </font>
    <font>
      <sz val="10"/>
      <name val="Calibri"/>
      <family val="2"/>
      <charset val="204"/>
    </font>
    <font>
      <b/>
      <u/>
      <sz val="11"/>
      <color theme="1"/>
      <name val="Calibri"/>
      <family val="2"/>
      <charset val="204"/>
      <scheme val="minor"/>
    </font>
    <font>
      <b/>
      <u val="singleAccounting"/>
      <sz val="12"/>
      <name val="Arial"/>
      <family val="2"/>
      <charset val="204"/>
    </font>
    <font>
      <b/>
      <sz val="10"/>
      <color rgb="FFFFFFFF"/>
      <name val="Calibri"/>
      <family val="2"/>
    </font>
    <font>
      <sz val="11"/>
      <name val="Calibri"/>
      <family val="2"/>
    </font>
    <font>
      <sz val="11"/>
      <color theme="1"/>
      <name val="Calibri"/>
      <family val="2"/>
      <charset val="204"/>
    </font>
    <font>
      <b/>
      <sz val="10"/>
      <name val="Arial"/>
      <family val="2"/>
    </font>
    <font>
      <b/>
      <sz val="12"/>
      <name val="Arial"/>
      <family val="2"/>
    </font>
    <font>
      <b/>
      <u/>
      <sz val="14"/>
      <color theme="1"/>
      <name val="Calibri"/>
      <family val="2"/>
      <charset val="204"/>
      <scheme val="minor"/>
    </font>
    <font>
      <b/>
      <u/>
      <sz val="10"/>
      <name val="Arial"/>
      <family val="2"/>
    </font>
    <font>
      <b/>
      <u/>
      <sz val="10"/>
      <name val="Arial"/>
      <family val="2"/>
      <charset val="204"/>
    </font>
    <font>
      <b/>
      <u/>
      <sz val="11"/>
      <color theme="10"/>
      <name val="Calibri"/>
      <family val="2"/>
      <charset val="204"/>
      <scheme val="minor"/>
    </font>
    <font>
      <b/>
      <sz val="10"/>
      <color rgb="FFFF0000"/>
      <name val="Arial"/>
      <family val="2"/>
    </font>
    <font>
      <sz val="11"/>
      <color theme="1"/>
      <name val="Cambria"/>
      <family val="1"/>
    </font>
    <font>
      <b/>
      <i/>
      <sz val="11"/>
      <color theme="1"/>
      <name val="Calibri"/>
      <family val="2"/>
      <charset val="204"/>
      <scheme val="minor"/>
    </font>
    <font>
      <sz val="14"/>
      <color theme="1"/>
      <name val="Calibri"/>
      <family val="2"/>
      <charset val="238"/>
      <scheme val="minor"/>
    </font>
    <font>
      <b/>
      <u/>
      <sz val="14"/>
      <color theme="1"/>
      <name val="Calibri"/>
      <family val="2"/>
      <charset val="238"/>
      <scheme val="minor"/>
    </font>
    <font>
      <sz val="10"/>
      <color rgb="FFFF0000"/>
      <name val="Calibri"/>
      <family val="2"/>
      <charset val="238"/>
    </font>
    <font>
      <sz val="11"/>
      <color theme="0"/>
      <name val="Calibri"/>
      <family val="2"/>
      <charset val="238"/>
      <scheme val="minor"/>
    </font>
    <font>
      <b/>
      <sz val="14"/>
      <color rgb="FF000000"/>
      <name val="Times New Roman"/>
      <family val="1"/>
      <charset val="204"/>
    </font>
    <font>
      <b/>
      <sz val="14"/>
      <color theme="1"/>
      <name val="Times New Roman"/>
      <family val="1"/>
      <charset val="204"/>
    </font>
    <font>
      <sz val="14"/>
      <color rgb="FF000000"/>
      <name val="Arial"/>
      <family val="2"/>
      <charset val="204"/>
    </font>
    <font>
      <b/>
      <sz val="14"/>
      <color rgb="FF000000"/>
      <name val="Arial"/>
      <family val="2"/>
      <charset val="204"/>
    </font>
    <font>
      <sz val="14"/>
      <color theme="1"/>
      <name val="Arial"/>
      <family val="2"/>
      <charset val="204"/>
    </font>
    <font>
      <sz val="14"/>
      <name val="Arial"/>
      <family val="2"/>
      <charset val="204"/>
    </font>
    <font>
      <sz val="16"/>
      <color rgb="FF00B0F0"/>
      <name val="Calibri"/>
      <family val="2"/>
      <charset val="238"/>
      <scheme val="minor"/>
    </font>
    <font>
      <sz val="14"/>
      <color theme="1"/>
      <name val="Times New Roman"/>
      <family val="1"/>
      <charset val="204"/>
    </font>
    <font>
      <b/>
      <sz val="14"/>
      <color rgb="FFFF0000"/>
      <name val="Times New Roman"/>
      <family val="1"/>
      <charset val="204"/>
    </font>
    <font>
      <b/>
      <i/>
      <sz val="10"/>
      <name val="Calibri"/>
      <family val="2"/>
      <charset val="204"/>
      <scheme val="minor"/>
    </font>
    <font>
      <b/>
      <sz val="18"/>
      <name val="Calibri"/>
      <family val="2"/>
    </font>
    <font>
      <sz val="11"/>
      <color theme="1"/>
      <name val="Calibri"/>
      <family val="2"/>
      <charset val="238"/>
    </font>
    <font>
      <b/>
      <sz val="11"/>
      <color indexed="8"/>
      <name val="Calibri"/>
      <family val="2"/>
      <charset val="204"/>
    </font>
    <font>
      <sz val="11"/>
      <color rgb="FFFF0000"/>
      <name val="Calibri"/>
      <family val="2"/>
      <charset val="204"/>
    </font>
    <font>
      <b/>
      <u/>
      <sz val="18"/>
      <color theme="1"/>
      <name val="Calibri"/>
      <family val="2"/>
      <charset val="204"/>
      <scheme val="minor"/>
    </font>
    <font>
      <sz val="14"/>
      <color rgb="FFFF0000"/>
      <name val="Calibri"/>
      <family val="2"/>
      <charset val="238"/>
      <scheme val="minor"/>
    </font>
    <font>
      <b/>
      <sz val="16"/>
      <color rgb="FFFF0000"/>
      <name val="Calibri"/>
      <family val="2"/>
      <charset val="204"/>
      <scheme val="minor"/>
    </font>
    <font>
      <sz val="10"/>
      <color rgb="FFFF0000"/>
      <name val="Cambria"/>
      <family val="1"/>
    </font>
    <font>
      <i/>
      <sz val="10"/>
      <color theme="1"/>
      <name val="Arial"/>
      <family val="2"/>
      <charset val="204"/>
    </font>
    <font>
      <b/>
      <i/>
      <sz val="10"/>
      <color theme="1"/>
      <name val="Arial"/>
      <family val="2"/>
      <charset val="204"/>
    </font>
    <font>
      <b/>
      <sz val="14"/>
      <color rgb="FF222222"/>
      <name val="Arial"/>
      <family val="2"/>
      <charset val="204"/>
    </font>
    <font>
      <b/>
      <sz val="12"/>
      <color rgb="FFFF0000"/>
      <name val="Calibri"/>
      <family val="2"/>
      <charset val="204"/>
      <scheme val="minor"/>
    </font>
    <font>
      <b/>
      <sz val="11"/>
      <color rgb="FF000000"/>
      <name val="Calibri"/>
      <family val="2"/>
      <charset val="204"/>
    </font>
    <font>
      <i/>
      <sz val="11"/>
      <color rgb="FFFF0000"/>
      <name val="Calibri"/>
      <family val="2"/>
      <charset val="204"/>
      <scheme val="minor"/>
    </font>
    <font>
      <i/>
      <sz val="12"/>
      <color theme="4" tint="0.39997558519241921"/>
      <name val="Calibri"/>
      <family val="2"/>
      <scheme val="minor"/>
    </font>
    <font>
      <b/>
      <i/>
      <sz val="14"/>
      <color theme="1"/>
      <name val="Calibri"/>
      <family val="2"/>
      <scheme val="minor"/>
    </font>
    <font>
      <b/>
      <sz val="14"/>
      <color rgb="FF000000"/>
      <name val="Calibri"/>
      <family val="2"/>
      <charset val="204"/>
    </font>
    <font>
      <b/>
      <i/>
      <sz val="14"/>
      <color theme="4" tint="0.59999389629810485"/>
      <name val="Calibri"/>
      <family val="2"/>
      <charset val="204"/>
      <scheme val="minor"/>
    </font>
    <font>
      <i/>
      <sz val="14"/>
      <color rgb="FFFF0000"/>
      <name val="Calibri"/>
      <family val="2"/>
      <charset val="204"/>
      <scheme val="minor"/>
    </font>
    <font>
      <b/>
      <sz val="14"/>
      <name val="Times New Roman"/>
      <family val="1"/>
      <charset val="204"/>
    </font>
    <font>
      <b/>
      <sz val="12"/>
      <name val="Calibri"/>
      <family val="2"/>
      <scheme val="minor"/>
    </font>
    <font>
      <i/>
      <sz val="12"/>
      <name val="Calibri"/>
      <family val="2"/>
      <scheme val="minor"/>
    </font>
    <font>
      <b/>
      <i/>
      <sz val="16"/>
      <color theme="4" tint="0.39997558519241921"/>
      <name val="Calibri"/>
      <family val="2"/>
      <charset val="204"/>
      <scheme val="minor"/>
    </font>
    <font>
      <b/>
      <sz val="16"/>
      <name val="Calibri"/>
      <family val="2"/>
      <charset val="204"/>
    </font>
    <font>
      <sz val="10"/>
      <color rgb="FFFF0000"/>
      <name val="Calibri"/>
      <family val="2"/>
      <charset val="204"/>
    </font>
    <font>
      <b/>
      <sz val="16"/>
      <name val="Calibri"/>
      <family val="2"/>
      <charset val="238"/>
      <scheme val="minor"/>
    </font>
    <font>
      <sz val="14"/>
      <name val="Calibri"/>
      <family val="2"/>
      <charset val="238"/>
      <scheme val="minor"/>
    </font>
    <font>
      <sz val="12"/>
      <color theme="1"/>
      <name val="Calibri"/>
      <family val="2"/>
      <charset val="204"/>
      <scheme val="minor"/>
    </font>
    <font>
      <sz val="14"/>
      <name val="Calibri"/>
      <family val="2"/>
    </font>
    <font>
      <sz val="11"/>
      <color rgb="FFFF0000"/>
      <name val="Calibri"/>
      <family val="2"/>
    </font>
    <font>
      <sz val="12"/>
      <color theme="3" tint="0.39997558519241921"/>
      <name val="Calibri"/>
      <family val="2"/>
      <scheme val="minor"/>
    </font>
    <font>
      <sz val="10"/>
      <color theme="3" tint="0.39997558519241921"/>
      <name val="Arial"/>
      <family val="2"/>
      <charset val="238"/>
    </font>
    <font>
      <b/>
      <u/>
      <sz val="16"/>
      <color theme="1"/>
      <name val="Calibri"/>
      <family val="2"/>
      <scheme val="minor"/>
    </font>
  </fonts>
  <fills count="64">
    <fill>
      <patternFill patternType="none"/>
    </fill>
    <fill>
      <patternFill patternType="gray125"/>
    </fill>
    <fill>
      <patternFill patternType="solid">
        <fgColor rgb="FFF2F2F2"/>
        <bgColor rgb="FFF2F2F2"/>
      </patternFill>
    </fill>
    <fill>
      <patternFill patternType="solid">
        <fgColor rgb="FFDBE5F1"/>
        <bgColor rgb="FFDBE5F1"/>
      </patternFill>
    </fill>
    <fill>
      <patternFill patternType="solid">
        <fgColor rgb="FFFFFF00"/>
        <bgColor rgb="FFFFFF00"/>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rgb="FFFF00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B6DDE8"/>
        <bgColor rgb="FFB6DDE8"/>
      </patternFill>
    </fill>
    <fill>
      <patternFill patternType="solid">
        <fgColor theme="2" tint="-0.249977111117893"/>
        <bgColor indexed="64"/>
      </patternFill>
    </fill>
    <fill>
      <patternFill patternType="solid">
        <fgColor theme="2" tint="-9.9978637043366805E-2"/>
        <bgColor rgb="FFB6DDE8"/>
      </patternFill>
    </fill>
    <fill>
      <patternFill patternType="solid">
        <fgColor theme="0" tint="-0.14999847407452621"/>
        <bgColor rgb="FFB6DDE8"/>
      </patternFill>
    </fill>
    <fill>
      <patternFill patternType="solid">
        <fgColor theme="0" tint="-0.249977111117893"/>
        <bgColor indexed="64"/>
      </patternFill>
    </fill>
    <fill>
      <patternFill patternType="solid">
        <fgColor theme="2" tint="-0.249977111117893"/>
        <bgColor rgb="FFB6DDE8"/>
      </patternFill>
    </fill>
    <fill>
      <patternFill patternType="solid">
        <fgColor theme="2"/>
        <bgColor indexed="64"/>
      </patternFill>
    </fill>
    <fill>
      <patternFill patternType="solid">
        <fgColor rgb="FFFFC7CE"/>
      </patternFill>
    </fill>
    <fill>
      <patternFill patternType="solid">
        <fgColor rgb="FFA5A5A5"/>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FF"/>
        <bgColor indexed="64"/>
      </patternFill>
    </fill>
    <fill>
      <patternFill patternType="solid">
        <fgColor theme="4"/>
        <bgColor theme="4"/>
      </patternFill>
    </fill>
    <fill>
      <patternFill patternType="solid">
        <fgColor theme="7" tint="0.79998168889431442"/>
        <bgColor rgb="FFB6DDE8"/>
      </patternFill>
    </fill>
    <fill>
      <patternFill patternType="solid">
        <fgColor indexed="22"/>
        <bgColor indexed="64"/>
      </patternFill>
    </fill>
    <fill>
      <patternFill patternType="solid">
        <fgColor indexed="42"/>
      </patternFill>
    </fill>
    <fill>
      <patternFill patternType="solid">
        <fgColor theme="0" tint="-4.9989318521683403E-2"/>
        <bgColor indexed="64"/>
      </patternFill>
    </fill>
    <fill>
      <patternFill patternType="solid">
        <fgColor rgb="FFC6E0B4"/>
        <bgColor indexed="64"/>
      </patternFill>
    </fill>
    <fill>
      <patternFill patternType="solid">
        <fgColor rgb="FF7030A0"/>
        <bgColor indexed="64"/>
      </patternFill>
    </fill>
    <fill>
      <patternFill patternType="solid">
        <fgColor rgb="FF92D050"/>
        <bgColor indexed="64"/>
      </patternFill>
    </fill>
    <fill>
      <patternFill patternType="solid">
        <fgColor theme="4" tint="0.39997558519241921"/>
        <bgColor indexed="64"/>
      </patternFill>
    </fill>
    <fill>
      <patternFill patternType="solid">
        <fgColor rgb="FF8DF1BD"/>
        <bgColor indexed="64"/>
      </patternFill>
    </fill>
    <fill>
      <patternFill patternType="solid">
        <fgColor indexed="62"/>
        <bgColor indexed="64"/>
      </patternFill>
    </fill>
    <fill>
      <patternFill patternType="solid">
        <fgColor indexed="44"/>
        <bgColor indexed="64"/>
      </patternFill>
    </fill>
    <fill>
      <patternFill patternType="solid">
        <fgColor indexed="9"/>
        <bgColor indexed="64"/>
      </patternFill>
    </fill>
    <fill>
      <patternFill patternType="solid">
        <fgColor rgb="FFC0C0C0"/>
        <bgColor rgb="FF000000"/>
      </patternFill>
    </fill>
    <fill>
      <patternFill patternType="solid">
        <fgColor rgb="FF66FFFF"/>
        <bgColor indexed="64"/>
      </patternFill>
    </fill>
    <fill>
      <patternFill patternType="solid">
        <fgColor theme="5" tint="0.59999389629810485"/>
        <bgColor rgb="FF000000"/>
      </patternFill>
    </fill>
    <fill>
      <patternFill patternType="solid">
        <fgColor rgb="FFFF6600"/>
        <bgColor indexed="64"/>
      </patternFill>
    </fill>
    <fill>
      <patternFill patternType="solid">
        <fgColor theme="0" tint="-0.249977111117893"/>
        <bgColor rgb="FF000000"/>
      </patternFill>
    </fill>
    <fill>
      <patternFill patternType="solid">
        <fgColor theme="6" tint="0.59999389629810485"/>
        <bgColor rgb="FF000000"/>
      </patternFill>
    </fill>
    <fill>
      <patternFill patternType="solid">
        <fgColor rgb="FFFFD966"/>
        <bgColor indexed="64"/>
      </patternFill>
    </fill>
    <fill>
      <patternFill patternType="solid">
        <fgColor rgb="FFFF0000"/>
        <bgColor rgb="FFB6DDE8"/>
      </patternFill>
    </fill>
    <fill>
      <patternFill patternType="solid">
        <fgColor rgb="FFFFC000"/>
        <bgColor indexed="64"/>
      </patternFill>
    </fill>
    <fill>
      <patternFill patternType="solid">
        <fgColor theme="4" tint="0.59999389629810485"/>
        <bgColor indexed="64"/>
      </patternFill>
    </fill>
    <fill>
      <patternFill patternType="solid">
        <fgColor indexed="42"/>
        <bgColor indexed="64"/>
      </patternFill>
    </fill>
    <fill>
      <patternFill patternType="solid">
        <fgColor theme="8" tint="0.79998168889431442"/>
        <bgColor indexed="64"/>
      </patternFill>
    </fill>
    <fill>
      <patternFill patternType="solid">
        <fgColor theme="4" tint="0.79998168889431442"/>
        <bgColor indexed="65"/>
      </patternFill>
    </fill>
    <fill>
      <patternFill patternType="solid">
        <fgColor rgb="FFFFF2CC"/>
        <bgColor rgb="FF000000"/>
      </patternFill>
    </fill>
    <fill>
      <patternFill patternType="solid">
        <fgColor theme="5" tint="0.39997558519241921"/>
        <bgColor indexed="64"/>
      </patternFill>
    </fill>
    <fill>
      <patternFill patternType="solid">
        <fgColor theme="0" tint="-0.34998626667073579"/>
        <bgColor indexed="64"/>
      </patternFill>
    </fill>
    <fill>
      <patternFill patternType="solid">
        <fgColor theme="0" tint="-0.14999847407452621"/>
        <bgColor rgb="FF000000"/>
      </patternFill>
    </fill>
    <fill>
      <patternFill patternType="solid">
        <fgColor theme="9" tint="0.39997558519241921"/>
        <bgColor indexed="64"/>
      </patternFill>
    </fill>
  </fills>
  <borders count="175">
    <border>
      <start/>
      <end/>
      <top/>
      <bottom/>
      <diagonal/>
    </border>
    <border>
      <start style="thin">
        <color theme="8"/>
      </start>
      <end style="medium">
        <color rgb="FF000000"/>
      </end>
      <top style="medium">
        <color rgb="FF000000"/>
      </top>
      <bottom style="medium">
        <color rgb="FF000000"/>
      </bottom>
      <diagonal/>
    </border>
    <border>
      <start style="medium">
        <color rgb="FF000000"/>
      </start>
      <end/>
      <top style="medium">
        <color rgb="FF000000"/>
      </top>
      <bottom style="medium">
        <color rgb="FF000000"/>
      </bottom>
      <diagonal/>
    </border>
    <border>
      <start style="thin">
        <color theme="8"/>
      </start>
      <end style="thin">
        <color theme="8"/>
      </end>
      <top/>
      <bottom style="thin">
        <color theme="8"/>
      </bottom>
      <diagonal/>
    </border>
    <border>
      <start style="thin">
        <color theme="8"/>
      </start>
      <end style="thin">
        <color theme="8"/>
      </end>
      <top style="thin">
        <color theme="8"/>
      </top>
      <bottom style="thin">
        <color theme="8"/>
      </bottom>
      <diagonal/>
    </border>
    <border>
      <start style="thin">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thin">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medium">
        <color indexed="64"/>
      </start>
      <end style="medium">
        <color indexed="64"/>
      </end>
      <top style="medium">
        <color indexed="64"/>
      </top>
      <bottom/>
      <diagonal/>
    </border>
    <border>
      <start/>
      <end/>
      <top style="medium">
        <color indexed="64"/>
      </top>
      <bottom/>
      <diagonal/>
    </border>
    <border>
      <start style="medium">
        <color indexed="64"/>
      </start>
      <end/>
      <top style="medium">
        <color indexed="64"/>
      </top>
      <bottom style="thin">
        <color indexed="64"/>
      </bottom>
      <diagonal/>
    </border>
    <border>
      <start style="medium">
        <color indexed="64"/>
      </start>
      <end style="medium">
        <color indexed="64"/>
      </end>
      <top/>
      <bottom/>
      <diagonal/>
    </border>
    <border>
      <start style="medium">
        <color indexed="64"/>
      </start>
      <end/>
      <top style="thin">
        <color indexed="64"/>
      </top>
      <bottom style="thin">
        <color indexed="64"/>
      </bottom>
      <diagonal/>
    </border>
    <border>
      <start style="medium">
        <color indexed="64"/>
      </start>
      <end/>
      <top style="thin">
        <color indexed="64"/>
      </top>
      <bottom style="medium">
        <color indexed="64"/>
      </bottom>
      <diagonal/>
    </border>
    <border>
      <start/>
      <end/>
      <top/>
      <bottom style="medium">
        <color indexed="64"/>
      </bottom>
      <diagonal/>
    </border>
    <border>
      <start style="medium">
        <color indexed="64"/>
      </start>
      <end style="medium">
        <color indexed="64"/>
      </end>
      <top/>
      <bottom style="medium">
        <color indexed="64"/>
      </bottom>
      <diagonal/>
    </border>
    <border>
      <start/>
      <end style="thin">
        <color indexed="64"/>
      </end>
      <top style="thin">
        <color indexed="64"/>
      </top>
      <bottom style="thin">
        <color indexed="64"/>
      </bottom>
      <diagonal/>
    </border>
    <border>
      <start/>
      <end/>
      <top style="thin">
        <color indexed="64"/>
      </top>
      <bottom style="thin">
        <color indexed="64"/>
      </bottom>
      <diagonal/>
    </border>
    <border>
      <start style="thin">
        <color indexed="64"/>
      </start>
      <end/>
      <top style="thin">
        <color indexed="64"/>
      </top>
      <bottom style="thin">
        <color indexed="64"/>
      </bottom>
      <diagonal/>
    </border>
    <border>
      <start style="medium">
        <color indexed="64"/>
      </start>
      <end/>
      <top style="medium">
        <color indexed="64"/>
      </top>
      <bottom/>
      <diagonal/>
    </border>
    <border>
      <start/>
      <end style="medium">
        <color indexed="64"/>
      </end>
      <top style="medium">
        <color indexed="64"/>
      </top>
      <bottom/>
      <diagonal/>
    </border>
    <border>
      <start style="medium">
        <color indexed="64"/>
      </start>
      <end/>
      <top/>
      <bottom/>
      <diagonal/>
    </border>
    <border>
      <start/>
      <end style="medium">
        <color indexed="64"/>
      </end>
      <top/>
      <bottom/>
      <diagonal/>
    </border>
    <border>
      <start style="medium">
        <color indexed="64"/>
      </start>
      <end/>
      <top/>
      <bottom style="medium">
        <color indexed="64"/>
      </bottom>
      <diagonal/>
    </border>
    <border>
      <start/>
      <end style="medium">
        <color indexed="64"/>
      </end>
      <top/>
      <bottom style="medium">
        <color indexed="64"/>
      </bottom>
      <diagonal/>
    </border>
    <border>
      <start/>
      <end style="thin">
        <color indexed="64"/>
      </end>
      <top style="medium">
        <color indexed="64"/>
      </top>
      <bottom style="thin">
        <color indexed="64"/>
      </bottom>
      <diagonal/>
    </border>
    <border>
      <start/>
      <end style="thin">
        <color indexed="64"/>
      </end>
      <top style="thin">
        <color indexed="64"/>
      </top>
      <bottom style="medium">
        <color indexed="64"/>
      </bottom>
      <diagonal/>
    </border>
    <border>
      <start/>
      <end style="medium">
        <color indexed="64"/>
      </end>
      <top style="thin">
        <color indexed="64"/>
      </top>
      <bottom style="thin">
        <color indexed="64"/>
      </bottom>
      <diagonal/>
    </border>
    <border>
      <start style="medium">
        <color indexed="64"/>
      </start>
      <end style="thin">
        <color indexed="64"/>
      </end>
      <top style="medium">
        <color indexed="64"/>
      </top>
      <bottom style="medium">
        <color indexed="64"/>
      </bottom>
      <diagonal/>
    </border>
    <border>
      <start style="thin">
        <color indexed="64"/>
      </start>
      <end style="thin">
        <color indexed="64"/>
      </end>
      <top style="medium">
        <color indexed="64"/>
      </top>
      <bottom style="medium">
        <color indexed="64"/>
      </bottom>
      <diagonal/>
    </border>
    <border>
      <start style="thin">
        <color indexed="64"/>
      </start>
      <end style="medium">
        <color indexed="64"/>
      </end>
      <top style="medium">
        <color indexed="64"/>
      </top>
      <bottom style="medium">
        <color indexed="64"/>
      </bottom>
      <diagonal/>
    </border>
    <border>
      <start/>
      <end style="medium">
        <color indexed="64"/>
      </end>
      <top style="thin">
        <color indexed="64"/>
      </top>
      <bottom/>
      <diagonal/>
    </border>
    <border>
      <start style="medium">
        <color indexed="64"/>
      </start>
      <end style="medium">
        <color indexed="64"/>
      </end>
      <top style="medium">
        <color indexed="64"/>
      </top>
      <bottom style="medium">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diagonal/>
    </border>
    <border>
      <start style="medium">
        <color indexed="64"/>
      </start>
      <end style="thin">
        <color indexed="64"/>
      </end>
      <top style="medium">
        <color indexed="64"/>
      </top>
      <bottom/>
      <diagonal/>
    </border>
    <border>
      <start style="thin">
        <color indexed="64"/>
      </start>
      <end style="thin">
        <color indexed="64"/>
      </end>
      <top style="medium">
        <color indexed="64"/>
      </top>
      <bottom/>
      <diagonal/>
    </border>
    <border>
      <start style="thin">
        <color indexed="64"/>
      </start>
      <end style="medium">
        <color indexed="64"/>
      </end>
      <top style="medium">
        <color indexed="64"/>
      </top>
      <bottom/>
      <diagonal/>
    </border>
    <border>
      <start/>
      <end style="medium">
        <color indexed="64"/>
      </end>
      <top style="medium">
        <color indexed="64"/>
      </top>
      <bottom style="thin">
        <color indexed="64"/>
      </bottom>
      <diagonal/>
    </border>
    <border>
      <start style="medium">
        <color indexed="64"/>
      </start>
      <end style="medium">
        <color indexed="64"/>
      </end>
      <top style="medium">
        <color indexed="64"/>
      </top>
      <bottom style="thin">
        <color indexed="64"/>
      </bottom>
      <diagonal/>
    </border>
    <border>
      <start style="medium">
        <color indexed="64"/>
      </start>
      <end style="medium">
        <color indexed="64"/>
      </end>
      <top style="thin">
        <color indexed="64"/>
      </top>
      <bottom style="thin">
        <color indexed="64"/>
      </bottom>
      <diagonal/>
    </border>
    <border>
      <start style="medium">
        <color indexed="64"/>
      </start>
      <end style="medium">
        <color indexed="64"/>
      </end>
      <top style="thin">
        <color indexed="64"/>
      </top>
      <bottom style="medium">
        <color indexed="64"/>
      </bottom>
      <diagonal/>
    </border>
    <border>
      <start style="medium">
        <color indexed="64"/>
      </start>
      <end style="thin">
        <color indexed="64"/>
      </end>
      <top/>
      <bottom style="medium">
        <color indexed="64"/>
      </bottom>
      <diagonal/>
    </border>
    <border>
      <start style="thin">
        <color indexed="64"/>
      </start>
      <end style="medium">
        <color indexed="64"/>
      </end>
      <top/>
      <bottom style="thin">
        <color indexed="64"/>
      </bottom>
      <diagonal/>
    </border>
    <border>
      <start style="thin">
        <color indexed="64"/>
      </start>
      <end style="medium">
        <color indexed="64"/>
      </end>
      <top style="thin">
        <color indexed="64"/>
      </top>
      <bottom/>
      <diagonal/>
    </border>
    <border>
      <start style="thin">
        <color rgb="FF000000"/>
      </start>
      <end style="dotted">
        <color rgb="FF000000"/>
      </end>
      <top style="thin">
        <color rgb="FF000000"/>
      </top>
      <bottom style="dotted">
        <color rgb="FF000000"/>
      </bottom>
      <diagonal/>
    </border>
    <border>
      <start style="thin">
        <color rgb="FF000000"/>
      </start>
      <end/>
      <top style="thin">
        <color rgb="FF000000"/>
      </top>
      <bottom style="dotted">
        <color rgb="FF000000"/>
      </bottom>
      <diagonal/>
    </border>
    <border>
      <start/>
      <end style="dotted">
        <color rgb="FF000000"/>
      </end>
      <top style="thin">
        <color rgb="FF000000"/>
      </top>
      <bottom style="dotted">
        <color rgb="FF000000"/>
      </bottom>
      <diagonal/>
    </border>
    <border>
      <start style="medium">
        <color indexed="64"/>
      </start>
      <end style="medium">
        <color indexed="64"/>
      </end>
      <top style="thin">
        <color rgb="FF000000"/>
      </top>
      <bottom style="dotted">
        <color rgb="FF000000"/>
      </bottom>
      <diagonal/>
    </border>
    <border>
      <start style="medium">
        <color indexed="64"/>
      </start>
      <end style="medium">
        <color indexed="64"/>
      </end>
      <top style="thin">
        <color rgb="FF000000"/>
      </top>
      <bottom style="medium">
        <color indexed="64"/>
      </bottom>
      <diagonal/>
    </border>
    <border>
      <start style="thin">
        <color indexed="64"/>
      </start>
      <end/>
      <top style="thin">
        <color indexed="64"/>
      </top>
      <bottom/>
      <diagonal/>
    </border>
    <border>
      <start style="medium">
        <color indexed="64"/>
      </start>
      <end style="thin">
        <color indexed="64"/>
      </end>
      <top style="thin">
        <color indexed="64"/>
      </top>
      <bottom/>
      <diagonal/>
    </border>
    <border>
      <start style="medium">
        <color indexed="64"/>
      </start>
      <end/>
      <top style="medium">
        <color indexed="64"/>
      </top>
      <bottom style="medium">
        <color indexed="64"/>
      </bottom>
      <diagonal/>
    </border>
    <border>
      <start/>
      <end/>
      <top style="medium">
        <color indexed="64"/>
      </top>
      <bottom style="medium">
        <color indexed="64"/>
      </bottom>
      <diagonal/>
    </border>
    <border>
      <start/>
      <end style="medium">
        <color indexed="64"/>
      </end>
      <top style="thin">
        <color rgb="FF000000"/>
      </top>
      <bottom style="dotted">
        <color rgb="FF000000"/>
      </bottom>
      <diagonal/>
    </border>
    <border>
      <start/>
      <end style="thin">
        <color indexed="64"/>
      </end>
      <top style="medium">
        <color indexed="64"/>
      </top>
      <bottom style="medium">
        <color indexed="64"/>
      </bottom>
      <diagonal/>
    </border>
    <border>
      <start/>
      <end style="thin">
        <color indexed="64"/>
      </end>
      <top style="thin">
        <color indexed="64"/>
      </top>
      <bottom/>
      <diagonal/>
    </border>
    <border>
      <start style="medium">
        <color indexed="64"/>
      </start>
      <end style="thin">
        <color indexed="64"/>
      </end>
      <top/>
      <bottom style="thin">
        <color indexed="64"/>
      </bottom>
      <diagonal/>
    </border>
    <border>
      <start style="thin">
        <color indexed="64"/>
      </start>
      <end style="thin">
        <color indexed="64"/>
      </end>
      <top/>
      <bottom style="medium">
        <color indexed="64"/>
      </bottom>
      <diagonal/>
    </border>
    <border>
      <start style="thin">
        <color indexed="64"/>
      </start>
      <end style="medium">
        <color indexed="64"/>
      </end>
      <top/>
      <bottom style="medium">
        <color indexed="64"/>
      </bottom>
      <diagonal/>
    </border>
    <border>
      <start/>
      <end style="medium">
        <color indexed="64"/>
      </end>
      <top style="medium">
        <color indexed="64"/>
      </top>
      <bottom style="medium">
        <color indexed="64"/>
      </bottom>
      <diagonal/>
    </border>
    <border>
      <start style="thin">
        <color indexed="64"/>
      </start>
      <end/>
      <top style="medium">
        <color indexed="64"/>
      </top>
      <bottom/>
      <diagonal/>
    </border>
    <border>
      <start style="double">
        <color rgb="FF3F3F3F"/>
      </start>
      <end style="double">
        <color rgb="FF3F3F3F"/>
      </end>
      <top style="double">
        <color rgb="FF3F3F3F"/>
      </top>
      <bottom style="double">
        <color rgb="FF3F3F3F"/>
      </bottom>
      <diagonal/>
    </border>
    <border>
      <start/>
      <end style="thin">
        <color indexed="64"/>
      </end>
      <top/>
      <bottom style="thin">
        <color indexed="64"/>
      </bottom>
      <diagonal/>
    </border>
    <border>
      <start style="thin">
        <color indexed="64"/>
      </start>
      <end/>
      <top/>
      <bottom style="thin">
        <color indexed="64"/>
      </bottom>
      <diagonal/>
    </border>
    <border>
      <start/>
      <end/>
      <top style="medium">
        <color indexed="64"/>
      </top>
      <bottom style="thin">
        <color indexed="64"/>
      </bottom>
      <diagonal/>
    </border>
    <border>
      <start style="thin">
        <color indexed="64"/>
      </start>
      <end/>
      <top style="medium">
        <color indexed="64"/>
      </top>
      <bottom style="medium">
        <color indexed="64"/>
      </bottom>
      <diagonal/>
    </border>
    <border>
      <start/>
      <end/>
      <top/>
      <bottom style="medium">
        <color indexed="8"/>
      </bottom>
      <diagonal/>
    </border>
    <border>
      <start/>
      <end/>
      <top/>
      <bottom style="thin">
        <color indexed="8"/>
      </bottom>
      <diagonal/>
    </border>
    <border>
      <start style="medium">
        <color indexed="8"/>
      </start>
      <end/>
      <top/>
      <bottom style="medium">
        <color indexed="8"/>
      </bottom>
      <diagonal/>
    </border>
    <border>
      <start style="medium">
        <color indexed="64"/>
      </start>
      <end style="medium">
        <color indexed="8"/>
      </end>
      <top style="medium">
        <color indexed="64"/>
      </top>
      <bottom style="thin">
        <color indexed="64"/>
      </bottom>
      <diagonal/>
    </border>
    <border>
      <start style="medium">
        <color indexed="8"/>
      </start>
      <end/>
      <top style="medium">
        <color indexed="64"/>
      </top>
      <bottom style="medium">
        <color indexed="8"/>
      </bottom>
      <diagonal/>
    </border>
    <border>
      <start style="medium">
        <color indexed="8"/>
      </start>
      <end style="medium">
        <color indexed="8"/>
      </end>
      <top style="medium">
        <color indexed="64"/>
      </top>
      <bottom style="medium">
        <color indexed="8"/>
      </bottom>
      <diagonal/>
    </border>
    <border>
      <start/>
      <end style="medium">
        <color indexed="64"/>
      </end>
      <top style="medium">
        <color indexed="64"/>
      </top>
      <bottom style="medium">
        <color indexed="8"/>
      </bottom>
      <diagonal/>
    </border>
    <border>
      <start style="medium">
        <color indexed="64"/>
      </start>
      <end style="medium">
        <color indexed="8"/>
      </end>
      <top/>
      <bottom style="thin">
        <color indexed="8"/>
      </bottom>
      <diagonal/>
    </border>
    <border>
      <start style="medium">
        <color indexed="8"/>
      </start>
      <end style="medium">
        <color indexed="64"/>
      </end>
      <top style="medium">
        <color indexed="8"/>
      </top>
      <bottom style="thin">
        <color indexed="8"/>
      </bottom>
      <diagonal/>
    </border>
    <border>
      <start style="medium">
        <color indexed="64"/>
      </start>
      <end style="medium">
        <color indexed="8"/>
      </end>
      <top style="thin">
        <color indexed="8"/>
      </top>
      <bottom style="thin">
        <color indexed="8"/>
      </bottom>
      <diagonal/>
    </border>
    <border>
      <start style="medium">
        <color indexed="64"/>
      </start>
      <end style="medium">
        <color indexed="8"/>
      </end>
      <top/>
      <bottom/>
      <diagonal/>
    </border>
    <border>
      <start style="medium">
        <color indexed="8"/>
      </start>
      <end style="medium">
        <color indexed="64"/>
      </end>
      <top style="thin">
        <color indexed="8"/>
      </top>
      <bottom/>
      <diagonal/>
    </border>
    <border>
      <start style="medium">
        <color indexed="64"/>
      </start>
      <end style="medium">
        <color indexed="8"/>
      </end>
      <top/>
      <bottom style="medium">
        <color indexed="64"/>
      </bottom>
      <diagonal/>
    </border>
    <border>
      <start style="medium">
        <color indexed="8"/>
      </start>
      <end/>
      <top/>
      <bottom style="medium">
        <color indexed="64"/>
      </bottom>
      <diagonal/>
    </border>
    <border>
      <start style="medium">
        <color indexed="8"/>
      </start>
      <end/>
      <top/>
      <bottom style="thin">
        <color indexed="8"/>
      </bottom>
      <diagonal/>
    </border>
    <border>
      <start style="medium">
        <color indexed="8"/>
      </start>
      <end style="medium">
        <color indexed="8"/>
      </end>
      <top style="medium">
        <color indexed="64"/>
      </top>
      <bottom/>
      <diagonal/>
    </border>
    <border>
      <start style="medium">
        <color indexed="64"/>
      </start>
      <end style="medium">
        <color indexed="64"/>
      </end>
      <top style="medium">
        <color indexed="64"/>
      </top>
      <bottom style="thin">
        <color indexed="8"/>
      </bottom>
      <diagonal/>
    </border>
    <border>
      <start style="medium">
        <color indexed="64"/>
      </start>
      <end style="medium">
        <color indexed="64"/>
      </end>
      <top/>
      <bottom style="thin">
        <color indexed="8"/>
      </bottom>
      <diagonal/>
    </border>
    <border>
      <start style="medium">
        <color indexed="8"/>
      </start>
      <end/>
      <top style="medium">
        <color indexed="64"/>
      </top>
      <bottom/>
      <diagonal/>
    </border>
    <border>
      <start style="medium">
        <color indexed="64"/>
      </start>
      <end/>
      <top/>
      <bottom style="thin">
        <color indexed="8"/>
      </bottom>
      <diagonal/>
    </border>
    <border>
      <start style="medium">
        <color indexed="64"/>
      </start>
      <end/>
      <top style="thin">
        <color indexed="8"/>
      </top>
      <bottom style="thin">
        <color indexed="8"/>
      </bottom>
      <diagonal/>
    </border>
    <border>
      <start style="thin">
        <color indexed="64"/>
      </start>
      <end/>
      <top/>
      <bottom style="medium">
        <color indexed="64"/>
      </bottom>
      <diagonal/>
    </border>
    <border>
      <start style="medium">
        <color indexed="64"/>
      </start>
      <end/>
      <top style="medium">
        <color indexed="64"/>
      </top>
      <bottom style="thin">
        <color indexed="8"/>
      </bottom>
      <diagonal/>
    </border>
    <border>
      <start style="medium">
        <color indexed="64"/>
      </start>
      <end style="medium">
        <color indexed="8"/>
      </end>
      <top style="medium">
        <color indexed="64"/>
      </top>
      <bottom/>
      <diagonal/>
    </border>
    <border>
      <start/>
      <end/>
      <top style="medium">
        <color indexed="64"/>
      </top>
      <bottom style="medium">
        <color indexed="8"/>
      </bottom>
      <diagonal/>
    </border>
    <border>
      <start style="medium">
        <color indexed="64"/>
      </start>
      <end/>
      <top style="medium">
        <color indexed="8"/>
      </top>
      <bottom/>
      <diagonal/>
    </border>
    <border>
      <start style="medium">
        <color indexed="8"/>
      </start>
      <end style="medium">
        <color indexed="8"/>
      </end>
      <top/>
      <bottom style="medium">
        <color indexed="64"/>
      </bottom>
      <diagonal/>
    </border>
    <border>
      <start style="thin">
        <color auto="1"/>
      </start>
      <end style="thin">
        <color auto="1"/>
      </end>
      <top style="thin">
        <color auto="1"/>
      </top>
      <bottom style="thin">
        <color auto="1"/>
      </bottom>
      <diagonal/>
    </border>
    <border>
      <start style="medium">
        <color auto="1"/>
      </start>
      <end style="thin">
        <color auto="1"/>
      </end>
      <top style="medium">
        <color auto="1"/>
      </top>
      <bottom style="medium">
        <color auto="1"/>
      </bottom>
      <diagonal/>
    </border>
    <border>
      <start style="thin">
        <color auto="1"/>
      </start>
      <end style="medium">
        <color indexed="64"/>
      </end>
      <top style="medium">
        <color indexed="64"/>
      </top>
      <bottom style="medium">
        <color indexed="64"/>
      </bottom>
      <diagonal/>
    </border>
    <border>
      <start/>
      <end style="medium">
        <color indexed="64"/>
      </end>
      <top style="medium">
        <color indexed="64"/>
      </top>
      <bottom/>
      <diagonal/>
    </border>
    <border>
      <start style="medium">
        <color indexed="64"/>
      </start>
      <end/>
      <top style="medium">
        <color indexed="64"/>
      </top>
      <bottom/>
      <diagonal/>
    </border>
    <border>
      <start/>
      <end/>
      <top style="medium">
        <color indexed="64"/>
      </top>
      <bottom/>
      <diagonal/>
    </border>
    <border>
      <start style="thin">
        <color auto="1"/>
      </start>
      <end/>
      <top style="thin">
        <color auto="1"/>
      </top>
      <bottom style="thin">
        <color auto="1"/>
      </bottom>
      <diagonal/>
    </border>
    <border>
      <start style="medium">
        <color indexed="64"/>
      </start>
      <end style="thin">
        <color auto="1"/>
      </end>
      <top style="thin">
        <color auto="1"/>
      </top>
      <bottom style="thin">
        <color auto="1"/>
      </bottom>
      <diagonal/>
    </border>
    <border>
      <start style="thin">
        <color auto="1"/>
      </start>
      <end style="medium">
        <color indexed="64"/>
      </end>
      <top style="thin">
        <color auto="1"/>
      </top>
      <bottom style="thin">
        <color auto="1"/>
      </bottom>
      <diagonal/>
    </border>
    <border>
      <start style="medium">
        <color indexed="64"/>
      </start>
      <end style="thin">
        <color auto="1"/>
      </end>
      <top style="thin">
        <color auto="1"/>
      </top>
      <bottom style="medium">
        <color indexed="64"/>
      </bottom>
      <diagonal/>
    </border>
    <border>
      <start style="thin">
        <color auto="1"/>
      </start>
      <end style="thin">
        <color auto="1"/>
      </end>
      <top style="thin">
        <color auto="1"/>
      </top>
      <bottom style="medium">
        <color indexed="64"/>
      </bottom>
      <diagonal/>
    </border>
    <border>
      <start style="thin">
        <color auto="1"/>
      </start>
      <end style="medium">
        <color indexed="64"/>
      </end>
      <top style="thin">
        <color auto="1"/>
      </top>
      <bottom style="medium">
        <color indexed="64"/>
      </bottom>
      <diagonal/>
    </border>
    <border>
      <start style="medium">
        <color indexed="64"/>
      </start>
      <end style="thin">
        <color indexed="64"/>
      </end>
      <top style="medium">
        <color indexed="64"/>
      </top>
      <bottom/>
      <diagonal/>
    </border>
    <border>
      <start style="thin">
        <color indexed="64"/>
      </start>
      <end style="thin">
        <color indexed="64"/>
      </end>
      <top style="medium">
        <color indexed="64"/>
      </top>
      <bottom/>
      <diagonal/>
    </border>
    <border>
      <start style="thin">
        <color indexed="64"/>
      </start>
      <end style="medium">
        <color indexed="64"/>
      </end>
      <top style="medium">
        <color indexed="64"/>
      </top>
      <bottom/>
      <diagonal/>
    </border>
    <border>
      <start style="medium">
        <color indexed="64"/>
      </start>
      <end style="thin">
        <color indexed="64"/>
      </end>
      <top style="medium">
        <color indexed="64"/>
      </top>
      <bottom style="thin">
        <color indexed="64"/>
      </bottom>
      <diagonal/>
    </border>
    <border>
      <start style="thin">
        <color indexed="64"/>
      </start>
      <end/>
      <top style="thin">
        <color indexed="64"/>
      </top>
      <bottom style="medium">
        <color indexed="64"/>
      </bottom>
      <diagonal/>
    </border>
    <border>
      <start style="thin">
        <color indexed="64"/>
      </start>
      <end style="medium">
        <color indexed="64"/>
      </end>
      <top style="medium">
        <color indexed="64"/>
      </top>
      <bottom style="thin">
        <color indexed="64"/>
      </bottom>
      <diagonal/>
    </border>
    <border>
      <start style="thin">
        <color auto="1"/>
      </start>
      <end style="thin">
        <color auto="1"/>
      </end>
      <top style="medium">
        <color indexed="64"/>
      </top>
      <bottom style="thin">
        <color auto="1"/>
      </bottom>
      <diagonal/>
    </border>
    <border>
      <start style="thin">
        <color auto="1"/>
      </start>
      <end style="thin">
        <color auto="1"/>
      </end>
      <top style="thin">
        <color auto="1"/>
      </top>
      <bottom/>
      <diagonal/>
    </border>
    <border>
      <start style="thin">
        <color indexed="64"/>
      </start>
      <end style="thin">
        <color indexed="64"/>
      </end>
      <top style="medium">
        <color indexed="64"/>
      </top>
      <bottom style="medium">
        <color indexed="64"/>
      </bottom>
      <diagonal/>
    </border>
    <border>
      <start style="thin">
        <color auto="1"/>
      </start>
      <end style="thin">
        <color auto="1"/>
      </end>
      <top/>
      <bottom/>
      <diagonal/>
    </border>
    <border>
      <start style="thin">
        <color auto="1"/>
      </start>
      <end style="thin">
        <color auto="1"/>
      </end>
      <top/>
      <bottom style="thin">
        <color auto="1"/>
      </bottom>
      <diagonal/>
    </border>
    <border>
      <start style="thin">
        <color auto="1"/>
      </start>
      <end/>
      <top style="thin">
        <color auto="1"/>
      </top>
      <bottom/>
      <diagonal/>
    </border>
    <border>
      <start/>
      <end style="thin">
        <color auto="1"/>
      </end>
      <top style="medium">
        <color indexed="64"/>
      </top>
      <bottom style="thin">
        <color auto="1"/>
      </bottom>
      <diagonal/>
    </border>
    <border>
      <start style="thin">
        <color auto="1"/>
      </start>
      <end/>
      <top style="medium">
        <color indexed="64"/>
      </top>
      <bottom style="thin">
        <color auto="1"/>
      </bottom>
      <diagonal/>
    </border>
    <border>
      <start style="medium">
        <color indexed="64"/>
      </start>
      <end style="thin">
        <color auto="1"/>
      </end>
      <top/>
      <bottom/>
      <diagonal/>
    </border>
    <border>
      <start style="medium">
        <color rgb="FF000000"/>
      </start>
      <end style="medium">
        <color rgb="FF000000"/>
      </end>
      <top style="medium">
        <color rgb="FF000000"/>
      </top>
      <bottom style="medium">
        <color rgb="FF000000"/>
      </bottom>
      <diagonal/>
    </border>
    <border>
      <start/>
      <end style="medium">
        <color rgb="FF000000"/>
      </end>
      <top style="medium">
        <color rgb="FF000000"/>
      </top>
      <bottom style="medium">
        <color rgb="FF000000"/>
      </bottom>
      <diagonal/>
    </border>
    <border>
      <start style="medium">
        <color indexed="64"/>
      </start>
      <end style="thin">
        <color auto="1"/>
      </end>
      <top style="thin">
        <color auto="1"/>
      </top>
      <bottom/>
      <diagonal/>
    </border>
    <border>
      <start style="thin">
        <color auto="1"/>
      </start>
      <end style="medium">
        <color indexed="64"/>
      </end>
      <top style="thin">
        <color auto="1"/>
      </top>
      <bottom/>
      <diagonal/>
    </border>
    <border>
      <start/>
      <end style="thin">
        <color auto="1"/>
      </end>
      <top/>
      <bottom/>
      <diagonal/>
    </border>
    <border>
      <start style="thin">
        <color auto="1"/>
      </start>
      <end/>
      <top/>
      <bottom style="thin">
        <color auto="1"/>
      </bottom>
      <diagonal/>
    </border>
    <border>
      <start style="medium">
        <color indexed="64"/>
      </start>
      <end style="thin">
        <color auto="1"/>
      </end>
      <top/>
      <bottom style="thin">
        <color auto="1"/>
      </bottom>
      <diagonal/>
    </border>
    <border>
      <start style="thin">
        <color auto="1"/>
      </start>
      <end style="medium">
        <color indexed="64"/>
      </end>
      <top/>
      <bottom style="thin">
        <color auto="1"/>
      </bottom>
      <diagonal/>
    </border>
    <border>
      <start style="thin">
        <color indexed="64"/>
      </start>
      <end/>
      <top style="medium">
        <color indexed="64"/>
      </top>
      <bottom/>
      <diagonal/>
    </border>
    <border>
      <start style="thin">
        <color auto="1"/>
      </start>
      <end/>
      <top/>
      <bottom/>
      <diagonal/>
    </border>
    <border>
      <start style="thin">
        <color auto="1"/>
      </start>
      <end style="medium">
        <color indexed="64"/>
      </end>
      <top/>
      <bottom/>
      <diagonal/>
    </border>
    <border>
      <start style="medium">
        <color indexed="64"/>
      </start>
      <end style="thin">
        <color auto="1"/>
      </end>
      <top style="medium">
        <color indexed="64"/>
      </top>
      <bottom style="thin">
        <color auto="1"/>
      </bottom>
      <diagonal/>
    </border>
    <border>
      <start style="thin">
        <color auto="1"/>
      </start>
      <end style="thin">
        <color auto="1"/>
      </end>
      <top style="medium">
        <color indexed="64"/>
      </top>
      <bottom style="thin">
        <color auto="1"/>
      </bottom>
      <diagonal/>
    </border>
    <border>
      <start style="thin">
        <color auto="1"/>
      </start>
      <end style="medium">
        <color indexed="64"/>
      </end>
      <top style="medium">
        <color indexed="64"/>
      </top>
      <bottom style="thin">
        <color auto="1"/>
      </bottom>
      <diagonal/>
    </border>
    <border>
      <start/>
      <end style="thin">
        <color auto="1"/>
      </end>
      <top/>
      <bottom style="medium">
        <color indexed="64"/>
      </bottom>
      <diagonal/>
    </border>
    <border>
      <start style="medium">
        <color indexed="64"/>
      </start>
      <end style="medium">
        <color indexed="64"/>
      </end>
      <top style="medium">
        <color indexed="64"/>
      </top>
      <bottom/>
      <diagonal/>
    </border>
    <border>
      <start style="thin">
        <color auto="1"/>
      </start>
      <end/>
      <top style="medium">
        <color indexed="64"/>
      </top>
      <bottom style="thin">
        <color auto="1"/>
      </bottom>
      <diagonal/>
    </border>
    <border>
      <start/>
      <end style="thin">
        <color indexed="64"/>
      </end>
      <top style="thin">
        <color indexed="64"/>
      </top>
      <bottom style="thin">
        <color indexed="64"/>
      </bottom>
      <diagonal/>
    </border>
    <border>
      <start/>
      <end/>
      <top style="thin">
        <color indexed="64"/>
      </top>
      <bottom style="thin">
        <color indexed="64"/>
      </bottom>
      <diagonal/>
    </border>
    <border>
      <start/>
      <end/>
      <top style="thin">
        <color indexed="64"/>
      </top>
      <bottom/>
      <diagonal/>
    </border>
    <border>
      <start/>
      <end style="thin">
        <color auto="1"/>
      </end>
      <top style="thin">
        <color indexed="64"/>
      </top>
      <bottom/>
      <diagonal/>
    </border>
    <border>
      <start/>
      <end/>
      <top style="medium">
        <color indexed="64"/>
      </top>
      <bottom style="thin">
        <color auto="1"/>
      </bottom>
      <diagonal/>
    </border>
    <border>
      <start/>
      <end/>
      <top style="thin">
        <color auto="1"/>
      </top>
      <bottom style="medium">
        <color indexed="64"/>
      </bottom>
      <diagonal/>
    </border>
    <border>
      <start/>
      <end style="thin">
        <color indexed="64"/>
      </end>
      <top style="thin">
        <color auto="1"/>
      </top>
      <bottom style="medium">
        <color indexed="64"/>
      </bottom>
      <diagonal/>
    </border>
    <border>
      <start/>
      <end/>
      <top style="medium">
        <color indexed="64"/>
      </top>
      <bottom style="medium">
        <color indexed="64"/>
      </bottom>
      <diagonal/>
    </border>
    <border>
      <start/>
      <end style="medium">
        <color indexed="64"/>
      </end>
      <top style="medium">
        <color indexed="64"/>
      </top>
      <bottom style="medium">
        <color indexed="64"/>
      </bottom>
      <diagonal/>
    </border>
    <border>
      <start/>
      <end style="thin">
        <color indexed="64"/>
      </end>
      <top/>
      <bottom style="thin">
        <color indexed="64"/>
      </bottom>
      <diagonal/>
    </border>
    <border>
      <start/>
      <end/>
      <top/>
      <bottom style="thin">
        <color indexed="64"/>
      </bottom>
      <diagonal/>
    </border>
    <border>
      <start style="medium">
        <color indexed="64"/>
      </start>
      <end/>
      <top style="thin">
        <color indexed="64"/>
      </top>
      <bottom/>
      <diagonal/>
    </border>
    <border>
      <start/>
      <end style="medium">
        <color indexed="64"/>
      </end>
      <top style="thin">
        <color indexed="64"/>
      </top>
      <bottom/>
      <diagonal/>
    </border>
    <border>
      <start style="medium">
        <color auto="1"/>
      </start>
      <end/>
      <top style="medium">
        <color auto="1"/>
      </top>
      <bottom style="medium">
        <color auto="1"/>
      </bottom>
      <diagonal/>
    </border>
    <border>
      <start/>
      <end/>
      <top style="medium">
        <color auto="1"/>
      </top>
      <bottom style="medium">
        <color auto="1"/>
      </bottom>
      <diagonal/>
    </border>
    <border>
      <start/>
      <end style="medium">
        <color auto="1"/>
      </end>
      <top style="medium">
        <color auto="1"/>
      </top>
      <bottom style="medium">
        <color auto="1"/>
      </bottom>
      <diagonal/>
    </border>
    <border>
      <start style="thin">
        <color indexed="64"/>
      </start>
      <end style="thin">
        <color indexed="64"/>
      </end>
      <top style="medium">
        <color indexed="64"/>
      </top>
      <bottom style="medium">
        <color indexed="64"/>
      </bottom>
      <diagonal/>
    </border>
    <border>
      <start style="medium">
        <color indexed="64"/>
      </start>
      <end/>
      <top style="medium">
        <color indexed="64"/>
      </top>
      <bottom style="thin">
        <color indexed="8"/>
      </bottom>
      <diagonal/>
    </border>
    <border>
      <start style="medium">
        <color indexed="64"/>
      </start>
      <end style="medium">
        <color indexed="64"/>
      </end>
      <top style="thin">
        <color auto="1"/>
      </top>
      <bottom style="thin">
        <color auto="1"/>
      </bottom>
      <diagonal/>
    </border>
    <border>
      <start style="thin">
        <color auto="1"/>
      </start>
      <end style="medium">
        <color indexed="64"/>
      </end>
      <top style="medium">
        <color indexed="64"/>
      </top>
      <bottom style="medium">
        <color indexed="64"/>
      </bottom>
      <diagonal/>
    </border>
    <border>
      <start style="medium">
        <color indexed="64"/>
      </start>
      <end/>
      <top style="thin">
        <color auto="1"/>
      </top>
      <bottom style="thin">
        <color auto="1"/>
      </bottom>
      <diagonal/>
    </border>
    <border>
      <start style="medium">
        <color indexed="64"/>
      </start>
      <end/>
      <top/>
      <bottom style="thin">
        <color indexed="64"/>
      </bottom>
      <diagonal/>
    </border>
    <border>
      <start/>
      <end style="medium">
        <color indexed="64"/>
      </end>
      <top/>
      <bottom style="thin">
        <color indexed="64"/>
      </bottom>
      <diagonal/>
    </border>
    <border>
      <start/>
      <end/>
      <top style="thin">
        <color theme="4"/>
      </top>
      <bottom style="thin">
        <color theme="4"/>
      </bottom>
      <diagonal/>
    </border>
    <border>
      <start style="medium">
        <color auto="1"/>
      </start>
      <end/>
      <top/>
      <bottom style="medium">
        <color auto="1"/>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auto="1"/>
      </start>
      <end style="medium">
        <color auto="1"/>
      </end>
      <top style="medium">
        <color auto="1"/>
      </top>
      <bottom style="medium">
        <color auto="1"/>
      </bottom>
      <diagonal/>
    </border>
    <border>
      <start style="thin">
        <color theme="4"/>
      </start>
      <end/>
      <top style="thin">
        <color theme="4"/>
      </top>
      <bottom/>
      <diagonal/>
    </border>
    <border>
      <start style="thin">
        <color theme="4"/>
      </start>
      <end/>
      <top style="thin">
        <color theme="4"/>
      </top>
      <bottom style="thin">
        <color theme="4"/>
      </bottom>
      <diagonal/>
    </border>
    <border>
      <start/>
      <end/>
      <top/>
      <bottom style="medium">
        <color auto="1"/>
      </bottom>
      <diagonal/>
    </border>
  </borders>
  <cellStyleXfs count="32">
    <xf numFmtId="0" fontId="0" fillId="0" borderId="0"/>
    <xf numFmtId="9" fontId="2" fillId="0" borderId="0" applyFont="0" applyFill="0" applyBorder="0" applyAlignment="0" applyProtection="0"/>
    <xf numFmtId="0" fontId="25" fillId="0" borderId="0"/>
    <xf numFmtId="0" fontId="25" fillId="0" borderId="0"/>
    <xf numFmtId="0" fontId="38" fillId="0" borderId="0"/>
    <xf numFmtId="0" fontId="70" fillId="0" borderId="0"/>
    <xf numFmtId="0" fontId="83" fillId="0" borderId="0" applyNumberFormat="0" applyFill="0" applyBorder="0" applyAlignment="0" applyProtection="0"/>
    <xf numFmtId="0" fontId="104" fillId="27" borderId="0" applyNumberFormat="0" applyBorder="0" applyAlignment="0" applyProtection="0"/>
    <xf numFmtId="0" fontId="105" fillId="28" borderId="68" applyNumberFormat="0" applyAlignment="0" applyProtection="0"/>
    <xf numFmtId="0" fontId="70" fillId="0" borderId="0"/>
    <xf numFmtId="169" fontId="70" fillId="0" borderId="0" applyFont="0" applyFill="0" applyBorder="0" applyAlignment="0" applyProtection="0"/>
    <xf numFmtId="0" fontId="70" fillId="0" borderId="0"/>
    <xf numFmtId="164" fontId="70" fillId="0" borderId="0" applyFont="0" applyFill="0" applyBorder="0" applyAlignment="0" applyProtection="0"/>
    <xf numFmtId="0" fontId="70" fillId="0" borderId="0"/>
    <xf numFmtId="0" fontId="122" fillId="0" borderId="0"/>
    <xf numFmtId="0" fontId="123" fillId="0" borderId="0"/>
    <xf numFmtId="176" fontId="123" fillId="0" borderId="0"/>
    <xf numFmtId="176" fontId="142" fillId="0" borderId="0" applyNumberFormat="0" applyFill="0" applyBorder="0" applyAlignment="0" applyProtection="0">
      <alignment vertical="top"/>
      <protection locked="0"/>
    </xf>
    <xf numFmtId="9" fontId="123" fillId="0" borderId="0" applyFont="0" applyFill="0" applyBorder="0" applyAlignment="0" applyProtection="0"/>
    <xf numFmtId="176" fontId="144" fillId="36" borderId="0" applyNumberFormat="0" applyBorder="0" applyAlignment="0" applyProtection="0"/>
    <xf numFmtId="9" fontId="145" fillId="0" borderId="0" applyFont="0" applyFill="0" applyBorder="0" applyAlignment="0" applyProtection="0"/>
    <xf numFmtId="0" fontId="65" fillId="0" borderId="0"/>
    <xf numFmtId="179" fontId="70" fillId="0" borderId="0"/>
    <xf numFmtId="0" fontId="123" fillId="0" borderId="0"/>
    <xf numFmtId="183" fontId="70" fillId="0" borderId="0"/>
    <xf numFmtId="182" fontId="150" fillId="0" borderId="0"/>
    <xf numFmtId="0" fontId="150" fillId="0" borderId="0"/>
    <xf numFmtId="0" fontId="2" fillId="0" borderId="0"/>
    <xf numFmtId="0" fontId="38" fillId="0" borderId="0"/>
    <xf numFmtId="0" fontId="2" fillId="58" borderId="0" applyNumberFormat="0" applyBorder="0" applyAlignment="0" applyProtection="0"/>
    <xf numFmtId="0" fontId="2" fillId="0" borderId="0"/>
    <xf numFmtId="183" fontId="70" fillId="0" borderId="0"/>
  </cellStyleXfs>
  <cellXfs count="2699">
    <xf numFmtId="0" fontId="0" fillId="0" borderId="0" xfId="0"/>
    <xf numFmtId="166"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xf>
    <xf numFmtId="166" fontId="4" fillId="0" borderId="3" xfId="0" applyNumberFormat="1" applyFont="1" applyBorder="1" applyAlignment="1">
      <alignment vertical="center"/>
    </xf>
    <xf numFmtId="0" fontId="4" fillId="0" borderId="3"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4" fillId="3" borderId="4" xfId="0" applyFont="1" applyFill="1" applyBorder="1" applyAlignment="1">
      <alignment vertical="center"/>
    </xf>
    <xf numFmtId="0" fontId="5" fillId="3" borderId="4" xfId="0" applyFont="1" applyFill="1" applyBorder="1" applyAlignment="1">
      <alignment vertical="center"/>
    </xf>
    <xf numFmtId="0" fontId="4" fillId="0" borderId="4" xfId="0" applyFont="1" applyBorder="1" applyAlignment="1">
      <alignment vertical="center"/>
    </xf>
    <xf numFmtId="0" fontId="5" fillId="4" borderId="4" xfId="0" applyFont="1" applyFill="1" applyBorder="1" applyAlignment="1">
      <alignment vertical="center"/>
    </xf>
    <xf numFmtId="0" fontId="6" fillId="0" borderId="4" xfId="0" applyFont="1" applyBorder="1" applyAlignment="1">
      <alignment vertical="center"/>
    </xf>
    <xf numFmtId="0" fontId="20" fillId="0" borderId="0" xfId="0" applyFont="1"/>
    <xf numFmtId="0" fontId="30" fillId="0" borderId="0" xfId="3" applyFont="1"/>
    <xf numFmtId="0" fontId="31" fillId="0" borderId="0" xfId="3" applyFont="1" applyAlignment="1">
      <alignment horizontal="left"/>
    </xf>
    <xf numFmtId="0" fontId="32" fillId="0" borderId="0" xfId="3" applyFont="1" applyAlignment="1">
      <alignment horizontal="left"/>
    </xf>
    <xf numFmtId="0" fontId="31" fillId="0" borderId="0" xfId="3" applyFont="1"/>
    <xf numFmtId="0" fontId="30" fillId="0" borderId="22" xfId="3" applyFont="1" applyBorder="1" applyAlignment="1">
      <alignment horizontal="center" vertical="top" wrapText="1"/>
    </xf>
    <xf numFmtId="0" fontId="33" fillId="0" borderId="23" xfId="3" applyFont="1" applyBorder="1" applyAlignment="1">
      <alignment horizontal="right" vertical="top" wrapText="1"/>
    </xf>
    <xf numFmtId="0" fontId="34" fillId="0" borderId="23" xfId="3" applyFont="1" applyBorder="1" applyAlignment="1">
      <alignment horizontal="right" vertical="top" wrapText="1"/>
    </xf>
    <xf numFmtId="0" fontId="34" fillId="0" borderId="24" xfId="3" applyFont="1" applyBorder="1" applyAlignment="1">
      <alignment horizontal="right" vertical="top" wrapText="1"/>
    </xf>
    <xf numFmtId="0" fontId="35" fillId="0" borderId="7" xfId="3" applyFont="1" applyBorder="1" applyAlignment="1">
      <alignment wrapText="1"/>
    </xf>
    <xf numFmtId="168" fontId="31" fillId="0" borderId="7" xfId="3" applyNumberFormat="1" applyFont="1" applyBorder="1" applyAlignment="1">
      <alignment horizontal="right" wrapText="1"/>
    </xf>
    <xf numFmtId="168" fontId="36" fillId="0" borderId="7" xfId="3" applyNumberFormat="1" applyFont="1" applyBorder="1" applyAlignment="1">
      <alignment horizontal="right" wrapText="1"/>
    </xf>
    <xf numFmtId="3" fontId="36" fillId="0" borderId="7" xfId="3" applyNumberFormat="1" applyFont="1" applyBorder="1" applyAlignment="1">
      <alignment horizontal="right" wrapText="1"/>
    </xf>
    <xf numFmtId="166" fontId="30" fillId="0" borderId="0" xfId="3" applyNumberFormat="1" applyFont="1"/>
    <xf numFmtId="0" fontId="37" fillId="0" borderId="7" xfId="3" applyFont="1" applyBorder="1" applyAlignment="1">
      <alignment wrapText="1"/>
    </xf>
    <xf numFmtId="168" fontId="26" fillId="0" borderId="7" xfId="4" applyNumberFormat="1" applyFont="1" applyBorder="1" applyAlignment="1">
      <alignment vertical="center"/>
    </xf>
    <xf numFmtId="168" fontId="29" fillId="0" borderId="7" xfId="4" applyNumberFormat="1" applyFont="1" applyBorder="1" applyAlignment="1">
      <alignment vertical="center"/>
    </xf>
    <xf numFmtId="3" fontId="29" fillId="0" borderId="7" xfId="4" applyNumberFormat="1" applyFont="1" applyBorder="1" applyAlignment="1">
      <alignment vertical="center"/>
    </xf>
    <xf numFmtId="3" fontId="19" fillId="0" borderId="7" xfId="4" applyNumberFormat="1" applyFont="1" applyBorder="1" applyAlignment="1">
      <alignment vertical="center"/>
    </xf>
    <xf numFmtId="0" fontId="40" fillId="0" borderId="0" xfId="3" applyFont="1" applyAlignment="1">
      <alignment wrapText="1"/>
    </xf>
    <xf numFmtId="166" fontId="30" fillId="0" borderId="0" xfId="3" applyNumberFormat="1" applyFont="1" applyAlignment="1">
      <alignment horizontal="right" wrapText="1"/>
    </xf>
    <xf numFmtId="166" fontId="41" fillId="0" borderId="0" xfId="3" applyNumberFormat="1" applyFont="1" applyAlignment="1">
      <alignment horizontal="right" wrapText="1"/>
    </xf>
    <xf numFmtId="0" fontId="33" fillId="0" borderId="0" xfId="3" applyFont="1"/>
    <xf numFmtId="0" fontId="41" fillId="0" borderId="0" xfId="3" applyFont="1"/>
    <xf numFmtId="166" fontId="41" fillId="0" borderId="0" xfId="3" applyNumberFormat="1" applyFont="1"/>
    <xf numFmtId="0" fontId="42" fillId="0" borderId="0" xfId="3" applyFont="1"/>
    <xf numFmtId="0" fontId="30" fillId="0" borderId="7" xfId="3" applyFont="1" applyBorder="1"/>
    <xf numFmtId="1" fontId="33" fillId="0" borderId="7" xfId="3" applyNumberFormat="1" applyFont="1" applyBorder="1"/>
    <xf numFmtId="1" fontId="34" fillId="0" borderId="7" xfId="3" applyNumberFormat="1" applyFont="1" applyBorder="1"/>
    <xf numFmtId="0" fontId="43" fillId="0" borderId="0" xfId="3" applyFont="1" applyAlignment="1">
      <alignment horizontal="center"/>
    </xf>
    <xf numFmtId="0" fontId="42" fillId="0" borderId="0" xfId="3" applyFont="1" applyAlignment="1">
      <alignment horizontal="center"/>
    </xf>
    <xf numFmtId="0" fontId="44" fillId="0" borderId="7" xfId="3" applyFont="1" applyBorder="1"/>
    <xf numFmtId="2" fontId="30" fillId="0" borderId="7" xfId="3" applyNumberFormat="1" applyFont="1" applyBorder="1"/>
    <xf numFmtId="0" fontId="30" fillId="0" borderId="7" xfId="1" applyNumberFormat="1" applyFont="1" applyFill="1" applyBorder="1"/>
    <xf numFmtId="9" fontId="41" fillId="0" borderId="7" xfId="1" applyFont="1" applyFill="1" applyBorder="1"/>
    <xf numFmtId="167" fontId="41" fillId="0" borderId="7" xfId="1" applyNumberFormat="1" applyFont="1" applyFill="1" applyBorder="1"/>
    <xf numFmtId="167" fontId="45" fillId="0" borderId="0" xfId="1" applyNumberFormat="1" applyFont="1" applyFill="1"/>
    <xf numFmtId="9" fontId="30" fillId="0" borderId="7" xfId="1" applyFont="1" applyFill="1" applyBorder="1"/>
    <xf numFmtId="0" fontId="41" fillId="0" borderId="7" xfId="1" applyNumberFormat="1" applyFont="1" applyFill="1" applyBorder="1"/>
    <xf numFmtId="0" fontId="26" fillId="0" borderId="14" xfId="2" applyFont="1" applyBorder="1" applyAlignment="1">
      <alignment vertical="center"/>
    </xf>
    <xf numFmtId="0" fontId="26" fillId="0" borderId="17" xfId="2" applyFont="1" applyBorder="1" applyAlignment="1">
      <alignment vertical="center"/>
    </xf>
    <xf numFmtId="0" fontId="19" fillId="0" borderId="17" xfId="2" applyFont="1" applyBorder="1" applyAlignment="1">
      <alignment vertical="center"/>
    </xf>
    <xf numFmtId="0" fontId="0" fillId="0" borderId="17" xfId="0" applyBorder="1"/>
    <xf numFmtId="0" fontId="0" fillId="0" borderId="21" xfId="0" applyBorder="1"/>
    <xf numFmtId="0" fontId="20" fillId="0" borderId="14" xfId="0" applyFont="1" applyBorder="1"/>
    <xf numFmtId="0" fontId="20" fillId="0" borderId="17" xfId="0" applyFont="1" applyBorder="1"/>
    <xf numFmtId="0" fontId="26" fillId="0" borderId="26" xfId="2" applyFont="1" applyBorder="1" applyAlignment="1">
      <alignment vertical="center"/>
    </xf>
    <xf numFmtId="0" fontId="26" fillId="0" borderId="28" xfId="2" applyFont="1" applyBorder="1" applyAlignment="1">
      <alignment vertical="center"/>
    </xf>
    <xf numFmtId="0" fontId="19" fillId="0" borderId="28" xfId="2" applyFont="1" applyBorder="1" applyAlignment="1">
      <alignment vertical="center"/>
    </xf>
    <xf numFmtId="0" fontId="0" fillId="0" borderId="28" xfId="0" applyBorder="1"/>
    <xf numFmtId="0" fontId="0" fillId="0" borderId="30" xfId="0" applyBorder="1"/>
    <xf numFmtId="0" fontId="0" fillId="0" borderId="14" xfId="0" applyBorder="1"/>
    <xf numFmtId="0" fontId="57" fillId="0" borderId="0" xfId="0" applyFont="1" applyProtection="1"/>
    <xf numFmtId="0" fontId="57" fillId="0" borderId="0" xfId="0" applyFont="1" applyFill="1" applyProtection="1"/>
    <xf numFmtId="0" fontId="0" fillId="0" borderId="0" xfId="0" applyProtection="1"/>
    <xf numFmtId="0" fontId="53" fillId="0" borderId="0" xfId="0" applyFont="1" applyProtection="1"/>
    <xf numFmtId="0" fontId="55" fillId="0" borderId="0" xfId="0" applyFont="1" applyProtection="1"/>
    <xf numFmtId="0" fontId="8" fillId="0" borderId="0" xfId="0" applyFont="1" applyProtection="1"/>
    <xf numFmtId="0" fontId="8" fillId="0" borderId="0" xfId="0" applyFont="1" applyAlignment="1" applyProtection="1">
      <alignment horizontal="left"/>
    </xf>
    <xf numFmtId="0" fontId="0" fillId="16" borderId="0" xfId="0" applyFill="1" applyProtection="1"/>
    <xf numFmtId="0" fontId="0" fillId="0" borderId="0" xfId="0" applyFill="1" applyProtection="1"/>
    <xf numFmtId="0" fontId="27" fillId="0" borderId="0" xfId="0" applyFont="1" applyAlignment="1" applyProtection="1">
      <alignment horizontal="left"/>
    </xf>
    <xf numFmtId="0" fontId="8" fillId="0" borderId="0" xfId="0" applyFont="1" applyAlignment="1" applyProtection="1">
      <alignment horizontal="center"/>
    </xf>
    <xf numFmtId="0" fontId="28" fillId="0" borderId="0" xfId="0" applyFont="1" applyProtection="1"/>
    <xf numFmtId="0" fontId="54" fillId="0" borderId="0" xfId="0" applyFont="1" applyProtection="1"/>
    <xf numFmtId="0" fontId="27" fillId="0" borderId="0" xfId="0" applyFont="1" applyProtection="1"/>
    <xf numFmtId="0" fontId="46" fillId="0" borderId="0" xfId="0" applyFont="1" applyAlignment="1" applyProtection="1">
      <alignment horizontal="center"/>
    </xf>
    <xf numFmtId="0" fontId="0" fillId="16" borderId="0" xfId="0" applyFill="1" applyAlignment="1" applyProtection="1"/>
    <xf numFmtId="0" fontId="21" fillId="5" borderId="0" xfId="0" applyFont="1" applyFill="1" applyAlignment="1" applyProtection="1"/>
    <xf numFmtId="0" fontId="21" fillId="0" borderId="0" xfId="0" applyFont="1" applyAlignment="1" applyProtection="1"/>
    <xf numFmtId="0" fontId="13" fillId="0" borderId="0" xfId="0" applyFont="1" applyAlignment="1" applyProtection="1"/>
    <xf numFmtId="0" fontId="22" fillId="0" borderId="0" xfId="0" applyFont="1" applyAlignment="1" applyProtection="1">
      <alignment horizontal="center" vertical="center" wrapText="1"/>
    </xf>
    <xf numFmtId="0" fontId="10" fillId="0" borderId="0" xfId="0" applyFont="1" applyAlignment="1" applyProtection="1">
      <alignment horizontal="center" vertical="center"/>
    </xf>
    <xf numFmtId="0" fontId="10" fillId="13" borderId="25" xfId="0"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0" fontId="10" fillId="13" borderId="26" xfId="0" applyFont="1" applyFill="1" applyBorder="1" applyAlignment="1" applyProtection="1">
      <alignment horizontal="center" vertical="center"/>
    </xf>
    <xf numFmtId="0" fontId="0" fillId="0" borderId="0" xfId="0" applyAlignment="1" applyProtection="1">
      <alignment horizontal="left"/>
    </xf>
    <xf numFmtId="0" fontId="8" fillId="0" borderId="27" xfId="0" applyFont="1" applyBorder="1" applyAlignment="1" applyProtection="1">
      <alignment horizontal="center"/>
    </xf>
    <xf numFmtId="0" fontId="8" fillId="0" borderId="0" xfId="0" applyFont="1" applyBorder="1" applyAlignment="1" applyProtection="1">
      <alignment horizontal="center"/>
    </xf>
    <xf numFmtId="0" fontId="8" fillId="0" borderId="28" xfId="0" applyFont="1" applyBorder="1" applyAlignment="1" applyProtection="1">
      <alignment horizontal="center"/>
    </xf>
    <xf numFmtId="0" fontId="9" fillId="8" borderId="0" xfId="0" applyFont="1" applyFill="1" applyAlignment="1" applyProtection="1">
      <alignment horizontal="justify" wrapText="1"/>
    </xf>
    <xf numFmtId="0" fontId="0" fillId="0" borderId="0" xfId="0" applyAlignment="1" applyProtection="1">
      <alignment horizontal="center"/>
    </xf>
    <xf numFmtId="0" fontId="0" fillId="0" borderId="27" xfId="0" applyBorder="1" applyAlignment="1" applyProtection="1">
      <alignment horizontal="center"/>
    </xf>
    <xf numFmtId="0" fontId="0" fillId="0" borderId="0" xfId="0" applyBorder="1" applyAlignment="1" applyProtection="1">
      <alignment horizontal="center"/>
    </xf>
    <xf numFmtId="0" fontId="0" fillId="0" borderId="28" xfId="0" applyBorder="1" applyAlignment="1" applyProtection="1">
      <alignment horizontal="center"/>
    </xf>
    <xf numFmtId="0" fontId="11" fillId="5" borderId="0" xfId="0" applyFont="1" applyFill="1" applyProtection="1"/>
    <xf numFmtId="0" fontId="11" fillId="5" borderId="0" xfId="0" applyFont="1" applyFill="1" applyAlignment="1" applyProtection="1">
      <alignment horizontal="left"/>
    </xf>
    <xf numFmtId="3" fontId="11" fillId="5" borderId="0" xfId="0" applyNumberFormat="1" applyFont="1" applyFill="1" applyAlignment="1" applyProtection="1">
      <alignment horizontal="right"/>
    </xf>
    <xf numFmtId="167" fontId="11" fillId="7" borderId="0" xfId="0" applyNumberFormat="1" applyFont="1" applyFill="1" applyProtection="1"/>
    <xf numFmtId="167" fontId="13" fillId="7" borderId="0" xfId="0" applyNumberFormat="1" applyFont="1" applyFill="1" applyProtection="1"/>
    <xf numFmtId="167" fontId="18" fillId="5" borderId="0" xfId="0" applyNumberFormat="1" applyFont="1" applyFill="1" applyAlignment="1" applyProtection="1">
      <alignment horizontal="center"/>
    </xf>
    <xf numFmtId="3" fontId="11" fillId="5" borderId="0" xfId="0" applyNumberFormat="1" applyFont="1" applyFill="1" applyAlignment="1" applyProtection="1">
      <alignment horizontal="center"/>
    </xf>
    <xf numFmtId="3" fontId="11" fillId="5" borderId="27" xfId="0" applyNumberFormat="1" applyFont="1" applyFill="1" applyBorder="1" applyAlignment="1" applyProtection="1">
      <alignment horizontal="center"/>
    </xf>
    <xf numFmtId="3" fontId="11" fillId="5" borderId="0" xfId="0" applyNumberFormat="1" applyFont="1" applyFill="1" applyBorder="1" applyAlignment="1" applyProtection="1">
      <alignment horizontal="center"/>
    </xf>
    <xf numFmtId="3" fontId="11" fillId="5" borderId="28" xfId="0" applyNumberFormat="1" applyFont="1" applyFill="1" applyBorder="1" applyAlignment="1" applyProtection="1">
      <alignment horizontal="center"/>
    </xf>
    <xf numFmtId="0" fontId="8" fillId="6" borderId="0" xfId="0" applyFont="1" applyFill="1" applyProtection="1"/>
    <xf numFmtId="167" fontId="8" fillId="0" borderId="0" xfId="0" applyNumberFormat="1" applyFont="1" applyProtection="1"/>
    <xf numFmtId="167" fontId="16" fillId="0" borderId="0" xfId="0" applyNumberFormat="1" applyFont="1" applyProtection="1"/>
    <xf numFmtId="167" fontId="17" fillId="5" borderId="0" xfId="0" applyNumberFormat="1" applyFont="1" applyFill="1" applyAlignment="1" applyProtection="1">
      <alignment horizontal="center"/>
    </xf>
    <xf numFmtId="3" fontId="8" fillId="0" borderId="0" xfId="0" applyNumberFormat="1" applyFont="1" applyAlignment="1" applyProtection="1">
      <alignment horizontal="center"/>
    </xf>
    <xf numFmtId="3" fontId="8" fillId="0" borderId="27" xfId="0" applyNumberFormat="1" applyFont="1" applyBorder="1" applyAlignment="1" applyProtection="1">
      <alignment horizontal="center"/>
    </xf>
    <xf numFmtId="3" fontId="8" fillId="0" borderId="0" xfId="0" applyNumberFormat="1" applyFont="1" applyBorder="1" applyAlignment="1" applyProtection="1">
      <alignment horizontal="center"/>
    </xf>
    <xf numFmtId="3" fontId="8" fillId="0" borderId="28" xfId="0" applyNumberFormat="1" applyFont="1" applyBorder="1" applyAlignment="1" applyProtection="1">
      <alignment horizontal="center"/>
    </xf>
    <xf numFmtId="0" fontId="9" fillId="0" borderId="0" xfId="0" applyFont="1" applyProtection="1"/>
    <xf numFmtId="0" fontId="9" fillId="0" borderId="0" xfId="0" applyFont="1" applyAlignment="1" applyProtection="1">
      <alignment horizontal="left"/>
    </xf>
    <xf numFmtId="3" fontId="9" fillId="0" borderId="0" xfId="0" applyNumberFormat="1" applyFont="1" applyAlignment="1" applyProtection="1">
      <alignment horizontal="right"/>
    </xf>
    <xf numFmtId="167" fontId="13" fillId="0" borderId="0" xfId="0" applyNumberFormat="1" applyFont="1" applyProtection="1"/>
    <xf numFmtId="3" fontId="9" fillId="0" borderId="0" xfId="0" applyNumberFormat="1" applyFont="1" applyAlignment="1" applyProtection="1">
      <alignment horizontal="center"/>
    </xf>
    <xf numFmtId="3" fontId="9" fillId="0" borderId="27" xfId="0" applyNumberFormat="1" applyFont="1" applyBorder="1" applyAlignment="1" applyProtection="1">
      <alignment horizontal="center"/>
    </xf>
    <xf numFmtId="3" fontId="9" fillId="0" borderId="0" xfId="0" applyNumberFormat="1" applyFont="1" applyBorder="1" applyAlignment="1" applyProtection="1">
      <alignment horizontal="center"/>
    </xf>
    <xf numFmtId="3" fontId="9" fillId="0" borderId="28" xfId="0" applyNumberFormat="1" applyFont="1" applyBorder="1" applyAlignment="1" applyProtection="1">
      <alignment horizontal="center"/>
    </xf>
    <xf numFmtId="0" fontId="13" fillId="0" borderId="0" xfId="0" applyFont="1" applyProtection="1"/>
    <xf numFmtId="0" fontId="13" fillId="0" borderId="0" xfId="0" applyFont="1" applyAlignment="1" applyProtection="1">
      <alignment horizontal="left"/>
    </xf>
    <xf numFmtId="3" fontId="13" fillId="0" borderId="0" xfId="0" applyNumberFormat="1" applyFont="1" applyAlignment="1" applyProtection="1">
      <alignment horizontal="right"/>
    </xf>
    <xf numFmtId="3" fontId="13" fillId="0" borderId="0" xfId="0" applyNumberFormat="1" applyFont="1" applyAlignment="1" applyProtection="1">
      <alignment horizontal="center"/>
    </xf>
    <xf numFmtId="3" fontId="13" fillId="0" borderId="27" xfId="0" applyNumberFormat="1" applyFont="1" applyBorder="1" applyAlignment="1" applyProtection="1">
      <alignment horizontal="center"/>
    </xf>
    <xf numFmtId="3" fontId="13" fillId="0" borderId="0" xfId="0" applyNumberFormat="1" applyFont="1" applyBorder="1" applyAlignment="1" applyProtection="1">
      <alignment horizontal="center"/>
    </xf>
    <xf numFmtId="3" fontId="13" fillId="0" borderId="28" xfId="0" applyNumberFormat="1" applyFont="1" applyBorder="1" applyAlignment="1" applyProtection="1">
      <alignment horizontal="center"/>
    </xf>
    <xf numFmtId="0" fontId="9" fillId="7" borderId="0" xfId="0" applyFont="1" applyFill="1" applyProtection="1"/>
    <xf numFmtId="0" fontId="9" fillId="7" borderId="0" xfId="0" applyFont="1" applyFill="1" applyAlignment="1" applyProtection="1">
      <alignment horizontal="left"/>
    </xf>
    <xf numFmtId="3" fontId="9" fillId="7" borderId="0" xfId="0" applyNumberFormat="1" applyFont="1" applyFill="1" applyAlignment="1" applyProtection="1">
      <alignment horizontal="right"/>
    </xf>
    <xf numFmtId="3" fontId="9" fillId="7" borderId="0" xfId="0" applyNumberFormat="1" applyFont="1" applyFill="1" applyAlignment="1" applyProtection="1">
      <alignment horizontal="center"/>
    </xf>
    <xf numFmtId="3" fontId="9" fillId="7" borderId="27" xfId="0" applyNumberFormat="1" applyFont="1" applyFill="1" applyBorder="1" applyAlignment="1" applyProtection="1">
      <alignment horizontal="center"/>
    </xf>
    <xf numFmtId="3" fontId="9" fillId="7" borderId="0" xfId="0" applyNumberFormat="1" applyFont="1" applyFill="1" applyBorder="1" applyAlignment="1" applyProtection="1">
      <alignment horizontal="center"/>
    </xf>
    <xf numFmtId="3" fontId="9" fillId="7" borderId="28" xfId="0" applyNumberFormat="1" applyFont="1" applyFill="1" applyBorder="1" applyAlignment="1" applyProtection="1">
      <alignment horizontal="center"/>
    </xf>
    <xf numFmtId="3" fontId="8" fillId="0" borderId="0" xfId="0" applyNumberFormat="1" applyFont="1" applyProtection="1"/>
    <xf numFmtId="0" fontId="10" fillId="0" borderId="0" xfId="0" applyFont="1" applyAlignment="1" applyProtection="1">
      <alignment horizontal="left" vertical="center"/>
    </xf>
    <xf numFmtId="0" fontId="21" fillId="0" borderId="0" xfId="0" applyFont="1" applyProtection="1"/>
    <xf numFmtId="0" fontId="10" fillId="0" borderId="2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28" xfId="0" applyFont="1" applyBorder="1" applyAlignment="1" applyProtection="1">
      <alignment horizontal="center" vertical="center"/>
    </xf>
    <xf numFmtId="167" fontId="13" fillId="5" borderId="0" xfId="0" applyNumberFormat="1" applyFont="1" applyFill="1" applyProtection="1"/>
    <xf numFmtId="167" fontId="16" fillId="5" borderId="0" xfId="0" applyNumberFormat="1" applyFont="1" applyFill="1" applyProtection="1"/>
    <xf numFmtId="0" fontId="11" fillId="5" borderId="11" xfId="0" applyFont="1" applyFill="1" applyBorder="1" applyProtection="1"/>
    <xf numFmtId="3" fontId="11" fillId="5" borderId="5" xfId="0" applyNumberFormat="1" applyFont="1" applyFill="1" applyBorder="1" applyAlignment="1" applyProtection="1">
      <alignment horizontal="right"/>
    </xf>
    <xf numFmtId="3" fontId="11" fillId="5" borderId="5" xfId="0" applyNumberFormat="1" applyFont="1" applyFill="1" applyBorder="1" applyAlignment="1" applyProtection="1">
      <alignment horizontal="left"/>
    </xf>
    <xf numFmtId="3" fontId="11" fillId="5" borderId="6" xfId="0" applyNumberFormat="1" applyFont="1" applyFill="1" applyBorder="1" applyAlignment="1" applyProtection="1">
      <alignment horizontal="right"/>
    </xf>
    <xf numFmtId="0" fontId="8" fillId="0" borderId="12" xfId="0" applyFont="1" applyBorder="1" applyProtection="1"/>
    <xf numFmtId="0" fontId="8" fillId="0" borderId="7" xfId="0" applyFont="1" applyBorder="1" applyProtection="1"/>
    <xf numFmtId="0" fontId="8" fillId="0" borderId="7" xfId="0" applyFont="1" applyBorder="1" applyAlignment="1" applyProtection="1">
      <alignment horizontal="left"/>
    </xf>
    <xf numFmtId="0" fontId="8" fillId="0" borderId="8" xfId="0" applyFont="1" applyBorder="1" applyProtection="1"/>
    <xf numFmtId="0" fontId="11" fillId="5" borderId="12" xfId="0" applyFont="1" applyFill="1" applyBorder="1" applyProtection="1"/>
    <xf numFmtId="3" fontId="11" fillId="5" borderId="7" xfId="0" applyNumberFormat="1" applyFont="1" applyFill="1" applyBorder="1" applyAlignment="1" applyProtection="1">
      <alignment horizontal="right"/>
    </xf>
    <xf numFmtId="3" fontId="11" fillId="5" borderId="7" xfId="0" applyNumberFormat="1" applyFont="1" applyFill="1" applyBorder="1" applyAlignment="1" applyProtection="1">
      <alignment horizontal="left"/>
    </xf>
    <xf numFmtId="3" fontId="11" fillId="5" borderId="8" xfId="0" applyNumberFormat="1" applyFont="1" applyFill="1" applyBorder="1" applyAlignment="1" applyProtection="1">
      <alignment horizontal="right"/>
    </xf>
    <xf numFmtId="0" fontId="9" fillId="0" borderId="12" xfId="0" applyFont="1" applyBorder="1" applyProtection="1"/>
    <xf numFmtId="3" fontId="9" fillId="0" borderId="7" xfId="0" applyNumberFormat="1" applyFont="1" applyBorder="1" applyAlignment="1" applyProtection="1">
      <alignment horizontal="right"/>
    </xf>
    <xf numFmtId="3" fontId="9" fillId="0" borderId="7" xfId="0" applyNumberFormat="1" applyFont="1" applyBorder="1" applyAlignment="1" applyProtection="1">
      <alignment horizontal="left"/>
    </xf>
    <xf numFmtId="3" fontId="9" fillId="0" borderId="8" xfId="0" applyNumberFormat="1" applyFont="1" applyBorder="1" applyAlignment="1" applyProtection="1">
      <alignment horizontal="right"/>
    </xf>
    <xf numFmtId="0" fontId="13" fillId="0" borderId="12" xfId="0" applyFont="1" applyBorder="1" applyProtection="1"/>
    <xf numFmtId="3" fontId="13" fillId="0" borderId="7" xfId="0" applyNumberFormat="1" applyFont="1" applyBorder="1" applyAlignment="1" applyProtection="1">
      <alignment horizontal="right"/>
    </xf>
    <xf numFmtId="3" fontId="13" fillId="0" borderId="7" xfId="0" applyNumberFormat="1" applyFont="1" applyBorder="1" applyAlignment="1" applyProtection="1">
      <alignment horizontal="left"/>
    </xf>
    <xf numFmtId="3" fontId="13" fillId="0" borderId="8" xfId="0" applyNumberFormat="1" applyFont="1" applyBorder="1" applyAlignment="1" applyProtection="1">
      <alignment horizontal="right"/>
    </xf>
    <xf numFmtId="0" fontId="9" fillId="7" borderId="13" xfId="0" applyFont="1" applyFill="1" applyBorder="1" applyProtection="1"/>
    <xf numFmtId="3" fontId="9" fillId="7" borderId="9" xfId="0" applyNumberFormat="1" applyFont="1" applyFill="1" applyBorder="1" applyAlignment="1" applyProtection="1">
      <alignment horizontal="right"/>
    </xf>
    <xf numFmtId="3" fontId="9" fillId="7" borderId="9" xfId="0" applyNumberFormat="1" applyFont="1" applyFill="1" applyBorder="1" applyAlignment="1" applyProtection="1">
      <alignment horizontal="left"/>
    </xf>
    <xf numFmtId="3" fontId="9" fillId="7" borderId="10" xfId="0" applyNumberFormat="1" applyFont="1" applyFill="1" applyBorder="1" applyAlignment="1" applyProtection="1">
      <alignment horizontal="right"/>
    </xf>
    <xf numFmtId="0" fontId="9" fillId="9" borderId="0" xfId="0" applyFont="1" applyFill="1" applyAlignment="1" applyProtection="1">
      <alignment horizontal="justify" wrapText="1"/>
    </xf>
    <xf numFmtId="167" fontId="23" fillId="5" borderId="0" xfId="0" applyNumberFormat="1" applyFont="1" applyFill="1" applyProtection="1"/>
    <xf numFmtId="9" fontId="17" fillId="0" borderId="0" xfId="1" applyFont="1" applyFill="1" applyProtection="1"/>
    <xf numFmtId="0" fontId="24" fillId="0" borderId="0" xfId="0" applyFont="1" applyProtection="1"/>
    <xf numFmtId="0" fontId="8" fillId="0" borderId="0" xfId="0" applyFont="1" applyFill="1" applyProtection="1"/>
    <xf numFmtId="3" fontId="17" fillId="0" borderId="0" xfId="0" applyNumberFormat="1" applyFont="1" applyAlignment="1" applyProtection="1">
      <alignment horizontal="center"/>
    </xf>
    <xf numFmtId="3" fontId="17" fillId="0" borderId="27" xfId="0" applyNumberFormat="1" applyFont="1" applyBorder="1" applyAlignment="1" applyProtection="1">
      <alignment horizontal="center"/>
    </xf>
    <xf numFmtId="3" fontId="17" fillId="0" borderId="0" xfId="0" applyNumberFormat="1" applyFont="1" applyBorder="1" applyAlignment="1" applyProtection="1">
      <alignment horizontal="center"/>
    </xf>
    <xf numFmtId="3" fontId="17" fillId="0" borderId="28" xfId="0" applyNumberFormat="1" applyFont="1" applyBorder="1" applyAlignment="1" applyProtection="1">
      <alignment horizontal="center"/>
    </xf>
    <xf numFmtId="0" fontId="24" fillId="0" borderId="0" xfId="0" applyFont="1" applyFill="1" applyProtection="1"/>
    <xf numFmtId="0" fontId="9" fillId="10" borderId="0" xfId="0" applyFont="1" applyFill="1" applyAlignment="1" applyProtection="1">
      <alignment horizontal="justify" wrapText="1"/>
    </xf>
    <xf numFmtId="0" fontId="9" fillId="11" borderId="0" xfId="0" applyFont="1" applyFill="1" applyAlignment="1" applyProtection="1">
      <alignment horizontal="justify" vertical="center" wrapText="1"/>
    </xf>
    <xf numFmtId="3" fontId="9" fillId="7" borderId="29" xfId="0" applyNumberFormat="1" applyFont="1" applyFill="1" applyBorder="1" applyAlignment="1" applyProtection="1">
      <alignment horizontal="center"/>
    </xf>
    <xf numFmtId="3" fontId="9" fillId="7" borderId="20" xfId="0" applyNumberFormat="1" applyFont="1" applyFill="1" applyBorder="1" applyAlignment="1" applyProtection="1">
      <alignment horizontal="center"/>
    </xf>
    <xf numFmtId="3" fontId="9" fillId="7" borderId="30" xfId="0" applyNumberFormat="1" applyFont="1" applyFill="1" applyBorder="1" applyAlignment="1" applyProtection="1">
      <alignment horizontal="center"/>
    </xf>
    <xf numFmtId="0" fontId="0" fillId="17" borderId="0" xfId="0" applyFill="1" applyProtection="1"/>
    <xf numFmtId="0" fontId="53" fillId="17" borderId="0" xfId="0" applyFont="1" applyFill="1" applyProtection="1"/>
    <xf numFmtId="0" fontId="8" fillId="17" borderId="0" xfId="0" applyFont="1" applyFill="1" applyProtection="1"/>
    <xf numFmtId="0" fontId="8" fillId="17" borderId="0" xfId="0" applyFont="1" applyFill="1" applyAlignment="1" applyProtection="1">
      <alignment horizontal="left"/>
    </xf>
    <xf numFmtId="0" fontId="8" fillId="17" borderId="0" xfId="0" applyFont="1" applyFill="1" applyAlignment="1" applyProtection="1">
      <alignment horizontal="center"/>
    </xf>
    <xf numFmtId="49" fontId="62" fillId="0" borderId="0" xfId="0" applyNumberFormat="1" applyFont="1" applyProtection="1"/>
    <xf numFmtId="0" fontId="63" fillId="0" borderId="0" xfId="0" applyFont="1" applyProtection="1"/>
    <xf numFmtId="0" fontId="64" fillId="0" borderId="0" xfId="0" applyFont="1" applyProtection="1"/>
    <xf numFmtId="0" fontId="65" fillId="0" borderId="0" xfId="0" applyFont="1" applyProtection="1"/>
    <xf numFmtId="0" fontId="14" fillId="0" borderId="11" xfId="0" applyFont="1" applyBorder="1" applyAlignment="1" applyProtection="1">
      <alignment vertical="center"/>
    </xf>
    <xf numFmtId="0" fontId="0" fillId="0" borderId="5" xfId="0" applyBorder="1" applyProtection="1"/>
    <xf numFmtId="0" fontId="15" fillId="0" borderId="5" xfId="0" applyFont="1" applyBorder="1" applyAlignment="1" applyProtection="1">
      <alignment horizontal="left"/>
    </xf>
    <xf numFmtId="10" fontId="8" fillId="0" borderId="5" xfId="1" applyNumberFormat="1" applyFont="1" applyFill="1" applyBorder="1" applyAlignment="1" applyProtection="1">
      <alignment horizontal="center"/>
    </xf>
    <xf numFmtId="10" fontId="8" fillId="0" borderId="6" xfId="1" applyNumberFormat="1" applyFont="1" applyFill="1" applyBorder="1" applyAlignment="1" applyProtection="1">
      <alignment horizontal="center"/>
    </xf>
    <xf numFmtId="0" fontId="14" fillId="0" borderId="12" xfId="0" applyFont="1" applyBorder="1" applyAlignment="1" applyProtection="1">
      <alignment vertical="center"/>
    </xf>
    <xf numFmtId="0" fontId="0" fillId="0" borderId="7" xfId="0" applyBorder="1" applyProtection="1"/>
    <xf numFmtId="0" fontId="15" fillId="0" borderId="7" xfId="0" applyFont="1" applyBorder="1" applyAlignment="1" applyProtection="1">
      <alignment horizontal="left"/>
    </xf>
    <xf numFmtId="10" fontId="8" fillId="0" borderId="7" xfId="1" applyNumberFormat="1" applyFont="1" applyFill="1" applyBorder="1" applyAlignment="1" applyProtection="1">
      <alignment horizontal="center"/>
    </xf>
    <xf numFmtId="10" fontId="8" fillId="0" borderId="8" xfId="1" applyNumberFormat="1" applyFont="1" applyFill="1" applyBorder="1" applyAlignment="1" applyProtection="1">
      <alignment horizontal="center"/>
    </xf>
    <xf numFmtId="0" fontId="14" fillId="0" borderId="13" xfId="0" applyFont="1" applyBorder="1" applyAlignment="1" applyProtection="1">
      <alignment vertical="center"/>
    </xf>
    <xf numFmtId="0" fontId="0" fillId="0" borderId="9" xfId="0" applyBorder="1" applyProtection="1"/>
    <xf numFmtId="0" fontId="15" fillId="0" borderId="9" xfId="0" applyFont="1" applyBorder="1" applyAlignment="1" applyProtection="1">
      <alignment horizontal="left"/>
    </xf>
    <xf numFmtId="10" fontId="8" fillId="0" borderId="9" xfId="1" applyNumberFormat="1" applyFont="1" applyFill="1" applyBorder="1" applyAlignment="1" applyProtection="1">
      <alignment horizontal="center"/>
    </xf>
    <xf numFmtId="10" fontId="8" fillId="0" borderId="10" xfId="1" applyNumberFormat="1" applyFont="1" applyFill="1" applyBorder="1" applyAlignment="1" applyProtection="1">
      <alignment horizontal="center"/>
    </xf>
    <xf numFmtId="0" fontId="10" fillId="0" borderId="0" xfId="0" applyFont="1" applyFill="1" applyAlignment="1" applyProtection="1">
      <alignment horizontal="center" vertical="center"/>
    </xf>
    <xf numFmtId="10" fontId="17" fillId="0" borderId="9" xfId="1" applyNumberFormat="1" applyFont="1" applyFill="1" applyBorder="1" applyAlignment="1" applyProtection="1">
      <alignment horizontal="center"/>
    </xf>
    <xf numFmtId="10" fontId="17" fillId="0" borderId="10" xfId="1" applyNumberFormat="1" applyFont="1" applyFill="1" applyBorder="1" applyAlignment="1" applyProtection="1">
      <alignment horizontal="center"/>
    </xf>
    <xf numFmtId="0" fontId="14" fillId="0" borderId="16" xfId="0" applyFont="1" applyBorder="1" applyAlignment="1" applyProtection="1">
      <alignment vertical="center"/>
    </xf>
    <xf numFmtId="0" fontId="15" fillId="0" borderId="31" xfId="0" applyFont="1" applyBorder="1" applyAlignment="1" applyProtection="1">
      <alignment horizontal="left"/>
    </xf>
    <xf numFmtId="0" fontId="14" fillId="0" borderId="18" xfId="0" applyFont="1" applyBorder="1" applyAlignment="1" applyProtection="1">
      <alignment vertical="center"/>
    </xf>
    <xf numFmtId="0" fontId="15" fillId="0" borderId="22" xfId="0" applyFont="1" applyBorder="1" applyAlignment="1" applyProtection="1">
      <alignment horizontal="left"/>
    </xf>
    <xf numFmtId="10" fontId="17" fillId="0" borderId="7" xfId="1" applyNumberFormat="1" applyFont="1" applyFill="1" applyBorder="1" applyAlignment="1" applyProtection="1">
      <alignment horizontal="center"/>
    </xf>
    <xf numFmtId="0" fontId="14" fillId="0" borderId="19" xfId="0" applyFont="1" applyBorder="1" applyAlignment="1" applyProtection="1">
      <alignment vertical="center"/>
    </xf>
    <xf numFmtId="0" fontId="15" fillId="0" borderId="32" xfId="0" applyFont="1" applyBorder="1" applyAlignment="1" applyProtection="1">
      <alignment horizontal="left"/>
    </xf>
    <xf numFmtId="0" fontId="12" fillId="0" borderId="0" xfId="0" applyFont="1" applyProtection="1"/>
    <xf numFmtId="0" fontId="16" fillId="0" borderId="0" xfId="0" applyFont="1" applyProtection="1"/>
    <xf numFmtId="0" fontId="10" fillId="16" borderId="0" xfId="0" applyFont="1" applyFill="1" applyAlignment="1" applyProtection="1">
      <alignment horizontal="center" vertical="center"/>
    </xf>
    <xf numFmtId="0" fontId="15" fillId="0" borderId="5" xfId="0" applyFont="1" applyBorder="1" applyAlignment="1" applyProtection="1">
      <alignment vertical="center"/>
    </xf>
    <xf numFmtId="0" fontId="12" fillId="16" borderId="0" xfId="0" applyFont="1" applyFill="1" applyProtection="1"/>
    <xf numFmtId="0" fontId="15" fillId="0" borderId="7" xfId="0" applyFont="1" applyBorder="1" applyAlignment="1" applyProtection="1">
      <alignment vertical="center"/>
    </xf>
    <xf numFmtId="0" fontId="15" fillId="0" borderId="9" xfId="0" applyFont="1" applyBorder="1" applyAlignment="1" applyProtection="1">
      <alignment vertical="center"/>
    </xf>
    <xf numFmtId="10" fontId="0" fillId="0" borderId="0" xfId="0" applyNumberFormat="1" applyAlignment="1" applyProtection="1">
      <alignment horizontal="center"/>
    </xf>
    <xf numFmtId="49" fontId="55" fillId="0" borderId="0" xfId="0" applyNumberFormat="1" applyFont="1" applyProtection="1"/>
    <xf numFmtId="0" fontId="53" fillId="0" borderId="0" xfId="0" applyFont="1" applyFill="1" applyProtection="1"/>
    <xf numFmtId="0" fontId="0" fillId="0" borderId="0" xfId="0" applyFill="1" applyAlignment="1" applyProtection="1">
      <alignment horizontal="left"/>
    </xf>
    <xf numFmtId="0" fontId="18" fillId="0" borderId="0" xfId="0" applyFont="1" applyFill="1" applyProtection="1"/>
    <xf numFmtId="0" fontId="18" fillId="6" borderId="0" xfId="0" applyFont="1" applyFill="1" applyAlignment="1" applyProtection="1">
      <alignment horizontal="center"/>
    </xf>
    <xf numFmtId="0" fontId="18" fillId="15" borderId="0" xfId="0" applyFont="1" applyFill="1" applyAlignment="1" applyProtection="1">
      <alignment horizontal="center"/>
    </xf>
    <xf numFmtId="0" fontId="9" fillId="8" borderId="25" xfId="0" applyFont="1" applyFill="1" applyBorder="1" applyAlignment="1" applyProtection="1">
      <alignment horizontal="justify" wrapText="1"/>
    </xf>
    <xf numFmtId="0" fontId="0" fillId="0" borderId="5" xfId="0" applyFill="1" applyBorder="1" applyProtection="1"/>
    <xf numFmtId="0" fontId="0" fillId="0" borderId="5" xfId="0" applyFill="1" applyBorder="1" applyAlignment="1" applyProtection="1">
      <alignment horizontal="left"/>
    </xf>
    <xf numFmtId="0" fontId="0" fillId="0" borderId="6" xfId="0" applyFill="1" applyBorder="1" applyProtection="1"/>
    <xf numFmtId="167" fontId="20" fillId="0" borderId="0" xfId="0" applyNumberFormat="1" applyFont="1" applyProtection="1"/>
    <xf numFmtId="167" fontId="20" fillId="14" borderId="0" xfId="0" applyNumberFormat="1" applyFont="1" applyFill="1" applyProtection="1"/>
    <xf numFmtId="167" fontId="20" fillId="12" borderId="0" xfId="0" applyNumberFormat="1" applyFont="1" applyFill="1" applyProtection="1"/>
    <xf numFmtId="167" fontId="0" fillId="0" borderId="0" xfId="0" applyNumberFormat="1" applyProtection="1"/>
    <xf numFmtId="9" fontId="8" fillId="15" borderId="0" xfId="1" applyFont="1" applyFill="1" applyProtection="1"/>
    <xf numFmtId="0" fontId="0" fillId="6" borderId="0" xfId="0" applyFill="1" applyAlignment="1" applyProtection="1">
      <alignment horizontal="center"/>
    </xf>
    <xf numFmtId="0" fontId="0" fillId="15" borderId="0" xfId="0" applyFill="1" applyAlignment="1" applyProtection="1">
      <alignment horizontal="center"/>
    </xf>
    <xf numFmtId="0" fontId="9" fillId="10" borderId="27" xfId="0" applyFont="1" applyFill="1" applyBorder="1" applyAlignment="1" applyProtection="1">
      <alignment horizontal="justify" wrapText="1"/>
    </xf>
    <xf numFmtId="0" fontId="0" fillId="0" borderId="7" xfId="0" applyFill="1" applyBorder="1" applyProtection="1"/>
    <xf numFmtId="0" fontId="0" fillId="0" borderId="7" xfId="0" applyFill="1" applyBorder="1" applyAlignment="1" applyProtection="1">
      <alignment horizontal="left"/>
    </xf>
    <xf numFmtId="0" fontId="0" fillId="0" borderId="8" xfId="0" applyFill="1" applyBorder="1" applyProtection="1"/>
    <xf numFmtId="0" fontId="9" fillId="11" borderId="29" xfId="0" applyFont="1" applyFill="1" applyBorder="1" applyAlignment="1" applyProtection="1">
      <alignment horizontal="justify" vertical="center" wrapText="1"/>
    </xf>
    <xf numFmtId="0" fontId="18" fillId="0" borderId="9" xfId="0" applyFont="1" applyFill="1" applyBorder="1" applyProtection="1"/>
    <xf numFmtId="0" fontId="18" fillId="0" borderId="9" xfId="0" applyFont="1" applyFill="1" applyBorder="1" applyAlignment="1" applyProtection="1">
      <alignment horizontal="left"/>
    </xf>
    <xf numFmtId="0" fontId="18" fillId="0" borderId="10" xfId="0" applyFont="1" applyFill="1" applyBorder="1" applyProtection="1"/>
    <xf numFmtId="0" fontId="56" fillId="0" borderId="0" xfId="2" applyFont="1" applyProtection="1"/>
    <xf numFmtId="0" fontId="8" fillId="0" borderId="0" xfId="0" applyFont="1" applyFill="1" applyAlignment="1" applyProtection="1">
      <alignment horizontal="left"/>
    </xf>
    <xf numFmtId="0" fontId="8" fillId="0" borderId="0" xfId="0" applyFont="1" applyFill="1" applyAlignment="1" applyProtection="1">
      <alignment horizontal="center"/>
    </xf>
    <xf numFmtId="0" fontId="57" fillId="0" borderId="0" xfId="0" applyFont="1" applyFill="1" applyBorder="1" applyProtection="1"/>
    <xf numFmtId="0" fontId="0" fillId="0" borderId="0" xfId="0" applyFill="1" applyAlignment="1" applyProtection="1">
      <alignment horizontal="center"/>
    </xf>
    <xf numFmtId="49" fontId="67" fillId="0" borderId="0" xfId="0" applyNumberFormat="1" applyFont="1" applyProtection="1"/>
    <xf numFmtId="0" fontId="67" fillId="0" borderId="0" xfId="0" applyFont="1" applyProtection="1"/>
    <xf numFmtId="0" fontId="60" fillId="0" borderId="0" xfId="0" applyFont="1" applyProtection="1"/>
    <xf numFmtId="0" fontId="18" fillId="0" borderId="0" xfId="0" applyFont="1" applyProtection="1"/>
    <xf numFmtId="0" fontId="0" fillId="0" borderId="0" xfId="0" applyBorder="1" applyProtection="1"/>
    <xf numFmtId="0" fontId="47" fillId="0" borderId="0" xfId="2" applyFont="1" applyProtection="1"/>
    <xf numFmtId="0" fontId="47" fillId="0" borderId="0" xfId="2" applyFont="1" applyAlignment="1" applyProtection="1">
      <alignment horizontal="left"/>
    </xf>
    <xf numFmtId="49" fontId="53" fillId="0" borderId="0" xfId="0" applyNumberFormat="1" applyFont="1" applyProtection="1"/>
    <xf numFmtId="0" fontId="58" fillId="0" borderId="0" xfId="2" applyFont="1" applyAlignment="1" applyProtection="1">
      <alignment horizontal="left" vertical="center"/>
    </xf>
    <xf numFmtId="0" fontId="50" fillId="0" borderId="0" xfId="0" applyFont="1" applyAlignment="1" applyProtection="1">
      <alignment horizontal="left"/>
    </xf>
    <xf numFmtId="0" fontId="50" fillId="0" borderId="0" xfId="0" applyFont="1" applyProtection="1"/>
    <xf numFmtId="0" fontId="47" fillId="0" borderId="25" xfId="2" applyFont="1" applyFill="1" applyBorder="1" applyProtection="1"/>
    <xf numFmtId="3" fontId="47" fillId="0" borderId="15" xfId="2" applyNumberFormat="1" applyFont="1" applyFill="1" applyBorder="1" applyProtection="1"/>
    <xf numFmtId="0" fontId="0" fillId="0" borderId="15" xfId="0" applyFill="1" applyBorder="1" applyProtection="1"/>
    <xf numFmtId="0" fontId="0" fillId="0" borderId="26" xfId="0" applyFill="1" applyBorder="1" applyProtection="1"/>
    <xf numFmtId="0" fontId="0" fillId="0" borderId="0" xfId="0" applyFill="1" applyBorder="1" applyProtection="1"/>
    <xf numFmtId="0" fontId="47" fillId="0" borderId="27" xfId="2" applyFont="1" applyFill="1" applyBorder="1" applyProtection="1"/>
    <xf numFmtId="3" fontId="47" fillId="0" borderId="0" xfId="2" applyNumberFormat="1" applyFont="1" applyFill="1" applyBorder="1" applyProtection="1"/>
    <xf numFmtId="0" fontId="0" fillId="0" borderId="28" xfId="0" applyFill="1" applyBorder="1" applyProtection="1"/>
    <xf numFmtId="0" fontId="48" fillId="0" borderId="27" xfId="2" applyFont="1" applyFill="1" applyBorder="1" applyProtection="1"/>
    <xf numFmtId="0" fontId="18" fillId="0" borderId="0" xfId="0" applyFont="1" applyFill="1" applyBorder="1" applyProtection="1"/>
    <xf numFmtId="0" fontId="18" fillId="0" borderId="28" xfId="0" applyFont="1" applyFill="1" applyBorder="1" applyProtection="1"/>
    <xf numFmtId="3" fontId="48" fillId="0" borderId="0" xfId="2" applyNumberFormat="1" applyFont="1" applyFill="1" applyBorder="1" applyProtection="1"/>
    <xf numFmtId="0" fontId="48" fillId="0" borderId="29" xfId="2" applyFont="1" applyFill="1" applyBorder="1" applyProtection="1"/>
    <xf numFmtId="3" fontId="48" fillId="0" borderId="20" xfId="2" applyNumberFormat="1" applyFont="1" applyFill="1" applyBorder="1" applyProtection="1"/>
    <xf numFmtId="0" fontId="0" fillId="0" borderId="20" xfId="0" applyFill="1" applyBorder="1" applyProtection="1"/>
    <xf numFmtId="0" fontId="0" fillId="0" borderId="30" xfId="0" applyFill="1" applyBorder="1" applyProtection="1"/>
    <xf numFmtId="0" fontId="58" fillId="0" borderId="0" xfId="2" applyFont="1" applyProtection="1"/>
    <xf numFmtId="0" fontId="47" fillId="0" borderId="25" xfId="2" applyFont="1" applyBorder="1" applyProtection="1"/>
    <xf numFmtId="3" fontId="47" fillId="0" borderId="15" xfId="2" applyNumberFormat="1" applyFont="1" applyBorder="1" applyProtection="1"/>
    <xf numFmtId="3" fontId="47" fillId="0" borderId="15" xfId="2" applyNumberFormat="1" applyFont="1" applyBorder="1" applyAlignment="1" applyProtection="1">
      <alignment horizontal="left"/>
    </xf>
    <xf numFmtId="3" fontId="47" fillId="0" borderId="26" xfId="2" applyNumberFormat="1" applyFont="1" applyBorder="1" applyProtection="1"/>
    <xf numFmtId="0" fontId="47" fillId="0" borderId="27" xfId="2" applyFont="1" applyBorder="1" applyProtection="1"/>
    <xf numFmtId="3" fontId="47" fillId="0" borderId="0" xfId="2" applyNumberFormat="1" applyFont="1" applyBorder="1" applyProtection="1"/>
    <xf numFmtId="3" fontId="47" fillId="0" borderId="0" xfId="2" applyNumberFormat="1" applyFont="1" applyBorder="1" applyAlignment="1" applyProtection="1">
      <alignment horizontal="left"/>
    </xf>
    <xf numFmtId="3" fontId="47" fillId="0" borderId="28" xfId="2" applyNumberFormat="1" applyFont="1" applyBorder="1" applyProtection="1"/>
    <xf numFmtId="0" fontId="47" fillId="0" borderId="29" xfId="2" applyFont="1" applyBorder="1" applyProtection="1"/>
    <xf numFmtId="3" fontId="47" fillId="0" borderId="20" xfId="2" applyNumberFormat="1" applyFont="1" applyBorder="1" applyProtection="1"/>
    <xf numFmtId="3" fontId="47" fillId="0" borderId="20" xfId="2" applyNumberFormat="1" applyFont="1" applyBorder="1" applyAlignment="1" applyProtection="1">
      <alignment horizontal="left"/>
    </xf>
    <xf numFmtId="3" fontId="47" fillId="0" borderId="30" xfId="2" applyNumberFormat="1" applyFont="1" applyBorder="1" applyProtection="1"/>
    <xf numFmtId="0" fontId="47" fillId="0" borderId="0" xfId="2" applyFont="1" applyBorder="1" applyProtection="1"/>
    <xf numFmtId="0" fontId="61" fillId="0" borderId="29" xfId="2" applyFont="1" applyBorder="1" applyProtection="1"/>
    <xf numFmtId="3" fontId="61" fillId="0" borderId="20" xfId="2" applyNumberFormat="1" applyFont="1" applyBorder="1" applyProtection="1"/>
    <xf numFmtId="3" fontId="61" fillId="0" borderId="20" xfId="2" applyNumberFormat="1" applyFont="1" applyBorder="1" applyAlignment="1" applyProtection="1">
      <alignment horizontal="left"/>
    </xf>
    <xf numFmtId="0" fontId="61" fillId="0" borderId="20" xfId="2" applyFont="1" applyBorder="1" applyProtection="1"/>
    <xf numFmtId="3" fontId="18" fillId="0" borderId="20" xfId="0" applyNumberFormat="1" applyFont="1" applyBorder="1" applyProtection="1"/>
    <xf numFmtId="3" fontId="18" fillId="0" borderId="30" xfId="0" applyNumberFormat="1" applyFont="1" applyBorder="1" applyProtection="1"/>
    <xf numFmtId="0" fontId="18" fillId="0" borderId="0" xfId="0" applyFont="1" applyAlignment="1" applyProtection="1">
      <alignment horizontal="center"/>
    </xf>
    <xf numFmtId="0" fontId="47" fillId="0" borderId="15" xfId="2" applyFont="1" applyBorder="1" applyProtection="1"/>
    <xf numFmtId="167" fontId="39" fillId="0" borderId="15" xfId="2" applyNumberFormat="1" applyFont="1" applyBorder="1" applyAlignment="1" applyProtection="1">
      <alignment horizontal="left"/>
    </xf>
    <xf numFmtId="0" fontId="0" fillId="0" borderId="15" xfId="0" applyBorder="1" applyProtection="1"/>
    <xf numFmtId="9" fontId="0" fillId="0" borderId="15" xfId="1" applyFont="1" applyFill="1" applyBorder="1" applyProtection="1"/>
    <xf numFmtId="9" fontId="0" fillId="0" borderId="26" xfId="1" applyFont="1" applyFill="1" applyBorder="1" applyProtection="1"/>
    <xf numFmtId="9" fontId="0" fillId="0" borderId="0" xfId="1" applyFont="1" applyFill="1" applyBorder="1" applyProtection="1"/>
    <xf numFmtId="0" fontId="50" fillId="0" borderId="0" xfId="0" applyFont="1" applyBorder="1" applyAlignment="1" applyProtection="1">
      <alignment horizontal="left"/>
    </xf>
    <xf numFmtId="9" fontId="0" fillId="0" borderId="28" xfId="1" applyFont="1" applyFill="1" applyBorder="1" applyProtection="1"/>
    <xf numFmtId="0" fontId="47" fillId="0" borderId="20" xfId="2" applyFont="1" applyBorder="1" applyProtection="1"/>
    <xf numFmtId="0" fontId="50" fillId="0" borderId="20" xfId="0" applyFont="1" applyBorder="1" applyAlignment="1" applyProtection="1">
      <alignment horizontal="left"/>
    </xf>
    <xf numFmtId="0" fontId="0" fillId="0" borderId="20" xfId="0" applyBorder="1" applyProtection="1"/>
    <xf numFmtId="9" fontId="0" fillId="0" borderId="20" xfId="1" applyFont="1" applyFill="1" applyBorder="1" applyProtection="1"/>
    <xf numFmtId="9" fontId="0" fillId="0" borderId="30" xfId="1" applyFont="1" applyFill="1" applyBorder="1" applyProtection="1"/>
    <xf numFmtId="0" fontId="39" fillId="0" borderId="0" xfId="2" applyFont="1" applyAlignment="1" applyProtection="1">
      <alignment horizontal="left"/>
    </xf>
    <xf numFmtId="9" fontId="39" fillId="0" borderId="0" xfId="1" applyFont="1" applyBorder="1" applyProtection="1"/>
    <xf numFmtId="0" fontId="39" fillId="0" borderId="0" xfId="2" applyFont="1" applyProtection="1"/>
    <xf numFmtId="0" fontId="47" fillId="0" borderId="15" xfId="2" applyFont="1" applyBorder="1" applyAlignment="1" applyProtection="1">
      <alignment horizontal="left"/>
    </xf>
    <xf numFmtId="0" fontId="0" fillId="0" borderId="26" xfId="0" applyBorder="1" applyProtection="1"/>
    <xf numFmtId="0" fontId="0" fillId="0" borderId="28" xfId="0" applyBorder="1" applyProtection="1"/>
    <xf numFmtId="0" fontId="68" fillId="0" borderId="0" xfId="0" applyFont="1" applyBorder="1" applyProtection="1"/>
    <xf numFmtId="0" fontId="68" fillId="0" borderId="28" xfId="0" applyFont="1" applyBorder="1" applyProtection="1"/>
    <xf numFmtId="0" fontId="18" fillId="0" borderId="20" xfId="0" applyFont="1" applyBorder="1" applyProtection="1"/>
    <xf numFmtId="0" fontId="18" fillId="0" borderId="30" xfId="0" applyFont="1" applyBorder="1" applyProtection="1"/>
    <xf numFmtId="3" fontId="47" fillId="0" borderId="0" xfId="2" applyNumberFormat="1" applyFont="1" applyProtection="1"/>
    <xf numFmtId="3" fontId="47" fillId="0" borderId="0" xfId="2" applyNumberFormat="1" applyFont="1" applyAlignment="1" applyProtection="1">
      <alignment horizontal="left"/>
    </xf>
    <xf numFmtId="9" fontId="0" fillId="6" borderId="15" xfId="1" applyFont="1" applyFill="1" applyBorder="1" applyProtection="1"/>
    <xf numFmtId="9" fontId="0" fillId="6" borderId="26" xfId="1" applyFont="1" applyFill="1" applyBorder="1" applyProtection="1"/>
    <xf numFmtId="0" fontId="47" fillId="0" borderId="20" xfId="2" applyFont="1" applyBorder="1" applyAlignment="1" applyProtection="1">
      <alignment horizontal="left"/>
    </xf>
    <xf numFmtId="0" fontId="0" fillId="0" borderId="30" xfId="0" applyBorder="1" applyProtection="1"/>
    <xf numFmtId="0" fontId="47" fillId="0" borderId="0" xfId="2" applyFont="1" applyBorder="1" applyAlignment="1" applyProtection="1">
      <alignment horizontal="left"/>
    </xf>
    <xf numFmtId="1" fontId="0" fillId="0" borderId="0" xfId="1" applyNumberFormat="1" applyFont="1" applyBorder="1" applyProtection="1"/>
    <xf numFmtId="1" fontId="0" fillId="0" borderId="28" xfId="1" applyNumberFormat="1" applyFont="1" applyBorder="1" applyProtection="1"/>
    <xf numFmtId="9" fontId="0" fillId="6" borderId="0" xfId="1" applyFont="1" applyFill="1" applyBorder="1" applyProtection="1"/>
    <xf numFmtId="9" fontId="0" fillId="6" borderId="28" xfId="1" applyFont="1" applyFill="1" applyBorder="1" applyProtection="1"/>
    <xf numFmtId="0" fontId="39" fillId="0" borderId="20" xfId="2" applyFont="1" applyBorder="1" applyProtection="1"/>
    <xf numFmtId="9" fontId="0" fillId="6" borderId="20" xfId="1" applyFont="1" applyFill="1" applyBorder="1" applyProtection="1"/>
    <xf numFmtId="9" fontId="0" fillId="6" borderId="30" xfId="1" applyFont="1" applyFill="1" applyBorder="1" applyProtection="1"/>
    <xf numFmtId="0" fontId="52" fillId="0" borderId="0" xfId="2" applyFont="1" applyAlignment="1" applyProtection="1">
      <alignment vertical="center"/>
    </xf>
    <xf numFmtId="9" fontId="47" fillId="0" borderId="0" xfId="2" applyNumberFormat="1" applyFont="1" applyProtection="1"/>
    <xf numFmtId="9" fontId="47" fillId="0" borderId="0" xfId="2" applyNumberFormat="1" applyFont="1" applyAlignment="1" applyProtection="1">
      <alignment horizontal="left"/>
    </xf>
    <xf numFmtId="0" fontId="48" fillId="0" borderId="0" xfId="2" applyFont="1" applyAlignment="1" applyProtection="1">
      <alignment horizontal="center"/>
    </xf>
    <xf numFmtId="0" fontId="48" fillId="0" borderId="0" xfId="2" applyFont="1" applyAlignment="1" applyProtection="1">
      <alignment horizontal="left"/>
    </xf>
    <xf numFmtId="167" fontId="39" fillId="0" borderId="0" xfId="2" applyNumberFormat="1" applyFont="1" applyAlignment="1" applyProtection="1">
      <alignment horizontal="left"/>
    </xf>
    <xf numFmtId="0" fontId="49" fillId="0" borderId="0" xfId="2" applyFont="1" applyProtection="1"/>
    <xf numFmtId="167" fontId="47" fillId="0" borderId="0" xfId="2" applyNumberFormat="1" applyFont="1" applyProtection="1"/>
    <xf numFmtId="1" fontId="0" fillId="0" borderId="15" xfId="0" applyNumberFormat="1" applyBorder="1" applyProtection="1"/>
    <xf numFmtId="1" fontId="0" fillId="0" borderId="26" xfId="0" applyNumberFormat="1" applyBorder="1" applyProtection="1"/>
    <xf numFmtId="1" fontId="0" fillId="0" borderId="0" xfId="0" applyNumberFormat="1" applyBorder="1" applyProtection="1"/>
    <xf numFmtId="1" fontId="0" fillId="0" borderId="28" xfId="0" applyNumberFormat="1" applyBorder="1" applyProtection="1"/>
    <xf numFmtId="0" fontId="61" fillId="0" borderId="20" xfId="2" applyFont="1" applyBorder="1" applyAlignment="1" applyProtection="1">
      <alignment horizontal="left"/>
    </xf>
    <xf numFmtId="0" fontId="53" fillId="16" borderId="0" xfId="0" applyFont="1" applyFill="1" applyProtection="1"/>
    <xf numFmtId="0" fontId="8" fillId="16" borderId="0" xfId="0" applyFont="1" applyFill="1" applyProtection="1"/>
    <xf numFmtId="0" fontId="47" fillId="16" borderId="0" xfId="2" applyFont="1" applyFill="1" applyProtection="1"/>
    <xf numFmtId="0" fontId="47" fillId="16" borderId="0" xfId="2" applyFont="1" applyFill="1" applyAlignment="1" applyProtection="1">
      <alignment horizontal="left"/>
    </xf>
    <xf numFmtId="0" fontId="0" fillId="16" borderId="0" xfId="0" applyFill="1" applyAlignment="1" applyProtection="1">
      <alignment horizontal="center"/>
    </xf>
    <xf numFmtId="0" fontId="47" fillId="0" borderId="0" xfId="2" applyFont="1" applyFill="1" applyProtection="1"/>
    <xf numFmtId="0" fontId="47" fillId="0" borderId="0" xfId="2" applyFont="1" applyFill="1" applyAlignment="1" applyProtection="1">
      <alignment horizontal="left"/>
    </xf>
    <xf numFmtId="0" fontId="47" fillId="0" borderId="15" xfId="2" applyFont="1" applyFill="1" applyBorder="1" applyProtection="1"/>
    <xf numFmtId="167" fontId="39" fillId="0" borderId="15" xfId="2" applyNumberFormat="1" applyFont="1" applyFill="1" applyBorder="1" applyAlignment="1" applyProtection="1">
      <alignment horizontal="left"/>
    </xf>
    <xf numFmtId="9" fontId="69" fillId="0" borderId="15" xfId="1" applyFont="1" applyFill="1" applyBorder="1" applyProtection="1"/>
    <xf numFmtId="9" fontId="69" fillId="0" borderId="26" xfId="1" applyFont="1" applyFill="1" applyBorder="1" applyProtection="1"/>
    <xf numFmtId="0" fontId="47" fillId="0" borderId="0" xfId="2" applyFont="1" applyFill="1" applyBorder="1" applyProtection="1"/>
    <xf numFmtId="0" fontId="50" fillId="0" borderId="0" xfId="0" applyFont="1" applyFill="1" applyBorder="1" applyAlignment="1" applyProtection="1">
      <alignment horizontal="left"/>
    </xf>
    <xf numFmtId="9" fontId="69" fillId="0" borderId="0" xfId="1" applyFont="1" applyFill="1" applyBorder="1" applyProtection="1"/>
    <xf numFmtId="9" fontId="69" fillId="0" borderId="28" xfId="1" applyFont="1" applyFill="1" applyBorder="1" applyProtection="1"/>
    <xf numFmtId="0" fontId="47" fillId="0" borderId="20" xfId="2" applyFont="1" applyFill="1" applyBorder="1" applyProtection="1"/>
    <xf numFmtId="0" fontId="50" fillId="0" borderId="20" xfId="0" applyFont="1" applyFill="1" applyBorder="1" applyAlignment="1" applyProtection="1">
      <alignment horizontal="left"/>
    </xf>
    <xf numFmtId="9" fontId="69" fillId="0" borderId="20" xfId="1" applyFont="1" applyFill="1" applyBorder="1" applyProtection="1"/>
    <xf numFmtId="9" fontId="69" fillId="0" borderId="30" xfId="1" applyFont="1" applyFill="1" applyBorder="1" applyProtection="1"/>
    <xf numFmtId="0" fontId="50" fillId="0" borderId="0" xfId="0" applyFont="1" applyFill="1" applyProtection="1"/>
    <xf numFmtId="0" fontId="39" fillId="0" borderId="0" xfId="2" applyFont="1" applyFill="1" applyAlignment="1" applyProtection="1">
      <alignment horizontal="left"/>
    </xf>
    <xf numFmtId="9" fontId="39" fillId="0" borderId="0" xfId="1" applyFont="1" applyFill="1" applyBorder="1" applyProtection="1"/>
    <xf numFmtId="0" fontId="39" fillId="0" borderId="0" xfId="2" applyFont="1" applyFill="1" applyProtection="1"/>
    <xf numFmtId="0" fontId="47" fillId="0" borderId="15" xfId="2" applyFont="1" applyFill="1" applyBorder="1" applyAlignment="1" applyProtection="1">
      <alignment horizontal="left"/>
    </xf>
    <xf numFmtId="3" fontId="47" fillId="0" borderId="0" xfId="2" applyNumberFormat="1" applyFont="1" applyFill="1" applyBorder="1" applyAlignment="1" applyProtection="1">
      <alignment horizontal="left"/>
    </xf>
    <xf numFmtId="0" fontId="68" fillId="0" borderId="0" xfId="0" applyFont="1" applyFill="1" applyBorder="1" applyProtection="1"/>
    <xf numFmtId="0" fontId="68" fillId="0" borderId="28" xfId="0" applyFont="1" applyFill="1" applyBorder="1" applyProtection="1"/>
    <xf numFmtId="3" fontId="61" fillId="0" borderId="20" xfId="2" applyNumberFormat="1" applyFont="1" applyFill="1" applyBorder="1" applyProtection="1"/>
    <xf numFmtId="3" fontId="61" fillId="0" borderId="20" xfId="2" applyNumberFormat="1" applyFont="1" applyFill="1" applyBorder="1" applyAlignment="1" applyProtection="1">
      <alignment horizontal="left"/>
    </xf>
    <xf numFmtId="0" fontId="61" fillId="0" borderId="20" xfId="2" applyFont="1" applyFill="1" applyBorder="1" applyProtection="1"/>
    <xf numFmtId="0" fontId="18" fillId="0" borderId="20" xfId="0" applyFont="1" applyFill="1" applyBorder="1" applyProtection="1"/>
    <xf numFmtId="0" fontId="18" fillId="0" borderId="30" xfId="0" applyFont="1" applyFill="1" applyBorder="1" applyProtection="1"/>
    <xf numFmtId="3" fontId="47" fillId="0" borderId="0" xfId="2" applyNumberFormat="1" applyFont="1" applyFill="1" applyProtection="1"/>
    <xf numFmtId="3" fontId="47" fillId="0" borderId="0" xfId="2" applyNumberFormat="1" applyFont="1" applyFill="1" applyAlignment="1" applyProtection="1">
      <alignment horizontal="left"/>
    </xf>
    <xf numFmtId="0" fontId="47" fillId="0" borderId="20" xfId="2" applyFont="1" applyFill="1" applyBorder="1" applyAlignment="1" applyProtection="1">
      <alignment horizontal="left"/>
    </xf>
    <xf numFmtId="0" fontId="47" fillId="0" borderId="0" xfId="2" applyFont="1" applyFill="1" applyBorder="1" applyAlignment="1" applyProtection="1">
      <alignment horizontal="left"/>
    </xf>
    <xf numFmtId="1" fontId="0" fillId="0" borderId="0" xfId="1" applyNumberFormat="1" applyFont="1" applyFill="1" applyBorder="1" applyProtection="1"/>
    <xf numFmtId="1" fontId="0" fillId="0" borderId="28" xfId="1" applyNumberFormat="1" applyFont="1" applyFill="1" applyBorder="1" applyProtection="1"/>
    <xf numFmtId="1" fontId="0" fillId="0" borderId="0" xfId="0" applyNumberFormat="1" applyFill="1" applyBorder="1" applyProtection="1"/>
    <xf numFmtId="1" fontId="0" fillId="0" borderId="20" xfId="1" applyNumberFormat="1" applyFont="1" applyFill="1" applyBorder="1" applyProtection="1"/>
    <xf numFmtId="1" fontId="0" fillId="0" borderId="30" xfId="1" applyNumberFormat="1" applyFont="1" applyFill="1" applyBorder="1" applyProtection="1"/>
    <xf numFmtId="0" fontId="39" fillId="0" borderId="20" xfId="2" applyFont="1" applyFill="1" applyBorder="1" applyProtection="1"/>
    <xf numFmtId="9" fontId="47" fillId="0" borderId="0" xfId="2" applyNumberFormat="1" applyFont="1" applyFill="1" applyProtection="1"/>
    <xf numFmtId="9" fontId="47" fillId="0" borderId="0" xfId="2" applyNumberFormat="1" applyFont="1" applyFill="1" applyAlignment="1" applyProtection="1">
      <alignment horizontal="left"/>
    </xf>
    <xf numFmtId="3" fontId="47" fillId="0" borderId="15" xfId="2" applyNumberFormat="1" applyFont="1" applyFill="1" applyBorder="1" applyAlignment="1" applyProtection="1">
      <alignment horizontal="left"/>
    </xf>
    <xf numFmtId="3" fontId="47" fillId="0" borderId="26" xfId="2" applyNumberFormat="1" applyFont="1" applyFill="1" applyBorder="1" applyProtection="1"/>
    <xf numFmtId="3" fontId="47" fillId="0" borderId="28" xfId="2" applyNumberFormat="1" applyFont="1" applyFill="1" applyBorder="1" applyProtection="1"/>
    <xf numFmtId="3" fontId="18" fillId="0" borderId="20" xfId="0" applyNumberFormat="1" applyFont="1" applyFill="1" applyBorder="1" applyProtection="1"/>
    <xf numFmtId="3" fontId="18" fillId="0" borderId="30" xfId="0" applyNumberFormat="1" applyFont="1" applyFill="1" applyBorder="1" applyProtection="1"/>
    <xf numFmtId="0" fontId="48" fillId="0" borderId="0" xfId="2" applyFont="1" applyFill="1" applyAlignment="1" applyProtection="1">
      <alignment horizontal="center"/>
    </xf>
    <xf numFmtId="0" fontId="48" fillId="0" borderId="0" xfId="2" applyFont="1" applyFill="1" applyAlignment="1" applyProtection="1">
      <alignment horizontal="left"/>
    </xf>
    <xf numFmtId="167" fontId="39" fillId="0" borderId="0" xfId="2" applyNumberFormat="1" applyFont="1" applyFill="1" applyAlignment="1" applyProtection="1">
      <alignment horizontal="left"/>
    </xf>
    <xf numFmtId="167" fontId="47" fillId="0" borderId="0" xfId="2" applyNumberFormat="1" applyFont="1" applyFill="1" applyProtection="1"/>
    <xf numFmtId="0" fontId="50" fillId="0" borderId="0" xfId="0" applyFont="1" applyFill="1" applyAlignment="1" applyProtection="1">
      <alignment horizontal="left"/>
    </xf>
    <xf numFmtId="1" fontId="0" fillId="0" borderId="15" xfId="0" applyNumberFormat="1" applyFill="1" applyBorder="1" applyProtection="1"/>
    <xf numFmtId="1" fontId="0" fillId="0" borderId="26" xfId="0" applyNumberFormat="1" applyFill="1" applyBorder="1" applyProtection="1"/>
    <xf numFmtId="1" fontId="0" fillId="0" borderId="28" xfId="0" applyNumberFormat="1" applyFill="1" applyBorder="1" applyProtection="1"/>
    <xf numFmtId="0" fontId="61" fillId="0" borderId="20" xfId="2" applyFont="1" applyFill="1" applyBorder="1" applyAlignment="1" applyProtection="1">
      <alignment horizontal="left"/>
    </xf>
    <xf numFmtId="0" fontId="0" fillId="0" borderId="0" xfId="0" applyAlignment="1">
      <alignment vertical="center"/>
    </xf>
    <xf numFmtId="0" fontId="0" fillId="0" borderId="0" xfId="0" applyAlignment="1">
      <alignment wrapText="1"/>
    </xf>
    <xf numFmtId="0" fontId="76" fillId="0" borderId="0" xfId="0" applyFont="1" applyProtection="1"/>
    <xf numFmtId="0" fontId="0" fillId="0" borderId="7" xfId="0" applyBorder="1"/>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77" fillId="0" borderId="0" xfId="0" applyFont="1"/>
    <xf numFmtId="0" fontId="67" fillId="0" borderId="0" xfId="0" applyFont="1" applyFill="1" applyBorder="1" applyAlignment="1"/>
    <xf numFmtId="0" fontId="0" fillId="16" borderId="0" xfId="0" applyFill="1"/>
    <xf numFmtId="0" fontId="71" fillId="0" borderId="12" xfId="0" applyFont="1" applyFill="1" applyBorder="1" applyAlignment="1">
      <alignment vertical="center" wrapText="1"/>
    </xf>
    <xf numFmtId="0" fontId="26" fillId="15" borderId="14" xfId="2" applyFont="1" applyFill="1" applyBorder="1" applyAlignment="1">
      <alignment vertical="center"/>
    </xf>
    <xf numFmtId="0" fontId="26" fillId="15" borderId="17" xfId="2" applyFont="1" applyFill="1" applyBorder="1" applyAlignment="1">
      <alignment vertical="center"/>
    </xf>
    <xf numFmtId="0" fontId="19" fillId="15" borderId="17" xfId="2" applyFont="1" applyFill="1" applyBorder="1" applyAlignment="1">
      <alignment vertical="center"/>
    </xf>
    <xf numFmtId="0" fontId="0" fillId="15" borderId="17" xfId="0" applyFill="1" applyBorder="1"/>
    <xf numFmtId="0" fontId="0" fillId="15" borderId="21" xfId="0" applyFill="1" applyBorder="1"/>
    <xf numFmtId="9" fontId="0" fillId="0" borderId="7" xfId="0" applyNumberFormat="1" applyBorder="1" applyAlignment="1">
      <alignment horizontal="center"/>
    </xf>
    <xf numFmtId="49" fontId="67" fillId="0" borderId="0" xfId="0" applyNumberFormat="1" applyFont="1" applyBorder="1" applyAlignment="1">
      <alignment horizontal="right"/>
    </xf>
    <xf numFmtId="0" fontId="18" fillId="0" borderId="0" xfId="0" applyFont="1"/>
    <xf numFmtId="0" fontId="81" fillId="0" borderId="7" xfId="0" applyFont="1" applyBorder="1" applyAlignment="1">
      <alignment vertical="center" wrapText="1"/>
    </xf>
    <xf numFmtId="0" fontId="0" fillId="0" borderId="5" xfId="0" applyBorder="1" applyAlignment="1">
      <alignment horizontal="center"/>
    </xf>
    <xf numFmtId="0" fontId="0" fillId="0" borderId="6" xfId="0" applyBorder="1" applyAlignment="1">
      <alignment horizontal="center"/>
    </xf>
    <xf numFmtId="0" fontId="81" fillId="0" borderId="7" xfId="0" applyFont="1" applyFill="1" applyBorder="1" applyAlignment="1">
      <alignment vertical="center" wrapText="1"/>
    </xf>
    <xf numFmtId="0" fontId="0" fillId="0" borderId="7" xfId="0" applyFill="1" applyBorder="1" applyAlignment="1">
      <alignment horizontal="center"/>
    </xf>
    <xf numFmtId="3" fontId="81" fillId="0" borderId="7" xfId="0" applyNumberFormat="1" applyFont="1" applyBorder="1" applyAlignment="1">
      <alignment horizontal="right" vertical="center"/>
    </xf>
    <xf numFmtId="0" fontId="83" fillId="0" borderId="0" xfId="6"/>
    <xf numFmtId="0" fontId="0" fillId="19" borderId="7" xfId="0" applyFill="1" applyBorder="1"/>
    <xf numFmtId="1" fontId="82" fillId="20" borderId="52" xfId="0" applyNumberFormat="1" applyFont="1" applyFill="1" applyBorder="1" applyAlignment="1" applyProtection="1">
      <alignment horizontal="center" vertical="center" wrapText="1"/>
      <protection locked="0"/>
    </xf>
    <xf numFmtId="1" fontId="84" fillId="22" borderId="51" xfId="0" applyNumberFormat="1" applyFont="1" applyFill="1" applyBorder="1" applyAlignment="1" applyProtection="1">
      <alignment horizontal="center" vertical="center" wrapText="1"/>
    </xf>
    <xf numFmtId="0" fontId="65" fillId="0" borderId="0" xfId="0" applyFont="1"/>
    <xf numFmtId="1" fontId="82" fillId="20" borderId="7" xfId="0" applyNumberFormat="1" applyFont="1" applyFill="1" applyBorder="1" applyAlignment="1" applyProtection="1">
      <alignment horizontal="center" vertical="center" wrapText="1"/>
      <protection locked="0"/>
    </xf>
    <xf numFmtId="0" fontId="0" fillId="0" borderId="11" xfId="0" applyBorder="1" applyAlignment="1">
      <alignment horizontal="center"/>
    </xf>
    <xf numFmtId="0" fontId="0" fillId="0" borderId="13" xfId="0" applyBorder="1" applyAlignment="1">
      <alignment horizontal="center"/>
    </xf>
    <xf numFmtId="4" fontId="81" fillId="19" borderId="7" xfId="0" applyNumberFormat="1" applyFont="1" applyFill="1" applyBorder="1" applyAlignment="1">
      <alignment horizontal="center" vertical="center"/>
    </xf>
    <xf numFmtId="0" fontId="0" fillId="19" borderId="7" xfId="0" applyFill="1" applyBorder="1" applyAlignment="1">
      <alignment horizontal="center"/>
    </xf>
    <xf numFmtId="4" fontId="81" fillId="7" borderId="7" xfId="0" applyNumberFormat="1" applyFont="1" applyFill="1" applyBorder="1" applyAlignment="1">
      <alignment horizontal="center" vertical="center"/>
    </xf>
    <xf numFmtId="0" fontId="85" fillId="0" borderId="7" xfId="0" applyFont="1" applyBorder="1" applyAlignment="1">
      <alignment vertical="center" wrapText="1"/>
    </xf>
    <xf numFmtId="14" fontId="0" fillId="0" borderId="7" xfId="0" applyNumberFormat="1" applyBorder="1"/>
    <xf numFmtId="0" fontId="0" fillId="0" borderId="0" xfId="0" applyAlignment="1" applyProtection="1">
      <alignment horizontal="left" wrapText="1"/>
    </xf>
    <xf numFmtId="0" fontId="28" fillId="0" borderId="0" xfId="0" applyFont="1" applyAlignment="1" applyProtection="1">
      <alignment horizontal="left" wrapText="1"/>
    </xf>
    <xf numFmtId="0" fontId="78" fillId="0" borderId="25" xfId="0" applyFont="1" applyBorder="1" applyProtection="1"/>
    <xf numFmtId="0" fontId="78" fillId="0" borderId="15" xfId="0" applyFont="1" applyBorder="1" applyProtection="1"/>
    <xf numFmtId="0" fontId="78" fillId="0" borderId="26" xfId="0" applyFont="1" applyBorder="1" applyProtection="1"/>
    <xf numFmtId="0" fontId="28" fillId="0" borderId="7" xfId="0" applyFont="1" applyBorder="1" applyAlignment="1" applyProtection="1">
      <alignment horizontal="center" vertical="center"/>
    </xf>
    <xf numFmtId="0" fontId="28" fillId="21" borderId="24" xfId="0" applyFont="1" applyFill="1" applyBorder="1" applyAlignment="1" applyProtection="1">
      <alignment horizontal="left" vertical="center"/>
    </xf>
    <xf numFmtId="0" fontId="0" fillId="0" borderId="7" xfId="0" applyBorder="1" applyAlignment="1" applyProtection="1">
      <alignment horizontal="center" vertical="center"/>
    </xf>
    <xf numFmtId="0" fontId="0" fillId="0" borderId="24" xfId="0" applyBorder="1" applyAlignment="1" applyProtection="1">
      <alignment horizontal="left" vertical="center" wrapText="1"/>
    </xf>
    <xf numFmtId="4" fontId="0" fillId="0" borderId="11" xfId="0" applyNumberFormat="1" applyBorder="1" applyProtection="1"/>
    <xf numFmtId="4" fontId="0" fillId="0" borderId="5" xfId="0" applyNumberFormat="1" applyBorder="1" applyProtection="1"/>
    <xf numFmtId="4" fontId="0" fillId="0" borderId="12" xfId="0" applyNumberFormat="1" applyBorder="1" applyProtection="1"/>
    <xf numFmtId="4" fontId="0" fillId="0" borderId="7" xfId="0" applyNumberFormat="1" applyBorder="1" applyProtection="1"/>
    <xf numFmtId="4" fontId="28" fillId="0" borderId="13" xfId="0" applyNumberFormat="1" applyFont="1" applyBorder="1" applyProtection="1"/>
    <xf numFmtId="4" fontId="28" fillId="0" borderId="9" xfId="0" applyNumberFormat="1" applyFont="1" applyBorder="1" applyProtection="1"/>
    <xf numFmtId="0" fontId="0" fillId="0" borderId="58" xfId="0" applyBorder="1" applyProtection="1"/>
    <xf numFmtId="0" fontId="0" fillId="0" borderId="59" xfId="0" applyBorder="1" applyAlignment="1" applyProtection="1">
      <alignment horizontal="left" wrapText="1"/>
    </xf>
    <xf numFmtId="4" fontId="0" fillId="24" borderId="34" xfId="0" applyNumberFormat="1" applyFill="1" applyBorder="1" applyProtection="1"/>
    <xf numFmtId="0" fontId="78" fillId="0" borderId="0" xfId="0" applyFont="1" applyProtection="1"/>
    <xf numFmtId="0" fontId="78" fillId="0" borderId="0" xfId="0" applyFont="1" applyAlignment="1" applyProtection="1">
      <alignment horizontal="left" wrapText="1"/>
    </xf>
    <xf numFmtId="0" fontId="0" fillId="0" borderId="24" xfId="0" applyBorder="1" applyAlignment="1" applyProtection="1">
      <alignment horizontal="left" wrapText="1"/>
    </xf>
    <xf numFmtId="0" fontId="0" fillId="0" borderId="40" xfId="0" applyBorder="1" applyProtection="1"/>
    <xf numFmtId="4" fontId="0" fillId="0" borderId="57" xfId="0" applyNumberFormat="1" applyBorder="1" applyProtection="1"/>
    <xf numFmtId="4" fontId="0" fillId="0" borderId="40" xfId="0" applyNumberFormat="1" applyBorder="1" applyProtection="1"/>
    <xf numFmtId="4" fontId="82" fillId="25" borderId="54" xfId="0" applyNumberFormat="1" applyFont="1" applyFill="1" applyBorder="1" applyAlignment="1" applyProtection="1">
      <alignment horizontal="center" vertical="center" wrapText="1"/>
    </xf>
    <xf numFmtId="4" fontId="82" fillId="25" borderId="55" xfId="0" applyNumberFormat="1" applyFont="1" applyFill="1" applyBorder="1" applyAlignment="1" applyProtection="1">
      <alignment horizontal="center" vertical="center" wrapText="1"/>
    </xf>
    <xf numFmtId="4" fontId="82" fillId="23" borderId="53" xfId="0" applyNumberFormat="1" applyFont="1" applyFill="1" applyBorder="1" applyAlignment="1" applyProtection="1">
      <alignment horizontal="center" vertical="center" wrapText="1"/>
    </xf>
    <xf numFmtId="0" fontId="0" fillId="21" borderId="0" xfId="0" applyFill="1" applyProtection="1"/>
    <xf numFmtId="0" fontId="18" fillId="21" borderId="14" xfId="0" applyFont="1" applyFill="1" applyBorder="1" applyAlignment="1" applyProtection="1">
      <alignment horizontal="center" vertical="center" wrapText="1"/>
    </xf>
    <xf numFmtId="4" fontId="82" fillId="20" borderId="53" xfId="0" applyNumberFormat="1" applyFont="1" applyFill="1" applyBorder="1" applyAlignment="1" applyProtection="1">
      <alignment horizontal="center" vertical="center" wrapText="1"/>
    </xf>
    <xf numFmtId="0" fontId="85" fillId="0" borderId="7" xfId="0" applyFont="1" applyFill="1" applyBorder="1" applyAlignment="1">
      <alignment vertical="center" wrapText="1"/>
    </xf>
    <xf numFmtId="0" fontId="86" fillId="0" borderId="0" xfId="0" applyFont="1" applyFill="1" applyBorder="1" applyAlignment="1"/>
    <xf numFmtId="171" fontId="18" fillId="0" borderId="0" xfId="0" applyNumberFormat="1" applyFont="1"/>
    <xf numFmtId="4" fontId="0" fillId="24" borderId="58" xfId="0" applyNumberFormat="1" applyFill="1" applyBorder="1" applyProtection="1"/>
    <xf numFmtId="4" fontId="0" fillId="0" borderId="24" xfId="0" applyNumberFormat="1" applyBorder="1" applyProtection="1"/>
    <xf numFmtId="4" fontId="0" fillId="0" borderId="31" xfId="0" applyNumberFormat="1" applyBorder="1" applyProtection="1"/>
    <xf numFmtId="4" fontId="0" fillId="0" borderId="22" xfId="0" applyNumberFormat="1" applyBorder="1" applyProtection="1"/>
    <xf numFmtId="4" fontId="28" fillId="0" borderId="32" xfId="0" applyNumberFormat="1" applyFont="1" applyBorder="1" applyProtection="1"/>
    <xf numFmtId="4" fontId="0" fillId="24" borderId="61" xfId="0" applyNumberFormat="1" applyFill="1" applyBorder="1" applyProtection="1"/>
    <xf numFmtId="4" fontId="0" fillId="24" borderId="46" xfId="0" applyNumberFormat="1" applyFill="1" applyBorder="1" applyProtection="1"/>
    <xf numFmtId="3" fontId="73" fillId="24" borderId="45" xfId="0" applyNumberFormat="1" applyFont="1" applyFill="1" applyBorder="1" applyAlignment="1" applyProtection="1">
      <alignment horizontal="center"/>
    </xf>
    <xf numFmtId="4" fontId="0" fillId="0" borderId="56" xfId="0" applyNumberFormat="1" applyBorder="1" applyProtection="1"/>
    <xf numFmtId="4" fontId="0" fillId="0" borderId="62" xfId="0" applyNumberFormat="1" applyBorder="1" applyProtection="1"/>
    <xf numFmtId="4" fontId="18" fillId="24" borderId="46" xfId="0" applyNumberFormat="1" applyFont="1" applyFill="1" applyBorder="1" applyProtection="1"/>
    <xf numFmtId="4" fontId="18" fillId="24" borderId="21" xfId="0" applyNumberFormat="1" applyFont="1" applyFill="1" applyBorder="1" applyProtection="1"/>
    <xf numFmtId="4" fontId="0" fillId="24" borderId="45" xfId="0" applyNumberFormat="1" applyFill="1" applyBorder="1" applyProtection="1"/>
    <xf numFmtId="0" fontId="62" fillId="0" borderId="0" xfId="0" applyFont="1" applyBorder="1"/>
    <xf numFmtId="0" fontId="87" fillId="0" borderId="0" xfId="0" applyFont="1" applyBorder="1" applyAlignment="1">
      <alignment horizontal="right"/>
    </xf>
    <xf numFmtId="0" fontId="87" fillId="0" borderId="0" xfId="0" applyFont="1" applyFill="1" applyBorder="1" applyAlignment="1"/>
    <xf numFmtId="0" fontId="88" fillId="0" borderId="0" xfId="0" applyFont="1"/>
    <xf numFmtId="49" fontId="87" fillId="0" borderId="0" xfId="0" applyNumberFormat="1" applyFont="1" applyBorder="1" applyAlignment="1">
      <alignment horizontal="right"/>
    </xf>
    <xf numFmtId="0" fontId="62" fillId="0" borderId="0" xfId="0" applyFont="1"/>
    <xf numFmtId="0" fontId="89" fillId="0" borderId="0" xfId="0" applyFont="1" applyAlignment="1">
      <alignment horizontal="right"/>
    </xf>
    <xf numFmtId="0" fontId="65" fillId="0" borderId="6" xfId="0" applyFont="1" applyBorder="1"/>
    <xf numFmtId="0" fontId="65" fillId="0" borderId="8" xfId="0" applyFont="1" applyBorder="1"/>
    <xf numFmtId="0" fontId="65" fillId="0" borderId="10" xfId="0" applyFont="1" applyBorder="1"/>
    <xf numFmtId="0" fontId="90" fillId="0" borderId="0" xfId="0" applyFont="1"/>
    <xf numFmtId="0" fontId="91" fillId="0" borderId="0" xfId="0" applyFont="1" applyFill="1" applyBorder="1" applyAlignment="1"/>
    <xf numFmtId="0" fontId="61" fillId="0" borderId="34" xfId="0" applyFont="1" applyFill="1" applyBorder="1" applyAlignment="1">
      <alignment vertical="center" wrapText="1"/>
    </xf>
    <xf numFmtId="0" fontId="65" fillId="0" borderId="63" xfId="0" applyFont="1" applyFill="1" applyBorder="1"/>
    <xf numFmtId="0" fontId="65" fillId="0" borderId="12" xfId="0" applyFont="1" applyFill="1" applyBorder="1"/>
    <xf numFmtId="0" fontId="65" fillId="0" borderId="13" xfId="0" applyFont="1" applyFill="1" applyBorder="1"/>
    <xf numFmtId="49" fontId="91" fillId="0" borderId="0" xfId="0" applyNumberFormat="1" applyFont="1" applyBorder="1" applyAlignment="1">
      <alignment horizontal="right"/>
    </xf>
    <xf numFmtId="0" fontId="61" fillId="0" borderId="11" xfId="0" applyFont="1" applyFill="1" applyBorder="1" applyAlignment="1">
      <alignment vertical="center" wrapText="1"/>
    </xf>
    <xf numFmtId="0" fontId="61" fillId="0" borderId="12" xfId="0" applyFont="1" applyFill="1" applyBorder="1" applyAlignment="1">
      <alignment vertical="center" wrapText="1"/>
    </xf>
    <xf numFmtId="0" fontId="61" fillId="0" borderId="13" xfId="0" applyFont="1" applyFill="1" applyBorder="1" applyAlignment="1">
      <alignment vertical="center" wrapText="1"/>
    </xf>
    <xf numFmtId="0" fontId="62" fillId="0" borderId="0" xfId="0" applyFont="1" applyAlignment="1">
      <alignment horizontal="right"/>
    </xf>
    <xf numFmtId="0" fontId="15" fillId="0" borderId="12" xfId="0" applyFont="1" applyFill="1" applyBorder="1" applyAlignment="1">
      <alignment vertical="center" wrapText="1"/>
    </xf>
    <xf numFmtId="0" fontId="92" fillId="0" borderId="12" xfId="0" applyFont="1" applyFill="1" applyBorder="1" applyAlignment="1">
      <alignment vertical="center" wrapText="1"/>
    </xf>
    <xf numFmtId="0" fontId="15" fillId="0" borderId="12" xfId="0" applyFont="1" applyBorder="1" applyAlignment="1">
      <alignment vertical="center" wrapText="1"/>
    </xf>
    <xf numFmtId="0" fontId="15" fillId="0" borderId="13" xfId="0" applyFont="1" applyBorder="1" applyAlignment="1">
      <alignment vertical="center" wrapText="1"/>
    </xf>
    <xf numFmtId="0" fontId="65" fillId="26" borderId="12" xfId="0" applyFont="1" applyFill="1" applyBorder="1"/>
    <xf numFmtId="0" fontId="15" fillId="0" borderId="18" xfId="0" applyFont="1" applyFill="1" applyBorder="1" applyAlignment="1">
      <alignment vertical="center" wrapText="1"/>
    </xf>
    <xf numFmtId="0" fontId="15" fillId="0" borderId="13" xfId="0" applyFont="1" applyFill="1" applyBorder="1" applyAlignment="1">
      <alignment vertical="center" wrapText="1"/>
    </xf>
    <xf numFmtId="4" fontId="85" fillId="7" borderId="7" xfId="0" applyNumberFormat="1" applyFont="1" applyFill="1" applyBorder="1" applyAlignment="1">
      <alignment horizontal="center" vertical="center"/>
    </xf>
    <xf numFmtId="0" fontId="93" fillId="0" borderId="0" xfId="0" applyFont="1"/>
    <xf numFmtId="0" fontId="93" fillId="0" borderId="14" xfId="0" applyFont="1" applyBorder="1"/>
    <xf numFmtId="0" fontId="93" fillId="0" borderId="15" xfId="0" applyFont="1" applyBorder="1"/>
    <xf numFmtId="0" fontId="93" fillId="0" borderId="26" xfId="0" applyFont="1" applyBorder="1"/>
    <xf numFmtId="0" fontId="93" fillId="0" borderId="25" xfId="0" applyFont="1" applyBorder="1"/>
    <xf numFmtId="0" fontId="95" fillId="0" borderId="15" xfId="0" applyFont="1" applyBorder="1"/>
    <xf numFmtId="0" fontId="95" fillId="0" borderId="26" xfId="0" applyFont="1" applyBorder="1"/>
    <xf numFmtId="0" fontId="94" fillId="0" borderId="11" xfId="0" applyFont="1" applyBorder="1"/>
    <xf numFmtId="0" fontId="93" fillId="0" borderId="5" xfId="0" applyFont="1" applyBorder="1"/>
    <xf numFmtId="0" fontId="96" fillId="18" borderId="5" xfId="0" applyFont="1" applyFill="1" applyBorder="1" applyAlignment="1">
      <alignment horizontal="center"/>
    </xf>
    <xf numFmtId="0" fontId="96" fillId="18" borderId="6" xfId="0" applyFont="1" applyFill="1" applyBorder="1" applyAlignment="1">
      <alignment horizontal="center"/>
    </xf>
    <xf numFmtId="0" fontId="94" fillId="0" borderId="12" xfId="0" applyFont="1" applyBorder="1"/>
    <xf numFmtId="0" fontId="71" fillId="0" borderId="7" xfId="2" applyFont="1" applyBorder="1" applyProtection="1"/>
    <xf numFmtId="0" fontId="93" fillId="0" borderId="7" xfId="0" applyFont="1" applyBorder="1" applyAlignment="1">
      <alignment horizontal="center"/>
    </xf>
    <xf numFmtId="0" fontId="93" fillId="0" borderId="8" xfId="0" applyFont="1" applyBorder="1" applyAlignment="1">
      <alignment horizontal="center"/>
    </xf>
    <xf numFmtId="0" fontId="94" fillId="0" borderId="13" xfId="0" applyFont="1" applyBorder="1"/>
    <xf numFmtId="0" fontId="71" fillId="0" borderId="9" xfId="2" applyFont="1" applyBorder="1" applyProtection="1"/>
    <xf numFmtId="0" fontId="93" fillId="0" borderId="9" xfId="0" applyFont="1" applyBorder="1" applyAlignment="1">
      <alignment horizontal="center"/>
    </xf>
    <xf numFmtId="0" fontId="93" fillId="0" borderId="10" xfId="0" applyFont="1" applyBorder="1" applyAlignment="1">
      <alignment horizontal="center"/>
    </xf>
    <xf numFmtId="0" fontId="96" fillId="0" borderId="0" xfId="0" applyFont="1"/>
    <xf numFmtId="0" fontId="97" fillId="0" borderId="0" xfId="0" applyFont="1" applyAlignment="1">
      <alignment horizontal="right"/>
    </xf>
    <xf numFmtId="167" fontId="93" fillId="0" borderId="0" xfId="0" applyNumberFormat="1" applyFont="1"/>
    <xf numFmtId="0" fontId="71" fillId="0" borderId="11" xfId="2" applyFont="1" applyBorder="1" applyProtection="1"/>
    <xf numFmtId="0" fontId="93" fillId="0" borderId="6" xfId="0" applyFont="1" applyBorder="1"/>
    <xf numFmtId="9" fontId="93" fillId="0" borderId="0" xfId="1" applyFont="1"/>
    <xf numFmtId="0" fontId="71" fillId="0" borderId="12" xfId="2" applyFont="1" applyBorder="1" applyProtection="1"/>
    <xf numFmtId="0" fontId="93" fillId="0" borderId="7" xfId="0" applyFont="1" applyBorder="1"/>
    <xf numFmtId="0" fontId="93" fillId="0" borderId="8" xfId="0" applyFont="1" applyBorder="1"/>
    <xf numFmtId="167" fontId="93" fillId="0" borderId="0" xfId="1" applyNumberFormat="1" applyFont="1"/>
    <xf numFmtId="0" fontId="71" fillId="0" borderId="13" xfId="2" applyFont="1" applyBorder="1" applyProtection="1"/>
    <xf numFmtId="0" fontId="93" fillId="0" borderId="9" xfId="0" applyFont="1" applyBorder="1"/>
    <xf numFmtId="0" fontId="93" fillId="0" borderId="10" xfId="0" applyFont="1" applyBorder="1"/>
    <xf numFmtId="0" fontId="98" fillId="0" borderId="0" xfId="0" applyFont="1"/>
    <xf numFmtId="0" fontId="96" fillId="18" borderId="34" xfId="0" applyFont="1" applyFill="1" applyBorder="1" applyAlignment="1">
      <alignment horizontal="center"/>
    </xf>
    <xf numFmtId="0" fontId="96" fillId="18" borderId="35" xfId="0" applyFont="1" applyFill="1" applyBorder="1" applyAlignment="1">
      <alignment horizontal="center"/>
    </xf>
    <xf numFmtId="0" fontId="96" fillId="18" borderId="36" xfId="0" applyFont="1" applyFill="1" applyBorder="1" applyAlignment="1">
      <alignment horizontal="center"/>
    </xf>
    <xf numFmtId="0" fontId="14" fillId="0" borderId="40" xfId="0" applyFont="1" applyFill="1" applyBorder="1" applyAlignment="1">
      <alignment vertical="center" wrapText="1"/>
    </xf>
    <xf numFmtId="0" fontId="93" fillId="0" borderId="0" xfId="0" applyFont="1" applyAlignment="1">
      <alignment horizontal="center"/>
    </xf>
    <xf numFmtId="9" fontId="93" fillId="0" borderId="38" xfId="0" applyNumberFormat="1" applyFont="1" applyBorder="1" applyAlignment="1">
      <alignment horizontal="center" vertical="center"/>
    </xf>
    <xf numFmtId="9" fontId="93" fillId="0" borderId="38" xfId="0" applyNumberFormat="1" applyFont="1" applyBorder="1" applyAlignment="1">
      <alignment horizontal="center"/>
    </xf>
    <xf numFmtId="9" fontId="93" fillId="0" borderId="66" xfId="0" applyNumberFormat="1" applyFont="1" applyBorder="1" applyAlignment="1">
      <alignment horizontal="center"/>
    </xf>
    <xf numFmtId="0" fontId="93" fillId="0" borderId="61" xfId="0" applyFont="1" applyFill="1" applyBorder="1"/>
    <xf numFmtId="0" fontId="71" fillId="0" borderId="35" xfId="0" applyFont="1" applyFill="1" applyBorder="1" applyAlignment="1">
      <alignment vertical="center" wrapText="1"/>
    </xf>
    <xf numFmtId="0" fontId="93" fillId="0" borderId="35" xfId="0" applyFont="1" applyBorder="1" applyAlignment="1">
      <alignment horizontal="center"/>
    </xf>
    <xf numFmtId="0" fontId="93" fillId="0" borderId="36" xfId="0" applyFont="1" applyBorder="1" applyAlignment="1">
      <alignment horizontal="center"/>
    </xf>
    <xf numFmtId="0" fontId="95" fillId="0" borderId="0" xfId="0" applyFont="1" applyAlignment="1">
      <alignment horizontal="center"/>
    </xf>
    <xf numFmtId="0" fontId="14" fillId="0" borderId="35" xfId="0" applyFont="1" applyFill="1" applyBorder="1" applyAlignment="1">
      <alignment vertical="center" wrapText="1"/>
    </xf>
    <xf numFmtId="0" fontId="14" fillId="0" borderId="35" xfId="0" applyFont="1" applyFill="1" applyBorder="1" applyAlignment="1">
      <alignment horizontal="center" vertical="center" wrapText="1"/>
    </xf>
    <xf numFmtId="0" fontId="93" fillId="0" borderId="27" xfId="0" applyFont="1" applyBorder="1"/>
    <xf numFmtId="0" fontId="93" fillId="0" borderId="39" xfId="0" applyFont="1" applyFill="1" applyBorder="1" applyAlignment="1">
      <alignment horizontal="center"/>
    </xf>
    <xf numFmtId="0" fontId="93" fillId="0" borderId="39" xfId="0" applyFont="1" applyBorder="1"/>
    <xf numFmtId="0" fontId="93" fillId="0" borderId="49" xfId="0" applyFont="1" applyBorder="1"/>
    <xf numFmtId="0" fontId="71" fillId="0" borderId="7" xfId="0" applyFont="1" applyFill="1" applyBorder="1" applyAlignment="1">
      <alignment vertical="center" wrapText="1"/>
    </xf>
    <xf numFmtId="0" fontId="93" fillId="0" borderId="7" xfId="0" applyFont="1" applyFill="1" applyBorder="1" applyAlignment="1">
      <alignment horizontal="center"/>
    </xf>
    <xf numFmtId="0" fontId="71" fillId="0" borderId="9" xfId="0" applyFont="1" applyFill="1" applyBorder="1" applyAlignment="1">
      <alignment vertical="center" wrapText="1"/>
    </xf>
    <xf numFmtId="0" fontId="93" fillId="0" borderId="9" xfId="0" applyFont="1" applyFill="1" applyBorder="1" applyAlignment="1">
      <alignment horizontal="center"/>
    </xf>
    <xf numFmtId="0" fontId="93" fillId="0" borderId="64" xfId="0" applyFont="1" applyBorder="1"/>
    <xf numFmtId="0" fontId="93" fillId="0" borderId="65" xfId="0" applyFont="1" applyBorder="1"/>
    <xf numFmtId="0" fontId="96" fillId="18" borderId="41" xfId="0" applyFont="1" applyFill="1" applyBorder="1" applyAlignment="1">
      <alignment horizontal="center"/>
    </xf>
    <xf numFmtId="0" fontId="96" fillId="18" borderId="42" xfId="0" applyFont="1" applyFill="1" applyBorder="1" applyAlignment="1">
      <alignment horizontal="center"/>
    </xf>
    <xf numFmtId="0" fontId="96" fillId="18" borderId="43" xfId="0" applyFont="1" applyFill="1" applyBorder="1" applyAlignment="1">
      <alignment horizontal="center"/>
    </xf>
    <xf numFmtId="3" fontId="93" fillId="0" borderId="11" xfId="0" applyNumberFormat="1" applyFont="1" applyBorder="1"/>
    <xf numFmtId="3" fontId="93" fillId="0" borderId="5" xfId="0" applyNumberFormat="1" applyFont="1" applyBorder="1"/>
    <xf numFmtId="3" fontId="93" fillId="0" borderId="6" xfId="0" applyNumberFormat="1" applyFont="1" applyBorder="1"/>
    <xf numFmtId="0" fontId="71" fillId="0" borderId="27" xfId="0" applyFont="1" applyFill="1" applyBorder="1" applyAlignment="1">
      <alignment vertical="center" wrapText="1"/>
    </xf>
    <xf numFmtId="0" fontId="93" fillId="0" borderId="0" xfId="0" applyFont="1" applyBorder="1"/>
    <xf numFmtId="3" fontId="93" fillId="0" borderId="12" xfId="0" applyNumberFormat="1" applyFont="1" applyBorder="1"/>
    <xf numFmtId="3" fontId="93" fillId="0" borderId="7" xfId="0" applyNumberFormat="1" applyFont="1" applyBorder="1"/>
    <xf numFmtId="3" fontId="93" fillId="0" borderId="8" xfId="0" applyNumberFormat="1" applyFont="1" applyBorder="1"/>
    <xf numFmtId="0" fontId="93" fillId="0" borderId="29" xfId="0" applyFont="1" applyBorder="1"/>
    <xf numFmtId="0" fontId="93" fillId="0" borderId="20" xfId="0" applyFont="1" applyBorder="1"/>
    <xf numFmtId="3" fontId="93" fillId="0" borderId="13" xfId="0" applyNumberFormat="1" applyFont="1" applyBorder="1"/>
    <xf numFmtId="3" fontId="93" fillId="0" borderId="9" xfId="0" applyNumberFormat="1" applyFont="1" applyBorder="1"/>
    <xf numFmtId="3" fontId="93" fillId="0" borderId="10" xfId="0" applyNumberFormat="1" applyFont="1" applyBorder="1"/>
    <xf numFmtId="4" fontId="93" fillId="0" borderId="11" xfId="0" applyNumberFormat="1" applyFont="1" applyFill="1" applyBorder="1"/>
    <xf numFmtId="4" fontId="93" fillId="0" borderId="5" xfId="0" applyNumberFormat="1" applyFont="1" applyFill="1" applyBorder="1"/>
    <xf numFmtId="4" fontId="93" fillId="0" borderId="6" xfId="0" applyNumberFormat="1" applyFont="1" applyFill="1" applyBorder="1"/>
    <xf numFmtId="4" fontId="93" fillId="0" borderId="12" xfId="0" applyNumberFormat="1" applyFont="1" applyFill="1" applyBorder="1"/>
    <xf numFmtId="4" fontId="93" fillId="0" borderId="7" xfId="0" applyNumberFormat="1" applyFont="1" applyFill="1" applyBorder="1"/>
    <xf numFmtId="4" fontId="93" fillId="0" borderId="8" xfId="0" applyNumberFormat="1" applyFont="1" applyFill="1" applyBorder="1"/>
    <xf numFmtId="4" fontId="93" fillId="0" borderId="13" xfId="0" applyNumberFormat="1" applyFont="1" applyFill="1" applyBorder="1"/>
    <xf numFmtId="4" fontId="93" fillId="0" borderId="9" xfId="0" applyNumberFormat="1" applyFont="1" applyFill="1" applyBorder="1"/>
    <xf numFmtId="4" fontId="93" fillId="0" borderId="10" xfId="0" applyNumberFormat="1" applyFont="1" applyFill="1" applyBorder="1"/>
    <xf numFmtId="9" fontId="93" fillId="0" borderId="14" xfId="0" applyNumberFormat="1" applyFont="1" applyBorder="1" applyAlignment="1">
      <alignment horizontal="center" vertical="center"/>
    </xf>
    <xf numFmtId="9" fontId="93" fillId="0" borderId="14" xfId="0" applyNumberFormat="1" applyFont="1" applyBorder="1" applyAlignment="1">
      <alignment horizontal="center"/>
    </xf>
    <xf numFmtId="9" fontId="93" fillId="0" borderId="44" xfId="0" applyNumberFormat="1" applyFont="1" applyBorder="1" applyAlignment="1">
      <alignment horizontal="center"/>
    </xf>
    <xf numFmtId="0" fontId="71" fillId="0" borderId="31" xfId="0" applyFont="1" applyFill="1" applyBorder="1" applyAlignment="1">
      <alignment vertical="center" wrapText="1"/>
    </xf>
    <xf numFmtId="0" fontId="71" fillId="0" borderId="5" xfId="0" applyFont="1" applyFill="1" applyBorder="1" applyAlignment="1">
      <alignment vertical="center" wrapText="1"/>
    </xf>
    <xf numFmtId="0" fontId="93" fillId="0" borderId="5" xfId="0" applyFont="1" applyBorder="1" applyAlignment="1">
      <alignment horizontal="center"/>
    </xf>
    <xf numFmtId="0" fontId="93" fillId="0" borderId="6" xfId="0" applyFont="1" applyBorder="1" applyAlignment="1">
      <alignment horizontal="center"/>
    </xf>
    <xf numFmtId="9" fontId="95" fillId="0" borderId="17" xfId="0" applyNumberFormat="1" applyFont="1" applyBorder="1" applyAlignment="1">
      <alignment horizontal="center" vertical="center"/>
    </xf>
    <xf numFmtId="9" fontId="95" fillId="0" borderId="21" xfId="0" applyNumberFormat="1" applyFont="1" applyBorder="1" applyAlignment="1">
      <alignment horizontal="center"/>
    </xf>
    <xf numFmtId="9" fontId="93" fillId="0" borderId="33" xfId="0" applyNumberFormat="1" applyFont="1" applyBorder="1" applyAlignment="1">
      <alignment horizontal="center"/>
    </xf>
    <xf numFmtId="0" fontId="71" fillId="0" borderId="22" xfId="0" applyFont="1" applyFill="1" applyBorder="1" applyAlignment="1">
      <alignment vertical="center" wrapText="1"/>
    </xf>
    <xf numFmtId="0" fontId="93" fillId="0" borderId="22" xfId="0" applyFont="1" applyFill="1" applyBorder="1"/>
    <xf numFmtId="9" fontId="95" fillId="0" borderId="21" xfId="0" applyNumberFormat="1" applyFont="1" applyBorder="1" applyAlignment="1">
      <alignment horizontal="center" vertical="center"/>
    </xf>
    <xf numFmtId="9" fontId="93" fillId="0" borderId="37" xfId="0" applyNumberFormat="1" applyFont="1" applyBorder="1" applyAlignment="1">
      <alignment horizontal="center"/>
    </xf>
    <xf numFmtId="9" fontId="71" fillId="0" borderId="14" xfId="0" applyNumberFormat="1" applyFont="1" applyFill="1" applyBorder="1" applyAlignment="1">
      <alignment horizontal="center" vertical="center"/>
    </xf>
    <xf numFmtId="9" fontId="95" fillId="0" borderId="14" xfId="0" applyNumberFormat="1" applyFont="1" applyFill="1" applyBorder="1" applyAlignment="1">
      <alignment horizontal="center"/>
    </xf>
    <xf numFmtId="9" fontId="93" fillId="0" borderId="45" xfId="0" applyNumberFormat="1" applyFont="1" applyBorder="1" applyAlignment="1">
      <alignment horizontal="center"/>
    </xf>
    <xf numFmtId="9" fontId="95" fillId="0" borderId="21" xfId="0" applyNumberFormat="1" applyFont="1" applyFill="1" applyBorder="1" applyAlignment="1">
      <alignment horizontal="center" vertical="center"/>
    </xf>
    <xf numFmtId="9" fontId="95" fillId="0" borderId="21" xfId="0" applyNumberFormat="1" applyFont="1" applyFill="1" applyBorder="1" applyAlignment="1">
      <alignment horizontal="center"/>
    </xf>
    <xf numFmtId="9" fontId="93" fillId="0" borderId="47" xfId="0" applyNumberFormat="1" applyFont="1" applyBorder="1" applyAlignment="1">
      <alignment horizontal="center"/>
    </xf>
    <xf numFmtId="0" fontId="93" fillId="0" borderId="32" xfId="0" applyFont="1" applyFill="1" applyBorder="1"/>
    <xf numFmtId="0" fontId="14" fillId="0" borderId="42" xfId="0" applyFont="1" applyFill="1" applyBorder="1" applyAlignment="1">
      <alignment vertical="center" wrapText="1"/>
    </xf>
    <xf numFmtId="0" fontId="14" fillId="0" borderId="42" xfId="0" applyFont="1" applyFill="1" applyBorder="1" applyAlignment="1">
      <alignment horizontal="center" vertical="center" wrapText="1"/>
    </xf>
    <xf numFmtId="0" fontId="71" fillId="0" borderId="40" xfId="0" applyFont="1" applyFill="1" applyBorder="1" applyAlignment="1">
      <alignment vertical="center" wrapText="1"/>
    </xf>
    <xf numFmtId="0" fontId="93" fillId="0" borderId="40" xfId="0" applyFont="1" applyFill="1" applyBorder="1" applyAlignment="1">
      <alignment horizontal="center"/>
    </xf>
    <xf numFmtId="0" fontId="93" fillId="0" borderId="40" xfId="0" applyFont="1" applyBorder="1"/>
    <xf numFmtId="0" fontId="93" fillId="0" borderId="50" xfId="0" applyFont="1" applyBorder="1"/>
    <xf numFmtId="0" fontId="71" fillId="0" borderId="7" xfId="0" applyFont="1" applyBorder="1" applyAlignment="1">
      <alignment vertical="center" wrapText="1"/>
    </xf>
    <xf numFmtId="0" fontId="99" fillId="0" borderId="7" xfId="0" applyFont="1" applyFill="1" applyBorder="1" applyAlignment="1">
      <alignment horizontal="center"/>
    </xf>
    <xf numFmtId="0" fontId="71" fillId="0" borderId="7" xfId="0" applyFont="1" applyBorder="1" applyAlignment="1">
      <alignment horizontal="center" vertical="center" wrapText="1"/>
    </xf>
    <xf numFmtId="0" fontId="71" fillId="0" borderId="7" xfId="0" applyFont="1" applyFill="1" applyBorder="1" applyAlignment="1">
      <alignment horizontal="center" vertical="center" wrapText="1"/>
    </xf>
    <xf numFmtId="0" fontId="71" fillId="0" borderId="9" xfId="0" applyFont="1" applyBorder="1" applyAlignment="1">
      <alignment vertical="center" wrapText="1"/>
    </xf>
    <xf numFmtId="0" fontId="71" fillId="0" borderId="9" xfId="0" applyFont="1" applyFill="1" applyBorder="1" applyAlignment="1">
      <alignment horizontal="center" vertical="center" wrapText="1"/>
    </xf>
    <xf numFmtId="0" fontId="96" fillId="0" borderId="0" xfId="0" applyFont="1" applyBorder="1"/>
    <xf numFmtId="0" fontId="14" fillId="0" borderId="56" xfId="0" applyFont="1" applyFill="1" applyBorder="1" applyAlignment="1">
      <alignment vertical="center" wrapText="1"/>
    </xf>
    <xf numFmtId="0" fontId="96" fillId="0" borderId="27" xfId="0" applyFont="1" applyBorder="1" applyAlignment="1">
      <alignment horizontal="center"/>
    </xf>
    <xf numFmtId="0" fontId="96" fillId="0" borderId="0" xfId="0" applyFont="1" applyBorder="1" applyAlignment="1">
      <alignment horizontal="center"/>
    </xf>
    <xf numFmtId="0" fontId="96" fillId="0" borderId="28" xfId="0" applyFont="1" applyBorder="1" applyAlignment="1">
      <alignment horizontal="center"/>
    </xf>
    <xf numFmtId="9" fontId="99" fillId="19" borderId="27" xfId="1" applyFont="1" applyFill="1" applyBorder="1" applyAlignment="1">
      <alignment horizontal="center"/>
    </xf>
    <xf numFmtId="9" fontId="99" fillId="19" borderId="0" xfId="1" applyFont="1" applyFill="1" applyBorder="1" applyAlignment="1">
      <alignment horizontal="center"/>
    </xf>
    <xf numFmtId="9" fontId="99" fillId="19" borderId="28" xfId="1" applyFont="1" applyFill="1" applyBorder="1" applyAlignment="1">
      <alignment horizontal="center"/>
    </xf>
    <xf numFmtId="9" fontId="71" fillId="0" borderId="12" xfId="1" applyFont="1" applyFill="1" applyBorder="1" applyAlignment="1">
      <alignment horizontal="center"/>
    </xf>
    <xf numFmtId="9" fontId="71" fillId="0" borderId="7" xfId="1" applyFont="1" applyFill="1" applyBorder="1" applyAlignment="1">
      <alignment horizontal="center"/>
    </xf>
    <xf numFmtId="9" fontId="71" fillId="0" borderId="8" xfId="1" applyFont="1" applyFill="1" applyBorder="1" applyAlignment="1">
      <alignment horizontal="center"/>
    </xf>
    <xf numFmtId="9" fontId="93" fillId="0" borderId="7" xfId="0" applyNumberFormat="1" applyFont="1" applyBorder="1" applyAlignment="1">
      <alignment horizontal="center" vertical="center"/>
    </xf>
    <xf numFmtId="0" fontId="93" fillId="0" borderId="24" xfId="0" applyFont="1" applyBorder="1"/>
    <xf numFmtId="0" fontId="96" fillId="0" borderId="12" xfId="0" applyFont="1" applyBorder="1" applyAlignment="1">
      <alignment horizontal="center"/>
    </xf>
    <xf numFmtId="0" fontId="96" fillId="0" borderId="7" xfId="0" applyFont="1" applyBorder="1" applyAlignment="1">
      <alignment horizontal="center"/>
    </xf>
    <xf numFmtId="0" fontId="96" fillId="0" borderId="8" xfId="0" applyFont="1" applyBorder="1" applyAlignment="1">
      <alignment horizontal="center"/>
    </xf>
    <xf numFmtId="0" fontId="14" fillId="0" borderId="12" xfId="0" applyFont="1" applyFill="1" applyBorder="1" applyAlignment="1">
      <alignment horizontal="center"/>
    </xf>
    <xf numFmtId="0" fontId="14" fillId="0" borderId="7" xfId="0" applyFont="1" applyFill="1" applyBorder="1" applyAlignment="1">
      <alignment horizontal="center"/>
    </xf>
    <xf numFmtId="0" fontId="14" fillId="0" borderId="8" xfId="0" applyFont="1" applyFill="1" applyBorder="1" applyAlignment="1">
      <alignment horizontal="center"/>
    </xf>
    <xf numFmtId="0" fontId="71" fillId="0" borderId="24" xfId="0" applyFont="1" applyFill="1" applyBorder="1" applyAlignment="1">
      <alignment vertical="center" wrapText="1"/>
    </xf>
    <xf numFmtId="0" fontId="93" fillId="0" borderId="12" xfId="0" applyFont="1" applyBorder="1" applyAlignment="1">
      <alignment horizontal="center"/>
    </xf>
    <xf numFmtId="0" fontId="93" fillId="0" borderId="7" xfId="0" applyFont="1" applyFill="1" applyBorder="1"/>
    <xf numFmtId="0" fontId="93" fillId="0" borderId="13" xfId="0" applyFont="1" applyBorder="1" applyAlignment="1">
      <alignment horizontal="center"/>
    </xf>
    <xf numFmtId="0" fontId="14" fillId="0" borderId="43" xfId="0" applyFont="1" applyFill="1" applyBorder="1" applyAlignment="1">
      <alignment horizontal="center" vertical="center" wrapText="1"/>
    </xf>
    <xf numFmtId="0" fontId="99" fillId="0" borderId="7" xfId="0" applyFont="1" applyFill="1" applyBorder="1" applyAlignment="1">
      <alignment vertical="center" wrapText="1"/>
    </xf>
    <xf numFmtId="9" fontId="93" fillId="0" borderId="7" xfId="1" applyFont="1" applyFill="1" applyBorder="1" applyAlignment="1">
      <alignment horizontal="center"/>
    </xf>
    <xf numFmtId="0" fontId="93" fillId="0" borderId="63" xfId="0" applyFont="1" applyBorder="1" applyAlignment="1">
      <alignment horizontal="center"/>
    </xf>
    <xf numFmtId="0" fontId="93" fillId="0" borderId="39" xfId="0" applyFont="1" applyBorder="1" applyAlignment="1">
      <alignment horizontal="center"/>
    </xf>
    <xf numFmtId="0" fontId="93" fillId="0" borderId="49" xfId="0" applyFont="1" applyBorder="1" applyAlignment="1">
      <alignment horizontal="center"/>
    </xf>
    <xf numFmtId="9" fontId="93" fillId="0" borderId="40" xfId="1" applyFont="1" applyFill="1" applyBorder="1" applyAlignment="1">
      <alignment horizontal="center"/>
    </xf>
    <xf numFmtId="0" fontId="99" fillId="0" borderId="40" xfId="0" applyFont="1" applyFill="1" applyBorder="1" applyAlignment="1">
      <alignment horizontal="center"/>
    </xf>
    <xf numFmtId="9" fontId="99" fillId="0" borderId="7" xfId="1" applyFont="1" applyFill="1" applyBorder="1" applyAlignment="1">
      <alignment horizontal="center"/>
    </xf>
    <xf numFmtId="0" fontId="71" fillId="26" borderId="7" xfId="0" applyFont="1" applyFill="1" applyBorder="1" applyAlignment="1">
      <alignment vertical="center" wrapText="1"/>
    </xf>
    <xf numFmtId="9" fontId="93" fillId="26" borderId="7" xfId="1" applyFont="1" applyFill="1" applyBorder="1" applyAlignment="1">
      <alignment horizontal="center"/>
    </xf>
    <xf numFmtId="0" fontId="93" fillId="26" borderId="7" xfId="0" applyFont="1" applyFill="1" applyBorder="1" applyAlignment="1">
      <alignment horizontal="center"/>
    </xf>
    <xf numFmtId="0" fontId="93" fillId="26" borderId="7" xfId="0" applyFont="1" applyFill="1" applyBorder="1"/>
    <xf numFmtId="0" fontId="93" fillId="26" borderId="8" xfId="0" applyFont="1" applyFill="1" applyBorder="1"/>
    <xf numFmtId="9" fontId="93" fillId="0" borderId="9" xfId="1" applyFont="1" applyFill="1" applyBorder="1" applyAlignment="1">
      <alignment horizontal="center"/>
    </xf>
    <xf numFmtId="0" fontId="93" fillId="0" borderId="48" xfId="0" applyFont="1" applyBorder="1" applyAlignment="1">
      <alignment horizontal="center"/>
    </xf>
    <xf numFmtId="0" fontId="93" fillId="0" borderId="64" xfId="0" applyFont="1" applyBorder="1" applyAlignment="1">
      <alignment horizontal="center"/>
    </xf>
    <xf numFmtId="0" fontId="93" fillId="0" borderId="65" xfId="0" applyFont="1" applyBorder="1" applyAlignment="1">
      <alignment horizontal="center"/>
    </xf>
    <xf numFmtId="0" fontId="93" fillId="0" borderId="0" xfId="0" applyFont="1" applyFill="1" applyBorder="1" applyAlignment="1">
      <alignment horizontal="center"/>
    </xf>
    <xf numFmtId="3" fontId="93" fillId="0" borderId="0" xfId="0" applyNumberFormat="1" applyFont="1"/>
    <xf numFmtId="168" fontId="93" fillId="0" borderId="0" xfId="0" applyNumberFormat="1" applyFont="1" applyFill="1" applyBorder="1"/>
    <xf numFmtId="4" fontId="93" fillId="0" borderId="0" xfId="0" applyNumberFormat="1" applyFont="1" applyFill="1" applyBorder="1"/>
    <xf numFmtId="171" fontId="93" fillId="0" borderId="48" xfId="0" applyNumberFormat="1" applyFont="1" applyFill="1" applyBorder="1"/>
    <xf numFmtId="171" fontId="93" fillId="0" borderId="20" xfId="0" applyNumberFormat="1" applyFont="1" applyBorder="1"/>
    <xf numFmtId="171" fontId="93" fillId="0" borderId="30" xfId="0" applyNumberFormat="1" applyFont="1" applyBorder="1"/>
    <xf numFmtId="4" fontId="93" fillId="0" borderId="0" xfId="0" applyNumberFormat="1" applyFont="1" applyBorder="1"/>
    <xf numFmtId="0" fontId="71" fillId="0" borderId="24" xfId="0" applyFont="1" applyBorder="1" applyAlignment="1">
      <alignment vertical="center" wrapText="1"/>
    </xf>
    <xf numFmtId="171" fontId="93" fillId="0" borderId="11" xfId="0" applyNumberFormat="1" applyFont="1" applyBorder="1"/>
    <xf numFmtId="171" fontId="93" fillId="0" borderId="5" xfId="0" applyNumberFormat="1" applyFont="1" applyBorder="1"/>
    <xf numFmtId="171" fontId="93" fillId="0" borderId="6" xfId="0" applyNumberFormat="1" applyFont="1" applyBorder="1"/>
    <xf numFmtId="9" fontId="93" fillId="19" borderId="24" xfId="1" applyFont="1" applyFill="1" applyBorder="1"/>
    <xf numFmtId="0" fontId="93" fillId="0" borderId="12" xfId="0" applyFont="1" applyBorder="1"/>
    <xf numFmtId="171" fontId="93" fillId="0" borderId="12" xfId="0" applyNumberFormat="1" applyFont="1" applyBorder="1"/>
    <xf numFmtId="171" fontId="93" fillId="0" borderId="7" xfId="0" applyNumberFormat="1" applyFont="1" applyBorder="1"/>
    <xf numFmtId="171" fontId="93" fillId="0" borderId="8" xfId="0" applyNumberFormat="1" applyFont="1" applyBorder="1"/>
    <xf numFmtId="171" fontId="93" fillId="0" borderId="34" xfId="0" applyNumberFormat="1" applyFont="1" applyFill="1" applyBorder="1"/>
    <xf numFmtId="171" fontId="93" fillId="0" borderId="59" xfId="0" applyNumberFormat="1" applyFont="1" applyBorder="1"/>
    <xf numFmtId="171" fontId="93" fillId="0" borderId="66" xfId="0" applyNumberFormat="1" applyFont="1" applyBorder="1"/>
    <xf numFmtId="170" fontId="93" fillId="0" borderId="0" xfId="0" applyNumberFormat="1" applyFont="1" applyFill="1" applyBorder="1"/>
    <xf numFmtId="170" fontId="93" fillId="0" borderId="0" xfId="0" applyNumberFormat="1" applyFont="1" applyBorder="1"/>
    <xf numFmtId="0" fontId="62" fillId="17" borderId="0" xfId="0" applyFont="1" applyFill="1"/>
    <xf numFmtId="0" fontId="93" fillId="17" borderId="0" xfId="0" applyFont="1" applyFill="1"/>
    <xf numFmtId="0" fontId="100" fillId="0" borderId="0" xfId="0" applyFont="1" applyFill="1" applyBorder="1" applyAlignment="1"/>
    <xf numFmtId="0" fontId="80" fillId="0" borderId="0" xfId="0" applyFont="1"/>
    <xf numFmtId="0" fontId="101" fillId="0" borderId="0" xfId="0" applyFont="1" applyProtection="1"/>
    <xf numFmtId="0" fontId="102" fillId="0" borderId="0" xfId="0" applyFont="1" applyProtection="1"/>
    <xf numFmtId="0" fontId="79" fillId="0" borderId="0" xfId="0" applyFont="1" applyProtection="1"/>
    <xf numFmtId="0" fontId="65" fillId="17" borderId="0" xfId="0" applyFont="1" applyFill="1"/>
    <xf numFmtId="0" fontId="18" fillId="17" borderId="0" xfId="0" applyFont="1" applyFill="1"/>
    <xf numFmtId="0" fontId="71" fillId="0" borderId="18" xfId="0" applyFont="1" applyFill="1" applyBorder="1" applyAlignment="1">
      <alignment vertical="center" wrapText="1"/>
    </xf>
    <xf numFmtId="0" fontId="93" fillId="0" borderId="23" xfId="0" applyFont="1" applyBorder="1"/>
    <xf numFmtId="0" fontId="99" fillId="0" borderId="16" xfId="0" applyFont="1" applyFill="1" applyBorder="1" applyAlignment="1">
      <alignment vertical="center" wrapText="1"/>
    </xf>
    <xf numFmtId="4" fontId="93" fillId="17" borderId="0" xfId="0" applyNumberFormat="1" applyFont="1" applyFill="1" applyBorder="1"/>
    <xf numFmtId="170" fontId="93" fillId="17" borderId="0" xfId="0" applyNumberFormat="1" applyFont="1" applyFill="1" applyBorder="1"/>
    <xf numFmtId="9" fontId="103" fillId="19" borderId="27" xfId="1" applyFont="1" applyFill="1" applyBorder="1" applyAlignment="1">
      <alignment horizontal="center"/>
    </xf>
    <xf numFmtId="9" fontId="103" fillId="19" borderId="0" xfId="1" applyFont="1" applyFill="1" applyBorder="1" applyAlignment="1">
      <alignment horizontal="center"/>
    </xf>
    <xf numFmtId="9" fontId="103" fillId="19" borderId="28" xfId="1" applyFont="1" applyFill="1" applyBorder="1" applyAlignment="1">
      <alignment horizontal="center"/>
    </xf>
    <xf numFmtId="0" fontId="102" fillId="0" borderId="0" xfId="0" applyFont="1" applyAlignment="1" applyProtection="1">
      <alignment wrapText="1"/>
    </xf>
    <xf numFmtId="0" fontId="28" fillId="0" borderId="7" xfId="0" applyFont="1" applyBorder="1" applyAlignment="1" applyProtection="1">
      <alignment horizontal="center" vertical="center" wrapText="1"/>
    </xf>
    <xf numFmtId="0" fontId="28" fillId="21" borderId="24" xfId="0" applyFont="1" applyFill="1" applyBorder="1" applyAlignment="1" applyProtection="1">
      <alignment horizontal="left" vertical="center" wrapText="1"/>
    </xf>
    <xf numFmtId="0" fontId="28" fillId="0" borderId="41" xfId="0" applyFont="1" applyBorder="1" applyAlignment="1" applyProtection="1">
      <alignment wrapText="1"/>
    </xf>
    <xf numFmtId="0" fontId="28" fillId="0" borderId="42" xfId="0" applyFont="1" applyBorder="1" applyAlignment="1" applyProtection="1">
      <alignment wrapText="1"/>
    </xf>
    <xf numFmtId="0" fontId="28" fillId="0" borderId="67" xfId="0" applyFont="1" applyBorder="1" applyAlignment="1" applyProtection="1">
      <alignment wrapText="1"/>
    </xf>
    <xf numFmtId="3" fontId="73" fillId="24" borderId="45" xfId="0" applyNumberFormat="1" applyFont="1" applyFill="1" applyBorder="1" applyAlignment="1" applyProtection="1">
      <alignment horizontal="center" wrapText="1"/>
    </xf>
    <xf numFmtId="0" fontId="28" fillId="0" borderId="0" xfId="0" applyFont="1" applyAlignment="1" applyProtection="1">
      <alignment wrapText="1"/>
    </xf>
    <xf numFmtId="0" fontId="65" fillId="6" borderId="34" xfId="0" applyFont="1" applyFill="1" applyBorder="1" applyAlignment="1">
      <alignment horizontal="center"/>
    </xf>
    <xf numFmtId="0" fontId="65" fillId="6" borderId="35" xfId="0" applyFont="1" applyFill="1" applyBorder="1"/>
    <xf numFmtId="0" fontId="65" fillId="6" borderId="36" xfId="0" applyFont="1" applyFill="1" applyBorder="1"/>
    <xf numFmtId="4" fontId="65" fillId="6" borderId="35" xfId="0" applyNumberFormat="1" applyFont="1" applyFill="1" applyBorder="1"/>
    <xf numFmtId="0" fontId="0" fillId="0" borderId="0" xfId="0" applyAlignment="1">
      <alignment horizontal="center"/>
    </xf>
    <xf numFmtId="0" fontId="0" fillId="0" borderId="0" xfId="0" applyAlignment="1">
      <alignment horizontal="left"/>
    </xf>
    <xf numFmtId="0" fontId="0" fillId="0" borderId="7" xfId="0" applyFill="1" applyBorder="1"/>
    <xf numFmtId="0" fontId="0" fillId="6" borderId="7" xfId="0" applyFill="1" applyBorder="1" applyAlignment="1">
      <alignment horizontal="center"/>
    </xf>
    <xf numFmtId="1" fontId="0" fillId="0" borderId="7" xfId="0" applyNumberFormat="1" applyBorder="1"/>
    <xf numFmtId="1" fontId="106" fillId="31" borderId="7" xfId="0" applyNumberFormat="1" applyFont="1" applyFill="1" applyBorder="1" applyAlignment="1">
      <alignment horizontal="left" vertical="center" wrapText="1"/>
    </xf>
    <xf numFmtId="0" fontId="106" fillId="31" borderId="7" xfId="0" applyFont="1" applyFill="1" applyBorder="1" applyAlignment="1">
      <alignment horizontal="left" vertical="center" wrapText="1"/>
    </xf>
    <xf numFmtId="0" fontId="107" fillId="31" borderId="7" xfId="0" applyFont="1" applyFill="1" applyBorder="1" applyAlignment="1">
      <alignment horizontal="center" vertical="center" wrapText="1"/>
    </xf>
    <xf numFmtId="0" fontId="106" fillId="31" borderId="7" xfId="0" applyFont="1" applyFill="1" applyBorder="1" applyAlignment="1">
      <alignment horizontal="center" vertical="center" wrapText="1"/>
    </xf>
    <xf numFmtId="0" fontId="106" fillId="0" borderId="7" xfId="0" applyFont="1" applyBorder="1" applyAlignment="1">
      <alignment horizontal="left" vertical="center" wrapText="1"/>
    </xf>
    <xf numFmtId="2" fontId="106" fillId="0" borderId="7" xfId="0" applyNumberFormat="1" applyFont="1" applyBorder="1" applyAlignment="1">
      <alignment horizontal="center" vertical="center" wrapText="1"/>
    </xf>
    <xf numFmtId="1" fontId="106" fillId="0" borderId="7" xfId="0" applyNumberFormat="1" applyFont="1" applyBorder="1" applyAlignment="1">
      <alignment horizontal="left" vertical="center" wrapText="1"/>
    </xf>
    <xf numFmtId="0" fontId="106" fillId="0" borderId="7" xfId="0" applyFont="1" applyBorder="1" applyAlignment="1">
      <alignment horizontal="center" vertical="center" wrapText="1"/>
    </xf>
    <xf numFmtId="0" fontId="108" fillId="0" borderId="7" xfId="0" applyFont="1" applyBorder="1" applyAlignment="1">
      <alignment horizontal="left" vertical="center" wrapText="1"/>
    </xf>
    <xf numFmtId="2" fontId="107" fillId="15" borderId="7" xfId="0" applyNumberFormat="1" applyFont="1" applyFill="1" applyBorder="1" applyAlignment="1" applyProtection="1">
      <alignment horizontal="center" vertical="center" wrapText="1"/>
      <protection locked="0"/>
    </xf>
    <xf numFmtId="1" fontId="106" fillId="0" borderId="7" xfId="9" applyNumberFormat="1" applyFont="1" applyBorder="1" applyAlignment="1">
      <alignment horizontal="left" vertical="center" wrapText="1"/>
    </xf>
    <xf numFmtId="0" fontId="106" fillId="31" borderId="7" xfId="9" applyFont="1" applyFill="1" applyBorder="1" applyAlignment="1">
      <alignment horizontal="left" vertical="center" wrapText="1"/>
    </xf>
    <xf numFmtId="0" fontId="106" fillId="0" borderId="7" xfId="9" applyFont="1" applyBorder="1" applyAlignment="1">
      <alignment horizontal="center" vertical="center" wrapText="1"/>
    </xf>
    <xf numFmtId="2" fontId="106" fillId="0" borderId="7" xfId="9" applyNumberFormat="1" applyFont="1" applyBorder="1" applyAlignment="1">
      <alignment horizontal="center" vertical="center" wrapText="1"/>
    </xf>
    <xf numFmtId="2" fontId="106" fillId="0" borderId="7" xfId="10" applyNumberFormat="1" applyFont="1" applyBorder="1" applyAlignment="1">
      <alignment horizontal="center" vertical="center" wrapText="1"/>
    </xf>
    <xf numFmtId="0" fontId="107" fillId="31" borderId="7" xfId="0" applyFont="1" applyFill="1" applyBorder="1" applyAlignment="1">
      <alignment horizontal="left" vertical="center" wrapText="1"/>
    </xf>
    <xf numFmtId="0" fontId="107" fillId="31" borderId="7" xfId="9" applyFont="1" applyFill="1" applyBorder="1" applyAlignment="1">
      <alignment horizontal="center" vertical="center" wrapText="1"/>
    </xf>
    <xf numFmtId="0" fontId="106" fillId="0" borderId="7" xfId="9" applyFont="1" applyBorder="1" applyAlignment="1">
      <alignment horizontal="left" vertical="center" wrapText="1"/>
    </xf>
    <xf numFmtId="1" fontId="106" fillId="31" borderId="7" xfId="11" applyNumberFormat="1" applyFont="1" applyFill="1" applyBorder="1" applyAlignment="1">
      <alignment horizontal="left" vertical="center" wrapText="1"/>
    </xf>
    <xf numFmtId="0" fontId="113" fillId="31" borderId="7" xfId="11" applyFont="1" applyFill="1" applyBorder="1" applyAlignment="1">
      <alignment horizontal="left" vertical="center" wrapText="1"/>
    </xf>
    <xf numFmtId="0" fontId="106" fillId="31" borderId="7" xfId="11" applyFont="1" applyFill="1" applyBorder="1" applyAlignment="1">
      <alignment horizontal="center" vertical="center" wrapText="1"/>
    </xf>
    <xf numFmtId="166" fontId="106" fillId="31" borderId="7" xfId="0" applyNumberFormat="1" applyFont="1" applyFill="1" applyBorder="1" applyAlignment="1">
      <alignment horizontal="left" vertical="center" wrapText="1"/>
    </xf>
    <xf numFmtId="2" fontId="106" fillId="31" borderId="7" xfId="0" applyNumberFormat="1" applyFont="1" applyFill="1" applyBorder="1" applyAlignment="1">
      <alignment horizontal="center" vertical="center"/>
    </xf>
    <xf numFmtId="1" fontId="113" fillId="31" borderId="7" xfId="11" applyNumberFormat="1" applyFont="1" applyFill="1" applyBorder="1" applyAlignment="1">
      <alignment horizontal="left" vertical="center" wrapText="1"/>
    </xf>
    <xf numFmtId="0" fontId="106" fillId="31" borderId="7" xfId="11" applyFont="1" applyFill="1" applyBorder="1" applyAlignment="1">
      <alignment horizontal="left" vertical="center" wrapText="1"/>
    </xf>
    <xf numFmtId="0" fontId="106" fillId="31" borderId="7" xfId="0" applyFont="1" applyFill="1" applyBorder="1" applyAlignment="1">
      <alignment horizontal="center" vertical="center"/>
    </xf>
    <xf numFmtId="1" fontId="106" fillId="31" borderId="7" xfId="11" applyNumberFormat="1" applyFont="1" applyFill="1" applyBorder="1" applyAlignment="1">
      <alignment horizontal="center" vertical="center" wrapText="1"/>
    </xf>
    <xf numFmtId="1" fontId="106" fillId="31" borderId="7" xfId="7" applyNumberFormat="1" applyFont="1" applyFill="1" applyBorder="1" applyAlignment="1">
      <alignment horizontal="left" vertical="center" wrapText="1"/>
    </xf>
    <xf numFmtId="0" fontId="106" fillId="31" borderId="7" xfId="7" applyFont="1" applyFill="1" applyBorder="1" applyAlignment="1">
      <alignment horizontal="left" vertical="center" wrapText="1"/>
    </xf>
    <xf numFmtId="0" fontId="106" fillId="31" borderId="7" xfId="7" applyFont="1" applyFill="1" applyBorder="1" applyAlignment="1">
      <alignment horizontal="center" vertical="center" wrapText="1"/>
    </xf>
    <xf numFmtId="0" fontId="107" fillId="0" borderId="7" xfId="6" applyFont="1" applyBorder="1" applyAlignment="1">
      <alignment horizontal="left" vertical="center" wrapText="1"/>
    </xf>
    <xf numFmtId="2" fontId="106" fillId="0" borderId="7" xfId="12" applyNumberFormat="1" applyFont="1" applyBorder="1" applyAlignment="1">
      <alignment horizontal="center" vertical="center"/>
    </xf>
    <xf numFmtId="2" fontId="107" fillId="0" borderId="7" xfId="10" applyNumberFormat="1" applyFont="1" applyBorder="1" applyAlignment="1">
      <alignment horizontal="center" vertical="center" wrapText="1"/>
    </xf>
    <xf numFmtId="0" fontId="107" fillId="31" borderId="7" xfId="9" applyFont="1" applyFill="1" applyBorder="1" applyAlignment="1">
      <alignment horizontal="left" vertical="center" wrapText="1"/>
    </xf>
    <xf numFmtId="0" fontId="106" fillId="0" borderId="7" xfId="0" applyFont="1" applyBorder="1" applyAlignment="1">
      <alignment horizontal="center" vertical="center"/>
    </xf>
    <xf numFmtId="0" fontId="114" fillId="0" borderId="7" xfId="0" applyFont="1" applyBorder="1" applyAlignment="1">
      <alignment horizontal="left" vertical="center" wrapText="1"/>
    </xf>
    <xf numFmtId="0" fontId="117" fillId="0" borderId="7" xfId="0" applyFont="1" applyBorder="1" applyAlignment="1">
      <alignment horizontal="left" vertical="center" wrapText="1"/>
    </xf>
    <xf numFmtId="2" fontId="106" fillId="31" borderId="7" xfId="13" applyNumberFormat="1" applyFont="1" applyFill="1" applyBorder="1" applyAlignment="1">
      <alignment horizontal="center" vertical="center" wrapText="1"/>
    </xf>
    <xf numFmtId="2" fontId="107" fillId="0" borderId="7" xfId="0" applyNumberFormat="1" applyFont="1" applyBorder="1" applyAlignment="1">
      <alignment horizontal="center" vertical="center" wrapText="1"/>
    </xf>
    <xf numFmtId="1" fontId="107" fillId="31" borderId="7" xfId="0" applyNumberFormat="1" applyFont="1" applyFill="1" applyBorder="1" applyAlignment="1">
      <alignment horizontal="left" vertical="center" wrapText="1"/>
    </xf>
    <xf numFmtId="1" fontId="106" fillId="31" borderId="7" xfId="0" applyNumberFormat="1" applyFont="1" applyFill="1" applyBorder="1" applyAlignment="1">
      <alignment horizontal="center" vertical="center" wrapText="1"/>
    </xf>
    <xf numFmtId="2" fontId="106" fillId="31" borderId="7" xfId="0" applyNumberFormat="1" applyFont="1" applyFill="1" applyBorder="1" applyAlignment="1">
      <alignment horizontal="center" vertical="center" wrapText="1"/>
    </xf>
    <xf numFmtId="0" fontId="107" fillId="0" borderId="7" xfId="11" applyFont="1" applyBorder="1" applyAlignment="1">
      <alignment horizontal="center" vertical="center"/>
    </xf>
    <xf numFmtId="1" fontId="106" fillId="0" borderId="7" xfId="8" applyNumberFormat="1" applyFont="1" applyFill="1" applyBorder="1" applyAlignment="1">
      <alignment horizontal="left" vertical="center" wrapText="1"/>
    </xf>
    <xf numFmtId="0" fontId="106" fillId="0" borderId="7" xfId="8" applyFont="1" applyFill="1" applyBorder="1" applyAlignment="1">
      <alignment horizontal="center" vertical="center" wrapText="1"/>
    </xf>
    <xf numFmtId="0" fontId="107" fillId="0" borderId="7" xfId="0" applyFont="1" applyBorder="1" applyAlignment="1">
      <alignment horizontal="left" vertical="center" wrapText="1"/>
    </xf>
    <xf numFmtId="1" fontId="106" fillId="32" borderId="7" xfId="0" applyNumberFormat="1" applyFont="1" applyFill="1" applyBorder="1" applyAlignment="1">
      <alignment horizontal="left" vertical="center" wrapText="1"/>
    </xf>
    <xf numFmtId="1" fontId="0" fillId="0" borderId="22" xfId="0" applyNumberFormat="1" applyBorder="1"/>
    <xf numFmtId="172" fontId="106" fillId="0" borderId="24" xfId="0" applyNumberFormat="1" applyFont="1" applyBorder="1" applyAlignment="1">
      <alignment horizontal="center" vertical="center" wrapText="1"/>
    </xf>
    <xf numFmtId="172" fontId="107" fillId="0" borderId="24" xfId="0" applyNumberFormat="1" applyFont="1" applyBorder="1" applyAlignment="1">
      <alignment horizontal="center" vertical="center" wrapText="1"/>
    </xf>
    <xf numFmtId="172" fontId="106" fillId="0" borderId="24" xfId="9" applyNumberFormat="1" applyFont="1" applyBorder="1" applyAlignment="1">
      <alignment horizontal="center" vertical="center" wrapText="1"/>
    </xf>
    <xf numFmtId="0" fontId="106" fillId="0" borderId="24" xfId="0" applyFont="1" applyBorder="1" applyAlignment="1">
      <alignment horizontal="center" vertical="center" wrapText="1"/>
    </xf>
    <xf numFmtId="0" fontId="106" fillId="31" borderId="24" xfId="0" applyFont="1" applyFill="1" applyBorder="1" applyAlignment="1">
      <alignment horizontal="center" vertical="center"/>
    </xf>
    <xf numFmtId="0" fontId="29" fillId="0" borderId="69" xfId="0" applyFont="1" applyBorder="1"/>
    <xf numFmtId="0" fontId="29" fillId="0" borderId="39" xfId="0" applyFont="1" applyBorder="1"/>
    <xf numFmtId="1" fontId="120" fillId="30" borderId="39" xfId="0" applyNumberFormat="1" applyFont="1" applyFill="1" applyBorder="1" applyAlignment="1" applyProtection="1">
      <alignment horizontal="center" vertical="center" wrapText="1"/>
      <protection locked="0"/>
    </xf>
    <xf numFmtId="0" fontId="120" fillId="30" borderId="39" xfId="0" applyFont="1" applyFill="1" applyBorder="1" applyAlignment="1" applyProtection="1">
      <alignment horizontal="center" vertical="center" wrapText="1"/>
      <protection locked="0"/>
    </xf>
    <xf numFmtId="2" fontId="120" fillId="29" borderId="39" xfId="0" applyNumberFormat="1" applyFont="1" applyFill="1" applyBorder="1" applyAlignment="1" applyProtection="1">
      <alignment horizontal="center" vertical="center" wrapText="1"/>
      <protection locked="0"/>
    </xf>
    <xf numFmtId="0" fontId="120" fillId="29" borderId="70" xfId="0" applyFont="1" applyFill="1" applyBorder="1" applyAlignment="1" applyProtection="1">
      <alignment horizontal="center" vertical="center" wrapText="1"/>
      <protection locked="0"/>
    </xf>
    <xf numFmtId="1" fontId="0" fillId="0" borderId="62" xfId="0" applyNumberFormat="1" applyBorder="1"/>
    <xf numFmtId="1" fontId="0" fillId="0" borderId="40" xfId="0" applyNumberFormat="1" applyBorder="1"/>
    <xf numFmtId="0" fontId="0" fillId="0" borderId="39" xfId="0" applyBorder="1" applyAlignment="1">
      <alignment horizontal="center"/>
    </xf>
    <xf numFmtId="1" fontId="106" fillId="31" borderId="40" xfId="0" applyNumberFormat="1" applyFont="1" applyFill="1" applyBorder="1" applyAlignment="1">
      <alignment horizontal="left" vertical="center" wrapText="1"/>
    </xf>
    <xf numFmtId="0" fontId="106" fillId="31" borderId="40" xfId="0" applyFont="1" applyFill="1" applyBorder="1" applyAlignment="1">
      <alignment horizontal="left" vertical="center" wrapText="1"/>
    </xf>
    <xf numFmtId="0" fontId="106" fillId="31" borderId="40" xfId="0" applyFont="1" applyFill="1" applyBorder="1" applyAlignment="1">
      <alignment horizontal="center" vertical="center" wrapText="1"/>
    </xf>
    <xf numFmtId="0" fontId="106" fillId="0" borderId="40" xfId="0" applyFont="1" applyBorder="1" applyAlignment="1">
      <alignment horizontal="left" vertical="center" wrapText="1"/>
    </xf>
    <xf numFmtId="2" fontId="106" fillId="0" borderId="40" xfId="12" applyNumberFormat="1" applyFont="1" applyBorder="1" applyAlignment="1">
      <alignment horizontal="center" vertical="center"/>
    </xf>
    <xf numFmtId="0" fontId="106" fillId="0" borderId="56" xfId="0" applyFont="1" applyBorder="1" applyAlignment="1">
      <alignment horizontal="center" vertical="center" wrapText="1"/>
    </xf>
    <xf numFmtId="0" fontId="0" fillId="29" borderId="7" xfId="0" applyFill="1" applyBorder="1" applyAlignment="1">
      <alignment horizontal="center"/>
    </xf>
    <xf numFmtId="0" fontId="0" fillId="12" borderId="7" xfId="0" applyFill="1" applyBorder="1" applyAlignment="1">
      <alignment horizontal="center"/>
    </xf>
    <xf numFmtId="0" fontId="0" fillId="0" borderId="40" xfId="0" applyBorder="1" applyAlignment="1">
      <alignment horizontal="center"/>
    </xf>
    <xf numFmtId="0" fontId="0" fillId="12" borderId="39" xfId="0" applyFill="1" applyBorder="1" applyAlignment="1">
      <alignment horizontal="center"/>
    </xf>
    <xf numFmtId="0" fontId="18" fillId="0" borderId="7" xfId="0" applyFont="1" applyBorder="1"/>
    <xf numFmtId="0" fontId="78" fillId="0" borderId="7" xfId="0" applyFont="1" applyBorder="1" applyProtection="1"/>
    <xf numFmtId="4" fontId="0" fillId="0" borderId="0" xfId="0" applyNumberFormat="1" applyProtection="1"/>
    <xf numFmtId="0" fontId="101" fillId="0" borderId="0" xfId="0" applyFont="1" applyAlignment="1" applyProtection="1"/>
    <xf numFmtId="0" fontId="78" fillId="0" borderId="0" xfId="0" applyFont="1" applyAlignment="1" applyProtection="1"/>
    <xf numFmtId="0" fontId="78" fillId="0" borderId="0" xfId="0" applyFont="1" applyAlignment="1" applyProtection="1">
      <alignment horizontal="left"/>
    </xf>
    <xf numFmtId="4" fontId="18" fillId="24" borderId="45" xfId="0" applyNumberFormat="1" applyFont="1" applyFill="1" applyBorder="1" applyAlignment="1" applyProtection="1"/>
    <xf numFmtId="0" fontId="0" fillId="0" borderId="0" xfId="0" applyAlignment="1" applyProtection="1"/>
    <xf numFmtId="0" fontId="28" fillId="0" borderId="16" xfId="0" applyFont="1" applyBorder="1" applyAlignment="1" applyProtection="1"/>
    <xf numFmtId="0" fontId="121" fillId="0" borderId="71" xfId="0" applyFont="1" applyBorder="1" applyAlignment="1" applyProtection="1"/>
    <xf numFmtId="0" fontId="121" fillId="0" borderId="44" xfId="0" applyFont="1" applyBorder="1" applyAlignment="1" applyProtection="1"/>
    <xf numFmtId="0" fontId="78" fillId="0" borderId="49" xfId="0" applyFont="1" applyBorder="1" applyProtection="1"/>
    <xf numFmtId="4" fontId="0" fillId="0" borderId="8" xfId="0" applyNumberFormat="1" applyBorder="1" applyProtection="1"/>
    <xf numFmtId="0" fontId="78" fillId="0" borderId="12" xfId="0" applyFont="1" applyBorder="1" applyProtection="1"/>
    <xf numFmtId="9" fontId="93" fillId="0" borderId="0" xfId="0" applyNumberFormat="1" applyFont="1" applyBorder="1" applyAlignment="1">
      <alignment horizontal="center" vertical="center"/>
    </xf>
    <xf numFmtId="9" fontId="93" fillId="0" borderId="0" xfId="0" applyNumberFormat="1" applyFont="1" applyBorder="1" applyAlignment="1">
      <alignment horizontal="center"/>
    </xf>
    <xf numFmtId="0" fontId="93" fillId="0" borderId="0" xfId="0" applyFont="1" applyFill="1" applyBorder="1"/>
    <xf numFmtId="0" fontId="71" fillId="0" borderId="0" xfId="0" applyFont="1" applyFill="1" applyBorder="1" applyAlignment="1">
      <alignment vertical="center" wrapText="1"/>
    </xf>
    <xf numFmtId="0" fontId="65" fillId="0" borderId="11" xfId="0" applyFont="1" applyFill="1" applyBorder="1"/>
    <xf numFmtId="0" fontId="93" fillId="0" borderId="5" xfId="0" applyFont="1" applyFill="1" applyBorder="1" applyAlignment="1">
      <alignment horizontal="center"/>
    </xf>
    <xf numFmtId="0" fontId="71" fillId="0" borderId="5" xfId="0" applyFont="1" applyBorder="1" applyAlignment="1">
      <alignment vertical="center" wrapText="1"/>
    </xf>
    <xf numFmtId="0" fontId="65" fillId="17" borderId="0" xfId="0" applyFont="1" applyFill="1" applyAlignment="1">
      <alignment vertical="center"/>
    </xf>
    <xf numFmtId="0" fontId="65" fillId="0" borderId="0" xfId="0" applyFont="1" applyFill="1"/>
    <xf numFmtId="1" fontId="5" fillId="20" borderId="53" xfId="0" applyNumberFormat="1" applyFont="1" applyFill="1" applyBorder="1" applyAlignment="1" applyProtection="1">
      <alignment horizontal="center" vertical="center" wrapText="1"/>
      <protection locked="0"/>
    </xf>
    <xf numFmtId="0" fontId="125" fillId="0" borderId="0" xfId="0" applyFont="1" applyAlignment="1" applyProtection="1">
      <alignment horizontal="left" wrapText="1"/>
    </xf>
    <xf numFmtId="4" fontId="0" fillId="0" borderId="0" xfId="0" applyNumberFormat="1"/>
    <xf numFmtId="1" fontId="82" fillId="20" borderId="51" xfId="0" applyNumberFormat="1" applyFont="1" applyFill="1" applyBorder="1" applyAlignment="1" applyProtection="1">
      <alignment horizontal="center" vertical="center" wrapText="1"/>
    </xf>
    <xf numFmtId="1" fontId="82" fillId="20" borderId="24" xfId="0" applyNumberFormat="1" applyFont="1" applyFill="1" applyBorder="1" applyAlignment="1" applyProtection="1">
      <alignment horizontal="center" vertical="center" wrapText="1"/>
    </xf>
    <xf numFmtId="1" fontId="82" fillId="22" borderId="51" xfId="0" applyNumberFormat="1" applyFont="1" applyFill="1" applyBorder="1" applyAlignment="1" applyProtection="1">
      <alignment horizontal="center" vertical="center" wrapText="1"/>
    </xf>
    <xf numFmtId="1" fontId="82" fillId="22" borderId="52" xfId="0" applyNumberFormat="1" applyFont="1" applyFill="1" applyBorder="1" applyAlignment="1" applyProtection="1">
      <alignment horizontal="center" vertical="center" wrapText="1"/>
    </xf>
    <xf numFmtId="4" fontId="65" fillId="6" borderId="0" xfId="0" applyNumberFormat="1" applyFont="1" applyFill="1" applyBorder="1"/>
    <xf numFmtId="4" fontId="65" fillId="6" borderId="72" xfId="0" applyNumberFormat="1" applyFont="1" applyFill="1" applyBorder="1"/>
    <xf numFmtId="4" fontId="65" fillId="6" borderId="38" xfId="0" applyNumberFormat="1" applyFont="1" applyFill="1" applyBorder="1"/>
    <xf numFmtId="0" fontId="65" fillId="0" borderId="7" xfId="0" applyFont="1" applyFill="1" applyBorder="1" applyAlignment="1">
      <alignment wrapText="1"/>
    </xf>
    <xf numFmtId="0" fontId="18" fillId="0" borderId="0" xfId="0" applyFont="1" applyAlignment="1">
      <alignment horizontal="center"/>
    </xf>
    <xf numFmtId="0" fontId="0" fillId="0" borderId="24" xfId="0" applyBorder="1"/>
    <xf numFmtId="0" fontId="0" fillId="0" borderId="24" xfId="0" applyBorder="1" applyAlignment="1">
      <alignment horizontal="right"/>
    </xf>
    <xf numFmtId="0" fontId="83" fillId="0" borderId="0" xfId="6" quotePrefix="1"/>
    <xf numFmtId="0" fontId="18" fillId="19" borderId="14" xfId="0" applyFont="1" applyFill="1" applyBorder="1" applyAlignment="1" applyProtection="1">
      <alignment horizontal="center" vertical="center" wrapText="1"/>
    </xf>
    <xf numFmtId="4" fontId="82" fillId="34" borderId="60" xfId="0" applyNumberFormat="1" applyFont="1" applyFill="1" applyBorder="1" applyAlignment="1" applyProtection="1">
      <alignment horizontal="center" vertical="center" wrapText="1"/>
    </xf>
    <xf numFmtId="0" fontId="0" fillId="0" borderId="7" xfId="0" applyBorder="1" applyAlignment="1">
      <alignment wrapText="1"/>
    </xf>
    <xf numFmtId="9" fontId="126" fillId="19" borderId="7" xfId="1" applyFont="1" applyFill="1" applyBorder="1"/>
    <xf numFmtId="0" fontId="0" fillId="0" borderId="0" xfId="0" applyFill="1"/>
    <xf numFmtId="0" fontId="18" fillId="0" borderId="0" xfId="0" applyFont="1" applyFill="1"/>
    <xf numFmtId="0" fontId="129" fillId="0" borderId="38" xfId="0" applyFont="1" applyBorder="1" applyAlignment="1">
      <alignment horizontal="center" vertical="center" wrapText="1"/>
    </xf>
    <xf numFmtId="0" fontId="129" fillId="0" borderId="66" xfId="0" applyFont="1" applyBorder="1" applyAlignment="1">
      <alignment horizontal="center" vertical="center" wrapText="1"/>
    </xf>
    <xf numFmtId="0" fontId="127" fillId="0" borderId="0" xfId="0" applyFont="1"/>
    <xf numFmtId="0" fontId="0" fillId="0" borderId="0" xfId="0" applyFont="1"/>
    <xf numFmtId="0" fontId="65" fillId="6" borderId="0" xfId="0" applyFont="1" applyFill="1" applyBorder="1"/>
    <xf numFmtId="0" fontId="131" fillId="0" borderId="0" xfId="0" applyFont="1"/>
    <xf numFmtId="0" fontId="133" fillId="0" borderId="0" xfId="0" applyFont="1"/>
    <xf numFmtId="0" fontId="133" fillId="0" borderId="0" xfId="0" applyFont="1" applyAlignment="1">
      <alignment vertical="center"/>
    </xf>
    <xf numFmtId="0" fontId="131" fillId="0" borderId="74" xfId="0" applyFont="1" applyBorder="1" applyAlignment="1">
      <alignment horizontal="center"/>
    </xf>
    <xf numFmtId="2" fontId="131" fillId="0" borderId="74" xfId="0" applyNumberFormat="1" applyFont="1" applyBorder="1" applyAlignment="1">
      <alignment horizontal="center"/>
    </xf>
    <xf numFmtId="0" fontId="133" fillId="0" borderId="73" xfId="0" applyFont="1" applyBorder="1" applyAlignment="1">
      <alignment horizontal="center" vertical="center"/>
    </xf>
    <xf numFmtId="2" fontId="133" fillId="0" borderId="0" xfId="0" applyNumberFormat="1" applyFont="1" applyAlignment="1">
      <alignment vertical="center"/>
    </xf>
    <xf numFmtId="0" fontId="135" fillId="0" borderId="0" xfId="0" applyFont="1"/>
    <xf numFmtId="0" fontId="133" fillId="0" borderId="0" xfId="0" applyFont="1" applyAlignment="1">
      <alignment horizontal="center" vertical="center"/>
    </xf>
    <xf numFmtId="0" fontId="130" fillId="0" borderId="0" xfId="0" applyFont="1" applyAlignment="1"/>
    <xf numFmtId="0" fontId="132" fillId="0" borderId="0" xfId="0" applyFont="1" applyAlignment="1">
      <alignment horizontal="center"/>
    </xf>
    <xf numFmtId="0" fontId="133" fillId="0" borderId="76" xfId="0" applyFont="1" applyBorder="1" applyAlignment="1">
      <alignment vertical="center"/>
    </xf>
    <xf numFmtId="0" fontId="134" fillId="0" borderId="77" xfId="0" applyFont="1" applyBorder="1" applyAlignment="1">
      <alignment horizontal="center" vertical="center" wrapText="1"/>
    </xf>
    <xf numFmtId="0" fontId="134" fillId="0" borderId="78" xfId="0" applyFont="1" applyBorder="1" applyAlignment="1">
      <alignment horizontal="center" vertical="center" wrapText="1"/>
    </xf>
    <xf numFmtId="0" fontId="134" fillId="0" borderId="79" xfId="0" applyFont="1" applyBorder="1" applyAlignment="1">
      <alignment horizontal="center" vertical="center" wrapText="1"/>
    </xf>
    <xf numFmtId="0" fontId="131" fillId="0" borderId="80" xfId="0" applyFont="1" applyBorder="1"/>
    <xf numFmtId="2" fontId="131" fillId="0" borderId="81" xfId="0" applyNumberFormat="1" applyFont="1" applyBorder="1" applyAlignment="1">
      <alignment horizontal="center"/>
    </xf>
    <xf numFmtId="0" fontId="131" fillId="0" borderId="82" xfId="0" applyFont="1" applyBorder="1"/>
    <xf numFmtId="0" fontId="133" fillId="0" borderId="83" xfId="0" applyFont="1" applyBorder="1" applyAlignment="1">
      <alignment horizontal="center" vertical="center"/>
    </xf>
    <xf numFmtId="2" fontId="133" fillId="0" borderId="84" xfId="0" applyNumberFormat="1" applyFont="1" applyBorder="1" applyAlignment="1">
      <alignment horizontal="center" vertical="center"/>
    </xf>
    <xf numFmtId="0" fontId="133" fillId="0" borderId="85" xfId="0" applyFont="1" applyBorder="1" applyAlignment="1">
      <alignment horizontal="center" vertical="center"/>
    </xf>
    <xf numFmtId="2" fontId="131" fillId="0" borderId="87" xfId="0" applyNumberFormat="1" applyFont="1" applyBorder="1" applyAlignment="1">
      <alignment horizontal="center" wrapText="1"/>
    </xf>
    <xf numFmtId="2" fontId="133" fillId="0" borderId="75" xfId="0" applyNumberFormat="1" applyFont="1" applyBorder="1" applyAlignment="1">
      <alignment horizontal="center" vertical="center"/>
    </xf>
    <xf numFmtId="0" fontId="134" fillId="0" borderId="88" xfId="0" applyFont="1" applyBorder="1" applyAlignment="1">
      <alignment horizontal="center" vertical="center" wrapText="1"/>
    </xf>
    <xf numFmtId="2" fontId="131" fillId="0" borderId="89" xfId="0" applyNumberFormat="1" applyFont="1" applyBorder="1" applyAlignment="1">
      <alignment horizontal="center"/>
    </xf>
    <xf numFmtId="0" fontId="131" fillId="0" borderId="90" xfId="0" applyFont="1" applyBorder="1" applyAlignment="1">
      <alignment horizontal="center"/>
    </xf>
    <xf numFmtId="2" fontId="131" fillId="0" borderId="90" xfId="0" applyNumberFormat="1" applyFont="1" applyBorder="1" applyAlignment="1">
      <alignment horizontal="center"/>
    </xf>
    <xf numFmtId="0" fontId="133" fillId="0" borderId="21" xfId="0" applyFont="1" applyBorder="1" applyAlignment="1">
      <alignment horizontal="center" vertical="center"/>
    </xf>
    <xf numFmtId="0" fontId="134" fillId="0" borderId="91" xfId="0" applyFont="1" applyBorder="1" applyAlignment="1">
      <alignment horizontal="center" vertical="center" wrapText="1"/>
    </xf>
    <xf numFmtId="0" fontId="133" fillId="0" borderId="29" xfId="0" applyFont="1" applyBorder="1" applyAlignment="1">
      <alignment horizontal="center" vertical="center"/>
    </xf>
    <xf numFmtId="0" fontId="131" fillId="0" borderId="92" xfId="0" applyFont="1" applyBorder="1"/>
    <xf numFmtId="0" fontId="131" fillId="0" borderId="93" xfId="0" applyFont="1" applyBorder="1"/>
    <xf numFmtId="0" fontId="131" fillId="0" borderId="93" xfId="0" applyFont="1" applyBorder="1" applyAlignment="1">
      <alignment wrapText="1"/>
    </xf>
    <xf numFmtId="0" fontId="133" fillId="0" borderId="18" xfId="0" applyFont="1" applyBorder="1" applyAlignment="1">
      <alignment horizontal="center" vertical="center"/>
    </xf>
    <xf numFmtId="0" fontId="134" fillId="0" borderId="42" xfId="0" applyFont="1" applyBorder="1" applyAlignment="1">
      <alignment horizontal="center" vertical="center" wrapText="1"/>
    </xf>
    <xf numFmtId="0" fontId="134" fillId="0" borderId="26" xfId="0" applyFont="1" applyBorder="1" applyAlignment="1">
      <alignment horizontal="center" vertical="center" wrapText="1"/>
    </xf>
    <xf numFmtId="2" fontId="133" fillId="0" borderId="94" xfId="0" applyNumberFormat="1" applyFont="1" applyBorder="1" applyAlignment="1">
      <alignment vertical="center"/>
    </xf>
    <xf numFmtId="2" fontId="133" fillId="0" borderId="20" xfId="0" applyNumberFormat="1" applyFont="1" applyBorder="1" applyAlignment="1">
      <alignment vertical="center"/>
    </xf>
    <xf numFmtId="2" fontId="131" fillId="0" borderId="95" xfId="0" applyNumberFormat="1" applyFont="1" applyBorder="1" applyAlignment="1">
      <alignment horizontal="center" wrapText="1"/>
    </xf>
    <xf numFmtId="2" fontId="131" fillId="0" borderId="92" xfId="0" applyNumberFormat="1" applyFont="1" applyBorder="1" applyAlignment="1">
      <alignment horizontal="center" wrapText="1"/>
    </xf>
    <xf numFmtId="2" fontId="133" fillId="0" borderId="29" xfId="0" applyNumberFormat="1" applyFont="1" applyBorder="1" applyAlignment="1">
      <alignment horizontal="center" vertical="center"/>
    </xf>
    <xf numFmtId="2" fontId="131" fillId="0" borderId="45" xfId="0" applyNumberFormat="1" applyFont="1" applyBorder="1" applyAlignment="1">
      <alignment horizontal="center"/>
    </xf>
    <xf numFmtId="0" fontId="131" fillId="0" borderId="46" xfId="0" applyFont="1" applyBorder="1" applyAlignment="1">
      <alignment horizontal="center"/>
    </xf>
    <xf numFmtId="2" fontId="131" fillId="0" borderId="46" xfId="0" applyNumberFormat="1" applyFont="1" applyBorder="1" applyAlignment="1">
      <alignment horizontal="center"/>
    </xf>
    <xf numFmtId="0" fontId="133" fillId="0" borderId="47" xfId="0" applyFont="1" applyBorder="1" applyAlignment="1">
      <alignment horizontal="center" vertical="center"/>
    </xf>
    <xf numFmtId="2" fontId="133" fillId="0" borderId="21" xfId="0" applyNumberFormat="1" applyFont="1" applyBorder="1" applyAlignment="1">
      <alignment horizontal="center" vertical="center"/>
    </xf>
    <xf numFmtId="0" fontId="65" fillId="0" borderId="0" xfId="0" applyFont="1" applyFill="1" applyAlignment="1">
      <alignment vertical="center"/>
    </xf>
    <xf numFmtId="0" fontId="0" fillId="0" borderId="0" xfId="0" applyFill="1" applyAlignment="1">
      <alignment horizontal="left"/>
    </xf>
    <xf numFmtId="0" fontId="131" fillId="0" borderId="0" xfId="0" applyFont="1" applyAlignment="1">
      <alignment horizontal="center"/>
    </xf>
    <xf numFmtId="0" fontId="136" fillId="0" borderId="0" xfId="0" applyFont="1" applyAlignment="1">
      <alignment horizontal="center"/>
    </xf>
    <xf numFmtId="0" fontId="133" fillId="0" borderId="40" xfId="0" applyFont="1" applyBorder="1" applyAlignment="1">
      <alignment horizontal="center"/>
    </xf>
    <xf numFmtId="0" fontId="134" fillId="0" borderId="14" xfId="0" applyFont="1" applyBorder="1" applyAlignment="1">
      <alignment horizontal="center" vertical="center"/>
    </xf>
    <xf numFmtId="2" fontId="131" fillId="0" borderId="47" xfId="0" applyNumberFormat="1" applyFont="1" applyBorder="1" applyAlignment="1">
      <alignment horizontal="center"/>
    </xf>
    <xf numFmtId="0" fontId="131" fillId="0" borderId="96" xfId="0" applyFont="1" applyBorder="1"/>
    <xf numFmtId="0" fontId="131" fillId="0" borderId="98" xfId="0" applyFont="1" applyBorder="1"/>
    <xf numFmtId="2" fontId="131" fillId="0" borderId="99" xfId="0" applyNumberFormat="1" applyFont="1" applyBorder="1" applyAlignment="1">
      <alignment horizontal="center" vertical="center"/>
    </xf>
    <xf numFmtId="2" fontId="131" fillId="0" borderId="20" xfId="0" applyNumberFormat="1" applyFont="1" applyBorder="1" applyAlignment="1">
      <alignment horizontal="center" vertical="center"/>
    </xf>
    <xf numFmtId="2" fontId="133" fillId="7" borderId="65" xfId="0" applyNumberFormat="1" applyFont="1" applyFill="1" applyBorder="1" applyAlignment="1">
      <alignment horizontal="center" vertical="center"/>
    </xf>
    <xf numFmtId="0" fontId="133" fillId="0" borderId="40" xfId="0" applyFont="1" applyBorder="1" applyAlignment="1">
      <alignment horizontal="left"/>
    </xf>
    <xf numFmtId="0" fontId="131" fillId="0" borderId="0" xfId="0" applyFont="1" applyAlignment="1">
      <alignment horizontal="left"/>
    </xf>
    <xf numFmtId="176" fontId="123" fillId="0" borderId="0" xfId="16"/>
    <xf numFmtId="177" fontId="137" fillId="0" borderId="0" xfId="16" applyNumberFormat="1" applyFont="1"/>
    <xf numFmtId="176" fontId="7" fillId="0" borderId="0" xfId="16" applyFont="1" applyAlignment="1">
      <alignment horizontal="right"/>
    </xf>
    <xf numFmtId="176" fontId="123" fillId="0" borderId="0" xfId="16" applyAlignment="1">
      <alignment horizontal="center"/>
    </xf>
    <xf numFmtId="177" fontId="138" fillId="0" borderId="0" xfId="16" applyNumberFormat="1" applyFont="1"/>
    <xf numFmtId="176" fontId="139" fillId="0" borderId="0" xfId="16" applyFont="1"/>
    <xf numFmtId="49" fontId="123" fillId="0" borderId="0" xfId="16" applyNumberFormat="1" applyAlignment="1">
      <alignment wrapText="1"/>
    </xf>
    <xf numFmtId="176" fontId="123" fillId="0" borderId="0" xfId="16" applyAlignment="1">
      <alignment vertical="center"/>
    </xf>
    <xf numFmtId="176" fontId="141" fillId="0" borderId="0" xfId="16" applyFont="1" applyAlignment="1">
      <alignment horizontal="center"/>
    </xf>
    <xf numFmtId="1" fontId="139" fillId="0" borderId="100" xfId="16" applyNumberFormat="1" applyFont="1" applyBorder="1" applyAlignment="1">
      <alignment horizontal="center"/>
    </xf>
    <xf numFmtId="2" fontId="123" fillId="0" borderId="0" xfId="16" applyNumberFormat="1" applyAlignment="1">
      <alignment horizontal="center"/>
    </xf>
    <xf numFmtId="176" fontId="140" fillId="0" borderId="100" xfId="16" applyFont="1" applyBorder="1" applyAlignment="1">
      <alignment horizontal="center" vertical="center"/>
    </xf>
    <xf numFmtId="49" fontId="123" fillId="0" borderId="0" xfId="16" applyNumberFormat="1" applyAlignment="1">
      <alignment horizontal="right" wrapText="1"/>
    </xf>
    <xf numFmtId="176" fontId="143" fillId="0" borderId="100" xfId="16" applyFont="1" applyBorder="1"/>
    <xf numFmtId="1" fontId="123" fillId="0" borderId="100" xfId="16" applyNumberFormat="1" applyBorder="1" applyAlignment="1">
      <alignment horizontal="center"/>
    </xf>
    <xf numFmtId="1" fontId="123" fillId="0" borderId="100" xfId="16" applyNumberFormat="1" applyBorder="1"/>
    <xf numFmtId="4" fontId="123" fillId="35" borderId="100" xfId="16" applyNumberFormat="1" applyFill="1" applyBorder="1" applyAlignment="1">
      <alignment horizontal="center"/>
    </xf>
    <xf numFmtId="176" fontId="143" fillId="0" borderId="100" xfId="16" applyFont="1" applyBorder="1" applyAlignment="1">
      <alignment horizontal="right"/>
    </xf>
    <xf numFmtId="176" fontId="139" fillId="0" borderId="100" xfId="16" applyFont="1" applyBorder="1"/>
    <xf numFmtId="4" fontId="139" fillId="0" borderId="100" xfId="16" applyNumberFormat="1" applyFont="1" applyBorder="1" applyAlignment="1">
      <alignment horizontal="center"/>
    </xf>
    <xf numFmtId="176" fontId="137" fillId="0" borderId="0" xfId="16" applyFont="1"/>
    <xf numFmtId="49" fontId="137" fillId="0" borderId="0" xfId="16" applyNumberFormat="1" applyFont="1" applyAlignment="1">
      <alignment wrapText="1"/>
    </xf>
    <xf numFmtId="176" fontId="137" fillId="0" borderId="0" xfId="16" applyFont="1" applyAlignment="1">
      <alignment horizontal="center"/>
    </xf>
    <xf numFmtId="176" fontId="139" fillId="0" borderId="0" xfId="16" applyFont="1" applyAlignment="1">
      <alignment horizontal="left"/>
    </xf>
    <xf numFmtId="176" fontId="123" fillId="0" borderId="0" xfId="16" applyAlignment="1">
      <alignment horizontal="left"/>
    </xf>
    <xf numFmtId="176" fontId="143" fillId="0" borderId="100" xfId="16" applyFont="1" applyBorder="1" applyAlignment="1">
      <alignment horizontal="left"/>
    </xf>
    <xf numFmtId="0" fontId="0" fillId="0" borderId="100" xfId="0" applyBorder="1" applyAlignment="1">
      <alignment horizontal="center"/>
    </xf>
    <xf numFmtId="0" fontId="0" fillId="17" borderId="0" xfId="0" applyFont="1" applyFill="1"/>
    <xf numFmtId="176" fontId="149" fillId="0" borderId="0" xfId="16" applyFont="1" applyAlignment="1">
      <alignment horizontal="center" vertical="center"/>
    </xf>
    <xf numFmtId="49" fontId="149" fillId="0" borderId="0" xfId="16" applyNumberFormat="1" applyFont="1" applyAlignment="1">
      <alignment horizontal="right" vertical="center" wrapText="1"/>
    </xf>
    <xf numFmtId="176" fontId="149" fillId="0" borderId="100" xfId="16" applyFont="1" applyBorder="1" applyAlignment="1">
      <alignment horizontal="center" vertical="center" wrapText="1"/>
    </xf>
    <xf numFmtId="176" fontId="149" fillId="35" borderId="100" xfId="16" applyFont="1" applyFill="1" applyBorder="1" applyAlignment="1">
      <alignment horizontal="center" vertical="center" wrapText="1"/>
    </xf>
    <xf numFmtId="2" fontId="123" fillId="0" borderId="0" xfId="16" applyNumberFormat="1" applyFont="1" applyAlignment="1">
      <alignment horizontal="center"/>
    </xf>
    <xf numFmtId="176" fontId="143" fillId="0" borderId="100" xfId="16" applyFont="1" applyBorder="1" applyAlignment="1">
      <alignment horizontal="center" vertical="center" wrapText="1"/>
    </xf>
    <xf numFmtId="176" fontId="143" fillId="35" borderId="100" xfId="16" applyFont="1" applyFill="1" applyBorder="1" applyAlignment="1">
      <alignment horizontal="center" vertical="center" wrapText="1"/>
    </xf>
    <xf numFmtId="4" fontId="123" fillId="35" borderId="100" xfId="16" applyNumberFormat="1" applyFont="1" applyFill="1" applyBorder="1" applyAlignment="1">
      <alignment horizontal="center" vertical="center"/>
    </xf>
    <xf numFmtId="4" fontId="123" fillId="35" borderId="100" xfId="16" applyNumberFormat="1" applyFont="1" applyFill="1" applyBorder="1" applyAlignment="1">
      <alignment horizontal="center"/>
    </xf>
    <xf numFmtId="2" fontId="123" fillId="0" borderId="0" xfId="16" applyNumberFormat="1"/>
    <xf numFmtId="0" fontId="0" fillId="0" borderId="100" xfId="0" applyBorder="1"/>
    <xf numFmtId="0" fontId="0" fillId="0" borderId="100" xfId="0" applyBorder="1" applyAlignment="1">
      <alignment wrapText="1"/>
    </xf>
    <xf numFmtId="0" fontId="0" fillId="0" borderId="0" xfId="0" applyBorder="1"/>
    <xf numFmtId="49" fontId="150" fillId="0" borderId="0" xfId="16" applyNumberFormat="1" applyFont="1" applyAlignment="1">
      <alignment wrapText="1"/>
    </xf>
    <xf numFmtId="176" fontId="150" fillId="0" borderId="0" xfId="16" applyFont="1" applyAlignment="1">
      <alignment horizontal="center"/>
    </xf>
    <xf numFmtId="0" fontId="0" fillId="0" borderId="100" xfId="0" applyFont="1" applyBorder="1" applyAlignment="1">
      <alignment wrapText="1"/>
    </xf>
    <xf numFmtId="0" fontId="0" fillId="0" borderId="100" xfId="0" applyFont="1" applyBorder="1"/>
    <xf numFmtId="0" fontId="0" fillId="0" borderId="105" xfId="0" applyBorder="1" applyAlignment="1">
      <alignment horizontal="left"/>
    </xf>
    <xf numFmtId="0" fontId="0" fillId="0" borderId="105" xfId="0" applyBorder="1"/>
    <xf numFmtId="0" fontId="0" fillId="0" borderId="103" xfId="0" applyBorder="1"/>
    <xf numFmtId="0" fontId="146" fillId="0" borderId="27" xfId="0" applyFont="1" applyBorder="1" applyAlignment="1">
      <alignment horizontal="left" vertical="center" indent="2"/>
    </xf>
    <xf numFmtId="0" fontId="0" fillId="0" borderId="0" xfId="0" applyBorder="1" applyAlignment="1">
      <alignment horizontal="left"/>
    </xf>
    <xf numFmtId="0" fontId="146" fillId="0" borderId="27" xfId="0" applyFont="1" applyBorder="1" applyAlignment="1">
      <alignment horizontal="left" vertical="center"/>
    </xf>
    <xf numFmtId="0" fontId="148" fillId="0" borderId="27" xfId="0" applyFont="1" applyBorder="1" applyAlignment="1">
      <alignment horizontal="left" vertical="center"/>
    </xf>
    <xf numFmtId="0" fontId="0" fillId="0" borderId="100" xfId="0" applyFont="1" applyBorder="1" applyAlignment="1">
      <alignment horizontal="center"/>
    </xf>
    <xf numFmtId="0" fontId="0" fillId="0" borderId="100" xfId="0" applyBorder="1" applyAlignment="1">
      <alignment vertical="top" wrapText="1"/>
    </xf>
    <xf numFmtId="176" fontId="143" fillId="0" borderId="100" xfId="16" applyFont="1" applyFill="1" applyBorder="1" applyAlignment="1">
      <alignment horizontal="center" vertical="center" wrapText="1"/>
    </xf>
    <xf numFmtId="176" fontId="149" fillId="35" borderId="106" xfId="16" applyFont="1" applyFill="1" applyBorder="1" applyAlignment="1">
      <alignment horizontal="center" vertical="center" wrapText="1"/>
    </xf>
    <xf numFmtId="4" fontId="123" fillId="35" borderId="106" xfId="16" applyNumberFormat="1" applyFill="1" applyBorder="1" applyAlignment="1">
      <alignment horizontal="center"/>
    </xf>
    <xf numFmtId="4" fontId="123" fillId="35" borderId="106" xfId="16" applyNumberFormat="1" applyFont="1" applyFill="1" applyBorder="1" applyAlignment="1">
      <alignment horizontal="center" vertical="center"/>
    </xf>
    <xf numFmtId="4" fontId="139" fillId="0" borderId="106" xfId="16" applyNumberFormat="1" applyFont="1" applyBorder="1" applyAlignment="1">
      <alignment horizontal="center"/>
    </xf>
    <xf numFmtId="1" fontId="123" fillId="0" borderId="104" xfId="16" applyNumberFormat="1" applyFill="1" applyBorder="1"/>
    <xf numFmtId="0" fontId="0" fillId="0" borderId="105" xfId="0" applyFill="1" applyBorder="1"/>
    <xf numFmtId="0" fontId="0" fillId="0" borderId="103" xfId="0" applyFill="1" applyBorder="1"/>
    <xf numFmtId="176" fontId="149" fillId="0" borderId="107" xfId="16" applyFont="1" applyFill="1" applyBorder="1" applyAlignment="1">
      <alignment horizontal="center" vertical="center" wrapText="1"/>
    </xf>
    <xf numFmtId="176" fontId="149" fillId="0" borderId="100" xfId="16" applyFont="1" applyFill="1" applyBorder="1" applyAlignment="1">
      <alignment horizontal="center" vertical="center" wrapText="1"/>
    </xf>
    <xf numFmtId="176" fontId="149" fillId="0" borderId="108" xfId="16" applyFont="1" applyFill="1" applyBorder="1" applyAlignment="1">
      <alignment horizontal="center" vertical="center" wrapText="1"/>
    </xf>
    <xf numFmtId="4" fontId="123" fillId="0" borderId="107" xfId="16" applyNumberFormat="1" applyFill="1" applyBorder="1"/>
    <xf numFmtId="4" fontId="123" fillId="0" borderId="100" xfId="16" applyNumberFormat="1" applyFill="1" applyBorder="1" applyAlignment="1">
      <alignment horizontal="center"/>
    </xf>
    <xf numFmtId="1" fontId="123" fillId="0" borderId="108" xfId="16" applyNumberFormat="1" applyFill="1" applyBorder="1" applyAlignment="1">
      <alignment horizontal="center"/>
    </xf>
    <xf numFmtId="4" fontId="150" fillId="0" borderId="109" xfId="16" applyNumberFormat="1" applyFont="1" applyFill="1" applyBorder="1" applyAlignment="1">
      <alignment horizontal="center"/>
    </xf>
    <xf numFmtId="4" fontId="150" fillId="0" borderId="110" xfId="16" applyNumberFormat="1" applyFont="1" applyFill="1" applyBorder="1" applyAlignment="1">
      <alignment horizontal="center"/>
    </xf>
    <xf numFmtId="1" fontId="0" fillId="0" borderId="111" xfId="0" applyNumberFormat="1" applyFont="1" applyFill="1" applyBorder="1"/>
    <xf numFmtId="0" fontId="127" fillId="17" borderId="0" xfId="0" applyFont="1" applyFill="1"/>
    <xf numFmtId="176" fontId="151" fillId="0" borderId="0" xfId="16" applyFont="1"/>
    <xf numFmtId="49" fontId="151" fillId="0" borderId="0" xfId="16" applyNumberFormat="1" applyFont="1" applyAlignment="1">
      <alignment wrapText="1"/>
    </xf>
    <xf numFmtId="176" fontId="151" fillId="0" borderId="0" xfId="16" applyFont="1" applyAlignment="1">
      <alignment horizontal="center"/>
    </xf>
    <xf numFmtId="0" fontId="127" fillId="0" borderId="0" xfId="0" applyFont="1" applyAlignment="1">
      <alignment horizontal="center"/>
    </xf>
    <xf numFmtId="0" fontId="154" fillId="0" borderId="0" xfId="0" applyFont="1" applyAlignment="1">
      <alignment horizontal="center"/>
    </xf>
    <xf numFmtId="9" fontId="155" fillId="0" borderId="100" xfId="1" applyFont="1" applyFill="1" applyBorder="1" applyAlignment="1">
      <alignment horizontal="center"/>
    </xf>
    <xf numFmtId="0" fontId="0" fillId="0" borderId="0" xfId="0" quotePrefix="1" applyFill="1"/>
    <xf numFmtId="0" fontId="0" fillId="0" borderId="104" xfId="0" applyBorder="1" applyAlignment="1">
      <alignment horizontal="center"/>
    </xf>
    <xf numFmtId="0" fontId="0" fillId="0" borderId="103" xfId="0" applyBorder="1" applyAlignment="1">
      <alignment horizontal="center"/>
    </xf>
    <xf numFmtId="0" fontId="156" fillId="0" borderId="106" xfId="0" applyFont="1" applyBorder="1" applyAlignment="1">
      <alignment wrapText="1"/>
    </xf>
    <xf numFmtId="0" fontId="156" fillId="0" borderId="107" xfId="0" applyFont="1" applyBorder="1" applyAlignment="1">
      <alignment horizontal="center" wrapText="1"/>
    </xf>
    <xf numFmtId="0" fontId="156" fillId="0" borderId="108" xfId="0" applyFont="1" applyBorder="1" applyAlignment="1">
      <alignment horizontal="center"/>
    </xf>
    <xf numFmtId="0" fontId="156" fillId="0" borderId="115" xfId="0" applyFont="1" applyBorder="1" applyAlignment="1">
      <alignment horizontal="center" vertical="center" wrapText="1"/>
    </xf>
    <xf numFmtId="0" fontId="156" fillId="0" borderId="117" xfId="0" applyFont="1" applyBorder="1" applyAlignment="1">
      <alignment horizontal="center" vertical="center"/>
    </xf>
    <xf numFmtId="0" fontId="0" fillId="0" borderId="106" xfId="0" applyBorder="1"/>
    <xf numFmtId="0" fontId="0" fillId="0" borderId="107" xfId="0" applyBorder="1" applyAlignment="1">
      <alignment horizontal="center"/>
    </xf>
    <xf numFmtId="0" fontId="0" fillId="0" borderId="108" xfId="0" applyBorder="1" applyAlignment="1">
      <alignment horizontal="center"/>
    </xf>
    <xf numFmtId="0" fontId="0" fillId="31" borderId="106" xfId="0" applyFill="1" applyBorder="1"/>
    <xf numFmtId="0" fontId="0" fillId="31" borderId="107" xfId="0" applyFill="1" applyBorder="1" applyAlignment="1">
      <alignment horizontal="center"/>
    </xf>
    <xf numFmtId="0" fontId="0" fillId="31" borderId="108" xfId="0" applyFill="1" applyBorder="1" applyAlignment="1">
      <alignment horizontal="center"/>
    </xf>
    <xf numFmtId="0" fontId="0" fillId="0" borderId="106" xfId="0" applyBorder="1" applyAlignment="1">
      <alignment wrapText="1"/>
    </xf>
    <xf numFmtId="0" fontId="0" fillId="6" borderId="106" xfId="0" applyFill="1" applyBorder="1"/>
    <xf numFmtId="0" fontId="0" fillId="31" borderId="100" xfId="0" applyFill="1" applyBorder="1" applyAlignment="1">
      <alignment horizontal="center"/>
    </xf>
    <xf numFmtId="0" fontId="0" fillId="0" borderId="106" xfId="0" applyBorder="1" applyAlignment="1">
      <alignment horizontal="left"/>
    </xf>
    <xf numFmtId="0" fontId="17" fillId="0" borderId="108" xfId="0" applyFont="1" applyBorder="1" applyAlignment="1">
      <alignment horizontal="center"/>
    </xf>
    <xf numFmtId="0" fontId="0" fillId="0" borderId="109" xfId="0" applyBorder="1" applyAlignment="1">
      <alignment horizontal="center"/>
    </xf>
    <xf numFmtId="0" fontId="0" fillId="0" borderId="111" xfId="0" applyBorder="1" applyAlignment="1">
      <alignment horizontal="center"/>
    </xf>
    <xf numFmtId="0" fontId="18" fillId="7" borderId="100" xfId="0" applyFont="1" applyFill="1" applyBorder="1"/>
    <xf numFmtId="0" fontId="18" fillId="7" borderId="39" xfId="0" applyFont="1" applyFill="1" applyBorder="1" applyAlignment="1">
      <alignment horizontal="center"/>
    </xf>
    <xf numFmtId="0" fontId="0" fillId="0" borderId="0" xfId="0" applyFont="1" applyFill="1"/>
    <xf numFmtId="0" fontId="127" fillId="0" borderId="0" xfId="0" applyFont="1" applyFill="1"/>
    <xf numFmtId="0" fontId="65" fillId="0" borderId="0" xfId="0" applyFont="1" applyFill="1" applyBorder="1" applyAlignment="1">
      <alignment horizontal="center"/>
    </xf>
    <xf numFmtId="0" fontId="65" fillId="0" borderId="0" xfId="0" applyFont="1" applyFill="1" applyBorder="1"/>
    <xf numFmtId="0" fontId="0" fillId="0" borderId="0" xfId="0" applyBorder="1" applyAlignment="1">
      <alignment horizontal="center"/>
    </xf>
    <xf numFmtId="0" fontId="0" fillId="0" borderId="100" xfId="0" applyBorder="1" applyAlignment="1">
      <alignment horizontal="left"/>
    </xf>
    <xf numFmtId="0" fontId="18" fillId="7" borderId="100" xfId="0" applyFont="1" applyFill="1" applyBorder="1" applyAlignment="1">
      <alignment horizontal="center"/>
    </xf>
    <xf numFmtId="0" fontId="0" fillId="7" borderId="100" xfId="0" applyFill="1" applyBorder="1" applyAlignment="1">
      <alignment horizontal="center"/>
    </xf>
    <xf numFmtId="0" fontId="157" fillId="7" borderId="106" xfId="0" applyFont="1" applyFill="1" applyBorder="1" applyAlignment="1">
      <alignment horizontal="center"/>
    </xf>
    <xf numFmtId="0" fontId="0" fillId="7" borderId="106" xfId="0" applyFill="1" applyBorder="1" applyAlignment="1">
      <alignment horizontal="center"/>
    </xf>
    <xf numFmtId="0" fontId="0" fillId="0" borderId="115" xfId="0" applyBorder="1" applyAlignment="1">
      <alignment horizontal="center"/>
    </xf>
    <xf numFmtId="0" fontId="0" fillId="0" borderId="118" xfId="0" applyBorder="1" applyAlignment="1">
      <alignment horizontal="center"/>
    </xf>
    <xf numFmtId="0" fontId="0" fillId="0" borderId="117" xfId="0" applyBorder="1" applyAlignment="1">
      <alignment horizontal="center"/>
    </xf>
    <xf numFmtId="0" fontId="0" fillId="0" borderId="110" xfId="0" applyBorder="1" applyAlignment="1">
      <alignment horizontal="center"/>
    </xf>
    <xf numFmtId="0" fontId="20" fillId="0" borderId="0" xfId="0" applyFont="1" applyAlignment="1">
      <alignment horizontal="center" vertical="center"/>
    </xf>
    <xf numFmtId="1" fontId="123" fillId="19" borderId="100" xfId="16" applyNumberFormat="1" applyFill="1" applyBorder="1" applyAlignment="1">
      <alignment horizontal="center"/>
    </xf>
    <xf numFmtId="1" fontId="123" fillId="19" borderId="100" xfId="16" applyNumberFormat="1" applyFill="1" applyBorder="1"/>
    <xf numFmtId="1" fontId="123" fillId="19" borderId="100" xfId="16" applyNumberFormat="1" applyFill="1" applyBorder="1" applyAlignment="1">
      <alignment horizontal="center" vertical="center"/>
    </xf>
    <xf numFmtId="0" fontId="0" fillId="19" borderId="100" xfId="0" applyFill="1" applyBorder="1"/>
    <xf numFmtId="0" fontId="0" fillId="19" borderId="100" xfId="0" applyFill="1" applyBorder="1" applyAlignment="1">
      <alignment horizontal="center"/>
    </xf>
    <xf numFmtId="4" fontId="123" fillId="19" borderId="100" xfId="16" applyNumberFormat="1" applyFill="1" applyBorder="1" applyAlignment="1">
      <alignment horizontal="center"/>
    </xf>
    <xf numFmtId="4" fontId="123" fillId="19" borderId="100" xfId="16" applyNumberFormat="1" applyFont="1" applyFill="1" applyBorder="1" applyAlignment="1">
      <alignment horizontal="center"/>
    </xf>
    <xf numFmtId="4" fontId="123" fillId="19" borderId="100" xfId="16" applyNumberFormat="1" applyFont="1" applyFill="1" applyBorder="1" applyAlignment="1">
      <alignment horizontal="center" vertical="center"/>
    </xf>
    <xf numFmtId="176" fontId="149" fillId="19" borderId="100" xfId="16" applyFont="1" applyFill="1" applyBorder="1" applyAlignment="1">
      <alignment horizontal="center" vertical="center" wrapText="1"/>
    </xf>
    <xf numFmtId="4" fontId="123" fillId="19" borderId="107" xfId="16" applyNumberFormat="1" applyFill="1" applyBorder="1"/>
    <xf numFmtId="0" fontId="96" fillId="18" borderId="101" xfId="0" applyFont="1" applyFill="1" applyBorder="1" applyAlignment="1">
      <alignment horizontal="center"/>
    </xf>
    <xf numFmtId="0" fontId="96" fillId="18" borderId="120" xfId="0" applyFont="1" applyFill="1" applyBorder="1" applyAlignment="1">
      <alignment horizontal="center"/>
    </xf>
    <xf numFmtId="0" fontId="96" fillId="18" borderId="102" xfId="0" applyFont="1" applyFill="1" applyBorder="1" applyAlignment="1">
      <alignment horizontal="center"/>
    </xf>
    <xf numFmtId="0" fontId="0" fillId="0" borderId="27" xfId="0" applyBorder="1"/>
    <xf numFmtId="176" fontId="137" fillId="0" borderId="0" xfId="16" applyFont="1" applyBorder="1" applyAlignment="1">
      <alignment horizontal="center"/>
    </xf>
    <xf numFmtId="176" fontId="123" fillId="0" borderId="0" xfId="16" applyBorder="1"/>
    <xf numFmtId="176" fontId="123" fillId="0" borderId="28" xfId="16" applyBorder="1"/>
    <xf numFmtId="0" fontId="0" fillId="0" borderId="27" xfId="0" applyFont="1" applyBorder="1" applyAlignment="1">
      <alignment horizontal="center"/>
    </xf>
    <xf numFmtId="176" fontId="152" fillId="0" borderId="0" xfId="16" applyFont="1" applyBorder="1" applyAlignment="1">
      <alignment horizontal="center"/>
    </xf>
    <xf numFmtId="176" fontId="150" fillId="0" borderId="0" xfId="16" applyFont="1" applyBorder="1" applyAlignment="1">
      <alignment horizontal="center"/>
    </xf>
    <xf numFmtId="176" fontId="150" fillId="0" borderId="28" xfId="16" applyFont="1" applyBorder="1" applyAlignment="1">
      <alignment horizontal="center"/>
    </xf>
    <xf numFmtId="0" fontId="96" fillId="18" borderId="112" xfId="0" applyFont="1" applyFill="1" applyBorder="1" applyAlignment="1">
      <alignment horizontal="center"/>
    </xf>
    <xf numFmtId="0" fontId="96" fillId="18" borderId="113" xfId="0" applyFont="1" applyFill="1" applyBorder="1" applyAlignment="1">
      <alignment horizontal="center"/>
    </xf>
    <xf numFmtId="0" fontId="96" fillId="18" borderId="114" xfId="0" applyFont="1" applyFill="1" applyBorder="1" applyAlignment="1">
      <alignment horizontal="center"/>
    </xf>
    <xf numFmtId="176" fontId="123" fillId="0" borderId="27" xfId="16" applyBorder="1"/>
    <xf numFmtId="176" fontId="150" fillId="0" borderId="27" xfId="16" applyFont="1" applyBorder="1" applyAlignment="1">
      <alignment horizontal="center"/>
    </xf>
    <xf numFmtId="9" fontId="155" fillId="0" borderId="107" xfId="1" applyFont="1" applyFill="1" applyBorder="1" applyAlignment="1">
      <alignment horizontal="center"/>
    </xf>
    <xf numFmtId="9" fontId="155" fillId="0" borderId="108" xfId="1" applyFont="1" applyFill="1" applyBorder="1" applyAlignment="1">
      <alignment horizontal="center"/>
    </xf>
    <xf numFmtId="176" fontId="137" fillId="0" borderId="0" xfId="16" applyFont="1" applyAlignment="1">
      <alignment horizontal="right"/>
    </xf>
    <xf numFmtId="2" fontId="158" fillId="0" borderId="0" xfId="16" applyNumberFormat="1" applyFont="1" applyAlignment="1">
      <alignment wrapText="1"/>
    </xf>
    <xf numFmtId="0" fontId="0" fillId="0" borderId="105" xfId="0" applyBorder="1" applyAlignment="1">
      <alignment horizontal="right"/>
    </xf>
    <xf numFmtId="0" fontId="146" fillId="0" borderId="104" xfId="0" applyFont="1" applyBorder="1" applyAlignment="1">
      <alignment horizontal="center" vertical="center"/>
    </xf>
    <xf numFmtId="4" fontId="0" fillId="0" borderId="100" xfId="0" applyNumberFormat="1" applyBorder="1"/>
    <xf numFmtId="0" fontId="159" fillId="0" borderId="0" xfId="0" applyFont="1" applyAlignment="1"/>
    <xf numFmtId="2" fontId="158" fillId="0" borderId="0" xfId="16" applyNumberFormat="1" applyFont="1" applyAlignment="1">
      <alignment horizontal="right" wrapText="1"/>
    </xf>
    <xf numFmtId="9" fontId="153" fillId="0" borderId="100" xfId="1" applyFont="1" applyFill="1" applyBorder="1" applyAlignment="1">
      <alignment horizontal="center"/>
    </xf>
    <xf numFmtId="9" fontId="153" fillId="0" borderId="108" xfId="1" applyFont="1" applyFill="1" applyBorder="1" applyAlignment="1">
      <alignment horizontal="center"/>
    </xf>
    <xf numFmtId="0" fontId="160" fillId="0" borderId="0" xfId="0" applyFont="1" applyAlignment="1"/>
    <xf numFmtId="0" fontId="161" fillId="0" borderId="0" xfId="0" applyFont="1" applyFill="1"/>
    <xf numFmtId="0" fontId="65" fillId="21" borderId="0" xfId="0" applyFont="1" applyFill="1"/>
    <xf numFmtId="0" fontId="0" fillId="21" borderId="0" xfId="0" applyFill="1"/>
    <xf numFmtId="49" fontId="0" fillId="0" borderId="0" xfId="0" applyNumberFormat="1"/>
    <xf numFmtId="0" fontId="162" fillId="0" borderId="0" xfId="0" applyFont="1"/>
    <xf numFmtId="167" fontId="0" fillId="0" borderId="0" xfId="1" applyNumberFormat="1" applyFont="1"/>
    <xf numFmtId="0" fontId="0" fillId="0" borderId="119" xfId="0" applyBorder="1"/>
    <xf numFmtId="0" fontId="0" fillId="0" borderId="0" xfId="0" applyFill="1" applyBorder="1"/>
    <xf numFmtId="0" fontId="0" fillId="19" borderId="121" xfId="0" applyFill="1" applyBorder="1" applyAlignment="1">
      <alignment horizontal="center" vertical="center"/>
    </xf>
    <xf numFmtId="0" fontId="14" fillId="0" borderId="119" xfId="0" applyFont="1" applyFill="1" applyBorder="1" applyAlignment="1">
      <alignment horizontal="center" vertical="center" wrapText="1"/>
    </xf>
    <xf numFmtId="0" fontId="93" fillId="0" borderId="105" xfId="0" applyFont="1" applyBorder="1"/>
    <xf numFmtId="3" fontId="93" fillId="0" borderId="115" xfId="0" applyNumberFormat="1" applyFont="1" applyBorder="1"/>
    <xf numFmtId="3" fontId="93" fillId="0" borderId="118" xfId="0" applyNumberFormat="1" applyFont="1" applyBorder="1"/>
    <xf numFmtId="3" fontId="93" fillId="0" borderId="117" xfId="0" applyNumberFormat="1" applyFont="1" applyBorder="1"/>
    <xf numFmtId="3" fontId="93" fillId="0" borderId="107" xfId="0" applyNumberFormat="1" applyFont="1" applyBorder="1"/>
    <xf numFmtId="3" fontId="93" fillId="0" borderId="100" xfId="0" applyNumberFormat="1" applyFont="1" applyBorder="1"/>
    <xf numFmtId="3" fontId="93" fillId="0" borderId="108" xfId="0" applyNumberFormat="1" applyFont="1" applyBorder="1"/>
    <xf numFmtId="3" fontId="93" fillId="0" borderId="109" xfId="0" applyNumberFormat="1" applyFont="1" applyBorder="1"/>
    <xf numFmtId="3" fontId="93" fillId="0" borderId="110" xfId="0" applyNumberFormat="1" applyFont="1" applyBorder="1"/>
    <xf numFmtId="3" fontId="93" fillId="0" borderId="111" xfId="0" applyNumberFormat="1" applyFont="1" applyBorder="1"/>
    <xf numFmtId="0" fontId="71" fillId="0" borderId="104" xfId="0" applyFont="1" applyBorder="1" applyAlignment="1">
      <alignment vertical="center"/>
    </xf>
    <xf numFmtId="0" fontId="71" fillId="0" borderId="27" xfId="0" applyFont="1" applyFill="1" applyBorder="1" applyAlignment="1">
      <alignment vertical="center"/>
    </xf>
    <xf numFmtId="0" fontId="0" fillId="0" borderId="29" xfId="0" applyBorder="1" applyAlignment="1"/>
    <xf numFmtId="0" fontId="0" fillId="0" borderId="20" xfId="0" applyFill="1" applyBorder="1"/>
    <xf numFmtId="3" fontId="0" fillId="0" borderId="0" xfId="0" applyNumberFormat="1"/>
    <xf numFmtId="0" fontId="71" fillId="0" borderId="27" xfId="0" applyFont="1" applyBorder="1" applyAlignment="1">
      <alignment vertical="center"/>
    </xf>
    <xf numFmtId="3" fontId="93" fillId="0" borderId="63" xfId="0" applyNumberFormat="1" applyFont="1" applyBorder="1"/>
    <xf numFmtId="3" fontId="93" fillId="0" borderId="122" xfId="0" applyNumberFormat="1" applyFont="1" applyBorder="1"/>
    <xf numFmtId="3" fontId="93" fillId="0" borderId="49" xfId="0" applyNumberFormat="1" applyFont="1" applyBorder="1"/>
    <xf numFmtId="0" fontId="14" fillId="0" borderId="119" xfId="0" applyFont="1" applyFill="1" applyBorder="1" applyAlignment="1">
      <alignment vertical="center" wrapText="1"/>
    </xf>
    <xf numFmtId="0" fontId="14" fillId="0" borderId="123" xfId="0" applyFont="1" applyFill="1" applyBorder="1" applyAlignment="1">
      <alignment horizontal="center" vertical="center" wrapText="1"/>
    </xf>
    <xf numFmtId="0" fontId="65" fillId="0" borderId="112" xfId="0" applyFont="1" applyFill="1" applyBorder="1"/>
    <xf numFmtId="9" fontId="0" fillId="19" borderId="113" xfId="0" applyNumberFormat="1" applyFill="1" applyBorder="1" applyAlignment="1">
      <alignment horizontal="center"/>
    </xf>
    <xf numFmtId="0" fontId="0" fillId="0" borderId="125" xfId="0" applyBorder="1" applyAlignment="1">
      <alignment horizontal="center"/>
    </xf>
    <xf numFmtId="3" fontId="93" fillId="0" borderId="115" xfId="0" applyNumberFormat="1" applyFont="1" applyBorder="1" applyAlignment="1">
      <alignment horizontal="center"/>
    </xf>
    <xf numFmtId="3" fontId="93" fillId="0" borderId="118" xfId="0" applyNumberFormat="1" applyFont="1" applyBorder="1" applyAlignment="1">
      <alignment horizontal="center"/>
    </xf>
    <xf numFmtId="3" fontId="93" fillId="0" borderId="117" xfId="0" applyNumberFormat="1" applyFont="1" applyBorder="1" applyAlignment="1">
      <alignment horizontal="center"/>
    </xf>
    <xf numFmtId="3" fontId="93" fillId="0" borderId="109" xfId="0" applyNumberFormat="1" applyFont="1" applyBorder="1" applyAlignment="1">
      <alignment horizontal="center"/>
    </xf>
    <xf numFmtId="3" fontId="93" fillId="0" borderId="110" xfId="0" applyNumberFormat="1" applyFont="1" applyBorder="1" applyAlignment="1">
      <alignment horizontal="center"/>
    </xf>
    <xf numFmtId="3" fontId="93" fillId="0" borderId="111" xfId="0" applyNumberFormat="1" applyFont="1" applyBorder="1" applyAlignment="1">
      <alignment horizontal="center"/>
    </xf>
    <xf numFmtId="0" fontId="128" fillId="0" borderId="127" xfId="0" applyFont="1" applyBorder="1" applyAlignment="1">
      <alignment horizontal="center" vertical="center" wrapText="1"/>
    </xf>
    <xf numFmtId="0" fontId="128" fillId="0" borderId="128" xfId="0" applyFont="1" applyBorder="1" applyAlignment="1">
      <alignment vertical="center" wrapText="1"/>
    </xf>
    <xf numFmtId="0" fontId="128" fillId="0" borderId="128" xfId="0" applyFont="1" applyBorder="1" applyAlignment="1">
      <alignment horizontal="center" vertical="center" wrapText="1"/>
    </xf>
    <xf numFmtId="0" fontId="159" fillId="0" borderId="0" xfId="0" applyFont="1"/>
    <xf numFmtId="3" fontId="93" fillId="0" borderId="129" xfId="0" applyNumberFormat="1" applyFont="1" applyBorder="1"/>
    <xf numFmtId="3" fontId="93" fillId="0" borderId="119" xfId="0" applyNumberFormat="1" applyFont="1" applyBorder="1"/>
    <xf numFmtId="3" fontId="93" fillId="0" borderId="130" xfId="0" applyNumberFormat="1" applyFont="1" applyBorder="1"/>
    <xf numFmtId="0" fontId="65" fillId="0" borderId="104" xfId="0" applyFont="1" applyFill="1" applyBorder="1"/>
    <xf numFmtId="3" fontId="93" fillId="0" borderId="133" xfId="0" applyNumberFormat="1" applyFont="1" applyBorder="1"/>
    <xf numFmtId="3" fontId="93" fillId="0" borderId="134" xfId="0" applyNumberFormat="1" applyFont="1" applyBorder="1"/>
    <xf numFmtId="0" fontId="71" fillId="0" borderId="34" xfId="0" applyFont="1" applyBorder="1" applyAlignment="1">
      <alignment vertical="center" wrapText="1"/>
    </xf>
    <xf numFmtId="3" fontId="93" fillId="0" borderId="35" xfId="0" applyNumberFormat="1" applyFont="1" applyBorder="1"/>
    <xf numFmtId="3" fontId="93" fillId="0" borderId="36" xfId="0" applyNumberFormat="1" applyFont="1" applyBorder="1"/>
    <xf numFmtId="3" fontId="93" fillId="0" borderId="138" xfId="0" applyNumberFormat="1" applyFont="1" applyBorder="1"/>
    <xf numFmtId="3" fontId="93" fillId="0" borderId="139" xfId="0" applyNumberFormat="1" applyFont="1" applyBorder="1"/>
    <xf numFmtId="3" fontId="93" fillId="0" borderId="140" xfId="0" applyNumberFormat="1" applyFont="1" applyBorder="1"/>
    <xf numFmtId="9" fontId="0" fillId="19" borderId="35" xfId="0" applyNumberFormat="1" applyFill="1" applyBorder="1" applyAlignment="1">
      <alignment horizontal="center"/>
    </xf>
    <xf numFmtId="9" fontId="0" fillId="19" borderId="113" xfId="0" applyNumberFormat="1" applyFill="1" applyBorder="1" applyAlignment="1">
      <alignment horizontal="center" vertical="center"/>
    </xf>
    <xf numFmtId="9" fontId="0" fillId="19" borderId="121" xfId="0" applyNumberFormat="1" applyFill="1" applyBorder="1" applyAlignment="1">
      <alignment horizontal="center" vertical="center"/>
    </xf>
    <xf numFmtId="0" fontId="0" fillId="0" borderId="110" xfId="0" applyBorder="1" applyAlignment="1">
      <alignment horizontal="center" vertical="center"/>
    </xf>
    <xf numFmtId="0" fontId="0" fillId="0" borderId="141" xfId="0" applyBorder="1"/>
    <xf numFmtId="0" fontId="71" fillId="0" borderId="48" xfId="0" applyFont="1" applyBorder="1" applyAlignment="1">
      <alignment vertical="center" wrapText="1"/>
    </xf>
    <xf numFmtId="0" fontId="0" fillId="0" borderId="72" xfId="0" applyBorder="1" applyAlignment="1">
      <alignment horizontal="center"/>
    </xf>
    <xf numFmtId="3" fontId="93" fillId="0" borderId="34" xfId="0" applyNumberFormat="1" applyFont="1" applyBorder="1" applyAlignment="1">
      <alignment horizontal="center"/>
    </xf>
    <xf numFmtId="3" fontId="93" fillId="0" borderId="35" xfId="0" applyNumberFormat="1" applyFont="1" applyBorder="1" applyAlignment="1">
      <alignment horizontal="center"/>
    </xf>
    <xf numFmtId="3" fontId="93" fillId="0" borderId="36" xfId="0" applyNumberFormat="1" applyFont="1" applyBorder="1" applyAlignment="1">
      <alignment horizontal="center"/>
    </xf>
    <xf numFmtId="3" fontId="93" fillId="0" borderId="107" xfId="0" applyNumberFormat="1" applyFont="1" applyBorder="1" applyAlignment="1">
      <alignment horizontal="center"/>
    </xf>
    <xf numFmtId="3" fontId="93" fillId="0" borderId="100" xfId="0" applyNumberFormat="1" applyFont="1" applyBorder="1" applyAlignment="1">
      <alignment horizontal="center"/>
    </xf>
    <xf numFmtId="3" fontId="93" fillId="0" borderId="108" xfId="0" applyNumberFormat="1" applyFont="1" applyBorder="1" applyAlignment="1">
      <alignment horizontal="center"/>
    </xf>
    <xf numFmtId="3" fontId="93" fillId="0" borderId="129" xfId="0" applyNumberFormat="1" applyFont="1" applyBorder="1" applyAlignment="1">
      <alignment horizontal="center"/>
    </xf>
    <xf numFmtId="3" fontId="93" fillId="0" borderId="119" xfId="0" applyNumberFormat="1" applyFont="1" applyBorder="1" applyAlignment="1">
      <alignment horizontal="center"/>
    </xf>
    <xf numFmtId="3" fontId="93" fillId="0" borderId="130" xfId="0" applyNumberFormat="1" applyFont="1" applyBorder="1" applyAlignment="1">
      <alignment horizontal="center"/>
    </xf>
    <xf numFmtId="0" fontId="71" fillId="0" borderId="112" xfId="0" applyFont="1" applyBorder="1" applyAlignment="1">
      <alignment vertical="center" wrapText="1"/>
    </xf>
    <xf numFmtId="0" fontId="71" fillId="0" borderId="138" xfId="0" applyFont="1" applyFill="1" applyBorder="1" applyAlignment="1">
      <alignment vertical="center" wrapText="1"/>
    </xf>
    <xf numFmtId="0" fontId="0" fillId="0" borderId="139" xfId="0" applyBorder="1" applyAlignment="1">
      <alignment horizontal="center"/>
    </xf>
    <xf numFmtId="3" fontId="93" fillId="0" borderId="139" xfId="0" applyNumberFormat="1" applyFont="1" applyBorder="1" applyAlignment="1">
      <alignment horizontal="center"/>
    </xf>
    <xf numFmtId="3" fontId="93" fillId="0" borderId="140" xfId="0" applyNumberFormat="1" applyFont="1" applyBorder="1" applyAlignment="1">
      <alignment horizontal="center"/>
    </xf>
    <xf numFmtId="0" fontId="0" fillId="0" borderId="140" xfId="0" applyBorder="1" applyAlignment="1">
      <alignment horizontal="center"/>
    </xf>
    <xf numFmtId="3" fontId="93" fillId="0" borderId="138" xfId="0" applyNumberFormat="1" applyFont="1" applyBorder="1" applyAlignment="1">
      <alignment horizontal="center"/>
    </xf>
    <xf numFmtId="3" fontId="93" fillId="0" borderId="112" xfId="0" applyNumberFormat="1" applyFont="1" applyBorder="1" applyAlignment="1">
      <alignment horizontal="center" vertical="center"/>
    </xf>
    <xf numFmtId="3" fontId="93" fillId="0" borderId="122" xfId="0" applyNumberFormat="1" applyFont="1" applyBorder="1" applyAlignment="1">
      <alignment horizontal="center" vertical="center"/>
    </xf>
    <xf numFmtId="3" fontId="93" fillId="0" borderId="138" xfId="0" applyNumberFormat="1" applyFont="1" applyBorder="1" applyAlignment="1">
      <alignment horizontal="center" vertical="center"/>
    </xf>
    <xf numFmtId="3" fontId="93" fillId="0" borderId="139" xfId="0" applyNumberFormat="1" applyFont="1" applyBorder="1" applyAlignment="1">
      <alignment horizontal="center" vertical="center"/>
    </xf>
    <xf numFmtId="3" fontId="93" fillId="0" borderId="140" xfId="0" applyNumberFormat="1" applyFont="1" applyBorder="1" applyAlignment="1">
      <alignment horizontal="center" vertical="center"/>
    </xf>
    <xf numFmtId="3" fontId="93" fillId="0" borderId="109" xfId="0" applyNumberFormat="1" applyFont="1" applyBorder="1" applyAlignment="1">
      <alignment horizontal="center" vertical="center"/>
    </xf>
    <xf numFmtId="3" fontId="93" fillId="0" borderId="110" xfId="0" applyNumberFormat="1" applyFont="1" applyBorder="1" applyAlignment="1">
      <alignment horizontal="center" vertical="center"/>
    </xf>
    <xf numFmtId="3" fontId="93" fillId="0" borderId="111" xfId="0" applyNumberFormat="1" applyFont="1" applyBorder="1" applyAlignment="1">
      <alignment horizontal="center" vertical="center"/>
    </xf>
    <xf numFmtId="0" fontId="71" fillId="0" borderId="124" xfId="0" applyFont="1" applyFill="1" applyBorder="1" applyAlignment="1">
      <alignment vertical="center" wrapText="1"/>
    </xf>
    <xf numFmtId="0" fontId="71" fillId="0" borderId="141" xfId="0" applyFont="1" applyBorder="1" applyAlignment="1">
      <alignment vertical="center" wrapText="1"/>
    </xf>
    <xf numFmtId="0" fontId="65" fillId="0" borderId="142" xfId="0" applyFont="1" applyFill="1" applyBorder="1"/>
    <xf numFmtId="3" fontId="93" fillId="0" borderId="133" xfId="0" applyNumberFormat="1" applyFont="1" applyBorder="1" applyAlignment="1">
      <alignment horizontal="center" vertical="center"/>
    </xf>
    <xf numFmtId="3" fontId="93" fillId="0" borderId="134" xfId="0" applyNumberFormat="1" applyFont="1" applyBorder="1" applyAlignment="1">
      <alignment horizontal="center" vertical="center"/>
    </xf>
    <xf numFmtId="3" fontId="93" fillId="0" borderId="122" xfId="0" applyNumberFormat="1" applyFont="1" applyBorder="1" applyAlignment="1">
      <alignment horizontal="center"/>
    </xf>
    <xf numFmtId="3" fontId="93" fillId="0" borderId="34" xfId="0" applyNumberFormat="1" applyFont="1" applyBorder="1" applyAlignment="1">
      <alignment horizontal="center" vertical="center"/>
    </xf>
    <xf numFmtId="3" fontId="93" fillId="0" borderId="35" xfId="0" applyNumberFormat="1" applyFont="1" applyBorder="1" applyAlignment="1">
      <alignment horizontal="center" vertical="center"/>
    </xf>
    <xf numFmtId="3" fontId="93" fillId="0" borderId="36" xfId="0" applyNumberFormat="1" applyFont="1" applyBorder="1" applyAlignment="1">
      <alignment horizontal="center" vertical="center"/>
    </xf>
    <xf numFmtId="3" fontId="93" fillId="0" borderId="113" xfId="0" applyNumberFormat="1" applyFont="1" applyBorder="1" applyAlignment="1">
      <alignment horizontal="center" vertical="center"/>
    </xf>
    <xf numFmtId="3" fontId="93" fillId="0" borderId="114" xfId="0" applyNumberFormat="1" applyFont="1" applyBorder="1" applyAlignment="1">
      <alignment horizontal="center" vertical="center"/>
    </xf>
    <xf numFmtId="0" fontId="0" fillId="0" borderId="135" xfId="0" applyBorder="1" applyAlignment="1">
      <alignment horizontal="center" vertical="center"/>
    </xf>
    <xf numFmtId="0" fontId="0" fillId="0" borderId="125" xfId="0" applyBorder="1" applyAlignment="1">
      <alignment horizontal="center" vertical="center"/>
    </xf>
    <xf numFmtId="0" fontId="0" fillId="0" borderId="116" xfId="0" applyBorder="1" applyAlignment="1">
      <alignment horizontal="center" vertical="center"/>
    </xf>
    <xf numFmtId="0" fontId="0" fillId="0" borderId="94" xfId="0" applyBorder="1" applyAlignment="1">
      <alignment horizontal="center" vertical="center"/>
    </xf>
    <xf numFmtId="0" fontId="0" fillId="0" borderId="72" xfId="0" applyBorder="1" applyAlignment="1">
      <alignment horizontal="center" vertical="center"/>
    </xf>
    <xf numFmtId="0" fontId="0" fillId="0" borderId="132" xfId="0" applyBorder="1" applyAlignment="1">
      <alignment horizontal="center" vertical="center"/>
    </xf>
    <xf numFmtId="0" fontId="71" fillId="0" borderId="119" xfId="0" applyFont="1" applyBorder="1" applyAlignment="1">
      <alignment vertical="center" wrapText="1"/>
    </xf>
    <xf numFmtId="0" fontId="0" fillId="0" borderId="136" xfId="0" applyBorder="1" applyAlignment="1">
      <alignment horizontal="center" vertical="center"/>
    </xf>
    <xf numFmtId="3" fontId="93" fillId="0" borderId="121" xfId="0" applyNumberFormat="1" applyFont="1" applyBorder="1" applyAlignment="1">
      <alignment horizontal="center" vertical="center"/>
    </xf>
    <xf numFmtId="3" fontId="93" fillId="0" borderId="136" xfId="0" applyNumberFormat="1" applyFont="1" applyBorder="1" applyAlignment="1">
      <alignment horizontal="center" vertical="center"/>
    </xf>
    <xf numFmtId="3" fontId="93" fillId="0" borderId="126" xfId="0" applyNumberFormat="1" applyFont="1" applyBorder="1" applyAlignment="1">
      <alignment horizontal="center" vertical="center"/>
    </xf>
    <xf numFmtId="3" fontId="93" fillId="0" borderId="137" xfId="0" applyNumberFormat="1" applyFont="1" applyBorder="1" applyAlignment="1">
      <alignment horizontal="center" vertical="center"/>
    </xf>
    <xf numFmtId="0" fontId="76" fillId="0" borderId="34" xfId="0" applyFont="1" applyBorder="1"/>
    <xf numFmtId="0" fontId="76" fillId="0" borderId="35" xfId="0" applyFont="1" applyBorder="1" applyAlignment="1">
      <alignment horizontal="center"/>
    </xf>
    <xf numFmtId="0" fontId="76" fillId="0" borderId="72" xfId="0" applyFont="1" applyBorder="1" applyAlignment="1">
      <alignment horizontal="center" vertical="center"/>
    </xf>
    <xf numFmtId="3" fontId="163" fillId="0" borderId="34" xfId="0" applyNumberFormat="1" applyFont="1" applyBorder="1" applyAlignment="1">
      <alignment horizontal="center" vertical="center"/>
    </xf>
    <xf numFmtId="3" fontId="163" fillId="0" borderId="35" xfId="0" applyNumberFormat="1" applyFont="1" applyBorder="1" applyAlignment="1">
      <alignment horizontal="center" vertical="center"/>
    </xf>
    <xf numFmtId="3" fontId="163" fillId="0" borderId="36" xfId="0" applyNumberFormat="1" applyFont="1" applyBorder="1" applyAlignment="1">
      <alignment horizontal="center" vertical="center"/>
    </xf>
    <xf numFmtId="3" fontId="93" fillId="0" borderId="63" xfId="0" applyNumberFormat="1" applyFont="1" applyBorder="1" applyAlignment="1">
      <alignment horizontal="center"/>
    </xf>
    <xf numFmtId="3" fontId="93" fillId="0" borderId="49" xfId="0" applyNumberFormat="1" applyFont="1" applyBorder="1" applyAlignment="1">
      <alignment horizontal="center"/>
    </xf>
    <xf numFmtId="0" fontId="76" fillId="0" borderId="0" xfId="0" applyFont="1"/>
    <xf numFmtId="0" fontId="76" fillId="17" borderId="0" xfId="0" applyFont="1" applyFill="1"/>
    <xf numFmtId="0" fontId="76" fillId="0" borderId="94" xfId="0" applyFont="1" applyBorder="1" applyAlignment="1">
      <alignment horizontal="center" vertical="center"/>
    </xf>
    <xf numFmtId="3" fontId="163" fillId="0" borderId="48" xfId="0" applyNumberFormat="1" applyFont="1" applyBorder="1" applyAlignment="1">
      <alignment horizontal="center" vertical="center"/>
    </xf>
    <xf numFmtId="3" fontId="163" fillId="0" borderId="64" xfId="0" applyNumberFormat="1" applyFont="1" applyBorder="1" applyAlignment="1">
      <alignment horizontal="center" vertical="center"/>
    </xf>
    <xf numFmtId="3" fontId="163" fillId="0" borderId="65" xfId="0" applyNumberFormat="1" applyFont="1" applyBorder="1" applyAlignment="1">
      <alignment horizontal="center" vertical="center"/>
    </xf>
    <xf numFmtId="0" fontId="76" fillId="21" borderId="0" xfId="0" applyFont="1" applyFill="1"/>
    <xf numFmtId="0" fontId="0" fillId="19" borderId="64" xfId="0" applyFill="1" applyBorder="1" applyAlignment="1">
      <alignment horizontal="center" vertical="center"/>
    </xf>
    <xf numFmtId="0" fontId="0" fillId="19" borderId="113" xfId="0" applyFill="1" applyBorder="1" applyAlignment="1">
      <alignment horizontal="center" vertical="center"/>
    </xf>
    <xf numFmtId="0" fontId="0" fillId="19" borderId="139" xfId="0" applyFill="1" applyBorder="1" applyAlignment="1">
      <alignment horizontal="center" vertical="center"/>
    </xf>
    <xf numFmtId="0" fontId="0" fillId="19" borderId="35" xfId="0" applyFill="1" applyBorder="1" applyAlignment="1">
      <alignment horizontal="center" vertical="center"/>
    </xf>
    <xf numFmtId="0" fontId="0" fillId="19" borderId="122" xfId="0" applyFill="1" applyBorder="1" applyAlignment="1">
      <alignment horizontal="center" vertical="center"/>
    </xf>
    <xf numFmtId="0" fontId="93" fillId="0" borderId="59" xfId="0" applyFont="1" applyBorder="1"/>
    <xf numFmtId="0" fontId="81" fillId="0" borderId="139" xfId="0" applyFont="1" applyBorder="1" applyAlignment="1">
      <alignment vertical="center" wrapText="1"/>
    </xf>
    <xf numFmtId="0" fontId="65" fillId="0" borderId="34" xfId="0" applyFont="1" applyFill="1" applyBorder="1"/>
    <xf numFmtId="0" fontId="81" fillId="0" borderId="110" xfId="0" applyFont="1" applyBorder="1" applyAlignment="1">
      <alignment vertical="center" wrapText="1"/>
    </xf>
    <xf numFmtId="0" fontId="164" fillId="0" borderId="0" xfId="0" applyFont="1" applyAlignment="1"/>
    <xf numFmtId="0" fontId="71" fillId="0" borderId="29" xfId="0" applyFont="1" applyBorder="1" applyAlignment="1">
      <alignment vertical="center"/>
    </xf>
    <xf numFmtId="3" fontId="18" fillId="0" borderId="0" xfId="0" applyNumberFormat="1" applyFont="1"/>
    <xf numFmtId="0" fontId="18" fillId="21" borderId="0" xfId="0" applyFont="1" applyFill="1"/>
    <xf numFmtId="3" fontId="93" fillId="0" borderId="61" xfId="0" applyNumberFormat="1" applyFont="1" applyBorder="1"/>
    <xf numFmtId="0" fontId="81" fillId="0" borderId="58" xfId="0" applyFont="1" applyBorder="1" applyAlignment="1">
      <alignment vertical="center" wrapText="1"/>
    </xf>
    <xf numFmtId="0" fontId="76" fillId="0" borderId="48" xfId="0" applyFont="1" applyBorder="1"/>
    <xf numFmtId="0" fontId="0" fillId="0" borderId="109" xfId="0" applyBorder="1" applyAlignment="1">
      <alignment horizontal="center" vertical="center"/>
    </xf>
    <xf numFmtId="0" fontId="0" fillId="0" borderId="111" xfId="0" applyBorder="1" applyAlignment="1">
      <alignment horizontal="center" vertical="center"/>
    </xf>
    <xf numFmtId="0" fontId="0" fillId="0" borderId="138" xfId="0" applyBorder="1" applyAlignment="1">
      <alignment horizontal="center"/>
    </xf>
    <xf numFmtId="9" fontId="0" fillId="19" borderId="100" xfId="1" applyFont="1" applyFill="1" applyBorder="1" applyAlignment="1">
      <alignment horizontal="center" vertical="center"/>
    </xf>
    <xf numFmtId="9" fontId="0" fillId="19" borderId="108" xfId="1" applyFont="1" applyFill="1" applyBorder="1" applyAlignment="1">
      <alignment horizontal="center" vertical="center"/>
    </xf>
    <xf numFmtId="0" fontId="0" fillId="19" borderId="139" xfId="0" applyFill="1" applyBorder="1" applyAlignment="1">
      <alignment horizontal="center"/>
    </xf>
    <xf numFmtId="0" fontId="0" fillId="19" borderId="35" xfId="0" applyFill="1" applyBorder="1" applyAlignment="1">
      <alignment horizontal="center"/>
    </xf>
    <xf numFmtId="0" fontId="0" fillId="21" borderId="0" xfId="0" applyFill="1" applyAlignment="1">
      <alignment horizontal="left"/>
    </xf>
    <xf numFmtId="0" fontId="0" fillId="18" borderId="100" xfId="0" applyFill="1" applyBorder="1" applyAlignment="1">
      <alignment horizontal="center"/>
    </xf>
    <xf numFmtId="0" fontId="0" fillId="0" borderId="25" xfId="0" applyBorder="1" applyAlignment="1">
      <alignment horizontal="left"/>
    </xf>
    <xf numFmtId="0" fontId="0" fillId="0" borderId="105" xfId="0" applyBorder="1" applyAlignment="1">
      <alignment horizontal="center"/>
    </xf>
    <xf numFmtId="0" fontId="0" fillId="0" borderId="123" xfId="0" applyBorder="1" applyAlignment="1">
      <alignment horizontal="center"/>
    </xf>
    <xf numFmtId="0" fontId="0" fillId="0" borderId="138" xfId="0" applyBorder="1" applyAlignment="1">
      <alignment wrapText="1"/>
    </xf>
    <xf numFmtId="0" fontId="0" fillId="0" borderId="109" xfId="0" applyBorder="1" applyAlignment="1">
      <alignment wrapText="1"/>
    </xf>
    <xf numFmtId="4" fontId="0" fillId="0" borderId="0" xfId="0" applyNumberFormat="1" applyBorder="1" applyAlignment="1">
      <alignment horizontal="center"/>
    </xf>
    <xf numFmtId="4" fontId="0" fillId="0" borderId="0" xfId="0" applyNumberFormat="1" applyBorder="1"/>
    <xf numFmtId="0" fontId="18" fillId="0" borderId="0" xfId="0" quotePrefix="1" applyFont="1" applyFill="1"/>
    <xf numFmtId="0" fontId="73" fillId="0" borderId="0" xfId="0" applyFont="1"/>
    <xf numFmtId="0" fontId="124" fillId="33" borderId="0" xfId="0" applyFont="1" applyFill="1" applyBorder="1" applyAlignment="1">
      <alignment horizontal="center"/>
    </xf>
    <xf numFmtId="0" fontId="124" fillId="33" borderId="0" xfId="0" applyFont="1" applyFill="1" applyBorder="1" applyAlignment="1">
      <alignment wrapText="1"/>
    </xf>
    <xf numFmtId="0" fontId="18" fillId="0" borderId="0" xfId="0" applyFont="1" applyFill="1" applyBorder="1" applyAlignment="1">
      <alignment horizontal="center"/>
    </xf>
    <xf numFmtId="0" fontId="65" fillId="0" borderId="0" xfId="0" applyFont="1" applyFill="1" applyBorder="1" applyAlignment="1">
      <alignment wrapText="1"/>
    </xf>
    <xf numFmtId="0" fontId="5" fillId="0" borderId="100" xfId="0" applyFont="1" applyBorder="1"/>
    <xf numFmtId="0" fontId="5" fillId="19" borderId="100" xfId="0" applyFont="1" applyFill="1" applyBorder="1"/>
    <xf numFmtId="9" fontId="0" fillId="19" borderId="113" xfId="0" applyNumberFormat="1" applyFill="1" applyBorder="1" applyAlignment="1">
      <alignment horizontal="center" vertical="center"/>
    </xf>
    <xf numFmtId="9" fontId="0" fillId="19" borderId="64" xfId="0" applyNumberFormat="1" applyFill="1" applyBorder="1" applyAlignment="1">
      <alignment horizontal="center" vertical="center"/>
    </xf>
    <xf numFmtId="0" fontId="131" fillId="0" borderId="0" xfId="0" applyFont="1" applyFill="1" applyBorder="1"/>
    <xf numFmtId="9" fontId="0" fillId="0" borderId="0" xfId="0" applyNumberFormat="1"/>
    <xf numFmtId="0" fontId="0" fillId="0" borderId="107" xfId="0" applyBorder="1" applyAlignment="1">
      <alignment wrapText="1"/>
    </xf>
    <xf numFmtId="9" fontId="0" fillId="19" borderId="138" xfId="1" applyFont="1" applyFill="1" applyBorder="1" applyAlignment="1">
      <alignment horizontal="center"/>
    </xf>
    <xf numFmtId="9" fontId="0" fillId="19" borderId="139" xfId="1" applyFont="1" applyFill="1" applyBorder="1" applyAlignment="1">
      <alignment horizontal="center"/>
    </xf>
    <xf numFmtId="9" fontId="0" fillId="19" borderId="140" xfId="1" applyFont="1" applyFill="1" applyBorder="1" applyAlignment="1">
      <alignment horizontal="center"/>
    </xf>
    <xf numFmtId="4" fontId="0" fillId="0" borderId="7" xfId="0" applyNumberFormat="1" applyBorder="1" applyAlignment="1">
      <alignment horizontal="center"/>
    </xf>
    <xf numFmtId="9" fontId="72" fillId="19" borderId="107" xfId="1" applyFont="1" applyFill="1" applyBorder="1" applyAlignment="1">
      <alignment horizontal="center"/>
    </xf>
    <xf numFmtId="9" fontId="72" fillId="19" borderId="100" xfId="1" applyFont="1" applyFill="1" applyBorder="1" applyAlignment="1">
      <alignment horizontal="center"/>
    </xf>
    <xf numFmtId="9" fontId="72" fillId="19" borderId="108" xfId="1" applyFont="1" applyFill="1" applyBorder="1" applyAlignment="1">
      <alignment horizontal="center"/>
    </xf>
    <xf numFmtId="9" fontId="0" fillId="19" borderId="107" xfId="1" applyFont="1" applyFill="1" applyBorder="1" applyAlignment="1">
      <alignment horizontal="center"/>
    </xf>
    <xf numFmtId="9" fontId="0" fillId="19" borderId="100" xfId="1" applyFont="1" applyFill="1" applyBorder="1" applyAlignment="1">
      <alignment horizontal="center"/>
    </xf>
    <xf numFmtId="9" fontId="0" fillId="19" borderId="108" xfId="1" applyFont="1" applyFill="1" applyBorder="1" applyAlignment="1">
      <alignment horizontal="center"/>
    </xf>
    <xf numFmtId="9" fontId="0" fillId="19" borderId="109" xfId="1" applyFont="1" applyFill="1" applyBorder="1" applyAlignment="1">
      <alignment horizontal="center"/>
    </xf>
    <xf numFmtId="9" fontId="0" fillId="19" borderId="110" xfId="1" applyFont="1" applyFill="1" applyBorder="1" applyAlignment="1">
      <alignment horizontal="center"/>
    </xf>
    <xf numFmtId="9" fontId="0" fillId="19" borderId="111" xfId="1" applyFont="1" applyFill="1" applyBorder="1" applyAlignment="1">
      <alignment horizontal="center"/>
    </xf>
    <xf numFmtId="0" fontId="0" fillId="0" borderId="58" xfId="0" applyBorder="1"/>
    <xf numFmtId="0" fontId="71" fillId="19" borderId="104" xfId="0" applyFont="1" applyFill="1" applyBorder="1" applyAlignment="1">
      <alignment vertical="center"/>
    </xf>
    <xf numFmtId="0" fontId="71" fillId="19" borderId="27" xfId="0" applyFont="1" applyFill="1" applyBorder="1" applyAlignment="1">
      <alignment vertical="center"/>
    </xf>
    <xf numFmtId="0" fontId="0" fillId="19" borderId="29" xfId="0" applyFill="1" applyBorder="1" applyAlignment="1"/>
    <xf numFmtId="0" fontId="0" fillId="19" borderId="27" xfId="0" applyFill="1" applyBorder="1"/>
    <xf numFmtId="0" fontId="0" fillId="0" borderId="143" xfId="0" applyBorder="1" applyAlignment="1">
      <alignment horizontal="center" vertical="center"/>
    </xf>
    <xf numFmtId="0" fontId="76" fillId="0" borderId="35" xfId="0" applyFont="1" applyFill="1" applyBorder="1" applyAlignment="1">
      <alignment horizontal="center" vertical="center"/>
    </xf>
    <xf numFmtId="3" fontId="0" fillId="0" borderId="139" xfId="0" applyNumberFormat="1" applyBorder="1" applyAlignment="1">
      <alignment horizontal="center"/>
    </xf>
    <xf numFmtId="3" fontId="0" fillId="0" borderId="140" xfId="0" applyNumberFormat="1" applyBorder="1" applyAlignment="1">
      <alignment horizontal="center"/>
    </xf>
    <xf numFmtId="3" fontId="0" fillId="0" borderId="100" xfId="0" applyNumberFormat="1" applyBorder="1" applyAlignment="1">
      <alignment horizontal="center"/>
    </xf>
    <xf numFmtId="3" fontId="0" fillId="0" borderId="108" xfId="0" applyNumberFormat="1" applyBorder="1" applyAlignment="1">
      <alignment horizontal="center"/>
    </xf>
    <xf numFmtId="3" fontId="0" fillId="0" borderId="110" xfId="0" applyNumberFormat="1" applyBorder="1" applyAlignment="1">
      <alignment horizontal="center"/>
    </xf>
    <xf numFmtId="3" fontId="0" fillId="0" borderId="111" xfId="0" applyNumberFormat="1" applyBorder="1" applyAlignment="1">
      <alignment horizontal="center"/>
    </xf>
    <xf numFmtId="0" fontId="72" fillId="0" borderId="0" xfId="0" applyFont="1"/>
    <xf numFmtId="0" fontId="72" fillId="0" borderId="7" xfId="0" applyFont="1" applyBorder="1"/>
    <xf numFmtId="0" fontId="72" fillId="0" borderId="7" xfId="0" applyFont="1" applyBorder="1" applyAlignment="1">
      <alignment horizontal="center"/>
    </xf>
    <xf numFmtId="14" fontId="72" fillId="0" borderId="7" xfId="0" applyNumberFormat="1" applyFont="1" applyBorder="1"/>
    <xf numFmtId="0" fontId="0" fillId="0" borderId="133" xfId="0" applyBorder="1" applyAlignment="1">
      <alignment wrapText="1"/>
    </xf>
    <xf numFmtId="3" fontId="0" fillId="0" borderId="122" xfId="0" applyNumberFormat="1" applyBorder="1" applyAlignment="1">
      <alignment horizontal="center"/>
    </xf>
    <xf numFmtId="3" fontId="0" fillId="0" borderId="134" xfId="0" applyNumberFormat="1" applyBorder="1" applyAlignment="1">
      <alignment horizontal="center"/>
    </xf>
    <xf numFmtId="9" fontId="0" fillId="19" borderId="133" xfId="1" applyFont="1" applyFill="1" applyBorder="1" applyAlignment="1">
      <alignment horizontal="center"/>
    </xf>
    <xf numFmtId="9" fontId="0" fillId="19" borderId="122" xfId="1" applyFont="1" applyFill="1" applyBorder="1" applyAlignment="1">
      <alignment horizontal="center"/>
    </xf>
    <xf numFmtId="9" fontId="0" fillId="19" borderId="134" xfId="1" applyFont="1" applyFill="1" applyBorder="1" applyAlignment="1">
      <alignment horizontal="center"/>
    </xf>
    <xf numFmtId="0" fontId="165" fillId="0" borderId="0" xfId="2" applyFont="1" applyProtection="1"/>
    <xf numFmtId="0" fontId="73" fillId="0" borderId="0" xfId="0" applyFont="1" applyProtection="1"/>
    <xf numFmtId="0" fontId="69" fillId="0" borderId="0" xfId="0" applyFont="1" applyProtection="1"/>
    <xf numFmtId="0" fontId="0" fillId="0" borderId="0" xfId="0" applyBorder="1" applyAlignment="1" applyProtection="1">
      <alignment horizontal="left"/>
    </xf>
    <xf numFmtId="0" fontId="28" fillId="0" borderId="0" xfId="0" applyFont="1" applyFill="1" applyProtection="1"/>
    <xf numFmtId="0" fontId="54" fillId="0" borderId="0" xfId="0" applyFont="1" applyFill="1" applyProtection="1"/>
    <xf numFmtId="0" fontId="166" fillId="0" borderId="0" xfId="0" applyFont="1" applyFill="1" applyProtection="1"/>
    <xf numFmtId="0" fontId="166" fillId="0" borderId="0" xfId="0" applyFont="1" applyFill="1" applyAlignment="1" applyProtection="1">
      <alignment horizontal="left"/>
    </xf>
    <xf numFmtId="0" fontId="46" fillId="0" borderId="0" xfId="0" applyFont="1" applyAlignment="1" applyProtection="1">
      <alignment horizontal="center" vertical="center"/>
    </xf>
    <xf numFmtId="0" fontId="46" fillId="13" borderId="0" xfId="0" applyFont="1" applyFill="1" applyBorder="1" applyAlignment="1" applyProtection="1">
      <alignment horizontal="center" vertical="center"/>
    </xf>
    <xf numFmtId="0" fontId="28" fillId="16" borderId="0" xfId="0" applyFont="1" applyFill="1" applyProtection="1"/>
    <xf numFmtId="0" fontId="166" fillId="0" borderId="0" xfId="0" applyFont="1" applyFill="1" applyAlignment="1" applyProtection="1">
      <alignment horizontal="center"/>
    </xf>
    <xf numFmtId="0" fontId="0" fillId="7" borderId="106" xfId="0" applyFill="1" applyBorder="1" applyProtection="1"/>
    <xf numFmtId="0" fontId="0" fillId="7" borderId="145" xfId="0" applyFill="1" applyBorder="1" applyProtection="1"/>
    <xf numFmtId="9" fontId="0" fillId="7" borderId="144" xfId="1" applyFont="1" applyFill="1" applyBorder="1" applyProtection="1"/>
    <xf numFmtId="0" fontId="0" fillId="7" borderId="145" xfId="0" applyFill="1" applyBorder="1" applyAlignment="1" applyProtection="1">
      <alignment horizontal="left"/>
    </xf>
    <xf numFmtId="0" fontId="167" fillId="0" borderId="0" xfId="0" applyFont="1" applyProtection="1"/>
    <xf numFmtId="0" fontId="0" fillId="19" borderId="106" xfId="0" applyFill="1" applyBorder="1" applyProtection="1"/>
    <xf numFmtId="0" fontId="0" fillId="19" borderId="145" xfId="0" applyFill="1" applyBorder="1" applyProtection="1"/>
    <xf numFmtId="0" fontId="0" fillId="19" borderId="145" xfId="0" applyFill="1" applyBorder="1" applyAlignment="1" applyProtection="1">
      <alignment horizontal="left"/>
    </xf>
    <xf numFmtId="9" fontId="0" fillId="19" borderId="144" xfId="1" applyFont="1" applyFill="1" applyBorder="1" applyProtection="1"/>
    <xf numFmtId="2" fontId="0" fillId="19" borderId="144" xfId="1" applyNumberFormat="1" applyFont="1" applyFill="1" applyBorder="1" applyProtection="1"/>
    <xf numFmtId="0" fontId="69" fillId="0" borderId="0" xfId="0" applyFont="1"/>
    <xf numFmtId="0" fontId="0" fillId="0" borderId="138" xfId="0" applyFill="1" applyBorder="1" applyAlignment="1">
      <alignment horizontal="center"/>
    </xf>
    <xf numFmtId="0" fontId="0" fillId="0" borderId="139" xfId="0" applyFill="1" applyBorder="1" applyAlignment="1">
      <alignment horizontal="center" vertical="center"/>
    </xf>
    <xf numFmtId="0" fontId="0" fillId="0" borderId="140" xfId="0" applyFill="1" applyBorder="1" applyAlignment="1">
      <alignment horizontal="center" vertical="center"/>
    </xf>
    <xf numFmtId="3" fontId="69" fillId="0" borderId="0" xfId="0" applyNumberFormat="1" applyFont="1"/>
    <xf numFmtId="3" fontId="69" fillId="0" borderId="0" xfId="0" applyNumberFormat="1" applyFont="1" applyAlignment="1">
      <alignment horizontal="center"/>
    </xf>
    <xf numFmtId="0" fontId="18" fillId="0" borderId="0" xfId="0" applyFont="1" applyAlignment="1">
      <alignment horizontal="center" vertical="center"/>
    </xf>
    <xf numFmtId="0" fontId="0" fillId="0" borderId="0" xfId="0" applyAlignment="1">
      <alignment horizontal="center" vertical="center"/>
    </xf>
    <xf numFmtId="4" fontId="0" fillId="0" borderId="100" xfId="0" applyNumberFormat="1" applyBorder="1" applyAlignment="1">
      <alignment horizontal="center" vertical="center"/>
    </xf>
    <xf numFmtId="0" fontId="0" fillId="19" borderId="38" xfId="0" applyFill="1" applyBorder="1" applyProtection="1"/>
    <xf numFmtId="0" fontId="0" fillId="19" borderId="0" xfId="0" applyFill="1" applyBorder="1" applyProtection="1"/>
    <xf numFmtId="0" fontId="0" fillId="37" borderId="0" xfId="0" applyFill="1"/>
    <xf numFmtId="0" fontId="0" fillId="37" borderId="0" xfId="0" applyFill="1" applyProtection="1"/>
    <xf numFmtId="0" fontId="0" fillId="37" borderId="0" xfId="0" applyFill="1" applyAlignment="1" applyProtection="1">
      <alignment horizontal="left"/>
    </xf>
    <xf numFmtId="4" fontId="63" fillId="0" borderId="0" xfId="0" applyNumberFormat="1" applyFont="1" applyFill="1" applyBorder="1" applyAlignment="1">
      <alignment horizontal="center" vertical="center"/>
    </xf>
    <xf numFmtId="4" fontId="65" fillId="0" borderId="0" xfId="0" applyNumberFormat="1" applyFont="1" applyFill="1" applyBorder="1" applyAlignment="1">
      <alignment horizontal="center" vertical="center" wrapText="1"/>
    </xf>
    <xf numFmtId="9" fontId="0" fillId="0" borderId="0" xfId="1" applyFont="1"/>
    <xf numFmtId="0" fontId="0" fillId="19" borderId="0" xfId="0" applyFill="1" applyBorder="1" applyAlignment="1" applyProtection="1">
      <alignment horizontal="left"/>
    </xf>
    <xf numFmtId="9" fontId="0" fillId="19" borderId="0" xfId="1" applyFont="1" applyFill="1" applyBorder="1" applyProtection="1"/>
    <xf numFmtId="0" fontId="69" fillId="0" borderId="0" xfId="0" applyFont="1" applyAlignment="1">
      <alignment vertical="center"/>
    </xf>
    <xf numFmtId="0" fontId="0" fillId="0" borderId="100" xfId="0" applyBorder="1" applyAlignment="1">
      <alignment vertical="center"/>
    </xf>
    <xf numFmtId="3" fontId="168" fillId="0" borderId="7" xfId="3" applyNumberFormat="1" applyFont="1" applyBorder="1" applyAlignment="1">
      <alignment horizontal="right" wrapText="1"/>
    </xf>
    <xf numFmtId="0" fontId="37" fillId="0" borderId="119" xfId="3" applyFont="1" applyBorder="1" applyAlignment="1">
      <alignment wrapText="1"/>
    </xf>
    <xf numFmtId="168" fontId="26" fillId="0" borderId="119" xfId="4" applyNumberFormat="1" applyFont="1" applyBorder="1" applyAlignment="1">
      <alignment vertical="center"/>
    </xf>
    <xf numFmtId="168" fontId="29" fillId="0" borderId="119" xfId="4" applyNumberFormat="1" applyFont="1" applyBorder="1" applyAlignment="1">
      <alignment vertical="center"/>
    </xf>
    <xf numFmtId="3" fontId="29" fillId="0" borderId="119" xfId="4" applyNumberFormat="1" applyFont="1" applyBorder="1" applyAlignment="1">
      <alignment vertical="center"/>
    </xf>
    <xf numFmtId="3" fontId="29" fillId="0" borderId="123" xfId="4" applyNumberFormat="1" applyFont="1" applyBorder="1" applyAlignment="1">
      <alignment vertical="center"/>
    </xf>
    <xf numFmtId="3" fontId="19" fillId="0" borderId="119" xfId="4" applyNumberFormat="1" applyFont="1" applyBorder="1" applyAlignment="1">
      <alignment vertical="center"/>
    </xf>
    <xf numFmtId="0" fontId="37" fillId="0" borderId="138" xfId="3" applyFont="1" applyBorder="1" applyAlignment="1">
      <alignment wrapText="1"/>
    </xf>
    <xf numFmtId="168" fontId="26" fillId="0" borderId="143" xfId="4" applyNumberFormat="1" applyFont="1" applyBorder="1" applyAlignment="1">
      <alignment vertical="center"/>
    </xf>
    <xf numFmtId="168" fontId="26" fillId="0" borderId="148" xfId="4" applyNumberFormat="1" applyFont="1" applyBorder="1" applyAlignment="1">
      <alignment vertical="center"/>
    </xf>
    <xf numFmtId="168" fontId="29" fillId="0" borderId="148" xfId="4" applyNumberFormat="1" applyFont="1" applyBorder="1" applyAlignment="1">
      <alignment vertical="center"/>
    </xf>
    <xf numFmtId="3" fontId="29" fillId="0" borderId="148" xfId="4" applyNumberFormat="1" applyFont="1" applyBorder="1" applyAlignment="1">
      <alignment vertical="center"/>
    </xf>
    <xf numFmtId="3" fontId="29" fillId="0" borderId="124" xfId="4" applyNumberFormat="1" applyFont="1" applyBorder="1" applyAlignment="1">
      <alignment vertical="center"/>
    </xf>
    <xf numFmtId="3" fontId="19" fillId="0" borderId="139" xfId="4" applyNumberFormat="1" applyFont="1" applyBorder="1" applyAlignment="1">
      <alignment vertical="center"/>
    </xf>
    <xf numFmtId="3" fontId="19" fillId="0" borderId="140" xfId="4" applyNumberFormat="1" applyFont="1" applyBorder="1" applyAlignment="1">
      <alignment vertical="center"/>
    </xf>
    <xf numFmtId="0" fontId="37" fillId="0" borderId="109" xfId="3" applyFont="1" applyBorder="1" applyAlignment="1">
      <alignment wrapText="1"/>
    </xf>
    <xf numFmtId="168" fontId="26" fillId="0" borderId="116" xfId="4" applyNumberFormat="1" applyFont="1" applyBorder="1" applyAlignment="1">
      <alignment vertical="center"/>
    </xf>
    <xf numFmtId="168" fontId="26" fillId="0" borderId="149" xfId="4" applyNumberFormat="1" applyFont="1" applyBorder="1" applyAlignment="1">
      <alignment vertical="center"/>
    </xf>
    <xf numFmtId="168" fontId="29" fillId="0" borderId="149" xfId="4" applyNumberFormat="1" applyFont="1" applyBorder="1" applyAlignment="1">
      <alignment vertical="center"/>
    </xf>
    <xf numFmtId="3" fontId="29" fillId="0" borderId="149" xfId="4" applyNumberFormat="1" applyFont="1" applyBorder="1" applyAlignment="1">
      <alignment vertical="center"/>
    </xf>
    <xf numFmtId="3" fontId="29" fillId="0" borderId="150" xfId="4" applyNumberFormat="1" applyFont="1" applyBorder="1" applyAlignment="1">
      <alignment vertical="center"/>
    </xf>
    <xf numFmtId="3" fontId="19" fillId="0" borderId="110" xfId="4" applyNumberFormat="1" applyFont="1" applyBorder="1" applyAlignment="1">
      <alignment vertical="center"/>
    </xf>
    <xf numFmtId="3" fontId="19" fillId="0" borderId="111" xfId="4" applyNumberFormat="1" applyFont="1" applyBorder="1" applyAlignment="1">
      <alignment vertical="center"/>
    </xf>
    <xf numFmtId="3" fontId="169" fillId="0" borderId="139" xfId="3" applyNumberFormat="1" applyFont="1" applyBorder="1"/>
    <xf numFmtId="3" fontId="169" fillId="0" borderId="140" xfId="3" applyNumberFormat="1" applyFont="1" applyBorder="1"/>
    <xf numFmtId="3" fontId="169" fillId="0" borderId="110" xfId="3" applyNumberFormat="1" applyFont="1" applyBorder="1"/>
    <xf numFmtId="3" fontId="169" fillId="0" borderId="111" xfId="3" applyNumberFormat="1" applyFont="1" applyBorder="1"/>
    <xf numFmtId="10" fontId="0" fillId="0" borderId="0" xfId="1" applyNumberFormat="1" applyFont="1" applyBorder="1" applyAlignment="1">
      <alignment horizontal="center"/>
    </xf>
    <xf numFmtId="10" fontId="0" fillId="19" borderId="100" xfId="1" applyNumberFormat="1" applyFont="1" applyFill="1" applyBorder="1" applyAlignment="1">
      <alignment horizontal="center"/>
    </xf>
    <xf numFmtId="0" fontId="0" fillId="12" borderId="100" xfId="0" applyFill="1" applyBorder="1"/>
    <xf numFmtId="9" fontId="0" fillId="19" borderId="113" xfId="0" applyNumberFormat="1" applyFill="1" applyBorder="1" applyAlignment="1">
      <alignment horizontal="center" vertical="center"/>
    </xf>
    <xf numFmtId="9" fontId="0" fillId="19" borderId="64" xfId="0" applyNumberFormat="1" applyFill="1" applyBorder="1" applyAlignment="1">
      <alignment horizontal="center" vertical="center"/>
    </xf>
    <xf numFmtId="0" fontId="170" fillId="0" borderId="0" xfId="0" applyFont="1" applyAlignment="1">
      <alignment vertical="center"/>
    </xf>
    <xf numFmtId="0" fontId="171" fillId="0" borderId="0" xfId="0" applyFont="1" applyAlignment="1">
      <alignment vertical="center"/>
    </xf>
    <xf numFmtId="0" fontId="171" fillId="0" borderId="100" xfId="0" applyFont="1" applyBorder="1" applyAlignment="1">
      <alignment vertical="center" wrapText="1"/>
    </xf>
    <xf numFmtId="0" fontId="172" fillId="38" borderId="100" xfId="0" applyFont="1" applyFill="1" applyBorder="1" applyAlignment="1">
      <alignment vertical="center"/>
    </xf>
    <xf numFmtId="171" fontId="172" fillId="38" borderId="100" xfId="0" applyNumberFormat="1" applyFont="1" applyFill="1" applyBorder="1" applyAlignment="1">
      <alignment horizontal="right" vertical="center"/>
    </xf>
    <xf numFmtId="0" fontId="172" fillId="38" borderId="100" xfId="0" applyFont="1" applyFill="1" applyBorder="1" applyAlignment="1">
      <alignment horizontal="right" vertical="center"/>
    </xf>
    <xf numFmtId="0" fontId="171" fillId="0" borderId="100" xfId="0" applyFont="1" applyBorder="1" applyAlignment="1">
      <alignment vertical="center"/>
    </xf>
    <xf numFmtId="171" fontId="171" fillId="0" borderId="100" xfId="0" applyNumberFormat="1" applyFont="1" applyBorder="1" applyAlignment="1">
      <alignment horizontal="right" vertical="center"/>
    </xf>
    <xf numFmtId="0" fontId="171" fillId="0" borderId="100" xfId="0" applyFont="1" applyBorder="1" applyAlignment="1">
      <alignment horizontal="right" vertical="center"/>
    </xf>
    <xf numFmtId="0" fontId="172" fillId="6" borderId="100" xfId="0" applyFont="1" applyFill="1" applyBorder="1" applyAlignment="1">
      <alignment vertical="center"/>
    </xf>
    <xf numFmtId="171" fontId="172" fillId="6" borderId="100" xfId="0" applyNumberFormat="1" applyFont="1" applyFill="1" applyBorder="1" applyAlignment="1">
      <alignment horizontal="right" vertical="center"/>
    </xf>
    <xf numFmtId="0" fontId="172" fillId="6" borderId="100" xfId="0" applyFont="1" applyFill="1" applyBorder="1" applyAlignment="1">
      <alignment horizontal="right" vertical="center"/>
    </xf>
    <xf numFmtId="4" fontId="65" fillId="6" borderId="120" xfId="0" applyNumberFormat="1" applyFont="1" applyFill="1" applyBorder="1"/>
    <xf numFmtId="4" fontId="65" fillId="6" borderId="36" xfId="0" applyNumberFormat="1" applyFont="1" applyFill="1" applyBorder="1"/>
    <xf numFmtId="0" fontId="0" fillId="19" borderId="107" xfId="0" applyFill="1" applyBorder="1" applyAlignment="1">
      <alignment horizontal="center"/>
    </xf>
    <xf numFmtId="0" fontId="0" fillId="19" borderId="108" xfId="0" applyFill="1" applyBorder="1" applyAlignment="1">
      <alignment horizontal="center"/>
    </xf>
    <xf numFmtId="0" fontId="0" fillId="19" borderId="109" xfId="0" applyFill="1" applyBorder="1" applyAlignment="1">
      <alignment horizontal="center"/>
    </xf>
    <xf numFmtId="0" fontId="0" fillId="19" borderId="110" xfId="0" applyFill="1" applyBorder="1" applyAlignment="1">
      <alignment horizontal="center"/>
    </xf>
    <xf numFmtId="0" fontId="0" fillId="19" borderId="111" xfId="0" applyFill="1" applyBorder="1" applyAlignment="1">
      <alignment horizontal="center"/>
    </xf>
    <xf numFmtId="0" fontId="0" fillId="0" borderId="38" xfId="0" applyBorder="1" applyAlignment="1">
      <alignment horizontal="center" vertical="center"/>
    </xf>
    <xf numFmtId="10" fontId="72" fillId="19" borderId="38" xfId="0" applyNumberFormat="1" applyFont="1" applyFill="1" applyBorder="1" applyAlignment="1">
      <alignment horizontal="center" vertical="center"/>
    </xf>
    <xf numFmtId="167" fontId="72" fillId="19" borderId="38" xfId="1" applyNumberFormat="1" applyFont="1" applyFill="1" applyBorder="1" applyAlignment="1">
      <alignment horizontal="center" vertical="center"/>
    </xf>
    <xf numFmtId="9" fontId="0" fillId="19" borderId="113" xfId="0" applyNumberFormat="1" applyFill="1" applyBorder="1" applyAlignment="1">
      <alignment horizontal="center" vertical="center"/>
    </xf>
    <xf numFmtId="9" fontId="0" fillId="19" borderId="64" xfId="0" applyNumberFormat="1" applyFill="1" applyBorder="1" applyAlignment="1">
      <alignment horizontal="center" vertical="center"/>
    </xf>
    <xf numFmtId="9" fontId="71" fillId="0" borderId="100" xfId="1" applyFont="1" applyFill="1" applyBorder="1" applyAlignment="1">
      <alignment horizontal="center"/>
    </xf>
    <xf numFmtId="0" fontId="83" fillId="39" borderId="0" xfId="6" quotePrefix="1" applyFill="1"/>
    <xf numFmtId="0" fontId="83" fillId="12" borderId="0" xfId="6" quotePrefix="1" applyFill="1"/>
    <xf numFmtId="0" fontId="83" fillId="40" borderId="0" xfId="6" quotePrefix="1" applyFill="1"/>
    <xf numFmtId="0" fontId="0" fillId="0" borderId="100" xfId="0" applyBorder="1" applyAlignment="1">
      <alignment horizontal="center" vertical="center"/>
    </xf>
    <xf numFmtId="0" fontId="0" fillId="0" borderId="139" xfId="0" applyBorder="1" applyAlignment="1">
      <alignment horizontal="center" vertical="center"/>
    </xf>
    <xf numFmtId="0" fontId="0" fillId="0" borderId="138" xfId="0" applyBorder="1" applyAlignment="1">
      <alignment horizontal="center" vertical="center"/>
    </xf>
    <xf numFmtId="0" fontId="0" fillId="0" borderId="140" xfId="0" applyBorder="1" applyAlignment="1">
      <alignment horizontal="center" vertical="center"/>
    </xf>
    <xf numFmtId="0" fontId="93" fillId="0" borderId="0" xfId="0" applyFont="1" applyAlignment="1">
      <alignment horizontal="center" vertical="center"/>
    </xf>
    <xf numFmtId="0" fontId="0" fillId="0" borderId="104" xfId="0" applyBorder="1" applyAlignment="1">
      <alignment horizontal="left"/>
    </xf>
    <xf numFmtId="0" fontId="0" fillId="0" borderId="107" xfId="0" applyBorder="1" applyAlignment="1">
      <alignment horizontal="center" vertical="center"/>
    </xf>
    <xf numFmtId="0" fontId="0" fillId="0" borderId="108" xfId="0" applyBorder="1" applyAlignment="1">
      <alignment horizontal="center" vertical="center"/>
    </xf>
    <xf numFmtId="9" fontId="99" fillId="19" borderId="34" xfId="1" applyFont="1" applyFill="1" applyBorder="1" applyAlignment="1">
      <alignment horizontal="center"/>
    </xf>
    <xf numFmtId="9" fontId="99" fillId="19" borderId="120" xfId="1" applyFont="1" applyFill="1" applyBorder="1" applyAlignment="1">
      <alignment horizontal="center"/>
    </xf>
    <xf numFmtId="9" fontId="99" fillId="19" borderId="36" xfId="1" applyFont="1" applyFill="1" applyBorder="1" applyAlignment="1">
      <alignment horizontal="center"/>
    </xf>
    <xf numFmtId="4" fontId="0" fillId="0" borderId="100" xfId="0" applyNumberFormat="1" applyBorder="1" applyAlignment="1">
      <alignment horizontal="center"/>
    </xf>
    <xf numFmtId="0" fontId="0" fillId="19" borderId="100" xfId="0" applyFill="1" applyBorder="1" applyAlignment="1">
      <alignment horizontal="center" vertical="center"/>
    </xf>
    <xf numFmtId="0" fontId="0" fillId="18" borderId="100" xfId="0" applyFill="1" applyBorder="1" applyAlignment="1">
      <alignment horizontal="center" vertical="center"/>
    </xf>
    <xf numFmtId="0" fontId="0" fillId="18" borderId="108" xfId="0" applyFill="1" applyBorder="1" applyAlignment="1">
      <alignment horizontal="center" vertical="center"/>
    </xf>
    <xf numFmtId="0" fontId="0" fillId="18" borderId="110" xfId="0" applyFill="1" applyBorder="1" applyAlignment="1">
      <alignment horizontal="center" vertical="center"/>
    </xf>
    <xf numFmtId="0" fontId="0" fillId="18" borderId="111" xfId="0" applyFill="1" applyBorder="1" applyAlignment="1">
      <alignment horizontal="center" vertical="center"/>
    </xf>
    <xf numFmtId="0" fontId="0" fillId="18" borderId="139" xfId="0" applyFill="1" applyBorder="1" applyAlignment="1">
      <alignment horizontal="center" vertical="center"/>
    </xf>
    <xf numFmtId="0" fontId="0" fillId="18" borderId="140" xfId="0" applyFill="1" applyBorder="1" applyAlignment="1">
      <alignment horizontal="center" vertical="center"/>
    </xf>
    <xf numFmtId="0" fontId="0" fillId="0" borderId="145" xfId="0" applyBorder="1" applyAlignment="1">
      <alignment horizontal="center" vertical="center"/>
    </xf>
    <xf numFmtId="3" fontId="93" fillId="0" borderId="112" xfId="0" applyNumberFormat="1" applyFont="1" applyBorder="1" applyAlignment="1">
      <alignment horizontal="center"/>
    </xf>
    <xf numFmtId="0" fontId="0" fillId="0" borderId="136" xfId="0" applyFill="1" applyBorder="1"/>
    <xf numFmtId="0" fontId="173" fillId="0" borderId="0" xfId="0" applyFont="1"/>
    <xf numFmtId="4" fontId="81" fillId="12" borderId="7" xfId="0" applyNumberFormat="1" applyFont="1" applyFill="1" applyBorder="1" applyAlignment="1">
      <alignment horizontal="center" vertical="center"/>
    </xf>
    <xf numFmtId="0" fontId="18" fillId="0" borderId="0" xfId="0" applyFont="1" applyFill="1" applyBorder="1" applyAlignment="1" applyProtection="1">
      <alignment horizontal="left"/>
    </xf>
    <xf numFmtId="0" fontId="9" fillId="8" borderId="0" xfId="0" applyFont="1" applyFill="1" applyAlignment="1">
      <alignment horizontal="left" wrapText="1"/>
    </xf>
    <xf numFmtId="0" fontId="10" fillId="0" borderId="0" xfId="0" applyFont="1" applyAlignment="1">
      <alignment horizontal="center" vertical="center"/>
    </xf>
    <xf numFmtId="0" fontId="8" fillId="0" borderId="0" xfId="0" applyFont="1" applyAlignment="1">
      <alignment horizontal="left"/>
    </xf>
    <xf numFmtId="0" fontId="8" fillId="0" borderId="0" xfId="0" applyFont="1"/>
    <xf numFmtId="0" fontId="9" fillId="10" borderId="0" xfId="0" applyFont="1" applyFill="1" applyAlignment="1">
      <alignment horizontal="left" wrapText="1"/>
    </xf>
    <xf numFmtId="0" fontId="9" fillId="11" borderId="0" xfId="0" applyFont="1" applyFill="1" applyAlignment="1">
      <alignment horizontal="left" vertical="center" wrapText="1"/>
    </xf>
    <xf numFmtId="0" fontId="9" fillId="0" borderId="0" xfId="0" applyFont="1" applyFill="1" applyAlignment="1">
      <alignment horizontal="left"/>
    </xf>
    <xf numFmtId="3" fontId="9" fillId="0" borderId="0" xfId="0" applyNumberFormat="1" applyFont="1" applyFill="1" applyAlignment="1">
      <alignment horizontal="right"/>
    </xf>
    <xf numFmtId="0" fontId="11" fillId="5" borderId="104" xfId="0" applyFont="1" applyFill="1" applyBorder="1" applyAlignment="1">
      <alignment horizontal="left"/>
    </xf>
    <xf numFmtId="3" fontId="11" fillId="0" borderId="105" xfId="0" applyNumberFormat="1" applyFont="1" applyFill="1" applyBorder="1" applyAlignment="1">
      <alignment horizontal="right"/>
    </xf>
    <xf numFmtId="167" fontId="11" fillId="0" borderId="105" xfId="1" applyNumberFormat="1" applyFont="1" applyFill="1" applyBorder="1" applyAlignment="1">
      <alignment horizontal="right"/>
    </xf>
    <xf numFmtId="167" fontId="11" fillId="0" borderId="103" xfId="1" applyNumberFormat="1" applyFont="1" applyFill="1" applyBorder="1" applyAlignment="1">
      <alignment horizontal="right"/>
    </xf>
    <xf numFmtId="0" fontId="11" fillId="5" borderId="27" xfId="0" applyFont="1" applyFill="1" applyBorder="1" applyAlignment="1">
      <alignment horizontal="left"/>
    </xf>
    <xf numFmtId="3" fontId="11" fillId="0" borderId="0" xfId="0" applyNumberFormat="1" applyFont="1" applyFill="1" applyBorder="1" applyAlignment="1">
      <alignment horizontal="right"/>
    </xf>
    <xf numFmtId="167" fontId="11" fillId="0" borderId="0" xfId="1" applyNumberFormat="1" applyFont="1" applyFill="1" applyBorder="1" applyAlignment="1">
      <alignment horizontal="right"/>
    </xf>
    <xf numFmtId="167" fontId="11" fillId="0" borderId="28" xfId="1" applyNumberFormat="1" applyFont="1" applyFill="1" applyBorder="1" applyAlignment="1">
      <alignment horizontal="right"/>
    </xf>
    <xf numFmtId="0" fontId="9" fillId="7" borderId="29" xfId="0" applyFont="1" applyFill="1" applyBorder="1" applyAlignment="1">
      <alignment horizontal="left"/>
    </xf>
    <xf numFmtId="3" fontId="9" fillId="0" borderId="20" xfId="0" applyNumberFormat="1" applyFont="1" applyFill="1" applyBorder="1" applyAlignment="1">
      <alignment horizontal="right"/>
    </xf>
    <xf numFmtId="167" fontId="9" fillId="0" borderId="20" xfId="1" applyNumberFormat="1" applyFont="1" applyFill="1" applyBorder="1" applyAlignment="1">
      <alignment horizontal="right"/>
    </xf>
    <xf numFmtId="167" fontId="9" fillId="0" borderId="30" xfId="1" applyNumberFormat="1" applyFont="1" applyFill="1" applyBorder="1" applyAlignment="1">
      <alignment horizontal="right"/>
    </xf>
    <xf numFmtId="3" fontId="11" fillId="0" borderId="103" xfId="0" applyNumberFormat="1" applyFont="1" applyFill="1" applyBorder="1" applyAlignment="1">
      <alignment horizontal="right"/>
    </xf>
    <xf numFmtId="3" fontId="11" fillId="0" borderId="28" xfId="0" applyNumberFormat="1" applyFont="1" applyFill="1" applyBorder="1" applyAlignment="1">
      <alignment horizontal="right"/>
    </xf>
    <xf numFmtId="3" fontId="9" fillId="0" borderId="30" xfId="0" applyNumberFormat="1" applyFont="1" applyFill="1" applyBorder="1" applyAlignment="1">
      <alignment horizontal="right"/>
    </xf>
    <xf numFmtId="0" fontId="46" fillId="0" borderId="58" xfId="0" applyFont="1" applyBorder="1" applyAlignment="1" applyProtection="1">
      <alignment horizontal="center" vertical="center"/>
    </xf>
    <xf numFmtId="0" fontId="46" fillId="0" borderId="151" xfId="0" applyFont="1" applyBorder="1" applyAlignment="1" applyProtection="1">
      <alignment horizontal="center" vertical="center"/>
    </xf>
    <xf numFmtId="0" fontId="46" fillId="13" borderId="151" xfId="0" applyFont="1" applyFill="1" applyBorder="1" applyAlignment="1" applyProtection="1">
      <alignment horizontal="center" vertical="center"/>
    </xf>
    <xf numFmtId="0" fontId="46" fillId="13" borderId="152" xfId="0" applyFont="1" applyFill="1" applyBorder="1" applyAlignment="1" applyProtection="1">
      <alignment horizontal="center" vertical="center"/>
    </xf>
    <xf numFmtId="9" fontId="0" fillId="7" borderId="153" xfId="1" applyFont="1" applyFill="1" applyBorder="1" applyProtection="1"/>
    <xf numFmtId="0" fontId="13" fillId="0" borderId="0" xfId="0" applyFont="1" applyFill="1" applyProtection="1"/>
    <xf numFmtId="167" fontId="0" fillId="0" borderId="0" xfId="0" applyNumberFormat="1"/>
    <xf numFmtId="0" fontId="174" fillId="0" borderId="0" xfId="0" applyFont="1"/>
    <xf numFmtId="167" fontId="174" fillId="0" borderId="0" xfId="1" applyNumberFormat="1" applyFont="1" applyAlignment="1">
      <alignment horizontal="center" vertical="center"/>
    </xf>
    <xf numFmtId="0" fontId="71" fillId="0" borderId="58" xfId="0" applyFont="1" applyBorder="1" applyAlignment="1">
      <alignment horizontal="center"/>
    </xf>
    <xf numFmtId="0" fontId="71" fillId="0" borderId="151" xfId="0" applyFont="1" applyBorder="1" applyAlignment="1">
      <alignment horizontal="center"/>
    </xf>
    <xf numFmtId="0" fontId="71" fillId="0" borderId="152" xfId="0" applyFont="1" applyBorder="1" applyAlignment="1">
      <alignment horizontal="center"/>
    </xf>
    <xf numFmtId="0" fontId="71" fillId="0" borderId="0" xfId="0" applyFont="1" applyBorder="1" applyAlignment="1">
      <alignment vertical="center" wrapText="1"/>
    </xf>
    <xf numFmtId="0" fontId="61" fillId="0" borderId="138" xfId="0" applyFont="1" applyFill="1" applyBorder="1" applyAlignment="1">
      <alignment vertical="center" wrapText="1"/>
    </xf>
    <xf numFmtId="0" fontId="14" fillId="0" borderId="113" xfId="0" applyFont="1" applyFill="1" applyBorder="1" applyAlignment="1">
      <alignment vertical="center" wrapText="1"/>
    </xf>
    <xf numFmtId="0" fontId="14" fillId="0" borderId="113" xfId="0" applyFont="1" applyFill="1" applyBorder="1" applyAlignment="1">
      <alignment horizontal="center" vertical="center" wrapText="1"/>
    </xf>
    <xf numFmtId="0" fontId="65" fillId="0" borderId="107" xfId="0" applyFont="1" applyFill="1" applyBorder="1"/>
    <xf numFmtId="0" fontId="71" fillId="0" borderId="100" xfId="0" applyFont="1" applyFill="1" applyBorder="1" applyAlignment="1">
      <alignment vertical="center" wrapText="1"/>
    </xf>
    <xf numFmtId="0" fontId="93" fillId="0" borderId="100" xfId="0" applyFont="1" applyFill="1" applyBorder="1" applyAlignment="1">
      <alignment horizontal="center"/>
    </xf>
    <xf numFmtId="0" fontId="93" fillId="0" borderId="122" xfId="0" applyFont="1" applyBorder="1"/>
    <xf numFmtId="0" fontId="93" fillId="0" borderId="134" xfId="0" applyFont="1" applyBorder="1"/>
    <xf numFmtId="0" fontId="93" fillId="0" borderId="100" xfId="0" applyFont="1" applyBorder="1"/>
    <xf numFmtId="0" fontId="93" fillId="0" borderId="108" xfId="0" applyFont="1" applyBorder="1"/>
    <xf numFmtId="0" fontId="71" fillId="0" borderId="119" xfId="0" applyFont="1" applyFill="1" applyBorder="1" applyAlignment="1">
      <alignment vertical="center" wrapText="1"/>
    </xf>
    <xf numFmtId="0" fontId="93" fillId="0" borderId="119" xfId="0" applyFont="1" applyFill="1" applyBorder="1" applyAlignment="1">
      <alignment horizontal="center"/>
    </xf>
    <xf numFmtId="0" fontId="93" fillId="0" borderId="119" xfId="0" applyFont="1" applyBorder="1"/>
    <xf numFmtId="0" fontId="93" fillId="0" borderId="130" xfId="0" applyFont="1" applyBorder="1"/>
    <xf numFmtId="0" fontId="71" fillId="0" borderId="100" xfId="0" applyFont="1" applyBorder="1" applyAlignment="1">
      <alignment vertical="center" wrapText="1"/>
    </xf>
    <xf numFmtId="0" fontId="15" fillId="0" borderId="107" xfId="0" applyFont="1" applyFill="1" applyBorder="1" applyAlignment="1">
      <alignment vertical="center" wrapText="1"/>
    </xf>
    <xf numFmtId="0" fontId="71" fillId="0" borderId="100" xfId="0" applyFont="1" applyBorder="1" applyAlignment="1">
      <alignment horizontal="center" vertical="center" wrapText="1"/>
    </xf>
    <xf numFmtId="0" fontId="71" fillId="0" borderId="100" xfId="0" applyFont="1" applyFill="1" applyBorder="1" applyAlignment="1">
      <alignment horizontal="center" vertical="center" wrapText="1"/>
    </xf>
    <xf numFmtId="0" fontId="15" fillId="0" borderId="109" xfId="0" applyFont="1" applyFill="1" applyBorder="1" applyAlignment="1">
      <alignment vertical="center" wrapText="1"/>
    </xf>
    <xf numFmtId="0" fontId="71" fillId="0" borderId="110" xfId="0" applyFont="1" applyBorder="1" applyAlignment="1">
      <alignment vertical="center" wrapText="1"/>
    </xf>
    <xf numFmtId="0" fontId="93" fillId="0" borderId="110" xfId="0" applyFont="1" applyFill="1" applyBorder="1" applyAlignment="1">
      <alignment horizontal="center"/>
    </xf>
    <xf numFmtId="0" fontId="71" fillId="0" borderId="110" xfId="0" applyFont="1" applyFill="1" applyBorder="1" applyAlignment="1">
      <alignment horizontal="center" vertical="center" wrapText="1"/>
    </xf>
    <xf numFmtId="0" fontId="93" fillId="0" borderId="110" xfId="0" applyFont="1" applyBorder="1"/>
    <xf numFmtId="0" fontId="93" fillId="0" borderId="111" xfId="0" applyFont="1" applyBorder="1"/>
    <xf numFmtId="167" fontId="99" fillId="0" borderId="0" xfId="1" applyNumberFormat="1" applyFont="1" applyAlignment="1">
      <alignment horizontal="center"/>
    </xf>
    <xf numFmtId="0" fontId="14" fillId="0" borderId="0" xfId="0" applyFont="1" applyBorder="1" applyAlignment="1">
      <alignment vertical="center" wrapText="1"/>
    </xf>
    <xf numFmtId="2" fontId="93" fillId="0" borderId="138" xfId="0" applyNumberFormat="1" applyFont="1" applyBorder="1" applyAlignment="1">
      <alignment horizontal="center"/>
    </xf>
    <xf numFmtId="2" fontId="93" fillId="0" borderId="139" xfId="0" applyNumberFormat="1" applyFont="1" applyBorder="1" applyAlignment="1">
      <alignment horizontal="center"/>
    </xf>
    <xf numFmtId="2" fontId="93" fillId="0" borderId="140" xfId="0" applyNumberFormat="1" applyFont="1" applyBorder="1" applyAlignment="1">
      <alignment horizontal="center"/>
    </xf>
    <xf numFmtId="2" fontId="93" fillId="0" borderId="107" xfId="0" applyNumberFormat="1" applyFont="1" applyBorder="1" applyAlignment="1">
      <alignment horizontal="center"/>
    </xf>
    <xf numFmtId="2" fontId="93" fillId="0" borderId="100" xfId="0" applyNumberFormat="1" applyFont="1" applyBorder="1" applyAlignment="1">
      <alignment horizontal="center"/>
    </xf>
    <xf numFmtId="2" fontId="93" fillId="0" borderId="108" xfId="0" applyNumberFormat="1" applyFont="1" applyBorder="1" applyAlignment="1">
      <alignment horizontal="center"/>
    </xf>
    <xf numFmtId="2" fontId="93" fillId="0" borderId="109" xfId="0" applyNumberFormat="1" applyFont="1" applyBorder="1" applyAlignment="1">
      <alignment horizontal="center"/>
    </xf>
    <xf numFmtId="2" fontId="93" fillId="0" borderId="110" xfId="0" applyNumberFormat="1" applyFont="1" applyBorder="1" applyAlignment="1">
      <alignment horizontal="center"/>
    </xf>
    <xf numFmtId="2" fontId="93" fillId="0" borderId="111" xfId="0" applyNumberFormat="1" applyFont="1" applyBorder="1" applyAlignment="1">
      <alignment horizontal="center"/>
    </xf>
    <xf numFmtId="0" fontId="67" fillId="0" borderId="0" xfId="0" applyFont="1"/>
    <xf numFmtId="2" fontId="96" fillId="0" borderId="0" xfId="0" applyNumberFormat="1" applyFont="1" applyAlignment="1">
      <alignment horizontal="center"/>
    </xf>
    <xf numFmtId="0" fontId="175" fillId="0" borderId="0" xfId="0" applyFont="1"/>
    <xf numFmtId="10" fontId="99" fillId="0" borderId="0" xfId="1" applyNumberFormat="1" applyFont="1" applyBorder="1" applyAlignment="1">
      <alignment horizontal="center"/>
    </xf>
    <xf numFmtId="0" fontId="93" fillId="0" borderId="34" xfId="0" applyFont="1" applyBorder="1" applyAlignment="1">
      <alignment horizontal="center" vertical="center"/>
    </xf>
    <xf numFmtId="0" fontId="93" fillId="0" borderId="120" xfId="0" applyFont="1" applyBorder="1" applyAlignment="1">
      <alignment horizontal="center" vertical="center"/>
    </xf>
    <xf numFmtId="0" fontId="93" fillId="0" borderId="36" xfId="0" applyFont="1" applyBorder="1" applyAlignment="1">
      <alignment horizontal="center" vertical="center"/>
    </xf>
    <xf numFmtId="0" fontId="176" fillId="0" borderId="0" xfId="0" applyFont="1"/>
    <xf numFmtId="4" fontId="176" fillId="0" borderId="0" xfId="0" applyNumberFormat="1" applyFont="1"/>
    <xf numFmtId="0" fontId="177" fillId="0" borderId="0" xfId="0" applyFont="1"/>
    <xf numFmtId="170" fontId="176" fillId="0" borderId="0" xfId="0" applyNumberFormat="1" applyFont="1"/>
    <xf numFmtId="0" fontId="159" fillId="0" borderId="0" xfId="0" applyFont="1" applyAlignment="1">
      <alignment horizontal="left" vertical="center"/>
    </xf>
    <xf numFmtId="0" fontId="147" fillId="0" borderId="0" xfId="0" applyFont="1" applyAlignment="1">
      <alignment horizontal="left" vertical="center"/>
    </xf>
    <xf numFmtId="0" fontId="133" fillId="0" borderId="0" xfId="0" applyFont="1" applyBorder="1" applyAlignment="1">
      <alignment horizontal="center" vertical="center"/>
    </xf>
    <xf numFmtId="2" fontId="133" fillId="0" borderId="0" xfId="0" applyNumberFormat="1" applyFont="1" applyBorder="1" applyAlignment="1">
      <alignment horizontal="center" vertical="center"/>
    </xf>
    <xf numFmtId="2" fontId="133" fillId="41" borderId="10" xfId="0" applyNumberFormat="1" applyFont="1" applyFill="1" applyBorder="1" applyAlignment="1">
      <alignment horizontal="center" vertical="center"/>
    </xf>
    <xf numFmtId="2" fontId="133" fillId="41" borderId="38" xfId="0" applyNumberFormat="1" applyFont="1" applyFill="1" applyBorder="1" applyAlignment="1">
      <alignment horizontal="center" vertical="center"/>
    </xf>
    <xf numFmtId="0" fontId="0" fillId="0" borderId="100" xfId="0" applyFill="1" applyBorder="1"/>
    <xf numFmtId="0" fontId="18" fillId="0" borderId="34" xfId="0" applyFont="1" applyBorder="1"/>
    <xf numFmtId="0" fontId="18" fillId="0" borderId="106" xfId="0" applyFont="1" applyFill="1" applyBorder="1"/>
    <xf numFmtId="0" fontId="18" fillId="0" borderId="100" xfId="0" applyFont="1" applyBorder="1" applyAlignment="1">
      <alignment horizontal="center"/>
    </xf>
    <xf numFmtId="0" fontId="18" fillId="0" borderId="34" xfId="0" applyFont="1" applyBorder="1" applyAlignment="1">
      <alignment horizontal="center"/>
    </xf>
    <xf numFmtId="0" fontId="18" fillId="0" borderId="120" xfId="0" applyFont="1" applyBorder="1" applyAlignment="1">
      <alignment horizontal="center"/>
    </xf>
    <xf numFmtId="0" fontId="18" fillId="0" borderId="36" xfId="0" applyFont="1" applyBorder="1" applyAlignment="1">
      <alignment horizontal="center"/>
    </xf>
    <xf numFmtId="0" fontId="0" fillId="0" borderId="154" xfId="0" applyBorder="1"/>
    <xf numFmtId="0" fontId="0" fillId="0" borderId="154" xfId="0" applyBorder="1" applyAlignment="1">
      <alignment horizontal="center"/>
    </xf>
    <xf numFmtId="0" fontId="18" fillId="0" borderId="0" xfId="0" applyFont="1" applyAlignment="1">
      <alignment vertical="center" wrapText="1"/>
    </xf>
    <xf numFmtId="0" fontId="0" fillId="0" borderId="0" xfId="0" applyBorder="1" applyAlignment="1">
      <alignment vertical="center"/>
    </xf>
    <xf numFmtId="0" fontId="18" fillId="17" borderId="0" xfId="0" applyFont="1" applyFill="1" applyAlignment="1">
      <alignment vertical="center"/>
    </xf>
    <xf numFmtId="0" fontId="18" fillId="0" borderId="0" xfId="0" applyFont="1" applyAlignment="1">
      <alignment vertical="center"/>
    </xf>
    <xf numFmtId="0" fontId="18" fillId="0" borderId="0" xfId="0" applyFont="1" applyBorder="1" applyAlignment="1">
      <alignment vertical="center"/>
    </xf>
    <xf numFmtId="9" fontId="72" fillId="19" borderId="7" xfId="1" applyFont="1" applyFill="1" applyBorder="1"/>
    <xf numFmtId="9" fontId="126" fillId="19" borderId="100" xfId="1" applyFont="1" applyFill="1" applyBorder="1"/>
    <xf numFmtId="9" fontId="72" fillId="19" borderId="100" xfId="1" applyFont="1" applyFill="1" applyBorder="1"/>
    <xf numFmtId="9" fontId="126" fillId="0" borderId="100" xfId="1" applyFont="1" applyBorder="1"/>
    <xf numFmtId="9" fontId="126" fillId="0" borderId="100" xfId="1" applyFont="1" applyFill="1" applyBorder="1"/>
    <xf numFmtId="4" fontId="65" fillId="6" borderId="120" xfId="0" applyNumberFormat="1" applyFont="1" applyFill="1" applyBorder="1" applyAlignment="1">
      <alignment vertical="center"/>
    </xf>
    <xf numFmtId="0" fontId="18" fillId="18" borderId="123" xfId="0" applyFont="1" applyFill="1" applyBorder="1"/>
    <xf numFmtId="0" fontId="18" fillId="18" borderId="146" xfId="0" applyFont="1" applyFill="1" applyBorder="1"/>
    <xf numFmtId="9" fontId="126" fillId="18" borderId="100" xfId="1" applyFont="1" applyFill="1" applyBorder="1"/>
    <xf numFmtId="0" fontId="18" fillId="18" borderId="132" xfId="0" applyFont="1" applyFill="1" applyBorder="1" applyAlignment="1">
      <alignment vertical="center" wrapText="1"/>
    </xf>
    <xf numFmtId="0" fontId="0" fillId="18" borderId="154" xfId="0" applyFill="1" applyBorder="1" applyAlignment="1">
      <alignment vertical="center"/>
    </xf>
    <xf numFmtId="0" fontId="0" fillId="18" borderId="100" xfId="0" applyFill="1" applyBorder="1" applyAlignment="1">
      <alignment vertical="center"/>
    </xf>
    <xf numFmtId="0" fontId="0" fillId="18" borderId="154" xfId="0" applyFill="1" applyBorder="1"/>
    <xf numFmtId="4" fontId="65" fillId="6" borderId="151" xfId="0" applyNumberFormat="1" applyFont="1" applyFill="1" applyBorder="1"/>
    <xf numFmtId="4" fontId="65" fillId="6" borderId="152" xfId="0" applyNumberFormat="1" applyFont="1" applyFill="1" applyBorder="1"/>
    <xf numFmtId="0" fontId="18" fillId="18" borderId="0" xfId="0" applyFont="1" applyFill="1" applyBorder="1"/>
    <xf numFmtId="0" fontId="0" fillId="0" borderId="24" xfId="0" applyBorder="1" applyAlignment="1">
      <alignment wrapText="1"/>
    </xf>
    <xf numFmtId="2" fontId="126" fillId="19" borderId="100" xfId="1" applyNumberFormat="1" applyFont="1" applyFill="1" applyBorder="1"/>
    <xf numFmtId="0" fontId="18" fillId="18" borderId="106" xfId="0" applyFont="1" applyFill="1" applyBorder="1" applyAlignment="1">
      <alignment wrapText="1"/>
    </xf>
    <xf numFmtId="0" fontId="18" fillId="18" borderId="144" xfId="0" applyFont="1" applyFill="1" applyBorder="1"/>
    <xf numFmtId="0" fontId="0" fillId="17" borderId="0" xfId="0" applyFill="1"/>
    <xf numFmtId="0" fontId="0" fillId="17" borderId="0" xfId="0" applyFill="1" applyAlignment="1">
      <alignment vertical="center"/>
    </xf>
    <xf numFmtId="4" fontId="0" fillId="0" borderId="0" xfId="0" applyNumberFormat="1" applyAlignment="1">
      <alignment horizontal="left"/>
    </xf>
    <xf numFmtId="0" fontId="179" fillId="0" borderId="0" xfId="0" applyFont="1"/>
    <xf numFmtId="0" fontId="180" fillId="0" borderId="0" xfId="0" applyFont="1"/>
    <xf numFmtId="4" fontId="65" fillId="6" borderId="113" xfId="0" applyNumberFormat="1" applyFont="1" applyFill="1" applyBorder="1"/>
    <xf numFmtId="0" fontId="18" fillId="0" borderId="104" xfId="0" applyFont="1" applyBorder="1"/>
    <xf numFmtId="0" fontId="18" fillId="0" borderId="105" xfId="0" applyFont="1" applyBorder="1"/>
    <xf numFmtId="0" fontId="18" fillId="0" borderId="103" xfId="0" applyFont="1" applyBorder="1"/>
    <xf numFmtId="0" fontId="0" fillId="0" borderId="107" xfId="0" applyBorder="1"/>
    <xf numFmtId="0" fontId="0" fillId="0" borderId="108" xfId="0" applyBorder="1"/>
    <xf numFmtId="9" fontId="126" fillId="0" borderId="107" xfId="1" applyFont="1" applyBorder="1"/>
    <xf numFmtId="9" fontId="126" fillId="0" borderId="108" xfId="1" applyFont="1" applyBorder="1"/>
    <xf numFmtId="0" fontId="18" fillId="0" borderId="27" xfId="0" applyFont="1" applyBorder="1"/>
    <xf numFmtId="0" fontId="18" fillId="0" borderId="0" xfId="0" applyFont="1" applyBorder="1"/>
    <xf numFmtId="0" fontId="18" fillId="0" borderId="28" xfId="0" applyFont="1" applyBorder="1"/>
    <xf numFmtId="0" fontId="18" fillId="18" borderId="155" xfId="0" applyFont="1" applyFill="1" applyBorder="1"/>
    <xf numFmtId="0" fontId="18" fillId="18" borderId="156" xfId="0" applyFont="1" applyFill="1" applyBorder="1"/>
    <xf numFmtId="9" fontId="126" fillId="18" borderId="107" xfId="1" applyFont="1" applyFill="1" applyBorder="1"/>
    <xf numFmtId="9" fontId="126" fillId="18" borderId="108" xfId="1" applyFont="1" applyFill="1" applyBorder="1"/>
    <xf numFmtId="0" fontId="18" fillId="0" borderId="27" xfId="0" applyFont="1" applyBorder="1" applyAlignment="1">
      <alignment vertical="center"/>
    </xf>
    <xf numFmtId="0" fontId="18" fillId="0" borderId="28" xfId="0" applyFont="1"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18" fillId="0" borderId="29" xfId="0" applyFont="1" applyBorder="1" applyAlignment="1">
      <alignment vertical="center"/>
    </xf>
    <xf numFmtId="0" fontId="18" fillId="0" borderId="20" xfId="0" applyFont="1" applyBorder="1" applyAlignment="1">
      <alignment vertical="center"/>
    </xf>
    <xf numFmtId="0" fontId="18" fillId="0" borderId="30" xfId="0" applyFont="1" applyBorder="1" applyAlignment="1">
      <alignment vertical="center"/>
    </xf>
    <xf numFmtId="9" fontId="126" fillId="19" borderId="107" xfId="1" applyFont="1" applyFill="1" applyBorder="1"/>
    <xf numFmtId="9" fontId="126" fillId="0" borderId="108" xfId="1" applyFont="1" applyFill="1" applyBorder="1"/>
    <xf numFmtId="0" fontId="0" fillId="0" borderId="108" xfId="0" applyFill="1" applyBorder="1"/>
    <xf numFmtId="0" fontId="0" fillId="0" borderId="28" xfId="0" applyFill="1" applyBorder="1"/>
    <xf numFmtId="0" fontId="18" fillId="0" borderId="0" xfId="0" applyFont="1" applyFill="1" applyBorder="1"/>
    <xf numFmtId="0" fontId="18" fillId="0" borderId="28" xfId="0" applyFont="1" applyFill="1" applyBorder="1"/>
    <xf numFmtId="0" fontId="18" fillId="0" borderId="105" xfId="0" applyFont="1" applyFill="1" applyBorder="1"/>
    <xf numFmtId="0" fontId="18" fillId="0" borderId="103" xfId="0" applyFont="1" applyFill="1" applyBorder="1"/>
    <xf numFmtId="0" fontId="0" fillId="0" borderId="144" xfId="0" applyBorder="1"/>
    <xf numFmtId="0" fontId="17" fillId="0" borderId="0" xfId="0" applyFont="1"/>
    <xf numFmtId="0" fontId="181" fillId="0" borderId="0" xfId="0" applyFont="1"/>
    <xf numFmtId="0" fontId="17" fillId="0" borderId="0" xfId="0" applyFont="1" applyAlignment="1">
      <alignment vertical="center"/>
    </xf>
    <xf numFmtId="0" fontId="181" fillId="0" borderId="0" xfId="0" applyFont="1" applyAlignment="1">
      <alignment vertical="center"/>
    </xf>
    <xf numFmtId="0" fontId="0" fillId="0" borderId="100" xfId="0" applyFill="1" applyBorder="1" applyAlignment="1">
      <alignment vertical="top" wrapText="1"/>
    </xf>
    <xf numFmtId="176" fontId="123" fillId="0" borderId="27" xfId="16" applyFont="1" applyBorder="1"/>
    <xf numFmtId="176" fontId="123" fillId="0" borderId="0" xfId="16" applyFont="1" applyBorder="1"/>
    <xf numFmtId="0" fontId="50" fillId="0" borderId="0" xfId="0" applyFont="1" applyBorder="1"/>
    <xf numFmtId="0" fontId="50" fillId="0" borderId="28" xfId="0" applyFont="1" applyBorder="1"/>
    <xf numFmtId="0" fontId="50" fillId="0" borderId="0" xfId="0" applyFont="1"/>
    <xf numFmtId="0" fontId="50" fillId="0" borderId="0" xfId="0" applyFont="1" applyBorder="1" applyAlignment="1">
      <alignment horizontal="center"/>
    </xf>
    <xf numFmtId="0" fontId="50" fillId="0" borderId="28" xfId="0" applyFont="1" applyBorder="1" applyAlignment="1">
      <alignment horizontal="center"/>
    </xf>
    <xf numFmtId="9" fontId="155" fillId="19" borderId="107" xfId="1" applyFont="1" applyFill="1" applyBorder="1" applyAlignment="1">
      <alignment horizontal="center"/>
    </xf>
    <xf numFmtId="9" fontId="155" fillId="19" borderId="100" xfId="1" applyFont="1" applyFill="1" applyBorder="1" applyAlignment="1">
      <alignment horizontal="center"/>
    </xf>
    <xf numFmtId="0" fontId="182" fillId="0" borderId="0" xfId="0" applyFont="1" applyAlignment="1">
      <alignment horizontal="center"/>
    </xf>
    <xf numFmtId="176" fontId="123" fillId="0" borderId="0" xfId="16" applyFont="1"/>
    <xf numFmtId="176" fontId="123" fillId="0" borderId="0" xfId="16" applyFont="1" applyAlignment="1">
      <alignment horizontal="center"/>
    </xf>
    <xf numFmtId="0" fontId="50" fillId="0" borderId="0" xfId="0" applyFont="1" applyAlignment="1">
      <alignment horizontal="center"/>
    </xf>
    <xf numFmtId="9" fontId="155" fillId="19" borderId="108" xfId="1" applyFont="1" applyFill="1" applyBorder="1" applyAlignment="1">
      <alignment horizontal="center"/>
    </xf>
    <xf numFmtId="9" fontId="72" fillId="19" borderId="100" xfId="0" applyNumberFormat="1" applyFont="1" applyFill="1" applyBorder="1" applyAlignment="1">
      <alignment horizontal="center"/>
    </xf>
    <xf numFmtId="178" fontId="7" fillId="0" borderId="0" xfId="16" applyNumberFormat="1" applyFont="1" applyAlignment="1">
      <alignment horizontal="center"/>
    </xf>
    <xf numFmtId="0" fontId="0" fillId="0" borderId="100" xfId="0" applyBorder="1" applyAlignment="1">
      <alignment horizontal="center" wrapText="1"/>
    </xf>
    <xf numFmtId="176" fontId="143" fillId="0" borderId="100" xfId="16" applyFont="1" applyBorder="1" applyAlignment="1">
      <alignment horizontal="center" wrapText="1"/>
    </xf>
    <xf numFmtId="0" fontId="184" fillId="0" borderId="0" xfId="23" applyFont="1"/>
    <xf numFmtId="0" fontId="185" fillId="0" borderId="0" xfId="23" applyFont="1"/>
    <xf numFmtId="0" fontId="184" fillId="0" borderId="0" xfId="23" applyFont="1" applyAlignment="1">
      <alignment wrapText="1"/>
    </xf>
    <xf numFmtId="0" fontId="186" fillId="0" borderId="0" xfId="23" applyFont="1"/>
    <xf numFmtId="0" fontId="186" fillId="0" borderId="0" xfId="23" applyFont="1" applyAlignment="1">
      <alignment horizontal="right"/>
    </xf>
    <xf numFmtId="3" fontId="187" fillId="35" borderId="0" xfId="0" applyNumberFormat="1" applyFont="1" applyFill="1" applyAlignment="1">
      <alignment horizontal="center"/>
    </xf>
    <xf numFmtId="178" fontId="188" fillId="0" borderId="0" xfId="4" applyNumberFormat="1" applyFont="1" applyAlignment="1">
      <alignment horizontal="center"/>
    </xf>
    <xf numFmtId="0" fontId="184" fillId="0" borderId="0" xfId="23" applyFont="1" applyAlignment="1">
      <alignment horizontal="right"/>
    </xf>
    <xf numFmtId="0" fontId="184" fillId="0" borderId="0" xfId="23" applyFont="1" applyAlignment="1">
      <alignment horizontal="left"/>
    </xf>
    <xf numFmtId="178" fontId="188" fillId="6" borderId="0" xfId="4" applyNumberFormat="1" applyFont="1" applyFill="1" applyAlignment="1">
      <alignment horizontal="center"/>
    </xf>
    <xf numFmtId="0" fontId="186" fillId="0" borderId="0" xfId="23" applyFont="1" applyAlignment="1">
      <alignment horizontal="center"/>
    </xf>
    <xf numFmtId="15" fontId="186" fillId="0" borderId="0" xfId="23" applyNumberFormat="1" applyFont="1" applyAlignment="1">
      <alignment horizontal="right"/>
    </xf>
    <xf numFmtId="0" fontId="189" fillId="0" borderId="0" xfId="23" applyFont="1"/>
    <xf numFmtId="0" fontId="190" fillId="43" borderId="100" xfId="23" applyFont="1" applyFill="1" applyBorder="1" applyAlignment="1">
      <alignment horizontal="center" vertical="center" wrapText="1"/>
    </xf>
    <xf numFmtId="0" fontId="184" fillId="0" borderId="0" xfId="23" applyFont="1" applyAlignment="1">
      <alignment horizontal="center"/>
    </xf>
    <xf numFmtId="0" fontId="192" fillId="44" borderId="100" xfId="23" applyFont="1" applyFill="1" applyBorder="1" applyAlignment="1">
      <alignment horizontal="center" vertical="center" wrapText="1"/>
    </xf>
    <xf numFmtId="0" fontId="186" fillId="44" borderId="100" xfId="23" applyFont="1" applyFill="1" applyBorder="1" applyAlignment="1">
      <alignment horizontal="center" vertical="center" wrapText="1"/>
    </xf>
    <xf numFmtId="0" fontId="184" fillId="44" borderId="100" xfId="23" applyFont="1" applyFill="1" applyBorder="1" applyAlignment="1">
      <alignment horizontal="center" vertical="top" wrapText="1"/>
    </xf>
    <xf numFmtId="43" fontId="192" fillId="44" borderId="100" xfId="23" applyNumberFormat="1" applyFont="1" applyFill="1" applyBorder="1" applyAlignment="1">
      <alignment horizontal="right" vertical="center"/>
    </xf>
    <xf numFmtId="43" fontId="184" fillId="0" borderId="0" xfId="23" applyNumberFormat="1" applyFont="1"/>
    <xf numFmtId="0" fontId="184" fillId="0" borderId="144" xfId="23" applyFont="1" applyBorder="1" applyAlignment="1">
      <alignment horizontal="center" vertical="center" wrapText="1"/>
    </xf>
    <xf numFmtId="43" fontId="184" fillId="0" borderId="100" xfId="23" applyNumberFormat="1" applyFont="1" applyBorder="1" applyAlignment="1">
      <alignment horizontal="center" vertical="center" wrapText="1"/>
    </xf>
    <xf numFmtId="0" fontId="184" fillId="0" borderId="100" xfId="23" applyFont="1" applyBorder="1" applyAlignment="1">
      <alignment horizontal="center" vertical="center" wrapText="1"/>
    </xf>
    <xf numFmtId="43" fontId="184" fillId="0" borderId="100" xfId="23" applyNumberFormat="1" applyFont="1" applyBorder="1" applyAlignment="1">
      <alignment horizontal="right" vertical="center" wrapText="1"/>
    </xf>
    <xf numFmtId="43" fontId="184" fillId="31" borderId="100" xfId="23" applyNumberFormat="1" applyFont="1" applyFill="1" applyBorder="1" applyAlignment="1">
      <alignment horizontal="right" vertical="center" wrapText="1"/>
    </xf>
    <xf numFmtId="0" fontId="186" fillId="35" borderId="119" xfId="23" applyFont="1" applyFill="1" applyBorder="1" applyAlignment="1">
      <alignment horizontal="center" vertical="center" wrapText="1"/>
    </xf>
    <xf numFmtId="43" fontId="184" fillId="47" borderId="100" xfId="23" applyNumberFormat="1" applyFont="1" applyFill="1" applyBorder="1" applyAlignment="1">
      <alignment horizontal="center" vertical="center" wrapText="1"/>
    </xf>
    <xf numFmtId="0" fontId="169" fillId="0" borderId="0" xfId="23" applyFont="1"/>
    <xf numFmtId="43" fontId="184" fillId="5" borderId="100" xfId="23" applyNumberFormat="1" applyFont="1" applyFill="1" applyBorder="1" applyAlignment="1">
      <alignment horizontal="right" vertical="center" wrapText="1"/>
    </xf>
    <xf numFmtId="0" fontId="186" fillId="46" borderId="119" xfId="0" applyFont="1" applyFill="1" applyBorder="1" applyAlignment="1">
      <alignment horizontal="center" vertical="center" wrapText="1"/>
    </xf>
    <xf numFmtId="43" fontId="184" fillId="5" borderId="100" xfId="23" applyNumberFormat="1" applyFont="1" applyFill="1" applyBorder="1" applyAlignment="1">
      <alignment horizontal="center" vertical="center" wrapText="1"/>
    </xf>
    <xf numFmtId="43" fontId="184" fillId="31" borderId="100" xfId="23" applyNumberFormat="1" applyFont="1" applyFill="1" applyBorder="1" applyAlignment="1">
      <alignment horizontal="center" vertical="center" wrapText="1"/>
    </xf>
    <xf numFmtId="0" fontId="184" fillId="31" borderId="0" xfId="23" applyFont="1" applyFill="1"/>
    <xf numFmtId="0" fontId="186" fillId="9" borderId="122" xfId="23" applyFont="1" applyFill="1" applyBorder="1" applyAlignment="1">
      <alignment horizontal="center" vertical="center" wrapText="1"/>
    </xf>
    <xf numFmtId="0" fontId="184" fillId="9" borderId="100" xfId="0" applyFont="1" applyFill="1" applyBorder="1" applyAlignment="1">
      <alignment horizontal="justify" vertical="top" wrapText="1"/>
    </xf>
    <xf numFmtId="0" fontId="30" fillId="31" borderId="100" xfId="23" applyFont="1" applyFill="1" applyBorder="1" applyAlignment="1">
      <alignment horizontal="center" vertical="center" wrapText="1"/>
    </xf>
    <xf numFmtId="3" fontId="30" fillId="31" borderId="100" xfId="23" applyNumberFormat="1" applyFont="1" applyFill="1" applyBorder="1" applyAlignment="1">
      <alignment horizontal="right" vertical="center" wrapText="1"/>
    </xf>
    <xf numFmtId="4" fontId="30" fillId="31" borderId="100" xfId="23" applyNumberFormat="1" applyFont="1" applyFill="1" applyBorder="1" applyAlignment="1">
      <alignment horizontal="right" vertical="center" wrapText="1"/>
    </xf>
    <xf numFmtId="0" fontId="30" fillId="5" borderId="100" xfId="23" applyFont="1" applyFill="1" applyBorder="1" applyAlignment="1">
      <alignment horizontal="center" vertical="center" wrapText="1"/>
    </xf>
    <xf numFmtId="3" fontId="30" fillId="5" borderId="100" xfId="23" applyNumberFormat="1" applyFont="1" applyFill="1" applyBorder="1" applyAlignment="1">
      <alignment horizontal="right" vertical="center" wrapText="1"/>
    </xf>
    <xf numFmtId="4" fontId="30" fillId="5" borderId="100" xfId="23" applyNumberFormat="1" applyFont="1" applyFill="1" applyBorder="1" applyAlignment="1">
      <alignment horizontal="right" vertical="center" wrapText="1"/>
    </xf>
    <xf numFmtId="0" fontId="186" fillId="35" borderId="121" xfId="23" applyFont="1" applyFill="1" applyBorder="1" applyAlignment="1">
      <alignment horizontal="center" vertical="center" wrapText="1"/>
    </xf>
    <xf numFmtId="0" fontId="186" fillId="46" borderId="121" xfId="0" applyFont="1" applyFill="1" applyBorder="1" applyAlignment="1">
      <alignment horizontal="center" vertical="center" wrapText="1"/>
    </xf>
    <xf numFmtId="0" fontId="186" fillId="35" borderId="122" xfId="23" applyFont="1" applyFill="1" applyBorder="1" applyAlignment="1">
      <alignment horizontal="center" vertical="center" wrapText="1"/>
    </xf>
    <xf numFmtId="43" fontId="184" fillId="31" borderId="100" xfId="23" applyNumberFormat="1" applyFont="1" applyFill="1" applyBorder="1" applyAlignment="1">
      <alignment horizontal="right" vertical="center"/>
    </xf>
    <xf numFmtId="0" fontId="168" fillId="35" borderId="122" xfId="23" applyFont="1" applyFill="1" applyBorder="1" applyAlignment="1">
      <alignment horizontal="center" vertical="center" wrapText="1"/>
    </xf>
    <xf numFmtId="0" fontId="186" fillId="46" borderId="122" xfId="0" applyFont="1" applyFill="1" applyBorder="1" applyAlignment="1">
      <alignment horizontal="center" vertical="center" wrapText="1"/>
    </xf>
    <xf numFmtId="0" fontId="184" fillId="5" borderId="100" xfId="0" applyFont="1" applyFill="1" applyBorder="1" applyAlignment="1">
      <alignment horizontal="justify" vertical="top" wrapText="1"/>
    </xf>
    <xf numFmtId="43" fontId="186" fillId="35" borderId="121" xfId="23" applyNumberFormat="1" applyFont="1" applyFill="1" applyBorder="1" applyAlignment="1">
      <alignment vertical="center"/>
    </xf>
    <xf numFmtId="3" fontId="30" fillId="0" borderId="100" xfId="23" applyNumberFormat="1" applyFont="1" applyBorder="1" applyAlignment="1">
      <alignment horizontal="right" vertical="center" wrapText="1"/>
    </xf>
    <xf numFmtId="0" fontId="193" fillId="0" borderId="0" xfId="0" applyFont="1"/>
    <xf numFmtId="2" fontId="184" fillId="5" borderId="100" xfId="23" applyNumberFormat="1" applyFont="1" applyFill="1" applyBorder="1" applyAlignment="1">
      <alignment horizontal="right" vertical="center" wrapText="1"/>
    </xf>
    <xf numFmtId="0" fontId="184" fillId="5" borderId="100" xfId="23" applyFont="1" applyFill="1" applyBorder="1" applyAlignment="1">
      <alignment horizontal="right" vertical="center" wrapText="1"/>
    </xf>
    <xf numFmtId="0" fontId="184" fillId="5" borderId="100" xfId="23" applyFont="1" applyFill="1" applyBorder="1" applyAlignment="1">
      <alignment horizontal="center" vertical="center" wrapText="1"/>
    </xf>
    <xf numFmtId="0" fontId="186" fillId="48" borderId="100" xfId="0" applyFont="1" applyFill="1" applyBorder="1" applyAlignment="1">
      <alignment horizontal="center" vertical="center" wrapText="1"/>
    </xf>
    <xf numFmtId="43" fontId="184" fillId="49" borderId="100" xfId="23" applyNumberFormat="1" applyFont="1" applyFill="1" applyBorder="1" applyAlignment="1">
      <alignment horizontal="right" vertical="center" wrapText="1"/>
    </xf>
    <xf numFmtId="3" fontId="30" fillId="49" borderId="100" xfId="23" applyNumberFormat="1" applyFont="1" applyFill="1" applyBorder="1" applyAlignment="1">
      <alignment horizontal="right" vertical="center" wrapText="1"/>
    </xf>
    <xf numFmtId="0" fontId="186" fillId="24" borderId="119" xfId="23" applyFont="1" applyFill="1" applyBorder="1" applyAlignment="1">
      <alignment horizontal="center" vertical="center" wrapText="1"/>
    </xf>
    <xf numFmtId="0" fontId="184" fillId="5" borderId="144" xfId="23" applyFont="1" applyFill="1" applyBorder="1" applyAlignment="1">
      <alignment horizontal="center" vertical="center" wrapText="1"/>
    </xf>
    <xf numFmtId="0" fontId="186" fillId="24" borderId="121" xfId="23" applyFont="1" applyFill="1" applyBorder="1" applyAlignment="1">
      <alignment horizontal="center" vertical="center" wrapText="1"/>
    </xf>
    <xf numFmtId="0" fontId="186" fillId="50" borderId="121" xfId="0" applyFont="1" applyFill="1" applyBorder="1" applyAlignment="1">
      <alignment horizontal="center" vertical="center" wrapText="1"/>
    </xf>
    <xf numFmtId="0" fontId="186" fillId="24" borderId="122" xfId="23" applyFont="1" applyFill="1" applyBorder="1" applyAlignment="1">
      <alignment horizontal="center" vertical="center" wrapText="1"/>
    </xf>
    <xf numFmtId="49" fontId="184" fillId="31" borderId="100" xfId="0" applyNumberFormat="1" applyFont="1" applyFill="1" applyBorder="1" applyAlignment="1">
      <alignment horizontal="center" vertical="top" wrapText="1"/>
    </xf>
    <xf numFmtId="0" fontId="184" fillId="15" borderId="100" xfId="0" applyFont="1" applyFill="1" applyBorder="1" applyAlignment="1">
      <alignment horizontal="justify" vertical="top" wrapText="1"/>
    </xf>
    <xf numFmtId="49" fontId="184" fillId="31" borderId="119" xfId="0" applyNumberFormat="1" applyFont="1" applyFill="1" applyBorder="1" applyAlignment="1">
      <alignment horizontal="center" vertical="top" wrapText="1"/>
    </xf>
    <xf numFmtId="49" fontId="184" fillId="31" borderId="121" xfId="0" applyNumberFormat="1" applyFont="1" applyFill="1" applyBorder="1" applyAlignment="1">
      <alignment horizontal="center" vertical="top" wrapText="1"/>
    </xf>
    <xf numFmtId="49" fontId="184" fillId="31" borderId="122" xfId="0" applyNumberFormat="1" applyFont="1" applyFill="1" applyBorder="1" applyAlignment="1">
      <alignment horizontal="center" vertical="top" wrapText="1"/>
    </xf>
    <xf numFmtId="0" fontId="184" fillId="5" borderId="119" xfId="0" applyFont="1" applyFill="1" applyBorder="1" applyAlignment="1">
      <alignment horizontal="center" vertical="top" wrapText="1"/>
    </xf>
    <xf numFmtId="0" fontId="186" fillId="5" borderId="119" xfId="23" applyFont="1" applyFill="1" applyBorder="1" applyAlignment="1">
      <alignment horizontal="center" vertical="center" wrapText="1"/>
    </xf>
    <xf numFmtId="43" fontId="169" fillId="31" borderId="100" xfId="23" applyNumberFormat="1" applyFont="1" applyFill="1" applyBorder="1" applyAlignment="1">
      <alignment horizontal="center" vertical="center" wrapText="1"/>
    </xf>
    <xf numFmtId="0" fontId="186" fillId="51" borderId="121" xfId="0" applyFont="1" applyFill="1" applyBorder="1" applyAlignment="1">
      <alignment horizontal="center" vertical="center" wrapText="1"/>
    </xf>
    <xf numFmtId="43" fontId="169" fillId="31" borderId="100" xfId="23" applyNumberFormat="1" applyFont="1" applyFill="1" applyBorder="1" applyAlignment="1">
      <alignment horizontal="right" vertical="center" wrapText="1"/>
    </xf>
    <xf numFmtId="3" fontId="169" fillId="31" borderId="100" xfId="23" applyNumberFormat="1" applyFont="1" applyFill="1" applyBorder="1" applyAlignment="1">
      <alignment horizontal="right" vertical="center" wrapText="1"/>
    </xf>
    <xf numFmtId="43" fontId="184" fillId="5" borderId="100" xfId="23" applyNumberFormat="1" applyFont="1" applyFill="1" applyBorder="1" applyAlignment="1">
      <alignment horizontal="right" vertical="center"/>
    </xf>
    <xf numFmtId="0" fontId="185" fillId="44" borderId="100" xfId="23" applyFont="1" applyFill="1" applyBorder="1" applyAlignment="1">
      <alignment horizontal="center" vertical="center" wrapText="1"/>
    </xf>
    <xf numFmtId="0" fontId="188" fillId="44" borderId="100" xfId="23" applyFont="1" applyFill="1" applyBorder="1" applyAlignment="1">
      <alignment horizontal="center" vertical="top" wrapText="1"/>
    </xf>
    <xf numFmtId="43" fontId="185" fillId="44" borderId="100" xfId="23" applyNumberFormat="1" applyFont="1" applyFill="1" applyBorder="1" applyAlignment="1">
      <alignment horizontal="right" vertical="center"/>
    </xf>
    <xf numFmtId="0" fontId="188" fillId="0" borderId="0" xfId="23" applyFont="1"/>
    <xf numFmtId="0" fontId="186" fillId="24" borderId="119" xfId="23" applyFont="1" applyFill="1" applyBorder="1" applyAlignment="1">
      <alignment horizontal="right" vertical="center" wrapText="1"/>
    </xf>
    <xf numFmtId="3" fontId="184" fillId="5" borderId="100" xfId="23" applyNumberFormat="1" applyFont="1" applyFill="1" applyBorder="1" applyAlignment="1">
      <alignment horizontal="right" vertical="center" wrapText="1"/>
    </xf>
    <xf numFmtId="180" fontId="184" fillId="5" borderId="100" xfId="23" applyNumberFormat="1" applyFont="1" applyFill="1" applyBorder="1" applyAlignment="1">
      <alignment horizontal="right" vertical="center" wrapText="1"/>
    </xf>
    <xf numFmtId="3" fontId="194" fillId="43" borderId="100" xfId="23" applyNumberFormat="1" applyFont="1" applyFill="1" applyBorder="1" applyAlignment="1">
      <alignment horizontal="left" vertical="center"/>
    </xf>
    <xf numFmtId="3" fontId="196" fillId="43" borderId="100" xfId="23" applyNumberFormat="1" applyFont="1" applyFill="1" applyBorder="1" applyAlignment="1">
      <alignment horizontal="center" vertical="center"/>
    </xf>
    <xf numFmtId="43" fontId="191" fillId="43" borderId="100" xfId="23" applyNumberFormat="1" applyFont="1" applyFill="1" applyBorder="1" applyAlignment="1">
      <alignment horizontal="right" vertical="center"/>
    </xf>
    <xf numFmtId="43" fontId="184" fillId="0" borderId="0" xfId="23" applyNumberFormat="1" applyFont="1" applyAlignment="1">
      <alignment horizontal="left"/>
    </xf>
    <xf numFmtId="43" fontId="184" fillId="0" borderId="0" xfId="23" applyNumberFormat="1" applyFont="1" applyAlignment="1">
      <alignment horizontal="right"/>
    </xf>
    <xf numFmtId="0" fontId="65" fillId="24" borderId="0" xfId="0" applyFont="1" applyFill="1" applyBorder="1"/>
    <xf numFmtId="0" fontId="184" fillId="24" borderId="0" xfId="23" applyFont="1" applyFill="1"/>
    <xf numFmtId="0" fontId="184" fillId="24" borderId="0" xfId="23" applyFont="1" applyFill="1" applyAlignment="1">
      <alignment horizontal="center"/>
    </xf>
    <xf numFmtId="0" fontId="0" fillId="24" borderId="0" xfId="0" applyFill="1"/>
    <xf numFmtId="0" fontId="188" fillId="24" borderId="0" xfId="23" applyFont="1" applyFill="1"/>
    <xf numFmtId="0" fontId="0" fillId="0" borderId="0" xfId="0" applyBorder="1" applyAlignment="1">
      <alignment horizontal="center" vertical="center"/>
    </xf>
    <xf numFmtId="4" fontId="65" fillId="0" borderId="0" xfId="0" applyNumberFormat="1" applyFont="1" applyFill="1" applyBorder="1"/>
    <xf numFmtId="0" fontId="65" fillId="6" borderId="112" xfId="0" applyFont="1" applyFill="1" applyBorder="1" applyAlignment="1">
      <alignment horizontal="center"/>
    </xf>
    <xf numFmtId="0" fontId="65" fillId="6" borderId="113" xfId="0" applyFont="1" applyFill="1" applyBorder="1"/>
    <xf numFmtId="0" fontId="65" fillId="6" borderId="114" xfId="0" applyFont="1" applyFill="1" applyBorder="1"/>
    <xf numFmtId="0" fontId="184" fillId="0" borderId="0" xfId="23" applyFont="1" applyFill="1" applyBorder="1"/>
    <xf numFmtId="0" fontId="184" fillId="0" borderId="0" xfId="23" applyFont="1" applyFill="1" applyBorder="1" applyAlignment="1">
      <alignment horizontal="center"/>
    </xf>
    <xf numFmtId="0" fontId="131" fillId="0" borderId="0" xfId="0" applyFont="1" applyAlignment="1">
      <alignment horizontal="center"/>
    </xf>
    <xf numFmtId="0" fontId="0" fillId="6" borderId="0" xfId="0" applyFill="1" applyAlignment="1">
      <alignment horizontal="center" vertical="center"/>
    </xf>
    <xf numFmtId="0" fontId="99" fillId="6" borderId="0" xfId="0" applyFont="1" applyFill="1"/>
    <xf numFmtId="0" fontId="0" fillId="0" borderId="146" xfId="0" applyBorder="1"/>
    <xf numFmtId="0" fontId="197" fillId="0" borderId="100" xfId="4" applyFont="1" applyBorder="1" applyAlignment="1">
      <alignment horizontal="center" vertical="center" wrapText="1"/>
    </xf>
    <xf numFmtId="0" fontId="18" fillId="0" borderId="0" xfId="0" applyFont="1" applyAlignment="1">
      <alignment horizontal="right"/>
    </xf>
    <xf numFmtId="0" fontId="18" fillId="0" borderId="100" xfId="0" applyFont="1" applyBorder="1"/>
    <xf numFmtId="9" fontId="0" fillId="19" borderId="100" xfId="1" applyFont="1" applyFill="1" applyBorder="1"/>
    <xf numFmtId="0" fontId="0" fillId="7" borderId="100" xfId="0" applyFill="1" applyBorder="1"/>
    <xf numFmtId="0" fontId="18" fillId="0" borderId="139" xfId="0" applyFont="1" applyBorder="1"/>
    <xf numFmtId="0" fontId="0" fillId="0" borderId="109" xfId="0" applyBorder="1"/>
    <xf numFmtId="0" fontId="0" fillId="0" borderId="110" xfId="0" applyBorder="1"/>
    <xf numFmtId="0" fontId="18" fillId="7" borderId="138" xfId="0" applyFont="1" applyFill="1" applyBorder="1"/>
    <xf numFmtId="0" fontId="18" fillId="7" borderId="139" xfId="0" applyFont="1" applyFill="1" applyBorder="1"/>
    <xf numFmtId="0" fontId="18" fillId="7" borderId="140" xfId="0" applyFont="1" applyFill="1" applyBorder="1" applyAlignment="1">
      <alignment horizontal="center"/>
    </xf>
    <xf numFmtId="0" fontId="18" fillId="7" borderId="139" xfId="0" applyFont="1" applyFill="1" applyBorder="1" applyAlignment="1">
      <alignment wrapText="1"/>
    </xf>
    <xf numFmtId="4" fontId="0" fillId="0" borderId="111" xfId="0" applyNumberFormat="1" applyBorder="1" applyAlignment="1">
      <alignment horizontal="center" vertical="center"/>
    </xf>
    <xf numFmtId="0" fontId="18" fillId="18" borderId="157" xfId="0" applyFont="1" applyFill="1" applyBorder="1"/>
    <xf numFmtId="0" fontId="0" fillId="18" borderId="158" xfId="0" applyFill="1" applyBorder="1"/>
    <xf numFmtId="4" fontId="18" fillId="18" borderId="159" xfId="0" applyNumberFormat="1" applyFont="1" applyFill="1" applyBorder="1"/>
    <xf numFmtId="0" fontId="203" fillId="0" borderId="0" xfId="0" applyFont="1"/>
    <xf numFmtId="2" fontId="133" fillId="41" borderId="159" xfId="0" applyNumberFormat="1" applyFont="1" applyFill="1" applyBorder="1" applyAlignment="1">
      <alignment horizontal="center" vertical="center"/>
    </xf>
    <xf numFmtId="2" fontId="133" fillId="41" borderId="158" xfId="0" applyNumberFormat="1" applyFont="1" applyFill="1" applyBorder="1" applyAlignment="1">
      <alignment horizontal="center" vertical="center"/>
    </xf>
    <xf numFmtId="2" fontId="133" fillId="41" borderId="157" xfId="0" applyNumberFormat="1" applyFont="1" applyFill="1" applyBorder="1" applyAlignment="1">
      <alignment horizontal="left" vertical="center"/>
    </xf>
    <xf numFmtId="3" fontId="131" fillId="0" borderId="100" xfId="0" applyNumberFormat="1" applyFont="1" applyBorder="1" applyAlignment="1">
      <alignment horizontal="center"/>
    </xf>
    <xf numFmtId="0" fontId="72" fillId="0" borderId="154" xfId="0" applyFont="1" applyBorder="1" applyAlignment="1">
      <alignment horizontal="center"/>
    </xf>
    <xf numFmtId="0" fontId="0" fillId="19" borderId="154" xfId="0" applyFill="1" applyBorder="1" applyAlignment="1">
      <alignment horizontal="center"/>
    </xf>
    <xf numFmtId="0" fontId="0" fillId="19" borderId="0" xfId="0" applyFill="1" applyAlignment="1">
      <alignment horizontal="center"/>
    </xf>
    <xf numFmtId="2" fontId="131" fillId="0" borderId="89" xfId="0" applyNumberFormat="1" applyFont="1" applyFill="1" applyBorder="1" applyAlignment="1">
      <alignment horizontal="center"/>
    </xf>
    <xf numFmtId="0" fontId="131" fillId="0" borderId="90" xfId="0" applyFont="1" applyFill="1" applyBorder="1" applyAlignment="1">
      <alignment horizontal="center"/>
    </xf>
    <xf numFmtId="2" fontId="131" fillId="0" borderId="90" xfId="0" applyNumberFormat="1" applyFont="1" applyFill="1" applyBorder="1" applyAlignment="1">
      <alignment horizontal="center"/>
    </xf>
    <xf numFmtId="0" fontId="0" fillId="0" borderId="119" xfId="0" applyBorder="1" applyAlignment="1">
      <alignment horizontal="center"/>
    </xf>
    <xf numFmtId="0" fontId="18" fillId="0" borderId="38" xfId="0" applyFont="1" applyBorder="1" applyAlignment="1">
      <alignment horizontal="center"/>
    </xf>
    <xf numFmtId="4" fontId="18" fillId="0" borderId="36" xfId="0" applyNumberFormat="1" applyFont="1" applyBorder="1" applyAlignment="1">
      <alignment horizontal="center"/>
    </xf>
    <xf numFmtId="0" fontId="72" fillId="0" borderId="0" xfId="0" applyFont="1" applyAlignment="1">
      <alignment horizontal="center" vertical="center"/>
    </xf>
    <xf numFmtId="0" fontId="72" fillId="0" borderId="21" xfId="0" applyFont="1" applyBorder="1" applyAlignment="1">
      <alignment horizontal="center" vertical="center"/>
    </xf>
    <xf numFmtId="0" fontId="72" fillId="0" borderId="109" xfId="0" applyFont="1" applyBorder="1" applyAlignment="1">
      <alignment wrapText="1"/>
    </xf>
    <xf numFmtId="10" fontId="0" fillId="0" borderId="38" xfId="0" applyNumberFormat="1" applyFill="1" applyBorder="1" applyAlignment="1">
      <alignment horizontal="center" vertical="center"/>
    </xf>
    <xf numFmtId="0" fontId="131" fillId="0" borderId="46" xfId="0" applyFont="1" applyFill="1" applyBorder="1" applyAlignment="1">
      <alignment horizontal="center"/>
    </xf>
    <xf numFmtId="174" fontId="131" fillId="0" borderId="92" xfId="0" applyNumberFormat="1" applyFont="1" applyBorder="1" applyAlignment="1">
      <alignment horizontal="center"/>
    </xf>
    <xf numFmtId="173" fontId="131" fillId="0" borderId="92" xfId="0" applyNumberFormat="1" applyFont="1" applyBorder="1" applyAlignment="1">
      <alignment horizontal="center"/>
    </xf>
    <xf numFmtId="175" fontId="131" fillId="0" borderId="92" xfId="0" applyNumberFormat="1" applyFont="1" applyBorder="1" applyAlignment="1">
      <alignment horizontal="center"/>
    </xf>
    <xf numFmtId="173" fontId="131" fillId="0" borderId="161" xfId="0" applyNumberFormat="1" applyFont="1" applyBorder="1" applyAlignment="1">
      <alignment horizontal="center"/>
    </xf>
    <xf numFmtId="2" fontId="178" fillId="0" borderId="142" xfId="0" applyNumberFormat="1" applyFont="1" applyBorder="1" applyAlignment="1">
      <alignment horizontal="center"/>
    </xf>
    <xf numFmtId="2" fontId="131" fillId="0" borderId="162" xfId="0" applyNumberFormat="1" applyFont="1" applyBorder="1" applyAlignment="1">
      <alignment horizontal="center"/>
    </xf>
    <xf numFmtId="2" fontId="133" fillId="41" borderId="151" xfId="0" applyNumberFormat="1" applyFont="1" applyFill="1" applyBorder="1" applyAlignment="1">
      <alignment horizontal="center" vertical="center"/>
    </xf>
    <xf numFmtId="171" fontId="93" fillId="0" borderId="112" xfId="0" applyNumberFormat="1" applyFont="1" applyFill="1" applyBorder="1"/>
    <xf numFmtId="171" fontId="93" fillId="0" borderId="105" xfId="0" applyNumberFormat="1" applyFont="1" applyBorder="1"/>
    <xf numFmtId="171" fontId="93" fillId="0" borderId="103" xfId="0" applyNumberFormat="1" applyFont="1" applyBorder="1"/>
    <xf numFmtId="2" fontId="133" fillId="41" borderId="160" xfId="0" applyNumberFormat="1" applyFont="1" applyFill="1" applyBorder="1" applyAlignment="1">
      <alignment horizontal="center" vertical="center"/>
    </xf>
    <xf numFmtId="2" fontId="133" fillId="41" borderId="163" xfId="0" applyNumberFormat="1" applyFont="1" applyFill="1" applyBorder="1" applyAlignment="1">
      <alignment horizontal="center" vertical="center"/>
    </xf>
    <xf numFmtId="2" fontId="133" fillId="41" borderId="34" xfId="0" applyNumberFormat="1" applyFont="1" applyFill="1" applyBorder="1" applyAlignment="1">
      <alignment horizontal="center" vertical="center"/>
    </xf>
    <xf numFmtId="0" fontId="65" fillId="17" borderId="0" xfId="0" applyFont="1" applyFill="1" applyAlignment="1">
      <alignment vertical="top"/>
    </xf>
    <xf numFmtId="0" fontId="0" fillId="0" borderId="0" xfId="0" applyAlignment="1">
      <alignment vertical="top"/>
    </xf>
    <xf numFmtId="0" fontId="80" fillId="0" borderId="0" xfId="0" applyFont="1" applyAlignment="1">
      <alignment vertical="top"/>
    </xf>
    <xf numFmtId="0" fontId="202" fillId="31" borderId="105" xfId="25" applyNumberFormat="1" applyFont="1" applyFill="1" applyBorder="1" applyAlignment="1">
      <alignment horizontal="left" vertical="top" wrapText="1"/>
    </xf>
    <xf numFmtId="0" fontId="80" fillId="0" borderId="105" xfId="0" applyFont="1" applyBorder="1" applyAlignment="1">
      <alignment vertical="top"/>
    </xf>
    <xf numFmtId="9" fontId="80" fillId="0" borderId="0" xfId="0" applyNumberFormat="1" applyFont="1" applyAlignment="1">
      <alignment vertical="top"/>
    </xf>
    <xf numFmtId="0" fontId="15" fillId="0" borderId="0" xfId="0" applyFont="1"/>
    <xf numFmtId="0" fontId="18" fillId="0" borderId="100" xfId="0" applyFont="1" applyBorder="1" applyAlignment="1">
      <alignment wrapText="1"/>
    </xf>
    <xf numFmtId="0" fontId="18" fillId="0" borderId="106" xfId="0" applyFont="1" applyBorder="1" applyAlignment="1">
      <alignment wrapText="1"/>
    </xf>
    <xf numFmtId="0" fontId="18" fillId="0" borderId="144" xfId="0" applyFont="1" applyBorder="1"/>
    <xf numFmtId="0" fontId="18" fillId="0" borderId="145" xfId="0" applyFont="1" applyBorder="1"/>
    <xf numFmtId="0" fontId="0" fillId="19" borderId="106" xfId="0" applyFill="1" applyBorder="1" applyAlignment="1">
      <alignment horizontal="center" vertical="center"/>
    </xf>
    <xf numFmtId="0" fontId="204" fillId="0" borderId="0" xfId="0" applyFont="1"/>
    <xf numFmtId="0" fontId="26" fillId="45" borderId="100" xfId="0" applyFont="1" applyFill="1" applyBorder="1" applyAlignment="1">
      <alignment vertical="top" wrapText="1"/>
    </xf>
    <xf numFmtId="2" fontId="30" fillId="0" borderId="100" xfId="0" applyNumberFormat="1" applyFont="1" applyBorder="1" applyAlignment="1">
      <alignment horizontal="right" wrapText="1"/>
    </xf>
    <xf numFmtId="0" fontId="205" fillId="45" borderId="100" xfId="0" applyFont="1" applyFill="1" applyBorder="1" applyAlignment="1">
      <alignment vertical="top" wrapText="1"/>
    </xf>
    <xf numFmtId="0" fontId="203" fillId="0" borderId="0" xfId="0" applyFont="1" applyAlignment="1"/>
    <xf numFmtId="0" fontId="0" fillId="21" borderId="0" xfId="0" applyFill="1" applyAlignment="1" applyProtection="1">
      <alignment horizontal="left"/>
    </xf>
    <xf numFmtId="1" fontId="5" fillId="20" borderId="51" xfId="0" applyNumberFormat="1" applyFont="1" applyFill="1" applyBorder="1" applyAlignment="1" applyProtection="1">
      <alignment horizontal="left" vertical="center" wrapText="1"/>
      <protection locked="0"/>
    </xf>
    <xf numFmtId="0" fontId="0" fillId="0" borderId="104" xfId="0" applyBorder="1"/>
    <xf numFmtId="0" fontId="0" fillId="0" borderId="139" xfId="0" applyBorder="1" applyAlignment="1">
      <alignment wrapText="1"/>
    </xf>
    <xf numFmtId="0" fontId="18" fillId="0" borderId="164" xfId="0" applyFont="1" applyBorder="1" applyAlignment="1">
      <alignment wrapText="1"/>
    </xf>
    <xf numFmtId="0" fontId="0" fillId="18" borderId="151" xfId="0" applyFill="1" applyBorder="1"/>
    <xf numFmtId="0" fontId="18" fillId="0" borderId="160" xfId="0" applyFont="1" applyBorder="1" applyAlignment="1">
      <alignment horizontal="center"/>
    </xf>
    <xf numFmtId="0" fontId="18" fillId="0" borderId="163" xfId="0" applyFont="1" applyBorder="1" applyAlignment="1">
      <alignment horizontal="center"/>
    </xf>
    <xf numFmtId="0" fontId="0" fillId="0" borderId="165" xfId="0" applyBorder="1"/>
    <xf numFmtId="0" fontId="0" fillId="19" borderId="166" xfId="0" applyFill="1" applyBorder="1" applyAlignment="1">
      <alignment horizontal="center"/>
    </xf>
    <xf numFmtId="0" fontId="18" fillId="0" borderId="138" xfId="0" applyFont="1" applyBorder="1" applyAlignment="1">
      <alignment wrapText="1"/>
    </xf>
    <xf numFmtId="0" fontId="0" fillId="0" borderId="139" xfId="0" applyBorder="1"/>
    <xf numFmtId="0" fontId="15" fillId="0" borderId="105" xfId="0" applyFont="1" applyBorder="1"/>
    <xf numFmtId="0" fontId="18" fillId="0" borderId="107" xfId="0" applyFont="1" applyBorder="1" applyAlignment="1">
      <alignment wrapText="1"/>
    </xf>
    <xf numFmtId="0" fontId="18" fillId="7" borderId="107" xfId="0" applyFont="1" applyFill="1" applyBorder="1"/>
    <xf numFmtId="0" fontId="80" fillId="0" borderId="27" xfId="0" applyFont="1" applyBorder="1" applyAlignment="1">
      <alignment vertical="top"/>
    </xf>
    <xf numFmtId="9" fontId="80" fillId="0" borderId="0" xfId="0" applyNumberFormat="1" applyFont="1" applyBorder="1" applyAlignment="1">
      <alignment vertical="top"/>
    </xf>
    <xf numFmtId="0" fontId="80" fillId="0" borderId="0" xfId="0" applyFont="1" applyBorder="1" applyAlignment="1">
      <alignment vertical="top"/>
    </xf>
    <xf numFmtId="0" fontId="80" fillId="0" borderId="28" xfId="0" applyFont="1" applyBorder="1" applyAlignment="1">
      <alignment vertical="top"/>
    </xf>
    <xf numFmtId="0" fontId="206" fillId="0" borderId="0" xfId="0" applyFont="1"/>
    <xf numFmtId="0" fontId="0" fillId="21" borderId="0" xfId="0" applyFill="1" applyAlignment="1" applyProtection="1"/>
    <xf numFmtId="1" fontId="82" fillId="22" borderId="51" xfId="0" applyNumberFormat="1" applyFont="1" applyFill="1" applyBorder="1" applyAlignment="1" applyProtection="1">
      <alignment vertical="center" wrapText="1"/>
    </xf>
    <xf numFmtId="0" fontId="0" fillId="0" borderId="0" xfId="0" applyBorder="1" applyAlignment="1" applyProtection="1"/>
    <xf numFmtId="0" fontId="0" fillId="12" borderId="100" xfId="0" applyFill="1" applyBorder="1" applyAlignment="1">
      <alignment horizontal="center"/>
    </xf>
    <xf numFmtId="176" fontId="207" fillId="0" borderId="0" xfId="16" applyFont="1"/>
    <xf numFmtId="4" fontId="123" fillId="19" borderId="109" xfId="16" applyNumberFormat="1" applyFill="1" applyBorder="1"/>
    <xf numFmtId="4" fontId="0" fillId="0" borderId="100" xfId="0" applyNumberFormat="1" applyFont="1" applyBorder="1" applyAlignment="1">
      <alignment horizontal="center"/>
    </xf>
    <xf numFmtId="9" fontId="155" fillId="0" borderId="129" xfId="1" applyFont="1" applyFill="1" applyBorder="1" applyAlignment="1">
      <alignment horizontal="center"/>
    </xf>
    <xf numFmtId="9" fontId="155" fillId="0" borderId="119" xfId="1" applyFont="1" applyFill="1" applyBorder="1" applyAlignment="1">
      <alignment horizontal="center"/>
    </xf>
    <xf numFmtId="9" fontId="153" fillId="0" borderId="119" xfId="1" applyFont="1" applyFill="1" applyBorder="1" applyAlignment="1">
      <alignment horizontal="center"/>
    </xf>
    <xf numFmtId="9" fontId="153" fillId="0" borderId="130" xfId="1" applyFont="1" applyFill="1" applyBorder="1" applyAlignment="1">
      <alignment horizontal="center"/>
    </xf>
    <xf numFmtId="2" fontId="133" fillId="41" borderId="100" xfId="0" applyNumberFormat="1" applyFont="1" applyFill="1" applyBorder="1" applyAlignment="1">
      <alignment horizontal="center" vertical="center"/>
    </xf>
    <xf numFmtId="0" fontId="0" fillId="18" borderId="0" xfId="0" applyFill="1"/>
    <xf numFmtId="0" fontId="0" fillId="18" borderId="0" xfId="0" applyFont="1" applyFill="1"/>
    <xf numFmtId="0" fontId="127" fillId="18" borderId="0" xfId="0" applyFont="1" applyFill="1"/>
    <xf numFmtId="2" fontId="0" fillId="0" borderId="0" xfId="0" applyNumberFormat="1"/>
    <xf numFmtId="2" fontId="137" fillId="0" borderId="0" xfId="16" applyNumberFormat="1" applyFont="1"/>
    <xf numFmtId="2" fontId="133" fillId="0" borderId="100" xfId="0" applyNumberFormat="1" applyFont="1" applyFill="1" applyBorder="1" applyAlignment="1">
      <alignment horizontal="center" vertical="center"/>
    </xf>
    <xf numFmtId="0" fontId="0" fillId="0" borderId="0" xfId="0" applyFill="1" applyAlignment="1">
      <alignment horizontal="center"/>
    </xf>
    <xf numFmtId="0" fontId="127" fillId="0" borderId="0" xfId="0" applyFont="1" applyFill="1" applyAlignment="1">
      <alignment horizontal="center"/>
    </xf>
    <xf numFmtId="0" fontId="182" fillId="0" borderId="0" xfId="0" applyFont="1" applyFill="1" applyAlignment="1">
      <alignment horizontal="center"/>
    </xf>
    <xf numFmtId="0" fontId="72" fillId="0" borderId="154" xfId="0" applyFont="1" applyBorder="1"/>
    <xf numFmtId="4" fontId="0" fillId="6" borderId="38" xfId="0" applyNumberFormat="1" applyFill="1" applyBorder="1"/>
    <xf numFmtId="0" fontId="83" fillId="52" borderId="0" xfId="6" quotePrefix="1" applyFill="1"/>
    <xf numFmtId="0" fontId="206" fillId="0" borderId="0" xfId="0" applyFont="1" applyAlignment="1">
      <alignment vertical="center"/>
    </xf>
    <xf numFmtId="2" fontId="133" fillId="0" borderId="157" xfId="0" applyNumberFormat="1" applyFont="1" applyFill="1" applyBorder="1" applyAlignment="1">
      <alignment horizontal="left" vertical="center"/>
    </xf>
    <xf numFmtId="2" fontId="133" fillId="0" borderId="159" xfId="0" applyNumberFormat="1" applyFont="1" applyFill="1" applyBorder="1" applyAlignment="1">
      <alignment horizontal="center" vertical="center"/>
    </xf>
    <xf numFmtId="2" fontId="133" fillId="0" borderId="38" xfId="0" applyNumberFormat="1" applyFont="1" applyFill="1" applyBorder="1" applyAlignment="1">
      <alignment horizontal="center" vertical="center"/>
    </xf>
    <xf numFmtId="0" fontId="65" fillId="6" borderId="0" xfId="0" applyFont="1" applyFill="1" applyBorder="1" applyAlignment="1">
      <alignment wrapText="1"/>
    </xf>
    <xf numFmtId="2" fontId="176" fillId="0" borderId="0" xfId="0" applyNumberFormat="1" applyFont="1"/>
    <xf numFmtId="1" fontId="82" fillId="53" borderId="52" xfId="0" applyNumberFormat="1" applyFont="1" applyFill="1" applyBorder="1" applyAlignment="1" applyProtection="1">
      <alignment horizontal="center" vertical="center" wrapText="1"/>
    </xf>
    <xf numFmtId="0" fontId="185" fillId="0" borderId="0" xfId="0" applyFont="1"/>
    <xf numFmtId="0" fontId="0" fillId="0" borderId="0" xfId="0"/>
    <xf numFmtId="0" fontId="15" fillId="0" borderId="0" xfId="0" applyFont="1" applyAlignment="1">
      <alignment wrapText="1"/>
    </xf>
    <xf numFmtId="185" fontId="61" fillId="0" borderId="0" xfId="0" applyNumberFormat="1" applyFont="1"/>
    <xf numFmtId="0" fontId="15" fillId="0" borderId="0" xfId="0" applyFont="1"/>
    <xf numFmtId="185" fontId="15" fillId="0" borderId="0" xfId="0" applyNumberFormat="1" applyFont="1"/>
    <xf numFmtId="0" fontId="15" fillId="0" borderId="100" xfId="0" applyFont="1" applyBorder="1"/>
    <xf numFmtId="184" fontId="15" fillId="0" borderId="100" xfId="0" applyNumberFormat="1" applyFont="1" applyBorder="1"/>
    <xf numFmtId="185" fontId="15" fillId="0" borderId="100" xfId="0" applyNumberFormat="1" applyFont="1" applyBorder="1"/>
    <xf numFmtId="0" fontId="15" fillId="0" borderId="100" xfId="0" applyFont="1" applyBorder="1" applyAlignment="1">
      <alignment horizontal="right"/>
    </xf>
    <xf numFmtId="0" fontId="205" fillId="0" borderId="100" xfId="0" applyFont="1" applyBorder="1" applyAlignment="1">
      <alignment horizontal="right" wrapText="1"/>
    </xf>
    <xf numFmtId="4" fontId="44" fillId="7" borderId="100" xfId="0" applyNumberFormat="1" applyFont="1" applyFill="1" applyBorder="1" applyAlignment="1">
      <alignment horizontal="right"/>
    </xf>
    <xf numFmtId="0" fontId="15" fillId="6" borderId="100" xfId="0" applyFont="1" applyFill="1" applyBorder="1"/>
    <xf numFmtId="0" fontId="15" fillId="18" borderId="100" xfId="0" applyFont="1" applyFill="1" applyBorder="1"/>
    <xf numFmtId="0" fontId="61" fillId="18" borderId="100" xfId="0" applyFont="1" applyFill="1" applyBorder="1" applyAlignment="1">
      <alignment horizontal="center" vertical="center"/>
    </xf>
    <xf numFmtId="4" fontId="61" fillId="18" borderId="100" xfId="0" applyNumberFormat="1" applyFont="1" applyFill="1" applyBorder="1" applyAlignment="1">
      <alignment horizontal="center" vertical="center" wrapText="1"/>
    </xf>
    <xf numFmtId="0" fontId="61" fillId="18" borderId="100" xfId="0" applyFont="1" applyFill="1" applyBorder="1" applyAlignment="1">
      <alignment horizontal="center"/>
    </xf>
    <xf numFmtId="49" fontId="209" fillId="0" borderId="100" xfId="0" applyNumberFormat="1" applyFont="1" applyBorder="1" applyAlignment="1">
      <alignment vertical="center" wrapText="1"/>
    </xf>
    <xf numFmtId="43" fontId="0" fillId="0" borderId="108" xfId="0" applyNumberFormat="1" applyBorder="1" applyAlignment="1">
      <alignment horizontal="center" vertical="center"/>
    </xf>
    <xf numFmtId="49" fontId="209" fillId="0" borderId="110" xfId="0" applyNumberFormat="1" applyFont="1" applyBorder="1" applyAlignment="1">
      <alignment vertical="center" wrapText="1"/>
    </xf>
    <xf numFmtId="43" fontId="0" fillId="0" borderId="111" xfId="0" applyNumberFormat="1" applyBorder="1" applyAlignment="1">
      <alignment horizontal="center" vertical="center"/>
    </xf>
    <xf numFmtId="0" fontId="18" fillId="0" borderId="154" xfId="0" applyFont="1" applyFill="1" applyBorder="1" applyAlignment="1">
      <alignment horizontal="left"/>
    </xf>
    <xf numFmtId="0" fontId="0" fillId="0" borderId="154" xfId="0" applyFill="1" applyBorder="1" applyAlignment="1">
      <alignment horizontal="center"/>
    </xf>
    <xf numFmtId="0" fontId="208" fillId="18" borderId="138" xfId="0" applyFont="1" applyFill="1" applyBorder="1" applyAlignment="1">
      <alignment vertical="center" wrapText="1"/>
    </xf>
    <xf numFmtId="0" fontId="208" fillId="18" borderId="139" xfId="0" applyFont="1" applyFill="1" applyBorder="1" applyAlignment="1">
      <alignment vertical="center" wrapText="1"/>
    </xf>
    <xf numFmtId="0" fontId="208" fillId="18" borderId="140" xfId="0" applyFont="1" applyFill="1" applyBorder="1" applyAlignment="1">
      <alignment vertical="center" wrapText="1"/>
    </xf>
    <xf numFmtId="0" fontId="0" fillId="18" borderId="0" xfId="0" applyFill="1" applyBorder="1"/>
    <xf numFmtId="0" fontId="0" fillId="18" borderId="119" xfId="0" applyFill="1" applyBorder="1"/>
    <xf numFmtId="0" fontId="83" fillId="12" borderId="0" xfId="6" applyFill="1" applyBorder="1" applyAlignment="1">
      <alignment horizontal="center" vertical="center" wrapText="1"/>
    </xf>
    <xf numFmtId="0" fontId="83" fillId="54" borderId="0" xfId="6" applyFill="1"/>
    <xf numFmtId="0" fontId="18" fillId="0" borderId="0" xfId="0" applyFont="1" applyFill="1" applyBorder="1" applyAlignment="1">
      <alignment horizontal="left"/>
    </xf>
    <xf numFmtId="0" fontId="0" fillId="0" borderId="0" xfId="0" applyFill="1" applyBorder="1" applyAlignment="1">
      <alignment horizontal="center"/>
    </xf>
    <xf numFmtId="0" fontId="0" fillId="19" borderId="0" xfId="0" applyFill="1" applyBorder="1" applyAlignment="1">
      <alignment horizontal="center"/>
    </xf>
    <xf numFmtId="2" fontId="133" fillId="18" borderId="100" xfId="0" applyNumberFormat="1" applyFont="1" applyFill="1" applyBorder="1" applyAlignment="1">
      <alignment horizontal="center" vertical="center"/>
    </xf>
    <xf numFmtId="0" fontId="0" fillId="0" borderId="108" xfId="0" applyBorder="1" applyAlignment="1">
      <alignment horizontal="center" vertical="center"/>
    </xf>
    <xf numFmtId="4" fontId="73" fillId="55" borderId="0" xfId="1" applyNumberFormat="1" applyFont="1" applyFill="1" applyAlignment="1">
      <alignment horizontal="left"/>
    </xf>
    <xf numFmtId="2" fontId="73" fillId="55" borderId="0" xfId="1" applyNumberFormat="1" applyFont="1" applyFill="1" applyAlignment="1">
      <alignment horizontal="left"/>
    </xf>
    <xf numFmtId="4" fontId="18" fillId="18" borderId="0" xfId="0" applyNumberFormat="1" applyFont="1" applyFill="1"/>
    <xf numFmtId="0" fontId="206" fillId="0" borderId="0" xfId="0" applyFont="1" applyAlignment="1">
      <alignment horizontal="left"/>
    </xf>
    <xf numFmtId="0" fontId="18" fillId="0" borderId="100" xfId="0" applyFont="1" applyFill="1" applyBorder="1" applyAlignment="1">
      <alignment horizontal="center"/>
    </xf>
    <xf numFmtId="2" fontId="18" fillId="0" borderId="100" xfId="0" applyNumberFormat="1" applyFont="1" applyFill="1" applyBorder="1" applyAlignment="1">
      <alignment horizontal="center"/>
    </xf>
    <xf numFmtId="2" fontId="0" fillId="0" borderId="100" xfId="0" applyNumberFormat="1" applyBorder="1" applyAlignment="1">
      <alignment horizontal="center"/>
    </xf>
    <xf numFmtId="2" fontId="0" fillId="0" borderId="100" xfId="0" applyNumberFormat="1" applyBorder="1"/>
    <xf numFmtId="9" fontId="0" fillId="0" borderId="100" xfId="1" applyFont="1" applyBorder="1"/>
    <xf numFmtId="0" fontId="18" fillId="18" borderId="100" xfId="0" applyFont="1" applyFill="1" applyBorder="1"/>
    <xf numFmtId="0" fontId="18" fillId="18" borderId="100" xfId="0" applyFont="1" applyFill="1" applyBorder="1" applyAlignment="1">
      <alignment horizontal="center"/>
    </xf>
    <xf numFmtId="2" fontId="18" fillId="18" borderId="100" xfId="0" applyNumberFormat="1" applyFont="1" applyFill="1" applyBorder="1" applyAlignment="1">
      <alignment horizontal="center"/>
    </xf>
    <xf numFmtId="2" fontId="18" fillId="18" borderId="100" xfId="0" applyNumberFormat="1" applyFont="1" applyFill="1" applyBorder="1"/>
    <xf numFmtId="9" fontId="0" fillId="0" borderId="100" xfId="0" applyNumberFormat="1" applyBorder="1"/>
    <xf numFmtId="0" fontId="30" fillId="0" borderId="100" xfId="26" applyFont="1" applyBorder="1" applyAlignment="1">
      <alignment vertical="center" wrapText="1"/>
    </xf>
    <xf numFmtId="0" fontId="210" fillId="0" borderId="0" xfId="0" applyFont="1"/>
    <xf numFmtId="0" fontId="0" fillId="0" borderId="108" xfId="0" applyBorder="1" applyAlignment="1">
      <alignment horizontal="center" vertical="center"/>
    </xf>
    <xf numFmtId="0" fontId="0" fillId="0" borderId="0" xfId="0" applyNumberFormat="1" applyFill="1"/>
    <xf numFmtId="4" fontId="65" fillId="12" borderId="35" xfId="0" applyNumberFormat="1" applyFont="1" applyFill="1" applyBorder="1"/>
    <xf numFmtId="0" fontId="154" fillId="0" borderId="0" xfId="0" applyFont="1" applyFill="1" applyAlignment="1">
      <alignment vertical="center"/>
    </xf>
    <xf numFmtId="0" fontId="154" fillId="0" borderId="0" xfId="0" applyFont="1" applyFill="1" applyAlignment="1">
      <alignment horizontal="center" vertical="center"/>
    </xf>
    <xf numFmtId="0" fontId="154" fillId="0" borderId="0" xfId="0" applyFont="1" applyFill="1" applyAlignment="1">
      <alignment vertical="center" wrapText="1"/>
    </xf>
    <xf numFmtId="0" fontId="154" fillId="0" borderId="0" xfId="0" applyFont="1" applyFill="1" applyAlignment="1">
      <alignment horizontal="left" vertical="center" wrapText="1"/>
    </xf>
    <xf numFmtId="0" fontId="93" fillId="0" borderId="0" xfId="0" applyFont="1" applyFill="1" applyAlignment="1">
      <alignment horizontal="center" vertical="center"/>
    </xf>
    <xf numFmtId="4" fontId="154" fillId="0" borderId="0" xfId="0" applyNumberFormat="1" applyFont="1" applyFill="1" applyAlignment="1">
      <alignment horizontal="center" vertical="center"/>
    </xf>
    <xf numFmtId="0" fontId="0" fillId="0" borderId="0" xfId="0" applyAlignment="1"/>
    <xf numFmtId="0" fontId="154" fillId="0" borderId="0" xfId="0" applyFont="1" applyFill="1" applyAlignment="1"/>
    <xf numFmtId="0" fontId="154" fillId="0" borderId="121" xfId="0" applyNumberFormat="1" applyFont="1" applyFill="1" applyBorder="1" applyAlignment="1">
      <alignment horizontal="center" vertical="center"/>
    </xf>
    <xf numFmtId="0" fontId="83" fillId="54" borderId="0" xfId="6" applyFill="1" applyAlignment="1">
      <alignment wrapText="1"/>
    </xf>
    <xf numFmtId="0" fontId="70" fillId="0" borderId="100" xfId="0" applyFont="1" applyBorder="1" applyAlignment="1">
      <alignment wrapText="1"/>
    </xf>
    <xf numFmtId="0" fontId="0" fillId="0" borderId="100" xfId="0" applyNumberFormat="1" applyBorder="1"/>
    <xf numFmtId="0" fontId="211" fillId="0" borderId="0" xfId="0" applyFont="1" applyAlignment="1"/>
    <xf numFmtId="4" fontId="0" fillId="0" borderId="0" xfId="0" applyNumberFormat="1" applyAlignment="1">
      <alignment horizontal="center" vertical="center"/>
    </xf>
    <xf numFmtId="0" fontId="212" fillId="0" borderId="0" xfId="0" applyNumberFormat="1" applyFont="1" applyFill="1"/>
    <xf numFmtId="0" fontId="0" fillId="0" borderId="100" xfId="0" applyNumberFormat="1" applyFill="1" applyBorder="1"/>
    <xf numFmtId="0" fontId="0" fillId="0" borderId="0" xfId="0" applyNumberFormat="1" applyFill="1" applyAlignment="1">
      <alignment wrapText="1"/>
    </xf>
    <xf numFmtId="0" fontId="71" fillId="0" borderId="0" xfId="2" applyFont="1" applyBorder="1" applyProtection="1"/>
    <xf numFmtId="0" fontId="213" fillId="0" borderId="0" xfId="0" applyFont="1"/>
    <xf numFmtId="9" fontId="0" fillId="0" borderId="100" xfId="1" applyFont="1" applyBorder="1" applyAlignment="1">
      <alignment horizontal="center"/>
    </xf>
    <xf numFmtId="9" fontId="0" fillId="0" borderId="100" xfId="0" applyNumberFormat="1" applyBorder="1" applyAlignment="1">
      <alignment horizontal="center"/>
    </xf>
    <xf numFmtId="9" fontId="72" fillId="0" borderId="100" xfId="0" applyNumberFormat="1" applyFont="1" applyBorder="1" applyAlignment="1">
      <alignment horizontal="center"/>
    </xf>
    <xf numFmtId="9" fontId="0" fillId="0" borderId="119" xfId="1" applyFont="1" applyBorder="1" applyAlignment="1">
      <alignment horizontal="center"/>
    </xf>
    <xf numFmtId="4" fontId="133" fillId="41" borderId="38" xfId="0" applyNumberFormat="1" applyFont="1" applyFill="1" applyBorder="1" applyAlignment="1">
      <alignment horizontal="center" vertical="center"/>
    </xf>
    <xf numFmtId="0" fontId="214" fillId="0" borderId="0" xfId="0" applyFont="1" applyAlignment="1"/>
    <xf numFmtId="0" fontId="215" fillId="0" borderId="0" xfId="0" applyFont="1" applyAlignment="1"/>
    <xf numFmtId="0" fontId="65" fillId="0" borderId="100" xfId="0" applyFont="1" applyBorder="1"/>
    <xf numFmtId="0" fontId="0" fillId="0" borderId="100" xfId="0" applyFill="1" applyBorder="1" applyAlignment="1">
      <alignment horizontal="center"/>
    </xf>
    <xf numFmtId="0" fontId="0" fillId="0" borderId="108" xfId="0" applyBorder="1" applyAlignment="1">
      <alignment horizontal="center" vertical="center"/>
    </xf>
    <xf numFmtId="167" fontId="0" fillId="0" borderId="100" xfId="1" applyNumberFormat="1" applyFont="1" applyBorder="1" applyAlignment="1">
      <alignment horizontal="center"/>
    </xf>
    <xf numFmtId="2" fontId="133" fillId="18" borderId="157" xfId="0" applyNumberFormat="1" applyFont="1" applyFill="1" applyBorder="1" applyAlignment="1">
      <alignment horizontal="left" vertical="center"/>
    </xf>
    <xf numFmtId="2" fontId="133" fillId="18" borderId="151" xfId="0" applyNumberFormat="1" applyFont="1" applyFill="1" applyBorder="1" applyAlignment="1">
      <alignment horizontal="center" vertical="center"/>
    </xf>
    <xf numFmtId="2" fontId="133" fillId="18" borderId="159" xfId="0" applyNumberFormat="1" applyFont="1" applyFill="1" applyBorder="1" applyAlignment="1">
      <alignment horizontal="center" vertical="center"/>
    </xf>
    <xf numFmtId="4" fontId="133" fillId="18" borderId="38" xfId="0" applyNumberFormat="1" applyFont="1" applyFill="1" applyBorder="1" applyAlignment="1">
      <alignment horizontal="center" vertical="center"/>
    </xf>
    <xf numFmtId="2" fontId="0" fillId="0" borderId="119" xfId="0" applyNumberFormat="1" applyBorder="1" applyAlignment="1">
      <alignment horizontal="center"/>
    </xf>
    <xf numFmtId="2" fontId="133" fillId="18" borderId="100" xfId="0" applyNumberFormat="1" applyFont="1" applyFill="1" applyBorder="1" applyAlignment="1">
      <alignment horizontal="left" vertical="center"/>
    </xf>
    <xf numFmtId="4" fontId="133" fillId="18" borderId="100" xfId="0" applyNumberFormat="1" applyFont="1" applyFill="1" applyBorder="1" applyAlignment="1">
      <alignment horizontal="center" vertical="center"/>
    </xf>
    <xf numFmtId="0" fontId="0" fillId="0" borderId="0" xfId="0" applyNumberFormat="1"/>
    <xf numFmtId="2" fontId="0" fillId="19" borderId="100" xfId="1" applyNumberFormat="1" applyFont="1" applyFill="1" applyBorder="1"/>
    <xf numFmtId="2" fontId="133" fillId="41" borderId="157" xfId="0" applyNumberFormat="1" applyFont="1" applyFill="1" applyBorder="1" applyAlignment="1">
      <alignment horizontal="center" vertical="center"/>
    </xf>
    <xf numFmtId="1" fontId="205" fillId="0" borderId="100" xfId="0" applyNumberFormat="1" applyFont="1" applyBorder="1" applyAlignment="1">
      <alignment horizontal="center"/>
    </xf>
    <xf numFmtId="0" fontId="15" fillId="0" borderId="105" xfId="0" applyFont="1" applyBorder="1" applyAlignment="1">
      <alignment horizontal="center"/>
    </xf>
    <xf numFmtId="0" fontId="0" fillId="0" borderId="28" xfId="0" applyBorder="1" applyAlignment="1">
      <alignment horizontal="center"/>
    </xf>
    <xf numFmtId="0" fontId="80" fillId="0" borderId="0" xfId="0" applyFont="1" applyBorder="1" applyAlignment="1">
      <alignment horizontal="center" vertical="top"/>
    </xf>
    <xf numFmtId="0" fontId="80" fillId="0" borderId="28" xfId="0" applyFont="1" applyBorder="1" applyAlignment="1">
      <alignment horizontal="center" vertical="top"/>
    </xf>
    <xf numFmtId="0" fontId="0" fillId="18" borderId="151" xfId="0" applyFill="1" applyBorder="1" applyAlignment="1">
      <alignment horizontal="center"/>
    </xf>
    <xf numFmtId="4" fontId="18" fillId="18" borderId="159" xfId="0" applyNumberFormat="1" applyFont="1" applyFill="1" applyBorder="1" applyAlignment="1">
      <alignment horizontal="center"/>
    </xf>
    <xf numFmtId="2" fontId="0" fillId="19" borderId="100" xfId="1" applyNumberFormat="1" applyFont="1" applyFill="1" applyBorder="1" applyAlignment="1">
      <alignment horizontal="center"/>
    </xf>
    <xf numFmtId="2" fontId="0" fillId="0" borderId="100" xfId="1" applyNumberFormat="1" applyFont="1" applyBorder="1" applyAlignment="1">
      <alignment horizontal="center"/>
    </xf>
    <xf numFmtId="165" fontId="0" fillId="0" borderId="0" xfId="0" applyNumberFormat="1"/>
    <xf numFmtId="4" fontId="133" fillId="41" borderId="158" xfId="0" applyNumberFormat="1" applyFont="1" applyFill="1" applyBorder="1" applyAlignment="1">
      <alignment horizontal="center" vertical="center"/>
    </xf>
    <xf numFmtId="0" fontId="70" fillId="0" borderId="100" xfId="0" applyNumberFormat="1" applyFont="1" applyFill="1" applyBorder="1"/>
    <xf numFmtId="2" fontId="133" fillId="41" borderId="158" xfId="0" applyNumberFormat="1" applyFont="1" applyFill="1" applyBorder="1" applyAlignment="1">
      <alignment vertical="center"/>
    </xf>
    <xf numFmtId="9" fontId="93" fillId="0" borderId="0" xfId="0" applyNumberFormat="1" applyFont="1" applyAlignment="1">
      <alignment horizontal="center"/>
    </xf>
    <xf numFmtId="0" fontId="18" fillId="0" borderId="113" xfId="0" applyFont="1" applyBorder="1" applyAlignment="1">
      <alignment horizontal="center"/>
    </xf>
    <xf numFmtId="0" fontId="18" fillId="0" borderId="114" xfId="0" applyFont="1" applyBorder="1" applyAlignment="1">
      <alignment horizontal="center"/>
    </xf>
    <xf numFmtId="2" fontId="133" fillId="41" borderId="158" xfId="0" applyNumberFormat="1" applyFont="1" applyFill="1" applyBorder="1" applyAlignment="1">
      <alignment horizontal="left" vertical="center"/>
    </xf>
    <xf numFmtId="0" fontId="64" fillId="0" borderId="0" xfId="0" applyFont="1"/>
    <xf numFmtId="0" fontId="0" fillId="30" borderId="0" xfId="0" applyNumberFormat="1" applyFill="1"/>
    <xf numFmtId="0" fontId="211" fillId="10" borderId="100" xfId="0" applyNumberFormat="1" applyFont="1" applyFill="1" applyBorder="1"/>
    <xf numFmtId="0" fontId="70" fillId="55" borderId="100" xfId="0" applyNumberFormat="1" applyFont="1" applyFill="1" applyBorder="1"/>
    <xf numFmtId="1" fontId="70" fillId="55" borderId="100" xfId="0" applyNumberFormat="1" applyFont="1" applyFill="1" applyBorder="1"/>
    <xf numFmtId="0" fontId="70" fillId="0" borderId="100" xfId="0" applyNumberFormat="1" applyFont="1" applyBorder="1"/>
    <xf numFmtId="186" fontId="0" fillId="0" borderId="0" xfId="0" applyNumberFormat="1"/>
    <xf numFmtId="1" fontId="0" fillId="30" borderId="0" xfId="0" applyNumberFormat="1" applyFill="1"/>
    <xf numFmtId="0" fontId="211" fillId="0" borderId="0" xfId="0" applyNumberFormat="1" applyFont="1" applyFill="1"/>
    <xf numFmtId="0" fontId="217" fillId="0" borderId="0" xfId="0" applyNumberFormat="1" applyFont="1" applyFill="1"/>
    <xf numFmtId="0" fontId="0" fillId="0" borderId="100" xfId="0" applyNumberFormat="1" applyFill="1" applyBorder="1" applyAlignment="1">
      <alignment wrapText="1"/>
    </xf>
    <xf numFmtId="0" fontId="211" fillId="0" borderId="100" xfId="0" applyNumberFormat="1" applyFont="1" applyFill="1" applyBorder="1"/>
    <xf numFmtId="0" fontId="197" fillId="0" borderId="108" xfId="4" applyFont="1" applyBorder="1" applyAlignment="1">
      <alignment horizontal="center" vertical="center" wrapText="1"/>
    </xf>
    <xf numFmtId="0" fontId="26" fillId="0" borderId="100" xfId="4" applyFont="1" applyFill="1" applyBorder="1" applyAlignment="1">
      <alignment horizontal="left" wrapText="1"/>
    </xf>
    <xf numFmtId="4" fontId="199" fillId="0" borderId="100" xfId="0" applyNumberFormat="1" applyFont="1" applyBorder="1" applyAlignment="1">
      <alignment horizontal="center" wrapText="1"/>
    </xf>
    <xf numFmtId="173" fontId="198" fillId="0" borderId="153" xfId="0" applyNumberFormat="1" applyFont="1" applyFill="1" applyBorder="1" applyAlignment="1">
      <alignment wrapText="1"/>
    </xf>
    <xf numFmtId="0" fontId="44" fillId="7" borderId="100" xfId="25" applyNumberFormat="1" applyFont="1" applyFill="1" applyBorder="1" applyAlignment="1">
      <alignment horizontal="left" wrapText="1"/>
    </xf>
    <xf numFmtId="187" fontId="30" fillId="7" borderId="100" xfId="25" applyNumberFormat="1" applyFont="1" applyFill="1" applyBorder="1" applyAlignment="1">
      <alignment horizontal="right" wrapText="1"/>
    </xf>
    <xf numFmtId="173" fontId="30" fillId="7" borderId="100" xfId="25" applyNumberFormat="1" applyFont="1" applyFill="1" applyBorder="1" applyAlignment="1">
      <alignment horizontal="right" wrapText="1"/>
    </xf>
    <xf numFmtId="0" fontId="199" fillId="7" borderId="100" xfId="0" applyFont="1" applyFill="1" applyBorder="1" applyAlignment="1">
      <alignment horizontal="center" wrapText="1"/>
    </xf>
    <xf numFmtId="43" fontId="199" fillId="7" borderId="100" xfId="0" applyNumberFormat="1" applyFont="1" applyFill="1" applyBorder="1" applyAlignment="1">
      <alignment horizontal="center" wrapText="1"/>
    </xf>
    <xf numFmtId="0" fontId="198" fillId="0" borderId="122" xfId="0" applyNumberFormat="1" applyFont="1" applyFill="1" applyBorder="1" applyAlignment="1">
      <alignment wrapText="1"/>
    </xf>
    <xf numFmtId="175" fontId="198" fillId="0" borderId="153" xfId="0" applyNumberFormat="1" applyFont="1" applyFill="1" applyBorder="1" applyAlignment="1">
      <alignment wrapText="1"/>
    </xf>
    <xf numFmtId="4" fontId="0" fillId="0" borderId="0" xfId="0" applyNumberFormat="1" applyAlignment="1">
      <alignment horizontal="center"/>
    </xf>
    <xf numFmtId="0" fontId="0" fillId="12" borderId="0" xfId="0" applyFill="1"/>
    <xf numFmtId="9" fontId="0" fillId="19" borderId="154" xfId="0" applyNumberFormat="1" applyFill="1" applyBorder="1" applyAlignment="1">
      <alignment horizontal="center"/>
    </xf>
    <xf numFmtId="0" fontId="145" fillId="0" borderId="38" xfId="0" applyFont="1" applyBorder="1" applyAlignment="1">
      <alignment horizontal="center" vertical="center" wrapText="1"/>
    </xf>
    <xf numFmtId="0" fontId="56" fillId="0" borderId="159" xfId="0" applyFont="1" applyBorder="1" applyAlignment="1">
      <alignment horizontal="center" vertical="center" wrapText="1"/>
    </xf>
    <xf numFmtId="0" fontId="145" fillId="0" borderId="159" xfId="0" applyFont="1" applyBorder="1" applyAlignment="1">
      <alignment horizontal="center" vertical="center" wrapText="1"/>
    </xf>
    <xf numFmtId="0" fontId="56" fillId="0" borderId="0" xfId="0" applyFont="1" applyFill="1" applyBorder="1" applyAlignment="1">
      <alignment horizontal="center" vertical="center" wrapText="1"/>
    </xf>
    <xf numFmtId="4" fontId="56" fillId="0" borderId="100" xfId="0" applyNumberFormat="1" applyFont="1" applyBorder="1" applyAlignment="1">
      <alignment horizontal="center" vertical="center" wrapText="1"/>
    </xf>
    <xf numFmtId="4" fontId="145" fillId="0" borderId="100" xfId="0" applyNumberFormat="1" applyFont="1" applyBorder="1" applyAlignment="1">
      <alignment horizontal="center" vertical="center" wrapText="1"/>
    </xf>
    <xf numFmtId="4" fontId="56" fillId="6" borderId="100" xfId="0" applyNumberFormat="1" applyFont="1" applyFill="1" applyBorder="1" applyAlignment="1">
      <alignment horizontal="center" vertical="center" wrapText="1"/>
    </xf>
    <xf numFmtId="181" fontId="0" fillId="40" borderId="100" xfId="0" applyNumberFormat="1" applyFill="1" applyBorder="1" applyAlignment="1">
      <alignment horizontal="center" vertical="center"/>
    </xf>
    <xf numFmtId="0" fontId="0" fillId="6" borderId="136" xfId="0" applyFill="1" applyBorder="1" applyAlignment="1">
      <alignment horizontal="center" vertical="center"/>
    </xf>
    <xf numFmtId="4" fontId="56" fillId="12" borderId="100" xfId="0" applyNumberFormat="1" applyFont="1" applyFill="1" applyBorder="1" applyAlignment="1">
      <alignment horizontal="center" vertical="center" wrapText="1"/>
    </xf>
    <xf numFmtId="4" fontId="56" fillId="0" borderId="153" xfId="0" applyNumberFormat="1" applyFont="1" applyBorder="1" applyAlignment="1">
      <alignment horizontal="center" vertical="center" wrapText="1"/>
    </xf>
    <xf numFmtId="4" fontId="218" fillId="0" borderId="132" xfId="0" applyNumberFormat="1" applyFont="1" applyBorder="1" applyAlignment="1">
      <alignment horizontal="center" vertical="center" wrapText="1"/>
    </xf>
    <xf numFmtId="4" fontId="56" fillId="0" borderId="132" xfId="0" applyNumberFormat="1" applyFont="1" applyBorder="1" applyAlignment="1">
      <alignment horizontal="center" vertical="center" wrapText="1"/>
    </xf>
    <xf numFmtId="4" fontId="56" fillId="0" borderId="154" xfId="0" applyNumberFormat="1" applyFont="1" applyBorder="1" applyAlignment="1">
      <alignment horizontal="center" vertical="center" wrapText="1"/>
    </xf>
    <xf numFmtId="4" fontId="218" fillId="0" borderId="100" xfId="0" applyNumberFormat="1" applyFont="1" applyBorder="1" applyAlignment="1">
      <alignment horizontal="left" vertical="center" wrapText="1"/>
    </xf>
    <xf numFmtId="0" fontId="18" fillId="0" borderId="112" xfId="0" applyFont="1" applyBorder="1" applyAlignment="1">
      <alignment horizontal="center"/>
    </xf>
    <xf numFmtId="4" fontId="199" fillId="0" borderId="7" xfId="0" applyNumberFormat="1" applyFont="1" applyBorder="1" applyAlignment="1">
      <alignment horizontal="center" wrapText="1"/>
    </xf>
    <xf numFmtId="0" fontId="26" fillId="0" borderId="7" xfId="4" applyFont="1" applyFill="1" applyBorder="1" applyAlignment="1">
      <alignment horizontal="left" wrapText="1"/>
    </xf>
    <xf numFmtId="173" fontId="198" fillId="0" borderId="7" xfId="0" applyNumberFormat="1" applyFont="1" applyFill="1" applyBorder="1" applyAlignment="1">
      <alignment wrapText="1"/>
    </xf>
    <xf numFmtId="0" fontId="26" fillId="0" borderId="0" xfId="4" applyFont="1" applyFill="1" applyBorder="1" applyAlignment="1">
      <alignment horizontal="left" wrapText="1"/>
    </xf>
    <xf numFmtId="4" fontId="199" fillId="0" borderId="0" xfId="0" applyNumberFormat="1" applyFont="1" applyBorder="1" applyAlignment="1">
      <alignment horizontal="center" wrapText="1"/>
    </xf>
    <xf numFmtId="173" fontId="198" fillId="0" borderId="0" xfId="0" applyNumberFormat="1" applyFont="1" applyFill="1" applyBorder="1" applyAlignment="1">
      <alignment wrapText="1"/>
    </xf>
    <xf numFmtId="0" fontId="0" fillId="0" borderId="7" xfId="0" quotePrefix="1" applyFill="1" applyBorder="1"/>
    <xf numFmtId="2" fontId="133" fillId="41" borderId="21" xfId="0" applyNumberFormat="1" applyFont="1" applyFill="1" applyBorder="1" applyAlignment="1">
      <alignment horizontal="center" vertical="center"/>
    </xf>
    <xf numFmtId="0" fontId="220" fillId="0" borderId="0" xfId="0" applyFont="1"/>
    <xf numFmtId="0" fontId="221" fillId="0" borderId="0" xfId="0" applyFont="1" applyAlignment="1">
      <alignment horizontal="left"/>
    </xf>
    <xf numFmtId="0" fontId="206" fillId="0" borderId="0" xfId="0" applyFont="1" applyFill="1"/>
    <xf numFmtId="0" fontId="0" fillId="19" borderId="0" xfId="0" applyFill="1"/>
    <xf numFmtId="0" fontId="197" fillId="0" borderId="7" xfId="4" applyFont="1" applyBorder="1" applyAlignment="1">
      <alignment horizontal="center" vertical="center" wrapText="1"/>
    </xf>
    <xf numFmtId="0" fontId="197" fillId="0" borderId="8" xfId="4" applyFont="1" applyBorder="1" applyAlignment="1">
      <alignment horizontal="center" vertical="center" wrapText="1"/>
    </xf>
    <xf numFmtId="0" fontId="26" fillId="45" borderId="7" xfId="0" applyFont="1" applyFill="1" applyBorder="1" applyAlignment="1">
      <alignment vertical="top" wrapText="1"/>
    </xf>
    <xf numFmtId="0" fontId="30" fillId="0" borderId="7" xfId="0" applyNumberFormat="1" applyFont="1" applyBorder="1" applyAlignment="1">
      <alignment horizontal="right" wrapText="1"/>
    </xf>
    <xf numFmtId="2" fontId="30" fillId="0" borderId="7" xfId="0" applyNumberFormat="1" applyFont="1" applyBorder="1" applyAlignment="1">
      <alignment horizontal="right" wrapText="1"/>
    </xf>
    <xf numFmtId="184" fontId="30" fillId="0" borderId="7" xfId="0" applyNumberFormat="1" applyFont="1" applyBorder="1"/>
    <xf numFmtId="182" fontId="30" fillId="0" borderId="7" xfId="25" applyFont="1" applyBorder="1" applyAlignment="1">
      <alignment wrapText="1"/>
    </xf>
    <xf numFmtId="173" fontId="30" fillId="0" borderId="7" xfId="25" applyNumberFormat="1" applyFont="1" applyBorder="1" applyAlignment="1">
      <alignment wrapText="1"/>
    </xf>
    <xf numFmtId="0" fontId="145" fillId="0" borderId="0" xfId="4" applyFont="1"/>
    <xf numFmtId="182" fontId="30" fillId="31" borderId="7" xfId="25" applyFont="1" applyFill="1" applyBorder="1" applyAlignment="1">
      <alignment wrapText="1"/>
    </xf>
    <xf numFmtId="173" fontId="30" fillId="31" borderId="7" xfId="25" applyNumberFormat="1" applyFont="1" applyFill="1" applyBorder="1" applyAlignment="1">
      <alignment wrapText="1"/>
    </xf>
    <xf numFmtId="182" fontId="31" fillId="56" borderId="7" xfId="25" applyFont="1" applyFill="1" applyBorder="1" applyAlignment="1">
      <alignment wrapText="1"/>
    </xf>
    <xf numFmtId="173" fontId="30" fillId="56" borderId="7" xfId="25" applyNumberFormat="1" applyFont="1" applyFill="1" applyBorder="1" applyAlignment="1">
      <alignment wrapText="1"/>
    </xf>
    <xf numFmtId="175" fontId="31" fillId="56" borderId="7" xfId="25" applyNumberFormat="1" applyFont="1" applyFill="1" applyBorder="1" applyAlignment="1">
      <alignment wrapText="1"/>
    </xf>
    <xf numFmtId="0" fontId="0" fillId="0" borderId="108" xfId="0" applyBorder="1" applyAlignment="1">
      <alignment horizontal="center" vertical="center"/>
    </xf>
    <xf numFmtId="167" fontId="0" fillId="19" borderId="100" xfId="1" applyNumberFormat="1" applyFont="1" applyFill="1" applyBorder="1" applyAlignment="1">
      <alignment horizontal="center"/>
    </xf>
    <xf numFmtId="9" fontId="72" fillId="19" borderId="107" xfId="1" applyFont="1" applyFill="1" applyBorder="1" applyAlignment="1">
      <alignment horizontal="center" vertical="center"/>
    </xf>
    <xf numFmtId="9" fontId="72" fillId="19" borderId="100" xfId="1" applyFont="1" applyFill="1" applyBorder="1" applyAlignment="1">
      <alignment horizontal="center" vertical="center"/>
    </xf>
    <xf numFmtId="9" fontId="72" fillId="19" borderId="108" xfId="1" applyFont="1" applyFill="1" applyBorder="1" applyAlignment="1">
      <alignment horizontal="center" vertical="center"/>
    </xf>
    <xf numFmtId="0" fontId="0" fillId="19" borderId="138" xfId="0" applyFill="1" applyBorder="1" applyAlignment="1">
      <alignment horizontal="center"/>
    </xf>
    <xf numFmtId="0" fontId="0" fillId="19" borderId="140" xfId="0" applyFill="1" applyBorder="1" applyAlignment="1">
      <alignment horizontal="center" vertical="center"/>
    </xf>
    <xf numFmtId="0" fontId="154" fillId="0" borderId="100" xfId="0" applyFont="1" applyFill="1" applyBorder="1" applyAlignment="1">
      <alignment vertical="center"/>
    </xf>
    <xf numFmtId="0" fontId="30" fillId="0" borderId="100" xfId="0" applyNumberFormat="1" applyFont="1" applyBorder="1" applyAlignment="1">
      <alignment horizontal="right" wrapText="1"/>
    </xf>
    <xf numFmtId="182" fontId="30" fillId="0" borderId="100" xfId="25" applyFont="1" applyBorder="1" applyAlignment="1">
      <alignment wrapText="1"/>
    </xf>
    <xf numFmtId="173" fontId="30" fillId="0" borderId="100" xfId="25" applyNumberFormat="1" applyFont="1" applyBorder="1" applyAlignment="1">
      <alignment wrapText="1"/>
    </xf>
    <xf numFmtId="182" fontId="30" fillId="31" borderId="100" xfId="25" applyFont="1" applyFill="1" applyBorder="1" applyAlignment="1">
      <alignment wrapText="1"/>
    </xf>
    <xf numFmtId="173" fontId="30" fillId="31" borderId="100" xfId="25" applyNumberFormat="1" applyFont="1" applyFill="1" applyBorder="1" applyAlignment="1">
      <alignment wrapText="1"/>
    </xf>
    <xf numFmtId="182" fontId="31" fillId="56" borderId="100" xfId="25" applyFont="1" applyFill="1" applyBorder="1" applyAlignment="1">
      <alignment wrapText="1"/>
    </xf>
    <xf numFmtId="173" fontId="30" fillId="56" borderId="100" xfId="25" applyNumberFormat="1" applyFont="1" applyFill="1" applyBorder="1" applyAlignment="1">
      <alignment wrapText="1"/>
    </xf>
    <xf numFmtId="175" fontId="31" fillId="56" borderId="100" xfId="25" applyNumberFormat="1" applyFont="1" applyFill="1" applyBorder="1" applyAlignment="1">
      <alignment wrapText="1"/>
    </xf>
    <xf numFmtId="173" fontId="222" fillId="6" borderId="100" xfId="25" applyNumberFormat="1" applyFont="1" applyFill="1" applyBorder="1" applyAlignment="1">
      <alignment wrapText="1"/>
    </xf>
    <xf numFmtId="0" fontId="72" fillId="0" borderId="0" xfId="0" applyFont="1" applyFill="1"/>
    <xf numFmtId="0" fontId="0" fillId="6" borderId="0" xfId="0" applyFill="1" applyAlignment="1">
      <alignment horizontal="center"/>
    </xf>
    <xf numFmtId="1" fontId="205" fillId="0" borderId="100" xfId="0" applyNumberFormat="1" applyFont="1" applyFill="1" applyBorder="1" applyAlignment="1">
      <alignment horizontal="center"/>
    </xf>
    <xf numFmtId="1" fontId="205" fillId="45" borderId="100" xfId="0" applyNumberFormat="1" applyFont="1" applyFill="1" applyBorder="1" applyAlignment="1">
      <alignment horizontal="center"/>
    </xf>
    <xf numFmtId="4" fontId="199" fillId="0" borderId="100" xfId="0" applyNumberFormat="1" applyFont="1" applyBorder="1" applyAlignment="1">
      <alignment horizontal="center" vertical="center" wrapText="1"/>
    </xf>
    <xf numFmtId="43" fontId="199" fillId="7" borderId="100" xfId="0" applyNumberFormat="1" applyFont="1" applyFill="1" applyBorder="1" applyAlignment="1">
      <alignment horizontal="center" vertical="center" wrapText="1"/>
    </xf>
    <xf numFmtId="173" fontId="198" fillId="0" borderId="153" xfId="0" applyNumberFormat="1" applyFont="1" applyFill="1" applyBorder="1" applyAlignment="1">
      <alignment horizontal="center" vertical="center" wrapText="1"/>
    </xf>
    <xf numFmtId="173" fontId="30" fillId="7" borderId="100" xfId="25" applyNumberFormat="1" applyFont="1" applyFill="1" applyBorder="1" applyAlignment="1">
      <alignment horizontal="center" vertical="center" wrapText="1"/>
    </xf>
    <xf numFmtId="4" fontId="133" fillId="41" borderId="159" xfId="0" applyNumberFormat="1" applyFont="1" applyFill="1" applyBorder="1" applyAlignment="1">
      <alignment horizontal="center" vertical="center"/>
    </xf>
    <xf numFmtId="0" fontId="0" fillId="0" borderId="108" xfId="0" applyBorder="1" applyAlignment="1">
      <alignment horizontal="center" vertical="center"/>
    </xf>
    <xf numFmtId="4" fontId="199" fillId="0" borderId="100" xfId="0" applyNumberFormat="1" applyFont="1" applyFill="1" applyBorder="1" applyAlignment="1">
      <alignment horizontal="center" wrapText="1"/>
    </xf>
    <xf numFmtId="0" fontId="197" fillId="0" borderId="100" xfId="4" applyFont="1" applyFill="1" applyBorder="1" applyAlignment="1">
      <alignment horizontal="center" vertical="center" wrapText="1"/>
    </xf>
    <xf numFmtId="0" fontId="22" fillId="0" borderId="131" xfId="0" applyFont="1" applyFill="1" applyBorder="1" applyAlignment="1">
      <alignment wrapText="1"/>
    </xf>
    <xf numFmtId="173" fontId="198" fillId="0" borderId="100" xfId="0" applyNumberFormat="1" applyFont="1" applyFill="1" applyBorder="1" applyAlignment="1">
      <alignment wrapText="1"/>
    </xf>
    <xf numFmtId="0" fontId="139" fillId="18" borderId="100" xfId="0" applyNumberFormat="1" applyFont="1" applyFill="1" applyBorder="1" applyAlignment="1">
      <alignment wrapText="1"/>
    </xf>
    <xf numFmtId="43" fontId="199" fillId="18" borderId="100" xfId="0" applyNumberFormat="1" applyFont="1" applyFill="1" applyBorder="1" applyAlignment="1">
      <alignment horizontal="center" wrapText="1"/>
    </xf>
    <xf numFmtId="0" fontId="0" fillId="18" borderId="100" xfId="0" applyFill="1" applyBorder="1"/>
    <xf numFmtId="4" fontId="0" fillId="0" borderId="0" xfId="0" applyNumberFormat="1" applyBorder="1" applyAlignment="1">
      <alignment horizontal="center" vertical="center"/>
    </xf>
    <xf numFmtId="4" fontId="218" fillId="0" borderId="0" xfId="0" applyNumberFormat="1" applyFont="1" applyBorder="1" applyAlignment="1">
      <alignment horizontal="center" vertical="center" wrapText="1"/>
    </xf>
    <xf numFmtId="4" fontId="56" fillId="0" borderId="0" xfId="0" applyNumberFormat="1" applyFont="1" applyBorder="1" applyAlignment="1">
      <alignment horizontal="center" vertical="center" wrapText="1"/>
    </xf>
    <xf numFmtId="0" fontId="0" fillId="19" borderId="28" xfId="0" applyFill="1" applyBorder="1" applyAlignment="1">
      <alignment horizontal="center"/>
    </xf>
    <xf numFmtId="0" fontId="18" fillId="0" borderId="108" xfId="0" applyFont="1" applyBorder="1" applyAlignment="1">
      <alignment horizontal="center" vertical="center"/>
    </xf>
    <xf numFmtId="173" fontId="198" fillId="0" borderId="131" xfId="0" applyNumberFormat="1" applyFont="1" applyFill="1" applyBorder="1" applyAlignment="1">
      <alignment wrapText="1"/>
    </xf>
    <xf numFmtId="0" fontId="211" fillId="18" borderId="100" xfId="0" applyFont="1" applyFill="1" applyBorder="1"/>
    <xf numFmtId="0" fontId="211" fillId="18" borderId="100" xfId="0" applyFont="1" applyFill="1" applyBorder="1" applyAlignment="1">
      <alignment horizontal="center"/>
    </xf>
    <xf numFmtId="0" fontId="18" fillId="0" borderId="0" xfId="0" applyFont="1" applyBorder="1" applyAlignment="1">
      <alignment horizontal="center"/>
    </xf>
    <xf numFmtId="0" fontId="73" fillId="0" borderId="100" xfId="0" applyFont="1" applyBorder="1"/>
    <xf numFmtId="0" fontId="73" fillId="0" borderId="0" xfId="0" applyFont="1" applyFill="1" applyBorder="1"/>
    <xf numFmtId="0" fontId="18" fillId="0" borderId="154" xfId="0" applyFont="1" applyBorder="1"/>
    <xf numFmtId="0" fontId="18" fillId="0" borderId="154" xfId="0" applyFont="1" applyBorder="1" applyAlignment="1">
      <alignment horizontal="center"/>
    </xf>
    <xf numFmtId="0" fontId="18" fillId="0" borderId="154" xfId="0" applyFont="1" applyFill="1" applyBorder="1" applyAlignment="1">
      <alignment horizontal="center"/>
    </xf>
    <xf numFmtId="9" fontId="18" fillId="19" borderId="154" xfId="0" applyNumberFormat="1" applyFont="1" applyFill="1" applyBorder="1" applyAlignment="1">
      <alignment horizontal="center"/>
    </xf>
    <xf numFmtId="9" fontId="18" fillId="0" borderId="154" xfId="0" applyNumberFormat="1" applyFont="1" applyFill="1" applyBorder="1" applyAlignment="1">
      <alignment horizontal="center"/>
    </xf>
    <xf numFmtId="2" fontId="18" fillId="18" borderId="0" xfId="0" applyNumberFormat="1" applyFont="1" applyFill="1" applyBorder="1" applyAlignment="1">
      <alignment horizontal="center"/>
    </xf>
    <xf numFmtId="2" fontId="65" fillId="17" borderId="0" xfId="0" applyNumberFormat="1" applyFont="1" applyFill="1"/>
    <xf numFmtId="0" fontId="0" fillId="0" borderId="108" xfId="0" applyBorder="1" applyAlignment="1">
      <alignment horizontal="center" vertical="center"/>
    </xf>
    <xf numFmtId="4" fontId="73" fillId="0" borderId="0" xfId="0" applyNumberFormat="1" applyFont="1" applyProtection="1"/>
    <xf numFmtId="9" fontId="73" fillId="0" borderId="0" xfId="1" applyFont="1" applyProtection="1"/>
    <xf numFmtId="0" fontId="0" fillId="0" borderId="138" xfId="0" applyBorder="1"/>
    <xf numFmtId="4" fontId="0" fillId="0" borderId="140" xfId="0" applyNumberFormat="1" applyBorder="1"/>
    <xf numFmtId="4" fontId="0" fillId="0" borderId="108" xfId="0" applyNumberFormat="1" applyBorder="1"/>
    <xf numFmtId="0" fontId="22" fillId="0" borderId="27" xfId="0" applyFont="1" applyFill="1" applyBorder="1"/>
    <xf numFmtId="0" fontId="22" fillId="0" borderId="0" xfId="0" applyFont="1" applyBorder="1"/>
    <xf numFmtId="4" fontId="22" fillId="0" borderId="28" xfId="0" applyNumberFormat="1" applyFont="1" applyBorder="1"/>
    <xf numFmtId="0" fontId="223" fillId="0" borderId="27" xfId="0" applyFont="1" applyBorder="1"/>
    <xf numFmtId="0" fontId="223" fillId="0" borderId="0" xfId="0" applyFont="1" applyBorder="1"/>
    <xf numFmtId="0" fontId="223" fillId="0" borderId="28" xfId="0" applyFont="1" applyBorder="1"/>
    <xf numFmtId="0" fontId="223" fillId="0" borderId="0" xfId="0" applyFont="1"/>
    <xf numFmtId="0" fontId="105" fillId="0" borderId="27" xfId="0" applyFont="1" applyBorder="1"/>
    <xf numFmtId="4" fontId="223" fillId="0" borderId="28" xfId="0" applyNumberFormat="1" applyFont="1" applyBorder="1"/>
    <xf numFmtId="0" fontId="223" fillId="0" borderId="29" xfId="0" applyFont="1" applyBorder="1"/>
    <xf numFmtId="0" fontId="223" fillId="0" borderId="20" xfId="0" applyFont="1" applyBorder="1"/>
    <xf numFmtId="9" fontId="105" fillId="0" borderId="30" xfId="1" applyFont="1" applyBorder="1"/>
    <xf numFmtId="4" fontId="0" fillId="0" borderId="24" xfId="0" applyNumberFormat="1" applyFill="1" applyBorder="1" applyProtection="1"/>
    <xf numFmtId="0" fontId="0" fillId="12" borderId="7" xfId="0" applyFill="1" applyBorder="1"/>
    <xf numFmtId="4" fontId="133" fillId="41" borderId="21" xfId="0" applyNumberFormat="1" applyFont="1" applyFill="1" applyBorder="1" applyAlignment="1">
      <alignment horizontal="center" vertical="center"/>
    </xf>
    <xf numFmtId="2" fontId="72" fillId="19" borderId="7" xfId="1" applyNumberFormat="1" applyFont="1" applyFill="1" applyBorder="1" applyAlignment="1">
      <alignment horizontal="center"/>
    </xf>
    <xf numFmtId="0" fontId="0" fillId="0" borderId="7" xfId="0" quotePrefix="1" applyFill="1" applyBorder="1" applyAlignment="1">
      <alignment textRotation="90"/>
    </xf>
    <xf numFmtId="0" fontId="0" fillId="0" borderId="7" xfId="0" applyBorder="1" applyAlignment="1">
      <alignment textRotation="90"/>
    </xf>
    <xf numFmtId="0" fontId="0" fillId="0" borderId="121" xfId="0" applyFill="1" applyBorder="1" applyAlignment="1">
      <alignment textRotation="90"/>
    </xf>
    <xf numFmtId="0" fontId="72" fillId="0" borderId="0" xfId="0" applyNumberFormat="1" applyFont="1" applyFill="1"/>
    <xf numFmtId="0" fontId="224" fillId="0" borderId="27" xfId="0" applyFont="1" applyBorder="1" applyAlignment="1">
      <alignment horizontal="center" vertical="center"/>
    </xf>
    <xf numFmtId="0" fontId="220" fillId="0" borderId="0" xfId="0" applyFont="1" applyBorder="1"/>
    <xf numFmtId="0" fontId="220" fillId="0" borderId="28" xfId="0" applyFont="1" applyBorder="1"/>
    <xf numFmtId="0" fontId="224" fillId="0" borderId="107" xfId="0" applyFont="1" applyBorder="1" applyAlignment="1">
      <alignment horizontal="center" vertical="center" wrapText="1"/>
    </xf>
    <xf numFmtId="0" fontId="224" fillId="0" borderId="100" xfId="0" applyFont="1" applyBorder="1" applyAlignment="1">
      <alignment horizontal="center" vertical="center" wrapText="1"/>
    </xf>
    <xf numFmtId="0" fontId="225" fillId="0" borderId="100" xfId="0" applyFont="1" applyBorder="1" applyAlignment="1">
      <alignment horizontal="center" vertical="center" wrapText="1"/>
    </xf>
    <xf numFmtId="0" fontId="224" fillId="0" borderId="108" xfId="0" applyFont="1" applyBorder="1" applyAlignment="1">
      <alignment horizontal="center" vertical="center" wrapText="1"/>
    </xf>
    <xf numFmtId="0" fontId="226" fillId="0" borderId="100" xfId="0" applyFont="1" applyBorder="1" applyAlignment="1">
      <alignment horizontal="center" vertical="center" wrapText="1"/>
    </xf>
    <xf numFmtId="0" fontId="226" fillId="0" borderId="108" xfId="0" applyFont="1" applyBorder="1" applyAlignment="1">
      <alignment horizontal="center" vertical="center" wrapText="1"/>
    </xf>
    <xf numFmtId="0" fontId="226" fillId="0" borderId="107" xfId="0" applyFont="1" applyBorder="1" applyAlignment="1">
      <alignment horizontal="center" vertical="center" wrapText="1"/>
    </xf>
    <xf numFmtId="0" fontId="227" fillId="0" borderId="27" xfId="0" applyFont="1" applyBorder="1" applyAlignment="1">
      <alignment horizontal="center" vertical="center" wrapText="1"/>
    </xf>
    <xf numFmtId="0" fontId="227" fillId="0" borderId="0" xfId="0" applyFont="1" applyBorder="1" applyAlignment="1">
      <alignment horizontal="center" vertical="center" wrapText="1"/>
    </xf>
    <xf numFmtId="0" fontId="227" fillId="0" borderId="28" xfId="0" applyFont="1" applyBorder="1" applyAlignment="1">
      <alignment horizontal="center" vertical="center" wrapText="1"/>
    </xf>
    <xf numFmtId="0" fontId="228" fillId="0" borderId="100" xfId="0" applyFont="1" applyBorder="1" applyAlignment="1">
      <alignment horizontal="center" vertical="center" wrapText="1"/>
    </xf>
    <xf numFmtId="0" fontId="228" fillId="0" borderId="108" xfId="0" applyFont="1" applyBorder="1" applyAlignment="1">
      <alignment horizontal="center" vertical="center" wrapText="1"/>
    </xf>
    <xf numFmtId="0" fontId="226" fillId="0" borderId="109" xfId="0" applyFont="1" applyFill="1" applyBorder="1" applyAlignment="1">
      <alignment horizontal="center" vertical="center" wrapText="1"/>
    </xf>
    <xf numFmtId="0" fontId="228" fillId="0" borderId="110" xfId="0" applyFont="1" applyFill="1" applyBorder="1" applyAlignment="1">
      <alignment horizontal="center" vertical="center" wrapText="1"/>
    </xf>
    <xf numFmtId="0" fontId="228" fillId="0" borderId="111" xfId="0" applyFont="1" applyFill="1" applyBorder="1" applyAlignment="1">
      <alignment horizontal="center" vertical="center" wrapText="1"/>
    </xf>
    <xf numFmtId="0" fontId="228" fillId="12" borderId="100" xfId="0" applyFont="1" applyFill="1" applyBorder="1" applyAlignment="1">
      <alignment horizontal="center" vertical="center" wrapText="1"/>
    </xf>
    <xf numFmtId="0" fontId="220" fillId="0" borderId="100" xfId="0" applyFont="1" applyBorder="1" applyAlignment="1">
      <alignment horizontal="center" wrapText="1"/>
    </xf>
    <xf numFmtId="0" fontId="220" fillId="0" borderId="100" xfId="0" applyFont="1" applyBorder="1" applyAlignment="1">
      <alignment horizontal="center"/>
    </xf>
    <xf numFmtId="0" fontId="220" fillId="0" borderId="0" xfId="0" applyFont="1" applyAlignment="1">
      <alignment horizontal="center"/>
    </xf>
    <xf numFmtId="176" fontId="229" fillId="0" borderId="0" xfId="16" applyFont="1" applyAlignment="1">
      <alignment horizontal="center"/>
    </xf>
    <xf numFmtId="0" fontId="0" fillId="12" borderId="106" xfId="0" applyFill="1" applyBorder="1" applyAlignment="1">
      <alignment horizontal="center" vertical="center"/>
    </xf>
    <xf numFmtId="0" fontId="230" fillId="0" borderId="0" xfId="0" applyFont="1"/>
    <xf numFmtId="4" fontId="219" fillId="0" borderId="100" xfId="0" applyNumberFormat="1" applyFont="1" applyBorder="1"/>
    <xf numFmtId="0" fontId="219" fillId="0" borderId="100" xfId="0" applyFont="1" applyBorder="1"/>
    <xf numFmtId="0" fontId="0" fillId="0" borderId="108" xfId="0" applyBorder="1" applyAlignment="1">
      <alignment horizontal="center" vertical="center"/>
    </xf>
    <xf numFmtId="0" fontId="154" fillId="0" borderId="0" xfId="0" applyFont="1" applyFill="1" applyAlignment="1">
      <alignment horizontal="left" vertical="center"/>
    </xf>
    <xf numFmtId="0" fontId="216" fillId="54" borderId="0" xfId="6" applyFont="1" applyFill="1" applyAlignment="1">
      <alignment horizontal="center" vertical="center" wrapText="1"/>
    </xf>
    <xf numFmtId="0" fontId="96" fillId="0" borderId="0" xfId="0" applyFont="1" applyFill="1" applyAlignment="1">
      <alignment horizontal="center" vertical="center"/>
    </xf>
    <xf numFmtId="0" fontId="123" fillId="0" borderId="0" xfId="0" applyNumberFormat="1" applyFont="1" applyFill="1"/>
    <xf numFmtId="2" fontId="133" fillId="41" borderId="168" xfId="0" applyNumberFormat="1" applyFont="1" applyFill="1" applyBorder="1" applyAlignment="1">
      <alignment horizontal="left" vertical="center"/>
    </xf>
    <xf numFmtId="2" fontId="133" fillId="41" borderId="20" xfId="0" applyNumberFormat="1" applyFont="1" applyFill="1" applyBorder="1" applyAlignment="1">
      <alignment horizontal="center" vertical="center"/>
    </xf>
    <xf numFmtId="4" fontId="133" fillId="41" borderId="30" xfId="0" applyNumberFormat="1" applyFont="1" applyFill="1" applyBorder="1" applyAlignment="1">
      <alignment horizontal="center" vertical="center"/>
    </xf>
    <xf numFmtId="0" fontId="18" fillId="0" borderId="100" xfId="0" applyFont="1" applyBorder="1" applyAlignment="1">
      <alignment horizontal="center" vertical="center" wrapText="1"/>
    </xf>
    <xf numFmtId="0" fontId="65" fillId="0" borderId="100" xfId="0" applyFont="1" applyBorder="1" applyAlignment="1">
      <alignment horizontal="center" vertical="center" wrapText="1"/>
    </xf>
    <xf numFmtId="4" fontId="154" fillId="0" borderId="121" xfId="0" applyNumberFormat="1" applyFont="1" applyFill="1" applyBorder="1" applyAlignment="1">
      <alignment horizontal="center" vertical="center"/>
    </xf>
    <xf numFmtId="4" fontId="154" fillId="0" borderId="122" xfId="0" applyNumberFormat="1" applyFont="1" applyFill="1" applyBorder="1" applyAlignment="1">
      <alignment horizontal="center" vertical="center"/>
    </xf>
    <xf numFmtId="9" fontId="80" fillId="0" borderId="0" xfId="0" applyNumberFormat="1" applyFont="1" applyBorder="1" applyAlignment="1">
      <alignment horizontal="center" vertical="top"/>
    </xf>
    <xf numFmtId="0" fontId="231" fillId="0" borderId="100" xfId="0" applyFont="1" applyBorder="1"/>
    <xf numFmtId="0" fontId="231" fillId="0" borderId="100" xfId="0" applyFont="1" applyBorder="1" applyAlignment="1">
      <alignment wrapText="1"/>
    </xf>
    <xf numFmtId="0" fontId="225" fillId="0" borderId="100" xfId="0" applyFont="1" applyBorder="1"/>
    <xf numFmtId="0" fontId="232" fillId="0" borderId="100" xfId="0" applyFont="1" applyBorder="1"/>
    <xf numFmtId="0" fontId="231" fillId="0" borderId="100" xfId="0" applyFont="1" applyFill="1" applyBorder="1"/>
    <xf numFmtId="0" fontId="0" fillId="6" borderId="0" xfId="0" applyFill="1"/>
    <xf numFmtId="0" fontId="154" fillId="6" borderId="0" xfId="0" applyFont="1" applyFill="1" applyAlignment="1"/>
    <xf numFmtId="0" fontId="153" fillId="0" borderId="0" xfId="0" applyFont="1" applyFill="1" applyAlignment="1">
      <alignment vertical="center"/>
    </xf>
    <xf numFmtId="0" fontId="153" fillId="0" borderId="0" xfId="0" applyFont="1" applyFill="1" applyAlignment="1"/>
    <xf numFmtId="0" fontId="154" fillId="0" borderId="0" xfId="0" applyFont="1" applyFill="1" applyAlignment="1">
      <alignment horizontal="left" wrapText="1"/>
    </xf>
    <xf numFmtId="0" fontId="204" fillId="0" borderId="0" xfId="0" applyFont="1" applyAlignment="1"/>
    <xf numFmtId="0" fontId="234" fillId="0" borderId="107" xfId="0" applyFont="1" applyBorder="1" applyAlignment="1">
      <alignment vertical="center" wrapText="1"/>
    </xf>
    <xf numFmtId="0" fontId="234" fillId="0" borderId="109" xfId="0" applyFont="1" applyBorder="1" applyAlignment="1">
      <alignment vertical="center" wrapText="1"/>
    </xf>
    <xf numFmtId="0" fontId="29" fillId="0" borderId="0" xfId="0" applyFont="1"/>
    <xf numFmtId="0" fontId="131" fillId="0" borderId="100" xfId="0" applyFont="1" applyBorder="1" applyAlignment="1">
      <alignment wrapText="1"/>
    </xf>
    <xf numFmtId="0" fontId="128" fillId="0" borderId="100" xfId="0" applyFont="1" applyBorder="1"/>
    <xf numFmtId="0" fontId="131" fillId="0" borderId="100" xfId="0" applyFont="1" applyBorder="1"/>
    <xf numFmtId="0" fontId="128" fillId="0" borderId="100" xfId="0" applyFont="1" applyBorder="1" applyAlignment="1">
      <alignment wrapText="1"/>
    </xf>
    <xf numFmtId="0" fontId="178" fillId="0" borderId="100" xfId="0" applyFont="1" applyBorder="1"/>
    <xf numFmtId="0" fontId="0" fillId="6" borderId="0" xfId="0" applyFill="1" applyAlignment="1">
      <alignment horizontal="left"/>
    </xf>
    <xf numFmtId="0" fontId="0" fillId="0" borderId="108" xfId="0" applyBorder="1" applyAlignment="1">
      <alignment horizontal="center" vertical="center"/>
    </xf>
    <xf numFmtId="0" fontId="122" fillId="0" borderId="100" xfId="14" applyBorder="1"/>
    <xf numFmtId="0" fontId="97" fillId="0" borderId="100" xfId="14" applyFont="1" applyBorder="1"/>
    <xf numFmtId="0" fontId="235" fillId="59" borderId="100" xfId="14" applyFont="1" applyFill="1" applyBorder="1" applyAlignment="1">
      <alignment horizontal="center"/>
    </xf>
    <xf numFmtId="0" fontId="122" fillId="0" borderId="100" xfId="14" applyBorder="1" applyAlignment="1">
      <alignment horizontal="center"/>
    </xf>
    <xf numFmtId="0" fontId="18" fillId="0" borderId="119" xfId="0" applyFont="1" applyBorder="1"/>
    <xf numFmtId="0" fontId="18" fillId="0" borderId="123" xfId="0" applyFont="1" applyBorder="1"/>
    <xf numFmtId="0" fontId="26" fillId="0" borderId="0" xfId="4" applyFont="1" applyBorder="1" applyAlignment="1">
      <alignment horizontal="left" wrapText="1"/>
    </xf>
    <xf numFmtId="181" fontId="199" fillId="0" borderId="0" xfId="0" applyNumberFormat="1" applyFont="1" applyBorder="1" applyAlignment="1">
      <alignment horizontal="center" wrapText="1"/>
    </xf>
    <xf numFmtId="175" fontId="198" fillId="40" borderId="0" xfId="0" applyNumberFormat="1" applyFont="1" applyFill="1" applyBorder="1" applyAlignment="1">
      <alignment horizontal="right" vertical="center" wrapText="1"/>
    </xf>
    <xf numFmtId="175" fontId="198" fillId="0" borderId="0" xfId="0" applyNumberFormat="1" applyFont="1" applyBorder="1" applyAlignment="1">
      <alignment horizontal="right" vertical="center" wrapText="1"/>
    </xf>
    <xf numFmtId="0" fontId="198" fillId="0" borderId="0" xfId="0" applyFont="1" applyBorder="1" applyAlignment="1">
      <alignment wrapText="1"/>
    </xf>
    <xf numFmtId="1" fontId="200" fillId="0" borderId="0" xfId="24" applyNumberFormat="1" applyFont="1" applyBorder="1" applyAlignment="1">
      <alignment horizontal="right" vertical="center" wrapText="1"/>
    </xf>
    <xf numFmtId="175" fontId="198" fillId="0" borderId="0" xfId="0" applyNumberFormat="1" applyFont="1" applyBorder="1" applyAlignment="1">
      <alignment wrapText="1"/>
    </xf>
    <xf numFmtId="0" fontId="20" fillId="0" borderId="0" xfId="0" applyFont="1" applyBorder="1"/>
    <xf numFmtId="0" fontId="0" fillId="0" borderId="0" xfId="0" applyBorder="1" applyAlignment="1">
      <alignment vertical="top" wrapText="1"/>
    </xf>
    <xf numFmtId="0" fontId="2" fillId="0" borderId="0" xfId="27" applyBorder="1"/>
    <xf numFmtId="0" fontId="108" fillId="0" borderId="0" xfId="14" applyFont="1" applyBorder="1"/>
    <xf numFmtId="0" fontId="26" fillId="0" borderId="0" xfId="28" applyFont="1" applyBorder="1" applyAlignment="1">
      <alignment horizontal="left" wrapText="1"/>
    </xf>
    <xf numFmtId="181" fontId="199" fillId="0" borderId="0" xfId="14" applyNumberFormat="1" applyFont="1" applyBorder="1" applyAlignment="1">
      <alignment horizontal="center" wrapText="1"/>
    </xf>
    <xf numFmtId="0" fontId="2" fillId="31" borderId="0" xfId="29" applyFill="1" applyBorder="1" applyAlignment="1">
      <alignment wrapText="1"/>
    </xf>
    <xf numFmtId="0" fontId="65" fillId="31" borderId="0" xfId="29" applyFont="1" applyFill="1" applyBorder="1" applyAlignment="1">
      <alignment wrapText="1"/>
    </xf>
    <xf numFmtId="181" fontId="199" fillId="6" borderId="0" xfId="27" applyNumberFormat="1" applyFont="1" applyFill="1" applyBorder="1" applyAlignment="1">
      <alignment horizontal="center" wrapText="1"/>
    </xf>
    <xf numFmtId="0" fontId="23" fillId="31" borderId="0" xfId="29" applyFont="1" applyFill="1" applyBorder="1" applyAlignment="1">
      <alignment wrapText="1"/>
    </xf>
    <xf numFmtId="0" fontId="108" fillId="6" borderId="0" xfId="14" applyFont="1" applyFill="1" applyBorder="1"/>
    <xf numFmtId="0" fontId="108" fillId="0" borderId="0" xfId="14" applyFont="1" applyBorder="1" applyAlignment="1">
      <alignment horizontal="left"/>
    </xf>
    <xf numFmtId="0" fontId="2" fillId="0" borderId="0" xfId="27" applyFill="1"/>
    <xf numFmtId="0" fontId="108" fillId="0" borderId="0" xfId="14" applyFont="1" applyFill="1"/>
    <xf numFmtId="0" fontId="18" fillId="0" borderId="121" xfId="0" applyFont="1" applyBorder="1"/>
    <xf numFmtId="0" fontId="0" fillId="0" borderId="167" xfId="0" applyNumberFormat="1" applyFont="1" applyBorder="1" applyAlignment="1"/>
    <xf numFmtId="0" fontId="96" fillId="37" borderId="100" xfId="14" applyFont="1" applyFill="1" applyBorder="1"/>
    <xf numFmtId="0" fontId="96" fillId="37" borderId="100" xfId="14" applyFont="1" applyFill="1" applyBorder="1" applyAlignment="1">
      <alignment wrapText="1"/>
    </xf>
    <xf numFmtId="4" fontId="18" fillId="0" borderId="0" xfId="0" applyNumberFormat="1" applyFont="1" applyFill="1" applyBorder="1" applyAlignment="1">
      <alignment horizontal="center"/>
    </xf>
    <xf numFmtId="0" fontId="65" fillId="6" borderId="0" xfId="0" applyFont="1" applyFill="1" applyBorder="1" applyAlignment="1">
      <alignment horizontal="center"/>
    </xf>
    <xf numFmtId="0" fontId="0" fillId="0" borderId="0" xfId="27" applyFont="1" applyBorder="1"/>
    <xf numFmtId="1" fontId="0" fillId="0" borderId="0" xfId="0" applyNumberFormat="1"/>
    <xf numFmtId="4" fontId="65" fillId="6" borderId="0" xfId="0" applyNumberFormat="1" applyFont="1" applyFill="1" applyBorder="1" applyAlignment="1">
      <alignment wrapText="1"/>
    </xf>
    <xf numFmtId="0" fontId="236" fillId="0" borderId="0" xfId="14" applyFont="1" applyFill="1" applyBorder="1" applyAlignment="1">
      <alignment horizontal="center"/>
    </xf>
    <xf numFmtId="0" fontId="96" fillId="37" borderId="100" xfId="14" applyFont="1" applyFill="1" applyBorder="1" applyAlignment="1">
      <alignment horizontal="center"/>
    </xf>
    <xf numFmtId="0" fontId="153" fillId="0" borderId="0" xfId="0" applyFont="1" applyFill="1" applyAlignment="1">
      <alignment horizontal="center" vertical="center"/>
    </xf>
    <xf numFmtId="0" fontId="0" fillId="37" borderId="0" xfId="0" applyFill="1" applyBorder="1"/>
    <xf numFmtId="0" fontId="153" fillId="0" borderId="0" xfId="0" applyFont="1" applyFill="1" applyAlignment="1">
      <alignment horizontal="left" vertical="center" wrapText="1"/>
    </xf>
    <xf numFmtId="0" fontId="122" fillId="0" borderId="119" xfId="14" applyBorder="1"/>
    <xf numFmtId="0" fontId="97" fillId="0" borderId="119" xfId="14" applyFont="1" applyBorder="1"/>
    <xf numFmtId="0" fontId="235" fillId="59" borderId="119" xfId="14" applyFont="1" applyFill="1" applyBorder="1" applyAlignment="1">
      <alignment horizontal="center"/>
    </xf>
    <xf numFmtId="0" fontId="122" fillId="0" borderId="119" xfId="14" applyBorder="1" applyAlignment="1">
      <alignment horizontal="center"/>
    </xf>
    <xf numFmtId="0" fontId="122" fillId="0" borderId="139" xfId="14" applyBorder="1"/>
    <xf numFmtId="0" fontId="97" fillId="0" borderId="139" xfId="14" applyFont="1" applyBorder="1"/>
    <xf numFmtId="0" fontId="122" fillId="0" borderId="140" xfId="14" applyBorder="1" applyAlignment="1">
      <alignment horizontal="center"/>
    </xf>
    <xf numFmtId="0" fontId="122" fillId="0" borderId="108" xfId="14" applyBorder="1" applyAlignment="1">
      <alignment horizontal="center"/>
    </xf>
    <xf numFmtId="0" fontId="122" fillId="0" borderId="110" xfId="14" applyBorder="1" applyAlignment="1">
      <alignment horizontal="left"/>
    </xf>
    <xf numFmtId="0" fontId="97" fillId="0" borderId="110" xfId="14" applyFont="1" applyBorder="1"/>
    <xf numFmtId="0" fontId="122" fillId="0" borderId="110" xfId="14" applyBorder="1"/>
    <xf numFmtId="0" fontId="122" fillId="0" borderId="111" xfId="14" applyBorder="1" applyAlignment="1">
      <alignment horizontal="center"/>
    </xf>
    <xf numFmtId="0" fontId="0" fillId="0" borderId="142" xfId="0" applyBorder="1"/>
    <xf numFmtId="0" fontId="65" fillId="37" borderId="36" xfId="0" applyFont="1" applyFill="1" applyBorder="1"/>
    <xf numFmtId="4" fontId="65" fillId="37" borderId="0" xfId="0" applyNumberFormat="1" applyFont="1" applyFill="1" applyBorder="1"/>
    <xf numFmtId="0" fontId="65" fillId="7" borderId="36" xfId="0" applyFont="1" applyFill="1" applyBorder="1"/>
    <xf numFmtId="0" fontId="0" fillId="7" borderId="0" xfId="0" applyFill="1"/>
    <xf numFmtId="4" fontId="65" fillId="7" borderId="0" xfId="0" applyNumberFormat="1" applyFont="1" applyFill="1" applyBorder="1"/>
    <xf numFmtId="0" fontId="65" fillId="7" borderId="0" xfId="0" applyFont="1" applyFill="1" applyBorder="1"/>
    <xf numFmtId="4" fontId="154" fillId="0" borderId="119" xfId="0" applyNumberFormat="1" applyFont="1" applyFill="1" applyBorder="1" applyAlignment="1">
      <alignment horizontal="center" vertical="center"/>
    </xf>
    <xf numFmtId="0" fontId="65" fillId="37" borderId="0" xfId="0" applyFont="1" applyFill="1" applyBorder="1"/>
    <xf numFmtId="4" fontId="65" fillId="37" borderId="35" xfId="0" applyNumberFormat="1" applyFont="1" applyFill="1" applyBorder="1"/>
    <xf numFmtId="4" fontId="65" fillId="37" borderId="38" xfId="0" applyNumberFormat="1" applyFont="1" applyFill="1" applyBorder="1"/>
    <xf numFmtId="0" fontId="18" fillId="37" borderId="0" xfId="0" applyFont="1" applyFill="1" applyBorder="1"/>
    <xf numFmtId="0" fontId="0" fillId="0" borderId="0" xfId="0" applyBorder="1" applyAlignment="1">
      <alignment wrapText="1"/>
    </xf>
    <xf numFmtId="0" fontId="65" fillId="0" borderId="0" xfId="0" applyFont="1" applyBorder="1"/>
    <xf numFmtId="0" fontId="65" fillId="0" borderId="0" xfId="0" applyFont="1" applyBorder="1" applyAlignment="1">
      <alignment wrapText="1"/>
    </xf>
    <xf numFmtId="4" fontId="23" fillId="6" borderId="0" xfId="0" applyNumberFormat="1" applyFont="1" applyFill="1" applyBorder="1"/>
    <xf numFmtId="0" fontId="0" fillId="21" borderId="0" xfId="0" applyFill="1" applyBorder="1"/>
    <xf numFmtId="0" fontId="0" fillId="7" borderId="0" xfId="0" applyFill="1" applyBorder="1"/>
    <xf numFmtId="4" fontId="0" fillId="0" borderId="0" xfId="0" applyNumberFormat="1" applyAlignment="1"/>
    <xf numFmtId="0" fontId="65" fillId="7" borderId="0" xfId="0" applyFont="1" applyFill="1"/>
    <xf numFmtId="4" fontId="65" fillId="7" borderId="35" xfId="0" applyNumberFormat="1" applyFont="1" applyFill="1" applyBorder="1"/>
    <xf numFmtId="0" fontId="239" fillId="0" borderId="0" xfId="0" applyFont="1"/>
    <xf numFmtId="0" fontId="76" fillId="0" borderId="0" xfId="0" applyFont="1" applyBorder="1"/>
    <xf numFmtId="4" fontId="18" fillId="6" borderId="0" xfId="0" applyNumberFormat="1" applyFont="1" applyFill="1" applyBorder="1"/>
    <xf numFmtId="0" fontId="18" fillId="6" borderId="0" xfId="0" applyFont="1" applyFill="1" applyBorder="1" applyAlignment="1">
      <alignment horizontal="center"/>
    </xf>
    <xf numFmtId="0" fontId="76" fillId="7" borderId="0" xfId="0" applyFont="1" applyFill="1" applyBorder="1"/>
    <xf numFmtId="4" fontId="18" fillId="7" borderId="0" xfId="0" applyNumberFormat="1" applyFont="1" applyFill="1" applyBorder="1"/>
    <xf numFmtId="0" fontId="18" fillId="7" borderId="0" xfId="0" applyFont="1" applyFill="1" applyBorder="1"/>
    <xf numFmtId="0" fontId="65" fillId="19" borderId="0" xfId="0" applyFont="1" applyFill="1" applyBorder="1" applyAlignment="1">
      <alignment horizontal="center"/>
    </xf>
    <xf numFmtId="4" fontId="65" fillId="19" borderId="0" xfId="0" applyNumberFormat="1" applyFont="1" applyFill="1" applyBorder="1"/>
    <xf numFmtId="0" fontId="80" fillId="0" borderId="0" xfId="0" applyFont="1" applyBorder="1"/>
    <xf numFmtId="0" fontId="80" fillId="7" borderId="0" xfId="0" applyFont="1" applyFill="1" applyBorder="1"/>
    <xf numFmtId="0" fontId="0" fillId="0" borderId="0" xfId="0" applyBorder="1" applyAlignment="1">
      <alignment vertical="top"/>
    </xf>
    <xf numFmtId="0" fontId="0" fillId="7" borderId="0" xfId="0" applyFill="1" applyBorder="1" applyAlignment="1">
      <alignment vertical="top"/>
    </xf>
    <xf numFmtId="0" fontId="23" fillId="6" borderId="0" xfId="0" applyFont="1" applyFill="1" applyBorder="1" applyAlignment="1">
      <alignment horizontal="center"/>
    </xf>
    <xf numFmtId="0" fontId="206" fillId="0" borderId="0" xfId="0" applyFont="1" applyBorder="1"/>
    <xf numFmtId="0" fontId="0" fillId="0" borderId="0" xfId="0" applyAlignment="1">
      <alignment vertical="center" wrapText="1"/>
    </xf>
    <xf numFmtId="0" fontId="65" fillId="12" borderId="0" xfId="0" applyFont="1" applyFill="1" applyBorder="1" applyAlignment="1">
      <alignment horizontal="center"/>
    </xf>
    <xf numFmtId="4" fontId="65" fillId="0" borderId="0" xfId="0" applyNumberFormat="1" applyFont="1"/>
    <xf numFmtId="4" fontId="18" fillId="0" borderId="0" xfId="0" applyNumberFormat="1" applyFont="1"/>
    <xf numFmtId="171" fontId="18" fillId="0" borderId="0" xfId="30" applyNumberFormat="1" applyFont="1"/>
    <xf numFmtId="1" fontId="6" fillId="20" borderId="51" xfId="0" applyNumberFormat="1" applyFont="1" applyFill="1" applyBorder="1" applyAlignment="1" applyProtection="1">
      <alignment horizontal="center" vertical="center" wrapText="1"/>
    </xf>
    <xf numFmtId="1" fontId="6" fillId="20" borderId="52" xfId="0" applyNumberFormat="1" applyFont="1" applyFill="1" applyBorder="1" applyAlignment="1" applyProtection="1">
      <alignment horizontal="center" vertical="center" wrapText="1"/>
      <protection locked="0"/>
    </xf>
    <xf numFmtId="1" fontId="6" fillId="20" borderId="53" xfId="0" applyNumberFormat="1" applyFont="1" applyFill="1" applyBorder="1" applyAlignment="1" applyProtection="1">
      <alignment horizontal="center" vertical="center" wrapText="1"/>
      <protection locked="0"/>
    </xf>
    <xf numFmtId="1" fontId="6" fillId="20" borderId="51" xfId="0" applyNumberFormat="1" applyFont="1" applyFill="1" applyBorder="1" applyAlignment="1" applyProtection="1">
      <alignment horizontal="left" vertical="center" wrapText="1"/>
      <protection locked="0"/>
    </xf>
    <xf numFmtId="1" fontId="6" fillId="22" borderId="51" xfId="0" applyNumberFormat="1" applyFont="1" applyFill="1" applyBorder="1" applyAlignment="1" applyProtection="1">
      <alignment vertical="center" wrapText="1"/>
    </xf>
    <xf numFmtId="1" fontId="6" fillId="22" borderId="51" xfId="0" applyNumberFormat="1" applyFont="1" applyFill="1" applyBorder="1" applyAlignment="1" applyProtection="1">
      <alignment horizontal="center" vertical="center" wrapText="1"/>
    </xf>
    <xf numFmtId="1" fontId="6" fillId="22" borderId="52" xfId="0" applyNumberFormat="1" applyFont="1" applyFill="1" applyBorder="1" applyAlignment="1" applyProtection="1">
      <alignment horizontal="center" vertical="center" wrapText="1"/>
    </xf>
    <xf numFmtId="1" fontId="6" fillId="20" borderId="7" xfId="0" applyNumberFormat="1" applyFont="1" applyFill="1" applyBorder="1" applyAlignment="1" applyProtection="1">
      <alignment horizontal="center" vertical="center" wrapText="1"/>
      <protection locked="0"/>
    </xf>
    <xf numFmtId="4" fontId="6" fillId="25" borderId="54" xfId="0" applyNumberFormat="1" applyFont="1" applyFill="1" applyBorder="1" applyAlignment="1" applyProtection="1">
      <alignment horizontal="center" vertical="center" wrapText="1"/>
    </xf>
    <xf numFmtId="4" fontId="6" fillId="34" borderId="60" xfId="0" applyNumberFormat="1" applyFont="1" applyFill="1" applyBorder="1" applyAlignment="1" applyProtection="1">
      <alignment horizontal="center" vertical="center" wrapText="1"/>
    </xf>
    <xf numFmtId="0" fontId="72" fillId="0" borderId="0" xfId="0" applyFont="1" applyProtection="1"/>
    <xf numFmtId="171" fontId="0" fillId="0" borderId="0" xfId="0" applyNumberFormat="1"/>
    <xf numFmtId="2" fontId="18" fillId="0" borderId="0" xfId="0" applyNumberFormat="1" applyFont="1"/>
    <xf numFmtId="9" fontId="65" fillId="6" borderId="100" xfId="0" applyNumberFormat="1" applyFont="1" applyFill="1" applyBorder="1"/>
    <xf numFmtId="1" fontId="82" fillId="53" borderId="51" xfId="0" applyNumberFormat="1" applyFont="1" applyFill="1" applyBorder="1" applyAlignment="1" applyProtection="1">
      <alignment horizontal="center" vertical="center" wrapText="1"/>
    </xf>
    <xf numFmtId="1" fontId="82" fillId="53" borderId="52" xfId="0" applyNumberFormat="1" applyFont="1" applyFill="1" applyBorder="1" applyAlignment="1" applyProtection="1">
      <alignment horizontal="center" vertical="center" wrapText="1"/>
      <protection locked="0"/>
    </xf>
    <xf numFmtId="4" fontId="0" fillId="0" borderId="0" xfId="0" applyNumberFormat="1" applyFill="1"/>
    <xf numFmtId="3" fontId="93" fillId="0" borderId="100" xfId="0" applyNumberFormat="1" applyFont="1" applyBorder="1" applyAlignment="1">
      <alignment horizontal="center" vertical="center"/>
    </xf>
    <xf numFmtId="0" fontId="76" fillId="0" borderId="100" xfId="0" applyFont="1" applyBorder="1" applyAlignment="1">
      <alignment horizontal="center"/>
    </xf>
    <xf numFmtId="3" fontId="0" fillId="0" borderId="0" xfId="0" applyNumberFormat="1" applyAlignment="1">
      <alignment horizontal="center"/>
    </xf>
    <xf numFmtId="3" fontId="0" fillId="0" borderId="0" xfId="0" applyNumberFormat="1" applyAlignment="1">
      <alignment horizontal="center" vertical="center"/>
    </xf>
    <xf numFmtId="3" fontId="18" fillId="0" borderId="0" xfId="0" applyNumberFormat="1" applyFont="1" applyAlignment="1">
      <alignment horizontal="center"/>
    </xf>
    <xf numFmtId="9" fontId="93" fillId="19" borderId="100" xfId="1" applyFont="1" applyFill="1" applyBorder="1"/>
    <xf numFmtId="4" fontId="133" fillId="41" borderId="34" xfId="0" applyNumberFormat="1" applyFont="1" applyFill="1" applyBorder="1" applyAlignment="1">
      <alignment horizontal="center" vertical="center"/>
    </xf>
    <xf numFmtId="4" fontId="133" fillId="41" borderId="160" xfId="0" applyNumberFormat="1" applyFont="1" applyFill="1" applyBorder="1" applyAlignment="1">
      <alignment horizontal="center" vertical="center"/>
    </xf>
    <xf numFmtId="4" fontId="133" fillId="41" borderId="163" xfId="0" applyNumberFormat="1" applyFont="1" applyFill="1" applyBorder="1" applyAlignment="1">
      <alignment horizontal="center" vertical="center"/>
    </xf>
    <xf numFmtId="9" fontId="18" fillId="0" borderId="0" xfId="1" applyFont="1" applyAlignment="1">
      <alignment horizontal="center"/>
    </xf>
    <xf numFmtId="9" fontId="0" fillId="19" borderId="100" xfId="0" applyNumberFormat="1" applyFill="1" applyBorder="1" applyAlignment="1">
      <alignment horizontal="center" vertical="center"/>
    </xf>
    <xf numFmtId="0" fontId="93" fillId="0" borderId="104" xfId="0" applyFont="1" applyBorder="1"/>
    <xf numFmtId="0" fontId="93" fillId="0" borderId="103" xfId="0" applyFont="1" applyBorder="1"/>
    <xf numFmtId="3" fontId="93" fillId="0" borderId="169" xfId="0" applyNumberFormat="1" applyFont="1" applyBorder="1" applyAlignment="1">
      <alignment horizontal="center"/>
    </xf>
    <xf numFmtId="3" fontId="93" fillId="0" borderId="170" xfId="0" applyNumberFormat="1" applyFont="1" applyBorder="1" applyAlignment="1">
      <alignment horizontal="center"/>
    </xf>
    <xf numFmtId="3" fontId="93" fillId="0" borderId="133" xfId="0" applyNumberFormat="1" applyFont="1" applyBorder="1" applyAlignment="1">
      <alignment horizontal="center"/>
    </xf>
    <xf numFmtId="3" fontId="93" fillId="0" borderId="134" xfId="0" applyNumberFormat="1" applyFont="1" applyBorder="1" applyAlignment="1">
      <alignment horizontal="center"/>
    </xf>
    <xf numFmtId="9" fontId="0" fillId="19" borderId="107" xfId="0" applyNumberFormat="1" applyFill="1" applyBorder="1" applyAlignment="1">
      <alignment horizontal="center" vertical="center"/>
    </xf>
    <xf numFmtId="3" fontId="93" fillId="0" borderId="107" xfId="0" applyNumberFormat="1" applyFont="1" applyBorder="1" applyAlignment="1">
      <alignment horizontal="center" vertical="center"/>
    </xf>
    <xf numFmtId="3" fontId="93" fillId="0" borderId="108" xfId="0" applyNumberFormat="1" applyFont="1" applyBorder="1" applyAlignment="1">
      <alignment horizontal="center" vertical="center"/>
    </xf>
    <xf numFmtId="3" fontId="93" fillId="0" borderId="169" xfId="0" applyNumberFormat="1" applyFont="1" applyBorder="1"/>
    <xf numFmtId="3" fontId="93" fillId="0" borderId="170" xfId="0" applyNumberFormat="1" applyFont="1" applyBorder="1"/>
    <xf numFmtId="0" fontId="76" fillId="0" borderId="107" xfId="0" applyFont="1" applyBorder="1" applyAlignment="1">
      <alignment horizontal="center"/>
    </xf>
    <xf numFmtId="0" fontId="76" fillId="0" borderId="108" xfId="0" applyFont="1" applyBorder="1" applyAlignment="1">
      <alignment horizontal="center"/>
    </xf>
    <xf numFmtId="3" fontId="69" fillId="0" borderId="27" xfId="0" applyNumberFormat="1" applyFont="1" applyBorder="1"/>
    <xf numFmtId="3" fontId="69" fillId="0" borderId="0" xfId="0" applyNumberFormat="1" applyFont="1" applyBorder="1"/>
    <xf numFmtId="3" fontId="69" fillId="0" borderId="28" xfId="0" applyNumberFormat="1" applyFont="1" applyBorder="1"/>
    <xf numFmtId="3" fontId="93" fillId="0" borderId="0" xfId="0" applyNumberFormat="1" applyFont="1" applyBorder="1" applyAlignment="1">
      <alignment horizontal="center"/>
    </xf>
    <xf numFmtId="0" fontId="0" fillId="0" borderId="27" xfId="0" applyBorder="1" applyAlignment="1">
      <alignment horizontal="center"/>
    </xf>
    <xf numFmtId="3" fontId="93" fillId="0" borderId="27" xfId="0" applyNumberFormat="1" applyFont="1" applyBorder="1" applyAlignment="1">
      <alignment horizontal="center"/>
    </xf>
    <xf numFmtId="3" fontId="93" fillId="0" borderId="28" xfId="0" applyNumberFormat="1" applyFont="1" applyBorder="1" applyAlignment="1">
      <alignment horizontal="center"/>
    </xf>
    <xf numFmtId="9" fontId="0" fillId="19" borderId="101" xfId="0" applyNumberFormat="1" applyFill="1" applyBorder="1" applyAlignment="1">
      <alignment horizontal="center" vertical="center"/>
    </xf>
    <xf numFmtId="9" fontId="0" fillId="19" borderId="160" xfId="0" applyNumberFormat="1" applyFill="1" applyBorder="1" applyAlignment="1">
      <alignment horizontal="center" vertical="center"/>
    </xf>
    <xf numFmtId="0" fontId="0" fillId="0" borderId="160" xfId="0" applyBorder="1"/>
    <xf numFmtId="0" fontId="0" fillId="0" borderId="163" xfId="0" applyBorder="1"/>
    <xf numFmtId="3" fontId="93" fillId="0" borderId="0" xfId="0" applyNumberFormat="1" applyFont="1" applyBorder="1"/>
    <xf numFmtId="0" fontId="96" fillId="18" borderId="160" xfId="0" applyFont="1" applyFill="1" applyBorder="1" applyAlignment="1">
      <alignment horizontal="center"/>
    </xf>
    <xf numFmtId="0" fontId="96" fillId="18" borderId="163" xfId="0" applyFont="1" applyFill="1" applyBorder="1" applyAlignment="1">
      <alignment horizontal="center"/>
    </xf>
    <xf numFmtId="3" fontId="93" fillId="0" borderId="27" xfId="0" applyNumberFormat="1" applyFont="1" applyBorder="1"/>
    <xf numFmtId="3" fontId="93" fillId="0" borderId="28" xfId="0" applyNumberFormat="1" applyFont="1" applyBorder="1"/>
    <xf numFmtId="3" fontId="93" fillId="0" borderId="168" xfId="0" applyNumberFormat="1" applyFont="1" applyBorder="1"/>
    <xf numFmtId="3" fontId="93" fillId="0" borderId="20" xfId="0" applyNumberFormat="1" applyFont="1" applyBorder="1"/>
    <xf numFmtId="3" fontId="93" fillId="0" borderId="30" xfId="0" applyNumberFormat="1" applyFont="1" applyBorder="1"/>
    <xf numFmtId="3" fontId="93" fillId="0" borderId="0" xfId="0" applyNumberFormat="1" applyFont="1" applyFill="1" applyBorder="1"/>
    <xf numFmtId="3" fontId="93" fillId="0" borderId="0" xfId="0" applyNumberFormat="1" applyFont="1" applyFill="1" applyBorder="1" applyAlignment="1">
      <alignment horizontal="center"/>
    </xf>
    <xf numFmtId="0" fontId="0" fillId="60" borderId="0" xfId="0" applyFill="1" applyBorder="1"/>
    <xf numFmtId="0" fontId="72" fillId="60" borderId="0" xfId="0" applyFont="1" applyFill="1" applyBorder="1"/>
    <xf numFmtId="4" fontId="0" fillId="12" borderId="0" xfId="0" applyNumberFormat="1" applyFill="1"/>
    <xf numFmtId="188" fontId="72" fillId="0" borderId="0" xfId="0" applyNumberFormat="1" applyFont="1"/>
    <xf numFmtId="188" fontId="22" fillId="0" borderId="0" xfId="0" applyNumberFormat="1" applyFont="1"/>
    <xf numFmtId="9" fontId="65" fillId="0" borderId="0" xfId="0" applyNumberFormat="1" applyFont="1"/>
    <xf numFmtId="9" fontId="65" fillId="0" borderId="100" xfId="0" applyNumberFormat="1" applyFont="1" applyBorder="1"/>
    <xf numFmtId="0" fontId="5" fillId="0" borderId="100" xfId="0" applyFont="1" applyBorder="1" applyAlignment="1">
      <alignment horizontal="center" vertical="center" wrapText="1"/>
    </xf>
    <xf numFmtId="0" fontId="5" fillId="0" borderId="110" xfId="0" applyFont="1" applyFill="1" applyBorder="1" applyAlignment="1">
      <alignment horizontal="center" vertical="center" wrapText="1"/>
    </xf>
    <xf numFmtId="2" fontId="149" fillId="19" borderId="100" xfId="16" applyNumberFormat="1" applyFont="1" applyFill="1" applyBorder="1" applyAlignment="1">
      <alignment horizontal="center" vertical="center" wrapText="1"/>
    </xf>
    <xf numFmtId="0" fontId="0" fillId="12" borderId="108" xfId="0" applyFill="1" applyBorder="1" applyAlignment="1">
      <alignment horizontal="center" vertical="center"/>
    </xf>
    <xf numFmtId="4" fontId="199" fillId="12" borderId="100" xfId="0" applyNumberFormat="1" applyFont="1" applyFill="1" applyBorder="1" applyAlignment="1">
      <alignment horizontal="center" wrapText="1"/>
    </xf>
    <xf numFmtId="0" fontId="240" fillId="0" borderId="0" xfId="0" applyFont="1"/>
    <xf numFmtId="0" fontId="72" fillId="0" borderId="100" xfId="27" applyFont="1" applyBorder="1"/>
    <xf numFmtId="1" fontId="237" fillId="0" borderId="100" xfId="31" applyNumberFormat="1" applyFont="1" applyBorder="1" applyAlignment="1">
      <alignment horizontal="right" vertical="center" wrapText="1"/>
    </xf>
    <xf numFmtId="0" fontId="2" fillId="0" borderId="100" xfId="27" applyBorder="1"/>
    <xf numFmtId="175" fontId="241" fillId="0" borderId="100" xfId="27" applyNumberFormat="1" applyFont="1" applyBorder="1" applyAlignment="1">
      <alignment wrapText="1"/>
    </xf>
    <xf numFmtId="0" fontId="93" fillId="0" borderId="34" xfId="0" applyFont="1" applyBorder="1"/>
    <xf numFmtId="0" fontId="93" fillId="0" borderId="160" xfId="0" applyFont="1" applyBorder="1"/>
    <xf numFmtId="0" fontId="93" fillId="0" borderId="163" xfId="0" applyFont="1" applyBorder="1"/>
    <xf numFmtId="0" fontId="242" fillId="0" borderId="171" xfId="0" applyFont="1" applyBorder="1" applyAlignment="1">
      <alignment horizontal="center" vertical="center" wrapText="1"/>
    </xf>
    <xf numFmtId="0" fontId="242" fillId="0" borderId="159" xfId="0" applyFont="1" applyBorder="1" applyAlignment="1">
      <alignment horizontal="center" vertical="center" wrapText="1"/>
    </xf>
    <xf numFmtId="0" fontId="243" fillId="0" borderId="159" xfId="0" applyFont="1" applyBorder="1" applyAlignment="1">
      <alignment horizontal="center" vertical="center" wrapText="1"/>
    </xf>
    <xf numFmtId="0" fontId="5" fillId="0" borderId="17" xfId="0" applyFont="1" applyBorder="1" applyAlignment="1">
      <alignment vertical="center" wrapText="1"/>
    </xf>
    <xf numFmtId="0" fontId="5" fillId="0" borderId="21" xfId="0" applyFont="1" applyBorder="1" applyAlignment="1">
      <alignment vertical="center" wrapText="1"/>
    </xf>
    <xf numFmtId="0" fontId="5" fillId="0" borderId="30"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1" xfId="0" applyFont="1" applyBorder="1" applyAlignment="1">
      <alignment horizontal="center" vertical="center" wrapText="1"/>
    </xf>
    <xf numFmtId="0" fontId="0" fillId="0" borderId="108" xfId="0" applyBorder="1" applyAlignment="1">
      <alignment horizontal="center" vertical="center"/>
    </xf>
    <xf numFmtId="0" fontId="154" fillId="40" borderId="0" xfId="0" applyFont="1" applyFill="1" applyAlignment="1">
      <alignment horizontal="left" vertical="center" wrapText="1"/>
    </xf>
    <xf numFmtId="0" fontId="0" fillId="0" borderId="172" xfId="0" applyFont="1" applyBorder="1"/>
    <xf numFmtId="0" fontId="244" fillId="0" borderId="104" xfId="0" applyFont="1" applyBorder="1"/>
    <xf numFmtId="0" fontId="96" fillId="7" borderId="101" xfId="0" applyFont="1" applyFill="1" applyBorder="1" applyAlignment="1">
      <alignment horizontal="center"/>
    </xf>
    <xf numFmtId="0" fontId="96" fillId="7" borderId="160" xfId="0" applyFont="1" applyFill="1" applyBorder="1" applyAlignment="1">
      <alignment horizontal="center"/>
    </xf>
    <xf numFmtId="0" fontId="96" fillId="7" borderId="163" xfId="0" applyFont="1" applyFill="1" applyBorder="1" applyAlignment="1">
      <alignment horizontal="center"/>
    </xf>
    <xf numFmtId="0" fontId="235" fillId="59" borderId="122" xfId="0" applyFont="1" applyFill="1" applyBorder="1" applyAlignment="1">
      <alignment horizontal="center"/>
    </xf>
    <xf numFmtId="0" fontId="235" fillId="59" borderId="100" xfId="0" applyFont="1" applyFill="1" applyBorder="1" applyAlignment="1">
      <alignment horizontal="center"/>
    </xf>
    <xf numFmtId="0" fontId="96" fillId="0" borderId="0" xfId="0" applyFont="1" applyAlignment="1">
      <alignment horizontal="center"/>
    </xf>
    <xf numFmtId="0" fontId="245" fillId="0" borderId="0" xfId="0" applyFont="1"/>
    <xf numFmtId="0" fontId="246" fillId="0" borderId="112" xfId="0" applyFont="1" applyBorder="1" applyAlignment="1">
      <alignment horizontal="center"/>
    </xf>
    <xf numFmtId="0" fontId="246" fillId="0" borderId="113" xfId="0" applyFont="1" applyBorder="1" applyAlignment="1">
      <alignment horizontal="center"/>
    </xf>
    <xf numFmtId="0" fontId="246" fillId="0" borderId="114" xfId="0" applyFont="1" applyBorder="1" applyAlignment="1">
      <alignment horizontal="center"/>
    </xf>
    <xf numFmtId="0" fontId="96" fillId="37" borderId="124" xfId="0" applyFont="1" applyFill="1" applyBorder="1"/>
    <xf numFmtId="0" fontId="96" fillId="37" borderId="139" xfId="0" applyFont="1" applyFill="1" applyBorder="1"/>
    <xf numFmtId="0" fontId="96" fillId="37" borderId="139" xfId="0" applyFont="1" applyFill="1" applyBorder="1" applyAlignment="1">
      <alignment horizontal="center"/>
    </xf>
    <xf numFmtId="0" fontId="96" fillId="37" borderId="139" xfId="0" applyFont="1" applyFill="1" applyBorder="1" applyAlignment="1">
      <alignment wrapText="1"/>
    </xf>
    <xf numFmtId="0" fontId="97" fillId="0" borderId="100" xfId="0" applyFont="1" applyBorder="1"/>
    <xf numFmtId="0" fontId="0" fillId="0" borderId="147" xfId="0" applyBorder="1" applyAlignment="1">
      <alignment horizontal="left"/>
    </xf>
    <xf numFmtId="0" fontId="97" fillId="0" borderId="119" xfId="0" applyFont="1" applyBorder="1"/>
    <xf numFmtId="0" fontId="0" fillId="0" borderId="123" xfId="0" applyBorder="1"/>
    <xf numFmtId="0" fontId="245" fillId="7" borderId="171" xfId="0" applyFont="1" applyFill="1" applyBorder="1"/>
    <xf numFmtId="0" fontId="96" fillId="37" borderId="143" xfId="0" applyFont="1" applyFill="1" applyBorder="1"/>
    <xf numFmtId="0" fontId="80" fillId="0" borderId="0" xfId="0" applyFont="1" applyBorder="1" applyAlignment="1"/>
    <xf numFmtId="0" fontId="247" fillId="0" borderId="0" xfId="0" applyFont="1" applyAlignment="1">
      <alignment horizontal="center"/>
    </xf>
    <xf numFmtId="0" fontId="219" fillId="0" borderId="0" xfId="0" applyFont="1"/>
    <xf numFmtId="9" fontId="0" fillId="14" borderId="122" xfId="0" applyNumberFormat="1" applyFill="1" applyBorder="1" applyAlignment="1">
      <alignment horizontal="center"/>
    </xf>
    <xf numFmtId="4" fontId="65" fillId="12" borderId="0" xfId="0" applyNumberFormat="1" applyFont="1" applyFill="1" applyBorder="1"/>
    <xf numFmtId="0" fontId="76" fillId="0" borderId="144" xfId="0" applyFont="1" applyBorder="1"/>
    <xf numFmtId="0" fontId="248" fillId="0" borderId="100" xfId="0" applyFont="1" applyBorder="1"/>
    <xf numFmtId="0" fontId="76" fillId="0" borderId="100" xfId="0" applyFont="1" applyBorder="1"/>
    <xf numFmtId="0" fontId="163" fillId="0" borderId="172" xfId="14" applyNumberFormat="1" applyFont="1" applyBorder="1" applyAlignment="1"/>
    <xf numFmtId="0" fontId="248" fillId="0" borderId="119" xfId="14" applyFont="1" applyBorder="1"/>
    <xf numFmtId="0" fontId="72" fillId="0" borderId="100" xfId="0" applyFont="1" applyFill="1" applyBorder="1" applyAlignment="1">
      <alignment horizontal="center" vertical="center"/>
    </xf>
    <xf numFmtId="0" fontId="28" fillId="0" borderId="0" xfId="0" applyFont="1"/>
    <xf numFmtId="0" fontId="28" fillId="17" borderId="0" xfId="0" applyFont="1" applyFill="1"/>
    <xf numFmtId="0" fontId="249" fillId="0" borderId="0" xfId="0" applyFont="1"/>
    <xf numFmtId="0" fontId="28" fillId="7" borderId="100" xfId="0" applyFont="1" applyFill="1" applyBorder="1" applyAlignment="1">
      <alignment horizontal="center"/>
    </xf>
    <xf numFmtId="0" fontId="64" fillId="17" borderId="0" xfId="0" applyFont="1" applyFill="1"/>
    <xf numFmtId="9" fontId="220" fillId="0" borderId="100" xfId="1" applyFont="1" applyBorder="1" applyAlignment="1">
      <alignment horizontal="center"/>
    </xf>
    <xf numFmtId="0" fontId="251" fillId="0" borderId="0" xfId="0" applyFont="1" applyAlignment="1">
      <alignment horizontal="right"/>
    </xf>
    <xf numFmtId="0" fontId="220" fillId="0" borderId="0" xfId="0" applyFont="1" applyFill="1"/>
    <xf numFmtId="0" fontId="244" fillId="0" borderId="0" xfId="0" applyFont="1" applyBorder="1"/>
    <xf numFmtId="0" fontId="250" fillId="0" borderId="101" xfId="0" applyFont="1" applyBorder="1" applyAlignment="1">
      <alignment horizontal="center"/>
    </xf>
    <xf numFmtId="0" fontId="250" fillId="0" borderId="160" xfId="0" applyFont="1" applyBorder="1" applyAlignment="1">
      <alignment horizontal="center"/>
    </xf>
    <xf numFmtId="0" fontId="250" fillId="0" borderId="163" xfId="0" applyFont="1" applyBorder="1" applyAlignment="1">
      <alignment horizontal="center"/>
    </xf>
    <xf numFmtId="4" fontId="253" fillId="61" borderId="100" xfId="0" applyNumberFormat="1" applyFont="1" applyFill="1" applyBorder="1" applyAlignment="1">
      <alignment horizontal="center" vertical="center"/>
    </xf>
    <xf numFmtId="0" fontId="28" fillId="14" borderId="100" xfId="0" applyFont="1" applyFill="1" applyBorder="1" applyAlignment="1">
      <alignment horizontal="center"/>
    </xf>
    <xf numFmtId="0" fontId="73" fillId="7" borderId="112" xfId="0" applyFont="1" applyFill="1" applyBorder="1" applyAlignment="1">
      <alignment horizontal="center"/>
    </xf>
    <xf numFmtId="0" fontId="73" fillId="7" borderId="113" xfId="0" applyFont="1" applyFill="1" applyBorder="1" applyAlignment="1">
      <alignment horizontal="center"/>
    </xf>
    <xf numFmtId="0" fontId="73" fillId="0" borderId="100" xfId="0" applyFont="1" applyFill="1" applyBorder="1" applyAlignment="1">
      <alignment horizontal="center"/>
    </xf>
    <xf numFmtId="9" fontId="220" fillId="14" borderId="100" xfId="0" applyNumberFormat="1" applyFont="1" applyFill="1" applyBorder="1" applyAlignment="1">
      <alignment horizontal="center"/>
    </xf>
    <xf numFmtId="0" fontId="252" fillId="0" borderId="100" xfId="0" applyFont="1" applyBorder="1" applyAlignment="1">
      <alignment horizontal="center"/>
    </xf>
    <xf numFmtId="4" fontId="253" fillId="41" borderId="9" xfId="0" applyNumberFormat="1" applyFont="1" applyFill="1" applyBorder="1" applyAlignment="1">
      <alignment horizontal="center" vertical="center"/>
    </xf>
    <xf numFmtId="0" fontId="96" fillId="37" borderId="106" xfId="14" applyFont="1" applyFill="1" applyBorder="1"/>
    <xf numFmtId="0" fontId="122" fillId="0" borderId="106" xfId="14" applyBorder="1" applyAlignment="1">
      <alignment horizontal="center"/>
    </xf>
    <xf numFmtId="0" fontId="122" fillId="0" borderId="123" xfId="14" applyBorder="1" applyAlignment="1">
      <alignment horizontal="center"/>
    </xf>
    <xf numFmtId="0" fontId="122" fillId="0" borderId="143" xfId="14" applyBorder="1" applyAlignment="1">
      <alignment horizontal="center"/>
    </xf>
    <xf numFmtId="0" fontId="122" fillId="0" borderId="116" xfId="14" applyBorder="1" applyAlignment="1">
      <alignment horizontal="center"/>
    </xf>
    <xf numFmtId="0" fontId="0" fillId="0" borderId="0" xfId="0" applyNumberFormat="1" applyFill="1" applyBorder="1"/>
    <xf numFmtId="0" fontId="0" fillId="0" borderId="0" xfId="0" applyNumberFormat="1" applyFill="1" applyBorder="1" applyAlignment="1">
      <alignment wrapText="1"/>
    </xf>
    <xf numFmtId="0" fontId="96" fillId="0" borderId="0" xfId="14" applyFont="1" applyFill="1" applyBorder="1"/>
    <xf numFmtId="0" fontId="236" fillId="0" borderId="171" xfId="14" applyFont="1" applyFill="1" applyBorder="1" applyAlignment="1">
      <alignment horizontal="center"/>
    </xf>
    <xf numFmtId="0" fontId="254" fillId="37" borderId="100" xfId="14" applyFont="1" applyFill="1" applyBorder="1" applyAlignment="1">
      <alignment horizontal="center"/>
    </xf>
    <xf numFmtId="0" fontId="255" fillId="0" borderId="100" xfId="14" applyFont="1" applyBorder="1" applyAlignment="1">
      <alignment horizontal="center"/>
    </xf>
    <xf numFmtId="0" fontId="255" fillId="0" borderId="119" xfId="14" applyFont="1" applyBorder="1" applyAlignment="1">
      <alignment horizontal="center"/>
    </xf>
    <xf numFmtId="0" fontId="255" fillId="0" borderId="139" xfId="14" applyFont="1" applyBorder="1" applyAlignment="1">
      <alignment horizontal="center"/>
    </xf>
    <xf numFmtId="0" fontId="255" fillId="0" borderId="110" xfId="14" applyFont="1" applyBorder="1" applyAlignment="1">
      <alignment horizontal="center"/>
    </xf>
    <xf numFmtId="0" fontId="9" fillId="0" borderId="0" xfId="0" applyFont="1"/>
    <xf numFmtId="0" fontId="209" fillId="59" borderId="100" xfId="14" applyFont="1" applyFill="1" applyBorder="1" applyAlignment="1">
      <alignment horizontal="center"/>
    </xf>
    <xf numFmtId="0" fontId="209" fillId="59" borderId="119" xfId="14" applyFont="1" applyFill="1" applyBorder="1" applyAlignment="1">
      <alignment horizontal="center"/>
    </xf>
    <xf numFmtId="0" fontId="209" fillId="0" borderId="139" xfId="14" applyFont="1" applyBorder="1" applyAlignment="1">
      <alignment horizontal="center"/>
    </xf>
    <xf numFmtId="0" fontId="209" fillId="0" borderId="100" xfId="14" applyFont="1" applyBorder="1" applyAlignment="1">
      <alignment horizontal="center"/>
    </xf>
    <xf numFmtId="0" fontId="209" fillId="0" borderId="110" xfId="14" applyFont="1" applyBorder="1" applyAlignment="1">
      <alignment horizontal="center"/>
    </xf>
    <xf numFmtId="0" fontId="238" fillId="7" borderId="0" xfId="0" applyFont="1" applyFill="1"/>
    <xf numFmtId="0" fontId="204" fillId="7" borderId="0" xfId="0" applyFont="1" applyFill="1" applyAlignment="1"/>
    <xf numFmtId="0" fontId="256" fillId="0" borderId="0" xfId="0" applyFont="1"/>
    <xf numFmtId="0" fontId="250" fillId="0" borderId="112" xfId="0" applyFont="1" applyBorder="1" applyAlignment="1">
      <alignment horizontal="center"/>
    </xf>
    <xf numFmtId="0" fontId="250" fillId="0" borderId="113" xfId="0" applyFont="1" applyBorder="1" applyAlignment="1">
      <alignment horizontal="center"/>
    </xf>
    <xf numFmtId="0" fontId="250" fillId="0" borderId="114" xfId="0" applyFont="1" applyBorder="1" applyAlignment="1">
      <alignment horizontal="center"/>
    </xf>
    <xf numFmtId="0" fontId="73" fillId="7" borderId="100" xfId="0" applyFont="1" applyFill="1" applyBorder="1" applyAlignment="1">
      <alignment horizontal="center"/>
    </xf>
    <xf numFmtId="0" fontId="73" fillId="7" borderId="122" xfId="0" applyFont="1" applyFill="1" applyBorder="1" applyAlignment="1">
      <alignment horizontal="center"/>
    </xf>
    <xf numFmtId="2" fontId="220" fillId="19" borderId="0" xfId="0" applyNumberFormat="1" applyFont="1" applyFill="1"/>
    <xf numFmtId="0" fontId="17" fillId="0" borderId="0" xfId="0" applyFont="1" applyAlignment="1">
      <alignment wrapText="1"/>
    </xf>
    <xf numFmtId="1" fontId="44" fillId="0" borderId="133" xfId="0" applyNumberFormat="1" applyFont="1" applyBorder="1" applyAlignment="1">
      <alignment vertical="top" wrapText="1"/>
    </xf>
    <xf numFmtId="1" fontId="44" fillId="0" borderId="122" xfId="0" applyNumberFormat="1" applyFont="1" applyBorder="1"/>
    <xf numFmtId="1" fontId="44" fillId="0" borderId="134" xfId="0" applyNumberFormat="1" applyFont="1" applyBorder="1"/>
    <xf numFmtId="0" fontId="205" fillId="0" borderId="107" xfId="0" applyFont="1" applyBorder="1" applyAlignment="1">
      <alignment vertical="top" wrapText="1"/>
    </xf>
    <xf numFmtId="1" fontId="205" fillId="0" borderId="100" xfId="0" applyNumberFormat="1" applyFont="1" applyBorder="1"/>
    <xf numFmtId="1" fontId="205" fillId="0" borderId="108" xfId="0" applyNumberFormat="1" applyFont="1" applyBorder="1"/>
    <xf numFmtId="0" fontId="44" fillId="45" borderId="107" xfId="0" applyFont="1" applyFill="1" applyBorder="1" applyAlignment="1">
      <alignment vertical="top" wrapText="1"/>
    </xf>
    <xf numFmtId="1" fontId="44" fillId="0" borderId="100" xfId="0" applyNumberFormat="1" applyFont="1" applyBorder="1"/>
    <xf numFmtId="1" fontId="44" fillId="0" borderId="108" xfId="0" applyNumberFormat="1" applyFont="1" applyBorder="1"/>
    <xf numFmtId="1" fontId="205" fillId="0" borderId="107" xfId="0" applyNumberFormat="1" applyFont="1" applyBorder="1" applyAlignment="1">
      <alignment vertical="center" wrapText="1"/>
    </xf>
    <xf numFmtId="1" fontId="205" fillId="45" borderId="100" xfId="0" applyNumberFormat="1" applyFont="1" applyFill="1" applyBorder="1" applyAlignment="1">
      <alignment vertical="center"/>
    </xf>
    <xf numFmtId="1" fontId="205" fillId="45" borderId="108" xfId="0" applyNumberFormat="1" applyFont="1" applyFill="1" applyBorder="1" applyAlignment="1">
      <alignment vertical="center"/>
    </xf>
    <xf numFmtId="1" fontId="205" fillId="45" borderId="107" xfId="0" applyNumberFormat="1" applyFont="1" applyFill="1" applyBorder="1" applyAlignment="1">
      <alignment vertical="center" wrapText="1"/>
    </xf>
    <xf numFmtId="1" fontId="205" fillId="0" borderId="100" xfId="0" applyNumberFormat="1" applyFont="1" applyBorder="1" applyAlignment="1">
      <alignment vertical="center"/>
    </xf>
    <xf numFmtId="1" fontId="168" fillId="45" borderId="107" xfId="0" applyNumberFormat="1" applyFont="1" applyFill="1" applyBorder="1" applyAlignment="1">
      <alignment vertical="top" wrapText="1"/>
    </xf>
    <xf numFmtId="1" fontId="168" fillId="45" borderId="100" xfId="0" applyNumberFormat="1" applyFont="1" applyFill="1" applyBorder="1"/>
    <xf numFmtId="1" fontId="44" fillId="45" borderId="107" xfId="0" applyNumberFormat="1" applyFont="1" applyFill="1" applyBorder="1" applyAlignment="1">
      <alignment vertical="top" wrapText="1"/>
    </xf>
    <xf numFmtId="1" fontId="44" fillId="45" borderId="100" xfId="0" applyNumberFormat="1" applyFont="1" applyFill="1" applyBorder="1"/>
    <xf numFmtId="1" fontId="44" fillId="45" borderId="108" xfId="0" applyNumberFormat="1" applyFont="1" applyFill="1" applyBorder="1"/>
    <xf numFmtId="1" fontId="44" fillId="0" borderId="107" xfId="0" applyNumberFormat="1" applyFont="1" applyBorder="1" applyAlignment="1">
      <alignment vertical="top" wrapText="1"/>
    </xf>
    <xf numFmtId="0" fontId="205" fillId="45" borderId="107" xfId="0" applyFont="1" applyFill="1" applyBorder="1" applyAlignment="1">
      <alignment vertical="top" wrapText="1"/>
    </xf>
    <xf numFmtId="1" fontId="258" fillId="10" borderId="100" xfId="0" applyNumberFormat="1" applyFont="1" applyFill="1" applyBorder="1"/>
    <xf numFmtId="0" fontId="44" fillId="45" borderId="13" xfId="0" applyFont="1" applyFill="1" applyBorder="1" applyAlignment="1">
      <alignment vertical="top" wrapText="1"/>
    </xf>
    <xf numFmtId="1" fontId="44" fillId="0" borderId="110" xfId="0" applyNumberFormat="1" applyFont="1" applyBorder="1"/>
    <xf numFmtId="1" fontId="44" fillId="0" borderId="111" xfId="0" applyNumberFormat="1" applyFont="1" applyBorder="1"/>
    <xf numFmtId="1" fontId="78" fillId="0" borderId="0" xfId="0" applyNumberFormat="1" applyFont="1"/>
    <xf numFmtId="0" fontId="28" fillId="0" borderId="0" xfId="0" applyFont="1" applyAlignment="1">
      <alignment wrapText="1"/>
    </xf>
    <xf numFmtId="1" fontId="56" fillId="0" borderId="0" xfId="0" applyNumberFormat="1" applyFont="1"/>
    <xf numFmtId="0" fontId="47" fillId="0" borderId="133" xfId="25" applyNumberFormat="1" applyFont="1" applyBorder="1" applyAlignment="1">
      <alignment wrapText="1"/>
    </xf>
    <xf numFmtId="173" fontId="47" fillId="0" borderId="122" xfId="25" applyNumberFormat="1" applyFont="1" applyBorder="1" applyAlignment="1">
      <alignment wrapText="1"/>
    </xf>
    <xf numFmtId="0" fontId="47" fillId="0" borderId="134" xfId="25" applyNumberFormat="1" applyFont="1" applyBorder="1" applyAlignment="1">
      <alignment wrapText="1"/>
    </xf>
    <xf numFmtId="0" fontId="47" fillId="0" borderId="107" xfId="25" applyNumberFormat="1" applyFont="1" applyBorder="1" applyAlignment="1">
      <alignment wrapText="1"/>
    </xf>
    <xf numFmtId="173" fontId="47" fillId="0" borderId="100" xfId="25" applyNumberFormat="1" applyFont="1" applyBorder="1" applyAlignment="1">
      <alignment wrapText="1"/>
    </xf>
    <xf numFmtId="0" fontId="47" fillId="0" borderId="108" xfId="25" applyNumberFormat="1" applyFont="1" applyBorder="1" applyAlignment="1">
      <alignment wrapText="1"/>
    </xf>
    <xf numFmtId="0" fontId="47" fillId="0" borderId="13" xfId="25" applyNumberFormat="1" applyFont="1" applyBorder="1" applyAlignment="1">
      <alignment wrapText="1"/>
    </xf>
    <xf numFmtId="173" fontId="47" fillId="0" borderId="110" xfId="25" applyNumberFormat="1" applyFont="1" applyBorder="1" applyAlignment="1">
      <alignment wrapText="1"/>
    </xf>
    <xf numFmtId="0" fontId="48" fillId="0" borderId="111" xfId="25" applyNumberFormat="1" applyFont="1" applyBorder="1" applyAlignment="1">
      <alignment wrapText="1"/>
    </xf>
    <xf numFmtId="0" fontId="260" fillId="0" borderId="105" xfId="25" applyNumberFormat="1" applyFont="1" applyBorder="1" applyAlignment="1">
      <alignment wrapText="1"/>
    </xf>
    <xf numFmtId="1" fontId="0" fillId="0" borderId="100" xfId="0" applyNumberFormat="1" applyBorder="1" applyAlignment="1">
      <alignment horizontal="center"/>
    </xf>
    <xf numFmtId="0" fontId="0" fillId="19" borderId="0" xfId="0" applyFill="1" applyAlignment="1">
      <alignment horizontal="center" vertical="center"/>
    </xf>
    <xf numFmtId="0" fontId="18" fillId="7" borderId="169" xfId="0" applyFont="1" applyFill="1" applyBorder="1"/>
    <xf numFmtId="0" fontId="18" fillId="7" borderId="170" xfId="0" applyFont="1" applyFill="1" applyBorder="1" applyAlignment="1">
      <alignment horizontal="center"/>
    </xf>
    <xf numFmtId="0" fontId="244" fillId="0" borderId="0" xfId="14" applyFont="1"/>
    <xf numFmtId="0" fontId="122" fillId="0" borderId="0" xfId="14"/>
    <xf numFmtId="0" fontId="122" fillId="0" borderId="0" xfId="14" applyAlignment="1">
      <alignment horizontal="center"/>
    </xf>
    <xf numFmtId="0" fontId="246" fillId="0" borderId="101" xfId="14" applyFont="1" applyBorder="1" applyAlignment="1">
      <alignment horizontal="center"/>
    </xf>
    <xf numFmtId="0" fontId="246" fillId="0" borderId="160" xfId="14" applyFont="1" applyBorder="1" applyAlignment="1">
      <alignment horizontal="center"/>
    </xf>
    <xf numFmtId="0" fontId="246" fillId="0" borderId="163" xfId="14" applyFont="1" applyBorder="1" applyAlignment="1">
      <alignment horizontal="center"/>
    </xf>
    <xf numFmtId="0" fontId="235" fillId="62" borderId="119" xfId="0" applyFont="1" applyFill="1" applyBorder="1" applyAlignment="1">
      <alignment horizontal="center"/>
    </xf>
    <xf numFmtId="4" fontId="133" fillId="41" borderId="101" xfId="0" applyNumberFormat="1" applyFont="1" applyFill="1" applyBorder="1" applyAlignment="1">
      <alignment horizontal="center" vertical="center"/>
    </xf>
    <xf numFmtId="0" fontId="22" fillId="0" borderId="0" xfId="0" applyFont="1" applyFill="1" applyBorder="1" applyAlignment="1">
      <alignment wrapText="1"/>
    </xf>
    <xf numFmtId="0" fontId="0" fillId="0" borderId="28" xfId="0" applyFill="1" applyBorder="1" applyAlignment="1">
      <alignment horizontal="center"/>
    </xf>
    <xf numFmtId="0" fontId="93" fillId="0" borderId="0" xfId="14" applyFont="1" applyFill="1"/>
    <xf numFmtId="2" fontId="133" fillId="18" borderId="38" xfId="0" applyNumberFormat="1" applyFont="1" applyFill="1" applyBorder="1" applyAlignment="1">
      <alignment horizontal="center" vertical="center"/>
    </xf>
    <xf numFmtId="0" fontId="93" fillId="0" borderId="173" xfId="14" applyNumberFormat="1" applyFont="1" applyBorder="1" applyAlignment="1"/>
    <xf numFmtId="4" fontId="133" fillId="0" borderId="38" xfId="0" applyNumberFormat="1" applyFont="1" applyFill="1" applyBorder="1" applyAlignment="1">
      <alignment horizontal="center" vertical="center" wrapText="1"/>
    </xf>
    <xf numFmtId="4" fontId="133" fillId="18" borderId="38" xfId="0" applyNumberFormat="1" applyFont="1" applyFill="1" applyBorder="1" applyAlignment="1">
      <alignment horizontal="center" vertical="center" wrapText="1"/>
    </xf>
    <xf numFmtId="4" fontId="133" fillId="41" borderId="38" xfId="0" applyNumberFormat="1" applyFont="1" applyFill="1" applyBorder="1" applyAlignment="1">
      <alignment horizontal="center" vertical="center" wrapText="1"/>
    </xf>
    <xf numFmtId="0" fontId="261" fillId="0" borderId="0" xfId="14" applyFont="1" applyFill="1"/>
    <xf numFmtId="0" fontId="2" fillId="0" borderId="107" xfId="27" applyBorder="1"/>
    <xf numFmtId="0" fontId="18" fillId="0" borderId="101" xfId="0" applyFont="1" applyBorder="1" applyAlignment="1">
      <alignment horizontal="center"/>
    </xf>
    <xf numFmtId="0" fontId="235" fillId="62" borderId="100" xfId="0" applyFont="1" applyFill="1" applyBorder="1" applyAlignment="1">
      <alignment horizontal="center"/>
    </xf>
    <xf numFmtId="0" fontId="235" fillId="62" borderId="108" xfId="0" applyFont="1" applyFill="1" applyBorder="1" applyAlignment="1">
      <alignment horizontal="center"/>
    </xf>
    <xf numFmtId="2" fontId="133" fillId="41" borderId="171" xfId="0" applyNumberFormat="1" applyFont="1" applyFill="1" applyBorder="1" applyAlignment="1">
      <alignment horizontal="center" vertical="center"/>
    </xf>
    <xf numFmtId="0" fontId="18" fillId="7" borderId="170" xfId="0" applyFont="1" applyFill="1" applyBorder="1" applyAlignment="1">
      <alignment horizontal="center" wrapText="1"/>
    </xf>
    <xf numFmtId="0" fontId="211" fillId="41" borderId="100" xfId="0" applyFont="1" applyFill="1" applyBorder="1"/>
    <xf numFmtId="0" fontId="56" fillId="41" borderId="100" xfId="0" applyFont="1" applyFill="1" applyBorder="1"/>
    <xf numFmtId="0" fontId="0" fillId="13" borderId="100" xfId="0" applyFill="1" applyBorder="1" applyAlignment="1">
      <alignment wrapText="1"/>
    </xf>
    <xf numFmtId="0" fontId="0" fillId="13" borderId="100" xfId="0" applyFill="1" applyBorder="1"/>
    <xf numFmtId="4" fontId="0" fillId="13" borderId="100" xfId="0" applyNumberFormat="1" applyFill="1" applyBorder="1"/>
    <xf numFmtId="0" fontId="0" fillId="19" borderId="100" xfId="0" applyFill="1" applyBorder="1" applyAlignment="1">
      <alignment wrapText="1"/>
    </xf>
    <xf numFmtId="0" fontId="0" fillId="13" borderId="0" xfId="0" applyFill="1"/>
    <xf numFmtId="4" fontId="56" fillId="13" borderId="121" xfId="0" applyNumberFormat="1" applyFont="1" applyFill="1" applyBorder="1"/>
    <xf numFmtId="4" fontId="78" fillId="0" borderId="0" xfId="0" applyNumberFormat="1" applyFont="1"/>
    <xf numFmtId="0" fontId="262" fillId="63" borderId="0" xfId="0" applyFont="1" applyFill="1" applyBorder="1" applyAlignment="1">
      <alignment horizontal="justify" vertical="top" wrapText="1"/>
    </xf>
    <xf numFmtId="3" fontId="0" fillId="0" borderId="0" xfId="0" applyNumberFormat="1" applyFill="1"/>
    <xf numFmtId="0" fontId="0" fillId="0" borderId="100" xfId="0" applyFill="1" applyBorder="1" applyAlignment="1">
      <alignment vertical="center"/>
    </xf>
    <xf numFmtId="0" fontId="0" fillId="0" borderId="100" xfId="0" applyBorder="1" applyAlignment="1" applyProtection="1">
      <alignment horizontal="center"/>
    </xf>
    <xf numFmtId="4" fontId="0" fillId="0" borderId="100" xfId="0" applyNumberFormat="1" applyBorder="1" applyAlignment="1" applyProtection="1">
      <alignment horizontal="center"/>
    </xf>
    <xf numFmtId="0" fontId="62" fillId="0" borderId="0" xfId="30" applyFont="1"/>
    <xf numFmtId="2" fontId="133" fillId="41" borderId="174" xfId="0" applyNumberFormat="1" applyFont="1" applyFill="1" applyBorder="1" applyAlignment="1">
      <alignment horizontal="center" vertical="center"/>
    </xf>
    <xf numFmtId="2" fontId="133" fillId="41" borderId="30" xfId="0" applyNumberFormat="1" applyFont="1" applyFill="1" applyBorder="1" applyAlignment="1">
      <alignment horizontal="center" vertical="center"/>
    </xf>
    <xf numFmtId="1" fontId="205" fillId="0" borderId="100" xfId="0" applyNumberFormat="1" applyFont="1" applyFill="1" applyBorder="1" applyAlignment="1"/>
    <xf numFmtId="0" fontId="0" fillId="12" borderId="154" xfId="0" applyFill="1" applyBorder="1" applyAlignment="1">
      <alignment horizontal="center"/>
    </xf>
    <xf numFmtId="0" fontId="65" fillId="0" borderId="100" xfId="27" applyFont="1" applyBorder="1" applyAlignment="1">
      <alignment vertical="center"/>
    </xf>
    <xf numFmtId="0" fontId="96" fillId="0" borderId="0" xfId="14" applyFont="1"/>
    <xf numFmtId="0" fontId="263" fillId="59" borderId="100" xfId="14" applyFont="1" applyFill="1" applyBorder="1" applyAlignment="1">
      <alignment horizontal="center"/>
    </xf>
    <xf numFmtId="0" fontId="263" fillId="59" borderId="119" xfId="14" applyFont="1" applyFill="1" applyBorder="1" applyAlignment="1">
      <alignment horizontal="center"/>
    </xf>
    <xf numFmtId="0" fontId="122" fillId="6" borderId="123" xfId="14" applyFill="1" applyBorder="1" applyAlignment="1">
      <alignment horizontal="center"/>
    </xf>
    <xf numFmtId="0" fontId="163" fillId="0" borderId="172" xfId="14" applyFont="1" applyBorder="1"/>
    <xf numFmtId="0" fontId="236" fillId="54" borderId="171" xfId="14" applyFont="1" applyFill="1" applyBorder="1" applyAlignment="1">
      <alignment horizontal="center"/>
    </xf>
    <xf numFmtId="49" fontId="9" fillId="0" borderId="0" xfId="28" applyNumberFormat="1" applyFont="1" applyAlignment="1">
      <alignment vertical="center" wrapText="1"/>
    </xf>
    <xf numFmtId="0" fontId="233" fillId="0" borderId="100" xfId="28" applyFont="1" applyBorder="1" applyAlignment="1">
      <alignment horizontal="center" vertical="center" wrapText="1"/>
    </xf>
    <xf numFmtId="9" fontId="199" fillId="0" borderId="100" xfId="0" applyNumberFormat="1" applyFont="1" applyBorder="1" applyAlignment="1">
      <alignment horizontal="center" wrapText="1"/>
    </xf>
    <xf numFmtId="1" fontId="201" fillId="7" borderId="100" xfId="0" applyNumberFormat="1" applyFont="1" applyFill="1" applyBorder="1" applyAlignment="1">
      <alignment vertical="top" wrapText="1"/>
    </xf>
    <xf numFmtId="1" fontId="201" fillId="7" borderId="100" xfId="0" applyNumberFormat="1" applyFont="1" applyFill="1" applyBorder="1"/>
    <xf numFmtId="1" fontId="168" fillId="12" borderId="108" xfId="0" applyNumberFormat="1" applyFont="1" applyFill="1" applyBorder="1"/>
    <xf numFmtId="0" fontId="0" fillId="61" borderId="104" xfId="0" applyFill="1" applyBorder="1" applyAlignment="1">
      <alignment horizontal="center"/>
    </xf>
    <xf numFmtId="0" fontId="0" fillId="61" borderId="105" xfId="0" applyFill="1" applyBorder="1" applyAlignment="1">
      <alignment horizontal="center"/>
    </xf>
    <xf numFmtId="0" fontId="0" fillId="61" borderId="103" xfId="0" applyFill="1" applyBorder="1" applyAlignment="1">
      <alignment horizontal="center"/>
    </xf>
    <xf numFmtId="1" fontId="150" fillId="31" borderId="0" xfId="0" applyNumberFormat="1" applyFont="1" applyFill="1" applyAlignment="1" applyProtection="1">
      <alignment horizontal="center" vertical="center"/>
      <protection locked="0"/>
    </xf>
    <xf numFmtId="0" fontId="0" fillId="0" borderId="145" xfId="0" applyBorder="1" applyAlignment="1">
      <alignment horizontal="center"/>
    </xf>
    <xf numFmtId="0" fontId="264" fillId="0" borderId="100" xfId="0" applyFont="1" applyBorder="1"/>
    <xf numFmtId="0" fontId="0" fillId="0" borderId="13" xfId="0" applyBorder="1"/>
    <xf numFmtId="0" fontId="0" fillId="0" borderId="111" xfId="0" applyBorder="1"/>
    <xf numFmtId="1" fontId="265" fillId="31" borderId="100" xfId="0" applyNumberFormat="1" applyFont="1" applyFill="1" applyBorder="1" applyAlignment="1" applyProtection="1">
      <alignment horizontal="center" vertical="center"/>
      <protection locked="0"/>
    </xf>
    <xf numFmtId="1" fontId="265" fillId="31" borderId="0" xfId="0" applyNumberFormat="1" applyFont="1" applyFill="1" applyAlignment="1" applyProtection="1">
      <alignment horizontal="center" vertical="center"/>
      <protection locked="0"/>
    </xf>
    <xf numFmtId="0" fontId="264" fillId="0" borderId="0" xfId="0" applyFont="1"/>
    <xf numFmtId="10" fontId="264" fillId="0" borderId="0" xfId="0" applyNumberFormat="1" applyFont="1"/>
    <xf numFmtId="0" fontId="264" fillId="0" borderId="0" xfId="0" applyFont="1" applyAlignment="1">
      <alignment horizontal="center"/>
    </xf>
    <xf numFmtId="0" fontId="264" fillId="0" borderId="100" xfId="0" applyFont="1" applyBorder="1" applyAlignment="1">
      <alignment horizontal="center" vertical="center"/>
    </xf>
    <xf numFmtId="2" fontId="264" fillId="0" borderId="0" xfId="0" applyNumberFormat="1" applyFont="1"/>
    <xf numFmtId="2" fontId="264" fillId="0" borderId="100" xfId="0" applyNumberFormat="1" applyFont="1" applyBorder="1" applyAlignment="1">
      <alignment horizontal="center" vertical="center"/>
    </xf>
    <xf numFmtId="9" fontId="264" fillId="0" borderId="0" xfId="0" applyNumberFormat="1" applyFont="1"/>
    <xf numFmtId="0" fontId="76" fillId="0" borderId="100" xfId="0" applyFont="1" applyBorder="1" applyAlignment="1">
      <alignment horizontal="center" vertical="center"/>
    </xf>
    <xf numFmtId="0" fontId="163" fillId="0" borderId="0" xfId="0" applyFont="1"/>
    <xf numFmtId="0" fontId="126" fillId="0" borderId="100" xfId="0" applyFont="1" applyBorder="1" applyAlignment="1">
      <alignment horizontal="center" vertical="center"/>
    </xf>
    <xf numFmtId="0" fontId="126" fillId="0" borderId="0" xfId="0" applyFont="1"/>
    <xf numFmtId="0" fontId="0" fillId="12" borderId="157" xfId="0" applyFill="1" applyBorder="1"/>
    <xf numFmtId="0" fontId="0" fillId="0" borderId="158" xfId="0" applyBorder="1"/>
    <xf numFmtId="0" fontId="0" fillId="0" borderId="101" xfId="0" applyBorder="1"/>
    <xf numFmtId="0" fontId="0" fillId="0" borderId="136" xfId="0" applyFill="1" applyBorder="1" applyAlignment="1">
      <alignment horizontal="center"/>
    </xf>
    <xf numFmtId="0" fontId="266" fillId="0" borderId="0" xfId="0" applyFont="1" applyAlignment="1">
      <alignment horizontal="left"/>
    </xf>
    <xf numFmtId="0" fontId="18" fillId="19" borderId="100" xfId="0" applyFont="1" applyFill="1" applyBorder="1" applyAlignment="1">
      <alignment horizontal="center"/>
    </xf>
    <xf numFmtId="0" fontId="18" fillId="19" borderId="100" xfId="0" applyFont="1" applyFill="1" applyBorder="1" applyAlignment="1">
      <alignment horizontal="center" vertical="center"/>
    </xf>
    <xf numFmtId="2" fontId="0" fillId="0" borderId="0" xfId="0" applyNumberFormat="1" applyAlignment="1">
      <alignment horizontal="center"/>
    </xf>
    <xf numFmtId="0" fontId="30" fillId="0" borderId="100" xfId="26" applyFont="1" applyBorder="1" applyAlignment="1">
      <alignment horizontal="left" vertical="center" wrapText="1"/>
    </xf>
    <xf numFmtId="0" fontId="18" fillId="0" borderId="146" xfId="0" applyFont="1" applyBorder="1"/>
    <xf numFmtId="0" fontId="30" fillId="0" borderId="146" xfId="26" applyFont="1" applyBorder="1" applyAlignment="1">
      <alignment horizontal="left" vertical="center" wrapText="1"/>
    </xf>
    <xf numFmtId="9" fontId="0" fillId="0" borderId="146" xfId="0" applyNumberFormat="1" applyBorder="1"/>
    <xf numFmtId="0" fontId="0" fillId="0" borderId="146" xfId="0" applyBorder="1" applyAlignment="1">
      <alignment horizontal="center"/>
    </xf>
    <xf numFmtId="0" fontId="30" fillId="0" borderId="0" xfId="26" applyFont="1" applyAlignment="1">
      <alignment horizontal="left" vertical="center" wrapText="1"/>
    </xf>
    <xf numFmtId="0" fontId="30" fillId="0" borderId="154" xfId="26" applyFont="1" applyBorder="1" applyAlignment="1">
      <alignment horizontal="left" vertical="center" wrapText="1"/>
    </xf>
    <xf numFmtId="9" fontId="0" fillId="0" borderId="154" xfId="0" applyNumberFormat="1" applyBorder="1"/>
    <xf numFmtId="0" fontId="65" fillId="0" borderId="100" xfId="27" applyFont="1" applyBorder="1"/>
    <xf numFmtId="2" fontId="30" fillId="63" borderId="100" xfId="26" applyNumberFormat="1" applyFont="1" applyFill="1" applyBorder="1" applyAlignment="1">
      <alignment vertical="center" wrapText="1"/>
    </xf>
    <xf numFmtId="0" fontId="42" fillId="0" borderId="0" xfId="26" applyFont="1" applyAlignment="1">
      <alignment horizontal="left" vertical="center"/>
    </xf>
    <xf numFmtId="0" fontId="0" fillId="0" borderId="100" xfId="0" applyBorder="1" applyAlignment="1">
      <alignment horizontal="right"/>
    </xf>
    <xf numFmtId="4" fontId="0" fillId="0" borderId="0" xfId="0" applyNumberFormat="1" applyAlignment="1">
      <alignment horizontal="center" wrapText="1"/>
    </xf>
    <xf numFmtId="4" fontId="154" fillId="0" borderId="0" xfId="0" applyNumberFormat="1" applyFont="1" applyFill="1" applyAlignment="1"/>
    <xf numFmtId="0" fontId="183" fillId="42" borderId="0" xfId="23" applyFont="1" applyFill="1" applyAlignment="1">
      <alignment horizontal="center"/>
    </xf>
    <xf numFmtId="0" fontId="190" fillId="43" borderId="100" xfId="23" applyFont="1" applyFill="1" applyBorder="1" applyAlignment="1">
      <alignment horizontal="center" vertical="center"/>
    </xf>
    <xf numFmtId="0" fontId="190" fillId="43" borderId="119" xfId="23" applyFont="1" applyFill="1" applyBorder="1" applyAlignment="1">
      <alignment horizontal="center" vertical="center" wrapText="1"/>
    </xf>
    <xf numFmtId="0" fontId="190" fillId="43" borderId="122" xfId="23" applyFont="1" applyFill="1" applyBorder="1" applyAlignment="1">
      <alignment horizontal="center" vertical="center" wrapText="1"/>
    </xf>
    <xf numFmtId="0" fontId="191" fillId="43" borderId="119" xfId="23" applyFont="1" applyFill="1" applyBorder="1" applyAlignment="1">
      <alignment horizontal="center" vertical="center" wrapText="1"/>
    </xf>
    <xf numFmtId="0" fontId="191" fillId="43" borderId="122" xfId="23" applyFont="1" applyFill="1" applyBorder="1" applyAlignment="1">
      <alignment horizontal="center" vertical="center" wrapText="1"/>
    </xf>
    <xf numFmtId="43" fontId="186" fillId="35" borderId="119" xfId="23" applyNumberFormat="1" applyFont="1" applyFill="1" applyBorder="1" applyAlignment="1">
      <alignment horizontal="right" vertical="center"/>
    </xf>
    <xf numFmtId="43" fontId="186" fillId="35" borderId="122" xfId="23" applyNumberFormat="1" applyFont="1" applyFill="1" applyBorder="1" applyAlignment="1">
      <alignment horizontal="right" vertical="center"/>
    </xf>
    <xf numFmtId="0" fontId="186" fillId="35" borderId="106" xfId="23" applyFont="1" applyFill="1" applyBorder="1" applyAlignment="1">
      <alignment horizontal="left" vertical="center" wrapText="1"/>
    </xf>
    <xf numFmtId="0" fontId="186" fillId="35" borderId="145" xfId="23" applyFont="1" applyFill="1" applyBorder="1" applyAlignment="1">
      <alignment horizontal="left" vertical="center" wrapText="1"/>
    </xf>
    <xf numFmtId="0" fontId="186" fillId="35" borderId="144" xfId="23" applyFont="1" applyFill="1" applyBorder="1" applyAlignment="1">
      <alignment horizontal="left" vertical="center" wrapText="1"/>
    </xf>
    <xf numFmtId="0" fontId="185" fillId="44" borderId="106" xfId="23" applyFont="1" applyFill="1" applyBorder="1" applyAlignment="1">
      <alignment horizontal="left" vertical="center" wrapText="1"/>
    </xf>
    <xf numFmtId="0" fontId="185" fillId="44" borderId="145" xfId="23" applyFont="1" applyFill="1" applyBorder="1" applyAlignment="1">
      <alignment horizontal="left" vertical="center" wrapText="1"/>
    </xf>
    <xf numFmtId="0" fontId="185" fillId="44" borderId="144" xfId="23" applyFont="1" applyFill="1" applyBorder="1" applyAlignment="1">
      <alignment horizontal="left" vertical="center" wrapText="1"/>
    </xf>
    <xf numFmtId="0" fontId="186" fillId="35" borderId="119" xfId="23" applyFont="1" applyFill="1" applyBorder="1" applyAlignment="1">
      <alignment horizontal="center" vertical="center" wrapText="1"/>
    </xf>
    <xf numFmtId="0" fontId="186" fillId="35" borderId="122" xfId="23" applyFont="1" applyFill="1" applyBorder="1" applyAlignment="1">
      <alignment horizontal="center" vertical="center" wrapText="1"/>
    </xf>
    <xf numFmtId="0" fontId="186" fillId="24" borderId="119" xfId="23" applyFont="1" applyFill="1" applyBorder="1" applyAlignment="1">
      <alignment horizontal="right" vertical="center" wrapText="1"/>
    </xf>
    <xf numFmtId="0" fontId="186" fillId="24" borderId="122" xfId="23" applyFont="1" applyFill="1" applyBorder="1" applyAlignment="1">
      <alignment horizontal="right" vertical="center" wrapText="1"/>
    </xf>
    <xf numFmtId="0" fontId="186" fillId="35" borderId="119" xfId="23" applyFont="1" applyFill="1" applyBorder="1" applyAlignment="1">
      <alignment horizontal="right" vertical="center" wrapText="1"/>
    </xf>
    <xf numFmtId="0" fontId="186" fillId="35" borderId="122" xfId="23" applyFont="1" applyFill="1" applyBorder="1" applyAlignment="1">
      <alignment horizontal="right" vertical="center" wrapText="1"/>
    </xf>
    <xf numFmtId="49" fontId="184" fillId="0" borderId="100" xfId="0" applyNumberFormat="1" applyFont="1" applyBorder="1" applyAlignment="1">
      <alignment horizontal="center" vertical="top" wrapText="1"/>
    </xf>
    <xf numFmtId="0" fontId="184" fillId="0" borderId="119" xfId="0" applyFont="1" applyBorder="1" applyAlignment="1">
      <alignment horizontal="justify" vertical="top" wrapText="1"/>
    </xf>
    <xf numFmtId="0" fontId="184" fillId="0" borderId="121" xfId="0" applyFont="1" applyBorder="1" applyAlignment="1">
      <alignment horizontal="justify" vertical="top" wrapText="1"/>
    </xf>
    <xf numFmtId="0" fontId="184" fillId="0" borderId="122" xfId="0" applyFont="1" applyBorder="1" applyAlignment="1">
      <alignment horizontal="justify" vertical="top" wrapText="1"/>
    </xf>
    <xf numFmtId="0" fontId="184" fillId="0" borderId="100" xfId="0" applyFont="1" applyBorder="1" applyAlignment="1">
      <alignment horizontal="justify" vertical="top" wrapText="1"/>
    </xf>
    <xf numFmtId="0" fontId="186" fillId="0" borderId="100" xfId="0" applyFont="1" applyBorder="1" applyAlignment="1">
      <alignment horizontal="justify" vertical="top" wrapText="1"/>
    </xf>
    <xf numFmtId="2" fontId="184" fillId="31" borderId="119" xfId="0" applyNumberFormat="1" applyFont="1" applyFill="1" applyBorder="1" applyAlignment="1">
      <alignment horizontal="justify" vertical="top" wrapText="1"/>
    </xf>
    <xf numFmtId="2" fontId="184" fillId="31" borderId="121" xfId="0" applyNumberFormat="1" applyFont="1" applyFill="1" applyBorder="1" applyAlignment="1">
      <alignment horizontal="justify" vertical="top" wrapText="1"/>
    </xf>
    <xf numFmtId="2" fontId="184" fillId="31" borderId="122" xfId="0" applyNumberFormat="1" applyFont="1" applyFill="1" applyBorder="1" applyAlignment="1">
      <alignment horizontal="justify" vertical="top" wrapText="1"/>
    </xf>
    <xf numFmtId="43" fontId="186" fillId="35" borderId="119" xfId="23" applyNumberFormat="1" applyFont="1" applyFill="1" applyBorder="1" applyAlignment="1">
      <alignment vertical="center"/>
    </xf>
    <xf numFmtId="43" fontId="186" fillId="35" borderId="121" xfId="23" applyNumberFormat="1" applyFont="1" applyFill="1" applyBorder="1" applyAlignment="1">
      <alignment vertical="center"/>
    </xf>
    <xf numFmtId="43" fontId="186" fillId="35" borderId="122" xfId="23" applyNumberFormat="1" applyFont="1" applyFill="1" applyBorder="1" applyAlignment="1">
      <alignment vertical="center"/>
    </xf>
    <xf numFmtId="0" fontId="186" fillId="35" borderId="121" xfId="23" applyFont="1" applyFill="1" applyBorder="1" applyAlignment="1">
      <alignment horizontal="center" vertical="center" wrapText="1"/>
    </xf>
    <xf numFmtId="49" fontId="184" fillId="45" borderId="100" xfId="0" applyNumberFormat="1" applyFont="1" applyFill="1" applyBorder="1" applyAlignment="1">
      <alignment horizontal="center" vertical="top" wrapText="1"/>
    </xf>
    <xf numFmtId="0" fontId="184" fillId="31" borderId="119" xfId="0" applyFont="1" applyFill="1" applyBorder="1" applyAlignment="1">
      <alignment horizontal="justify" vertical="top" wrapText="1"/>
    </xf>
    <xf numFmtId="0" fontId="184" fillId="31" borderId="121" xfId="0" applyFont="1" applyFill="1" applyBorder="1" applyAlignment="1">
      <alignment horizontal="justify" vertical="top" wrapText="1"/>
    </xf>
    <xf numFmtId="0" fontId="184" fillId="31" borderId="122" xfId="0" applyFont="1" applyFill="1" applyBorder="1" applyAlignment="1">
      <alignment horizontal="justify" vertical="top" wrapText="1"/>
    </xf>
    <xf numFmtId="0" fontId="186" fillId="46" borderId="119" xfId="0" applyFont="1" applyFill="1" applyBorder="1" applyAlignment="1">
      <alignment horizontal="center" vertical="center" wrapText="1"/>
    </xf>
    <xf numFmtId="0" fontId="186" fillId="46" borderId="121" xfId="0" applyFont="1" applyFill="1" applyBorder="1" applyAlignment="1">
      <alignment horizontal="center" vertical="center" wrapText="1"/>
    </xf>
    <xf numFmtId="0" fontId="186" fillId="46" borderId="122" xfId="0" applyFont="1" applyFill="1" applyBorder="1" applyAlignment="1">
      <alignment horizontal="center" vertical="center" wrapText="1"/>
    </xf>
    <xf numFmtId="0" fontId="184" fillId="15" borderId="119" xfId="0" applyFont="1" applyFill="1" applyBorder="1" applyAlignment="1">
      <alignment horizontal="justify" vertical="top" wrapText="1"/>
    </xf>
    <xf numFmtId="0" fontId="184" fillId="15" borderId="121" xfId="0" applyFont="1" applyFill="1" applyBorder="1" applyAlignment="1">
      <alignment horizontal="justify" vertical="top" wrapText="1"/>
    </xf>
    <xf numFmtId="0" fontId="184" fillId="15" borderId="122" xfId="0" applyFont="1" applyFill="1" applyBorder="1" applyAlignment="1">
      <alignment horizontal="justify" vertical="top" wrapText="1"/>
    </xf>
    <xf numFmtId="0" fontId="184" fillId="5" borderId="119" xfId="0" applyFont="1" applyFill="1" applyBorder="1" applyAlignment="1">
      <alignment horizontal="justify" vertical="top" wrapText="1"/>
    </xf>
    <xf numFmtId="0" fontId="184" fillId="5" borderId="121" xfId="0" applyFont="1" applyFill="1" applyBorder="1" applyAlignment="1">
      <alignment horizontal="justify" vertical="top" wrapText="1"/>
    </xf>
    <xf numFmtId="0" fontId="184" fillId="5" borderId="122" xfId="0" applyFont="1" applyFill="1" applyBorder="1" applyAlignment="1">
      <alignment horizontal="justify" vertical="top" wrapText="1"/>
    </xf>
    <xf numFmtId="49" fontId="184" fillId="5" borderId="119" xfId="0" applyNumberFormat="1" applyFont="1" applyFill="1" applyBorder="1" applyAlignment="1">
      <alignment horizontal="center" vertical="top" wrapText="1"/>
    </xf>
    <xf numFmtId="49" fontId="184" fillId="5" borderId="121" xfId="0" applyNumberFormat="1" applyFont="1" applyFill="1" applyBorder="1" applyAlignment="1">
      <alignment horizontal="center" vertical="top" wrapText="1"/>
    </xf>
    <xf numFmtId="49" fontId="184" fillId="5" borderId="122" xfId="0" applyNumberFormat="1" applyFont="1" applyFill="1" applyBorder="1" applyAlignment="1">
      <alignment horizontal="center" vertical="top" wrapText="1"/>
    </xf>
    <xf numFmtId="0" fontId="184" fillId="5" borderId="100" xfId="0" applyFont="1" applyFill="1" applyBorder="1" applyAlignment="1">
      <alignment horizontal="justify" vertical="top" wrapText="1"/>
    </xf>
    <xf numFmtId="49" fontId="184" fillId="0" borderId="119" xfId="0" applyNumberFormat="1" applyFont="1" applyBorder="1" applyAlignment="1">
      <alignment horizontal="center" vertical="top" wrapText="1"/>
    </xf>
    <xf numFmtId="49" fontId="184" fillId="0" borderId="121" xfId="0" applyNumberFormat="1" applyFont="1" applyBorder="1" applyAlignment="1">
      <alignment horizontal="center" vertical="top" wrapText="1"/>
    </xf>
    <xf numFmtId="49" fontId="184" fillId="0" borderId="122" xfId="0" applyNumberFormat="1" applyFont="1" applyBorder="1" applyAlignment="1">
      <alignment horizontal="center" vertical="top" wrapText="1"/>
    </xf>
    <xf numFmtId="0" fontId="186" fillId="11" borderId="119" xfId="23" applyFont="1" applyFill="1" applyBorder="1" applyAlignment="1">
      <alignment horizontal="center" vertical="center" wrapText="1"/>
    </xf>
    <xf numFmtId="0" fontId="186" fillId="11" borderId="121" xfId="23" applyFont="1" applyFill="1" applyBorder="1" applyAlignment="1">
      <alignment horizontal="center" vertical="center" wrapText="1"/>
    </xf>
    <xf numFmtId="0" fontId="186" fillId="11" borderId="122" xfId="23" applyFont="1" applyFill="1" applyBorder="1" applyAlignment="1">
      <alignment horizontal="center" vertical="center" wrapText="1"/>
    </xf>
    <xf numFmtId="43" fontId="186" fillId="35" borderId="100" xfId="23" applyNumberFormat="1" applyFont="1" applyFill="1" applyBorder="1" applyAlignment="1">
      <alignment horizontal="right" vertical="center"/>
    </xf>
    <xf numFmtId="0" fontId="186" fillId="9" borderId="106" xfId="23" applyFont="1" applyFill="1" applyBorder="1" applyAlignment="1">
      <alignment horizontal="center" vertical="center" wrapText="1"/>
    </xf>
    <xf numFmtId="0" fontId="186" fillId="9" borderId="145" xfId="23" applyFont="1" applyFill="1" applyBorder="1" applyAlignment="1">
      <alignment horizontal="center" vertical="center" wrapText="1"/>
    </xf>
    <xf numFmtId="0" fontId="186" fillId="9" borderId="144" xfId="23" applyFont="1" applyFill="1" applyBorder="1" applyAlignment="1">
      <alignment horizontal="center" vertical="center" wrapText="1"/>
    </xf>
    <xf numFmtId="0" fontId="30" fillId="31" borderId="119" xfId="0" applyFont="1" applyFill="1" applyBorder="1" applyAlignment="1">
      <alignment horizontal="justify" vertical="top" wrapText="1"/>
    </xf>
    <xf numFmtId="0" fontId="30" fillId="31" borderId="121" xfId="0" applyFont="1" applyFill="1" applyBorder="1" applyAlignment="1">
      <alignment horizontal="justify" vertical="top" wrapText="1"/>
    </xf>
    <xf numFmtId="0" fontId="30" fillId="31" borderId="122" xfId="0" applyFont="1" applyFill="1" applyBorder="1" applyAlignment="1">
      <alignment horizontal="justify" vertical="top" wrapText="1"/>
    </xf>
    <xf numFmtId="2" fontId="184" fillId="0" borderId="119" xfId="0" applyNumberFormat="1" applyFont="1" applyBorder="1" applyAlignment="1">
      <alignment horizontal="justify" vertical="top" wrapText="1"/>
    </xf>
    <xf numFmtId="2" fontId="184" fillId="0" borderId="121" xfId="0" applyNumberFormat="1" applyFont="1" applyBorder="1" applyAlignment="1">
      <alignment horizontal="justify" vertical="top" wrapText="1"/>
    </xf>
    <xf numFmtId="2" fontId="184" fillId="0" borderId="122" xfId="0" applyNumberFormat="1" applyFont="1" applyBorder="1" applyAlignment="1">
      <alignment horizontal="justify" vertical="top" wrapText="1"/>
    </xf>
    <xf numFmtId="0" fontId="184" fillId="45" borderId="119" xfId="23" applyFont="1" applyFill="1" applyBorder="1" applyAlignment="1">
      <alignment horizontal="center" vertical="top" wrapText="1"/>
    </xf>
    <xf numFmtId="0" fontId="184" fillId="45" borderId="121" xfId="23" applyFont="1" applyFill="1" applyBorder="1" applyAlignment="1">
      <alignment horizontal="center" vertical="top" wrapText="1"/>
    </xf>
    <xf numFmtId="0" fontId="184" fillId="45" borderId="122" xfId="23" applyFont="1" applyFill="1" applyBorder="1" applyAlignment="1">
      <alignment horizontal="center" vertical="top" wrapText="1"/>
    </xf>
    <xf numFmtId="0" fontId="184" fillId="0" borderId="119" xfId="23" applyFont="1" applyBorder="1" applyAlignment="1">
      <alignment horizontal="justify" vertical="top" wrapText="1"/>
    </xf>
    <xf numFmtId="0" fontId="184" fillId="0" borderId="121" xfId="23" applyFont="1" applyBorder="1" applyAlignment="1">
      <alignment horizontal="justify" vertical="top" wrapText="1"/>
    </xf>
    <xf numFmtId="0" fontId="184" fillId="0" borderId="122" xfId="23" applyFont="1" applyBorder="1" applyAlignment="1">
      <alignment horizontal="justify" vertical="top" wrapText="1"/>
    </xf>
    <xf numFmtId="0" fontId="186" fillId="9" borderId="123" xfId="23" applyFont="1" applyFill="1" applyBorder="1" applyAlignment="1">
      <alignment horizontal="center" vertical="center" wrapText="1"/>
    </xf>
    <xf numFmtId="0" fontId="186" fillId="9" borderId="146" xfId="23" applyFont="1" applyFill="1" applyBorder="1" applyAlignment="1">
      <alignment horizontal="center" vertical="center" wrapText="1"/>
    </xf>
    <xf numFmtId="0" fontId="186" fillId="9" borderId="147" xfId="23" applyFont="1" applyFill="1" applyBorder="1" applyAlignment="1">
      <alignment horizontal="center" vertical="center" wrapText="1"/>
    </xf>
    <xf numFmtId="0" fontId="186" fillId="9" borderId="136" xfId="23" applyFont="1" applyFill="1" applyBorder="1" applyAlignment="1">
      <alignment horizontal="center" vertical="center" wrapText="1"/>
    </xf>
    <xf numFmtId="0" fontId="186" fillId="9" borderId="0" xfId="23" applyFont="1" applyFill="1" applyAlignment="1">
      <alignment horizontal="center" vertical="center" wrapText="1"/>
    </xf>
    <xf numFmtId="0" fontId="186" fillId="9" borderId="131" xfId="23" applyFont="1" applyFill="1" applyBorder="1" applyAlignment="1">
      <alignment horizontal="center" vertical="center" wrapText="1"/>
    </xf>
    <xf numFmtId="0" fontId="186" fillId="9" borderId="132" xfId="23" applyFont="1" applyFill="1" applyBorder="1" applyAlignment="1">
      <alignment horizontal="center" vertical="center" wrapText="1"/>
    </xf>
    <xf numFmtId="0" fontId="186" fillId="9" borderId="154" xfId="23" applyFont="1" applyFill="1" applyBorder="1" applyAlignment="1">
      <alignment horizontal="center" vertical="center" wrapText="1"/>
    </xf>
    <xf numFmtId="0" fontId="186" fillId="9" borderId="153" xfId="23" applyFont="1" applyFill="1" applyBorder="1" applyAlignment="1">
      <alignment horizontal="center" vertical="center" wrapText="1"/>
    </xf>
    <xf numFmtId="0" fontId="184" fillId="15" borderId="100" xfId="0" applyFont="1" applyFill="1" applyBorder="1" applyAlignment="1">
      <alignment horizontal="justify" vertical="top" wrapText="1"/>
    </xf>
    <xf numFmtId="2" fontId="184" fillId="6" borderId="119" xfId="0" applyNumberFormat="1" applyFont="1" applyFill="1" applyBorder="1" applyAlignment="1">
      <alignment horizontal="justify" vertical="top" wrapText="1"/>
    </xf>
    <xf numFmtId="2" fontId="184" fillId="6" borderId="121" xfId="0" applyNumberFormat="1" applyFont="1" applyFill="1" applyBorder="1" applyAlignment="1">
      <alignment horizontal="justify" vertical="top" wrapText="1"/>
    </xf>
    <xf numFmtId="2" fontId="184" fillId="6" borderId="122" xfId="0" applyNumberFormat="1" applyFont="1" applyFill="1" applyBorder="1" applyAlignment="1">
      <alignment horizontal="justify" vertical="top" wrapText="1"/>
    </xf>
    <xf numFmtId="49" fontId="184" fillId="5" borderId="100" xfId="0" applyNumberFormat="1" applyFont="1" applyFill="1" applyBorder="1" applyAlignment="1">
      <alignment horizontal="center" vertical="top" wrapText="1"/>
    </xf>
    <xf numFmtId="2" fontId="184" fillId="5" borderId="119" xfId="0" applyNumberFormat="1" applyFont="1" applyFill="1" applyBorder="1" applyAlignment="1">
      <alignment horizontal="justify" vertical="top" wrapText="1"/>
    </xf>
    <xf numFmtId="2" fontId="184" fillId="5" borderId="121" xfId="0" applyNumberFormat="1" applyFont="1" applyFill="1" applyBorder="1" applyAlignment="1">
      <alignment horizontal="justify" vertical="top" wrapText="1"/>
    </xf>
    <xf numFmtId="2" fontId="184" fillId="5" borderId="122" xfId="0" applyNumberFormat="1" applyFont="1" applyFill="1" applyBorder="1" applyAlignment="1">
      <alignment horizontal="justify" vertical="top" wrapText="1"/>
    </xf>
    <xf numFmtId="49" fontId="184" fillId="31" borderId="100" xfId="0" applyNumberFormat="1" applyFont="1" applyFill="1" applyBorder="1" applyAlignment="1">
      <alignment horizontal="center" vertical="top" wrapText="1"/>
    </xf>
    <xf numFmtId="49" fontId="184" fillId="31" borderId="119" xfId="0" applyNumberFormat="1" applyFont="1" applyFill="1" applyBorder="1" applyAlignment="1">
      <alignment horizontal="center" vertical="top" wrapText="1"/>
    </xf>
    <xf numFmtId="49" fontId="184" fillId="31" borderId="121" xfId="0" applyNumberFormat="1" applyFont="1" applyFill="1" applyBorder="1" applyAlignment="1">
      <alignment horizontal="center" vertical="top" wrapText="1"/>
    </xf>
    <xf numFmtId="49" fontId="184" fillId="31" borderId="122" xfId="0" applyNumberFormat="1" applyFont="1" applyFill="1" applyBorder="1" applyAlignment="1">
      <alignment horizontal="center" vertical="top" wrapText="1"/>
    </xf>
    <xf numFmtId="0" fontId="184" fillId="5" borderId="119" xfId="0" applyFont="1" applyFill="1" applyBorder="1" applyAlignment="1">
      <alignment horizontal="center" vertical="top" wrapText="1"/>
    </xf>
    <xf numFmtId="0" fontId="184" fillId="5" borderId="121" xfId="0" applyFont="1" applyFill="1" applyBorder="1" applyAlignment="1">
      <alignment horizontal="center" vertical="top" wrapText="1"/>
    </xf>
    <xf numFmtId="0" fontId="184" fillId="5" borderId="122" xfId="0" applyFont="1" applyFill="1" applyBorder="1" applyAlignment="1">
      <alignment horizontal="center" vertical="top" wrapText="1"/>
    </xf>
    <xf numFmtId="0" fontId="184" fillId="5" borderId="119" xfId="0" applyFont="1" applyFill="1" applyBorder="1" applyAlignment="1">
      <alignment horizontal="left" vertical="top" wrapText="1"/>
    </xf>
    <xf numFmtId="0" fontId="184" fillId="5" borderId="121" xfId="0" applyFont="1" applyFill="1" applyBorder="1" applyAlignment="1">
      <alignment horizontal="left" vertical="top" wrapText="1"/>
    </xf>
    <xf numFmtId="0" fontId="184" fillId="5" borderId="122" xfId="0" applyFont="1" applyFill="1" applyBorder="1" applyAlignment="1">
      <alignment horizontal="left" vertical="top" wrapText="1"/>
    </xf>
    <xf numFmtId="0" fontId="184" fillId="15" borderId="119" xfId="0" applyFont="1" applyFill="1" applyBorder="1" applyAlignment="1">
      <alignment horizontal="center" vertical="top" wrapText="1"/>
    </xf>
    <xf numFmtId="0" fontId="184" fillId="15" borderId="121" xfId="0" applyFont="1" applyFill="1" applyBorder="1" applyAlignment="1">
      <alignment horizontal="center" vertical="top" wrapText="1"/>
    </xf>
    <xf numFmtId="0" fontId="184" fillId="15" borderId="122" xfId="0" applyFont="1" applyFill="1" applyBorder="1" applyAlignment="1">
      <alignment horizontal="center" vertical="top" wrapText="1"/>
    </xf>
    <xf numFmtId="0" fontId="184" fillId="15" borderId="119" xfId="0" applyFont="1" applyFill="1" applyBorder="1" applyAlignment="1">
      <alignment horizontal="left" vertical="top" wrapText="1"/>
    </xf>
    <xf numFmtId="0" fontId="184" fillId="15" borderId="121" xfId="0" applyFont="1" applyFill="1" applyBorder="1" applyAlignment="1">
      <alignment horizontal="left" vertical="top" wrapText="1"/>
    </xf>
    <xf numFmtId="0" fontId="184" fillId="15" borderId="122" xfId="0" applyFont="1" applyFill="1" applyBorder="1" applyAlignment="1">
      <alignment horizontal="left" vertical="top" wrapText="1"/>
    </xf>
    <xf numFmtId="0" fontId="186" fillId="24" borderId="119" xfId="23" applyFont="1" applyFill="1" applyBorder="1" applyAlignment="1">
      <alignment horizontal="center" vertical="center" wrapText="1"/>
    </xf>
    <xf numFmtId="0" fontId="186" fillId="24" borderId="121" xfId="23" applyFont="1" applyFill="1" applyBorder="1" applyAlignment="1">
      <alignment horizontal="center" vertical="center" wrapText="1"/>
    </xf>
    <xf numFmtId="0" fontId="186" fillId="24" borderId="122" xfId="23" applyFont="1" applyFill="1" applyBorder="1" applyAlignment="1">
      <alignment horizontal="center" vertical="center" wrapText="1"/>
    </xf>
    <xf numFmtId="0" fontId="184" fillId="31" borderId="119" xfId="23" applyFont="1" applyFill="1" applyBorder="1" applyAlignment="1">
      <alignment horizontal="justify" vertical="top" wrapText="1"/>
    </xf>
    <xf numFmtId="0" fontId="184" fillId="31" borderId="121" xfId="23" applyFont="1" applyFill="1" applyBorder="1" applyAlignment="1">
      <alignment horizontal="justify" vertical="top" wrapText="1"/>
    </xf>
    <xf numFmtId="0" fontId="184" fillId="31" borderId="122" xfId="23" applyFont="1" applyFill="1" applyBorder="1" applyAlignment="1">
      <alignment horizontal="justify" vertical="top" wrapText="1"/>
    </xf>
    <xf numFmtId="0" fontId="184" fillId="12" borderId="100" xfId="0" applyFont="1" applyFill="1" applyBorder="1" applyAlignment="1">
      <alignment horizontal="justify" vertical="top" wrapText="1"/>
    </xf>
    <xf numFmtId="43" fontId="186" fillId="35" borderId="121" xfId="23" applyNumberFormat="1" applyFont="1" applyFill="1" applyBorder="1" applyAlignment="1">
      <alignment horizontal="right" vertical="center"/>
    </xf>
    <xf numFmtId="3" fontId="195" fillId="43" borderId="106" xfId="23" applyNumberFormat="1" applyFont="1" applyFill="1" applyBorder="1" applyAlignment="1">
      <alignment horizontal="center" vertical="center"/>
    </xf>
    <xf numFmtId="3" fontId="195" fillId="43" borderId="145" xfId="23" applyNumberFormat="1" applyFont="1" applyFill="1" applyBorder="1" applyAlignment="1">
      <alignment horizontal="center" vertical="center"/>
    </xf>
    <xf numFmtId="3" fontId="195" fillId="43" borderId="144" xfId="23" applyNumberFormat="1" applyFont="1" applyFill="1" applyBorder="1" applyAlignment="1">
      <alignment horizontal="center" vertical="center"/>
    </xf>
    <xf numFmtId="0" fontId="234" fillId="0" borderId="107" xfId="0" applyFont="1" applyBorder="1" applyAlignment="1">
      <alignment vertical="center" wrapText="1"/>
    </xf>
    <xf numFmtId="0" fontId="0" fillId="0" borderId="108" xfId="0" applyBorder="1" applyAlignment="1">
      <alignment horizontal="center" vertical="center"/>
    </xf>
    <xf numFmtId="43" fontId="0" fillId="0" borderId="108" xfId="0" applyNumberFormat="1" applyBorder="1" applyAlignment="1">
      <alignment horizontal="center" vertical="center"/>
    </xf>
    <xf numFmtId="0" fontId="139" fillId="0" borderId="0" xfId="0" applyNumberFormat="1" applyFont="1" applyFill="1" applyAlignment="1">
      <alignment horizontal="left" wrapText="1"/>
    </xf>
    <xf numFmtId="49" fontId="9" fillId="7" borderId="106" xfId="4" applyNumberFormat="1" applyFont="1" applyFill="1" applyBorder="1" applyAlignment="1">
      <alignment horizontal="center" vertical="center" wrapText="1"/>
    </xf>
    <xf numFmtId="49" fontId="9" fillId="7" borderId="145" xfId="4" applyNumberFormat="1" applyFont="1" applyFill="1" applyBorder="1" applyAlignment="1">
      <alignment horizontal="center" vertical="center" wrapText="1"/>
    </xf>
    <xf numFmtId="49" fontId="9" fillId="7" borderId="144" xfId="4" applyNumberFormat="1" applyFont="1" applyFill="1" applyBorder="1" applyAlignment="1">
      <alignment horizontal="center" vertical="center" wrapText="1"/>
    </xf>
    <xf numFmtId="49" fontId="9" fillId="7" borderId="138" xfId="4" applyNumberFormat="1" applyFont="1" applyFill="1" applyBorder="1" applyAlignment="1">
      <alignment horizontal="center" vertical="center" wrapText="1"/>
    </xf>
    <xf numFmtId="49" fontId="9" fillId="7" borderId="139" xfId="4" applyNumberFormat="1" applyFont="1" applyFill="1" applyBorder="1" applyAlignment="1">
      <alignment horizontal="center" vertical="center" wrapText="1"/>
    </xf>
    <xf numFmtId="49" fontId="9" fillId="7" borderId="140" xfId="4" applyNumberFormat="1" applyFont="1" applyFill="1" applyBorder="1" applyAlignment="1">
      <alignment horizontal="center" vertical="center" wrapText="1"/>
    </xf>
    <xf numFmtId="0" fontId="5" fillId="0" borderId="142" xfId="0" applyFont="1" applyBorder="1" applyAlignment="1">
      <alignment horizontal="center" vertical="center" wrapText="1"/>
    </xf>
    <xf numFmtId="0" fontId="5" fillId="0" borderId="21" xfId="0" applyFont="1" applyBorder="1" applyAlignment="1">
      <alignment horizontal="center" vertical="center" wrapText="1"/>
    </xf>
    <xf numFmtId="0" fontId="4" fillId="0" borderId="142" xfId="0" applyFont="1" applyBorder="1" applyAlignment="1">
      <alignment horizontal="center" vertical="center" wrapText="1"/>
    </xf>
    <xf numFmtId="0" fontId="4" fillId="0" borderId="21" xfId="0" applyFont="1" applyBorder="1" applyAlignment="1">
      <alignment horizontal="center" vertical="center" wrapText="1"/>
    </xf>
    <xf numFmtId="3" fontId="93" fillId="0" borderId="114" xfId="0" applyNumberFormat="1" applyFont="1" applyBorder="1" applyAlignment="1">
      <alignment horizontal="center" vertical="center"/>
    </xf>
    <xf numFmtId="3" fontId="93" fillId="0" borderId="65" xfId="0" applyNumberFormat="1" applyFont="1" applyBorder="1" applyAlignment="1">
      <alignment horizontal="center" vertical="center"/>
    </xf>
    <xf numFmtId="9" fontId="0" fillId="19" borderId="113" xfId="0" applyNumberFormat="1" applyFill="1" applyBorder="1" applyAlignment="1">
      <alignment horizontal="center" vertical="center"/>
    </xf>
    <xf numFmtId="9" fontId="0" fillId="19" borderId="64" xfId="0" applyNumberFormat="1" applyFill="1" applyBorder="1" applyAlignment="1">
      <alignment horizontal="center" vertical="center"/>
    </xf>
    <xf numFmtId="3" fontId="93" fillId="0" borderId="112" xfId="0" applyNumberFormat="1" applyFont="1" applyBorder="1" applyAlignment="1">
      <alignment horizontal="center" vertical="center"/>
    </xf>
    <xf numFmtId="3" fontId="93" fillId="0" borderId="48" xfId="0" applyNumberFormat="1" applyFont="1" applyBorder="1" applyAlignment="1">
      <alignment horizontal="center" vertical="center"/>
    </xf>
    <xf numFmtId="3" fontId="93" fillId="0" borderId="113" xfId="0" applyNumberFormat="1" applyFont="1" applyBorder="1" applyAlignment="1">
      <alignment horizontal="center" vertical="center"/>
    </xf>
    <xf numFmtId="3" fontId="93" fillId="0" borderId="64" xfId="0" applyNumberFormat="1" applyFont="1" applyBorder="1" applyAlignment="1">
      <alignment horizontal="center" vertical="center"/>
    </xf>
    <xf numFmtId="9" fontId="72" fillId="19" borderId="17" xfId="0" applyNumberFormat="1" applyFont="1" applyFill="1" applyBorder="1" applyAlignment="1">
      <alignment horizontal="center" vertical="center"/>
    </xf>
    <xf numFmtId="9" fontId="72" fillId="19" borderId="21" xfId="0" applyNumberFormat="1" applyFont="1" applyFill="1" applyBorder="1" applyAlignment="1">
      <alignment horizontal="center" vertical="center"/>
    </xf>
    <xf numFmtId="9" fontId="0" fillId="19" borderId="28" xfId="0" applyNumberFormat="1" applyFill="1" applyBorder="1" applyAlignment="1">
      <alignment horizontal="center" vertical="center"/>
    </xf>
    <xf numFmtId="9" fontId="0" fillId="19" borderId="30" xfId="0" applyNumberFormat="1" applyFill="1" applyBorder="1" applyAlignment="1">
      <alignment horizontal="center" vertical="center"/>
    </xf>
    <xf numFmtId="0" fontId="133" fillId="0" borderId="91" xfId="0" applyFont="1" applyBorder="1" applyAlignment="1">
      <alignment horizontal="center" vertical="center"/>
    </xf>
    <xf numFmtId="0" fontId="133" fillId="0" borderId="97" xfId="0" applyFont="1" applyBorder="1" applyAlignment="1">
      <alignment horizontal="center" vertical="center"/>
    </xf>
    <xf numFmtId="0" fontId="133" fillId="0" borderId="79" xfId="0" applyFont="1" applyBorder="1" applyAlignment="1">
      <alignment horizontal="center" vertical="center"/>
    </xf>
    <xf numFmtId="0" fontId="133" fillId="0" borderId="40" xfId="0" applyFont="1" applyBorder="1" applyAlignment="1">
      <alignment horizontal="left"/>
    </xf>
    <xf numFmtId="2" fontId="133" fillId="0" borderId="86" xfId="0" applyNumberFormat="1" applyFont="1" applyBorder="1" applyAlignment="1">
      <alignment horizontal="center" vertical="center"/>
    </xf>
    <xf numFmtId="2" fontId="133" fillId="0" borderId="20" xfId="0" applyNumberFormat="1" applyFont="1" applyBorder="1" applyAlignment="1">
      <alignment horizontal="center" vertical="center"/>
    </xf>
    <xf numFmtId="0" fontId="132" fillId="0" borderId="0" xfId="0" applyFont="1" applyAlignment="1">
      <alignment horizontal="center"/>
    </xf>
    <xf numFmtId="0" fontId="131" fillId="0" borderId="0" xfId="0" applyFont="1" applyAlignment="1">
      <alignment horizontal="center"/>
    </xf>
    <xf numFmtId="0" fontId="131" fillId="0" borderId="0" xfId="0" applyFont="1" applyBorder="1" applyAlignment="1">
      <alignment horizontal="center"/>
    </xf>
    <xf numFmtId="0" fontId="133" fillId="0" borderId="0" xfId="0" applyFont="1" applyAlignment="1">
      <alignment horizontal="center" vertical="center"/>
    </xf>
    <xf numFmtId="0" fontId="128" fillId="0" borderId="100" xfId="0" applyFont="1" applyBorder="1" applyAlignment="1">
      <alignment horizontal="center"/>
    </xf>
    <xf numFmtId="0" fontId="259" fillId="7" borderId="157" xfId="25" applyNumberFormat="1" applyFont="1" applyFill="1" applyBorder="1" applyAlignment="1">
      <alignment horizontal="center" wrapText="1"/>
    </xf>
    <xf numFmtId="0" fontId="259" fillId="7" borderId="158" xfId="25" applyNumberFormat="1" applyFont="1" applyFill="1" applyBorder="1" applyAlignment="1">
      <alignment horizontal="center" wrapText="1"/>
    </xf>
    <xf numFmtId="0" fontId="259" fillId="7" borderId="159" xfId="25" applyNumberFormat="1" applyFont="1" applyFill="1" applyBorder="1" applyAlignment="1">
      <alignment horizontal="center" wrapText="1"/>
    </xf>
    <xf numFmtId="1" fontId="257" fillId="40" borderId="157" xfId="0" applyNumberFormat="1" applyFont="1" applyFill="1" applyBorder="1" applyAlignment="1">
      <alignment horizontal="left" vertical="top" wrapText="1"/>
    </xf>
    <xf numFmtId="1" fontId="257" fillId="40" borderId="158" xfId="0" applyNumberFormat="1" applyFont="1" applyFill="1" applyBorder="1" applyAlignment="1">
      <alignment horizontal="left" vertical="top" wrapText="1"/>
    </xf>
    <xf numFmtId="1" fontId="257" fillId="40" borderId="159" xfId="0" applyNumberFormat="1" applyFont="1" applyFill="1" applyBorder="1" applyAlignment="1">
      <alignment horizontal="left" vertical="top" wrapText="1"/>
    </xf>
    <xf numFmtId="1" fontId="44" fillId="57" borderId="107" xfId="0" applyNumberFormat="1" applyFont="1" applyFill="1" applyBorder="1" applyAlignment="1">
      <alignment horizontal="left" vertical="top" wrapText="1"/>
    </xf>
    <xf numFmtId="1" fontId="44" fillId="57" borderId="100" xfId="0" applyNumberFormat="1" applyFont="1" applyFill="1" applyBorder="1" applyAlignment="1">
      <alignment horizontal="left" vertical="top" wrapText="1"/>
    </xf>
    <xf numFmtId="1" fontId="44" fillId="57" borderId="108" xfId="0" applyNumberFormat="1" applyFont="1" applyFill="1" applyBorder="1" applyAlignment="1">
      <alignment horizontal="left" vertical="top" wrapText="1"/>
    </xf>
    <xf numFmtId="1" fontId="44" fillId="7" borderId="155" xfId="0" applyNumberFormat="1" applyFont="1" applyFill="1" applyBorder="1" applyAlignment="1">
      <alignment horizontal="left" vertical="top" wrapText="1"/>
    </xf>
    <xf numFmtId="1" fontId="44" fillId="7" borderId="146" xfId="0" applyNumberFormat="1" applyFont="1" applyFill="1" applyBorder="1" applyAlignment="1">
      <alignment horizontal="left" vertical="top" wrapText="1"/>
    </xf>
    <xf numFmtId="1" fontId="44" fillId="7" borderId="156" xfId="0" applyNumberFormat="1" applyFont="1" applyFill="1" applyBorder="1" applyAlignment="1">
      <alignment horizontal="left" vertical="top" wrapText="1"/>
    </xf>
  </cellXfs>
  <cellStyles count="32">
    <cellStyle name="20% - Accent1 2" xfId="29" xr:uid="{00000000-0005-0000-0000-000000000000}"/>
    <cellStyle name="Bad" xfId="7" builtinId="27"/>
    <cellStyle name="Check Cell" xfId="8" builtinId="23"/>
    <cellStyle name="Comma 3 2" xfId="12" xr:uid="{00000000-0005-0000-0000-000001000000}"/>
    <cellStyle name="Currency 2" xfId="10" xr:uid="{00000000-0005-0000-0000-000002000000}"/>
    <cellStyle name="Hyperlink" xfId="6" builtinId="8"/>
    <cellStyle name="Hyperlink 2" xfId="17" xr:uid="{00000000-0005-0000-0000-000003000000}"/>
    <cellStyle name="Normal" xfId="0" builtinId="0"/>
    <cellStyle name="Normal 11" xfId="11" xr:uid="{00000000-0005-0000-0000-000004000000}"/>
    <cellStyle name="Normal 13" xfId="27" xr:uid="{00000000-0005-0000-0000-000005000000}"/>
    <cellStyle name="Normal 14" xfId="30" xr:uid="{00000000-0005-0000-0000-000006000000}"/>
    <cellStyle name="Normal 2" xfId="4" xr:uid="{00000000-0005-0000-0000-000007000000}"/>
    <cellStyle name="Normal 2 2" xfId="22" xr:uid="{00000000-0005-0000-0000-000008000000}"/>
    <cellStyle name="Normal 2 3" xfId="16" xr:uid="{00000000-0005-0000-0000-000009000000}"/>
    <cellStyle name="Normal 2 4" xfId="28" xr:uid="{00000000-0005-0000-0000-00000A000000}"/>
    <cellStyle name="Normal 2 6" xfId="9" xr:uid="{00000000-0005-0000-0000-00000B000000}"/>
    <cellStyle name="Normal 3" xfId="5" xr:uid="{00000000-0005-0000-0000-00000C000000}"/>
    <cellStyle name="Normal 4" xfId="14" xr:uid="{00000000-0005-0000-0000-00000D000000}"/>
    <cellStyle name="Normal 5" xfId="21" xr:uid="{00000000-0005-0000-0000-00000E000000}"/>
    <cellStyle name="Normal 5 2" xfId="26" xr:uid="{00000000-0005-0000-0000-00000F000000}"/>
    <cellStyle name="Normal 6" xfId="25" xr:uid="{00000000-0005-0000-0000-000010000000}"/>
    <cellStyle name="Normal 7" xfId="2" xr:uid="{00000000-0005-0000-0000-000011000000}"/>
    <cellStyle name="Normal 7 2" xfId="23" xr:uid="{00000000-0005-0000-0000-000012000000}"/>
    <cellStyle name="Normal 8" xfId="24" xr:uid="{00000000-0005-0000-0000-000013000000}"/>
    <cellStyle name="Normal 8 3" xfId="31" xr:uid="{00000000-0005-0000-0000-000014000000}"/>
    <cellStyle name="Percent" xfId="1" builtinId="5"/>
    <cellStyle name="Percent 2 2" xfId="18" xr:uid="{00000000-0005-0000-0000-000015000000}"/>
    <cellStyle name="Percent 4" xfId="20" xr:uid="{00000000-0005-0000-0000-000016000000}"/>
    <cellStyle name="Standard 2" xfId="13" xr:uid="{00000000-0005-0000-0000-000017000000}"/>
    <cellStyle name="Обычный 2" xfId="15" xr:uid="{00000000-0005-0000-0000-00001B000000}"/>
    <cellStyle name="Обычный_регионы" xfId="3" xr:uid="{00000000-0005-0000-0000-00001C000000}"/>
    <cellStyle name="Хороший" xfId="19" xr:uid="{00000000-0005-0000-0000-00001F000000}"/>
  </cellStyles>
  <dxfs count="2208">
    <dxf>
      <font>
        <color rgb="FF9C0006"/>
      </font>
      <fill>
        <patternFill>
          <bgColor rgb="FFFFC7CE"/>
        </patternFill>
      </fill>
    </dxf>
    <dxf>
      <fill>
        <patternFill>
          <bgColor theme="9" tint="0.39994506668294322"/>
        </patternFill>
      </fill>
    </dxf>
    <dxf>
      <fill>
        <patternFill>
          <bgColor theme="0" tint="-0.14996795556505021"/>
        </patternFill>
      </fill>
    </dxf>
    <dxf>
      <fill>
        <patternFill>
          <bgColor theme="0" tint="-0.14996795556505021"/>
        </patternFill>
      </fill>
    </dxf>
    <dxf>
      <numFmt numFmtId="0" formatCode="General"/>
    </dxf>
    <dxf>
      <font>
        <b val="0"/>
        <i val="0"/>
        <strike val="0"/>
        <condense val="0"/>
        <extend val="0"/>
        <outline val="0"/>
        <shadow val="0"/>
        <u val="none"/>
        <vertAlign val="baseline"/>
        <sz val="12"/>
        <color theme="1"/>
        <name val="Calibri Light"/>
        <scheme val="major"/>
      </font>
      <numFmt numFmtId="172" formatCode="#,##0.00\ [$USD]"/>
      <alignment horizontal="center" vertical="center" textRotation="0" wrapText="1" indent="0" justifyLastLine="0" shrinkToFit="0" readingOrder="0"/>
      <border diagonalUp="0" diagonalDown="0">
        <start style="thin">
          <color indexed="64"/>
        </start>
        <end/>
        <top style="thin">
          <color indexed="64"/>
        </top>
        <bottom style="thin">
          <color indexed="64"/>
        </bottom>
        <vertical/>
        <horizontal/>
      </border>
    </dxf>
    <dxf>
      <font>
        <b val="0"/>
        <i val="0"/>
        <strike val="0"/>
        <condense val="0"/>
        <extend val="0"/>
        <outline val="0"/>
        <shadow val="0"/>
        <u val="none"/>
        <vertAlign val="baseline"/>
        <sz val="12"/>
        <color theme="1"/>
        <name val="Calibri Light"/>
        <scheme val="major"/>
      </font>
      <numFmt numFmtId="2" formatCode="0.00"/>
      <alignment horizontal="center" vertical="center" textRotation="0" wrapText="1" indent="0" justifyLastLine="0" shrinkToFit="0" readingOrder="0"/>
      <border diagonalUp="0" diagonalDown="0">
        <start style="thin">
          <color indexed="64"/>
        </start>
        <end style="thin">
          <color indexed="64"/>
        </end>
        <top style="thin">
          <color indexed="64"/>
        </top>
        <bottom style="thin">
          <color indexed="64"/>
        </bottom>
        <vertical/>
        <horizontal/>
      </border>
    </dxf>
    <dxf>
      <font>
        <b val="0"/>
        <i val="0"/>
        <strike val="0"/>
        <condense val="0"/>
        <extend val="0"/>
        <outline val="0"/>
        <shadow val="0"/>
        <u val="none"/>
        <vertAlign val="baseline"/>
        <sz val="12"/>
        <color theme="1"/>
        <name val="Calibri Light"/>
        <scheme val="major"/>
      </font>
      <alignment horizontal="left" vertical="center" textRotation="0" wrapText="1" indent="0" justifyLastLine="0" shrinkToFit="0" readingOrder="0"/>
      <border diagonalUp="0" diagonalDown="0">
        <start style="thin">
          <color indexed="64"/>
        </start>
        <end style="thin">
          <color indexed="64"/>
        </end>
        <top style="thin">
          <color indexed="64"/>
        </top>
        <bottom style="thin">
          <color indexed="64"/>
        </bottom>
        <vertical/>
        <horizontal/>
      </border>
    </dxf>
    <dxf>
      <font>
        <b val="0"/>
        <i val="0"/>
        <strike val="0"/>
        <condense val="0"/>
        <extend val="0"/>
        <outline val="0"/>
        <shadow val="0"/>
        <u val="none"/>
        <vertAlign val="baseline"/>
        <sz val="12"/>
        <color theme="1"/>
        <name val="Calibri Light"/>
        <scheme val="major"/>
      </font>
      <alignment horizontal="center" vertical="center" textRotation="0" wrapText="1" indent="0" justifyLastLine="0" shrinkToFit="0" readingOrder="0"/>
      <border diagonalUp="0" diagonalDown="0">
        <start style="thin">
          <color indexed="64"/>
        </start>
        <end style="thin">
          <color indexed="64"/>
        </end>
        <top style="thin">
          <color indexed="64"/>
        </top>
        <bottom style="thin">
          <color indexed="64"/>
        </bottom>
        <vertical/>
        <horizontal/>
      </border>
    </dxf>
    <dxf>
      <font>
        <b val="0"/>
        <i val="0"/>
        <strike val="0"/>
        <condense val="0"/>
        <extend val="0"/>
        <outline val="0"/>
        <shadow val="0"/>
        <u val="none"/>
        <vertAlign val="baseline"/>
        <sz val="12"/>
        <color auto="1"/>
        <name val="Calibri Light"/>
        <scheme val="major"/>
      </font>
      <fill>
        <patternFill patternType="solid">
          <fgColor indexed="64"/>
          <bgColor theme="0"/>
        </patternFill>
      </fill>
      <alignment horizontal="center" vertical="center" textRotation="0" wrapText="1" indent="0" justifyLastLine="0" shrinkToFit="0" readingOrder="0"/>
      <border diagonalUp="0" diagonalDown="0">
        <start style="thin">
          <color indexed="64"/>
        </start>
        <end style="thin">
          <color indexed="64"/>
        </end>
        <top style="thin">
          <color indexed="64"/>
        </top>
        <bottom style="thin">
          <color indexed="64"/>
        </bottom>
        <vertical/>
        <horizontal/>
      </border>
    </dxf>
    <dxf>
      <font>
        <b val="0"/>
        <i val="0"/>
        <strike val="0"/>
        <condense val="0"/>
        <extend val="0"/>
        <outline val="0"/>
        <shadow val="0"/>
        <u val="none"/>
        <vertAlign val="baseline"/>
        <sz val="12"/>
        <color auto="1"/>
        <name val="Calibri Light"/>
        <scheme val="major"/>
      </font>
      <fill>
        <patternFill patternType="solid">
          <fgColor indexed="64"/>
          <bgColor theme="0"/>
        </patternFill>
      </fill>
      <alignment horizontal="center" vertical="center" textRotation="0" wrapText="1" indent="0" justifyLastLine="0" shrinkToFit="0" readingOrder="0"/>
      <border diagonalUp="0" diagonalDown="0">
        <start style="thin">
          <color indexed="64"/>
        </start>
        <end style="thin">
          <color indexed="64"/>
        </end>
        <top style="thin">
          <color indexed="64"/>
        </top>
        <bottom style="thin">
          <color indexed="64"/>
        </bottom>
        <vertical/>
        <horizontal/>
      </border>
    </dxf>
    <dxf>
      <font>
        <b val="0"/>
        <i val="0"/>
        <strike val="0"/>
        <condense val="0"/>
        <extend val="0"/>
        <outline val="0"/>
        <shadow val="0"/>
        <u val="none"/>
        <vertAlign val="baseline"/>
        <sz val="12"/>
        <color theme="1"/>
        <name val="Calibri Light"/>
        <scheme val="major"/>
      </font>
      <fill>
        <patternFill patternType="solid">
          <fgColor indexed="64"/>
          <bgColor theme="0"/>
        </patternFill>
      </fill>
      <alignment horizontal="left" vertical="center" textRotation="0" wrapText="1" indent="0" justifyLastLine="0" shrinkToFit="0" readingOrder="0"/>
      <border diagonalUp="0" diagonalDown="0">
        <start style="thin">
          <color indexed="64"/>
        </start>
        <end style="thin">
          <color indexed="64"/>
        </end>
        <top style="thin">
          <color indexed="64"/>
        </top>
        <bottom style="thin">
          <color indexed="64"/>
        </bottom>
        <vertical/>
        <horizontal/>
      </border>
    </dxf>
    <dxf>
      <font>
        <b val="0"/>
        <i val="0"/>
        <strike val="0"/>
        <condense val="0"/>
        <extend val="0"/>
        <outline val="0"/>
        <shadow val="0"/>
        <u val="none"/>
        <vertAlign val="baseline"/>
        <sz val="12"/>
        <color theme="1"/>
        <name val="Calibri Light"/>
        <scheme val="major"/>
      </font>
      <numFmt numFmtId="1" formatCode="0"/>
      <alignment horizontal="left" vertical="center" textRotation="0" wrapText="1" indent="0" justifyLastLine="0" shrinkToFit="0" readingOrder="0"/>
      <border diagonalUp="0" diagonalDown="0">
        <start style="thin">
          <color indexed="64"/>
        </start>
        <end style="thin">
          <color indexed="64"/>
        </end>
        <top style="thin">
          <color indexed="64"/>
        </top>
        <bottom style="thin">
          <color indexed="64"/>
        </bottom>
        <vertical/>
        <horizontal/>
      </border>
    </dxf>
    <dxf>
      <numFmt numFmtId="1" formatCode="0"/>
      <border diagonalUp="0" diagonalDown="0">
        <start style="thin">
          <color indexed="64"/>
        </start>
        <end style="thin">
          <color indexed="64"/>
        </end>
        <top style="thin">
          <color indexed="64"/>
        </top>
        <bottom style="thin">
          <color indexed="64"/>
        </bottom>
        <vertical/>
        <horizontal/>
      </border>
    </dxf>
    <dxf>
      <numFmt numFmtId="1" formatCode="0"/>
      <border diagonalUp="0" diagonalDown="0">
        <start/>
        <end style="thin">
          <color indexed="64"/>
        </end>
        <top style="thin">
          <color indexed="64"/>
        </top>
        <bottom style="thin">
          <color indexed="64"/>
        </bottom>
        <vertical/>
        <horizontal/>
      </border>
    </dxf>
    <dxf>
      <border outline="0">
        <top style="thin">
          <color indexed="64"/>
        </top>
      </border>
    </dxf>
    <dxf>
      <border outline="0">
        <start style="medium">
          <color indexed="64"/>
        </start>
        <end style="medium">
          <color indexed="64"/>
        </end>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0"/>
        <color rgb="FF002060"/>
        <name val="Calibri Light"/>
        <scheme val="major"/>
      </font>
      <fill>
        <patternFill patternType="solid">
          <fgColor indexed="64"/>
          <bgColor theme="9" tint="0.79998168889431442"/>
        </patternFill>
      </fill>
      <alignment horizontal="center" vertical="center" textRotation="0" wrapText="1" indent="0" justifyLastLine="0" shrinkToFit="0" readingOrder="0"/>
      <border diagonalUp="0" diagonalDown="0" outline="0">
        <start style="thin">
          <color indexed="64"/>
        </start>
        <end style="thin">
          <color indexed="64"/>
        </end>
        <top/>
        <bottom/>
      </border>
      <protection locked="0" hidden="0"/>
    </dxf>
    <dxf>
      <numFmt numFmtId="0" formatCode="General"/>
      <alignment horizontal="center" vertical="bottom" textRotation="0" wrapText="0" indent="0" justifyLastLine="0" shrinkToFit="0" readingOrder="0"/>
      <border diagonalUp="0" diagonalDown="0" outline="0">
        <start style="thin">
          <color indexed="64"/>
        </start>
        <end style="thin">
          <color indexed="64"/>
        </end>
        <top style="thin">
          <color indexed="64"/>
        </top>
        <bottom style="thin">
          <color indexed="64"/>
        </bottom>
      </border>
    </dxf>
    <dxf>
      <numFmt numFmtId="0" formatCode="General"/>
      <alignment horizontal="center" vertical="bottom" textRotation="0" wrapText="0" indent="0" justifyLastLine="0" shrinkToFit="0" readingOrder="0"/>
      <border diagonalUp="0" diagonalDown="0" outline="0">
        <start style="thin">
          <color indexed="64"/>
        </start>
        <end style="thin">
          <color indexed="64"/>
        </end>
        <top style="thin">
          <color indexed="64"/>
        </top>
        <bottom style="thin">
          <color indexed="64"/>
        </bottom>
      </border>
    </dxf>
    <dxf>
      <numFmt numFmtId="0" formatCode="General"/>
      <alignment horizontal="center" vertical="bottom" textRotation="0" wrapText="0" indent="0" justifyLastLine="0" shrinkToFit="0" readingOrder="0"/>
      <border diagonalUp="0" diagonalDown="0" outline="0">
        <start style="thin">
          <color indexed="64"/>
        </start>
        <end style="thin">
          <color indexed="64"/>
        </end>
        <top style="thin">
          <color indexed="64"/>
        </top>
        <bottom style="thin">
          <color indexed="64"/>
        </bottom>
      </border>
    </dxf>
    <dxf>
      <alignment horizontal="center" vertical="bottom" textRotation="0" wrapText="0" indent="0" justifyLastLine="0" shrinkToFit="0" readingOrder="0"/>
      <border diagonalUp="0" diagonalDown="0" outline="0">
        <start style="thin">
          <color indexed="64"/>
        </start>
        <end style="thin">
          <color indexed="64"/>
        </end>
        <top style="thin">
          <color indexed="64"/>
        </top>
        <bottom style="thin">
          <color indexed="64"/>
        </bottom>
      </border>
    </dxf>
    <dxf>
      <alignment horizontal="center" vertical="bottom" textRotation="0" wrapText="0" indent="0" justifyLastLine="0" shrinkToFit="0" readingOrder="0"/>
      <border diagonalUp="0" diagonalDown="0" outline="0">
        <start style="thin">
          <color indexed="64"/>
        </start>
        <end style="thin">
          <color indexed="64"/>
        </end>
        <top style="thin">
          <color indexed="64"/>
        </top>
        <bottom style="thin">
          <color indexed="64"/>
        </bottom>
      </border>
    </dxf>
    <dxf>
      <fill>
        <patternFill>
          <fgColor indexed="64"/>
          <bgColor theme="7" tint="0.79998168889431442"/>
        </patternFill>
      </fill>
      <border diagonalUp="0" diagonalDown="0" outline="0">
        <start style="thin">
          <color indexed="64"/>
        </start>
        <end style="thin">
          <color indexed="64"/>
        </end>
        <top style="thin">
          <color indexed="64"/>
        </top>
        <bottom style="thin">
          <color indexed="64"/>
        </bottom>
      </border>
    </dxf>
    <dxf>
      <border diagonalUp="0" diagonalDown="0" outline="0">
        <start style="thin">
          <color indexed="64"/>
        </start>
        <end style="thin">
          <color indexed="64"/>
        </end>
        <top style="thin">
          <color indexed="64"/>
        </top>
        <bottom style="thin">
          <color indexed="64"/>
        </bottom>
      </border>
    </dxf>
    <dxf>
      <border diagonalUp="0" diagonalDown="0">
        <start style="thin">
          <color indexed="64"/>
        </start>
        <end style="thin">
          <color indexed="64"/>
        </end>
        <top style="thin">
          <color indexed="64"/>
        </top>
        <bottom style="thin">
          <color indexed="64"/>
        </bottom>
        <vertical style="thin">
          <color indexed="64"/>
        </vertical>
        <horizontal style="thin">
          <color indexed="64"/>
        </horizontal>
      </border>
    </dxf>
    <dxf>
      <border diagonalUp="0" diagonalDown="0">
        <start style="thin">
          <color indexed="64"/>
        </start>
        <end style="thin">
          <color indexed="64"/>
        </end>
        <top style="thin">
          <color indexed="64"/>
        </top>
        <bottom style="thin">
          <color indexed="64"/>
        </bottom>
        <vertical style="thin">
          <color indexed="64"/>
        </vertical>
        <horizontal style="thin">
          <color indexed="64"/>
        </horizontal>
      </border>
    </dxf>
    <dxf>
      <border outline="0">
        <bottom style="medium">
          <color indexed="64"/>
        </bottom>
      </border>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2"/>
        <color theme="1"/>
        <name val="Calibri"/>
        <scheme val="minor"/>
      </font>
    </dxf>
    <dxf>
      <font>
        <b val="0"/>
        <i val="0"/>
        <strike val="0"/>
        <condense val="0"/>
        <extend val="0"/>
        <outline val="0"/>
        <shadow val="0"/>
        <u val="none"/>
        <vertAlign val="baseline"/>
        <sz val="12"/>
        <color theme="1"/>
        <name val="Calibri"/>
        <scheme val="minor"/>
      </font>
    </dxf>
    <dxf>
      <font>
        <b val="0"/>
        <i val="0"/>
        <strike val="0"/>
        <condense val="0"/>
        <extend val="0"/>
        <outline val="0"/>
        <shadow val="0"/>
        <u val="none"/>
        <vertAlign val="baseline"/>
        <sz val="12"/>
        <color theme="1"/>
        <name val="Calibri"/>
        <scheme val="minor"/>
      </font>
    </dxf>
    <dxf>
      <border outline="0">
        <end style="thin">
          <color auto="1"/>
        </end>
      </border>
    </dxf>
    <dxf>
      <font>
        <b/>
        <i val="0"/>
        <strike val="0"/>
        <condense val="0"/>
        <extend val="0"/>
        <outline val="0"/>
        <shadow val="0"/>
        <u val="none"/>
        <vertAlign val="baseline"/>
        <sz val="11"/>
        <color theme="1"/>
        <name val="Calibri"/>
        <scheme val="minor"/>
      </font>
      <border diagonalUp="0" diagonalDown="0" outline="0">
        <start style="thin">
          <color auto="1"/>
        </start>
        <end style="thin">
          <color auto="1"/>
        </end>
        <top/>
        <bottom/>
      </border>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rgb="FFFF0000"/>
        </patternFill>
      </fill>
    </dxf>
    <dxf>
      <fill>
        <patternFill>
          <bgColor theme="9" tint="0.79998168889431442"/>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border>
        <start style="thin">
          <color auto="1"/>
        </start>
        <end style="thin">
          <color auto="1"/>
        </end>
        <top style="thin">
          <color auto="1"/>
        </top>
        <bottom style="thin">
          <color auto="1"/>
        </bottom>
      </border>
    </dxf>
    <dxf>
      <fill>
        <patternFill>
          <bgColor theme="9" tint="0.59996337778862885"/>
        </patternFill>
      </fill>
      <border>
        <start style="thin">
          <color auto="1"/>
        </start>
        <end style="thin">
          <color auto="1"/>
        </end>
        <top style="thin">
          <color auto="1"/>
        </top>
        <bottom style="thin">
          <color auto="1"/>
        </bottom>
      </border>
    </dxf>
    <dxf>
      <fill>
        <patternFill>
          <bgColor theme="6" tint="0.59996337778862885"/>
        </patternFill>
      </fill>
      <border>
        <start style="thin">
          <color auto="1"/>
        </start>
        <end style="thin">
          <color auto="1"/>
        </end>
        <top style="thin">
          <color auto="1"/>
        </top>
        <bottom style="thin">
          <color auto="1"/>
        </bottom>
      </border>
    </dxf>
    <dxf>
      <fill>
        <patternFill>
          <bgColor theme="9" tint="0.59996337778862885"/>
        </patternFill>
      </fill>
      <border>
        <start style="thin">
          <color auto="1"/>
        </start>
        <end style="thin">
          <color auto="1"/>
        </end>
        <top style="thin">
          <color auto="1"/>
        </top>
        <bottom style="thin">
          <color auto="1"/>
        </bottom>
      </border>
    </dxf>
    <dxf>
      <fill>
        <patternFill>
          <bgColor theme="6" tint="0.59996337778862885"/>
        </patternFill>
      </fill>
      <border>
        <start style="thin">
          <color auto="1"/>
        </start>
        <end style="thin">
          <color auto="1"/>
        </end>
        <top style="thin">
          <color auto="1"/>
        </top>
        <bottom style="thin">
          <color auto="1"/>
        </bottom>
      </border>
    </dxf>
    <dxf>
      <fill>
        <patternFill>
          <bgColor theme="9" tint="0.59996337778862885"/>
        </patternFill>
      </fill>
      <border>
        <start style="thin">
          <color auto="1"/>
        </start>
        <end style="thin">
          <color auto="1"/>
        </end>
        <top style="thin">
          <color auto="1"/>
        </top>
        <bottom style="thin">
          <color auto="1"/>
        </bottom>
      </border>
    </dxf>
    <dxf>
      <fill>
        <patternFill>
          <bgColor theme="6" tint="0.59996337778862885"/>
        </patternFill>
      </fill>
      <border>
        <start style="thin">
          <color auto="1"/>
        </start>
        <end style="thin">
          <color auto="1"/>
        </end>
        <top style="thin">
          <color auto="1"/>
        </top>
        <bottom style="thin">
          <color auto="1"/>
        </bottom>
      </border>
    </dxf>
    <dxf>
      <fill>
        <patternFill>
          <bgColor theme="9" tint="0.59996337778862885"/>
        </patternFill>
      </fill>
      <border>
        <start style="thin">
          <color auto="1"/>
        </start>
        <end style="thin">
          <color auto="1"/>
        </end>
        <top style="thin">
          <color auto="1"/>
        </top>
        <bottom style="thin">
          <color auto="1"/>
        </bottom>
      </border>
    </dxf>
    <dxf>
      <fill>
        <patternFill>
          <bgColor theme="6" tint="0.59996337778862885"/>
        </patternFill>
      </fill>
      <border>
        <start style="thin">
          <color auto="1"/>
        </start>
        <end style="thin">
          <color auto="1"/>
        </end>
        <top style="thin">
          <color auto="1"/>
        </top>
        <bottom style="thin">
          <color auto="1"/>
        </bottom>
      </border>
    </dxf>
    <dxf>
      <fill>
        <patternFill>
          <bgColor theme="9" tint="0.59996337778862885"/>
        </patternFill>
      </fill>
      <border>
        <start style="thin">
          <color auto="1"/>
        </start>
        <end style="thin">
          <color auto="1"/>
        </end>
        <top style="thin">
          <color auto="1"/>
        </top>
        <bottom style="thin">
          <color auto="1"/>
        </bottom>
      </border>
    </dxf>
    <dxf>
      <fill>
        <patternFill>
          <bgColor theme="6" tint="0.59996337778862885"/>
        </patternFill>
      </fill>
      <border>
        <start style="thin">
          <color auto="1"/>
        </start>
        <end style="thin">
          <color auto="1"/>
        </end>
        <top style="thin">
          <color auto="1"/>
        </top>
        <bottom style="thin">
          <color auto="1"/>
        </bottom>
      </border>
    </dxf>
    <dxf>
      <fill>
        <patternFill>
          <bgColor theme="9" tint="0.59996337778862885"/>
        </patternFill>
      </fill>
      <border>
        <start style="thin">
          <color auto="1"/>
        </start>
        <end style="thin">
          <color auto="1"/>
        </end>
        <top style="thin">
          <color auto="1"/>
        </top>
        <bottom style="thin">
          <color auto="1"/>
        </bottom>
      </border>
    </dxf>
    <dxf>
      <font>
        <color theme="0" tint="-0.14996795556505021"/>
      </font>
    </dxf>
    <dxf>
      <font>
        <color theme="0" tint="-0.14996795556505021"/>
      </font>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ont>
        <color rgb="FFFF0000"/>
      </font>
    </dxf>
    <dxf>
      <font>
        <color rgb="FFFF0000"/>
      </font>
    </dxf>
    <dxf>
      <fill>
        <patternFill>
          <bgColor rgb="FFFF0000"/>
        </patternFill>
      </fill>
    </dxf>
    <dxf>
      <fill>
        <patternFill>
          <bgColor rgb="FFFF0000"/>
        </patternFill>
      </fill>
    </dxf>
    <dxf>
      <fill>
        <patternFill>
          <bgColor rgb="FFFF0000"/>
        </patternFill>
      </fill>
    </dxf>
    <dxf>
      <font>
        <color rgb="FFFF0000"/>
      </font>
    </dxf>
    <dxf>
      <fill>
        <patternFill>
          <bgColor rgb="FFFF0000"/>
        </patternFill>
      </fill>
    </dxf>
    <dxf>
      <fill>
        <patternFill>
          <bgColor rgb="FFFF0000"/>
        </patternFill>
      </fill>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14996795556505021"/>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rgb="FFFF0000"/>
        </patternFill>
      </fill>
    </dxf>
    <dxf>
      <font>
        <color rgb="FF9C0006"/>
      </font>
      <fill>
        <patternFill>
          <bgColor rgb="FFFFC7CE"/>
        </patternFill>
      </fill>
    </dxf>
    <dxf>
      <fill>
        <patternFill>
          <bgColor rgb="FFFF0000"/>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rgb="FFFF0000"/>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theme="0" tint="-0.14996795556505021"/>
        </patternFill>
      </fill>
    </dxf>
    <dxf>
      <font>
        <b/>
        <i val="0"/>
      </font>
      <fill>
        <patternFill>
          <bgColor theme="4" tint="0.39994506668294322"/>
        </patternFill>
      </fill>
    </dxf>
    <dxf>
      <fill>
        <patternFill>
          <bgColor theme="5" tint="0.39994506668294322"/>
        </patternFill>
      </fill>
    </dxf>
    <dxf>
      <fill>
        <patternFill>
          <bgColor theme="9" tint="0.59996337778862885"/>
        </patternFill>
      </fill>
    </dxf>
    <dxf>
      <fill>
        <patternFill>
          <bgColor rgb="FFFF0000"/>
        </patternFill>
      </fill>
    </dxf>
    <dxf>
      <fill>
        <patternFill>
          <bgColor rgb="FFFF0000"/>
        </patternFill>
      </fill>
    </dxf>
    <dxf>
      <font>
        <color rgb="FFFF7171"/>
      </font>
    </dxf>
    <dxf>
      <font>
        <color rgb="FFFF7171"/>
      </font>
    </dxf>
    <dxf>
      <font>
        <color rgb="FFFF7171"/>
      </font>
    </dxf>
    <dxf>
      <font>
        <color rgb="FFFF7171"/>
      </font>
    </dxf>
    <dxf>
      <font>
        <color rgb="FFFF7171"/>
      </font>
    </dxf>
    <dxf>
      <font>
        <color rgb="FFFF7171"/>
      </font>
    </dxf>
    <dxf>
      <font>
        <color rgb="FFFF7171"/>
      </font>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ont>
        <color rgb="FFFF7171"/>
      </font>
    </dxf>
    <dxf>
      <font>
        <color rgb="FFFF7171"/>
      </font>
    </dxf>
    <dxf>
      <font>
        <color rgb="FFFF7171"/>
      </font>
    </dxf>
    <dxf>
      <font>
        <color rgb="FFFF7171"/>
      </font>
    </dxf>
    <dxf>
      <fill>
        <patternFill>
          <bgColor theme="2" tint="-0.24994659260841701"/>
        </patternFill>
      </fill>
    </dxf>
    <dxf>
      <font>
        <color rgb="FFFF7171"/>
      </font>
    </dxf>
    <dxf>
      <font>
        <color rgb="FFFF7171"/>
      </font>
    </dxf>
    <dxf>
      <font>
        <color rgb="FFFF7171"/>
      </font>
    </dxf>
    <dxf>
      <fill>
        <patternFill>
          <bgColor theme="2" tint="-0.24994659260841701"/>
        </patternFill>
      </fill>
    </dxf>
    <dxf>
      <font>
        <color rgb="FFFF7171"/>
      </font>
    </dxf>
    <dxf>
      <font>
        <color rgb="FFFF7171"/>
      </font>
    </dxf>
    <dxf>
      <font>
        <color rgb="FFFF7171"/>
      </font>
    </dxf>
    <dxf>
      <font>
        <color rgb="FFFF7171"/>
      </font>
    </dxf>
    <dxf>
      <font>
        <color rgb="FFFF7171"/>
      </font>
    </dxf>
    <dxf>
      <fill>
        <patternFill>
          <bgColor theme="2" tint="-0.24994659260841701"/>
        </patternFill>
      </fill>
    </dxf>
    <dxf>
      <font>
        <color rgb="FFFF7171"/>
      </font>
    </dxf>
    <dxf>
      <font>
        <color rgb="FFFF7171"/>
      </font>
    </dxf>
    <dxf>
      <font>
        <color rgb="FFFF7171"/>
      </font>
    </dxf>
    <dxf>
      <fill>
        <patternFill>
          <bgColor theme="2" tint="-0.24994659260841701"/>
        </patternFill>
      </fill>
    </dxf>
    <dxf>
      <fill>
        <patternFill>
          <bgColor theme="2" tint="-9.9948118533890809E-2"/>
        </patternFill>
      </fill>
    </dxf>
    <dxf>
      <fill>
        <patternFill>
          <bgColor theme="2" tint="-0.24994659260841701"/>
        </patternFill>
      </fill>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ont>
        <color rgb="FFFF7171"/>
      </font>
    </dxf>
    <dxf>
      <fill>
        <patternFill>
          <bgColor theme="9" tint="0.39994506668294322"/>
        </patternFill>
      </fill>
    </dxf>
    <dxf>
      <fill>
        <patternFill patternType="solid">
          <fgColor rgb="FFFF0000"/>
          <bgColor rgb="FFFF0000"/>
        </patternFill>
      </fill>
    </dxf>
    <dxf>
      <font>
        <color rgb="FF9C0006"/>
      </font>
      <fill>
        <patternFill>
          <bgColor rgb="FFFFC7CE"/>
        </patternFill>
      </fill>
    </dxf>
    <dxf>
      <fill>
        <patternFill>
          <bgColor rgb="FFFF0000"/>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4" formatCode="#,##0.0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rgb="FFFF0000"/>
      </font>
    </dxf>
    <dxf>
      <alignment wrapText="1"/>
    </dxf>
    <dxf>
      <alignment wrapText="1"/>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center"/>
    </dxf>
    <dxf>
      <alignment vertical="center"/>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wrapText="1"/>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border>
        <start style="thin">
          <color indexed="64"/>
        </start>
        <end style="thin">
          <color indexed="64"/>
        </end>
        <top style="thin">
          <color indexed="64"/>
        </top>
        <bottom style="thin">
          <color indexed="64"/>
        </bottom>
      </border>
    </dxf>
    <dxf>
      <border>
        <start style="thin">
          <color indexed="64"/>
        </start>
        <end style="thin">
          <color indexed="64"/>
        </end>
        <top style="thin">
          <color indexed="64"/>
        </top>
        <bottom style="thin">
          <color indexed="64"/>
        </bottom>
      </border>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numFmt numFmtId="4" formatCode="#,##0.00"/>
    </dxf>
    <dxf>
      <numFmt numFmtId="4" formatCode="#,##0.00"/>
    </dxf>
    <dxf>
      <numFmt numFmtId="4" formatCode="#,##0.00"/>
    </dxf>
    <dxf>
      <numFmt numFmtId="4" formatCode="#,##0.00"/>
    </dxf>
    <dxf>
      <numFmt numFmtId="4" formatCode="#,##0.00"/>
    </dxf>
    <dxf>
      <font>
        <b val="0"/>
      </font>
    </dxf>
    <dxf>
      <font>
        <b val="0"/>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readingOrder="0"/>
    </dxf>
    <dxf>
      <alignment vertical="center" readingOrder="0"/>
    </dxf>
    <dxf>
      <alignment horizontal="center" readingOrder="0"/>
    </dxf>
    <dxf>
      <alignment horizontal="center" readingOrder="0"/>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39994506668294322"/>
        </patternFill>
      </fill>
    </dxf>
    <dxf>
      <fill>
        <patternFill patternType="solid">
          <bgColor rgb="FF92D050"/>
        </patternFill>
      </fill>
    </dxf>
    <dxf>
      <numFmt numFmtId="4" formatCode="#,##0.0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start style="thin">
          <color indexed="64"/>
        </start>
        <end style="thin">
          <color indexed="64"/>
        </end>
        <top style="thin">
          <color indexed="64"/>
        </top>
        <bottom style="thin">
          <color indexed="64"/>
        </bottom>
      </border>
    </dxf>
    <dxf>
      <border>
        <start style="thin">
          <color indexed="64"/>
        </start>
        <end style="thin">
          <color indexed="64"/>
        </end>
        <top style="thin">
          <color indexed="64"/>
        </top>
        <bottom style="thin">
          <color indexed="64"/>
        </bottom>
      </border>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numFmt numFmtId="4" formatCode="#,##0.00"/>
    </dxf>
    <dxf>
      <numFmt numFmtId="4" formatCode="#,##0.00"/>
    </dxf>
    <dxf>
      <numFmt numFmtId="4" formatCode="#,##0.00"/>
    </dxf>
    <dxf>
      <numFmt numFmtId="4" formatCode="#,##0.00"/>
    </dxf>
    <dxf>
      <numFmt numFmtId="4" formatCode="#,##0.00"/>
    </dxf>
    <dxf>
      <font>
        <b val="0"/>
      </font>
    </dxf>
    <dxf>
      <font>
        <b val="0"/>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readingOrder="0"/>
    </dxf>
    <dxf>
      <alignment vertical="center" readingOrder="0"/>
    </dxf>
    <dxf>
      <alignment horizontal="center" readingOrder="0"/>
    </dxf>
    <dxf>
      <alignment horizontal="center" readingOrder="0"/>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4" formatCode="#,##0.0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rgb="FFFF000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center"/>
    </dxf>
    <dxf>
      <alignment vertical="center"/>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wrapText="1"/>
    </dxf>
    <dxf>
      <alignment wrapText="1"/>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border>
        <start style="thin">
          <color indexed="64"/>
        </start>
        <end style="thin">
          <color indexed="64"/>
        </end>
        <top style="thin">
          <color indexed="64"/>
        </top>
        <bottom style="thin">
          <color indexed="64"/>
        </bottom>
      </border>
    </dxf>
    <dxf>
      <border>
        <start style="thin">
          <color indexed="64"/>
        </start>
        <end style="thin">
          <color indexed="64"/>
        </end>
        <top style="thin">
          <color indexed="64"/>
        </top>
        <bottom style="thin">
          <color indexed="64"/>
        </bottom>
      </border>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numFmt numFmtId="4" formatCode="#,##0.00"/>
    </dxf>
    <dxf>
      <numFmt numFmtId="4" formatCode="#,##0.00"/>
    </dxf>
    <dxf>
      <numFmt numFmtId="4" formatCode="#,##0.00"/>
    </dxf>
    <dxf>
      <numFmt numFmtId="4" formatCode="#,##0.00"/>
    </dxf>
    <dxf>
      <numFmt numFmtId="4" formatCode="#,##0.00"/>
    </dxf>
    <dxf>
      <font>
        <b val="0"/>
      </font>
    </dxf>
    <dxf>
      <font>
        <b val="0"/>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readingOrder="0"/>
    </dxf>
    <dxf>
      <alignment vertical="center" readingOrder="0"/>
    </dxf>
    <dxf>
      <alignment horizontal="center" readingOrder="0"/>
    </dxf>
    <dxf>
      <alignment horizontal="center" readingOrder="0"/>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39994506668294322"/>
        </patternFill>
      </fil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color rgb="FFFF000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center"/>
    </dxf>
    <dxf>
      <alignment vertical="center"/>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wrapText="1"/>
    </dxf>
    <dxf>
      <alignment wrapText="1"/>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start style="thin">
          <color indexed="64"/>
        </start>
        <end style="thin">
          <color indexed="64"/>
        </end>
        <top style="thin">
          <color indexed="64"/>
        </top>
        <bottom style="thin">
          <color indexed="64"/>
        </bottom>
      </border>
    </dxf>
    <dxf>
      <border>
        <start style="thin">
          <color indexed="64"/>
        </start>
        <end style="thin">
          <color indexed="64"/>
        </end>
        <top style="thin">
          <color indexed="64"/>
        </top>
        <bottom style="thin">
          <color indexed="64"/>
        </bottom>
      </border>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alignment wrapText="0" indent="0" readingOrder="0"/>
    </dxf>
    <dxf>
      <numFmt numFmtId="4" formatCode="#,##0.00"/>
    </dxf>
    <dxf>
      <numFmt numFmtId="4" formatCode="#,##0.00"/>
    </dxf>
    <dxf>
      <numFmt numFmtId="4" formatCode="#,##0.00"/>
    </dxf>
    <dxf>
      <numFmt numFmtId="4" formatCode="#,##0.00"/>
    </dxf>
    <dxf>
      <numFmt numFmtId="4" formatCode="#,##0.00"/>
    </dxf>
    <dxf>
      <font>
        <b val="0"/>
      </font>
    </dxf>
    <dxf>
      <font>
        <b val="0"/>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indent="0" readingOrder="0"/>
    </dxf>
    <dxf>
      <alignment vertical="center" readingOrder="0"/>
    </dxf>
    <dxf>
      <alignment vertical="center" readingOrder="0"/>
    </dxf>
    <dxf>
      <alignment horizontal="center" readingOrder="0"/>
    </dxf>
    <dxf>
      <alignment horizontal="center" readingOrder="0"/>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39994506668294322"/>
        </patternFill>
      </fill>
    </dxf>
    <dxf>
      <fill>
        <patternFill>
          <bgColor rgb="FFFFFF00"/>
        </patternFill>
      </fill>
    </dxf>
    <dxf>
      <fill>
        <patternFill>
          <bgColor rgb="FFFF0000"/>
        </patternFill>
      </fill>
    </dxf>
    <dxf>
      <font>
        <b/>
        <i val="0"/>
      </font>
      <fill>
        <patternFill>
          <bgColor theme="0" tint="-4.9989318521683403E-2"/>
        </patternFill>
      </fill>
      <border diagonalDown="1">
        <start style="thin">
          <color auto="1"/>
        </start>
        <end style="thin">
          <color auto="1"/>
        </end>
        <top style="thin">
          <color auto="1"/>
        </top>
        <bottom style="thin">
          <color auto="1"/>
        </bottom>
        <diagonal style="thin">
          <color auto="1"/>
        </diagonal>
        <horizontal style="thin">
          <color auto="1"/>
        </horizontal>
      </border>
    </dxf>
    <dxf>
      <font>
        <b/>
        <i val="0"/>
      </font>
      <fill>
        <patternFill>
          <bgColor theme="4" tint="0.79998168889431442"/>
        </patternFill>
      </fill>
      <border>
        <start style="medium">
          <color auto="1"/>
        </start>
        <end style="medium">
          <color auto="1"/>
        </end>
        <top style="medium">
          <color auto="1"/>
        </top>
        <bottom style="medium">
          <color auto="1"/>
        </bottom>
        <horizontal style="medium">
          <color auto="1"/>
        </horizontal>
      </border>
    </dxf>
    <dxf>
      <font>
        <b/>
        <i val="0"/>
        <color theme="0"/>
      </font>
      <fill>
        <patternFill>
          <bgColor theme="4" tint="-0.24994659260841701"/>
        </patternFill>
      </fill>
      <border>
        <start style="medium">
          <color auto="1"/>
        </start>
        <end style="medium">
          <color auto="1"/>
        </end>
        <top style="medium">
          <color auto="1"/>
        </top>
        <bottom style="medium">
          <color auto="1"/>
        </bottom>
        <horizontal style="medium">
          <color auto="1"/>
        </horizontal>
      </border>
    </dxf>
    <dxf>
      <border>
        <start style="medium">
          <color auto="1"/>
        </start>
        <end style="medium">
          <color auto="1"/>
        </end>
      </border>
    </dxf>
    <dxf>
      <fill>
        <patternFill>
          <bgColor theme="0"/>
        </patternFill>
      </fill>
      <border>
        <start style="medium">
          <color auto="1"/>
        </start>
        <end style="medium">
          <color auto="1"/>
        </end>
        <vertical style="medium">
          <color auto="1"/>
        </vertical>
      </border>
    </dxf>
    <dxf>
      <font>
        <b/>
        <i val="0"/>
        <color theme="0"/>
      </font>
      <fill>
        <patternFill>
          <bgColor theme="4" tint="-0.24994659260841701"/>
        </patternFill>
      </fill>
      <border>
        <start style="medium">
          <color auto="1"/>
        </start>
        <end style="medium">
          <color auto="1"/>
        </end>
        <top style="medium">
          <color auto="1"/>
        </top>
        <bottom style="medium">
          <color auto="1"/>
        </bottom>
        <vertical/>
        <horizontal style="medium">
          <color auto="1"/>
        </horizontal>
      </border>
    </dxf>
    <dxf>
      <font>
        <b/>
        <i val="0"/>
        <color theme="1"/>
      </font>
    </dxf>
    <dxf>
      <fill>
        <patternFill>
          <bgColor theme="7" tint="0.79998168889431442"/>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s>
  <tableStyles count="3" defaultTableStyle="TableStyleMedium2" defaultPivotStyle="Pivot_subinterventii">
    <tableStyle name="Data Sheet-style" pivot="0" count="3" xr9:uid="{00000000-0011-0000-FFFF-FFFF00000000}">
      <tableStyleElement type="headerRow" dxfId="2207"/>
      <tableStyleElement type="firstRowStripe" dxfId="2206"/>
      <tableStyleElement type="secondRowStripe" dxfId="2205"/>
    </tableStyle>
    <tableStyle name="Data Sheet-style 2" pivot="0" count="3" xr9:uid="{00000000-0011-0000-FFFF-FFFF01000000}">
      <tableStyleElement type="headerRow" dxfId="2204"/>
      <tableStyleElement type="firstRowStripe" dxfId="2203"/>
      <tableStyleElement type="secondRowStripe" dxfId="2202"/>
    </tableStyle>
    <tableStyle name="Pivot_subinterventii" table="0" count="9" xr9:uid="{00000000-0011-0000-FFFF-FFFF02000000}">
      <tableStyleElement type="wholeTable" dxfId="2201"/>
      <tableStyleElement type="headerRow" dxfId="2200"/>
      <tableStyleElement type="totalRow" dxfId="2199"/>
      <tableStyleElement type="firstColumn" dxfId="2198"/>
      <tableStyleElement type="lastColumn" dxfId="2197"/>
      <tableStyleElement type="firstColumnStripe" size="2"/>
      <tableStyleElement type="firstRowSubheading" dxfId="2196"/>
      <tableStyleElement type="secondRowSubheading" dxfId="2195"/>
      <tableStyleElement type="thirdRowSubheading" dxfId="2194"/>
    </tableStyle>
  </tableStyles>
  <colors>
    <mruColors>
      <color rgb="FFFFFBEF"/>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worksheet" Target="worksheets/sheet26.xml"/><Relationship Id="rId39" Type="http://purl.oclc.org/ooxml/officeDocument/relationships/worksheet" Target="worksheets/sheet39.xml"/><Relationship Id="rId21" Type="http://purl.oclc.org/ooxml/officeDocument/relationships/worksheet" Target="worksheets/sheet21.xml"/><Relationship Id="rId34" Type="http://purl.oclc.org/ooxml/officeDocument/relationships/worksheet" Target="worksheets/sheet34.xml"/><Relationship Id="rId42" Type="http://purl.oclc.org/ooxml/officeDocument/relationships/pivotCacheDefinition" Target="pivotCache/pivotCacheDefinition1.xml"/><Relationship Id="rId7" Type="http://purl.oclc.org/ooxml/officeDocument/relationships/worksheet" Target="worksheets/sheet7.xml"/><Relationship Id="rId2" Type="http://purl.oclc.org/ooxml/officeDocument/relationships/worksheet" Target="worksheets/sheet2.xml"/><Relationship Id="rId16" Type="http://purl.oclc.org/ooxml/officeDocument/relationships/worksheet" Target="worksheets/sheet16.xml"/><Relationship Id="rId29" Type="http://purl.oclc.org/ooxml/officeDocument/relationships/worksheet" Target="worksheets/sheet29.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worksheet" Target="worksheets/sheet24.xml"/><Relationship Id="rId32" Type="http://purl.oclc.org/ooxml/officeDocument/relationships/worksheet" Target="worksheets/sheet32.xml"/><Relationship Id="rId37" Type="http://purl.oclc.org/ooxml/officeDocument/relationships/worksheet" Target="worksheets/sheet37.xml"/><Relationship Id="rId40" Type="http://purl.oclc.org/ooxml/officeDocument/relationships/worksheet" Target="worksheets/sheet40.xml"/><Relationship Id="rId45"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worksheet" Target="worksheets/sheet28.xml"/><Relationship Id="rId36" Type="http://purl.oclc.org/ooxml/officeDocument/relationships/worksheet" Target="worksheets/sheet36.xml"/><Relationship Id="rId10" Type="http://purl.oclc.org/ooxml/officeDocument/relationships/worksheet" Target="worksheets/sheet10.xml"/><Relationship Id="rId19" Type="http://purl.oclc.org/ooxml/officeDocument/relationships/worksheet" Target="worksheets/sheet19.xml"/><Relationship Id="rId31" Type="http://purl.oclc.org/ooxml/officeDocument/relationships/worksheet" Target="worksheets/sheet31.xml"/><Relationship Id="rId44" Type="http://purl.oclc.org/ooxml/officeDocument/relationships/styles" Target="styles.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worksheet" Target="worksheets/sheet27.xml"/><Relationship Id="rId30" Type="http://purl.oclc.org/ooxml/officeDocument/relationships/worksheet" Target="worksheets/sheet30.xml"/><Relationship Id="rId35" Type="http://purl.oclc.org/ooxml/officeDocument/relationships/worksheet" Target="worksheets/sheet35.xml"/><Relationship Id="rId43" Type="http://purl.oclc.org/ooxml/officeDocument/relationships/theme" Target="theme/theme1.xml"/><Relationship Id="rId8" Type="http://purl.oclc.org/ooxml/officeDocument/relationships/worksheet" Target="worksheets/sheet8.xml"/><Relationship Id="rId3" Type="http://purl.oclc.org/ooxml/officeDocument/relationships/worksheet" Target="worksheets/sheet3.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worksheet" Target="worksheets/sheet25.xml"/><Relationship Id="rId33" Type="http://purl.oclc.org/ooxml/officeDocument/relationships/worksheet" Target="worksheets/sheet33.xml"/><Relationship Id="rId38" Type="http://purl.oclc.org/ooxml/officeDocument/relationships/worksheet" Target="worksheets/sheet38.xml"/><Relationship Id="rId46" Type="http://purl.oclc.org/ooxml/officeDocument/relationships/calcChain" Target="calcChain.xml"/><Relationship Id="rId20" Type="http://purl.oclc.org/ooxml/officeDocument/relationships/worksheet" Target="worksheets/sheet20.xml"/><Relationship Id="rId41" Type="http://purl.oclc.org/ooxml/officeDocument/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
                  <a:lumOff val="35%"/>
                </a:schemeClr>
              </a:solidFill>
              <a:latin typeface="+mn-lt"/>
              <a:ea typeface="+mn-ea"/>
              <a:cs typeface="+mn-cs"/>
            </a:defRPr>
          </a:pPr>
          <a:endParaRPr lang="en-US"/>
        </a:p>
      </c:txPr>
    </c:title>
    <c:autoTitleDeleted val="0"/>
    <c:plotArea>
      <c:layout>
        <c:manualLayout>
          <c:layoutTarget val="inner"/>
          <c:xMode val="edge"/>
          <c:yMode val="edge"/>
          <c:x val="6.5314931976297716E-2"/>
          <c:y val="6.0664049721949623E-2"/>
          <c:w val="0.92467779000332384"/>
          <c:h val="0.61904793181519635"/>
        </c:manualLayout>
      </c:layout>
      <c:barChart>
        <c:barDir val="col"/>
        <c:grouping val="clustered"/>
        <c:varyColors val="0"/>
        <c:ser>
          <c:idx val="0"/>
          <c:order val="0"/>
          <c:tx>
            <c:strRef>
              <c:f>Buget_sumar_MDL!$C$6</c:f>
              <c:strCache>
                <c:ptCount val="1"/>
                <c:pt idx="0">
                  <c:v>1. Asigurarea examinării prin screening sistematic pentru TB activă a cel puțin 90% din contacți către finele anului 2025 prin asigurarea accesului universal la screening sistematic al contacților și grupurilor cu risc sporit TB, inclusiv și pentru copii </c:v>
                </c:pt>
              </c:strCache>
            </c:strRef>
          </c:tx>
          <c:spPr>
            <a:solidFill>
              <a:schemeClr val="accent1"/>
            </a:solidFill>
            <a:ln>
              <a:noFill/>
            </a:ln>
            <a:effectLst/>
          </c:spPr>
          <c:invertIfNegative val="0"/>
          <c:dLbls>
            <c:dLbl>
              <c:idx val="0"/>
              <c:layout>
                <c:manualLayout>
                  <c:x val="-2.1834061135371171E-2"/>
                  <c:y val="-3.01932367149758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C8-4663-972C-55900F841F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
                        <a:lumOff val="25%"/>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val>
            <c:numRef>
              <c:f>(Buget_sumar_MDL!$J$6,Buget_sumar_MDL!$Q$6,Buget_sumar_MDL!$X$6,Buget_sumar_MDL!$AE$6)</c:f>
              <c:numCache>
                <c:formatCode>#,##0.00</c:formatCode>
                <c:ptCount val="4"/>
                <c:pt idx="0">
                  <c:v>49436835.430000007</c:v>
                </c:pt>
                <c:pt idx="1">
                  <c:v>52052106.670000002</c:v>
                </c:pt>
                <c:pt idx="2">
                  <c:v>51997525.600000009</c:v>
                </c:pt>
                <c:pt idx="3">
                  <c:v>51133828.800000004</c:v>
                </c:pt>
              </c:numCache>
            </c:numRef>
          </c:val>
          <c:extLst>
            <c:ext xmlns:c16="http://schemas.microsoft.com/office/drawing/2014/chart" uri="{C3380CC4-5D6E-409C-BE32-E72D297353CC}">
              <c16:uniqueId val="{00000001-04C8-4663-972C-55900F841F7F}"/>
            </c:ext>
          </c:extLst>
        </c:ser>
        <c:ser>
          <c:idx val="1"/>
          <c:order val="1"/>
          <c:tx>
            <c:strRef>
              <c:f>Buget_sumar_MDL!$C$7</c:f>
              <c:strCache>
                <c:ptCount val="1"/>
                <c:pt idx="0">
                  <c:v>2. Asigurarea diagnosticului precoce al tuturor formelor de TB cu depistarea către finele anului 2025 a cel puțin 90% din numărul total estimat de cazuri cu TB RR/MDR prin asigurarea accesului universal la diagnostic precoce al tuturor formelor de TB și 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
                        <a:lumOff val="25%"/>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val>
            <c:numRef>
              <c:f>(Buget_sumar_MDL!$J$7,Buget_sumar_MDL!$Q$7,Buget_sumar_MDL!$X$7,Buget_sumar_MDL!$AE$7)</c:f>
              <c:numCache>
                <c:formatCode>#,##0.00</c:formatCode>
                <c:ptCount val="4"/>
                <c:pt idx="0">
                  <c:v>26487751.624163106</c:v>
                </c:pt>
                <c:pt idx="1">
                  <c:v>22868018.897927508</c:v>
                </c:pt>
                <c:pt idx="2">
                  <c:v>25109958.399105649</c:v>
                </c:pt>
                <c:pt idx="3">
                  <c:v>22274130.239991851</c:v>
                </c:pt>
              </c:numCache>
            </c:numRef>
          </c:val>
          <c:extLst>
            <c:ext xmlns:c16="http://schemas.microsoft.com/office/drawing/2014/chart" uri="{C3380CC4-5D6E-409C-BE32-E72D297353CC}">
              <c16:uniqueId val="{00000002-04C8-4663-972C-55900F841F7F}"/>
            </c:ext>
          </c:extLst>
        </c:ser>
        <c:ser>
          <c:idx val="2"/>
          <c:order val="2"/>
          <c:tx>
            <c:strRef>
              <c:f>Buget_sumar_MDL!$C$8</c:f>
              <c:strCache>
                <c:ptCount val="1"/>
                <c:pt idx="0">
                  <c:v>3. Asigurarea tratamentului TB sensibile și TB RR/MDR cu obținerea ratei de succes printre cazurile noi și recidive TB sensibilă de cel puțin 90% şi printre cazurile de TB RR/MDR nu mai joasă de 80% către anul 2025 prin asigurarea accesului echitabil la t</c:v>
                </c:pt>
              </c:strCache>
            </c:strRef>
          </c:tx>
          <c:spPr>
            <a:solidFill>
              <a:schemeClr val="accent3"/>
            </a:solidFill>
            <a:ln>
              <a:noFill/>
            </a:ln>
            <a:effectLst/>
          </c:spPr>
          <c:invertIfNegative val="0"/>
          <c:dLbls>
            <c:dLbl>
              <c:idx val="0"/>
              <c:layout>
                <c:manualLayout>
                  <c:x val="1.6375545851528367E-2"/>
                  <c:y val="-1.40901771336553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C8-4663-972C-55900F841F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
                        <a:lumOff val="25%"/>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val>
            <c:numRef>
              <c:f>(Buget_sumar_MDL!$J$8,Buget_sumar_MDL!$Q$8,Buget_sumar_MDL!$X$8,Buget_sumar_MDL!$AE$8)</c:f>
              <c:numCache>
                <c:formatCode>#,##0.00</c:formatCode>
                <c:ptCount val="4"/>
                <c:pt idx="0">
                  <c:v>46434156.630074941</c:v>
                </c:pt>
                <c:pt idx="1">
                  <c:v>54010350.647406846</c:v>
                </c:pt>
                <c:pt idx="2">
                  <c:v>52818405.208080575</c:v>
                </c:pt>
                <c:pt idx="3">
                  <c:v>45701013.719999999</c:v>
                </c:pt>
              </c:numCache>
            </c:numRef>
          </c:val>
          <c:extLst>
            <c:ext xmlns:c16="http://schemas.microsoft.com/office/drawing/2014/chart" uri="{C3380CC4-5D6E-409C-BE32-E72D297353CC}">
              <c16:uniqueId val="{00000004-04C8-4663-972C-55900F841F7F}"/>
            </c:ext>
          </c:extLst>
        </c:ser>
        <c:ser>
          <c:idx val="3"/>
          <c:order val="3"/>
          <c:tx>
            <c:strRef>
              <c:f>Buget_sumar_MDL!$C$9</c:f>
              <c:strCache>
                <c:ptCount val="1"/>
                <c:pt idx="0">
                  <c:v>4. Asigurarea  acoperii universale si continuității serviciilor medicale, gestionare  co-morbidiăților și social-economice în baza necesitaților  persoanei prin extinderea colaborării cu programele naționale HIV, Hepatite, Droguri, Alcool, Diabet, Sănătat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
                        <a:lumOff val="25%"/>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val>
            <c:numRef>
              <c:f>(Buget_sumar_MDL!$J$9,Buget_sumar_MDL!$Q$9,Buget_sumar_MDL!$X$9,Buget_sumar_MDL!$AE$9)</c:f>
              <c:numCache>
                <c:formatCode>#,##0.00</c:formatCode>
                <c:ptCount val="4"/>
                <c:pt idx="0">
                  <c:v>366157</c:v>
                </c:pt>
                <c:pt idx="1">
                  <c:v>230889.9</c:v>
                </c:pt>
                <c:pt idx="2">
                  <c:v>230051.4</c:v>
                </c:pt>
                <c:pt idx="3">
                  <c:v>64548</c:v>
                </c:pt>
              </c:numCache>
            </c:numRef>
          </c:val>
          <c:extLst>
            <c:ext xmlns:c16="http://schemas.microsoft.com/office/drawing/2014/chart" uri="{C3380CC4-5D6E-409C-BE32-E72D297353CC}">
              <c16:uniqueId val="{00000005-04C8-4663-972C-55900F841F7F}"/>
            </c:ext>
          </c:extLst>
        </c:ser>
        <c:ser>
          <c:idx val="4"/>
          <c:order val="4"/>
          <c:tx>
            <c:strRef>
              <c:f>Buget_sumar_MDL!$C$10</c:f>
              <c:strCache>
                <c:ptCount val="1"/>
                <c:pt idx="0">
                  <c:v>5. Reducerea transmiterii TB în societate prin măsuri de profilaxie în controlul TB și asigurarea a cel puțin 95% ratei de vaccinare cu vaccinul Bacillus Calmette-Guerin la noi născuți</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
                        <a:lumOff val="25%"/>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val>
            <c:numRef>
              <c:f>(Buget_sumar_MDL!$J$10,Buget_sumar_MDL!$Q$10,Buget_sumar_MDL!$X$10,Buget_sumar_MDL!$AE$10)</c:f>
              <c:numCache>
                <c:formatCode>#,##0.00</c:formatCode>
                <c:ptCount val="4"/>
                <c:pt idx="0">
                  <c:v>7863291.5847807154</c:v>
                </c:pt>
                <c:pt idx="1">
                  <c:v>7518894.0046863211</c:v>
                </c:pt>
                <c:pt idx="2">
                  <c:v>7273806.8050403055</c:v>
                </c:pt>
                <c:pt idx="3">
                  <c:v>6161219.9499999993</c:v>
                </c:pt>
              </c:numCache>
            </c:numRef>
          </c:val>
          <c:extLst>
            <c:ext xmlns:c16="http://schemas.microsoft.com/office/drawing/2014/chart" uri="{C3380CC4-5D6E-409C-BE32-E72D297353CC}">
              <c16:uniqueId val="{00000006-04C8-4663-972C-55900F841F7F}"/>
            </c:ext>
          </c:extLst>
        </c:ser>
        <c:ser>
          <c:idx val="5"/>
          <c:order val="5"/>
          <c:tx>
            <c:strRef>
              <c:f>Buget_sumar_MDL!$C$11</c:f>
              <c:strCache>
                <c:ptCount val="1"/>
                <c:pt idx="0">
                  <c:v>6. Adoptarea politicilor și implementarea măsurilor axate pe atingerea obiectivelor de reducere a poverii TB, prin implementarea abordării centrate pe persoană, reducerea determinantelor sociale, ajustarea mecanismelor de finanțare modelului centrat pe pe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
                        <a:lumOff val="25%"/>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val>
            <c:numRef>
              <c:f>(Buget_sumar_MDL!$J$11,Buget_sumar_MDL!$Q$11,Buget_sumar_MDL!$X$11,Buget_sumar_MDL!$AE$11)</c:f>
              <c:numCache>
                <c:formatCode>#,##0.00</c:formatCode>
                <c:ptCount val="4"/>
                <c:pt idx="0">
                  <c:v>136774140.89054677</c:v>
                </c:pt>
                <c:pt idx="1">
                  <c:v>134162134.14094675</c:v>
                </c:pt>
                <c:pt idx="2">
                  <c:v>133237412.72094674</c:v>
                </c:pt>
                <c:pt idx="3">
                  <c:v>130031320.88948727</c:v>
                </c:pt>
              </c:numCache>
            </c:numRef>
          </c:val>
          <c:extLst>
            <c:ext xmlns:c16="http://schemas.microsoft.com/office/drawing/2014/chart" uri="{C3380CC4-5D6E-409C-BE32-E72D297353CC}">
              <c16:uniqueId val="{00000007-04C8-4663-972C-55900F841F7F}"/>
            </c:ext>
          </c:extLst>
        </c:ser>
        <c:ser>
          <c:idx val="6"/>
          <c:order val="6"/>
          <c:tx>
            <c:strRef>
              <c:f>Buget_sumar_MDL!$C$12</c:f>
              <c:strCache>
                <c:ptCount val="1"/>
                <c:pt idx="0">
                  <c:v>7. Accelerarea ratei progresului răspunsului național în atingerea țintelor stabilite prin intensificarea adoptării inovațiilor, disponibilității informațiilor strategice pentru luarea deciziilor și cercetări operaționale</c:v>
                </c:pt>
              </c:strCache>
            </c:strRef>
          </c:tx>
          <c:spPr>
            <a:solidFill>
              <a:schemeClr val="accent1">
                <a:lumMod val="6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
                        <a:lumOff val="25%"/>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
                          <a:lumOff val="65%"/>
                        </a:schemeClr>
                      </a:solidFill>
                      <a:round/>
                    </a:ln>
                    <a:effectLst/>
                  </c:spPr>
                </c15:leaderLines>
              </c:ext>
            </c:extLst>
          </c:dLbls>
          <c:val>
            <c:numRef>
              <c:f>(Buget_sumar_MDL!$J$12,Buget_sumar_MDL!$Q$12,Buget_sumar_MDL!$X$12,Buget_sumar_MDL!$AE$12)</c:f>
              <c:numCache>
                <c:formatCode>#,##0.00</c:formatCode>
                <c:ptCount val="4"/>
                <c:pt idx="0">
                  <c:v>2747474</c:v>
                </c:pt>
                <c:pt idx="1">
                  <c:v>2680160</c:v>
                </c:pt>
                <c:pt idx="2">
                  <c:v>2881367</c:v>
                </c:pt>
                <c:pt idx="3">
                  <c:v>2853809</c:v>
                </c:pt>
              </c:numCache>
            </c:numRef>
          </c:val>
          <c:extLst>
            <c:ext xmlns:c16="http://schemas.microsoft.com/office/drawing/2014/chart" uri="{C3380CC4-5D6E-409C-BE32-E72D297353CC}">
              <c16:uniqueId val="{00000008-04C8-4663-972C-55900F841F7F}"/>
            </c:ext>
          </c:extLst>
        </c:ser>
        <c:dLbls>
          <c:dLblPos val="outEnd"/>
          <c:showLegendKey val="0"/>
          <c:showVal val="1"/>
          <c:showCatName val="0"/>
          <c:showSerName val="0"/>
          <c:showPercent val="0"/>
          <c:showBubbleSize val="0"/>
        </c:dLbls>
        <c:gapWidth val="219"/>
        <c:overlap val="-27"/>
        <c:axId val="460648472"/>
        <c:axId val="460646904"/>
      </c:barChart>
      <c:catAx>
        <c:axId val="46064847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460646904"/>
        <c:crosses val="autoZero"/>
        <c:auto val="1"/>
        <c:lblAlgn val="ctr"/>
        <c:lblOffset val="100"/>
        <c:noMultiLvlLbl val="0"/>
      </c:catAx>
      <c:valAx>
        <c:axId val="460646904"/>
        <c:scaling>
          <c:orientation val="minMax"/>
        </c:scaling>
        <c:delete val="0"/>
        <c:axPos val="l"/>
        <c:majorGridlines>
          <c:spPr>
            <a:ln w="9525" cap="flat" cmpd="sng" algn="ctr">
              <a:solidFill>
                <a:schemeClr val="tx1">
                  <a:lumMod val="15%"/>
                  <a:lumOff val="85%"/>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460648472"/>
        <c:crosses val="autoZero"/>
        <c:crossBetween val="between"/>
      </c:valAx>
      <c:spPr>
        <a:noFill/>
        <a:ln>
          <a:noFill/>
        </a:ln>
        <a:effectLst/>
      </c:spPr>
    </c:plotArea>
    <c:legend>
      <c:legendPos val="b"/>
      <c:layout>
        <c:manualLayout>
          <c:xMode val="edge"/>
          <c:yMode val="edge"/>
          <c:x val="6.5217151485976912E-2"/>
          <c:y val="0.72863481000105601"/>
          <c:w val="0.8695656253939873"/>
          <c:h val="0.271365189998943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01">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purl.oclc.org/ooxml/officeDocument/relationships/chart" Target="../charts/chart1.xml"/></Relationships>
</file>

<file path=xl/drawings/drawing1.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xdr:col>
          <xdr:colOff>190500</xdr:colOff>
          <xdr:row>66</xdr:row>
          <xdr:rowOff>139700</xdr:rowOff>
        </xdr:from>
        <xdr:to>
          <xdr:col>1</xdr:col>
          <xdr:colOff>2019300</xdr:colOff>
          <xdr:row>70</xdr:row>
          <xdr:rowOff>63500</xdr:rowOff>
        </xdr:to>
        <xdr:sp macro="" textlink="">
          <xdr:nvSpPr>
            <xdr:cNvPr id="70657" name="Comment 1" hidden="1">
              <a:extLst>
                <a:ext uri="{FF2B5EF4-FFF2-40B4-BE49-F238E27FC236}">
                  <a16:creationId xmlns:a16="http://schemas.microsoft.com/office/drawing/2014/main" id="{2555BC40-CFD3-744D-9E37-807BBDEB69F3}"/>
                </a:ext>
              </a:extLst>
            </xdr:cNvPr>
            <xdr:cNvSpPr txBox="1">
              <a:spLocks noChangeArrowheads="1"/>
            </xdr:cNvSpPr>
          </xdr:nvSpPr>
          <xdr:spPr bwMode="auto">
            <a:xfrm>
              <a:off x="2882900" y="15392400"/>
              <a:ext cx="1828800" cy="990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Victoria Petrica:</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Aici la bugetul aplicatiei e introdus si costul deppozitului</a:t>
              </a:r>
            </a:p>
          </xdr:txBody>
        </xdr:sp>
        <xdr:clientData/>
      </xdr:twoCellAnchor>
    </mc:Fallback>
  </mc:AlternateContent>
</xdr:wsDr>
</file>

<file path=xl/drawings/drawing2.xml><?xml version="1.0" encoding="utf-8"?>
<xdr:wsDr xmlns:xdr="http://purl.oclc.org/ooxml/drawingml/spreadsheetDrawing" xmlns:a="http://purl.oclc.org/ooxml/drawingml/main">
  <xdr:twoCellAnchor>
    <xdr:from>
      <xdr:col>1</xdr:col>
      <xdr:colOff>30480</xdr:colOff>
      <xdr:row>1</xdr:row>
      <xdr:rowOff>38100</xdr:rowOff>
    </xdr:from>
    <xdr:to>
      <xdr:col>23</xdr:col>
      <xdr:colOff>579120</xdr:colOff>
      <xdr:row>43</xdr:row>
      <xdr:rowOff>121920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wsDr>
</file>

<file path=xl/drawings/drawing3.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22</xdr:col>
          <xdr:colOff>711200</xdr:colOff>
          <xdr:row>248</xdr:row>
          <xdr:rowOff>101600</xdr:rowOff>
        </xdr:from>
        <xdr:to>
          <xdr:col>25</xdr:col>
          <xdr:colOff>457200</xdr:colOff>
          <xdr:row>310</xdr:row>
          <xdr:rowOff>12700</xdr:rowOff>
        </xdr:to>
        <xdr:sp macro="" textlink="">
          <xdr:nvSpPr>
            <xdr:cNvPr id="23563" name="Comment 11" hidden="1">
              <a:extLst>
                <a:ext uri="{FF2B5EF4-FFF2-40B4-BE49-F238E27FC236}">
                  <a16:creationId xmlns:a16="http://schemas.microsoft.com/office/drawing/2014/main" id="{07712CAF-C38C-D144-9F02-1A291358847D}"/>
                </a:ext>
              </a:extLst>
            </xdr:cNvPr>
            <xdr:cNvSpPr txBox="1">
              <a:spLocks noChangeArrowheads="1"/>
            </xdr:cNvSpPr>
          </xdr:nvSpPr>
          <xdr:spPr bwMode="auto">
            <a:xfrm>
              <a:off x="16217900" y="56146700"/>
              <a:ext cx="1574800" cy="11785600"/>
            </a:xfrm>
            <a:prstGeom prst="rect">
              <a:avLst/>
            </a:prstGeom>
            <a:solidFill>
              <a:srgbClr val="FFFFE1"/>
            </a:solidFill>
            <a:ln w="9525">
              <a:solidFill>
                <a:srgbClr val="000000"/>
              </a:solidFill>
              <a:miter lim="8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Rita:</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redus costul de la 1850 la 1480 de Dna Irina. Revizuit costul total de la 11100 la 10 000 dupa negocierile de la Geneva </a:t>
              </a:r>
            </a:p>
          </xdr:txBody>
        </xdr:sp>
        <xdr:clientData/>
      </xdr:twoCellAnchor>
    </mc:Fallback>
  </mc:AlternateContent>
</xdr:wsDr>
</file>

<file path=xl/drawings/drawing4.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27</xdr:col>
          <xdr:colOff>965200</xdr:colOff>
          <xdr:row>5</xdr:row>
          <xdr:rowOff>203200</xdr:rowOff>
        </xdr:from>
        <xdr:to>
          <xdr:col>28</xdr:col>
          <xdr:colOff>965200</xdr:colOff>
          <xdr:row>7</xdr:row>
          <xdr:rowOff>609600</xdr:rowOff>
        </xdr:to>
        <xdr:sp macro="" textlink="">
          <xdr:nvSpPr>
            <xdr:cNvPr id="12289" name="Comment 1" hidden="1">
              <a:extLst>
                <a:ext uri="{FF2B5EF4-FFF2-40B4-BE49-F238E27FC236}">
                  <a16:creationId xmlns:a16="http://schemas.microsoft.com/office/drawing/2014/main" id="{1473463A-98E9-BE49-8949-D94884310A61}"/>
                </a:ext>
              </a:extLst>
            </xdr:cNvPr>
            <xdr:cNvSpPr txBox="1">
              <a:spLocks noChangeArrowheads="1"/>
            </xdr:cNvSpPr>
          </xdr:nvSpPr>
          <xdr:spPr bwMode="auto">
            <a:xfrm>
              <a:off x="29260800" y="1371600"/>
              <a:ext cx="1333500" cy="965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27</xdr:col>
          <xdr:colOff>965200</xdr:colOff>
          <xdr:row>6</xdr:row>
          <xdr:rowOff>254000</xdr:rowOff>
        </xdr:from>
        <xdr:to>
          <xdr:col>28</xdr:col>
          <xdr:colOff>965200</xdr:colOff>
          <xdr:row>8</xdr:row>
          <xdr:rowOff>50800</xdr:rowOff>
        </xdr:to>
        <xdr:sp macro="" textlink="">
          <xdr:nvSpPr>
            <xdr:cNvPr id="12290" name="Comment 2" hidden="1">
              <a:extLst>
                <a:ext uri="{FF2B5EF4-FFF2-40B4-BE49-F238E27FC236}">
                  <a16:creationId xmlns:a16="http://schemas.microsoft.com/office/drawing/2014/main" id="{12A0CE09-C499-8945-AFDB-B0A12A85C954}"/>
                </a:ext>
              </a:extLst>
            </xdr:cNvPr>
            <xdr:cNvSpPr txBox="1">
              <a:spLocks noChangeArrowheads="1"/>
            </xdr:cNvSpPr>
          </xdr:nvSpPr>
          <xdr:spPr bwMode="auto">
            <a:xfrm>
              <a:off x="29260800" y="1701800"/>
              <a:ext cx="13335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27</xdr:col>
          <xdr:colOff>965200</xdr:colOff>
          <xdr:row>11</xdr:row>
          <xdr:rowOff>203200</xdr:rowOff>
        </xdr:from>
        <xdr:to>
          <xdr:col>28</xdr:col>
          <xdr:colOff>965200</xdr:colOff>
          <xdr:row>12</xdr:row>
          <xdr:rowOff>304800</xdr:rowOff>
        </xdr:to>
        <xdr:sp macro="" textlink="">
          <xdr:nvSpPr>
            <xdr:cNvPr id="12291" name="Comment 3" hidden="1">
              <a:extLst>
                <a:ext uri="{FF2B5EF4-FFF2-40B4-BE49-F238E27FC236}">
                  <a16:creationId xmlns:a16="http://schemas.microsoft.com/office/drawing/2014/main" id="{46E6C510-3B51-F24B-9198-FDF359FB4D1C}"/>
                </a:ext>
              </a:extLst>
            </xdr:cNvPr>
            <xdr:cNvSpPr txBox="1">
              <a:spLocks noChangeArrowheads="1"/>
            </xdr:cNvSpPr>
          </xdr:nvSpPr>
          <xdr:spPr bwMode="auto">
            <a:xfrm>
              <a:off x="29260800" y="3835400"/>
              <a:ext cx="1333500" cy="647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27</xdr:col>
          <xdr:colOff>965200</xdr:colOff>
          <xdr:row>11</xdr:row>
          <xdr:rowOff>762000</xdr:rowOff>
        </xdr:from>
        <xdr:to>
          <xdr:col>28</xdr:col>
          <xdr:colOff>965200</xdr:colOff>
          <xdr:row>12</xdr:row>
          <xdr:rowOff>863600</xdr:rowOff>
        </xdr:to>
        <xdr:sp macro="" textlink="">
          <xdr:nvSpPr>
            <xdr:cNvPr id="12292" name="Comment 4" hidden="1">
              <a:extLst>
                <a:ext uri="{FF2B5EF4-FFF2-40B4-BE49-F238E27FC236}">
                  <a16:creationId xmlns:a16="http://schemas.microsoft.com/office/drawing/2014/main" id="{03D401DC-7118-1942-A5A7-4EFD130418B2}"/>
                </a:ext>
              </a:extLst>
            </xdr:cNvPr>
            <xdr:cNvSpPr txBox="1">
              <a:spLocks noChangeArrowheads="1"/>
            </xdr:cNvSpPr>
          </xdr:nvSpPr>
          <xdr:spPr bwMode="auto">
            <a:xfrm>
              <a:off x="29260800" y="4178300"/>
              <a:ext cx="1333500" cy="546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29</xdr:col>
          <xdr:colOff>254000</xdr:colOff>
          <xdr:row>19</xdr:row>
          <xdr:rowOff>254000</xdr:rowOff>
        </xdr:from>
        <xdr:to>
          <xdr:col>30</xdr:col>
          <xdr:colOff>304800</xdr:colOff>
          <xdr:row>22</xdr:row>
          <xdr:rowOff>152400</xdr:rowOff>
        </xdr:to>
        <xdr:sp macro="" textlink="">
          <xdr:nvSpPr>
            <xdr:cNvPr id="12293" name="Comment 5" hidden="1">
              <a:extLst>
                <a:ext uri="{FF2B5EF4-FFF2-40B4-BE49-F238E27FC236}">
                  <a16:creationId xmlns:a16="http://schemas.microsoft.com/office/drawing/2014/main" id="{117D9D57-5C7F-5F44-AED3-B2D1CA9D2CDB}"/>
                </a:ext>
              </a:extLst>
            </xdr:cNvPr>
            <xdr:cNvSpPr txBox="1">
              <a:spLocks noChangeArrowheads="1"/>
            </xdr:cNvSpPr>
          </xdr:nvSpPr>
          <xdr:spPr bwMode="auto">
            <a:xfrm>
              <a:off x="31216600" y="6616700"/>
              <a:ext cx="13843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29</xdr:col>
          <xdr:colOff>254000</xdr:colOff>
          <xdr:row>21</xdr:row>
          <xdr:rowOff>50800</xdr:rowOff>
        </xdr:from>
        <xdr:to>
          <xdr:col>30</xdr:col>
          <xdr:colOff>304800</xdr:colOff>
          <xdr:row>24</xdr:row>
          <xdr:rowOff>0</xdr:rowOff>
        </xdr:to>
        <xdr:sp macro="" textlink="">
          <xdr:nvSpPr>
            <xdr:cNvPr id="12294" name="Comment 6" hidden="1">
              <a:extLst>
                <a:ext uri="{FF2B5EF4-FFF2-40B4-BE49-F238E27FC236}">
                  <a16:creationId xmlns:a16="http://schemas.microsoft.com/office/drawing/2014/main" id="{D47F5A7F-6EB7-A347-AF1F-F4B074BD0DEE}"/>
                </a:ext>
              </a:extLst>
            </xdr:cNvPr>
            <xdr:cNvSpPr txBox="1">
              <a:spLocks noChangeArrowheads="1"/>
            </xdr:cNvSpPr>
          </xdr:nvSpPr>
          <xdr:spPr bwMode="auto">
            <a:xfrm>
              <a:off x="31216600" y="6959600"/>
              <a:ext cx="1384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29</xdr:col>
          <xdr:colOff>254000</xdr:colOff>
          <xdr:row>28</xdr:row>
          <xdr:rowOff>50800</xdr:rowOff>
        </xdr:from>
        <xdr:to>
          <xdr:col>30</xdr:col>
          <xdr:colOff>304800</xdr:colOff>
          <xdr:row>30</xdr:row>
          <xdr:rowOff>406400</xdr:rowOff>
        </xdr:to>
        <xdr:sp macro="" textlink="">
          <xdr:nvSpPr>
            <xdr:cNvPr id="12295" name="Comment 7" hidden="1">
              <a:extLst>
                <a:ext uri="{FF2B5EF4-FFF2-40B4-BE49-F238E27FC236}">
                  <a16:creationId xmlns:a16="http://schemas.microsoft.com/office/drawing/2014/main" id="{C1DA71DC-58AF-7E42-BE86-A807437D9D23}"/>
                </a:ext>
              </a:extLst>
            </xdr:cNvPr>
            <xdr:cNvSpPr txBox="1">
              <a:spLocks noChangeArrowheads="1"/>
            </xdr:cNvSpPr>
          </xdr:nvSpPr>
          <xdr:spPr bwMode="auto">
            <a:xfrm>
              <a:off x="31216600" y="8851900"/>
              <a:ext cx="13843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29</xdr:col>
          <xdr:colOff>254000</xdr:colOff>
          <xdr:row>29</xdr:row>
          <xdr:rowOff>152400</xdr:rowOff>
        </xdr:from>
        <xdr:to>
          <xdr:col>30</xdr:col>
          <xdr:colOff>304800</xdr:colOff>
          <xdr:row>32</xdr:row>
          <xdr:rowOff>165100</xdr:rowOff>
        </xdr:to>
        <xdr:sp macro="" textlink="">
          <xdr:nvSpPr>
            <xdr:cNvPr id="12296" name="Comment 8" hidden="1">
              <a:extLst>
                <a:ext uri="{FF2B5EF4-FFF2-40B4-BE49-F238E27FC236}">
                  <a16:creationId xmlns:a16="http://schemas.microsoft.com/office/drawing/2014/main" id="{8F1692FE-B48B-2F45-894F-10A8309D0A37}"/>
                </a:ext>
              </a:extLst>
            </xdr:cNvPr>
            <xdr:cNvSpPr txBox="1">
              <a:spLocks noChangeArrowheads="1"/>
            </xdr:cNvSpPr>
          </xdr:nvSpPr>
          <xdr:spPr bwMode="auto">
            <a:xfrm>
              <a:off x="31216600" y="9220200"/>
              <a:ext cx="1384300" cy="82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xdr:wsDr>
</file>

<file path=xl/drawings/drawing5.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13</xdr:col>
          <xdr:colOff>1371600</xdr:colOff>
          <xdr:row>40</xdr:row>
          <xdr:rowOff>330200</xdr:rowOff>
        </xdr:from>
        <xdr:to>
          <xdr:col>13</xdr:col>
          <xdr:colOff>2489200</xdr:colOff>
          <xdr:row>43</xdr:row>
          <xdr:rowOff>139700</xdr:rowOff>
        </xdr:to>
        <xdr:sp macro="" textlink="">
          <xdr:nvSpPr>
            <xdr:cNvPr id="17420" name="Comment 12" hidden="1">
              <a:extLst>
                <a:ext uri="{FF2B5EF4-FFF2-40B4-BE49-F238E27FC236}">
                  <a16:creationId xmlns:a16="http://schemas.microsoft.com/office/drawing/2014/main" id="{F042900C-1F6D-2A4D-9370-AC25ACB15A36}"/>
                </a:ext>
              </a:extLst>
            </xdr:cNvPr>
            <xdr:cNvSpPr txBox="1">
              <a:spLocks noChangeArrowheads="1"/>
            </xdr:cNvSpPr>
          </xdr:nvSpPr>
          <xdr:spPr bwMode="auto">
            <a:xfrm>
              <a:off x="9499600" y="9131300"/>
              <a:ext cx="1117600" cy="685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13</xdr:col>
          <xdr:colOff>1371600</xdr:colOff>
          <xdr:row>42</xdr:row>
          <xdr:rowOff>279400</xdr:rowOff>
        </xdr:from>
        <xdr:to>
          <xdr:col>13</xdr:col>
          <xdr:colOff>2489200</xdr:colOff>
          <xdr:row>45</xdr:row>
          <xdr:rowOff>342900</xdr:rowOff>
        </xdr:to>
        <xdr:sp macro="" textlink="">
          <xdr:nvSpPr>
            <xdr:cNvPr id="17421" name="Comment 13" hidden="1">
              <a:extLst>
                <a:ext uri="{FF2B5EF4-FFF2-40B4-BE49-F238E27FC236}">
                  <a16:creationId xmlns:a16="http://schemas.microsoft.com/office/drawing/2014/main" id="{1C2B9F5C-AAE7-B74A-827C-589910198515}"/>
                </a:ext>
              </a:extLst>
            </xdr:cNvPr>
            <xdr:cNvSpPr txBox="1">
              <a:spLocks noChangeArrowheads="1"/>
            </xdr:cNvSpPr>
          </xdr:nvSpPr>
          <xdr:spPr bwMode="auto">
            <a:xfrm>
              <a:off x="9499600" y="9677400"/>
              <a:ext cx="1117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13</xdr:col>
          <xdr:colOff>1371600</xdr:colOff>
          <xdr:row>52</xdr:row>
          <xdr:rowOff>330200</xdr:rowOff>
        </xdr:from>
        <xdr:to>
          <xdr:col>13</xdr:col>
          <xdr:colOff>2489200</xdr:colOff>
          <xdr:row>55</xdr:row>
          <xdr:rowOff>190500</xdr:rowOff>
        </xdr:to>
        <xdr:sp macro="" textlink="">
          <xdr:nvSpPr>
            <xdr:cNvPr id="17422" name="Comment 14" hidden="1">
              <a:extLst>
                <a:ext uri="{FF2B5EF4-FFF2-40B4-BE49-F238E27FC236}">
                  <a16:creationId xmlns:a16="http://schemas.microsoft.com/office/drawing/2014/main" id="{37945BE4-1D61-544A-AE87-D9047D90202B}"/>
                </a:ext>
              </a:extLst>
            </xdr:cNvPr>
            <xdr:cNvSpPr txBox="1">
              <a:spLocks noChangeArrowheads="1"/>
            </xdr:cNvSpPr>
          </xdr:nvSpPr>
          <xdr:spPr bwMode="auto">
            <a:xfrm>
              <a:off x="9499600" y="12382500"/>
              <a:ext cx="11176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13</xdr:col>
          <xdr:colOff>1371600</xdr:colOff>
          <xdr:row>54</xdr:row>
          <xdr:rowOff>279400</xdr:rowOff>
        </xdr:from>
        <xdr:to>
          <xdr:col>13</xdr:col>
          <xdr:colOff>2489200</xdr:colOff>
          <xdr:row>57</xdr:row>
          <xdr:rowOff>139700</xdr:rowOff>
        </xdr:to>
        <xdr:sp macro="" textlink="">
          <xdr:nvSpPr>
            <xdr:cNvPr id="17423" name="Comment 15" hidden="1">
              <a:extLst>
                <a:ext uri="{FF2B5EF4-FFF2-40B4-BE49-F238E27FC236}">
                  <a16:creationId xmlns:a16="http://schemas.microsoft.com/office/drawing/2014/main" id="{58373F2E-78A1-C54C-90EE-2FD0981B0848}"/>
                </a:ext>
              </a:extLst>
            </xdr:cNvPr>
            <xdr:cNvSpPr txBox="1">
              <a:spLocks noChangeArrowheads="1"/>
            </xdr:cNvSpPr>
          </xdr:nvSpPr>
          <xdr:spPr bwMode="auto">
            <a:xfrm>
              <a:off x="9499600" y="12928600"/>
              <a:ext cx="11176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19</xdr:col>
          <xdr:colOff>304800</xdr:colOff>
          <xdr:row>41</xdr:row>
          <xdr:rowOff>139700</xdr:rowOff>
        </xdr:from>
        <xdr:to>
          <xdr:col>21</xdr:col>
          <xdr:colOff>1016000</xdr:colOff>
          <xdr:row>44</xdr:row>
          <xdr:rowOff>38100</xdr:rowOff>
        </xdr:to>
        <xdr:sp macro="" textlink="">
          <xdr:nvSpPr>
            <xdr:cNvPr id="17424" name="Comment 16" hidden="1">
              <a:extLst>
                <a:ext uri="{FF2B5EF4-FFF2-40B4-BE49-F238E27FC236}">
                  <a16:creationId xmlns:a16="http://schemas.microsoft.com/office/drawing/2014/main" id="{669E2861-3AD4-5C4E-9D17-0E7F53ECC17F}"/>
                </a:ext>
              </a:extLst>
            </xdr:cNvPr>
            <xdr:cNvSpPr txBox="1">
              <a:spLocks noChangeArrowheads="1"/>
            </xdr:cNvSpPr>
          </xdr:nvSpPr>
          <xdr:spPr bwMode="auto">
            <a:xfrm>
              <a:off x="17983200" y="9271000"/>
              <a:ext cx="25146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19</xdr:col>
          <xdr:colOff>304800</xdr:colOff>
          <xdr:row>43</xdr:row>
          <xdr:rowOff>76200</xdr:rowOff>
        </xdr:from>
        <xdr:to>
          <xdr:col>21</xdr:col>
          <xdr:colOff>1016000</xdr:colOff>
          <xdr:row>46</xdr:row>
          <xdr:rowOff>127000</xdr:rowOff>
        </xdr:to>
        <xdr:sp macro="" textlink="">
          <xdr:nvSpPr>
            <xdr:cNvPr id="17425" name="Comment 17" hidden="1">
              <a:extLst>
                <a:ext uri="{FF2B5EF4-FFF2-40B4-BE49-F238E27FC236}">
                  <a16:creationId xmlns:a16="http://schemas.microsoft.com/office/drawing/2014/main" id="{BD50EBD0-853F-FA4A-8F1E-6271F1320BA6}"/>
                </a:ext>
              </a:extLst>
            </xdr:cNvPr>
            <xdr:cNvSpPr txBox="1">
              <a:spLocks noChangeArrowheads="1"/>
            </xdr:cNvSpPr>
          </xdr:nvSpPr>
          <xdr:spPr bwMode="auto">
            <a:xfrm>
              <a:off x="17983200" y="9753600"/>
              <a:ext cx="2514600" cy="863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19</xdr:col>
          <xdr:colOff>304800</xdr:colOff>
          <xdr:row>51</xdr:row>
          <xdr:rowOff>342900</xdr:rowOff>
        </xdr:from>
        <xdr:to>
          <xdr:col>21</xdr:col>
          <xdr:colOff>1016000</xdr:colOff>
          <xdr:row>54</xdr:row>
          <xdr:rowOff>279400</xdr:rowOff>
        </xdr:to>
        <xdr:sp macro="" textlink="">
          <xdr:nvSpPr>
            <xdr:cNvPr id="17426" name="Comment 18" hidden="1">
              <a:extLst>
                <a:ext uri="{FF2B5EF4-FFF2-40B4-BE49-F238E27FC236}">
                  <a16:creationId xmlns:a16="http://schemas.microsoft.com/office/drawing/2014/main" id="{71E2931B-FE20-5E4E-87AB-FCB24A2079B8}"/>
                </a:ext>
              </a:extLst>
            </xdr:cNvPr>
            <xdr:cNvSpPr txBox="1">
              <a:spLocks noChangeArrowheads="1"/>
            </xdr:cNvSpPr>
          </xdr:nvSpPr>
          <xdr:spPr bwMode="auto">
            <a:xfrm>
              <a:off x="17983200" y="12115800"/>
              <a:ext cx="2514600" cy="812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19</xdr:col>
          <xdr:colOff>304800</xdr:colOff>
          <xdr:row>54</xdr:row>
          <xdr:rowOff>330200</xdr:rowOff>
        </xdr:from>
        <xdr:to>
          <xdr:col>21</xdr:col>
          <xdr:colOff>1016000</xdr:colOff>
          <xdr:row>55</xdr:row>
          <xdr:rowOff>292100</xdr:rowOff>
        </xdr:to>
        <xdr:sp macro="" textlink="">
          <xdr:nvSpPr>
            <xdr:cNvPr id="17427" name="Comment 19" hidden="1">
              <a:extLst>
                <a:ext uri="{FF2B5EF4-FFF2-40B4-BE49-F238E27FC236}">
                  <a16:creationId xmlns:a16="http://schemas.microsoft.com/office/drawing/2014/main" id="{AB9EB200-ED6B-AD45-9BA8-1D84A1E1F15A}"/>
                </a:ext>
              </a:extLst>
            </xdr:cNvPr>
            <xdr:cNvSpPr txBox="1">
              <a:spLocks noChangeArrowheads="1"/>
            </xdr:cNvSpPr>
          </xdr:nvSpPr>
          <xdr:spPr bwMode="auto">
            <a:xfrm>
              <a:off x="17983200" y="12928600"/>
              <a:ext cx="2514600" cy="2667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xdr:wsDr>
</file>

<file path=xl/drawings/drawing6.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22</xdr:col>
          <xdr:colOff>266700</xdr:colOff>
          <xdr:row>63</xdr:row>
          <xdr:rowOff>203200</xdr:rowOff>
        </xdr:from>
        <xdr:to>
          <xdr:col>22</xdr:col>
          <xdr:colOff>1206500</xdr:colOff>
          <xdr:row>64</xdr:row>
          <xdr:rowOff>101600</xdr:rowOff>
        </xdr:to>
        <xdr:sp macro="" textlink="">
          <xdr:nvSpPr>
            <xdr:cNvPr id="58406" name="Comment 38" hidden="1">
              <a:extLst>
                <a:ext uri="{FF2B5EF4-FFF2-40B4-BE49-F238E27FC236}">
                  <a16:creationId xmlns:a16="http://schemas.microsoft.com/office/drawing/2014/main" id="{970D5073-4AB1-3D45-9452-5C7C7A4A6CE4}"/>
                </a:ext>
              </a:extLst>
            </xdr:cNvPr>
            <xdr:cNvSpPr txBox="1">
              <a:spLocks noChangeArrowheads="1"/>
            </xdr:cNvSpPr>
          </xdr:nvSpPr>
          <xdr:spPr bwMode="auto">
            <a:xfrm>
              <a:off x="21590000" y="14211300"/>
              <a:ext cx="939800" cy="101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13</xdr:col>
          <xdr:colOff>1917700</xdr:colOff>
          <xdr:row>63</xdr:row>
          <xdr:rowOff>203200</xdr:rowOff>
        </xdr:from>
        <xdr:to>
          <xdr:col>14</xdr:col>
          <xdr:colOff>1092200</xdr:colOff>
          <xdr:row>64</xdr:row>
          <xdr:rowOff>101600</xdr:rowOff>
        </xdr:to>
        <xdr:sp macro="" textlink="">
          <xdr:nvSpPr>
            <xdr:cNvPr id="58407" name="Comment 39" hidden="1">
              <a:extLst>
                <a:ext uri="{FF2B5EF4-FFF2-40B4-BE49-F238E27FC236}">
                  <a16:creationId xmlns:a16="http://schemas.microsoft.com/office/drawing/2014/main" id="{C6C6BB79-1FF1-384F-9A87-456E48FCD976}"/>
                </a:ext>
              </a:extLst>
            </xdr:cNvPr>
            <xdr:cNvSpPr txBox="1">
              <a:spLocks noChangeArrowheads="1"/>
            </xdr:cNvSpPr>
          </xdr:nvSpPr>
          <xdr:spPr bwMode="auto">
            <a:xfrm>
              <a:off x="6286500" y="14211300"/>
              <a:ext cx="1727200" cy="101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22</xdr:col>
          <xdr:colOff>266700</xdr:colOff>
          <xdr:row>63</xdr:row>
          <xdr:rowOff>152400</xdr:rowOff>
        </xdr:from>
        <xdr:to>
          <xdr:col>22</xdr:col>
          <xdr:colOff>1206500</xdr:colOff>
          <xdr:row>64</xdr:row>
          <xdr:rowOff>114300</xdr:rowOff>
        </xdr:to>
        <xdr:sp macro="" textlink="">
          <xdr:nvSpPr>
            <xdr:cNvPr id="58408" name="Comment 40" hidden="1">
              <a:extLst>
                <a:ext uri="{FF2B5EF4-FFF2-40B4-BE49-F238E27FC236}">
                  <a16:creationId xmlns:a16="http://schemas.microsoft.com/office/drawing/2014/main" id="{1171D7AB-1112-C041-BF11-DA87475BAB6B}"/>
                </a:ext>
              </a:extLst>
            </xdr:cNvPr>
            <xdr:cNvSpPr txBox="1">
              <a:spLocks noChangeArrowheads="1"/>
            </xdr:cNvSpPr>
          </xdr:nvSpPr>
          <xdr:spPr bwMode="auto">
            <a:xfrm>
              <a:off x="21590000" y="14160500"/>
              <a:ext cx="939800" cy="165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13</xdr:col>
          <xdr:colOff>1917700</xdr:colOff>
          <xdr:row>63</xdr:row>
          <xdr:rowOff>152400</xdr:rowOff>
        </xdr:from>
        <xdr:to>
          <xdr:col>14</xdr:col>
          <xdr:colOff>1092200</xdr:colOff>
          <xdr:row>64</xdr:row>
          <xdr:rowOff>114300</xdr:rowOff>
        </xdr:to>
        <xdr:sp macro="" textlink="">
          <xdr:nvSpPr>
            <xdr:cNvPr id="58409" name="Comment 41" hidden="1">
              <a:extLst>
                <a:ext uri="{FF2B5EF4-FFF2-40B4-BE49-F238E27FC236}">
                  <a16:creationId xmlns:a16="http://schemas.microsoft.com/office/drawing/2014/main" id="{83B29E19-CAB2-7E45-9829-35C3B3993915}"/>
                </a:ext>
              </a:extLst>
            </xdr:cNvPr>
            <xdr:cNvSpPr txBox="1">
              <a:spLocks noChangeArrowheads="1"/>
            </xdr:cNvSpPr>
          </xdr:nvSpPr>
          <xdr:spPr bwMode="auto">
            <a:xfrm>
              <a:off x="6286500" y="14160500"/>
              <a:ext cx="1727200" cy="165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22</xdr:col>
          <xdr:colOff>266700</xdr:colOff>
          <xdr:row>52</xdr:row>
          <xdr:rowOff>177800</xdr:rowOff>
        </xdr:from>
        <xdr:to>
          <xdr:col>22</xdr:col>
          <xdr:colOff>1206500</xdr:colOff>
          <xdr:row>64</xdr:row>
          <xdr:rowOff>165100</xdr:rowOff>
        </xdr:to>
        <xdr:sp macro="" textlink="">
          <xdr:nvSpPr>
            <xdr:cNvPr id="58410" name="Comment 42" hidden="1">
              <a:extLst>
                <a:ext uri="{FF2B5EF4-FFF2-40B4-BE49-F238E27FC236}">
                  <a16:creationId xmlns:a16="http://schemas.microsoft.com/office/drawing/2014/main" id="{E16D66CF-9564-064D-929D-87910CB9B4BA}"/>
                </a:ext>
              </a:extLst>
            </xdr:cNvPr>
            <xdr:cNvSpPr txBox="1">
              <a:spLocks noChangeArrowheads="1"/>
            </xdr:cNvSpPr>
          </xdr:nvSpPr>
          <xdr:spPr bwMode="auto">
            <a:xfrm>
              <a:off x="21590000" y="11645900"/>
              <a:ext cx="939800" cy="2730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13</xdr:col>
          <xdr:colOff>1917700</xdr:colOff>
          <xdr:row>52</xdr:row>
          <xdr:rowOff>177800</xdr:rowOff>
        </xdr:from>
        <xdr:to>
          <xdr:col>14</xdr:col>
          <xdr:colOff>1092200</xdr:colOff>
          <xdr:row>73</xdr:row>
          <xdr:rowOff>203200</xdr:rowOff>
        </xdr:to>
        <xdr:sp macro="" textlink="">
          <xdr:nvSpPr>
            <xdr:cNvPr id="58411" name="Comment 43" hidden="1">
              <a:extLst>
                <a:ext uri="{FF2B5EF4-FFF2-40B4-BE49-F238E27FC236}">
                  <a16:creationId xmlns:a16="http://schemas.microsoft.com/office/drawing/2014/main" id="{F920BA62-E799-2E47-BE6E-930A097B8CDA}"/>
                </a:ext>
              </a:extLst>
            </xdr:cNvPr>
            <xdr:cNvSpPr txBox="1">
              <a:spLocks noChangeArrowheads="1"/>
            </xdr:cNvSpPr>
          </xdr:nvSpPr>
          <xdr:spPr bwMode="auto">
            <a:xfrm>
              <a:off x="6286500" y="11645900"/>
              <a:ext cx="1727200" cy="4635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22</xdr:col>
          <xdr:colOff>266700</xdr:colOff>
          <xdr:row>45</xdr:row>
          <xdr:rowOff>203200</xdr:rowOff>
        </xdr:from>
        <xdr:to>
          <xdr:col>22</xdr:col>
          <xdr:colOff>1206500</xdr:colOff>
          <xdr:row>51</xdr:row>
          <xdr:rowOff>317500</xdr:rowOff>
        </xdr:to>
        <xdr:sp macro="" textlink="">
          <xdr:nvSpPr>
            <xdr:cNvPr id="58412" name="Comment 44" hidden="1">
              <a:extLst>
                <a:ext uri="{FF2B5EF4-FFF2-40B4-BE49-F238E27FC236}">
                  <a16:creationId xmlns:a16="http://schemas.microsoft.com/office/drawing/2014/main" id="{27E11B8A-FAB4-3F48-86E5-0679F3B5EEA9}"/>
                </a:ext>
              </a:extLst>
            </xdr:cNvPr>
            <xdr:cNvSpPr txBox="1">
              <a:spLocks noChangeArrowheads="1"/>
            </xdr:cNvSpPr>
          </xdr:nvSpPr>
          <xdr:spPr bwMode="auto">
            <a:xfrm>
              <a:off x="21590000" y="9398000"/>
              <a:ext cx="939800" cy="2070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13</xdr:col>
          <xdr:colOff>1917700</xdr:colOff>
          <xdr:row>45</xdr:row>
          <xdr:rowOff>203200</xdr:rowOff>
        </xdr:from>
        <xdr:to>
          <xdr:col>14</xdr:col>
          <xdr:colOff>1079500</xdr:colOff>
          <xdr:row>51</xdr:row>
          <xdr:rowOff>317500</xdr:rowOff>
        </xdr:to>
        <xdr:sp macro="" textlink="">
          <xdr:nvSpPr>
            <xdr:cNvPr id="58413" name="Comment 45" hidden="1">
              <a:extLst>
                <a:ext uri="{FF2B5EF4-FFF2-40B4-BE49-F238E27FC236}">
                  <a16:creationId xmlns:a16="http://schemas.microsoft.com/office/drawing/2014/main" id="{B7A3730E-EE04-6647-8DFC-4747752C69C2}"/>
                </a:ext>
              </a:extLst>
            </xdr:cNvPr>
            <xdr:cNvSpPr txBox="1">
              <a:spLocks noChangeArrowheads="1"/>
            </xdr:cNvSpPr>
          </xdr:nvSpPr>
          <xdr:spPr bwMode="auto">
            <a:xfrm>
              <a:off x="6286500" y="9398000"/>
              <a:ext cx="1714500" cy="2070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NewUser:</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sursa: vers5_Moldova estimari 2021_2025.xls</a:t>
              </a:r>
            </a:p>
          </xdr:txBody>
        </xdr:sp>
        <xdr:clientData/>
      </xdr:twoCellAnchor>
    </mc:Fallback>
  </mc:AlternateContent>
  <mc:AlternateContent xmlns:mc="http://schemas.openxmlformats.org/markup-compatibility/2006">
    <mc:Choice xmlns:v="urn:schemas-microsoft-com:vml" Requires="v"/>
    <mc:Fallback>
      <xdr:twoCellAnchor editAs="absolute">
        <xdr:from>
          <xdr:col>20</xdr:col>
          <xdr:colOff>647700</xdr:colOff>
          <xdr:row>14</xdr:row>
          <xdr:rowOff>203200</xdr:rowOff>
        </xdr:from>
        <xdr:to>
          <xdr:col>20</xdr:col>
          <xdr:colOff>2197100</xdr:colOff>
          <xdr:row>18</xdr:row>
          <xdr:rowOff>101600</xdr:rowOff>
        </xdr:to>
        <xdr:sp macro="" textlink="">
          <xdr:nvSpPr>
            <xdr:cNvPr id="58452" name="Comment 84" hidden="1">
              <a:extLst>
                <a:ext uri="{FF2B5EF4-FFF2-40B4-BE49-F238E27FC236}">
                  <a16:creationId xmlns:a16="http://schemas.microsoft.com/office/drawing/2014/main" id="{02461B32-C7F6-3E45-94C9-EC009F6F49C1}"/>
                </a:ext>
              </a:extLst>
            </xdr:cNvPr>
            <xdr:cNvSpPr txBox="1">
              <a:spLocks noChangeArrowheads="1"/>
            </xdr:cNvSpPr>
          </xdr:nvSpPr>
          <xdr:spPr bwMode="auto">
            <a:xfrm>
              <a:off x="18580100" y="3048000"/>
              <a:ext cx="14732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1" i="0" u="none" strike="noStrike" baseline="0%">
                  <a:solidFill>
                    <a:srgbClr val="000000"/>
                  </a:solidFill>
                  <a:latin typeface="Tahoma" pitchFamily="2" charset="-52"/>
                  <a:ea typeface="Tahoma" pitchFamily="2" charset="-52"/>
                  <a:cs typeface="Tahoma" pitchFamily="2" charset="-52"/>
                </a:rPr>
                <a:t>Victoria Petrica:</a:t>
              </a:r>
              <a:endParaRPr lang="en-US" sz="900" b="0" i="0" u="none" strike="noStrike" baseline="0%">
                <a:solidFill>
                  <a:srgbClr val="000000"/>
                </a:solidFill>
                <a:latin typeface="Tahoma" pitchFamily="2" charset="-52"/>
                <a:ea typeface="Tahoma" pitchFamily="2" charset="-52"/>
                <a:cs typeface="Tahoma" pitchFamily="2" charset="-52"/>
              </a:endParaRPr>
            </a:p>
            <a:p>
              <a:pPr algn="l" rtl="0">
                <a:defRPr sz="1000"/>
              </a:pPr>
              <a:r>
                <a:rPr lang="en-US" sz="900" b="0" i="0" u="none" strike="noStrike" baseline="0%">
                  <a:solidFill>
                    <a:srgbClr val="000000"/>
                  </a:solidFill>
                  <a:latin typeface="Tahoma" pitchFamily="2" charset="-52"/>
                  <a:ea typeface="Tahoma" pitchFamily="2" charset="-52"/>
                  <a:cs typeface="Tahoma" pitchFamily="2" charset="-52"/>
                </a:rPr>
                <a:t>Dus intors inclusiv lucrator outreach</a:t>
              </a:r>
            </a:p>
          </xdr:txBody>
        </xdr:sp>
        <xdr:clientData/>
      </xdr:twoCellAnchor>
    </mc:Fallback>
  </mc:AlternateContent>
</xdr:wsDr>
</file>

<file path=xl/externalLinks/_rels/externalLink1.xml.rels><?xml version="1.0" encoding="UTF-8" standalone="yes"?>
<Relationships xmlns="http://schemas.openxmlformats.org/package/2006/relationships"><Relationship Id="rId1" Type="http://purl.oclc.org/ooxml/officeDocument/relationships/externalLinkPath" Target="file:///C:/Users/User/Desktop/TEMP_Budget/FR847-MDA-C_DB_19_06_2020.xlsx"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Index"/>
      <sheetName val="Version History"/>
      <sheetName val="Setup"/>
      <sheetName val="Allocated_vs_budgeted"/>
      <sheetName val="Detailed Budget"/>
      <sheetName val="Budget Summary"/>
      <sheetName val="Budget Summary En"/>
      <sheetName val="Summary by Intervention"/>
      <sheetName val="Summary by Cost Input"/>
      <sheetName val="HIV_TB_Pivot (2)"/>
      <sheetName val="HIV_TB_Pivot"/>
      <sheetName val="HIV_Pivot_table"/>
      <sheetName val="(PAS)_draft"/>
      <sheetName val="HIV_Pivot_table (2)"/>
      <sheetName val="TB_Pivot_table"/>
      <sheetName val="TB_Pivot_table (2)"/>
      <sheetName val="PM_PR_SR"/>
      <sheetName val="TB_Pivot_table (3)"/>
      <sheetName val="TB_16.06.2020"/>
      <sheetName val="TB_ME_visits"/>
      <sheetName val="TB_adh_VOT"/>
      <sheetName val="TB_NGO"/>
      <sheetName val="TB_treatment"/>
      <sheetName val="LTBI"/>
      <sheetName val="TB_other"/>
      <sheetName val="SLD_distrib"/>
      <sheetName val="NTP"/>
      <sheetName val="TB_labs"/>
      <sheetName val="TB_cases_estimation"/>
      <sheetName val="Prevention_HIV"/>
      <sheetName val="HIV_laboratory"/>
      <sheetName val="HIV_other"/>
      <sheetName val="working"/>
      <sheetName val="Population_working"/>
      <sheetName val="verficare_linii_buget"/>
      <sheetName val="Template"/>
      <sheetName val="Populatie"/>
      <sheetName val="Free sheet-enter what you need"/>
      <sheetName val="Price_list"/>
      <sheetName val="Sheet2"/>
      <sheetName val="Sheet6"/>
      <sheetName val="Sheet3"/>
      <sheetName val="Sheet5"/>
      <sheetName val="Additional Summary"/>
      <sheetName val="Population"/>
      <sheetName val="Summary ICR"/>
      <sheetName val="ICR Rate"/>
      <sheetName val="Data Sheet"/>
      <sheetName val="Admin Sheet"/>
      <sheetName val="Admin Sheet_Pop"/>
      <sheetName val="Recipient sheet"/>
      <sheetName val="Currencies"/>
      <sheetName val="Assumptions HR"/>
      <sheetName val="Assumptions TRC"/>
      <sheetName val="Assumptions Other"/>
      <sheetName val="Investment Landscape Overview"/>
      <sheetName val="Action Plan – Key Activities"/>
      <sheetName val="Financial Triggers - Budget"/>
      <sheetName val="Translations"/>
      <sheetName val="Action Plan - Pivot"/>
      <sheetName val="Action Plan - Reference Data"/>
      <sheetName val="0. Refresh Pivot Tables"/>
      <sheetName val="Action Plan - Pivot Analytic"/>
      <sheetName val="2. Budget Granularity"/>
      <sheetName val="Dataset - Costing Dimensions"/>
      <sheetName val="apttusmetadata"/>
      <sheetName val="FR847-MDA-C_DB_19_06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pivotCache/_rels/pivotCacheDefinition1.xml.rels><?xml version="1.0" encoding="UTF-8" standalone="yes"?>
<Relationships xmlns="http://schemas.openxmlformats.org/package/2006/relationships"><Relationship Id="rId1" Type="http://purl.oclc.org/ooxml/officeDocument/relationships/pivotCacheRecords" Target="pivotCacheRecords1.xml"/></Relationships>
</file>

<file path=xl/pivotCache/pivotCacheDefinition1.xml><?xml version="1.0" encoding="utf-8"?>
<pivotCacheDefinition xmlns="http://purl.oclc.org/ooxml/spreadsheetml/main" xmlns:r="http://purl.oclc.org/ooxml/officeDocument/relationships" xmlns:mc="http://schemas.openxmlformats.org/markup-compatibility/2006" xmlns:xr="http://schemas.microsoft.com/office/spreadsheetml/2014/revision" mc:Ignorable="xr" r:id="rId1" refreshedBy="Victoria Petrica" refreshedDateIso="2020-06-19T21:30:23.75000026077031875" createdVersion="5" refreshedVersion="6" minRefreshableVersion="3" recordCount="598" xr:uid="{00000000-000A-0000-FFFF-FFFF00000000}">
  <cacheSource type="worksheet">
    <worksheetSource ref="A6:BC604" sheet="Buget_detaliat"/>
  </cacheSource>
  <cacheFields count="55">
    <cacheField name="Mesaj de eroare" numFmtId="1">
      <sharedItems/>
    </cacheField>
    <cacheField name="Nr liniei de buget" numFmtId="1">
      <sharedItems containsString="0" containsBlank="1" containsNumber="1" containsInteger="1" minValue="1" maxValue="247"/>
    </cacheField>
    <cacheField name="Obiectiv_abr" numFmtId="1">
      <sharedItems count="8">
        <s v="1."/>
        <s v="3."/>
        <s v="4."/>
        <s v="5."/>
        <s v="6."/>
        <s v="2."/>
        <s v="7."/>
        <s v=""/>
      </sharedItems>
    </cacheField>
    <cacheField name="Direcții de acțiuni " numFmtId="1">
      <sharedItems count="20">
        <s v="1.1.  Depistarea activă a TB în grupurile cu risc și vigilență sporită pentru TB"/>
        <s v="3.1.  Asigurarea continuă cu medicamente TB"/>
        <s v="4.1.  Consolidarea capacităților pentru realizarea unui control eficient al co-infecţiei TB/HIV"/>
        <s v="5.1.  Asigurarea măsurilor de profilaxie specifică"/>
        <s v="3.2.  Asigurarea monitorizării tratamentului, managementului și prevenirii reacțiilor adverse la medicamente TB"/>
        <s v="6.1.  Consolidarea capacităților pentru managementul eficient al PNCT"/>
        <s v="2.2.  Fortificarea rețelei de laborator prin asigurarea controlului calității și biosecurității în conformitate cu standardele naționale și internaționale în cadrul rețelei naționale de laboratoare implicate în diagnosticul microbiologic al TB"/>
        <s v="2.3.  Asigurarea monitorizării tratamentului pacienților cu TB și TB MDR cu supravegherea rezistenței M. tuberculosis către medicamente"/>
        <s v="6.2.  Consolidarea sistemelor de sănătate prin mecanisme de finanțare bine aliniate pentru TB"/>
        <s v="2.1.  Asigurarea depistării TB prin aplicarea constantă și extinderea metodelor microbiologice rapide de diagnostic "/>
        <s v="3.3.  Asigurarea aderenței la tratament, inclusiv prin utilizarea metodelor inovative, centrate pe persoană"/>
        <s v="6.5.  Fortificarea implicării comunității și OSC în controlul TB prin abordare centrată pe persoană"/>
        <s v="5.2.  Asigurarea informării privind respectarea măsurilor de control al infecției  pentru reducerea riscului de transmitere a TB în societate"/>
        <s v="4.2.  Consolidarea acțiunilor colaborative în controlul TB cu alte programe naționale"/>
        <s v="6.3.  Consolidarea capacităților resurselor umane implicate în controlul TB"/>
        <s v="6.6.  Protecția socială, reducerea sărăciei și acțiuni asupra altor factori determinanți ai TB, inclusiv printre migranți si deținuți "/>
        <s v="6.7.  Realizarea Strategiei de pledoarie, comunicare și mobilizare socială în controlul TB, inclusiv prin reducerea stigmei și discriminării, cu alocarea resurselor necesare"/>
        <s v="7.2.  Realizarea studiilor operaționale"/>
        <s v="7.1.  Efectuarea cercetărilor științifice aplicative"/>
        <s v=""/>
      </sharedItems>
    </cacheField>
    <cacheField name="Intervenții" numFmtId="1">
      <sharedItems count="69" longText="1">
        <s v="1.1.1. Asigurarea examinării persoanelor din grupurile cu risc sporit TB "/>
        <s v="1.1.2. Asigurarea examinării persoanelor din contact cu bolnavii TB "/>
        <s v="1.1.3. Asigurarea examinării persoanelor din grupurile cu vigilență sporită pentru TB "/>
        <s v="1.1.4. Asigurarea examinării persoanelor din grupurile cu risc și vigilență sporită pentru TB în localități, utilizând instalațiile radiologice mobile cu introducerea inteligenței artificiale medicale"/>
        <s v="3.1.3. Asigurarea continuă cu medicamente, forme pediatrice TB"/>
        <s v="4.1.6. Asigurarea tratamentului preventiv cu co-trimoxazol la pacienții cu TB/HIV"/>
        <s v="3.1.1. Asigurarea continuă cu medicamente pentru tratamentul TB sensibile "/>
        <s v="3.1.2. Asigurarea continuă cu medicamente pentru tratamentul TB RR/MDR/XDR "/>
        <s v="5.1.2. Actualizarea PCN privind diagnosticul și tratamentul ITBL, în conformitate cu recomandările OMS"/>
        <s v="5.1.3. Asigurarea examinării privind diagnosticul ITBL utilizând testul cutanat cu tuberculină"/>
        <s v="5.1.4. Asigurarea examinării privind diagnosticul ITBL utilizând IGRA"/>
        <s v="5.1.6. Realizarea tratamentului ITBL în rândul contacților"/>
        <s v="5.1.5. Asigurarea tratamentului profilactic TB în rândul persoanelor care trăiesc cu HIV"/>
        <s v="3.2.2. Asigurarea actualizării Regulamentului privind managementul medicamentelor TB și sistemului de farmacovigilență în tratamentul pacienților cu TB"/>
        <s v="6.1.3. Asigurarea vizitelor complexe de M&amp;E, inclusiv și în cadrul OSC și alte autorități publice cu rețele sanitare proprii și private"/>
        <s v="2.2.1. Realizarea managementului calității în cadrul rețelei de laboratoare implicate în diagnosticul microbiologic al TB "/>
        <s v="2.3.3. Menținerea și consolidarea sistemului de curierat pentru transportarea sputei către LR"/>
        <s v="3.1.4. Asigurarea distribuirii medicamentelor TB în teritorii"/>
        <s v="2.3.2. Implementarea metodelor fenotipice și genotipice de testare rezistenței a M.tuberculosis către preparatele noi (BQ, DLD), inclusiv prin  secvențiere a genomului micobacterian"/>
        <s v="3.1.5. Trecerea la noile regimuri de tratament per orale scurte modificate (mSTR)  cu asigurarea condițiilor pentru cercetare operațională urmată de o tranziție la practica de rutină"/>
        <s v="2.2.2. Participarea în Controlul Calității Extern (CCE) al Laboratorului Național și Laboratoarelor de Referință în microbiologia TB"/>
        <s v="2.2.3. Implementarea Standardelor de biosecuritate (BSC) în laboratoarele microbiologice TB "/>
        <s v="3.2.3. Asigurarea farmacovigilenței active cu elaborarea și implementarea PSO pentru aDSM "/>
        <s v="6.1.1. Elaborarea PSO pentru Monitorizare si Evaluare PNCT de către Departamentul de coordonare PNCT, inclusiv cu implicarea OSC"/>
        <s v="6.1.4. Instruirea periodică a personalului din cadrul Unității de Coordonare a PNCT"/>
        <s v="6.2.7. Asigurarea mentenanței unităților de stocare a medicamentelor și dispozitivelor medicale la nivel central"/>
        <s v="6.1.2. Actualizarea, integrarea, menținerea și ajustarea continuă a sistemului informațional de colectare a datelor, inclusiv a sistemului informațional de M&amp;E "/>
        <s v="2.3.1. Aplicarea metodelor fenotipice și genotipice de testare rezistenței a M.tuberculosis către preparatele și supravegherea rezistenței M.tuberculosis către medicamente la nivel național"/>
        <s v="2.1.1. Aplicarea metodelor molecular genetice pentru diagnosticul rapid al TB și RR/MDR TB"/>
        <s v="6.2.5. Asigurarea mentenanței echipamentelor din cadrul staționarelor și subdiviziunilor de profil "/>
        <s v="3.3.1. Asigurarea abordării multidisciplinare, inclusiv evaluarea necesitaților si gestionarea cazului pentru fiecare persoana afectata de TB si a familiei si acordarea suportului psihosocial pentru asigurarea aderenței la tratament."/>
        <s v="6.5.2. Realizarea activităților prin granturi mici pentru educare, informare, intervenții pentru creșterea aderenței la tratament, acompanierea și suportul persoanelor care au finalizat tratamentul pentru prevenirea recidivelor."/>
        <s v="3.3.2. Asigurarea suportului motivațional lunar (stimulente)"/>
        <s v="3.3.3. Extinderea utilizării VOT la nivel național"/>
        <s v="5.2.1. Desfășurarea activităților de informare și schimbare a atitudinilor  și comportamentelor la nivel național si local"/>
        <s v="6.5.4. Implicarea OSC în reducerea barierelor și asigurarea accesului grupurilor cheie la servicii TB"/>
        <s v="4.1.1. Asigurarea unui mecanism  multisectorial de coordonare a PNCT cu celelalte ministere, instituții publice"/>
        <s v="4.1.2. Dezvoltarea parteneriatelor colaborative la nivel de comunități prin implicarea OSC și APL"/>
        <s v="4.2.1. Elaborarea regulamentului de servicii integrate la nivel teritorial in corespundere cu necesitatile persoanei cu co-morbiditati."/>
        <s v="4.2.2. Fortificarea acțiunilor colaborative  pentru depistarea, diagnosticul, tratamentul și prevenirea TB în rândul persoanelor cu patologie combinată: TB_HV, TB_boală mintală, TB_DZ, etc., inclusiv în rândul grupurilor vulnerabile"/>
        <s v="4.2.3. Asigurarea platformelor de servicii integrate de prevenire si suport pentru persoanele afectate de TB cu alte co-morbiditați la nivel de OSC și comunitar"/>
        <s v="5.2.2. Elaborarea și editarea materialelor educaționale și informative despre TB pentru grupurile cheie"/>
        <s v="5.2.3. Realizarea intervențiilor pentru educare și informare (materiale IEC, intervenții mass media, etc.)"/>
        <s v="6.2.1. Optimizarea serviciului spitalicesc de profil ftiziopneumologic "/>
        <s v="6.2.2. Fortificarea si extinderea rolului serviciului ftiziopneumologic teritorial in managementul clinic al cazurilor TB care nu necesită spitalizare"/>
        <s v="6.2.3. Revizuirea mecanismelor de contractare a prestatorilor și modalităților de finanțare a serviciilor TB la fiecare nivel - AMP, AMSA, AMS."/>
        <s v="6.2.4. Asigurarea mentenanței staționarelor și subdiviziunilor de profil"/>
        <s v="6.2.6. Elaborarea mecanismului de raportare a cheltuielilor faptice pentru realizarea activităților PNCT la fiecare nivel din sistemul de sănătate"/>
        <s v="6.3.1. Instruirea continuă a personalului din diferite servicii implicate in controlul TB, inclusiv și instruirea la distanță pe platforme digitale cu obținerea certificării"/>
        <s v="6.3.2. Instruirea prin rezidenţiat a specialiștilor în ftiziopneumologie"/>
        <s v="6.3.3. Organizarea întrunirilor/instruirilor la nivel central și teritorial cu participarea părților implicate în controlul TB "/>
        <s v="6.3.5. Instruirea în activități de control TB a personalului, care prestează servicii nemedicale  - OSC, outreach și de la egal la egal, psihologii si managerii de caz, suporterii"/>
        <s v="6.3.6. Planificarea resurselor umane termen mediu și lung în baza abordării pe necesități"/>
        <s v="6.5.1. Elaborarea și implementarea mecanismelor de contractare în cadrul fondurilor de stat sau a altor mecanisme de finanțare relevante pentru OSC-uri pentru asigurarea oferirii suportului psihosocial și serviciilor de depistarea activă a TB"/>
        <s v="6.5.3. Documentarea barierelor de acces (financiare, stigma, DO, gen) și estimarea mărimii populațiilor cheie"/>
        <s v="6.6.1. Fortificarea controlului TB în penitenciare, acompanierea și suportul persoanelor eliberate din detenție în asigurarea continuității tratamentului, inclusiv prin implicarea OSC "/>
        <s v="6.6.2. Fortificarea controlului TB în rândul migranților"/>
        <s v="6.6.3. Elaborarea PSO pentru conduita cazului de TB la solicitanții de azil, inclusiv de transfer transfrontalier a cazului TB"/>
        <s v="6.7.1. Realizarea activităților de educare a pacienților cu TB privind Carta pacientului TB și Declarația Drepturilor Persoanelor cu TB"/>
        <s v="6.7.2. Dezvoltarea instrumentelor inovative de comunicare prin utilizarea tehnologiilor informaționale "/>
        <s v="6.7.3. Dezvoltarea și implementarea mecanismelor de monitorizare a calității serviciilor TB în raport cu respectarea drepturilor pacientului "/>
        <s v="7.2.3. Participarea OSC în  realizarea studiilor operaționale, inclusiv în realizarea acestora la nivel de comunitate"/>
        <s v="3.2.1. Elaborarea mecanismului de asigurarea accesului la medicamente pentru prevenirea și tratamentul reacțiilor adverse la preparatele TB"/>
        <s v="7.1.2. Realizarea cercetărilor conform agendei stabilite, cu revizuirea agendei la necesitate"/>
        <s v=""/>
        <s v="3.3.4. Asigurarea suportului de la egal la egal persoanelor cu TB de către prestatori  OSC" u="1"/>
        <s v="4.2.2. Fortificarea acțiunilor colaborative  pentru depistarea, diagnosticul, tratamentul și prevenirea TB în rândul persoanelor cu patologie combinată: TB/hepatită virală, TB/boală mintală, TB/diabet zaharat, etc., inclusiv în rândul grupurilor vulnerabile" u="1"/>
        <s v="1.1.5. Asigurarea depistării persoanelor din populațiile-cheie - PTHIV, PAFA, consumatori de droguri și alte grupuri vulnerabile, cu acces redus la AMP, cu suportul OSC la nivel de comunitate" u="1"/>
        <s v="6.3.5. Instruirea în activități de control TB a personalului, care prestează servicii nemedicale  - OSC, outreach și de la egal la egal, psihologii si managerii de caz, suporterii prin training-uri, schimb de experiență, participări la conferințe, vizite de lucru etc" u="1"/>
      </sharedItems>
    </cacheField>
    <cacheField name="Descriere succinta interventie" numFmtId="1">
      <sharedItems containsMixedTypes="1" containsNumber="1" containsInteger="1" minValue="0" maxValue="0" count="178" longText="1">
        <s v="1.1.1. Asigurarea examinării persoanelor din grupurile cu risc sporit TB "/>
        <s v="1.1.2. Asigurarea examinării persoanelor din contact cu bolnavii TB "/>
        <s v="1.1.3. Asigurarea examinării persoanelor din grupurile cu vigilență sporită pentru TB "/>
        <s v="1.1.4.1. Achizitionarea instrumentelor de inteligență artificială (IA) pentru 7 vehicule mobile echipate cu Xrays.(4 pentru malul drept si 3 pentru malul sting) "/>
        <s v="1.1.4.2. Cursuri de instruire pentru personalul implicat in implementarea tehnologiei inteligentei artificiale pentru asigurarea examinarii persoanelor din grupurile de risc si cu vigilenta sporita pentru TB in localitati."/>
        <s v="1.1.4.3. Ajustarea SOP_urilor internationale si elaborarea SOPurilor nationale pentru implementarea Inteligentei Artificiale in tară."/>
        <s v="1.1.4.4. Examinarea persoanelor din grupurile cu risc și vigilență sporită pentru TB în localități, utilizând instalațiile radiologice mobile cu introducerea inteligenței artificiale medicale"/>
        <s v="1.1.4.5.Asigurarea examinării persoanelor din populațiile-cheie - PTHIV, PAFA, consumatori de droguri și alte grupuri vulnerabile, cu acces redus la AMP, cu suportul OSC_x000a_"/>
        <s v="1.1.4.5.Asigurarea examinării persoanelor din populațiile-cheie - PTHIV, PAFA, consumatori de droguri și alte grupuri vulnerabile, cu acces redus la AMP, cu suportul OSC (Malul Drept)_x000a_"/>
        <s v="Tratament linia I_MD_forme pediatrice"/>
        <s v="Co_trim_ linia I_Malul Drept_civil"/>
        <s v="Tratament linia I_Malul Drept_civil_adulti"/>
        <s v="Co_trim_ linia I_Malul Drept_penitenciare"/>
        <s v="Tratament linia I_Malul Drept_penitenciare"/>
        <s v="Tratament linia I_Malul_Stang_forme pediatrice"/>
        <s v="Co_trim_linia I_Malul_Stang_civil+penit_adulti"/>
        <s v="Tratament linia I_Malul_Stang_civil+penit_adulti"/>
        <s v="Co_trim_ Malul Drept RR/MDR/FQ rez_civil adulti"/>
        <s v="Tratament Malul Drept RR/MDR/FQ rez_civil adulti"/>
        <s v="Tratament Malul Drept RR/MDR/FQ rez_copii"/>
        <s v="Co_trim_ Malul Drept RR/MDR/FQ rez_penitenc_ adulti"/>
        <s v="Tratament Malul Drept RR/MDR/FQ rez_penitenciare"/>
        <s v="Co_trim_ Malul Stang RR/MDR/FQ rez_penitenc_ adulti"/>
        <s v="Tratament Malul Stang RR/MDR/FQ rez_adulti (civil+penitenciar)"/>
        <s v="Tratament Malul Stang RR/MDR/FQ rez_copii"/>
        <s v="Co_trim_ Malul Drept TB poly"/>
        <s v="Tratament Malul Drept TB poly"/>
        <s v="Co_trim_ Malul Stang TB poly"/>
        <s v="Tratament Malul Stang TB poly"/>
        <s v="5.1.2.1        Actualizarea PCN privind diagnosticul și tratamentul ITBL, în conformitate cu recomandările OMS"/>
        <s v="5.1.2.2.       Masa rotunda - prezentarea PCN privind diagnosticul și tratamentul ITBL, în conformitate cu recomandările OMS"/>
        <s v="5.1.3.1.        Asigurarea examinării privind diagnosticul ITBL utilizând testul cutanat cu tuberculină"/>
        <s v="5.1.4.1.        Asigurarea examinării privind diagnosticul ITBL utilizând IGRA"/>
        <s v="Malul Drept, Chimioprofilaxie  TB sensibila, sector civil"/>
        <s v="Malul Stang, Chimioprofilaxie  TB sensibila, sector civil"/>
        <s v="Malul Drept, Chimioprofilaxie  TB RR/MDR"/>
        <s v="Malul Stang, Chimioprofilaxie  TB RR/MDR"/>
        <s v="Malul Drept, Chimioprofilaxie sector penitenciar"/>
        <s v="Malul Stang, Chimioprofilaxie sector penitenciar"/>
        <s v="Malul Drept, Chimioprofilaxie PTH"/>
        <s v="Malul Stang, Chimioprofilaxie PTH"/>
        <s v="3.2.2.1. Asigurarea actualizării Regulamentului privind managementul medicamentelor TB și sistemului de farmacovigilență în tratamentul pacienților cu TB"/>
        <s v="3.2.2.2. Curs de instruire farmacovigilenta, personal de la nivel central"/>
        <s v="3.2.2.3. Curs de instruire farmacovigilenta, medici ftiziopneumologi din teritoriu"/>
        <s v="Combust, ulei vizite monitorizare_echipa PNCT_vizite Malul Drept"/>
        <s v="Acomodare_diurne_echipa PNCT_vizite Malul Drept"/>
        <s v="Combust, ulei vizite monitorizare_echipa PCT_Malul_Stang"/>
        <s v="Acomodare_diurne_echipa PCT_Malul_Stang"/>
        <s v="Combust, ulei vizite monitorizare_echipa PNCT in teritoriile de pe Malul Stang"/>
        <s v="Acomodare_diurne_echipa PNCT in teritoriile de pe Malul Stang"/>
        <s v="Combust, ulei vizite monitorizare_vizite echipa LNR_Malul Drept"/>
        <s v="Suport _vizite echipa LNR_Malul Drept"/>
        <s v="Suport salarial_vizite echipa LNR_Malul Drept"/>
        <s v="Combust, ulei vizite monitorizare_vizite echipa LR_Bender_Malul Stang"/>
        <s v="Suport _vizite echipa LR_Bender_Malul Stang"/>
        <s v="Suport salarial_vizite echipa LR_Bender_Malul Stang"/>
        <s v="Transport speciemene sputa, Malul Drept combustibil si mentenanta"/>
        <s v="Transport  speciemene sputa, Malul Drept, remunerare soferi"/>
        <s v="Transport medicamente, Malul Drept, combustibil si mentenanta"/>
        <s v="Transport medicamente, Malul Drept, remunerare soferi"/>
        <s v="Transport  speciemene sputa, Malul Stang, combustibil si mentenanta"/>
        <s v="Transport  speciemene sputa, Malul Stang, remunerare soferi"/>
        <s v="Transport  medicamente, Malul Stang, combustibil si mentenanta"/>
        <s v="Transport  medicamente, Malul Stang, remunerare soferi"/>
        <s v="Procurarea secventiatorului, instalare, instruire"/>
        <s v="3.1.5.1. Curs de instriuire trecerea la scheme scurte pentru medici ftitiopneumologie din teritoriu"/>
        <s v="Control extern al calitatii INSTAND"/>
        <s v="Control extern al calitatii BORSTEL"/>
        <s v="2.2.3.1 Mentenanta sistemelor de ventilare din LR in microbiologia tuberculozei"/>
        <s v="3.2.3.1. Asigurarea farmacovigilenței active cu elaborarea și implementarea PSO pentru aDSM "/>
        <s v="6.1.1.1. Elaborarea PSO pentru Monitorizare si Evaluare PNCT de către Departamentul de coordonare PNCT, inclusiv cu implicarea OSC"/>
        <s v="Instruirea echipei PNCT peste hotare"/>
        <s v="Mentenanta unităților de stocare a medicamentelor și dispozitivelor medicale la nivel central"/>
        <s v="6.1.2.2. Actualizarea, integrarea, menținerea și ajustarea continuă a sistemului informațional de colectare a datelor, inclusiv a sistemului informațional de M&amp;E "/>
        <s v="2.2.3.2 Instruirea unui specialist in standarte securitate biologica (certificare hote)"/>
        <s v="Costurile reactivelor, echipamentului de laborator_Malul Drept"/>
        <s v="Costurile reactivelor, echipamentului de laborator_Malul Stang"/>
        <s v="2.1.1.1. Cost teste Xpert_Malul Drept"/>
        <s v="2.1.1.1. Cost teste Xpert_Malul Stang"/>
        <s v="6.2.5.2. Asigurarea mentenanței echipamentelor din cadrul laboratoarelor in microbiologia tuberculozei (Malul Drept)"/>
        <s v="6.2.5.2. Asigurarea mentenanței echipamentelor din cadrul laboratoarelor in microbiologia tuberculozei (Malul Stang)"/>
        <s v="6.2.5.3. Mententanta Xpert, inlocuire module (Malul Drept)"/>
        <s v="6.2.5.3. Mententanta Xpert, inlocuire module (Malul Stang)"/>
        <s v="6.2.5.3. Mententanta Xpert, calibrare si reparatie (Malul Drept)"/>
        <s v="3.3.1.1. Servicii acordate prin intermediul echipelor multidisciplinare ale Centrelor comunitare TB, Malul Stang"/>
        <s v="3.3.1.2. Vizitele de supervizare abilitantă a echipelor multidisciplinare (consultant national)"/>
        <s v="3.3.1.3. Elaborare PSO abordare multidisciplinara"/>
        <s v="6.5.2.2. Realizarea activităților prin granturi mici pentru educare, informare, intervenții pentru creșterea aderenței (Malul Stang)"/>
        <s v="3.3.1.4. Curs de instruire organizarea lucrului echipei multidisciplinare"/>
        <s v="3.3.2.1 Asigurarea suportului motivațional lunar (stimulente)_Malul drept"/>
        <s v="3.3.3.1. Procurare echipament VOT si servicii internet "/>
        <s v="3.3.3.2. Elaborare materiale informationale VOT"/>
        <s v="3.3.3.3. Multiplicarea si distribuirea pacientilor ghidului VOT"/>
        <s v="3.3.3.4. Curs de instruire VOT"/>
        <s v="5.2.1.6 Evaluarea situatiei la nivel de teritoriu si posibilitatea integrarii ONG in activitatile din cadrul programelor teritoriale de control a tuberculozei"/>
        <s v="3.3.3.5. Plasarea sistemului VOT pe serverul PNCT"/>
        <s v="6.5.4.2 Servicii de asistență și consiliere juridică (Granturi ONG)"/>
        <s v="6.5.4.3 Grant pentru fundraising"/>
        <s v="1.1.4.6. Bonificatie pentru depistarea tuberculozei prin intermediul OSC_x000a_"/>
        <s v="4.1.1.1. Elaborarea unui mecanism multisectorial de responsabilizare"/>
        <s v="4.1.1.2. Sedinte cu privire la mecanism multisectorial de responsabilizare"/>
        <s v="4.1.2.1. Elaborarea unui mecanism de parteneriat colaborativ la nivel de comunități prin implicarea OSC și APL"/>
        <s v="4.1.2.2. Sedinte cu privire la mecanism multisectorial de responsabilizare"/>
        <s v="4.2.1.1.  Elaborarea regulamentului de servicii integrate la nivel teritorial in corespundere cu necesitatile persoanei cu co-morbiditati."/>
        <s v="4.2.1.2. Sedinte cu privire la servicii integrate la nivel teritorial in corespundere cu necesitatile persoanei cu co-morbiditati."/>
        <s v="4.2.2.1. Curs de instruire pentru depistarea, diagnosticul, tratamentul și prevenirea TB în rândul persoanelor cu patologie combinată: TB/hepatită virală, TB/boală mintală, TB/diabet "/>
        <s v="4.2.2.2. Seminare zonale pentru depistarea, diagnosticul, tratamentul și prevenirea TB în rândul persoanelor cu patologie combinată: TB/hepatită virală, TB/boală mintală, TB/diabet "/>
        <s v="4.2.3.1.  Asigurarea platformelor de servicii integrate de prevenire si suport pentru CDI la nivel de OSC și comunitar"/>
        <s v="4.2.3.2.  Asigurarea platformelor de servicii integrate de prevenire si suport pentru PTH la nivel de OSC și comunitar"/>
        <s v="4.2.3.3.  Asigurarea platformelor de servicii integrate de prevenire si suport pentru PAFA la nivel de OSC și comunitar"/>
        <s v="5.2.1.1. Consultat activități de informare și schimbare a atitudinilor  și comportamentelor la nivel național si local"/>
        <s v="5.2.1.2. Organizarea comisiei parlamentare &quot;Comisia protecţie socială, sănătate şi familie &quot; pentru discutarea problemelor TB cu invitarea conducatorilor canalelor TV si a conducerii consiliului audiovizualului, avind drept scop de baza obtinearea transmiterii gratuite sau la o reducere accesibila a materialilor info vide si audio privind TB"/>
        <s v="5.2.1.3. Sedinte, cu participarea APL privind situatia epidemiologica din teritoriu cu participare multisectoriala"/>
        <s v="5.2.1.4. Concursuri la nivel de APL pentru cel mai bun plan de informare a populatiei despre TB"/>
        <s v="5.2.1.5. Conferinta anuala dedicata zilei de 24 martie "/>
        <s v="3.1.5.2. Continuarea cercetarii operationale privind implementarea schemelor scurte de tratament"/>
        <s v="5.2.2.2.  Elaborare, printare, editare materiale informative "/>
        <s v="2.1.1.2. Procurare Xpert MTB/XDR"/>
        <s v="2.1.1.2. Procurarea cartrige Xpert MTB/XDR"/>
        <s v="5.2.3.1. Elaborarea materialelor video si audio privind tuberculoza"/>
        <s v="5.2.3.2. Realizarea a 2 campanii de informare cu difuzarea materialelor audio si video"/>
        <s v="6.5.4.4. Auditarea OSC , inclusiv prin prisma utilizarii datelor cu caracter personal si pregatirea acestora catre acreditare"/>
        <s v="6.5.4.5. Acordarea suportului consultativ pentru procedura de acreditare"/>
        <s v="5.2.3.3. Actualizarea site-ul www.tuberculoza.info "/>
        <s v="6.2.1.1. Organizarea a 2 sedinte/mese rotunde cu participarea unui consultant international, pentru a discuta si facilita optimizarea serviciului spitalicesc"/>
        <s v="6.2.2.1. Fortificarea si extinderea rolului serviciului ftiziopneumologic teritorial in managementul clinic al cazurilor TB care nu necesită spitalizare"/>
        <s v="6.2.3.1. Elaborarea pachetelor de servicii TB care sa corespunda cu rigorile MSMPS, CNAM si elaborate mecanismele de contractare a acestor servicii"/>
        <s v="6.2.4.1.  Asigurarea mentenanței staționarelor"/>
        <s v="6.2.4.2.  Asigurarea mentenanței laboratoarelor in microbiologia tuberculozei"/>
        <s v="6.2.5.1. Asigurarea mentenanței echipamentelor din cadrul staționarelor și subdiviziunilor de profil, contractare specialisti "/>
        <s v="6.2.6.1. Consultanta internationala si nationala in elaborarea mecanismului de raportare a cheltuielilor faptice pentru realizarea activităților PNCT la fiecare nivel din sistemul de sănătate"/>
        <s v="6.3.1.2. Contractare consultanti pentru revizuirea curiculei de studiu TB studenti, rezidenti, specialisti de alt profil."/>
        <s v="6.3.1.3. Organizarea platformei de instruire on-line si telemedicina in cadrul IFP(inclusiv clinica Vorniceni, Bender)"/>
        <s v="6.3.1.1. Dezvoltarea platformei e-learning prin adaptarea platformei on-line Moodle"/>
        <s v="6.3.2.1. Instruirea prin rezidenţiat a specialiștilor în ftiziopneumologie"/>
        <s v="6.3.3.1. Organziarea seminarelor zonale"/>
        <s v="6.3.5.1. Instruirea în activități de control TB a personalului, care prestează servicii nemedicale  - OSC, outreach și de la egal la egal, psihologii si managerii de caz, suporterii prin training-uri."/>
        <s v="6.3.5.2. Instruirea în activități de control TB a personalului, care prestează servicii nemedicale  - OSC, outreach și de la egal la egal, psihologii si managerii de caz, suporterii prin training-uri peste hotarele tarii"/>
        <s v="6.3.6.1. Consultant in planificarea resurselor umane termen mediu și lung în baza abordării pe necesități"/>
        <s v="6.5.1.1. Consultant elaborare și implementare a mecanismelor de contractare în cadrul fondurilor de stat sau a altor mecanisme de finanțare relevante pentru OSC-uri ."/>
        <s v="6.5.2.1. Realizarea activităților prin granturi mici pentru educare, informare, intervenții pentru creșterea aderenței (Malul Drept)"/>
        <s v="6.5.3.1. Contractarea unei companii sociologice pentru studiu &quot;Documentarea barierelor de acces (financiare, stigma, DO, gen) și estimarea mărimii populațiilor cheie&quot;"/>
        <s v="6.5.3.2 Masa rotunda pentru discutarea rezultatelor cercetarii operationale privind accesul la servicii si stabilirea unui plan de actiuni."/>
        <s v="6.5.3.3. Revizuirea actelor normative pentru inlaturarea barierelor la accesul la servicii constatate in cadrul cercetarii operationale. Vor fi contractati 3 consultanti nationali (MSMPS, jurist, ONG)"/>
        <s v="6.5.3.4. Realizarea exercitiului de estimare a marimii populatiilor cheie"/>
        <s v="6.5.4.1. Granturi mici  - OSC în reducerea barierelor și asigurarea accesului grupurilor cheie la servicii TB"/>
        <s v="6.6.1.1. Granturi mici - Fortificarea controlului TB în penitenciare, acompanierea și suportul persoanelor eliberate din detenție în asigurarea continuității tratamentului, inclusiv prin implicarea OSC "/>
        <s v="6.6.2.1. Cercetare sociologica TB în rândul migranților și imigranților"/>
        <s v="6.6.2.2. Masa rotunda - Cercetarea sociologica TB în rândul migranților  și imigranților"/>
        <s v="6.6.2.3. Sesiuni informationale cu serviciile de graniceri si vamale despre TB"/>
        <s v="6.6.3.1. Elaborarea PSO pentru conduita cazului de TB la solicitanții de azil, inclusiv de transfer transfrontalier a cazului TB"/>
        <s v="6.7.1.1. Traducere si multiplicare Carta pacientului TB și Declarația Drepturilor Persoanelor cu TB"/>
        <s v="6.7.1.2. Elaborarea unui spot video"/>
        <s v="6.7.2.1. Ajustare sistem VOT"/>
        <s v="6.7.3.1. Organizarea instruirilor pentru persoanele care urmează tratament TB în utilizarea aplicațiilor;"/>
        <s v="6.7.3.2. Dezvoltarea și implementarea mecanismelor de monitorizare a calității serviciilor TB în raport cu respectarea drepturilor pacientului "/>
        <s v="6.7.3.3. Dezvoltarea unui algoritm de schimb de date intre PNCT si ONG._x000a_"/>
        <s v="6.7.3.4. Dezvoltarea și implementarea mecanismelor de monitorizare a calității serviciilor TB în raport cu respectarea drepturilor pacientului "/>
        <s v="7.2.3.1. Realizarea a doua studii de cheltuieli catastrofice pentru pacientul cu TB"/>
        <s v="7.2.3.2. Realizarea a doua studii KAP TB"/>
        <s v="7.2.3.3. Realizarea auditului clinic al cazurilor TB/HIV"/>
        <s v="7.2.3.4. Realizarea studiului privind implementarea inteligentei artificiale in procesul de screening la TB"/>
        <s v="5.2.2.1.  Consultant national in informare și schimbare a atitudinilor la nivel național si local"/>
        <s v="1.1.4.5.Asigurarea examinării persoanelor din populațiile-cheie - PTHIV, PAFA, consumatori de droguri și alte grupuri vulnerabile, cu acces redus la AMP, cu suportul OSC (Malul Stang)_x000a_"/>
        <s v="3.2.1.1.  Elaborarea mecanismului de asigurarea accesului la medicamente pentru prevenirea și tratamentul reacțiilor adverse la preparatele TB"/>
        <s v="6.7.3.5. Elaborarea PSO pentru OSC cu privire la monitorizarea  calității serviciilor TB în raport cu respectarea drepturilor pacientului"/>
        <s v="6.7.3.6. Curs de instruire PSO pentru OSC cu privire la monitorizarea  calității serviciilor TB în raport cu respectarea drepturilor pacientului"/>
        <s v="3.3.2.1 Asigurarea suportului motivațional lunar (stimulente)_Malul stang"/>
        <s v="7.1.2.1 Realizarea cercetărilor conform agendei stabilite, cu revizuirea agendei la necesitate"/>
        <s v="6.5.4.6. Elaborarea metodologiei de identificare si referire către asistență juridică"/>
        <s v="6.1.2.2. Actualizarea, integrarea, menținerea și ajustarea continuă a sistemului informațional de colectare a datelor, inclusiv a sistemului informațional de M&amp;E  (achizitie calculatoare)"/>
        <s v="6.1.2.1. Sustinerea echipei PNCT, inclusiv costuri administrative"/>
        <s v="6.5.4.8. Cartarea serviciilor disponibile in comunitate pentru încadrarea in câmpul muncii "/>
        <s v="6.5.4.9. Elaborarea SOP pentru managementul de caz pentru reintegrare si incadrare in cimpul muncii"/>
        <s v="Contributia anuala GLC"/>
        <s v="6.1.2.2. Actualizarea, integrarea, menținerea și ajustarea continuă a sistemului informațional de colectare a datelor, inclusiv a sistemului informațional de M&amp;E  (specialist IT)"/>
        <s v="6.2.5.3. Mententanta Xpert, calibrare si reparatie (Malul Stang)"/>
        <n v="0"/>
      </sharedItems>
    </cacheField>
    <cacheField name="Implementare" numFmtId="1">
      <sharedItems containsMixedTypes="1" containsNumber="1" containsInteger="1" minValue="0" maxValue="0" count="4">
        <n v="0"/>
        <s v="PAS"/>
        <s v="(NGO)"/>
        <s v="UCIMP"/>
      </sharedItems>
    </cacheField>
    <cacheField name="Sursa de finantare" numFmtId="1">
      <sharedItems containsMixedTypes="1" containsNumber="1" containsInteger="1" minValue="0" maxValue="0" count="6">
        <s v="CNAM"/>
        <s v="GFATM"/>
        <s v="MMPSF"/>
        <s v="MJ"/>
        <s v="Buget local (Malul Stang)"/>
        <n v="0"/>
      </sharedItems>
    </cacheField>
    <cacheField name="Denumire fila" numFmtId="1">
      <sharedItems containsBlank="1"/>
    </cacheField>
    <cacheField name="Formula" numFmtId="1">
      <sharedItems/>
    </cacheField>
    <cacheField name="2021_x000a_Total" numFmtId="4">
      <sharedItems containsSemiMixedTypes="0" containsString="0" containsNumber="1" minValue="0" maxValue="82099793.640000001"/>
    </cacheField>
    <cacheField name="2021_x000a_Q1_x000a_cantitate" numFmtId="4">
      <sharedItems containsString="0" containsBlank="1" containsNumber="1" minValue="0.5" maxValue="0.5"/>
    </cacheField>
    <cacheField name="2021_x000a_Q1_x000a_suma" numFmtId="4">
      <sharedItems containsSemiMixedTypes="0" containsString="0" containsNumber="1" minValue="0" maxValue="1373030.4000000001"/>
    </cacheField>
    <cacheField name="2021_x000a_Q2_x000a_cantitate" numFmtId="4">
      <sharedItems containsNonDate="0" containsString="0" containsBlank="1"/>
    </cacheField>
    <cacheField name="2021_x000a_Q2_x000a_suma" numFmtId="4">
      <sharedItems containsSemiMixedTypes="0" containsString="0" containsNumber="1" containsInteger="1" minValue="0" maxValue="0"/>
    </cacheField>
    <cacheField name="2021_x000a_Q3_x000a_cantitate" numFmtId="4">
      <sharedItems containsString="0" containsBlank="1" containsNumber="1" minValue="0.5" maxValue="0.5"/>
    </cacheField>
    <cacheField name="2021_x000a_Q3_x000a_suma" numFmtId="4">
      <sharedItems containsSemiMixedTypes="0" containsString="0" containsNumber="1" containsInteger="1" minValue="0" maxValue="0"/>
    </cacheField>
    <cacheField name="2021_x000a_Q4_x000a_cantitate" numFmtId="4">
      <sharedItems containsString="0" containsBlank="1" containsNumber="1" containsInteger="1" minValue="0" maxValue="1"/>
    </cacheField>
    <cacheField name="2021_x000a_Q4_x000a_suma" numFmtId="4">
      <sharedItems containsSemiMixedTypes="0" containsString="0" containsNumber="1" minValue="0" maxValue="82099793.640000001"/>
    </cacheField>
    <cacheField name="2022_x000a_Total" numFmtId="4">
      <sharedItems containsSemiMixedTypes="0" containsString="0" containsNumber="1" minValue="0" maxValue="82099793.640000001"/>
    </cacheField>
    <cacheField name="2022_x000a_Q1_x000a_cantitate" numFmtId="4">
      <sharedItems containsNonDate="0" containsString="0" containsBlank="1"/>
    </cacheField>
    <cacheField name="2022_x000a_Q1_x000a_suma" numFmtId="4">
      <sharedItems containsSemiMixedTypes="0" containsString="0" containsNumber="1" containsInteger="1" minValue="0" maxValue="0"/>
    </cacheField>
    <cacheField name="2022_x000a_Q2_x000a_cantitate" numFmtId="4">
      <sharedItems containsNonDate="0" containsString="0" containsBlank="1"/>
    </cacheField>
    <cacheField name="2022_x000a_Q2_x000a_suma" numFmtId="4">
      <sharedItems containsSemiMixedTypes="0" containsString="0" containsNumber="1" containsInteger="1" minValue="0" maxValue="0"/>
    </cacheField>
    <cacheField name="2022_x000a_Q3_x000a_cantitate" numFmtId="4">
      <sharedItems containsNonDate="0" containsString="0" containsBlank="1"/>
    </cacheField>
    <cacheField name="2022_x000a_Q3_x000a_suma" numFmtId="4">
      <sharedItems containsSemiMixedTypes="0" containsString="0" containsNumber="1" containsInteger="1" minValue="0" maxValue="0"/>
    </cacheField>
    <cacheField name="2022_x000a_Q4_x000a_cantitate" numFmtId="4">
      <sharedItems containsString="0" containsBlank="1" containsNumber="1" containsInteger="1" minValue="1" maxValue="1"/>
    </cacheField>
    <cacheField name="2022_x000a_Q4_x000a_suma" numFmtId="4">
      <sharedItems containsSemiMixedTypes="0" containsString="0" containsNumber="1" minValue="0" maxValue="82099793.640000001"/>
    </cacheField>
    <cacheField name="2023_x000a_Total" numFmtId="4">
      <sharedItems containsSemiMixedTypes="0" containsString="0" containsNumber="1" minValue="0" maxValue="82099793.640000001"/>
    </cacheField>
    <cacheField name="2023_x000a_Q1_x000a_cantitate" numFmtId="4">
      <sharedItems containsNonDate="0" containsString="0" containsBlank="1"/>
    </cacheField>
    <cacheField name="2023_x000a_Q1_x000a_suma" numFmtId="4">
      <sharedItems containsSemiMixedTypes="0" containsString="0" containsNumber="1" containsInteger="1" minValue="0" maxValue="0"/>
    </cacheField>
    <cacheField name="2023_x000a_Q2_x000a_cantitate" numFmtId="4">
      <sharedItems containsNonDate="0" containsString="0" containsBlank="1"/>
    </cacheField>
    <cacheField name="2023_x000a_Q2_x000a_suma" numFmtId="4">
      <sharedItems containsSemiMixedTypes="0" containsString="0" containsNumber="1" containsInteger="1" minValue="0" maxValue="0"/>
    </cacheField>
    <cacheField name="2023_x000a_Q3_x000a_cantitate" numFmtId="4">
      <sharedItems containsNonDate="0" containsString="0" containsBlank="1"/>
    </cacheField>
    <cacheField name="2023_x000a_Q3_x000a_suma" numFmtId="4">
      <sharedItems containsSemiMixedTypes="0" containsString="0" containsNumber="1" containsInteger="1" minValue="0" maxValue="0"/>
    </cacheField>
    <cacheField name="2023_x000a_Q4_x000a_cantitate" numFmtId="4">
      <sharedItems containsString="0" containsBlank="1" containsNumber="1" containsInteger="1" minValue="1" maxValue="1"/>
    </cacheField>
    <cacheField name="2023_x000a_Q4_x000a_suma" numFmtId="4">
      <sharedItems containsSemiMixedTypes="0" containsString="0" containsNumber="1" minValue="0" maxValue="82099793.640000001"/>
    </cacheField>
    <cacheField name="2024_x000a_Total" numFmtId="4">
      <sharedItems containsSemiMixedTypes="0" containsString="0" containsNumber="1" minValue="-4.9999999973806553E-3" maxValue="82099793.640000001"/>
    </cacheField>
    <cacheField name="2024_x000a_Q1_x000a_cantitate" numFmtId="4">
      <sharedItems containsNonDate="0" containsString="0" containsBlank="1"/>
    </cacheField>
    <cacheField name="2024_x000a_Q1_x000a_suma" numFmtId="4">
      <sharedItems containsSemiMixedTypes="0" containsString="0" containsNumber="1" containsInteger="1" minValue="0" maxValue="0"/>
    </cacheField>
    <cacheField name="2024_x000a_Q2_x000a_cantitate" numFmtId="4">
      <sharedItems containsNonDate="0" containsString="0" containsBlank="1"/>
    </cacheField>
    <cacheField name="2024_x000a_Q2_x000a_suma" numFmtId="4">
      <sharedItems containsSemiMixedTypes="0" containsString="0" containsNumber="1" containsInteger="1" minValue="0" maxValue="0"/>
    </cacheField>
    <cacheField name="2024_x000a_Q3_x000a_cantitate" numFmtId="4">
      <sharedItems containsNonDate="0" containsString="0" containsBlank="1"/>
    </cacheField>
    <cacheField name="2024_x000a_Q3_x000a_suma" numFmtId="4">
      <sharedItems containsSemiMixedTypes="0" containsString="0" containsNumber="1" containsInteger="1" minValue="0" maxValue="0"/>
    </cacheField>
    <cacheField name="2024_x000a_Q4_x000a_cantitate" numFmtId="4">
      <sharedItems containsString="0" containsBlank="1" containsNumber="1" containsInteger="1" minValue="1" maxValue="1"/>
    </cacheField>
    <cacheField name="2024_x000a_Q4_x000a_suma" numFmtId="4">
      <sharedItems containsSemiMixedTypes="0" containsString="0" containsNumber="1" minValue="-4.9999999973806553E-3" maxValue="82099793.640000001"/>
    </cacheField>
    <cacheField name="2025_x000a_Total" numFmtId="4">
      <sharedItems containsSemiMixedTypes="0" containsString="0" containsNumber="1" minValue="-4.9999999973806553E-3" maxValue="82099793.640000001"/>
    </cacheField>
    <cacheField name="2025_x000a_Q1_x000a_cantitate" numFmtId="4">
      <sharedItems containsNonDate="0" containsString="0" containsBlank="1"/>
    </cacheField>
    <cacheField name="2025_x000a_Q1_x000a_suma" numFmtId="4">
      <sharedItems containsSemiMixedTypes="0" containsString="0" containsNumber="1" containsInteger="1" minValue="0" maxValue="0"/>
    </cacheField>
    <cacheField name="2025_x000a_Q2_x000a_cantitate" numFmtId="4">
      <sharedItems containsNonDate="0" containsString="0" containsBlank="1"/>
    </cacheField>
    <cacheField name="2025_x000a_Q2_x000a_suma" numFmtId="4">
      <sharedItems containsSemiMixedTypes="0" containsString="0" containsNumber="1" containsInteger="1" minValue="0" maxValue="0"/>
    </cacheField>
    <cacheField name="2025_x000a_Q3_x000a_cantitate" numFmtId="4">
      <sharedItems containsNonDate="0" containsString="0" containsBlank="1"/>
    </cacheField>
    <cacheField name="2025_x000a_Q3_x000a_suma" numFmtId="4">
      <sharedItems containsSemiMixedTypes="0" containsString="0" containsNumber="1" containsInteger="1" minValue="0" maxValue="0"/>
    </cacheField>
    <cacheField name="2025_x000a_Q4_x000a_cantitate" numFmtId="4">
      <sharedItems containsString="0" containsBlank="1" containsNumber="1" containsInteger="1" minValue="1" maxValue="1"/>
    </cacheField>
    <cacheField name="Cost sumar activitate 2021-2025" numFmtId="4">
      <sharedItems containsSemiMixedTypes="0" containsString="0" containsNumber="1" minValue="0" maxValue="410498968.19999999" count="279">
        <n v="132025284"/>
        <n v="5758530"/>
        <n v="42172762.800000004"/>
        <n v="4849293.84"/>
        <n v="203994.14"/>
        <n v="40000"/>
        <n v="16339236.000000004"/>
        <n v="20292653.760000002"/>
        <n v="15871986.240000002"/>
        <n v="341042.4"/>
        <n v="94500"/>
        <n v="7426164"/>
        <n v="3240"/>
        <n v="252679.2"/>
        <n v="18468"/>
        <n v="35820"/>
        <n v="1878567"/>
        <n v="84809.5"/>
        <n v="60237636.630000003"/>
        <n v="15896415.977140091"/>
        <n v="1877041.0799999998"/>
        <n v="3339907.482381145"/>
        <n v="2685.5"/>
        <n v="1919585.2599999998"/>
        <n v="543281.98857861047"/>
        <n v="96550"/>
        <n v="17964062.359999999"/>
        <n v="25893064.051424418"/>
        <n v="304385.03999999998"/>
        <n v="534385.40703809937"/>
        <n v="9540"/>
        <n v="2533906.8000000003"/>
        <n v="1800"/>
        <n v="544822.19999999995"/>
        <n v="97500"/>
        <n v="0"/>
        <n v="5239601.25"/>
        <n v="1216674"/>
        <n v="1104036"/>
        <n v="10623439.68"/>
        <n v="1412079.96"/>
        <n v="1764342.9000000001"/>
        <n v="674017.19999999984"/>
        <n v="1065844.7999999998"/>
        <n v="247734.72"/>
        <n v="1869493.68"/>
        <n v="625558.32000000007"/>
        <n v="79152.570000000007"/>
        <n v="376212"/>
        <n v="455891.17"/>
        <n v="168617.29"/>
        <n v="140160"/>
        <n v="51840"/>
        <n v="414993.91999999975"/>
        <n v="622490.87999999966"/>
        <n v="76555.429999999993"/>
        <n v="28315.03"/>
        <n v="113180.16"/>
        <n v="45795.6"/>
        <n v="16938.099999999999"/>
        <n v="28295.040000000001"/>
        <n v="349423.04"/>
        <n v="129238.66"/>
        <n v="194528.40000000002"/>
        <n v="25942.010000000002"/>
        <n v="9594.99"/>
        <n v="24758.160000000003"/>
        <n v="1128875.18"/>
        <n v="531235.38"/>
        <n v="360657.29700000002"/>
        <n v="609494.77"/>
        <n v="286821.06"/>
        <n v="194723.685"/>
        <n v="83211.570000000007"/>
        <n v="49289.070000000007"/>
        <n v="25200"/>
        <n v="57070.200000000004"/>
        <n v="33804.639999999999"/>
        <n v="413833.19999999995"/>
        <n v="72297.405851999996"/>
        <n v="48198.270568"/>
        <n v="14185.716563549999"/>
        <n v="9457.1443756999997"/>
        <n v="480000"/>
        <n v="47500"/>
        <n v="362585.62013394001"/>
        <n v="1123200"/>
        <n v="4219311.1449999996"/>
        <n v="60430.936688989997"/>
        <n v="55849397.492379993"/>
        <n v="12968365.798520003"/>
        <n v="20624346.559999999"/>
        <n v="3155213.6"/>
        <n v="9808911.0232649092"/>
        <n v="4431282.8374429103"/>
        <n v="6465222.5452584"/>
        <n v="3181953.6046024999"/>
        <n v="41211.879999999997"/>
        <n v="61817.819999999992"/>
        <n v="11774.82"/>
        <n v="17662.2336"/>
        <n v="295645.24"/>
        <n v="443467.86"/>
        <n v="98548.42"/>
        <n v="147822.62221400006"/>
        <n v="316073.3"/>
        <n v="474109.94999999995"/>
        <n v="105357.78"/>
        <n v="158036.66413511999"/>
        <n v="368947.12"/>
        <n v="632480.77999999991"/>
        <n v="87844.56"/>
        <n v="147578.83999999997"/>
        <n v="818203"/>
        <n v="1243854.6851999997"/>
        <n v="3054727.46"/>
        <n v="346752"/>
        <n v="1519838.0750000002"/>
        <n v="510176"/>
        <n v="71946431.849999994"/>
        <n v="2514000"/>
        <n v="94000"/>
        <n v="120000"/>
        <n v="81790.8"/>
        <n v="90000"/>
        <n v="97100"/>
        <n v="2590461"/>
        <n v="675000"/>
        <n v="70192"/>
        <n v="20000"/>
        <n v="17548"/>
        <n v="80000"/>
        <n v="8560"/>
        <n v="319972.8"/>
        <n v="895680"/>
        <n v="496201.80000000005"/>
        <n v="806856.28399999999"/>
        <n v="216339.66999999998"/>
        <n v="1507412.48"/>
        <n v="1067543.720163"/>
        <n v="102000"/>
        <n v="900000"/>
        <n v="100000"/>
        <n v="41088"/>
        <n v="105000"/>
        <n v="161394.41999999998"/>
        <n v="410498968.19999999"/>
        <n v="212524415"/>
        <n v="143029.75"/>
        <n v="450000"/>
        <n v="264453.15000000002"/>
        <n v="2941855"/>
        <n v="1258320"/>
        <n v="210576"/>
        <n v="242963.43924446998"/>
        <n v="5042530.8800000008"/>
        <n v="3747200.9950000001"/>
        <n v="256000"/>
        <n v="60000"/>
        <n v="981236"/>
        <n v="1176719.92"/>
        <n v="1238176.7150000001"/>
        <n v="116508"/>
        <n v="251535.59999999998"/>
        <n v="52644"/>
        <n v="302750"/>
        <n v="231168"/>
        <n v="2951760"/>
        <n v="2424646.92"/>
        <n v="1475880"/>
        <n v="784988.12"/>
        <n v="5884416"/>
        <n v="26300"/>
        <n v="204477"/>
        <n v="10525871.780000001"/>
        <n v="7105703.8799999999"/>
        <n v="3873164.9074198408"/>
        <n v="527664.7328928191"/>
        <n v="445106.94339232799"/>
        <n v="101360.987109144"/>
        <n v="803836.69776990719"/>
        <n v="267945.56592330238"/>
        <n v="13168560"/>
        <n v="4168128.0000000005"/>
        <n v="1180000"/>
        <n v="1422000"/>
        <n v="2635336.5"/>
        <n v="720000"/>
        <n v="748800"/>
        <n v="150528.75"/>
        <n v="230536.69939999998"/>
        <n v="76473744.052379996" u="1"/>
        <n v="7153411.6279914416" u="1"/>
        <n v="50560.46" u="1"/>
        <n v="149328" u="1"/>
        <n v="1200000" u="1"/>
        <n v="1766223" u="1"/>
        <n v="7668877.8600000003" u="1"/>
        <n v="360000" u="1"/>
        <n v="62060" u="1"/>
        <n v="56590.080000000002" u="1"/>
        <n v="16123579.398520002" u="1"/>
        <n v="14980" u="1"/>
        <n v="30600" u="1"/>
        <n v="20303687.040000003" u="1"/>
        <n v="632480.7699999999" u="1"/>
        <n v="1368311.98" u="1"/>
        <n v="960000" u="1"/>
        <n v="507757.80000000005" u="1"/>
        <n v="18925752.960000001" u="1"/>
        <n v="179640" u="1"/>
        <n v="976018.22016300005" u="1"/>
        <n v="6031422.9346117489" u="1"/>
        <n v="1664064" u="1"/>
        <n v="11368638.66" u="1"/>
        <n v="16274133.56852331" u="1"/>
        <n v="303408" u="1"/>
        <n v="101120.92" u="1"/>
        <n v="14273363.248520002" u="1"/>
        <n v="213708.24" u="1"/>
        <n v="263538.56648377434" u="1"/>
        <n v="4151099.395" u="1"/>
        <n v="6727165.4000000004" u="1"/>
        <n v="2375733.8466666667" u="1"/>
        <n v="187200" u="1"/>
        <n v="102720" u="1"/>
        <n v="3636970.38" u="1"/>
        <n v="59935.192377580795" u="1"/>
        <n v="3506541" u="1"/>
        <n v="3676500" u="1"/>
        <n v="3450278.4318550024" u="1"/>
        <n v="7613236.4420454092" u="1"/>
        <n v="392494.06" u="1"/>
        <n v="1008917.5950000001" u="1"/>
        <n v="1249281.1600000001" u="1"/>
        <n v="601183.51005080761" u="1"/>
        <n v="223992" u="1"/>
        <n v="327163.2" u="1"/>
        <n v="188000" u="1"/>
        <n v="17662.234499999999" u="1"/>
        <n v="45000" u="1"/>
        <n v="7524062.8579734098" u="1"/>
        <n v="202272" u="1"/>
        <n v="18700.439999999999" u="1"/>
        <n v="4266770.8500000006" u="1"/>
        <n v="9740694.6779999994" u="1"/>
        <n v="327205.03999999998" u="1"/>
        <n v="3198600.62" u="1"/>
        <n v="3611103.7490124097" u="1"/>
        <n v="869080" u="1"/>
        <n v="20831640.099999998" u="1"/>
        <n v="1220000" u="1"/>
        <n v="2213820" u="1"/>
        <n v="4723647.5219999999" u="1"/>
        <n v="490807.55999999994" u="1"/>
        <n v="305991.21000000002" u="1"/>
        <n v="4007889.0954446606" u="1"/>
        <n v="1467572.04" u="1"/>
        <n v="16878560.968694881" u="1"/>
        <n v="158036.66266889998" u="1"/>
        <n v="30" u="1"/>
        <n v="1020352" u="1"/>
        <n v="6574275.5050000008" u="1"/>
        <n v="2052467.97" u="1"/>
        <n v="280800" u="1"/>
        <n v="318753" u="1"/>
        <n v="1320000" u="1"/>
        <n v="90444.75" u="1"/>
        <n v="59477277.082379997" u="1"/>
        <n v="37400.879999999997" u="1"/>
        <n v="147822.62026750008" u="1"/>
        <n v="423296.13000000006" u="1"/>
        <n v="1303620" u="1"/>
        <n v="204477.00000000003" u="1"/>
        <n v="421152" u="1"/>
        <n v="212801.59999999998" u="1"/>
        <n v="1907523" u="1"/>
        <n v="880988.16000000003" u="1"/>
        <n v="110000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8">
  <r>
    <s v=""/>
    <n v="1"/>
    <x v="0"/>
    <x v="0"/>
    <x v="0"/>
    <x v="0"/>
    <x v="0"/>
    <x v="0"/>
    <s v="Exam_grup_risc"/>
    <s v="Exam_grup_risc!$A:$j"/>
    <n v="27404304"/>
    <m/>
    <n v="0"/>
    <m/>
    <n v="0"/>
    <m/>
    <n v="0"/>
    <n v="1"/>
    <n v="27404304"/>
    <n v="26899182"/>
    <m/>
    <n v="0"/>
    <m/>
    <n v="0"/>
    <m/>
    <n v="0"/>
    <n v="1"/>
    <n v="26899182"/>
    <n v="26399280"/>
    <m/>
    <n v="0"/>
    <m/>
    <n v="0"/>
    <m/>
    <n v="0"/>
    <n v="1"/>
    <n v="26399280"/>
    <n v="25905468"/>
    <m/>
    <n v="0"/>
    <m/>
    <n v="0"/>
    <m/>
    <n v="0"/>
    <n v="1"/>
    <n v="25905468"/>
    <n v="25417050"/>
    <m/>
    <n v="0"/>
    <m/>
    <n v="0"/>
    <m/>
    <n v="0"/>
    <n v="1"/>
    <x v="0"/>
  </r>
  <r>
    <s v=""/>
    <n v="2"/>
    <x v="0"/>
    <x v="0"/>
    <x v="1"/>
    <x v="1"/>
    <x v="0"/>
    <x v="0"/>
    <s v="Exam_grup_risc"/>
    <s v="Exam_grup_risc!$A:$j"/>
    <n v="1213998"/>
    <m/>
    <n v="0"/>
    <m/>
    <n v="0"/>
    <m/>
    <n v="0"/>
    <n v="1"/>
    <n v="1213998"/>
    <n v="1181460"/>
    <m/>
    <n v="0"/>
    <m/>
    <n v="0"/>
    <m/>
    <n v="0"/>
    <n v="1"/>
    <n v="1181460"/>
    <n v="1150662"/>
    <m/>
    <n v="0"/>
    <m/>
    <n v="0"/>
    <m/>
    <n v="0"/>
    <n v="1"/>
    <n v="1150662"/>
    <n v="1120560"/>
    <m/>
    <n v="0"/>
    <m/>
    <n v="0"/>
    <m/>
    <n v="0"/>
    <n v="1"/>
    <n v="1120560"/>
    <n v="1091850"/>
    <m/>
    <n v="0"/>
    <m/>
    <n v="0"/>
    <m/>
    <n v="0"/>
    <n v="1"/>
    <x v="1"/>
  </r>
  <r>
    <s v=""/>
    <n v="3"/>
    <x v="0"/>
    <x v="0"/>
    <x v="2"/>
    <x v="2"/>
    <x v="0"/>
    <x v="0"/>
    <s v="Exam_grup_risc"/>
    <s v="Exam_grup_risc!$A:$j"/>
    <n v="8646860.4000000004"/>
    <m/>
    <n v="0"/>
    <m/>
    <n v="0"/>
    <m/>
    <n v="0"/>
    <n v="1"/>
    <n v="8646860.4000000004"/>
    <n v="8539328.4000000004"/>
    <m/>
    <n v="0"/>
    <m/>
    <n v="0"/>
    <m/>
    <n v="0"/>
    <n v="1"/>
    <n v="8539328.4000000004"/>
    <n v="8433188.4000000004"/>
    <m/>
    <n v="0"/>
    <m/>
    <n v="0"/>
    <m/>
    <n v="0"/>
    <n v="1"/>
    <n v="8433188.4000000004"/>
    <n v="8328405.6000000006"/>
    <m/>
    <n v="0"/>
    <m/>
    <n v="0"/>
    <m/>
    <n v="0"/>
    <n v="1"/>
    <n v="8328405.6000000006"/>
    <n v="8224980"/>
    <m/>
    <n v="0"/>
    <m/>
    <n v="0"/>
    <m/>
    <n v="0"/>
    <n v="1"/>
    <x v="2"/>
  </r>
  <r>
    <s v=""/>
    <n v="4"/>
    <x v="0"/>
    <x v="0"/>
    <x v="3"/>
    <x v="3"/>
    <x v="1"/>
    <x v="1"/>
    <s v="Exam_grup_risc"/>
    <s v="Exam_grup_risc!$A:$j"/>
    <n v="1897533.84"/>
    <m/>
    <n v="0"/>
    <m/>
    <n v="0"/>
    <m/>
    <n v="0"/>
    <n v="1"/>
    <n v="1897533.84"/>
    <n v="1475880"/>
    <m/>
    <n v="0"/>
    <m/>
    <n v="0"/>
    <m/>
    <n v="0"/>
    <m/>
    <n v="1475880"/>
    <n v="1475880"/>
    <m/>
    <n v="0"/>
    <m/>
    <n v="0"/>
    <m/>
    <n v="0"/>
    <m/>
    <n v="1475880"/>
    <n v="0"/>
    <m/>
    <n v="0"/>
    <m/>
    <n v="0"/>
    <m/>
    <n v="0"/>
    <m/>
    <n v="0"/>
    <n v="0"/>
    <m/>
    <n v="0"/>
    <m/>
    <n v="0"/>
    <m/>
    <n v="0"/>
    <m/>
    <x v="3"/>
  </r>
  <r>
    <s v=""/>
    <n v="5"/>
    <x v="0"/>
    <x v="0"/>
    <x v="3"/>
    <x v="4"/>
    <x v="1"/>
    <x v="1"/>
    <s v="Exam_grup_risc"/>
    <s v="Exam_grup_risc!$A:$j"/>
    <n v="101997.07"/>
    <m/>
    <n v="0"/>
    <m/>
    <n v="0"/>
    <m/>
    <n v="0"/>
    <n v="1"/>
    <n v="101997.07"/>
    <n v="101997.07"/>
    <m/>
    <n v="0"/>
    <m/>
    <n v="0"/>
    <m/>
    <n v="0"/>
    <m/>
    <n v="101997.07"/>
    <n v="0"/>
    <m/>
    <n v="0"/>
    <m/>
    <n v="0"/>
    <m/>
    <n v="0"/>
    <m/>
    <n v="0"/>
    <n v="0"/>
    <m/>
    <n v="0"/>
    <m/>
    <n v="0"/>
    <m/>
    <n v="0"/>
    <m/>
    <n v="0"/>
    <n v="0"/>
    <m/>
    <n v="0"/>
    <m/>
    <n v="0"/>
    <m/>
    <n v="0"/>
    <m/>
    <x v="4"/>
  </r>
  <r>
    <s v=""/>
    <n v="6"/>
    <x v="0"/>
    <x v="0"/>
    <x v="3"/>
    <x v="5"/>
    <x v="1"/>
    <x v="1"/>
    <s v="Exam_grup_risc"/>
    <s v="Exam_grup_risc!$A:$j"/>
    <n v="40000"/>
    <m/>
    <n v="0"/>
    <m/>
    <n v="0"/>
    <m/>
    <n v="0"/>
    <n v="1"/>
    <n v="40000"/>
    <n v="0"/>
    <m/>
    <n v="0"/>
    <m/>
    <n v="0"/>
    <m/>
    <n v="0"/>
    <m/>
    <n v="0"/>
    <n v="0"/>
    <m/>
    <n v="0"/>
    <m/>
    <n v="0"/>
    <m/>
    <n v="0"/>
    <m/>
    <n v="0"/>
    <n v="0"/>
    <m/>
    <n v="0"/>
    <m/>
    <n v="0"/>
    <m/>
    <n v="0"/>
    <m/>
    <n v="0"/>
    <n v="0"/>
    <m/>
    <n v="0"/>
    <m/>
    <n v="0"/>
    <m/>
    <n v="0"/>
    <m/>
    <x v="5"/>
  </r>
  <r>
    <s v=""/>
    <n v="7"/>
    <x v="0"/>
    <x v="0"/>
    <x v="3"/>
    <x v="6"/>
    <x v="0"/>
    <x v="0"/>
    <s v="Exam_grup_risc"/>
    <s v="Exam_grup_risc!$A:$j"/>
    <n v="3267847.2000000007"/>
    <m/>
    <n v="0"/>
    <m/>
    <n v="0"/>
    <m/>
    <n v="0"/>
    <n v="1"/>
    <n v="3267847.2000000007"/>
    <n v="3267847.2000000007"/>
    <m/>
    <n v="0"/>
    <m/>
    <n v="0"/>
    <m/>
    <n v="0"/>
    <m/>
    <n v="3267847.2000000007"/>
    <n v="3267847.2000000007"/>
    <m/>
    <n v="0"/>
    <m/>
    <n v="0"/>
    <m/>
    <n v="0"/>
    <m/>
    <n v="3267847.2000000007"/>
    <n v="3267847.2000000007"/>
    <m/>
    <n v="0"/>
    <m/>
    <n v="0"/>
    <m/>
    <n v="0"/>
    <m/>
    <n v="3267847.2000000007"/>
    <n v="3267847.2000000007"/>
    <m/>
    <n v="0"/>
    <m/>
    <n v="0"/>
    <m/>
    <n v="0"/>
    <m/>
    <x v="6"/>
  </r>
  <r>
    <s v=""/>
    <n v="8"/>
    <x v="0"/>
    <x v="0"/>
    <x v="3"/>
    <x v="7"/>
    <x v="0"/>
    <x v="0"/>
    <s v="ONG_TB"/>
    <s v="ONG_TB!$A:$j"/>
    <n v="1176883.2000000002"/>
    <m/>
    <n v="0"/>
    <m/>
    <n v="0"/>
    <m/>
    <n v="0"/>
    <n v="1"/>
    <n v="1176883.2000000002"/>
    <n v="1292119.6800000002"/>
    <m/>
    <n v="0"/>
    <m/>
    <n v="0"/>
    <m/>
    <n v="0"/>
    <m/>
    <n v="1292119.6800000002"/>
    <n v="1396322.8800000001"/>
    <m/>
    <n v="0"/>
    <m/>
    <n v="0"/>
    <m/>
    <n v="0"/>
    <m/>
    <n v="1396322.8800000001"/>
    <n v="8213664.0000000009"/>
    <m/>
    <n v="0"/>
    <m/>
    <n v="0"/>
    <m/>
    <n v="0"/>
    <m/>
    <n v="8213664.0000000009"/>
    <n v="8213664.0000000009"/>
    <m/>
    <n v="0"/>
    <m/>
    <n v="0"/>
    <m/>
    <n v="0"/>
    <m/>
    <x v="7"/>
  </r>
  <r>
    <s v=""/>
    <n v="9"/>
    <x v="0"/>
    <x v="0"/>
    <x v="3"/>
    <x v="8"/>
    <x v="2"/>
    <x v="1"/>
    <s v="ONG_TB"/>
    <s v="ONG_TB!$A:$j"/>
    <n v="2746060.8000000003"/>
    <n v="0.5"/>
    <n v="1373030.4000000001"/>
    <m/>
    <n v="0"/>
    <n v="0.5"/>
    <n v="0"/>
    <n v="0"/>
    <n v="1373030.4000000001"/>
    <n v="6308584.3200000003"/>
    <m/>
    <n v="0"/>
    <m/>
    <n v="0"/>
    <m/>
    <n v="0"/>
    <m/>
    <n v="6308584.3200000003"/>
    <n v="6817341.1200000001"/>
    <m/>
    <n v="0"/>
    <m/>
    <n v="0"/>
    <m/>
    <n v="0"/>
    <m/>
    <n v="6817341.1200000001"/>
    <n v="0"/>
    <m/>
    <n v="0"/>
    <m/>
    <n v="0"/>
    <m/>
    <n v="0"/>
    <m/>
    <n v="0"/>
    <n v="0"/>
    <m/>
    <n v="0"/>
    <m/>
    <n v="0"/>
    <m/>
    <n v="0"/>
    <m/>
    <x v="8"/>
  </r>
  <r>
    <s v=""/>
    <n v="10"/>
    <x v="1"/>
    <x v="1"/>
    <x v="4"/>
    <x v="9"/>
    <x v="0"/>
    <x v="2"/>
    <s v="Tratament_FLD_SLD"/>
    <s v="Tratament_FLD_SLD!$A:$j"/>
    <n v="72640.800000000003"/>
    <m/>
    <n v="0"/>
    <m/>
    <n v="0"/>
    <m/>
    <n v="0"/>
    <n v="1"/>
    <n v="72640.800000000003"/>
    <n v="70178.399999999994"/>
    <m/>
    <n v="0"/>
    <m/>
    <n v="0"/>
    <m/>
    <n v="0"/>
    <m/>
    <n v="70178.399999999994"/>
    <n v="67716"/>
    <m/>
    <n v="0"/>
    <m/>
    <n v="0"/>
    <m/>
    <n v="0"/>
    <m/>
    <n v="67716"/>
    <n v="66484.800000000003"/>
    <m/>
    <n v="0"/>
    <m/>
    <n v="0"/>
    <m/>
    <n v="0"/>
    <m/>
    <n v="66484.800000000003"/>
    <n v="64022.400000000001"/>
    <m/>
    <n v="0"/>
    <m/>
    <n v="0"/>
    <m/>
    <n v="0"/>
    <m/>
    <x v="9"/>
  </r>
  <r>
    <s v=""/>
    <n v="11"/>
    <x v="2"/>
    <x v="2"/>
    <x v="5"/>
    <x v="10"/>
    <x v="0"/>
    <x v="2"/>
    <s v="Tratament_FLD_SLD"/>
    <s v="Tratament_FLD_SLD!$A:$j"/>
    <n v="19980"/>
    <n v="0.5"/>
    <n v="9990"/>
    <m/>
    <n v="0"/>
    <n v="0.5"/>
    <n v="0"/>
    <m/>
    <n v="9990"/>
    <n v="19440"/>
    <m/>
    <n v="0"/>
    <m/>
    <n v="0"/>
    <m/>
    <n v="0"/>
    <m/>
    <n v="19440"/>
    <n v="18900"/>
    <m/>
    <n v="0"/>
    <m/>
    <n v="0"/>
    <m/>
    <n v="0"/>
    <m/>
    <n v="18900"/>
    <n v="18360"/>
    <m/>
    <n v="0"/>
    <m/>
    <n v="0"/>
    <m/>
    <n v="0"/>
    <m/>
    <n v="18360"/>
    <n v="17820"/>
    <m/>
    <n v="0"/>
    <m/>
    <n v="0"/>
    <m/>
    <n v="0"/>
    <m/>
    <x v="10"/>
  </r>
  <r>
    <s v=""/>
    <n v="12"/>
    <x v="1"/>
    <x v="1"/>
    <x v="6"/>
    <x v="11"/>
    <x v="0"/>
    <x v="2"/>
    <s v="Tratament_FLD_SLD"/>
    <s v="Tratament_FLD_SLD!$A:$j"/>
    <n v="1576980"/>
    <m/>
    <n v="0"/>
    <m/>
    <n v="0"/>
    <m/>
    <n v="0"/>
    <n v="1"/>
    <n v="1576980"/>
    <n v="1528653.6"/>
    <m/>
    <n v="0"/>
    <m/>
    <n v="0"/>
    <m/>
    <n v="0"/>
    <m/>
    <n v="1528653.6"/>
    <n v="1482609.6"/>
    <m/>
    <n v="0"/>
    <m/>
    <n v="0"/>
    <m/>
    <n v="0"/>
    <m/>
    <n v="1482609.6"/>
    <n v="1439080.8"/>
    <m/>
    <n v="0"/>
    <m/>
    <n v="0"/>
    <m/>
    <n v="0"/>
    <m/>
    <n v="1439080.8"/>
    <n v="1398840"/>
    <m/>
    <n v="0"/>
    <m/>
    <n v="0"/>
    <m/>
    <n v="0"/>
    <m/>
    <x v="11"/>
  </r>
  <r>
    <s v=""/>
    <n v="13"/>
    <x v="2"/>
    <x v="2"/>
    <x v="5"/>
    <x v="12"/>
    <x v="0"/>
    <x v="3"/>
    <s v="Tratament_FLD_SLD"/>
    <s v="Tratament_FLD_SLD!$A:$j"/>
    <n v="720"/>
    <m/>
    <n v="0"/>
    <m/>
    <n v="0"/>
    <m/>
    <n v="0"/>
    <n v="1"/>
    <n v="720"/>
    <n v="720"/>
    <m/>
    <n v="0"/>
    <m/>
    <n v="0"/>
    <m/>
    <n v="0"/>
    <m/>
    <n v="720"/>
    <n v="720"/>
    <m/>
    <n v="0"/>
    <m/>
    <n v="0"/>
    <m/>
    <n v="0"/>
    <m/>
    <n v="720"/>
    <n v="540"/>
    <m/>
    <n v="0"/>
    <m/>
    <n v="0"/>
    <m/>
    <n v="0"/>
    <m/>
    <n v="540"/>
    <n v="540"/>
    <m/>
    <n v="0"/>
    <m/>
    <n v="0"/>
    <m/>
    <n v="0"/>
    <m/>
    <x v="12"/>
  </r>
  <r>
    <s v=""/>
    <n v="14"/>
    <x v="1"/>
    <x v="1"/>
    <x v="6"/>
    <x v="13"/>
    <x v="0"/>
    <x v="3"/>
    <s v="Tratament_FLD_SLD"/>
    <s v="Tratament_FLD_SLD!$A:$j"/>
    <n v="53268"/>
    <m/>
    <n v="0"/>
    <m/>
    <n v="0"/>
    <m/>
    <n v="0"/>
    <m/>
    <n v="53268"/>
    <n v="52557.599999999999"/>
    <m/>
    <n v="0"/>
    <m/>
    <n v="0"/>
    <m/>
    <n v="0"/>
    <m/>
    <n v="52557.599999999999"/>
    <n v="50049.599999999999"/>
    <m/>
    <n v="0"/>
    <m/>
    <n v="0"/>
    <m/>
    <n v="0"/>
    <m/>
    <n v="50049.599999999999"/>
    <n v="49188"/>
    <m/>
    <n v="0"/>
    <m/>
    <n v="0"/>
    <m/>
    <n v="0"/>
    <m/>
    <n v="49188"/>
    <n v="47616"/>
    <m/>
    <n v="0"/>
    <m/>
    <n v="0"/>
    <m/>
    <n v="0"/>
    <m/>
    <x v="13"/>
  </r>
  <r>
    <s v=""/>
    <n v="15"/>
    <x v="1"/>
    <x v="1"/>
    <x v="4"/>
    <x v="14"/>
    <x v="0"/>
    <x v="4"/>
    <s v="Tratament_FLD_SLD"/>
    <s v="Tratament_FLD_SLD!$A:$j"/>
    <n v="3693.6"/>
    <m/>
    <n v="0"/>
    <m/>
    <n v="0"/>
    <m/>
    <n v="0"/>
    <m/>
    <n v="3693.6"/>
    <n v="3693.6"/>
    <m/>
    <n v="0"/>
    <m/>
    <n v="0"/>
    <m/>
    <n v="0"/>
    <m/>
    <n v="3693.6"/>
    <n v="3693.6"/>
    <m/>
    <n v="0"/>
    <m/>
    <n v="0"/>
    <m/>
    <n v="0"/>
    <m/>
    <n v="3693.6"/>
    <n v="3693.6"/>
    <m/>
    <n v="0"/>
    <m/>
    <n v="0"/>
    <m/>
    <n v="0"/>
    <m/>
    <n v="3693.6"/>
    <n v="3693.6"/>
    <m/>
    <n v="0"/>
    <m/>
    <n v="0"/>
    <m/>
    <n v="0"/>
    <m/>
    <x v="14"/>
  </r>
  <r>
    <s v=""/>
    <n v="16"/>
    <x v="2"/>
    <x v="2"/>
    <x v="5"/>
    <x v="15"/>
    <x v="0"/>
    <x v="4"/>
    <s v="Tratament_FLD_SLD"/>
    <s v="Tratament_FLD_SLD!$A:$j"/>
    <n v="7560"/>
    <m/>
    <n v="0"/>
    <m/>
    <n v="0"/>
    <m/>
    <n v="0"/>
    <m/>
    <n v="7560"/>
    <n v="7200"/>
    <m/>
    <n v="0"/>
    <m/>
    <n v="0"/>
    <m/>
    <n v="0"/>
    <m/>
    <n v="7200"/>
    <n v="7200"/>
    <m/>
    <n v="0"/>
    <m/>
    <n v="0"/>
    <m/>
    <n v="0"/>
    <m/>
    <n v="7200"/>
    <n v="7020"/>
    <m/>
    <n v="0"/>
    <m/>
    <n v="0"/>
    <m/>
    <n v="0"/>
    <m/>
    <n v="7020"/>
    <n v="6840"/>
    <m/>
    <n v="0"/>
    <m/>
    <n v="0"/>
    <m/>
    <n v="0"/>
    <m/>
    <x v="15"/>
  </r>
  <r>
    <s v=""/>
    <n v="17"/>
    <x v="1"/>
    <x v="1"/>
    <x v="6"/>
    <x v="16"/>
    <x v="0"/>
    <x v="4"/>
    <s v="Tratament_FLD_SLD"/>
    <s v="Tratament_FLD_SLD!$A:$j"/>
    <n v="392825.4"/>
    <m/>
    <n v="0"/>
    <m/>
    <n v="0"/>
    <m/>
    <n v="0"/>
    <m/>
    <n v="392825.4"/>
    <n v="380866.8"/>
    <m/>
    <n v="0"/>
    <m/>
    <n v="0"/>
    <m/>
    <n v="0"/>
    <m/>
    <n v="380866.8"/>
    <n v="373439.4"/>
    <m/>
    <n v="0"/>
    <m/>
    <n v="0"/>
    <m/>
    <n v="0"/>
    <m/>
    <n v="373439.4"/>
    <n v="370069.8"/>
    <m/>
    <n v="0"/>
    <m/>
    <n v="0"/>
    <m/>
    <n v="0"/>
    <m/>
    <n v="370069.8"/>
    <n v="361365.6"/>
    <m/>
    <n v="0"/>
    <m/>
    <n v="0"/>
    <m/>
    <n v="0"/>
    <m/>
    <x v="16"/>
  </r>
  <r>
    <s v=""/>
    <n v="18"/>
    <x v="2"/>
    <x v="2"/>
    <x v="5"/>
    <x v="17"/>
    <x v="0"/>
    <x v="2"/>
    <s v="Tratament_FLD_SLD"/>
    <s v="Tratament_FLD_SLD!$A:$j"/>
    <n v="18134.5"/>
    <m/>
    <n v="0"/>
    <m/>
    <n v="0"/>
    <m/>
    <n v="0"/>
    <m/>
    <n v="18134.5"/>
    <n v="17469"/>
    <m/>
    <n v="0"/>
    <m/>
    <n v="0"/>
    <m/>
    <n v="0"/>
    <m/>
    <n v="17469"/>
    <n v="16920.5"/>
    <m/>
    <n v="0"/>
    <m/>
    <n v="0"/>
    <m/>
    <n v="0"/>
    <m/>
    <n v="16920.5"/>
    <n v="16372.5"/>
    <m/>
    <n v="0"/>
    <m/>
    <n v="0"/>
    <m/>
    <n v="0"/>
    <m/>
    <n v="16372.5"/>
    <n v="15913"/>
    <m/>
    <n v="0"/>
    <m/>
    <n v="0"/>
    <m/>
    <n v="0"/>
    <m/>
    <x v="17"/>
  </r>
  <r>
    <s v=""/>
    <n v="19"/>
    <x v="1"/>
    <x v="1"/>
    <x v="7"/>
    <x v="18"/>
    <x v="0"/>
    <x v="2"/>
    <s v="Tratament_FLD_SLD"/>
    <s v="Tratament_FLD_SLD!$A:$j"/>
    <n v="9081009.6699999999"/>
    <m/>
    <n v="0"/>
    <m/>
    <n v="0"/>
    <m/>
    <n v="0"/>
    <m/>
    <n v="9081009.6699999999"/>
    <n v="10306027.02"/>
    <m/>
    <n v="0"/>
    <m/>
    <n v="0"/>
    <m/>
    <n v="0"/>
    <m/>
    <n v="10306027.02"/>
    <n v="11531066.359999999"/>
    <m/>
    <n v="0"/>
    <m/>
    <n v="0"/>
    <m/>
    <n v="0"/>
    <m/>
    <n v="11531066.359999999"/>
    <n v="14867728.199999999"/>
    <m/>
    <n v="0"/>
    <m/>
    <n v="0"/>
    <m/>
    <n v="0"/>
    <m/>
    <n v="14867728.199999999"/>
    <n v="14451805.380000001"/>
    <m/>
    <n v="0"/>
    <m/>
    <n v="0"/>
    <m/>
    <n v="0"/>
    <m/>
    <x v="18"/>
  </r>
  <r>
    <s v=""/>
    <n v="20"/>
    <x v="1"/>
    <x v="1"/>
    <x v="7"/>
    <x v="18"/>
    <x v="0"/>
    <x v="1"/>
    <s v="Tratament_FLD_SLD"/>
    <s v="Tratament_FLD_SLD!$A:$j"/>
    <n v="4477089.1902702311"/>
    <m/>
    <n v="0"/>
    <m/>
    <n v="0"/>
    <m/>
    <n v="0"/>
    <m/>
    <n v="4477089.1902702311"/>
    <n v="6763836.1190237645"/>
    <m/>
    <n v="0"/>
    <m/>
    <n v="0"/>
    <m/>
    <n v="0"/>
    <m/>
    <n v="6763836.1190237645"/>
    <n v="4655490.6678460948"/>
    <m/>
    <n v="0"/>
    <m/>
    <n v="0"/>
    <m/>
    <n v="0"/>
    <m/>
    <n v="4655490.6678460948"/>
    <n v="0"/>
    <m/>
    <n v="0"/>
    <m/>
    <n v="0"/>
    <m/>
    <n v="0"/>
    <m/>
    <n v="0"/>
    <n v="0"/>
    <m/>
    <n v="0"/>
    <m/>
    <n v="0"/>
    <m/>
    <n v="0"/>
    <m/>
    <x v="19"/>
  </r>
  <r>
    <s v=""/>
    <n v="21"/>
    <x v="1"/>
    <x v="1"/>
    <x v="4"/>
    <x v="19"/>
    <x v="0"/>
    <x v="2"/>
    <s v="Tratament_FLD_SLD"/>
    <s v="Tratament_FLD_SLD!$A:$j"/>
    <n v="0"/>
    <m/>
    <n v="0"/>
    <m/>
    <n v="0"/>
    <m/>
    <n v="0"/>
    <m/>
    <n v="0"/>
    <n v="0"/>
    <m/>
    <n v="0"/>
    <m/>
    <n v="0"/>
    <m/>
    <n v="0"/>
    <m/>
    <n v="0"/>
    <n v="0"/>
    <m/>
    <n v="0"/>
    <m/>
    <n v="0"/>
    <m/>
    <n v="0"/>
    <m/>
    <n v="0"/>
    <n v="963885.95999999985"/>
    <m/>
    <n v="0"/>
    <m/>
    <n v="0"/>
    <m/>
    <n v="0"/>
    <m/>
    <n v="963885.95999999985"/>
    <n v="913155.12"/>
    <m/>
    <n v="0"/>
    <m/>
    <n v="0"/>
    <m/>
    <n v="0"/>
    <m/>
    <x v="20"/>
  </r>
  <r>
    <s v=""/>
    <n v="22"/>
    <x v="1"/>
    <x v="1"/>
    <x v="4"/>
    <x v="19"/>
    <x v="0"/>
    <x v="1"/>
    <s v="Tratament_FLD_SLD"/>
    <s v="Tratament_FLD_SLD!$A:$j"/>
    <n v="734779.71607622399"/>
    <m/>
    <n v="0"/>
    <m/>
    <n v="0"/>
    <m/>
    <n v="0"/>
    <m/>
    <n v="734779.71607622399"/>
    <n v="1335963.031814887"/>
    <m/>
    <n v="0"/>
    <m/>
    <n v="0"/>
    <m/>
    <n v="0"/>
    <m/>
    <n v="1335963.031814887"/>
    <n v="1269164.7344900342"/>
    <m/>
    <n v="0"/>
    <m/>
    <n v="0"/>
    <m/>
    <n v="0"/>
    <m/>
    <n v="1269164.7344900342"/>
    <n v="0"/>
    <m/>
    <n v="0"/>
    <m/>
    <n v="0"/>
    <m/>
    <n v="0"/>
    <m/>
    <n v="0"/>
    <n v="0"/>
    <m/>
    <n v="0"/>
    <m/>
    <n v="0"/>
    <m/>
    <n v="0"/>
    <m/>
    <x v="21"/>
  </r>
  <r>
    <s v=""/>
    <n v="23"/>
    <x v="2"/>
    <x v="2"/>
    <x v="5"/>
    <x v="20"/>
    <x v="0"/>
    <x v="3"/>
    <s v="Tratament_FLD_SLD"/>
    <s v="Tratament_FLD_SLD!$A:$j"/>
    <n v="580.5"/>
    <m/>
    <n v="0"/>
    <m/>
    <n v="0"/>
    <m/>
    <n v="0"/>
    <m/>
    <n v="580.5"/>
    <n v="544.5"/>
    <m/>
    <n v="0"/>
    <m/>
    <n v="0"/>
    <m/>
    <n v="0"/>
    <m/>
    <n v="544.5"/>
    <n v="544.5"/>
    <m/>
    <n v="0"/>
    <m/>
    <n v="0"/>
    <m/>
    <n v="0"/>
    <m/>
    <n v="544.5"/>
    <n v="508"/>
    <m/>
    <n v="0"/>
    <m/>
    <n v="0"/>
    <m/>
    <n v="0"/>
    <m/>
    <n v="508"/>
    <n v="508"/>
    <m/>
    <n v="0"/>
    <m/>
    <n v="0"/>
    <m/>
    <n v="0"/>
    <m/>
    <x v="22"/>
  </r>
  <r>
    <s v=""/>
    <n v="24"/>
    <x v="1"/>
    <x v="1"/>
    <x v="7"/>
    <x v="21"/>
    <x v="0"/>
    <x v="3"/>
    <s v="Tratament_FLD_SLD"/>
    <s v="Tratament_FLD_SLD!$A:$j"/>
    <n v="295128.37"/>
    <m/>
    <n v="0"/>
    <m/>
    <n v="0"/>
    <m/>
    <n v="0"/>
    <m/>
    <n v="295128.37"/>
    <n v="332348.08"/>
    <m/>
    <n v="0"/>
    <m/>
    <n v="0"/>
    <m/>
    <n v="0"/>
    <m/>
    <n v="332348.08"/>
    <n v="363860.71"/>
    <m/>
    <n v="0"/>
    <m/>
    <n v="0"/>
    <m/>
    <n v="0"/>
    <m/>
    <n v="363860.71"/>
    <n v="464124.04999999993"/>
    <m/>
    <n v="0"/>
    <m/>
    <n v="0"/>
    <m/>
    <n v="0"/>
    <m/>
    <n v="464124.04999999993"/>
    <n v="464124.04999999993"/>
    <m/>
    <n v="0"/>
    <m/>
    <n v="0"/>
    <m/>
    <n v="0"/>
    <m/>
    <x v="23"/>
  </r>
  <r>
    <s v=""/>
    <n v="25"/>
    <x v="1"/>
    <x v="1"/>
    <x v="7"/>
    <x v="21"/>
    <x v="0"/>
    <x v="1"/>
    <s v="Tratament_FLD_SLD"/>
    <s v="Tratament_FLD_SLD!$A:$j"/>
    <n v="169534.04285704184"/>
    <m/>
    <n v="0"/>
    <m/>
    <n v="0"/>
    <m/>
    <n v="0"/>
    <m/>
    <n v="169534.04285704184"/>
    <n v="204213.90286452681"/>
    <m/>
    <n v="0"/>
    <m/>
    <n v="0"/>
    <m/>
    <n v="0"/>
    <m/>
    <n v="204213.90286452681"/>
    <n v="169534.04285704184"/>
    <m/>
    <n v="0"/>
    <m/>
    <n v="0"/>
    <m/>
    <n v="0"/>
    <m/>
    <n v="169534.04285704184"/>
    <n v="0"/>
    <m/>
    <n v="0"/>
    <m/>
    <n v="0"/>
    <m/>
    <n v="0"/>
    <m/>
    <n v="0"/>
    <n v="0"/>
    <m/>
    <n v="0"/>
    <m/>
    <n v="0"/>
    <m/>
    <n v="0"/>
    <m/>
    <x v="24"/>
  </r>
  <r>
    <s v=""/>
    <n v="26"/>
    <x v="2"/>
    <x v="2"/>
    <x v="5"/>
    <x v="22"/>
    <x v="0"/>
    <x v="4"/>
    <s v="Tratament_FLD_SLD"/>
    <s v="Tratament_FLD_SLD!$A:$j"/>
    <n v="18910"/>
    <m/>
    <n v="0"/>
    <m/>
    <n v="0"/>
    <m/>
    <n v="0"/>
    <m/>
    <n v="18910"/>
    <n v="18910"/>
    <m/>
    <n v="0"/>
    <m/>
    <n v="0"/>
    <m/>
    <n v="0"/>
    <m/>
    <n v="18910"/>
    <n v="19160"/>
    <m/>
    <n v="0"/>
    <m/>
    <n v="0"/>
    <m/>
    <n v="0"/>
    <m/>
    <n v="19160"/>
    <n v="19587.5"/>
    <m/>
    <n v="0"/>
    <m/>
    <n v="0"/>
    <m/>
    <n v="0"/>
    <m/>
    <n v="19587.5"/>
    <n v="19982.5"/>
    <m/>
    <n v="0"/>
    <m/>
    <n v="0"/>
    <m/>
    <n v="0"/>
    <m/>
    <x v="25"/>
  </r>
  <r>
    <s v=""/>
    <n v="27"/>
    <x v="1"/>
    <x v="1"/>
    <x v="7"/>
    <x v="23"/>
    <x v="0"/>
    <x v="4"/>
    <s v="Tratament_FLD_SLD"/>
    <s v="Tratament_FLD_SLD!$A:$j"/>
    <n v="0"/>
    <m/>
    <n v="0"/>
    <m/>
    <n v="0"/>
    <m/>
    <n v="0"/>
    <m/>
    <n v="0"/>
    <n v="0"/>
    <m/>
    <n v="0"/>
    <m/>
    <n v="0"/>
    <m/>
    <n v="0"/>
    <m/>
    <n v="0"/>
    <n v="0"/>
    <m/>
    <n v="0"/>
    <m/>
    <n v="0"/>
    <m/>
    <n v="0"/>
    <m/>
    <n v="0"/>
    <n v="8894471.4299999997"/>
    <m/>
    <n v="0"/>
    <m/>
    <n v="0"/>
    <m/>
    <n v="0"/>
    <m/>
    <n v="8894471.4299999997"/>
    <n v="9069590.9299999978"/>
    <m/>
    <n v="0"/>
    <m/>
    <n v="0"/>
    <m/>
    <n v="0"/>
    <m/>
    <x v="26"/>
  </r>
  <r>
    <s v=""/>
    <n v="28"/>
    <x v="1"/>
    <x v="1"/>
    <x v="7"/>
    <x v="23"/>
    <x v="0"/>
    <x v="1"/>
    <s v="Tratament_FLD_SLD"/>
    <s v="Tratament_FLD_SLD!$A:$j"/>
    <n v="5168259.4317338774"/>
    <m/>
    <n v="0"/>
    <m/>
    <n v="0"/>
    <m/>
    <n v="0"/>
    <m/>
    <n v="5168259.4317338774"/>
    <n v="10301630.895153403"/>
    <m/>
    <n v="0"/>
    <m/>
    <n v="0"/>
    <m/>
    <n v="0"/>
    <m/>
    <n v="10301630.895153403"/>
    <n v="10423173.724537138"/>
    <m/>
    <n v="0"/>
    <m/>
    <n v="0"/>
    <m/>
    <n v="0"/>
    <m/>
    <n v="10423173.724537138"/>
    <n v="0"/>
    <m/>
    <n v="0"/>
    <m/>
    <n v="0"/>
    <m/>
    <n v="0"/>
    <m/>
    <n v="0"/>
    <n v="0"/>
    <m/>
    <n v="0"/>
    <m/>
    <n v="0"/>
    <m/>
    <n v="0"/>
    <m/>
    <x v="27"/>
  </r>
  <r>
    <s v=""/>
    <n v="29"/>
    <x v="1"/>
    <x v="1"/>
    <x v="4"/>
    <x v="24"/>
    <x v="0"/>
    <x v="4"/>
    <s v="Tratament_FLD_SLD"/>
    <s v="Tratament_FLD_SLD!$A:$j"/>
    <n v="0"/>
    <m/>
    <n v="0"/>
    <m/>
    <n v="0"/>
    <m/>
    <n v="0"/>
    <m/>
    <n v="0"/>
    <n v="0"/>
    <m/>
    <n v="0"/>
    <m/>
    <n v="0"/>
    <m/>
    <n v="0"/>
    <m/>
    <n v="0"/>
    <n v="0"/>
    <m/>
    <n v="0"/>
    <m/>
    <n v="0"/>
    <m/>
    <n v="0"/>
    <m/>
    <n v="0"/>
    <n v="152192.51999999999"/>
    <m/>
    <n v="0"/>
    <m/>
    <n v="0"/>
    <m/>
    <n v="0"/>
    <m/>
    <n v="152192.51999999999"/>
    <n v="152192.51999999999"/>
    <m/>
    <n v="0"/>
    <m/>
    <n v="0"/>
    <m/>
    <n v="0"/>
    <m/>
    <x v="28"/>
  </r>
  <r>
    <s v=""/>
    <n v="30"/>
    <x v="1"/>
    <x v="1"/>
    <x v="4"/>
    <x v="24"/>
    <x v="0"/>
    <x v="1"/>
    <s v="Tratament_FLD_SLD"/>
    <s v="Tratament_FLD_SLD!$A:$j"/>
    <n v="133596.400337561"/>
    <m/>
    <n v="0"/>
    <m/>
    <n v="0"/>
    <m/>
    <n v="0"/>
    <m/>
    <n v="133596.400337561"/>
    <n v="200394.50335026922"/>
    <m/>
    <n v="0"/>
    <m/>
    <n v="0"/>
    <m/>
    <n v="0"/>
    <m/>
    <n v="200394.50335026922"/>
    <n v="200394.50335026922"/>
    <m/>
    <n v="0"/>
    <m/>
    <n v="0"/>
    <m/>
    <n v="0"/>
    <m/>
    <n v="200394.50335026922"/>
    <n v="0"/>
    <m/>
    <n v="0"/>
    <m/>
    <n v="0"/>
    <m/>
    <n v="0"/>
    <m/>
    <n v="0"/>
    <n v="0"/>
    <m/>
    <n v="0"/>
    <m/>
    <n v="0"/>
    <m/>
    <n v="0"/>
    <m/>
    <x v="29"/>
  </r>
  <r>
    <s v=""/>
    <n v="31"/>
    <x v="2"/>
    <x v="2"/>
    <x v="5"/>
    <x v="25"/>
    <x v="0"/>
    <x v="2"/>
    <s v="Tratament_FLD_SLD"/>
    <s v="Tratament_FLD_SLD!$A:$j"/>
    <n v="1980"/>
    <m/>
    <n v="0"/>
    <m/>
    <n v="0"/>
    <m/>
    <n v="0"/>
    <m/>
    <n v="1980"/>
    <n v="1980"/>
    <m/>
    <n v="0"/>
    <m/>
    <n v="0"/>
    <m/>
    <n v="0"/>
    <m/>
    <n v="1980"/>
    <n v="1980"/>
    <m/>
    <n v="0"/>
    <m/>
    <n v="0"/>
    <m/>
    <n v="0"/>
    <m/>
    <n v="1980"/>
    <n v="1800"/>
    <m/>
    <n v="0"/>
    <m/>
    <n v="0"/>
    <m/>
    <n v="0"/>
    <m/>
    <n v="1800"/>
    <n v="1800"/>
    <m/>
    <n v="0"/>
    <m/>
    <n v="0"/>
    <m/>
    <n v="0"/>
    <m/>
    <x v="30"/>
  </r>
  <r>
    <s v=""/>
    <n v="32"/>
    <x v="1"/>
    <x v="1"/>
    <x v="6"/>
    <x v="26"/>
    <x v="0"/>
    <x v="2"/>
    <s v="Tratament_FLD_SLD"/>
    <s v="Tratament_FLD_SLD!$A:$j"/>
    <n v="535150.80000000005"/>
    <m/>
    <n v="0"/>
    <m/>
    <n v="0"/>
    <m/>
    <n v="0"/>
    <m/>
    <n v="535150.80000000005"/>
    <n v="519031.8"/>
    <m/>
    <n v="0"/>
    <m/>
    <n v="0"/>
    <m/>
    <n v="0"/>
    <m/>
    <n v="519031.8"/>
    <n v="506136.6"/>
    <m/>
    <n v="0"/>
    <m/>
    <n v="0"/>
    <m/>
    <n v="0"/>
    <m/>
    <n v="506136.6"/>
    <n v="493241.4"/>
    <m/>
    <n v="0"/>
    <m/>
    <n v="0"/>
    <m/>
    <n v="0"/>
    <m/>
    <n v="493241.4"/>
    <n v="480346.2"/>
    <m/>
    <n v="0"/>
    <m/>
    <n v="0"/>
    <m/>
    <n v="0"/>
    <m/>
    <x v="31"/>
  </r>
  <r>
    <s v=""/>
    <n v="33"/>
    <x v="2"/>
    <x v="2"/>
    <x v="5"/>
    <x v="27"/>
    <x v="0"/>
    <x v="2"/>
    <s v="Tratament_FLD_SLD"/>
    <s v="Tratament_FLD_SLD!$A:$j"/>
    <n v="360"/>
    <m/>
    <n v="0"/>
    <m/>
    <n v="0"/>
    <m/>
    <n v="0"/>
    <m/>
    <n v="360"/>
    <n v="360"/>
    <m/>
    <n v="0"/>
    <m/>
    <n v="0"/>
    <m/>
    <n v="0"/>
    <m/>
    <n v="360"/>
    <n v="360"/>
    <m/>
    <n v="0"/>
    <m/>
    <n v="0"/>
    <m/>
    <n v="0"/>
    <m/>
    <n v="360"/>
    <n v="360"/>
    <m/>
    <n v="0"/>
    <m/>
    <n v="0"/>
    <m/>
    <n v="0"/>
    <m/>
    <n v="360"/>
    <n v="360"/>
    <m/>
    <n v="0"/>
    <m/>
    <n v="0"/>
    <m/>
    <n v="0"/>
    <m/>
    <x v="32"/>
  </r>
  <r>
    <s v=""/>
    <n v="34"/>
    <x v="1"/>
    <x v="1"/>
    <x v="6"/>
    <x v="28"/>
    <x v="0"/>
    <x v="4"/>
    <s v="Tratament_FLD_SLD"/>
    <s v="Tratament_FLD_SLD!$A:$j"/>
    <n v="109609.2"/>
    <m/>
    <n v="0"/>
    <m/>
    <n v="0"/>
    <m/>
    <n v="0"/>
    <m/>
    <n v="109609.2"/>
    <n v="109609.2"/>
    <m/>
    <n v="0"/>
    <m/>
    <n v="0"/>
    <m/>
    <n v="0"/>
    <m/>
    <n v="109609.2"/>
    <n v="106385.4"/>
    <m/>
    <n v="0"/>
    <m/>
    <n v="0"/>
    <m/>
    <n v="0"/>
    <m/>
    <n v="106385.4"/>
    <n v="109609.2"/>
    <m/>
    <n v="0"/>
    <m/>
    <n v="0"/>
    <m/>
    <n v="0"/>
    <m/>
    <n v="109609.2"/>
    <n v="109609.2"/>
    <m/>
    <n v="0"/>
    <m/>
    <n v="0"/>
    <m/>
    <n v="0"/>
    <m/>
    <x v="33"/>
  </r>
  <r>
    <s v=""/>
    <n v="35"/>
    <x v="3"/>
    <x v="3"/>
    <x v="8"/>
    <x v="29"/>
    <x v="1"/>
    <x v="1"/>
    <s v="ITL"/>
    <s v="ITL!$A:$j"/>
    <n v="0"/>
    <m/>
    <n v="0"/>
    <m/>
    <n v="0"/>
    <m/>
    <n v="0"/>
    <m/>
    <n v="0"/>
    <n v="97500"/>
    <m/>
    <n v="0"/>
    <m/>
    <n v="0"/>
    <m/>
    <n v="0"/>
    <m/>
    <n v="97500"/>
    <n v="0"/>
    <m/>
    <n v="0"/>
    <m/>
    <n v="0"/>
    <m/>
    <n v="0"/>
    <m/>
    <n v="0"/>
    <n v="0"/>
    <m/>
    <n v="0"/>
    <m/>
    <n v="0"/>
    <m/>
    <n v="0"/>
    <m/>
    <n v="0"/>
    <n v="0"/>
    <m/>
    <n v="0"/>
    <m/>
    <n v="0"/>
    <m/>
    <n v="0"/>
    <m/>
    <x v="34"/>
  </r>
  <r>
    <s v=""/>
    <n v="36"/>
    <x v="3"/>
    <x v="3"/>
    <x v="8"/>
    <x v="30"/>
    <x v="1"/>
    <x v="1"/>
    <s v="ITL"/>
    <s v="ITL!$A:$j"/>
    <n v="0"/>
    <m/>
    <n v="0"/>
    <m/>
    <n v="0"/>
    <m/>
    <n v="0"/>
    <m/>
    <n v="0"/>
    <n v="0"/>
    <m/>
    <n v="0"/>
    <m/>
    <n v="0"/>
    <m/>
    <n v="0"/>
    <m/>
    <n v="0"/>
    <n v="0"/>
    <m/>
    <n v="0"/>
    <m/>
    <n v="0"/>
    <m/>
    <n v="0"/>
    <m/>
    <n v="0"/>
    <n v="0"/>
    <m/>
    <n v="0"/>
    <m/>
    <n v="0"/>
    <m/>
    <n v="0"/>
    <m/>
    <n v="0"/>
    <n v="0"/>
    <m/>
    <n v="0"/>
    <m/>
    <n v="0"/>
    <m/>
    <n v="0"/>
    <m/>
    <x v="35"/>
  </r>
  <r>
    <s v=""/>
    <n v="37"/>
    <x v="3"/>
    <x v="3"/>
    <x v="9"/>
    <x v="31"/>
    <x v="0"/>
    <x v="2"/>
    <s v="ITL"/>
    <s v="ITL!$A:$j"/>
    <n v="1118921.25"/>
    <m/>
    <n v="0"/>
    <m/>
    <n v="0"/>
    <m/>
    <n v="0"/>
    <m/>
    <n v="1118921.25"/>
    <n v="1082782.5"/>
    <m/>
    <n v="0"/>
    <m/>
    <n v="0"/>
    <m/>
    <n v="0"/>
    <m/>
    <n v="1082782.5"/>
    <n v="1047305"/>
    <m/>
    <n v="0"/>
    <m/>
    <n v="0"/>
    <m/>
    <n v="0"/>
    <m/>
    <n v="1047305"/>
    <n v="1012431.25"/>
    <m/>
    <n v="0"/>
    <m/>
    <n v="0"/>
    <m/>
    <n v="0"/>
    <m/>
    <n v="1012431.25"/>
    <n v="978161.25"/>
    <m/>
    <n v="0"/>
    <m/>
    <n v="0"/>
    <m/>
    <n v="0"/>
    <m/>
    <x v="36"/>
  </r>
  <r>
    <s v=""/>
    <n v="38"/>
    <x v="3"/>
    <x v="3"/>
    <x v="10"/>
    <x v="32"/>
    <x v="0"/>
    <x v="2"/>
    <s v="ITL"/>
    <s v="ITL!$A:$j"/>
    <n v="52192"/>
    <m/>
    <n v="0"/>
    <m/>
    <n v="0"/>
    <m/>
    <n v="0"/>
    <m/>
    <n v="52192"/>
    <n v="96130"/>
    <m/>
    <n v="0"/>
    <m/>
    <n v="0"/>
    <m/>
    <n v="0"/>
    <m/>
    <n v="96130"/>
    <n v="140068"/>
    <m/>
    <n v="0"/>
    <m/>
    <n v="0"/>
    <m/>
    <n v="0"/>
    <m/>
    <n v="140068"/>
    <n v="464142"/>
    <m/>
    <n v="0"/>
    <m/>
    <n v="0"/>
    <m/>
    <n v="0"/>
    <m/>
    <n v="464142"/>
    <n v="464142"/>
    <m/>
    <n v="0"/>
    <m/>
    <n v="0"/>
    <m/>
    <n v="0"/>
    <m/>
    <x v="37"/>
  </r>
  <r>
    <s v=""/>
    <n v="39"/>
    <x v="3"/>
    <x v="3"/>
    <x v="10"/>
    <x v="32"/>
    <x v="3"/>
    <x v="1"/>
    <s v="ITL"/>
    <s v="ITL!$A:$j"/>
    <n v="411950"/>
    <m/>
    <n v="0"/>
    <m/>
    <n v="0"/>
    <m/>
    <n v="0"/>
    <m/>
    <n v="411950"/>
    <n v="368012"/>
    <m/>
    <n v="0"/>
    <m/>
    <n v="0"/>
    <m/>
    <n v="0"/>
    <m/>
    <n v="368012"/>
    <n v="324074"/>
    <m/>
    <n v="0"/>
    <m/>
    <n v="0"/>
    <m/>
    <n v="0"/>
    <m/>
    <n v="324074"/>
    <n v="0"/>
    <m/>
    <n v="0"/>
    <m/>
    <n v="0"/>
    <m/>
    <n v="0"/>
    <m/>
    <n v="0"/>
    <n v="0"/>
    <m/>
    <n v="0"/>
    <m/>
    <n v="0"/>
    <m/>
    <n v="0"/>
    <m/>
    <x v="38"/>
  </r>
  <r>
    <s v=""/>
    <n v="40"/>
    <x v="3"/>
    <x v="3"/>
    <x v="11"/>
    <x v="33"/>
    <x v="0"/>
    <x v="2"/>
    <s v="ITL"/>
    <s v="ITL!$A:$j"/>
    <n v="1612665.24"/>
    <m/>
    <n v="0"/>
    <m/>
    <n v="0"/>
    <m/>
    <n v="0"/>
    <m/>
    <n v="1612665.24"/>
    <n v="1735786.7999999998"/>
    <m/>
    <n v="0"/>
    <m/>
    <n v="0"/>
    <m/>
    <n v="0"/>
    <m/>
    <n v="1735786.7999999998"/>
    <n v="1849908"/>
    <m/>
    <n v="0"/>
    <m/>
    <n v="0"/>
    <m/>
    <n v="0"/>
    <m/>
    <n v="1849908"/>
    <n v="2749030.2"/>
    <m/>
    <n v="0"/>
    <m/>
    <n v="0"/>
    <m/>
    <n v="0"/>
    <m/>
    <n v="2749030.2"/>
    <n v="2676049.44"/>
    <m/>
    <n v="0"/>
    <m/>
    <n v="0"/>
    <m/>
    <n v="0"/>
    <m/>
    <x v="39"/>
  </r>
  <r>
    <s v=""/>
    <n v="41"/>
    <x v="3"/>
    <x v="3"/>
    <x v="11"/>
    <x v="34"/>
    <x v="0"/>
    <x v="4"/>
    <s v="ITL"/>
    <s v="ITL!$A:$j"/>
    <n v="221910.24"/>
    <m/>
    <n v="0"/>
    <m/>
    <n v="0"/>
    <m/>
    <n v="0"/>
    <m/>
    <n v="221910.24"/>
    <n v="234978.12"/>
    <m/>
    <n v="0"/>
    <m/>
    <n v="0"/>
    <m/>
    <n v="0"/>
    <m/>
    <n v="234978.12"/>
    <n v="246253.32"/>
    <m/>
    <n v="0"/>
    <m/>
    <n v="0"/>
    <m/>
    <n v="0"/>
    <m/>
    <n v="246253.32"/>
    <n v="361567.92"/>
    <m/>
    <n v="0"/>
    <m/>
    <n v="0"/>
    <m/>
    <n v="0"/>
    <m/>
    <n v="361567.92"/>
    <n v="347370.36"/>
    <m/>
    <n v="0"/>
    <m/>
    <n v="0"/>
    <m/>
    <n v="0"/>
    <m/>
    <x v="40"/>
  </r>
  <r>
    <s v=""/>
    <n v="42"/>
    <x v="3"/>
    <x v="3"/>
    <x v="11"/>
    <x v="35"/>
    <x v="0"/>
    <x v="2"/>
    <s v="ITL"/>
    <s v="ITL!$A:$j"/>
    <n v="370939.5"/>
    <m/>
    <n v="0"/>
    <m/>
    <n v="0"/>
    <m/>
    <n v="0"/>
    <m/>
    <n v="370939.5"/>
    <n v="361482.3"/>
    <m/>
    <n v="0"/>
    <m/>
    <n v="0"/>
    <m/>
    <n v="0"/>
    <m/>
    <n v="361482.3"/>
    <n v="352536.3"/>
    <m/>
    <n v="0"/>
    <m/>
    <n v="0"/>
    <m/>
    <n v="0"/>
    <m/>
    <n v="352536.3"/>
    <n v="343909.8"/>
    <m/>
    <n v="0"/>
    <m/>
    <n v="0"/>
    <m/>
    <n v="0"/>
    <m/>
    <n v="343909.8"/>
    <n v="335475"/>
    <m/>
    <n v="0"/>
    <m/>
    <n v="0"/>
    <m/>
    <n v="0"/>
    <m/>
    <x v="41"/>
  </r>
  <r>
    <s v=""/>
    <n v="43"/>
    <x v="3"/>
    <x v="3"/>
    <x v="11"/>
    <x v="36"/>
    <x v="0"/>
    <x v="4"/>
    <s v="ITL"/>
    <s v="ITL!$A:$j"/>
    <n v="144222.29999999999"/>
    <m/>
    <n v="0"/>
    <m/>
    <n v="0"/>
    <m/>
    <n v="0"/>
    <m/>
    <n v="144222.29999999999"/>
    <n v="139365.9"/>
    <m/>
    <n v="0"/>
    <m/>
    <n v="0"/>
    <m/>
    <n v="0"/>
    <m/>
    <n v="139365.9"/>
    <n v="134445.6"/>
    <m/>
    <n v="0"/>
    <m/>
    <n v="0"/>
    <m/>
    <n v="0"/>
    <m/>
    <n v="134445.6"/>
    <n v="130164.29999999999"/>
    <m/>
    <n v="0"/>
    <m/>
    <n v="0"/>
    <m/>
    <n v="0"/>
    <m/>
    <n v="130164.29999999999"/>
    <n v="125819.09999999999"/>
    <m/>
    <n v="0"/>
    <m/>
    <n v="0"/>
    <m/>
    <n v="0"/>
    <m/>
    <x v="42"/>
  </r>
  <r>
    <s v=""/>
    <n v="44"/>
    <x v="3"/>
    <x v="3"/>
    <x v="11"/>
    <x v="37"/>
    <x v="0"/>
    <x v="3"/>
    <s v="ITL"/>
    <s v="ITL!$A:$j"/>
    <n v="135658.32"/>
    <m/>
    <n v="0"/>
    <m/>
    <n v="0"/>
    <m/>
    <n v="0"/>
    <m/>
    <n v="135658.32"/>
    <n v="154967.28"/>
    <m/>
    <n v="0"/>
    <m/>
    <n v="0"/>
    <m/>
    <n v="0"/>
    <m/>
    <n v="154967.28"/>
    <n v="178345.2"/>
    <m/>
    <n v="0"/>
    <m/>
    <n v="0"/>
    <m/>
    <n v="0"/>
    <m/>
    <n v="178345.2"/>
    <n v="296427.12"/>
    <m/>
    <n v="0"/>
    <m/>
    <n v="0"/>
    <m/>
    <n v="0"/>
    <m/>
    <n v="296427.12"/>
    <n v="300446.88"/>
    <m/>
    <n v="0"/>
    <m/>
    <n v="0"/>
    <m/>
    <n v="0"/>
    <m/>
    <x v="43"/>
  </r>
  <r>
    <s v=""/>
    <n v="45"/>
    <x v="3"/>
    <x v="3"/>
    <x v="11"/>
    <x v="38"/>
    <x v="0"/>
    <x v="4"/>
    <s v="ITL"/>
    <s v="ITL!$A:$j"/>
    <n v="24414.480000000003"/>
    <m/>
    <n v="0"/>
    <m/>
    <n v="0"/>
    <m/>
    <n v="0"/>
    <m/>
    <n v="24414.480000000003"/>
    <n v="31611.599999999999"/>
    <m/>
    <n v="0"/>
    <m/>
    <n v="0"/>
    <m/>
    <n v="0"/>
    <m/>
    <n v="31611.599999999999"/>
    <n v="37842.479999999996"/>
    <m/>
    <n v="0"/>
    <m/>
    <n v="0"/>
    <m/>
    <n v="0"/>
    <m/>
    <n v="37842.479999999996"/>
    <n v="73733.040000000008"/>
    <m/>
    <n v="0"/>
    <m/>
    <n v="0"/>
    <m/>
    <n v="0"/>
    <m/>
    <n v="73733.040000000008"/>
    <n v="80133.119999999995"/>
    <m/>
    <n v="0"/>
    <m/>
    <n v="0"/>
    <m/>
    <n v="0"/>
    <m/>
    <x v="44"/>
  </r>
  <r>
    <s v=""/>
    <n v="46"/>
    <x v="3"/>
    <x v="3"/>
    <x v="12"/>
    <x v="39"/>
    <x v="0"/>
    <x v="2"/>
    <s v="ITL"/>
    <s v="ITL!$A:$j"/>
    <n v="216635.76"/>
    <m/>
    <n v="0"/>
    <m/>
    <n v="0"/>
    <m/>
    <n v="0"/>
    <m/>
    <n v="216635.76"/>
    <n v="262336.32"/>
    <m/>
    <n v="0"/>
    <m/>
    <n v="0"/>
    <m/>
    <n v="0"/>
    <m/>
    <n v="262336.32"/>
    <n v="297406.08000000002"/>
    <m/>
    <n v="0"/>
    <m/>
    <n v="0"/>
    <m/>
    <n v="0"/>
    <m/>
    <n v="297406.08000000002"/>
    <n v="546557.76"/>
    <m/>
    <n v="0"/>
    <m/>
    <n v="0"/>
    <m/>
    <n v="0"/>
    <m/>
    <n v="546557.76"/>
    <n v="546557.76"/>
    <m/>
    <n v="0"/>
    <m/>
    <n v="0"/>
    <m/>
    <n v="0"/>
    <m/>
    <x v="45"/>
  </r>
  <r>
    <s v=""/>
    <n v="47"/>
    <x v="3"/>
    <x v="3"/>
    <x v="12"/>
    <x v="40"/>
    <x v="0"/>
    <x v="2"/>
    <s v="ITL"/>
    <s v="ITL!$A:$j"/>
    <n v="72198.720000000001"/>
    <m/>
    <n v="0"/>
    <m/>
    <n v="0"/>
    <m/>
    <n v="0"/>
    <m/>
    <n v="72198.720000000001"/>
    <n v="87445.440000000002"/>
    <m/>
    <n v="0"/>
    <m/>
    <n v="0"/>
    <m/>
    <n v="0"/>
    <m/>
    <n v="87445.440000000002"/>
    <n v="99401.040000000008"/>
    <m/>
    <n v="0"/>
    <m/>
    <n v="0"/>
    <m/>
    <n v="0"/>
    <m/>
    <n v="99401.040000000008"/>
    <n v="183256.56"/>
    <m/>
    <n v="0"/>
    <m/>
    <n v="0"/>
    <m/>
    <n v="0"/>
    <m/>
    <n v="183256.56"/>
    <n v="183256.56"/>
    <m/>
    <n v="0"/>
    <m/>
    <n v="0"/>
    <m/>
    <n v="0"/>
    <m/>
    <x v="46"/>
  </r>
  <r>
    <s v=""/>
    <n v="48"/>
    <x v="1"/>
    <x v="4"/>
    <x v="13"/>
    <x v="41"/>
    <x v="1"/>
    <x v="1"/>
    <s v="RA_farmacovigilenta"/>
    <s v="RA_farmacovigilenta!$A:$j"/>
    <n v="40000"/>
    <m/>
    <n v="0"/>
    <m/>
    <n v="0"/>
    <m/>
    <n v="0"/>
    <m/>
    <n v="40000"/>
    <n v="0"/>
    <m/>
    <n v="0"/>
    <m/>
    <n v="0"/>
    <m/>
    <n v="0"/>
    <m/>
    <n v="0"/>
    <n v="0"/>
    <m/>
    <n v="0"/>
    <m/>
    <n v="0"/>
    <m/>
    <n v="0"/>
    <m/>
    <n v="0"/>
    <n v="0"/>
    <m/>
    <n v="0"/>
    <m/>
    <n v="0"/>
    <m/>
    <n v="0"/>
    <m/>
    <n v="0"/>
    <n v="0"/>
    <m/>
    <n v="0"/>
    <m/>
    <n v="0"/>
    <m/>
    <n v="0"/>
    <m/>
    <x v="5"/>
  </r>
  <r>
    <s v=""/>
    <n v="49"/>
    <x v="1"/>
    <x v="4"/>
    <x v="13"/>
    <x v="42"/>
    <x v="1"/>
    <x v="1"/>
    <s v="RA_farmacovigilenta"/>
    <s v="RA_farmacovigilenta!$A:$j"/>
    <n v="0"/>
    <m/>
    <n v="0"/>
    <m/>
    <n v="0"/>
    <m/>
    <n v="0"/>
    <m/>
    <n v="0"/>
    <n v="79152.570000000007"/>
    <m/>
    <n v="0"/>
    <m/>
    <n v="0"/>
    <m/>
    <n v="0"/>
    <m/>
    <n v="79152.570000000007"/>
    <n v="0"/>
    <m/>
    <n v="0"/>
    <m/>
    <n v="0"/>
    <m/>
    <n v="0"/>
    <m/>
    <n v="0"/>
    <n v="0"/>
    <m/>
    <n v="0"/>
    <m/>
    <n v="0"/>
    <m/>
    <n v="0"/>
    <m/>
    <n v="0"/>
    <n v="0"/>
    <m/>
    <n v="0"/>
    <m/>
    <n v="0"/>
    <m/>
    <n v="0"/>
    <m/>
    <x v="47"/>
  </r>
  <r>
    <s v=""/>
    <n v="50"/>
    <x v="1"/>
    <x v="4"/>
    <x v="13"/>
    <x v="43"/>
    <x v="1"/>
    <x v="1"/>
    <s v="RA_farmacovigilenta"/>
    <s v="RA_farmacovigilenta!$A:$j"/>
    <n v="0"/>
    <m/>
    <n v="0"/>
    <m/>
    <n v="0"/>
    <m/>
    <n v="0"/>
    <m/>
    <n v="0"/>
    <n v="0"/>
    <m/>
    <n v="0"/>
    <m/>
    <n v="0"/>
    <m/>
    <n v="0"/>
    <m/>
    <n v="0"/>
    <n v="376212"/>
    <m/>
    <n v="0"/>
    <m/>
    <n v="0"/>
    <m/>
    <n v="0"/>
    <m/>
    <n v="376212"/>
    <n v="0"/>
    <m/>
    <n v="0"/>
    <m/>
    <n v="0"/>
    <m/>
    <n v="0"/>
    <m/>
    <n v="0"/>
    <n v="0"/>
    <m/>
    <n v="0"/>
    <m/>
    <n v="0"/>
    <m/>
    <n v="0"/>
    <m/>
    <x v="48"/>
  </r>
  <r>
    <s v=""/>
    <n v="51"/>
    <x v="4"/>
    <x v="5"/>
    <x v="14"/>
    <x v="44"/>
    <x v="0"/>
    <x v="0"/>
    <s v="Vizite_monitorizare"/>
    <s v="Vizite_monitorizare!$A:$j"/>
    <n v="62450.85"/>
    <m/>
    <n v="0"/>
    <m/>
    <n v="0"/>
    <m/>
    <n v="0"/>
    <m/>
    <n v="62450.85"/>
    <n v="68695.929999999993"/>
    <m/>
    <n v="0"/>
    <m/>
    <n v="0"/>
    <m/>
    <n v="0"/>
    <m/>
    <n v="68695.929999999993"/>
    <n v="74941.009999999995"/>
    <m/>
    <n v="0"/>
    <m/>
    <n v="0"/>
    <m/>
    <n v="0"/>
    <m/>
    <n v="74941.009999999995"/>
    <n v="124901.69"/>
    <m/>
    <n v="0"/>
    <m/>
    <n v="0"/>
    <m/>
    <n v="0"/>
    <m/>
    <n v="124901.69"/>
    <n v="124901.69"/>
    <m/>
    <n v="0"/>
    <m/>
    <n v="0"/>
    <m/>
    <n v="0"/>
    <m/>
    <x v="49"/>
  </r>
  <r>
    <s v=""/>
    <n v="52"/>
    <x v="4"/>
    <x v="5"/>
    <x v="14"/>
    <x v="44"/>
    <x v="0"/>
    <x v="1"/>
    <s v="Vizite_monitorizare"/>
    <s v="Vizite_monitorizare!$A:$j"/>
    <n v="62450.85"/>
    <m/>
    <n v="0"/>
    <m/>
    <n v="0"/>
    <m/>
    <n v="0"/>
    <m/>
    <n v="62450.85"/>
    <n v="56205.760000000002"/>
    <m/>
    <n v="0"/>
    <m/>
    <n v="0"/>
    <m/>
    <n v="0"/>
    <m/>
    <n v="56205.760000000002"/>
    <n v="49960.68"/>
    <m/>
    <n v="0"/>
    <m/>
    <n v="0"/>
    <m/>
    <n v="0"/>
    <m/>
    <n v="49960.68"/>
    <n v="0"/>
    <m/>
    <n v="0"/>
    <m/>
    <n v="0"/>
    <m/>
    <n v="0"/>
    <m/>
    <n v="0"/>
    <n v="0"/>
    <m/>
    <n v="0"/>
    <m/>
    <n v="0"/>
    <m/>
    <n v="0"/>
    <m/>
    <x v="50"/>
  </r>
  <r>
    <s v=""/>
    <n v="53"/>
    <x v="4"/>
    <x v="5"/>
    <x v="14"/>
    <x v="45"/>
    <x v="0"/>
    <x v="0"/>
    <s v="Vizite_monitorizare"/>
    <s v="Vizite_monitorizare!$A:$j"/>
    <n v="19200"/>
    <m/>
    <n v="0"/>
    <m/>
    <n v="0"/>
    <m/>
    <n v="0"/>
    <m/>
    <n v="19200"/>
    <n v="21120"/>
    <m/>
    <n v="0"/>
    <m/>
    <n v="0"/>
    <m/>
    <n v="0"/>
    <m/>
    <n v="21120"/>
    <n v="23040"/>
    <m/>
    <n v="0"/>
    <m/>
    <n v="0"/>
    <m/>
    <n v="0"/>
    <m/>
    <n v="23040"/>
    <n v="38400"/>
    <m/>
    <n v="0"/>
    <m/>
    <n v="0"/>
    <m/>
    <n v="0"/>
    <m/>
    <n v="38400"/>
    <n v="38400"/>
    <m/>
    <n v="0"/>
    <m/>
    <n v="0"/>
    <m/>
    <n v="0"/>
    <m/>
    <x v="51"/>
  </r>
  <r>
    <s v=""/>
    <n v="54"/>
    <x v="4"/>
    <x v="5"/>
    <x v="14"/>
    <x v="45"/>
    <x v="0"/>
    <x v="1"/>
    <s v="Vizite_monitorizare"/>
    <s v="Vizite_monitorizare!$A:$j"/>
    <n v="19200"/>
    <m/>
    <n v="0"/>
    <m/>
    <n v="0"/>
    <m/>
    <n v="0"/>
    <m/>
    <n v="19200"/>
    <n v="17280"/>
    <m/>
    <n v="0"/>
    <m/>
    <n v="0"/>
    <m/>
    <n v="0"/>
    <m/>
    <n v="17280"/>
    <n v="15360"/>
    <m/>
    <n v="0"/>
    <m/>
    <n v="0"/>
    <m/>
    <n v="0"/>
    <m/>
    <n v="15360"/>
    <n v="0"/>
    <m/>
    <n v="0"/>
    <m/>
    <n v="0"/>
    <m/>
    <n v="0"/>
    <m/>
    <n v="0"/>
    <n v="0"/>
    <m/>
    <n v="0"/>
    <m/>
    <n v="0"/>
    <m/>
    <n v="0"/>
    <m/>
    <x v="52"/>
  </r>
  <r>
    <s v=""/>
    <n v="55"/>
    <x v="4"/>
    <x v="5"/>
    <x v="14"/>
    <x v="45"/>
    <x v="0"/>
    <x v="0"/>
    <s v="Vizite_monitorizare"/>
    <s v="Vizite_monitorizare!$A:$j"/>
    <n v="0"/>
    <m/>
    <n v="0"/>
    <m/>
    <n v="0"/>
    <m/>
    <n v="0"/>
    <m/>
    <n v="0"/>
    <n v="0"/>
    <m/>
    <n v="0"/>
    <m/>
    <n v="0"/>
    <m/>
    <n v="0"/>
    <m/>
    <n v="0"/>
    <n v="0"/>
    <m/>
    <n v="0"/>
    <m/>
    <n v="0"/>
    <m/>
    <n v="0"/>
    <m/>
    <n v="0"/>
    <n v="207496.95999999988"/>
    <m/>
    <n v="0"/>
    <m/>
    <n v="0"/>
    <m/>
    <n v="0"/>
    <m/>
    <n v="207496.95999999988"/>
    <n v="207496.95999999988"/>
    <m/>
    <n v="0"/>
    <m/>
    <n v="0"/>
    <m/>
    <n v="0"/>
    <m/>
    <x v="53"/>
  </r>
  <r>
    <s v=""/>
    <n v="56"/>
    <x v="4"/>
    <x v="5"/>
    <x v="14"/>
    <x v="45"/>
    <x v="0"/>
    <x v="1"/>
    <s v="Vizite_monitorizare"/>
    <s v="Vizite_monitorizare!$A:$j"/>
    <n v="207496.95999999988"/>
    <m/>
    <n v="0"/>
    <m/>
    <n v="0"/>
    <m/>
    <n v="0"/>
    <m/>
    <n v="207496.95999999988"/>
    <n v="207496.95999999988"/>
    <m/>
    <n v="0"/>
    <m/>
    <n v="0"/>
    <m/>
    <n v="0"/>
    <m/>
    <n v="207496.95999999988"/>
    <n v="207496.95999999988"/>
    <m/>
    <n v="0"/>
    <m/>
    <n v="0"/>
    <m/>
    <n v="0"/>
    <m/>
    <n v="207496.95999999988"/>
    <n v="0"/>
    <m/>
    <n v="0"/>
    <m/>
    <n v="0"/>
    <m/>
    <n v="0"/>
    <m/>
    <n v="0"/>
    <n v="0"/>
    <m/>
    <n v="0"/>
    <m/>
    <n v="0"/>
    <m/>
    <n v="0"/>
    <m/>
    <x v="54"/>
  </r>
  <r>
    <s v=""/>
    <n v="57"/>
    <x v="4"/>
    <x v="5"/>
    <x v="14"/>
    <x v="46"/>
    <x v="0"/>
    <x v="4"/>
    <s v="Vizite_monitorizare"/>
    <s v="Vizite_monitorizare!$A:$j"/>
    <n v="10487.05"/>
    <m/>
    <n v="0"/>
    <m/>
    <n v="0"/>
    <m/>
    <n v="0"/>
    <m/>
    <n v="10487.05"/>
    <n v="11535.75"/>
    <m/>
    <n v="0"/>
    <m/>
    <n v="0"/>
    <m/>
    <n v="0"/>
    <m/>
    <n v="11535.75"/>
    <n v="12584.45"/>
    <m/>
    <n v="0"/>
    <m/>
    <n v="0"/>
    <m/>
    <n v="0"/>
    <m/>
    <n v="12584.45"/>
    <n v="20974.09"/>
    <m/>
    <n v="0"/>
    <m/>
    <n v="0"/>
    <m/>
    <n v="0"/>
    <m/>
    <n v="20974.09"/>
    <n v="20974.09"/>
    <m/>
    <n v="0"/>
    <m/>
    <n v="0"/>
    <m/>
    <n v="0"/>
    <m/>
    <x v="55"/>
  </r>
  <r>
    <s v=""/>
    <n v="58"/>
    <x v="4"/>
    <x v="5"/>
    <x v="14"/>
    <x v="46"/>
    <x v="0"/>
    <x v="1"/>
    <s v="Vizite_monitorizare"/>
    <s v="Vizite_monitorizare!$A:$j"/>
    <n v="10487.05"/>
    <m/>
    <n v="0"/>
    <m/>
    <n v="0"/>
    <m/>
    <n v="0"/>
    <m/>
    <n v="10487.05"/>
    <n v="9438.34"/>
    <m/>
    <n v="0"/>
    <m/>
    <n v="0"/>
    <m/>
    <n v="0"/>
    <m/>
    <n v="9438.34"/>
    <n v="8389.64"/>
    <m/>
    <n v="0"/>
    <m/>
    <n v="0"/>
    <m/>
    <n v="0"/>
    <m/>
    <n v="8389.64"/>
    <n v="0"/>
    <m/>
    <n v="0"/>
    <m/>
    <n v="0"/>
    <m/>
    <n v="0"/>
    <m/>
    <n v="0"/>
    <n v="0"/>
    <m/>
    <n v="0"/>
    <m/>
    <n v="0"/>
    <m/>
    <n v="0"/>
    <m/>
    <x v="56"/>
  </r>
  <r>
    <s v=""/>
    <n v="59"/>
    <x v="4"/>
    <x v="5"/>
    <x v="14"/>
    <x v="47"/>
    <x v="0"/>
    <x v="4"/>
    <s v="Vizite_monitorizare"/>
    <s v="Vizite_monitorizare!$A:$j"/>
    <n v="0"/>
    <m/>
    <n v="0"/>
    <m/>
    <n v="0"/>
    <m/>
    <n v="0"/>
    <m/>
    <n v="0"/>
    <n v="0"/>
    <m/>
    <n v="0"/>
    <m/>
    <n v="0"/>
    <m/>
    <n v="0"/>
    <m/>
    <n v="0"/>
    <n v="0"/>
    <m/>
    <n v="0"/>
    <m/>
    <n v="0"/>
    <m/>
    <n v="0"/>
    <m/>
    <n v="0"/>
    <n v="0"/>
    <m/>
    <n v="0"/>
    <m/>
    <n v="0"/>
    <m/>
    <n v="0"/>
    <m/>
    <n v="0"/>
    <n v="0"/>
    <m/>
    <n v="0"/>
    <m/>
    <n v="0"/>
    <m/>
    <n v="0"/>
    <m/>
    <x v="35"/>
  </r>
  <r>
    <s v=""/>
    <n v="60"/>
    <x v="4"/>
    <x v="5"/>
    <x v="14"/>
    <x v="47"/>
    <x v="0"/>
    <x v="1"/>
    <s v="Vizite_monitorizare"/>
    <s v="Vizite_monitorizare!$A:$j"/>
    <n v="0"/>
    <m/>
    <n v="0"/>
    <m/>
    <n v="0"/>
    <m/>
    <n v="0"/>
    <m/>
    <n v="0"/>
    <n v="0"/>
    <m/>
    <n v="0"/>
    <m/>
    <n v="0"/>
    <m/>
    <n v="0"/>
    <m/>
    <n v="0"/>
    <n v="0"/>
    <m/>
    <n v="0"/>
    <m/>
    <n v="0"/>
    <m/>
    <n v="0"/>
    <m/>
    <n v="0"/>
    <n v="0"/>
    <m/>
    <n v="0"/>
    <m/>
    <n v="0"/>
    <m/>
    <n v="0"/>
    <m/>
    <n v="0"/>
    <n v="0"/>
    <m/>
    <n v="0"/>
    <m/>
    <n v="0"/>
    <m/>
    <n v="0"/>
    <m/>
    <x v="35"/>
  </r>
  <r>
    <s v=""/>
    <n v="61"/>
    <x v="4"/>
    <x v="5"/>
    <x v="14"/>
    <x v="47"/>
    <x v="0"/>
    <x v="4"/>
    <s v="Vizite_monitorizare"/>
    <s v="Vizite_monitorizare!$A:$j"/>
    <n v="0"/>
    <m/>
    <n v="0"/>
    <m/>
    <n v="0"/>
    <m/>
    <n v="0"/>
    <m/>
    <n v="0"/>
    <n v="0"/>
    <m/>
    <n v="0"/>
    <m/>
    <n v="0"/>
    <m/>
    <n v="0"/>
    <m/>
    <n v="0"/>
    <n v="0"/>
    <m/>
    <n v="0"/>
    <m/>
    <n v="0"/>
    <m/>
    <n v="0"/>
    <m/>
    <n v="0"/>
    <n v="0"/>
    <m/>
    <n v="0"/>
    <m/>
    <n v="0"/>
    <m/>
    <n v="0"/>
    <m/>
    <n v="0"/>
    <n v="0"/>
    <m/>
    <n v="0"/>
    <m/>
    <n v="0"/>
    <m/>
    <n v="0"/>
    <m/>
    <x v="35"/>
  </r>
  <r>
    <s v=""/>
    <n v="62"/>
    <x v="4"/>
    <x v="5"/>
    <x v="14"/>
    <x v="47"/>
    <x v="0"/>
    <x v="1"/>
    <s v="Vizite_monitorizare"/>
    <s v="Vizite_monitorizare!$A:$j"/>
    <n v="37726.720000000001"/>
    <m/>
    <n v="0"/>
    <m/>
    <n v="0"/>
    <m/>
    <n v="0"/>
    <m/>
    <n v="37726.720000000001"/>
    <n v="37726.720000000001"/>
    <m/>
    <n v="0"/>
    <m/>
    <n v="0"/>
    <m/>
    <n v="0"/>
    <m/>
    <n v="37726.720000000001"/>
    <n v="37726.720000000001"/>
    <m/>
    <n v="0"/>
    <m/>
    <n v="0"/>
    <m/>
    <n v="0"/>
    <m/>
    <n v="37726.720000000001"/>
    <n v="0"/>
    <m/>
    <n v="0"/>
    <m/>
    <n v="0"/>
    <m/>
    <n v="0"/>
    <m/>
    <n v="0"/>
    <n v="0"/>
    <m/>
    <n v="0"/>
    <m/>
    <n v="0"/>
    <m/>
    <n v="0"/>
    <m/>
    <x v="57"/>
  </r>
  <r>
    <s v=""/>
    <n v="63"/>
    <x v="4"/>
    <x v="5"/>
    <x v="14"/>
    <x v="48"/>
    <x v="0"/>
    <x v="0"/>
    <s v="Vizite_monitorizare"/>
    <s v="Vizite_monitorizare!$A:$j"/>
    <n v="6273.37"/>
    <m/>
    <n v="0"/>
    <m/>
    <n v="0"/>
    <m/>
    <n v="0"/>
    <m/>
    <n v="6273.37"/>
    <n v="6900.71"/>
    <m/>
    <n v="0"/>
    <m/>
    <n v="0"/>
    <m/>
    <n v="0"/>
    <m/>
    <n v="6900.71"/>
    <n v="7528.04"/>
    <m/>
    <n v="0"/>
    <m/>
    <n v="0"/>
    <m/>
    <n v="0"/>
    <m/>
    <n v="7528.04"/>
    <n v="12546.74"/>
    <m/>
    <n v="0"/>
    <m/>
    <n v="0"/>
    <m/>
    <n v="0"/>
    <m/>
    <n v="12546.74"/>
    <n v="12546.74"/>
    <m/>
    <n v="0"/>
    <m/>
    <n v="0"/>
    <m/>
    <n v="0"/>
    <m/>
    <x v="58"/>
  </r>
  <r>
    <s v=""/>
    <n v="64"/>
    <x v="4"/>
    <x v="5"/>
    <x v="14"/>
    <x v="48"/>
    <x v="0"/>
    <x v="1"/>
    <s v="Vizite_monitorizare"/>
    <s v="Vizite_monitorizare!$A:$j"/>
    <n v="6273.37"/>
    <m/>
    <n v="0"/>
    <m/>
    <n v="0"/>
    <m/>
    <n v="0"/>
    <m/>
    <n v="6273.37"/>
    <n v="5646.03"/>
    <m/>
    <n v="0"/>
    <m/>
    <n v="0"/>
    <m/>
    <n v="0"/>
    <m/>
    <n v="5646.03"/>
    <n v="5018.7"/>
    <m/>
    <n v="0"/>
    <m/>
    <n v="0"/>
    <m/>
    <n v="0"/>
    <m/>
    <n v="5018.7"/>
    <n v="0"/>
    <m/>
    <n v="0"/>
    <m/>
    <n v="0"/>
    <m/>
    <n v="0"/>
    <m/>
    <n v="0"/>
    <n v="0"/>
    <m/>
    <n v="0"/>
    <m/>
    <n v="0"/>
    <m/>
    <n v="0"/>
    <m/>
    <x v="59"/>
  </r>
  <r>
    <s v=""/>
    <n v="65"/>
    <x v="4"/>
    <x v="5"/>
    <x v="14"/>
    <x v="49"/>
    <x v="0"/>
    <x v="0"/>
    <s v="Vizite_monitorizare"/>
    <s v="Vizite_monitorizare!$A:$j"/>
    <n v="0"/>
    <m/>
    <n v="0"/>
    <m/>
    <n v="0"/>
    <m/>
    <n v="0"/>
    <m/>
    <n v="0"/>
    <n v="0"/>
    <m/>
    <n v="0"/>
    <m/>
    <n v="0"/>
    <m/>
    <n v="0"/>
    <m/>
    <n v="0"/>
    <n v="0"/>
    <m/>
    <n v="0"/>
    <m/>
    <n v="0"/>
    <m/>
    <n v="0"/>
    <m/>
    <n v="0"/>
    <n v="0"/>
    <m/>
    <n v="0"/>
    <m/>
    <n v="0"/>
    <m/>
    <n v="0"/>
    <m/>
    <n v="0"/>
    <n v="0"/>
    <m/>
    <n v="0"/>
    <m/>
    <n v="0"/>
    <m/>
    <n v="0"/>
    <m/>
    <x v="35"/>
  </r>
  <r>
    <s v=""/>
    <n v="66"/>
    <x v="4"/>
    <x v="5"/>
    <x v="14"/>
    <x v="49"/>
    <x v="0"/>
    <x v="1"/>
    <s v="Vizite_monitorizare"/>
    <s v="Vizite_monitorizare!$A:$j"/>
    <n v="0"/>
    <m/>
    <n v="0"/>
    <m/>
    <n v="0"/>
    <m/>
    <n v="0"/>
    <m/>
    <n v="0"/>
    <n v="0"/>
    <m/>
    <n v="0"/>
    <m/>
    <n v="0"/>
    <m/>
    <n v="0"/>
    <m/>
    <n v="0"/>
    <n v="0"/>
    <m/>
    <n v="0"/>
    <m/>
    <n v="0"/>
    <m/>
    <n v="0"/>
    <m/>
    <n v="0"/>
    <n v="0"/>
    <m/>
    <n v="0"/>
    <m/>
    <n v="0"/>
    <m/>
    <n v="0"/>
    <m/>
    <n v="0"/>
    <n v="0"/>
    <m/>
    <n v="0"/>
    <m/>
    <n v="0"/>
    <m/>
    <n v="0"/>
    <m/>
    <x v="35"/>
  </r>
  <r>
    <s v=""/>
    <n v="67"/>
    <x v="4"/>
    <x v="5"/>
    <x v="14"/>
    <x v="49"/>
    <x v="0"/>
    <x v="0"/>
    <s v="Vizite_monitorizare"/>
    <s v="Vizite_monitorizare!$A:$j"/>
    <n v="0"/>
    <m/>
    <n v="0"/>
    <m/>
    <n v="0"/>
    <m/>
    <n v="0"/>
    <m/>
    <n v="0"/>
    <n v="0"/>
    <m/>
    <n v="0"/>
    <m/>
    <n v="0"/>
    <m/>
    <n v="0"/>
    <m/>
    <n v="0"/>
    <n v="0"/>
    <m/>
    <n v="0"/>
    <m/>
    <n v="0"/>
    <m/>
    <n v="0"/>
    <m/>
    <n v="0"/>
    <n v="0"/>
    <m/>
    <n v="0"/>
    <m/>
    <n v="0"/>
    <m/>
    <n v="0"/>
    <m/>
    <n v="0"/>
    <n v="0"/>
    <m/>
    <n v="0"/>
    <m/>
    <n v="0"/>
    <m/>
    <n v="0"/>
    <m/>
    <x v="35"/>
  </r>
  <r>
    <s v=""/>
    <n v="68"/>
    <x v="4"/>
    <x v="5"/>
    <x v="14"/>
    <x v="49"/>
    <x v="0"/>
    <x v="1"/>
    <s v="Vizite_monitorizare"/>
    <s v="Vizite_monitorizare!$A:$j"/>
    <n v="9431.68"/>
    <m/>
    <n v="0"/>
    <m/>
    <n v="0"/>
    <m/>
    <n v="0"/>
    <m/>
    <n v="9431.68"/>
    <n v="9431.68"/>
    <m/>
    <n v="0"/>
    <m/>
    <n v="0"/>
    <m/>
    <n v="0"/>
    <m/>
    <n v="9431.68"/>
    <n v="9431.68"/>
    <m/>
    <n v="0"/>
    <m/>
    <n v="0"/>
    <m/>
    <n v="0"/>
    <m/>
    <n v="9431.68"/>
    <n v="0"/>
    <m/>
    <n v="0"/>
    <m/>
    <n v="0"/>
    <m/>
    <n v="0"/>
    <m/>
    <n v="0"/>
    <n v="0"/>
    <m/>
    <n v="0"/>
    <m/>
    <n v="0"/>
    <m/>
    <n v="0"/>
    <m/>
    <x v="60"/>
  </r>
  <r>
    <s v=""/>
    <n v="69"/>
    <x v="5"/>
    <x v="6"/>
    <x v="15"/>
    <x v="50"/>
    <x v="0"/>
    <x v="0"/>
    <s v="Vizite_monitorizare"/>
    <s v="Vizite_monitorizare!$A:$j"/>
    <n v="47866.17"/>
    <m/>
    <n v="0"/>
    <m/>
    <n v="0"/>
    <m/>
    <n v="0"/>
    <m/>
    <n v="47866.17"/>
    <n v="52652.79"/>
    <m/>
    <n v="0"/>
    <m/>
    <n v="0"/>
    <m/>
    <n v="0"/>
    <m/>
    <n v="52652.79"/>
    <n v="57439.4"/>
    <m/>
    <n v="0"/>
    <m/>
    <n v="0"/>
    <m/>
    <n v="0"/>
    <m/>
    <n v="57439.4"/>
    <n v="95732.34"/>
    <m/>
    <n v="0"/>
    <m/>
    <n v="0"/>
    <m/>
    <n v="0"/>
    <m/>
    <n v="95732.34"/>
    <n v="95732.34"/>
    <m/>
    <n v="0"/>
    <m/>
    <n v="0"/>
    <m/>
    <n v="0"/>
    <m/>
    <x v="61"/>
  </r>
  <r>
    <s v=""/>
    <n v="70"/>
    <x v="5"/>
    <x v="6"/>
    <x v="15"/>
    <x v="50"/>
    <x v="0"/>
    <x v="1"/>
    <s v="Vizite_monitorizare"/>
    <s v="Vizite_monitorizare!$A:$j"/>
    <n v="47866.17"/>
    <m/>
    <n v="0"/>
    <m/>
    <n v="0"/>
    <m/>
    <n v="0"/>
    <m/>
    <n v="47866.17"/>
    <n v="43079.55"/>
    <m/>
    <n v="0"/>
    <m/>
    <n v="0"/>
    <m/>
    <n v="0"/>
    <m/>
    <n v="43079.55"/>
    <n v="38292.94"/>
    <m/>
    <n v="0"/>
    <m/>
    <n v="0"/>
    <m/>
    <n v="0"/>
    <m/>
    <n v="38292.94"/>
    <n v="0"/>
    <m/>
    <n v="0"/>
    <m/>
    <n v="0"/>
    <m/>
    <n v="0"/>
    <m/>
    <n v="0"/>
    <n v="0"/>
    <m/>
    <n v="0"/>
    <m/>
    <n v="0"/>
    <m/>
    <n v="0"/>
    <m/>
    <x v="62"/>
  </r>
  <r>
    <s v=""/>
    <n v="71"/>
    <x v="5"/>
    <x v="6"/>
    <x v="15"/>
    <x v="51"/>
    <x v="0"/>
    <x v="0"/>
    <s v="Vizite_monitorizare"/>
    <s v="Vizite_monitorizare!$A:$j"/>
    <n v="0"/>
    <m/>
    <n v="0"/>
    <m/>
    <n v="0"/>
    <m/>
    <n v="0"/>
    <m/>
    <n v="0"/>
    <n v="0"/>
    <m/>
    <n v="0"/>
    <m/>
    <n v="0"/>
    <m/>
    <n v="0"/>
    <m/>
    <n v="0"/>
    <n v="0"/>
    <m/>
    <n v="0"/>
    <m/>
    <n v="0"/>
    <m/>
    <n v="0"/>
    <m/>
    <n v="0"/>
    <n v="0"/>
    <m/>
    <n v="0"/>
    <m/>
    <n v="0"/>
    <m/>
    <n v="0"/>
    <m/>
    <n v="0"/>
    <n v="0"/>
    <m/>
    <n v="0"/>
    <m/>
    <n v="0"/>
    <m/>
    <n v="0"/>
    <m/>
    <x v="35"/>
  </r>
  <r>
    <s v=""/>
    <n v="72"/>
    <x v="5"/>
    <x v="6"/>
    <x v="15"/>
    <x v="52"/>
    <x v="0"/>
    <x v="1"/>
    <s v="Vizite_monitorizare"/>
    <s v="Vizite_monitorizare!$A:$j"/>
    <n v="64842.8"/>
    <m/>
    <n v="0"/>
    <m/>
    <n v="0"/>
    <m/>
    <n v="0"/>
    <m/>
    <n v="64842.8"/>
    <n v="64842.8"/>
    <m/>
    <n v="0"/>
    <m/>
    <n v="0"/>
    <m/>
    <n v="0"/>
    <m/>
    <n v="64842.8"/>
    <n v="64842.8"/>
    <m/>
    <n v="0"/>
    <m/>
    <n v="0"/>
    <m/>
    <n v="0"/>
    <m/>
    <n v="64842.8"/>
    <n v="0"/>
    <m/>
    <n v="0"/>
    <m/>
    <n v="0"/>
    <m/>
    <n v="0"/>
    <m/>
    <n v="0"/>
    <n v="0"/>
    <m/>
    <n v="0"/>
    <m/>
    <n v="0"/>
    <m/>
    <n v="0"/>
    <m/>
    <x v="63"/>
  </r>
  <r>
    <s v=""/>
    <n v="73"/>
    <x v="5"/>
    <x v="6"/>
    <x v="15"/>
    <x v="53"/>
    <x v="0"/>
    <x v="4"/>
    <s v="Vizite_monitorizare"/>
    <s v="Vizite_monitorizare!$A:$j"/>
    <n v="3553.7"/>
    <m/>
    <n v="0"/>
    <m/>
    <n v="0"/>
    <m/>
    <n v="0"/>
    <m/>
    <n v="3553.7"/>
    <n v="3909.07"/>
    <m/>
    <n v="0"/>
    <m/>
    <n v="0"/>
    <m/>
    <n v="0"/>
    <m/>
    <n v="3909.07"/>
    <n v="4264.4399999999996"/>
    <m/>
    <n v="0"/>
    <m/>
    <n v="0"/>
    <m/>
    <n v="0"/>
    <m/>
    <n v="4264.4399999999996"/>
    <n v="7107.4"/>
    <m/>
    <n v="0"/>
    <m/>
    <n v="0"/>
    <m/>
    <n v="0"/>
    <m/>
    <n v="7107.4"/>
    <n v="7107.4"/>
    <m/>
    <n v="0"/>
    <m/>
    <n v="0"/>
    <m/>
    <n v="0"/>
    <m/>
    <x v="64"/>
  </r>
  <r>
    <s v=""/>
    <n v="74"/>
    <x v="5"/>
    <x v="6"/>
    <x v="15"/>
    <x v="53"/>
    <x v="0"/>
    <x v="1"/>
    <s v="Vizite_monitorizare"/>
    <s v="Vizite_monitorizare!$A:$j"/>
    <n v="3553.7"/>
    <m/>
    <n v="0"/>
    <m/>
    <n v="0"/>
    <m/>
    <n v="0"/>
    <m/>
    <n v="3553.7"/>
    <n v="3198.33"/>
    <m/>
    <n v="0"/>
    <m/>
    <n v="0"/>
    <m/>
    <n v="0"/>
    <m/>
    <n v="3198.33"/>
    <n v="2842.96"/>
    <m/>
    <n v="0"/>
    <m/>
    <n v="0"/>
    <m/>
    <n v="0"/>
    <m/>
    <n v="2842.96"/>
    <n v="0"/>
    <m/>
    <n v="0"/>
    <m/>
    <n v="0"/>
    <m/>
    <n v="0"/>
    <m/>
    <n v="0"/>
    <n v="0"/>
    <m/>
    <n v="0"/>
    <m/>
    <n v="0"/>
    <m/>
    <n v="0"/>
    <m/>
    <x v="65"/>
  </r>
  <r>
    <s v=""/>
    <n v="75"/>
    <x v="5"/>
    <x v="6"/>
    <x v="15"/>
    <x v="54"/>
    <x v="0"/>
    <x v="4"/>
    <s v="Vizite_monitorizare"/>
    <s v="Vizite_monitorizare!$A:$j"/>
    <n v="0"/>
    <m/>
    <n v="0"/>
    <m/>
    <n v="0"/>
    <m/>
    <n v="0"/>
    <m/>
    <n v="0"/>
    <n v="0"/>
    <m/>
    <n v="0"/>
    <m/>
    <n v="0"/>
    <m/>
    <n v="0"/>
    <m/>
    <n v="0"/>
    <n v="0"/>
    <m/>
    <n v="0"/>
    <m/>
    <n v="0"/>
    <m/>
    <n v="0"/>
    <m/>
    <n v="0"/>
    <n v="0"/>
    <m/>
    <n v="0"/>
    <m/>
    <n v="0"/>
    <m/>
    <n v="0"/>
    <m/>
    <n v="0"/>
    <n v="0"/>
    <m/>
    <n v="0"/>
    <m/>
    <n v="0"/>
    <m/>
    <n v="0"/>
    <m/>
    <x v="35"/>
  </r>
  <r>
    <s v=""/>
    <n v="76"/>
    <x v="5"/>
    <x v="6"/>
    <x v="15"/>
    <x v="55"/>
    <x v="0"/>
    <x v="1"/>
    <s v="Vizite_monitorizare"/>
    <s v="Vizite_monitorizare!$A:$j"/>
    <n v="8252.7200000000012"/>
    <m/>
    <n v="0"/>
    <m/>
    <n v="0"/>
    <m/>
    <n v="0"/>
    <m/>
    <n v="8252.7200000000012"/>
    <n v="8252.7200000000012"/>
    <m/>
    <n v="0"/>
    <m/>
    <n v="0"/>
    <m/>
    <n v="0"/>
    <m/>
    <n v="8252.7200000000012"/>
    <n v="8252.7200000000012"/>
    <m/>
    <n v="0"/>
    <m/>
    <n v="0"/>
    <m/>
    <n v="0"/>
    <m/>
    <n v="8252.7200000000012"/>
    <n v="0"/>
    <m/>
    <n v="0"/>
    <m/>
    <n v="0"/>
    <m/>
    <n v="0"/>
    <m/>
    <n v="0"/>
    <n v="0"/>
    <m/>
    <n v="0"/>
    <m/>
    <n v="0"/>
    <m/>
    <n v="0"/>
    <m/>
    <x v="66"/>
  </r>
  <r>
    <s v=""/>
    <n v="77"/>
    <x v="5"/>
    <x v="7"/>
    <x v="16"/>
    <x v="56"/>
    <x v="0"/>
    <x v="0"/>
    <s v="Curierat_sputa_medic"/>
    <s v="Curierat_sputa_medic!$A:$j"/>
    <n v="33202.21"/>
    <m/>
    <n v="0"/>
    <m/>
    <n v="0"/>
    <m/>
    <n v="0"/>
    <m/>
    <n v="33202.21"/>
    <n v="166011.06"/>
    <m/>
    <n v="0"/>
    <m/>
    <n v="0"/>
    <m/>
    <n v="0"/>
    <m/>
    <n v="166011.06"/>
    <n v="265617.69"/>
    <m/>
    <n v="0"/>
    <m/>
    <n v="0"/>
    <m/>
    <n v="0"/>
    <m/>
    <n v="265617.69"/>
    <n v="332022.11"/>
    <m/>
    <n v="0"/>
    <m/>
    <n v="0"/>
    <m/>
    <n v="0"/>
    <m/>
    <n v="332022.11"/>
    <n v="332022.11"/>
    <m/>
    <n v="0"/>
    <m/>
    <n v="0"/>
    <m/>
    <n v="0"/>
    <m/>
    <x v="67"/>
  </r>
  <r>
    <s v=""/>
    <n v="78"/>
    <x v="5"/>
    <x v="7"/>
    <x v="16"/>
    <x v="56"/>
    <x v="0"/>
    <x v="1"/>
    <s v="Curierat_sputa_medic"/>
    <s v="Curierat_sputa_medic!$A:$j"/>
    <n v="298819.90000000002"/>
    <m/>
    <n v="0"/>
    <m/>
    <n v="0"/>
    <m/>
    <n v="0"/>
    <m/>
    <n v="298819.90000000002"/>
    <n v="166011.06"/>
    <m/>
    <n v="0"/>
    <m/>
    <n v="0"/>
    <m/>
    <n v="0"/>
    <m/>
    <n v="166011.06"/>
    <n v="66404.42"/>
    <m/>
    <n v="0"/>
    <m/>
    <n v="0"/>
    <m/>
    <n v="0"/>
    <m/>
    <n v="66404.42"/>
    <n v="0"/>
    <m/>
    <n v="0"/>
    <m/>
    <n v="0"/>
    <m/>
    <n v="0"/>
    <m/>
    <n v="0"/>
    <n v="0"/>
    <m/>
    <n v="0"/>
    <m/>
    <n v="0"/>
    <m/>
    <n v="0"/>
    <m/>
    <x v="68"/>
  </r>
  <r>
    <s v=""/>
    <n v="79"/>
    <x v="5"/>
    <x v="7"/>
    <x v="16"/>
    <x v="57"/>
    <x v="0"/>
    <x v="0"/>
    <s v="Curierat_sputa_medic"/>
    <s v="Curierat_sputa_medic!$A:$j"/>
    <n v="0"/>
    <m/>
    <n v="0"/>
    <m/>
    <n v="0"/>
    <m/>
    <n v="0"/>
    <m/>
    <n v="0"/>
    <n v="0"/>
    <m/>
    <n v="0"/>
    <m/>
    <n v="0"/>
    <m/>
    <n v="0"/>
    <m/>
    <n v="0"/>
    <n v="0"/>
    <m/>
    <n v="0"/>
    <m/>
    <n v="0"/>
    <m/>
    <n v="0"/>
    <m/>
    <n v="0"/>
    <n v="0"/>
    <m/>
    <n v="0"/>
    <m/>
    <n v="0"/>
    <m/>
    <n v="0"/>
    <m/>
    <n v="0"/>
    <n v="0"/>
    <m/>
    <n v="0"/>
    <m/>
    <n v="0"/>
    <m/>
    <n v="0"/>
    <m/>
    <x v="35"/>
  </r>
  <r>
    <s v=""/>
    <n v="80"/>
    <x v="5"/>
    <x v="7"/>
    <x v="16"/>
    <x v="57"/>
    <x v="0"/>
    <x v="1"/>
    <s v="Curierat_sputa_medic"/>
    <s v="Curierat_sputa_medic!$A:$j"/>
    <n v="120219.099"/>
    <m/>
    <n v="0"/>
    <m/>
    <n v="0"/>
    <m/>
    <n v="0"/>
    <m/>
    <n v="120219.099"/>
    <n v="120219.099"/>
    <m/>
    <n v="0"/>
    <m/>
    <n v="0"/>
    <m/>
    <n v="0"/>
    <m/>
    <n v="120219.099"/>
    <n v="120219.099"/>
    <m/>
    <n v="0"/>
    <m/>
    <n v="0"/>
    <m/>
    <n v="0"/>
    <m/>
    <n v="120219.099"/>
    <n v="0"/>
    <m/>
    <n v="0"/>
    <m/>
    <n v="0"/>
    <m/>
    <n v="0"/>
    <m/>
    <n v="0"/>
    <n v="0"/>
    <m/>
    <n v="0"/>
    <m/>
    <n v="0"/>
    <m/>
    <n v="0"/>
    <m/>
    <x v="69"/>
  </r>
  <r>
    <s v=""/>
    <n v="81"/>
    <x v="1"/>
    <x v="1"/>
    <x v="17"/>
    <x v="58"/>
    <x v="0"/>
    <x v="0"/>
    <s v="Curierat_sputa_medic"/>
    <s v="Curierat_sputa_medic!$A:$j"/>
    <n v="17926.32"/>
    <m/>
    <n v="0"/>
    <m/>
    <n v="0"/>
    <m/>
    <n v="0"/>
    <m/>
    <n v="17926.32"/>
    <n v="89631.58"/>
    <m/>
    <n v="0"/>
    <m/>
    <n v="0"/>
    <m/>
    <n v="0"/>
    <m/>
    <n v="89631.58"/>
    <n v="143410.53"/>
    <m/>
    <n v="0"/>
    <m/>
    <n v="0"/>
    <m/>
    <n v="0"/>
    <m/>
    <n v="143410.53"/>
    <n v="179263.17"/>
    <m/>
    <n v="0"/>
    <m/>
    <n v="0"/>
    <m/>
    <n v="0"/>
    <m/>
    <n v="179263.17"/>
    <n v="179263.17"/>
    <m/>
    <n v="0"/>
    <m/>
    <n v="0"/>
    <m/>
    <n v="0"/>
    <m/>
    <x v="70"/>
  </r>
  <r>
    <s v=""/>
    <n v="82"/>
    <x v="1"/>
    <x v="1"/>
    <x v="17"/>
    <x v="58"/>
    <x v="0"/>
    <x v="1"/>
    <s v="Curierat_sputa_medic"/>
    <s v="Curierat_sputa_medic!$A:$j"/>
    <n v="161336.84999999998"/>
    <m/>
    <n v="0"/>
    <m/>
    <n v="0"/>
    <m/>
    <n v="0"/>
    <m/>
    <n v="161336.84999999998"/>
    <n v="89631.58"/>
    <m/>
    <n v="0"/>
    <m/>
    <n v="0"/>
    <m/>
    <n v="0"/>
    <m/>
    <n v="89631.58"/>
    <n v="35852.629999999997"/>
    <m/>
    <n v="0"/>
    <m/>
    <n v="0"/>
    <m/>
    <n v="0"/>
    <m/>
    <n v="35852.629999999997"/>
    <n v="0"/>
    <m/>
    <n v="0"/>
    <m/>
    <n v="0"/>
    <m/>
    <n v="0"/>
    <m/>
    <n v="0"/>
    <n v="0"/>
    <m/>
    <n v="0"/>
    <m/>
    <n v="0"/>
    <m/>
    <n v="0"/>
    <m/>
    <x v="71"/>
  </r>
  <r>
    <s v=""/>
    <n v="83"/>
    <x v="1"/>
    <x v="1"/>
    <x v="17"/>
    <x v="59"/>
    <x v="0"/>
    <x v="0"/>
    <s v="Curierat_sputa_medic"/>
    <s v="Curierat_sputa_medic!$A:$j"/>
    <n v="0"/>
    <m/>
    <n v="0"/>
    <m/>
    <n v="0"/>
    <m/>
    <n v="0"/>
    <m/>
    <n v="0"/>
    <n v="0"/>
    <m/>
    <n v="0"/>
    <m/>
    <n v="0"/>
    <m/>
    <n v="0"/>
    <m/>
    <n v="0"/>
    <n v="0"/>
    <m/>
    <n v="0"/>
    <m/>
    <n v="0"/>
    <m/>
    <n v="0"/>
    <m/>
    <n v="0"/>
    <n v="0"/>
    <m/>
    <n v="0"/>
    <m/>
    <n v="0"/>
    <m/>
    <n v="0"/>
    <m/>
    <n v="0"/>
    <n v="0"/>
    <m/>
    <n v="0"/>
    <m/>
    <n v="0"/>
    <m/>
    <n v="0"/>
    <m/>
    <x v="35"/>
  </r>
  <r>
    <s v=""/>
    <n v="84"/>
    <x v="1"/>
    <x v="1"/>
    <x v="17"/>
    <x v="59"/>
    <x v="0"/>
    <x v="1"/>
    <s v="Curierat_sputa_medic"/>
    <s v="Curierat_sputa_medic!$A:$j"/>
    <n v="64907.894999999997"/>
    <m/>
    <n v="0"/>
    <m/>
    <n v="0"/>
    <m/>
    <n v="0"/>
    <m/>
    <n v="64907.894999999997"/>
    <n v="64907.894999999997"/>
    <m/>
    <n v="0"/>
    <m/>
    <n v="0"/>
    <m/>
    <n v="0"/>
    <m/>
    <n v="64907.894999999997"/>
    <n v="64907.894999999997"/>
    <m/>
    <n v="0"/>
    <m/>
    <n v="0"/>
    <m/>
    <n v="0"/>
    <m/>
    <n v="64907.894999999997"/>
    <n v="0"/>
    <m/>
    <n v="0"/>
    <m/>
    <n v="0"/>
    <m/>
    <n v="0"/>
    <m/>
    <n v="0"/>
    <n v="0"/>
    <m/>
    <n v="0"/>
    <m/>
    <n v="0"/>
    <m/>
    <n v="0"/>
    <m/>
    <x v="72"/>
  </r>
  <r>
    <s v=""/>
    <n v="85"/>
    <x v="5"/>
    <x v="7"/>
    <x v="16"/>
    <x v="60"/>
    <x v="0"/>
    <x v="4"/>
    <s v="Curierat_sputa_medic"/>
    <s v="Curierat_sputa_medic!$A:$j"/>
    <n v="2157.9499999999998"/>
    <m/>
    <n v="0"/>
    <m/>
    <n v="0"/>
    <m/>
    <n v="0"/>
    <m/>
    <n v="2157.9499999999998"/>
    <n v="10789.75"/>
    <m/>
    <n v="0"/>
    <m/>
    <n v="0"/>
    <m/>
    <n v="0"/>
    <m/>
    <n v="10789.75"/>
    <n v="17263.61"/>
    <m/>
    <n v="0"/>
    <m/>
    <n v="0"/>
    <m/>
    <n v="0"/>
    <m/>
    <n v="17263.61"/>
    <n v="26500.129999999997"/>
    <m/>
    <n v="0"/>
    <m/>
    <n v="0"/>
    <m/>
    <n v="0"/>
    <m/>
    <n v="26500.129999999997"/>
    <n v="26500.129999999997"/>
    <m/>
    <n v="0"/>
    <m/>
    <n v="0"/>
    <m/>
    <n v="0"/>
    <m/>
    <x v="73"/>
  </r>
  <r>
    <s v=""/>
    <n v="86"/>
    <x v="5"/>
    <x v="7"/>
    <x v="16"/>
    <x v="60"/>
    <x v="0"/>
    <x v="1"/>
    <s v="Curierat_sputa_medic"/>
    <s v="Curierat_sputa_medic!$A:$j"/>
    <n v="24342.18"/>
    <m/>
    <n v="0"/>
    <m/>
    <n v="0"/>
    <m/>
    <n v="0"/>
    <m/>
    <n v="24342.18"/>
    <n v="15710.369999999999"/>
    <m/>
    <n v="0"/>
    <m/>
    <n v="0"/>
    <m/>
    <n v="0"/>
    <m/>
    <n v="15710.369999999999"/>
    <n v="9236.52"/>
    <m/>
    <n v="0"/>
    <m/>
    <n v="0"/>
    <m/>
    <n v="0"/>
    <m/>
    <n v="9236.52"/>
    <n v="0"/>
    <m/>
    <n v="0"/>
    <m/>
    <n v="0"/>
    <m/>
    <n v="0"/>
    <m/>
    <n v="0"/>
    <n v="0"/>
    <m/>
    <n v="0"/>
    <m/>
    <n v="0"/>
    <m/>
    <n v="0"/>
    <m/>
    <x v="74"/>
  </r>
  <r>
    <s v=""/>
    <n v="87"/>
    <x v="5"/>
    <x v="7"/>
    <x v="16"/>
    <x v="61"/>
    <x v="0"/>
    <x v="4"/>
    <s v="Curierat_sputa_medic"/>
    <s v="Curierat_sputa_medic!$A:$j"/>
    <n v="0"/>
    <m/>
    <n v="0"/>
    <m/>
    <n v="0"/>
    <m/>
    <n v="0"/>
    <m/>
    <n v="0"/>
    <n v="0"/>
    <m/>
    <n v="0"/>
    <m/>
    <n v="0"/>
    <m/>
    <n v="0"/>
    <m/>
    <n v="0"/>
    <n v="0"/>
    <m/>
    <n v="0"/>
    <m/>
    <n v="0"/>
    <m/>
    <n v="0"/>
    <m/>
    <n v="0"/>
    <n v="0"/>
    <m/>
    <n v="0"/>
    <m/>
    <n v="0"/>
    <m/>
    <n v="0"/>
    <m/>
    <n v="0"/>
    <n v="0"/>
    <m/>
    <n v="0"/>
    <m/>
    <n v="0"/>
    <m/>
    <n v="0"/>
    <m/>
    <x v="35"/>
  </r>
  <r>
    <s v=""/>
    <n v="88"/>
    <x v="5"/>
    <x v="7"/>
    <x v="16"/>
    <x v="61"/>
    <x v="0"/>
    <x v="1"/>
    <s v="Curierat_sputa_medic"/>
    <s v="Curierat_sputa_medic!$A:$j"/>
    <n v="8400"/>
    <m/>
    <n v="0"/>
    <m/>
    <n v="0"/>
    <m/>
    <n v="0"/>
    <m/>
    <n v="8400"/>
    <n v="8400"/>
    <m/>
    <n v="0"/>
    <m/>
    <n v="0"/>
    <m/>
    <n v="0"/>
    <m/>
    <n v="8400"/>
    <n v="8400"/>
    <m/>
    <n v="0"/>
    <m/>
    <n v="0"/>
    <m/>
    <n v="0"/>
    <m/>
    <n v="8400"/>
    <n v="0"/>
    <m/>
    <n v="0"/>
    <m/>
    <n v="0"/>
    <m/>
    <n v="0"/>
    <m/>
    <n v="0"/>
    <n v="0"/>
    <m/>
    <n v="0"/>
    <m/>
    <n v="0"/>
    <m/>
    <n v="0"/>
    <m/>
    <x v="75"/>
  </r>
  <r>
    <s v=""/>
    <n v="89"/>
    <x v="1"/>
    <x v="1"/>
    <x v="17"/>
    <x v="62"/>
    <x v="0"/>
    <x v="4"/>
    <s v="Curierat_sputa_medic"/>
    <s v="Curierat_sputa_medic!$A:$j"/>
    <n v="1480.02"/>
    <m/>
    <n v="0"/>
    <m/>
    <n v="0"/>
    <m/>
    <n v="0"/>
    <m/>
    <n v="1480.02"/>
    <n v="7400.09"/>
    <m/>
    <n v="0"/>
    <m/>
    <n v="0"/>
    <m/>
    <n v="0"/>
    <m/>
    <n v="7400.09"/>
    <n v="11840.15"/>
    <m/>
    <n v="0"/>
    <m/>
    <n v="0"/>
    <m/>
    <n v="0"/>
    <m/>
    <n v="11840.15"/>
    <n v="18174.97"/>
    <m/>
    <n v="0"/>
    <m/>
    <n v="0"/>
    <m/>
    <n v="0"/>
    <m/>
    <n v="18174.97"/>
    <n v="18174.97"/>
    <m/>
    <n v="0"/>
    <m/>
    <n v="0"/>
    <m/>
    <n v="0"/>
    <m/>
    <x v="76"/>
  </r>
  <r>
    <s v=""/>
    <n v="90"/>
    <x v="1"/>
    <x v="1"/>
    <x v="17"/>
    <x v="62"/>
    <x v="0"/>
    <x v="1"/>
    <s v="Curierat_sputa_medic"/>
    <s v="Curierat_sputa_medic!$A:$j"/>
    <n v="16694.95"/>
    <m/>
    <n v="0"/>
    <m/>
    <n v="0"/>
    <m/>
    <n v="0"/>
    <m/>
    <n v="16694.95"/>
    <n v="10774.87"/>
    <m/>
    <n v="0"/>
    <m/>
    <n v="0"/>
    <m/>
    <n v="0"/>
    <m/>
    <n v="10774.87"/>
    <n v="6334.82"/>
    <m/>
    <n v="0"/>
    <m/>
    <n v="0"/>
    <m/>
    <n v="0"/>
    <m/>
    <n v="6334.82"/>
    <n v="0"/>
    <m/>
    <n v="0"/>
    <m/>
    <n v="0"/>
    <m/>
    <n v="0"/>
    <m/>
    <n v="0"/>
    <n v="0"/>
    <m/>
    <n v="0"/>
    <m/>
    <n v="0"/>
    <m/>
    <n v="0"/>
    <m/>
    <x v="77"/>
  </r>
  <r>
    <s v=""/>
    <n v="91"/>
    <x v="1"/>
    <x v="1"/>
    <x v="17"/>
    <x v="63"/>
    <x v="0"/>
    <x v="4"/>
    <s v="Curierat_sputa_medic"/>
    <s v="Curierat_sputa_medic!$A:$j"/>
    <n v="0"/>
    <m/>
    <n v="0"/>
    <m/>
    <n v="0"/>
    <m/>
    <n v="0"/>
    <m/>
    <n v="0"/>
    <n v="0"/>
    <m/>
    <n v="0"/>
    <m/>
    <n v="0"/>
    <m/>
    <n v="0"/>
    <m/>
    <n v="0"/>
    <n v="0"/>
    <m/>
    <n v="0"/>
    <m/>
    <n v="0"/>
    <m/>
    <n v="0"/>
    <m/>
    <n v="0"/>
    <n v="0"/>
    <m/>
    <n v="0"/>
    <m/>
    <n v="0"/>
    <m/>
    <n v="0"/>
    <m/>
    <n v="0"/>
    <n v="0"/>
    <m/>
    <n v="0"/>
    <m/>
    <n v="0"/>
    <m/>
    <n v="0"/>
    <m/>
    <x v="35"/>
  </r>
  <r>
    <s v=""/>
    <n v="92"/>
    <x v="1"/>
    <x v="1"/>
    <x v="17"/>
    <x v="63"/>
    <x v="0"/>
    <x v="1"/>
    <s v="Curierat_sputa_medic"/>
    <s v="Curierat_sputa_medic!$A:$j"/>
    <n v="8400"/>
    <m/>
    <n v="0"/>
    <m/>
    <n v="0"/>
    <m/>
    <n v="0"/>
    <m/>
    <n v="8400"/>
    <n v="8400"/>
    <m/>
    <n v="0"/>
    <m/>
    <n v="0"/>
    <m/>
    <n v="0"/>
    <m/>
    <n v="8400"/>
    <n v="8400"/>
    <m/>
    <n v="0"/>
    <m/>
    <n v="0"/>
    <m/>
    <n v="0"/>
    <m/>
    <n v="8400"/>
    <n v="0"/>
    <m/>
    <n v="0"/>
    <m/>
    <n v="0"/>
    <m/>
    <n v="0"/>
    <m/>
    <n v="0"/>
    <n v="0"/>
    <m/>
    <n v="0"/>
    <m/>
    <n v="0"/>
    <m/>
    <n v="0"/>
    <m/>
    <x v="75"/>
  </r>
  <r>
    <s v=""/>
    <n v="93"/>
    <x v="5"/>
    <x v="7"/>
    <x v="18"/>
    <x v="64"/>
    <x v="0"/>
    <x v="1"/>
    <s v="Estimare_laborator"/>
    <s v="Estimare_laborator!$A:$j"/>
    <n v="0"/>
    <m/>
    <n v="0"/>
    <m/>
    <n v="0"/>
    <m/>
    <n v="0"/>
    <m/>
    <n v="0"/>
    <n v="0"/>
    <m/>
    <n v="0"/>
    <m/>
    <n v="0"/>
    <m/>
    <n v="0"/>
    <m/>
    <n v="0"/>
    <n v="0"/>
    <m/>
    <n v="0"/>
    <m/>
    <n v="0"/>
    <m/>
    <n v="0"/>
    <m/>
    <n v="0"/>
    <n v="0"/>
    <m/>
    <n v="0"/>
    <m/>
    <n v="0"/>
    <m/>
    <n v="0"/>
    <m/>
    <n v="0"/>
    <n v="0"/>
    <m/>
    <n v="0"/>
    <m/>
    <n v="0"/>
    <m/>
    <n v="0"/>
    <m/>
    <x v="35"/>
  </r>
  <r>
    <s v=""/>
    <n v="94"/>
    <x v="1"/>
    <x v="1"/>
    <x v="19"/>
    <x v="65"/>
    <x v="1"/>
    <x v="1"/>
    <s v="Tratament_Scheme_scurte"/>
    <s v="Tratament_Scheme_scurte!$A:$j"/>
    <n v="0"/>
    <m/>
    <n v="0"/>
    <m/>
    <n v="0"/>
    <m/>
    <n v="0"/>
    <m/>
    <n v="0"/>
    <n v="0"/>
    <m/>
    <n v="0"/>
    <m/>
    <n v="0"/>
    <m/>
    <n v="0"/>
    <m/>
    <n v="0"/>
    <n v="376212"/>
    <m/>
    <n v="0"/>
    <m/>
    <n v="0"/>
    <m/>
    <n v="0"/>
    <m/>
    <n v="376212"/>
    <n v="0"/>
    <m/>
    <n v="0"/>
    <m/>
    <n v="0"/>
    <m/>
    <n v="0"/>
    <m/>
    <n v="0"/>
    <n v="0"/>
    <m/>
    <n v="0"/>
    <m/>
    <n v="0"/>
    <m/>
    <n v="0"/>
    <m/>
    <x v="48"/>
  </r>
  <r>
    <s v=""/>
    <n v="95"/>
    <x v="1"/>
    <x v="1"/>
    <x v="19"/>
    <x v="65"/>
    <x v="0"/>
    <x v="0"/>
    <s v="Tratament_Scheme_scurte"/>
    <s v="Tratament_Scheme_scurte!$A:$j"/>
    <n v="0"/>
    <m/>
    <n v="0"/>
    <m/>
    <n v="0"/>
    <m/>
    <n v="0"/>
    <m/>
    <n v="0"/>
    <n v="0"/>
    <m/>
    <n v="0"/>
    <m/>
    <n v="0"/>
    <m/>
    <n v="0"/>
    <m/>
    <n v="0"/>
    <n v="0"/>
    <m/>
    <n v="0"/>
    <m/>
    <n v="0"/>
    <m/>
    <n v="0"/>
    <m/>
    <n v="0"/>
    <n v="0"/>
    <m/>
    <n v="0"/>
    <m/>
    <n v="0"/>
    <m/>
    <n v="0"/>
    <m/>
    <n v="0"/>
    <n v="413833.19999999995"/>
    <m/>
    <n v="0"/>
    <m/>
    <n v="0"/>
    <m/>
    <n v="0"/>
    <m/>
    <x v="78"/>
  </r>
  <r>
    <s v=""/>
    <n v="96"/>
    <x v="5"/>
    <x v="6"/>
    <x v="20"/>
    <x v="66"/>
    <x v="0"/>
    <x v="1"/>
    <s v="Estimare_laborator"/>
    <s v="Estimare_laborator!$A:$j"/>
    <n v="24099.135284"/>
    <m/>
    <n v="0"/>
    <m/>
    <n v="0"/>
    <m/>
    <n v="0"/>
    <m/>
    <n v="24099.135284"/>
    <n v="24099.135284"/>
    <m/>
    <n v="0"/>
    <m/>
    <n v="0"/>
    <m/>
    <n v="0"/>
    <m/>
    <n v="24099.135284"/>
    <n v="24099.135284"/>
    <m/>
    <n v="0"/>
    <m/>
    <n v="0"/>
    <m/>
    <n v="0"/>
    <m/>
    <n v="24099.135284"/>
    <n v="0"/>
    <m/>
    <n v="0"/>
    <m/>
    <n v="0"/>
    <m/>
    <n v="0"/>
    <m/>
    <n v="0"/>
    <n v="0"/>
    <m/>
    <n v="0"/>
    <m/>
    <n v="0"/>
    <m/>
    <n v="0"/>
    <m/>
    <x v="79"/>
  </r>
  <r>
    <s v=""/>
    <n v="97"/>
    <x v="5"/>
    <x v="6"/>
    <x v="20"/>
    <x v="66"/>
    <x v="0"/>
    <x v="0"/>
    <s v="Estimare_laborator"/>
    <s v="Estimare_laborator!$A:$j"/>
    <n v="0"/>
    <m/>
    <n v="0"/>
    <m/>
    <n v="0"/>
    <m/>
    <n v="0"/>
    <m/>
    <n v="0"/>
    <n v="0"/>
    <m/>
    <n v="0"/>
    <m/>
    <n v="0"/>
    <m/>
    <n v="0"/>
    <m/>
    <n v="0"/>
    <n v="0"/>
    <m/>
    <n v="0"/>
    <m/>
    <n v="0"/>
    <m/>
    <n v="0"/>
    <m/>
    <n v="0"/>
    <n v="24099.135284"/>
    <m/>
    <n v="0"/>
    <m/>
    <n v="0"/>
    <m/>
    <n v="0"/>
    <m/>
    <n v="24099.135284"/>
    <n v="24099.135284"/>
    <m/>
    <n v="0"/>
    <m/>
    <n v="0"/>
    <m/>
    <n v="0"/>
    <m/>
    <x v="80"/>
  </r>
  <r>
    <s v=""/>
    <n v="98"/>
    <x v="5"/>
    <x v="6"/>
    <x v="20"/>
    <x v="67"/>
    <x v="0"/>
    <x v="1"/>
    <s v="Estimare_laborator"/>
    <s v="Estimare_laborator!$A:$j"/>
    <n v="4728.5721878499999"/>
    <m/>
    <n v="0"/>
    <m/>
    <n v="0"/>
    <m/>
    <n v="0"/>
    <m/>
    <n v="4728.5721878499999"/>
    <n v="4728.5721878499999"/>
    <m/>
    <n v="0"/>
    <m/>
    <n v="0"/>
    <m/>
    <n v="0"/>
    <m/>
    <n v="4728.5721878499999"/>
    <n v="4728.5721878499999"/>
    <m/>
    <n v="0"/>
    <m/>
    <n v="0"/>
    <m/>
    <n v="0"/>
    <m/>
    <n v="4728.5721878499999"/>
    <n v="0"/>
    <m/>
    <n v="0"/>
    <m/>
    <n v="0"/>
    <m/>
    <n v="0"/>
    <m/>
    <n v="0"/>
    <n v="0"/>
    <m/>
    <n v="0"/>
    <m/>
    <n v="0"/>
    <m/>
    <n v="0"/>
    <m/>
    <x v="81"/>
  </r>
  <r>
    <s v=""/>
    <n v="99"/>
    <x v="5"/>
    <x v="6"/>
    <x v="20"/>
    <x v="67"/>
    <x v="0"/>
    <x v="0"/>
    <s v="Estimare_laborator"/>
    <s v="Estimare_laborator!$A:$j"/>
    <n v="0"/>
    <m/>
    <n v="0"/>
    <m/>
    <n v="0"/>
    <m/>
    <n v="0"/>
    <m/>
    <n v="0"/>
    <n v="0"/>
    <m/>
    <n v="0"/>
    <m/>
    <n v="0"/>
    <m/>
    <n v="0"/>
    <m/>
    <n v="0"/>
    <n v="0"/>
    <m/>
    <n v="0"/>
    <m/>
    <n v="0"/>
    <m/>
    <n v="0"/>
    <m/>
    <n v="0"/>
    <n v="4728.5721878499999"/>
    <m/>
    <n v="0"/>
    <m/>
    <n v="0"/>
    <m/>
    <n v="0"/>
    <m/>
    <n v="4728.5721878499999"/>
    <n v="4728.5721878499999"/>
    <m/>
    <n v="0"/>
    <m/>
    <n v="0"/>
    <m/>
    <n v="0"/>
    <m/>
    <x v="82"/>
  </r>
  <r>
    <s v=""/>
    <n v="100"/>
    <x v="5"/>
    <x v="6"/>
    <x v="21"/>
    <x v="68"/>
    <x v="0"/>
    <x v="1"/>
    <s v="Estimare_laborator"/>
    <s v="Estimare_laborator!$A:$j"/>
    <n v="480000"/>
    <m/>
    <n v="0"/>
    <m/>
    <n v="0"/>
    <m/>
    <n v="0"/>
    <m/>
    <n v="480000"/>
    <n v="0"/>
    <m/>
    <n v="0"/>
    <m/>
    <n v="0"/>
    <m/>
    <n v="0"/>
    <m/>
    <n v="0"/>
    <n v="0"/>
    <m/>
    <n v="0"/>
    <m/>
    <n v="0"/>
    <m/>
    <n v="0"/>
    <m/>
    <n v="0"/>
    <n v="0"/>
    <m/>
    <n v="0"/>
    <m/>
    <n v="0"/>
    <m/>
    <n v="0"/>
    <m/>
    <n v="0"/>
    <n v="0"/>
    <m/>
    <n v="0"/>
    <m/>
    <n v="0"/>
    <m/>
    <n v="0"/>
    <m/>
    <x v="83"/>
  </r>
  <r>
    <s v=""/>
    <n v="101"/>
    <x v="1"/>
    <x v="4"/>
    <x v="22"/>
    <x v="69"/>
    <x v="1"/>
    <x v="1"/>
    <s v="RA_farmacovigilenta"/>
    <s v="RA_farmacovigilenta!$A:$j"/>
    <n v="40000"/>
    <m/>
    <n v="0"/>
    <m/>
    <n v="0"/>
    <m/>
    <n v="0"/>
    <m/>
    <n v="40000"/>
    <n v="0"/>
    <m/>
    <n v="0"/>
    <m/>
    <n v="0"/>
    <m/>
    <n v="0"/>
    <m/>
    <n v="0"/>
    <n v="0"/>
    <m/>
    <n v="0"/>
    <m/>
    <n v="0"/>
    <m/>
    <n v="0"/>
    <m/>
    <n v="0"/>
    <n v="0"/>
    <m/>
    <n v="0"/>
    <m/>
    <n v="0"/>
    <m/>
    <n v="0"/>
    <m/>
    <n v="0"/>
    <n v="0"/>
    <m/>
    <n v="0"/>
    <m/>
    <n v="0"/>
    <m/>
    <n v="0"/>
    <m/>
    <x v="5"/>
  </r>
  <r>
    <s v=""/>
    <n v="102"/>
    <x v="4"/>
    <x v="5"/>
    <x v="23"/>
    <x v="70"/>
    <x v="1"/>
    <x v="1"/>
    <s v="PNCT"/>
    <s v="PNCT!$A:$j"/>
    <n v="47500"/>
    <m/>
    <n v="0"/>
    <m/>
    <n v="0"/>
    <m/>
    <n v="0"/>
    <m/>
    <n v="47500"/>
    <n v="0"/>
    <m/>
    <n v="0"/>
    <m/>
    <n v="0"/>
    <m/>
    <n v="0"/>
    <m/>
    <n v="0"/>
    <n v="0"/>
    <m/>
    <n v="0"/>
    <m/>
    <n v="0"/>
    <m/>
    <n v="0"/>
    <m/>
    <n v="0"/>
    <n v="0"/>
    <m/>
    <n v="0"/>
    <m/>
    <n v="0"/>
    <m/>
    <n v="0"/>
    <m/>
    <n v="0"/>
    <n v="0"/>
    <m/>
    <n v="0"/>
    <m/>
    <n v="0"/>
    <m/>
    <n v="0"/>
    <m/>
    <x v="84"/>
  </r>
  <r>
    <s v=""/>
    <n v="103"/>
    <x v="4"/>
    <x v="5"/>
    <x v="24"/>
    <x v="71"/>
    <x v="3"/>
    <x v="1"/>
    <s v="PNCT"/>
    <s v="PNCT!$A:$j"/>
    <n v="120861.87337797999"/>
    <m/>
    <n v="0"/>
    <m/>
    <n v="0"/>
    <m/>
    <n v="0"/>
    <m/>
    <n v="120861.87337797999"/>
    <n v="120861.87337797999"/>
    <m/>
    <n v="0"/>
    <m/>
    <n v="0"/>
    <m/>
    <n v="0"/>
    <m/>
    <n v="120861.87337797999"/>
    <n v="120861.87337797999"/>
    <m/>
    <n v="0"/>
    <m/>
    <n v="0"/>
    <m/>
    <n v="0"/>
    <m/>
    <n v="120861.87337797999"/>
    <n v="0"/>
    <m/>
    <n v="0"/>
    <m/>
    <n v="0"/>
    <m/>
    <n v="0"/>
    <m/>
    <n v="0"/>
    <n v="0"/>
    <m/>
    <n v="0"/>
    <m/>
    <n v="0"/>
    <m/>
    <n v="0"/>
    <m/>
    <x v="85"/>
  </r>
  <r>
    <s v=""/>
    <n v="104"/>
    <x v="4"/>
    <x v="8"/>
    <x v="25"/>
    <x v="72"/>
    <x v="3"/>
    <x v="1"/>
    <s v="PNCT"/>
    <s v="PNCT!$A:$j"/>
    <n v="374400"/>
    <m/>
    <n v="0"/>
    <m/>
    <n v="0"/>
    <m/>
    <n v="0"/>
    <m/>
    <n v="374400"/>
    <n v="374400"/>
    <m/>
    <n v="0"/>
    <m/>
    <n v="0"/>
    <m/>
    <n v="0"/>
    <m/>
    <n v="374400"/>
    <n v="374400"/>
    <m/>
    <n v="0"/>
    <m/>
    <n v="0"/>
    <m/>
    <n v="0"/>
    <m/>
    <n v="374400"/>
    <n v="0"/>
    <m/>
    <n v="0"/>
    <m/>
    <n v="0"/>
    <m/>
    <n v="0"/>
    <m/>
    <n v="0"/>
    <n v="0"/>
    <m/>
    <n v="0"/>
    <m/>
    <n v="0"/>
    <m/>
    <n v="0"/>
    <m/>
    <x v="86"/>
  </r>
  <r>
    <s v=""/>
    <n v="105"/>
    <x v="4"/>
    <x v="5"/>
    <x v="26"/>
    <x v="73"/>
    <x v="1"/>
    <x v="1"/>
    <s v="PNCT"/>
    <s v="PNCT!$A:$j"/>
    <n v="3434323.0249999999"/>
    <m/>
    <n v="0"/>
    <m/>
    <n v="0"/>
    <m/>
    <n v="0"/>
    <m/>
    <n v="3434323.0249999999"/>
    <n v="392494.06"/>
    <m/>
    <n v="0"/>
    <m/>
    <n v="0"/>
    <m/>
    <n v="0"/>
    <m/>
    <n v="392494.06"/>
    <n v="392494.06"/>
    <m/>
    <n v="0"/>
    <m/>
    <n v="0"/>
    <m/>
    <n v="0"/>
    <m/>
    <n v="392494.06"/>
    <n v="0"/>
    <m/>
    <n v="0"/>
    <m/>
    <n v="0"/>
    <m/>
    <n v="0"/>
    <m/>
    <n v="0"/>
    <n v="0"/>
    <m/>
    <n v="0"/>
    <m/>
    <n v="0"/>
    <m/>
    <n v="0"/>
    <m/>
    <x v="87"/>
  </r>
  <r>
    <s v=""/>
    <n v="106"/>
    <x v="5"/>
    <x v="6"/>
    <x v="21"/>
    <x v="74"/>
    <x v="0"/>
    <x v="1"/>
    <s v="Estimare_laborator"/>
    <s v="Estimare_laborator!$A:$j"/>
    <n v="0"/>
    <m/>
    <n v="0"/>
    <m/>
    <n v="0"/>
    <m/>
    <n v="0"/>
    <m/>
    <n v="0"/>
    <n v="60430.936688989997"/>
    <m/>
    <n v="0"/>
    <m/>
    <n v="0"/>
    <m/>
    <n v="0"/>
    <m/>
    <n v="60430.936688989997"/>
    <n v="0"/>
    <m/>
    <n v="0"/>
    <m/>
    <n v="0"/>
    <m/>
    <n v="0"/>
    <m/>
    <n v="0"/>
    <n v="0"/>
    <m/>
    <n v="0"/>
    <m/>
    <n v="0"/>
    <m/>
    <n v="0"/>
    <m/>
    <n v="0"/>
    <n v="0"/>
    <m/>
    <n v="0"/>
    <m/>
    <n v="0"/>
    <m/>
    <n v="0"/>
    <m/>
    <x v="88"/>
  </r>
  <r>
    <s v=""/>
    <n v="107"/>
    <x v="5"/>
    <x v="7"/>
    <x v="27"/>
    <x v="75"/>
    <x v="0"/>
    <x v="2"/>
    <s v="Estimare_lab_2"/>
    <s v="Estimare_lab_2!$A:$j"/>
    <n v="9992617.8345800005"/>
    <m/>
    <n v="0"/>
    <m/>
    <n v="0"/>
    <m/>
    <n v="0"/>
    <m/>
    <n v="9992617.8345800005"/>
    <n v="10136361.856999999"/>
    <m/>
    <n v="0"/>
    <m/>
    <n v="0"/>
    <m/>
    <n v="0"/>
    <m/>
    <n v="10136361.856999999"/>
    <n v="10152673.266179999"/>
    <m/>
    <n v="0"/>
    <m/>
    <n v="0"/>
    <m/>
    <n v="0"/>
    <m/>
    <n v="10152673.266179999"/>
    <n v="11084010.81992"/>
    <m/>
    <n v="0"/>
    <m/>
    <n v="0"/>
    <m/>
    <n v="0"/>
    <m/>
    <n v="11084010.81992"/>
    <n v="14483733.714700002"/>
    <m/>
    <n v="0"/>
    <m/>
    <n v="0"/>
    <m/>
    <n v="0"/>
    <m/>
    <x v="89"/>
  </r>
  <r>
    <s v=""/>
    <n v="108"/>
    <x v="5"/>
    <x v="7"/>
    <x v="27"/>
    <x v="76"/>
    <x v="0"/>
    <x v="4"/>
    <s v="Estimare_lab_2"/>
    <s v="Estimare_lab_2!$A:$j"/>
    <n v="2044038.4774200004"/>
    <m/>
    <n v="0"/>
    <m/>
    <n v="0"/>
    <m/>
    <n v="0"/>
    <m/>
    <n v="2044038.4774200004"/>
    <n v="2165809.0521000004"/>
    <m/>
    <n v="0"/>
    <m/>
    <n v="0"/>
    <m/>
    <n v="0"/>
    <m/>
    <n v="2165809.0521000004"/>
    <n v="2234950.1270800005"/>
    <m/>
    <n v="0"/>
    <m/>
    <n v="0"/>
    <m/>
    <n v="0"/>
    <m/>
    <n v="2234950.1270800005"/>
    <n v="3055105.0926000006"/>
    <m/>
    <n v="0"/>
    <m/>
    <n v="0"/>
    <m/>
    <n v="0"/>
    <m/>
    <n v="3055105.0926000006"/>
    <n v="3468463.0493200002"/>
    <m/>
    <n v="0"/>
    <m/>
    <n v="0"/>
    <m/>
    <n v="0"/>
    <m/>
    <x v="90"/>
  </r>
  <r>
    <s v=""/>
    <n v="109"/>
    <x v="5"/>
    <x v="9"/>
    <x v="28"/>
    <x v="77"/>
    <x v="0"/>
    <x v="2"/>
    <s v="Estimare_lab_2"/>
    <s v="Estimare_lab_2!$A:$j"/>
    <n v="2521760.48"/>
    <m/>
    <n v="0"/>
    <m/>
    <n v="0"/>
    <m/>
    <n v="0"/>
    <m/>
    <n v="2521760.48"/>
    <n v="2882838.4"/>
    <m/>
    <n v="0"/>
    <m/>
    <n v="0"/>
    <m/>
    <n v="0"/>
    <m/>
    <n v="2882838.4"/>
    <n v="3256209.36"/>
    <m/>
    <n v="0"/>
    <m/>
    <n v="0"/>
    <m/>
    <n v="0"/>
    <m/>
    <n v="3256209.36"/>
    <n v="6067217.8399999999"/>
    <m/>
    <n v="0"/>
    <m/>
    <n v="0"/>
    <m/>
    <n v="0"/>
    <m/>
    <n v="6067217.8399999999"/>
    <n v="5896320.4799999995"/>
    <m/>
    <n v="0"/>
    <m/>
    <n v="0"/>
    <m/>
    <n v="0"/>
    <m/>
    <x v="91"/>
  </r>
  <r>
    <s v=""/>
    <n v="110"/>
    <x v="5"/>
    <x v="9"/>
    <x v="28"/>
    <x v="78"/>
    <x v="0"/>
    <x v="4"/>
    <s v="Estimare_lab_2"/>
    <s v="Estimare_lab_2!$A:$j"/>
    <n v="0"/>
    <m/>
    <n v="0"/>
    <m/>
    <n v="0"/>
    <m/>
    <n v="0"/>
    <m/>
    <n v="0"/>
    <n v="0"/>
    <m/>
    <n v="0"/>
    <m/>
    <n v="0"/>
    <m/>
    <n v="0"/>
    <m/>
    <n v="0"/>
    <n v="0"/>
    <m/>
    <n v="0"/>
    <m/>
    <n v="0"/>
    <m/>
    <n v="0"/>
    <m/>
    <n v="0"/>
    <n v="1577606.8"/>
    <m/>
    <n v="0"/>
    <m/>
    <n v="0"/>
    <m/>
    <n v="0"/>
    <m/>
    <n v="1577606.8"/>
    <n v="1577606.8"/>
    <m/>
    <n v="0"/>
    <m/>
    <n v="0"/>
    <m/>
    <n v="0"/>
    <m/>
    <x v="92"/>
  </r>
  <r>
    <s v=""/>
    <n v="111"/>
    <x v="5"/>
    <x v="7"/>
    <x v="27"/>
    <x v="75"/>
    <x v="0"/>
    <x v="1"/>
    <s v="Estimare_lab_2"/>
    <s v="Estimare_lab_2!$A:$j"/>
    <n v="3392726.8771122"/>
    <m/>
    <n v="0"/>
    <m/>
    <n v="0"/>
    <m/>
    <n v="0"/>
    <m/>
    <n v="3392726.8771122"/>
    <n v="2467330.6668266403"/>
    <m/>
    <n v="0"/>
    <m/>
    <n v="0"/>
    <m/>
    <n v="0"/>
    <m/>
    <n v="2467330.6668266403"/>
    <n v="3948853.4793260694"/>
    <m/>
    <n v="0"/>
    <m/>
    <n v="0"/>
    <m/>
    <n v="0"/>
    <m/>
    <n v="3948853.4793260694"/>
    <n v="0"/>
    <m/>
    <n v="0"/>
    <m/>
    <n v="0"/>
    <m/>
    <n v="0"/>
    <m/>
    <n v="0"/>
    <n v="0"/>
    <m/>
    <n v="0"/>
    <m/>
    <n v="0"/>
    <m/>
    <n v="0"/>
    <m/>
    <x v="93"/>
  </r>
  <r>
    <s v=""/>
    <n v="112"/>
    <x v="5"/>
    <x v="7"/>
    <x v="27"/>
    <x v="76"/>
    <x v="0"/>
    <x v="1"/>
    <s v="Estimare_lab_2"/>
    <s v="Estimare_lab_2!$A:$j"/>
    <n v="1470178.3286745499"/>
    <m/>
    <n v="0"/>
    <m/>
    <n v="0"/>
    <m/>
    <n v="0"/>
    <m/>
    <n v="1470178.3286745499"/>
    <n v="1245812.3287311299"/>
    <m/>
    <n v="0"/>
    <m/>
    <n v="0"/>
    <m/>
    <n v="0"/>
    <m/>
    <n v="1245812.3287311299"/>
    <n v="1715292.18003723"/>
    <m/>
    <n v="0"/>
    <m/>
    <n v="0"/>
    <m/>
    <n v="0"/>
    <m/>
    <n v="1715292.18003723"/>
    <n v="0"/>
    <m/>
    <n v="0"/>
    <m/>
    <n v="0"/>
    <m/>
    <n v="0"/>
    <m/>
    <n v="0"/>
    <n v="0"/>
    <m/>
    <n v="0"/>
    <m/>
    <n v="0"/>
    <m/>
    <n v="0"/>
    <m/>
    <x v="94"/>
  </r>
  <r>
    <s v=""/>
    <n v="113"/>
    <x v="5"/>
    <x v="9"/>
    <x v="28"/>
    <x v="77"/>
    <x v="0"/>
    <x v="1"/>
    <s v="Estimare_lab_2"/>
    <s v="Estimare_lab_2!$A:$j"/>
    <n v="2309304.7907679002"/>
    <m/>
    <n v="0"/>
    <m/>
    <n v="0"/>
    <m/>
    <n v="0"/>
    <m/>
    <n v="2309304.7907679002"/>
    <n v="2159950.2570341998"/>
    <m/>
    <n v="0"/>
    <m/>
    <n v="0"/>
    <m/>
    <n v="0"/>
    <m/>
    <n v="2159950.2570341998"/>
    <n v="1995967.4974562998"/>
    <m/>
    <n v="0"/>
    <m/>
    <n v="0"/>
    <m/>
    <n v="0"/>
    <m/>
    <n v="1995967.4974562998"/>
    <n v="0"/>
    <m/>
    <n v="0"/>
    <m/>
    <n v="0"/>
    <m/>
    <n v="0"/>
    <m/>
    <n v="0"/>
    <n v="0"/>
    <m/>
    <n v="0"/>
    <m/>
    <n v="0"/>
    <m/>
    <n v="0"/>
    <m/>
    <x v="95"/>
  </r>
  <r>
    <s v=""/>
    <n v="114"/>
    <x v="5"/>
    <x v="9"/>
    <x v="28"/>
    <x v="78"/>
    <x v="0"/>
    <x v="1"/>
    <s v="Estimare_lab_2"/>
    <s v="Estimare_lab_2!$A:$j"/>
    <n v="1010264.3289735999"/>
    <m/>
    <n v="0"/>
    <m/>
    <n v="0"/>
    <m/>
    <n v="0"/>
    <m/>
    <n v="1010264.3289735999"/>
    <n v="1057581.0930746999"/>
    <m/>
    <n v="0"/>
    <m/>
    <n v="0"/>
    <m/>
    <n v="0"/>
    <m/>
    <n v="1057581.0930746999"/>
    <n v="1114108.1825541998"/>
    <m/>
    <n v="0"/>
    <m/>
    <n v="0"/>
    <m/>
    <n v="0"/>
    <m/>
    <n v="1114108.1825541998"/>
    <n v="0"/>
    <m/>
    <n v="0"/>
    <m/>
    <n v="0"/>
    <m/>
    <n v="0"/>
    <m/>
    <n v="0"/>
    <n v="0"/>
    <m/>
    <n v="0"/>
    <m/>
    <n v="0"/>
    <m/>
    <n v="0"/>
    <m/>
    <x v="96"/>
  </r>
  <r>
    <s v=""/>
    <n v="115"/>
    <x v="4"/>
    <x v="8"/>
    <x v="29"/>
    <x v="79"/>
    <x v="0"/>
    <x v="0"/>
    <s v="Sisteme_de_sanatate"/>
    <s v="Sisteme_de_sanatate!$A:$j"/>
    <n v="0"/>
    <m/>
    <n v="0"/>
    <m/>
    <n v="0"/>
    <m/>
    <n v="0"/>
    <m/>
    <n v="0"/>
    <n v="0"/>
    <m/>
    <n v="0"/>
    <m/>
    <n v="0"/>
    <m/>
    <n v="0"/>
    <m/>
    <n v="0"/>
    <n v="0"/>
    <m/>
    <n v="0"/>
    <m/>
    <n v="0"/>
    <m/>
    <n v="0"/>
    <m/>
    <n v="0"/>
    <n v="20605.939999999999"/>
    <m/>
    <n v="0"/>
    <m/>
    <n v="0"/>
    <m/>
    <n v="0"/>
    <m/>
    <n v="20605.939999999999"/>
    <n v="20605.939999999999"/>
    <m/>
    <n v="0"/>
    <m/>
    <n v="0"/>
    <m/>
    <n v="0"/>
    <m/>
    <x v="97"/>
  </r>
  <r>
    <s v=""/>
    <n v="116"/>
    <x v="4"/>
    <x v="8"/>
    <x v="29"/>
    <x v="79"/>
    <x v="3"/>
    <x v="1"/>
    <s v="Sisteme_de_sanatate"/>
    <s v="Sisteme_de_sanatate!$A:$j"/>
    <n v="20605.939999999999"/>
    <m/>
    <n v="0"/>
    <m/>
    <n v="0"/>
    <m/>
    <n v="0"/>
    <m/>
    <n v="20605.939999999999"/>
    <n v="20605.939999999999"/>
    <m/>
    <n v="0"/>
    <m/>
    <n v="0"/>
    <m/>
    <n v="0"/>
    <m/>
    <n v="20605.939999999999"/>
    <n v="20605.939999999999"/>
    <m/>
    <n v="0"/>
    <m/>
    <n v="0"/>
    <m/>
    <n v="0"/>
    <m/>
    <n v="20605.939999999999"/>
    <n v="0"/>
    <m/>
    <n v="0"/>
    <m/>
    <n v="0"/>
    <m/>
    <n v="0"/>
    <m/>
    <n v="0"/>
    <n v="0"/>
    <m/>
    <n v="0"/>
    <m/>
    <n v="0"/>
    <m/>
    <n v="0"/>
    <m/>
    <x v="98"/>
  </r>
  <r>
    <s v=""/>
    <n v="117"/>
    <x v="4"/>
    <x v="8"/>
    <x v="29"/>
    <x v="80"/>
    <x v="0"/>
    <x v="4"/>
    <s v="Sisteme_de_sanatate"/>
    <s v="Sisteme_de_sanatate!$A:$j"/>
    <n v="0"/>
    <m/>
    <n v="0"/>
    <m/>
    <n v="0"/>
    <m/>
    <n v="0"/>
    <m/>
    <n v="0"/>
    <n v="0"/>
    <m/>
    <n v="0"/>
    <m/>
    <n v="0"/>
    <m/>
    <n v="0"/>
    <m/>
    <n v="0"/>
    <n v="0"/>
    <m/>
    <n v="0"/>
    <m/>
    <n v="0"/>
    <m/>
    <n v="0"/>
    <m/>
    <n v="0"/>
    <n v="5887.41"/>
    <m/>
    <n v="0"/>
    <m/>
    <n v="0"/>
    <m/>
    <n v="0"/>
    <m/>
    <n v="5887.41"/>
    <n v="5887.41"/>
    <m/>
    <n v="0"/>
    <m/>
    <n v="0"/>
    <m/>
    <n v="0"/>
    <m/>
    <x v="99"/>
  </r>
  <r>
    <s v=""/>
    <n v="118"/>
    <x v="4"/>
    <x v="8"/>
    <x v="29"/>
    <x v="80"/>
    <x v="0"/>
    <x v="1"/>
    <s v="Sisteme_de_sanatate"/>
    <s v="Sisteme_de_sanatate!$A:$j"/>
    <n v="5887.4108999999999"/>
    <m/>
    <n v="0"/>
    <m/>
    <n v="0"/>
    <m/>
    <n v="0"/>
    <m/>
    <n v="5887.4108999999999"/>
    <n v="5887.4108999999999"/>
    <m/>
    <n v="0"/>
    <m/>
    <n v="0"/>
    <m/>
    <n v="0"/>
    <m/>
    <n v="5887.4108999999999"/>
    <n v="5887.4108999999999"/>
    <m/>
    <n v="0"/>
    <m/>
    <n v="0"/>
    <m/>
    <n v="0"/>
    <m/>
    <n v="5887.4108999999999"/>
    <n v="9.0000000000145519E-4"/>
    <m/>
    <n v="0"/>
    <m/>
    <n v="0"/>
    <m/>
    <n v="0"/>
    <m/>
    <n v="9.0000000000145519E-4"/>
    <n v="0"/>
    <m/>
    <n v="0"/>
    <m/>
    <n v="0"/>
    <m/>
    <n v="0"/>
    <m/>
    <x v="100"/>
  </r>
  <r>
    <s v=""/>
    <n v="119"/>
    <x v="4"/>
    <x v="8"/>
    <x v="29"/>
    <x v="79"/>
    <x v="0"/>
    <x v="2"/>
    <s v="Sisteme_de_sanatate"/>
    <s v="Sisteme_de_sanatate!$A:$j"/>
    <n v="0"/>
    <m/>
    <n v="0"/>
    <m/>
    <n v="0"/>
    <m/>
    <n v="0"/>
    <m/>
    <n v="0"/>
    <n v="0"/>
    <m/>
    <n v="0"/>
    <m/>
    <n v="0"/>
    <m/>
    <n v="0"/>
    <m/>
    <n v="0"/>
    <n v="0"/>
    <m/>
    <n v="0"/>
    <m/>
    <n v="0"/>
    <m/>
    <n v="0"/>
    <m/>
    <n v="0"/>
    <n v="147822.62"/>
    <m/>
    <n v="0"/>
    <m/>
    <n v="0"/>
    <m/>
    <n v="0"/>
    <m/>
    <n v="147822.62"/>
    <n v="147822.62"/>
    <m/>
    <n v="0"/>
    <m/>
    <n v="0"/>
    <m/>
    <n v="0"/>
    <m/>
    <x v="101"/>
  </r>
  <r>
    <s v=""/>
    <n v="120"/>
    <x v="4"/>
    <x v="8"/>
    <x v="29"/>
    <x v="79"/>
    <x v="3"/>
    <x v="1"/>
    <s v="Sisteme_de_sanatate"/>
    <s v="Sisteme_de_sanatate!$A:$j"/>
    <n v="147822.62"/>
    <m/>
    <n v="0"/>
    <m/>
    <n v="0"/>
    <m/>
    <n v="0"/>
    <m/>
    <n v="147822.62"/>
    <n v="147822.62"/>
    <m/>
    <n v="0"/>
    <m/>
    <n v="0"/>
    <m/>
    <n v="0"/>
    <m/>
    <n v="147822.62"/>
    <n v="147822.62"/>
    <m/>
    <n v="0"/>
    <m/>
    <n v="0"/>
    <m/>
    <n v="0"/>
    <m/>
    <n v="147822.62"/>
    <n v="0"/>
    <m/>
    <n v="0"/>
    <m/>
    <n v="0"/>
    <m/>
    <n v="0"/>
    <m/>
    <n v="0"/>
    <n v="0"/>
    <m/>
    <n v="0"/>
    <m/>
    <n v="0"/>
    <m/>
    <n v="0"/>
    <m/>
    <x v="102"/>
  </r>
  <r>
    <s v=""/>
    <n v="121"/>
    <x v="4"/>
    <x v="8"/>
    <x v="29"/>
    <x v="80"/>
    <x v="0"/>
    <x v="4"/>
    <s v="Sisteme_de_sanatate"/>
    <s v="Sisteme_de_sanatate!$A:$j"/>
    <n v="0"/>
    <m/>
    <n v="0"/>
    <m/>
    <n v="0"/>
    <m/>
    <n v="0"/>
    <m/>
    <n v="0"/>
    <n v="0"/>
    <m/>
    <n v="0"/>
    <m/>
    <n v="0"/>
    <m/>
    <n v="0"/>
    <m/>
    <n v="0"/>
    <n v="0"/>
    <m/>
    <n v="0"/>
    <m/>
    <n v="0"/>
    <m/>
    <n v="0"/>
    <m/>
    <n v="0"/>
    <n v="49274.21"/>
    <m/>
    <n v="0"/>
    <m/>
    <n v="0"/>
    <m/>
    <n v="0"/>
    <m/>
    <n v="49274.21"/>
    <n v="49274.21"/>
    <m/>
    <n v="0"/>
    <m/>
    <n v="0"/>
    <m/>
    <n v="0"/>
    <m/>
    <x v="103"/>
  </r>
  <r>
    <s v=""/>
    <n v="122"/>
    <x v="4"/>
    <x v="8"/>
    <x v="29"/>
    <x v="80"/>
    <x v="3"/>
    <x v="1"/>
    <s v="Sisteme_de_sanatate"/>
    <s v="Sisteme_de_sanatate!$A:$j"/>
    <n v="49274.208053500013"/>
    <m/>
    <n v="0"/>
    <m/>
    <n v="0"/>
    <m/>
    <n v="0"/>
    <m/>
    <n v="49274.208053500013"/>
    <n v="49274.208053500013"/>
    <m/>
    <n v="0"/>
    <m/>
    <n v="0"/>
    <m/>
    <n v="0"/>
    <m/>
    <n v="49274.208053500013"/>
    <n v="49274.208053500013"/>
    <m/>
    <n v="0"/>
    <m/>
    <n v="0"/>
    <m/>
    <n v="0"/>
    <m/>
    <n v="49274.208053500013"/>
    <n v="-1.9464999859337695E-3"/>
    <m/>
    <n v="0"/>
    <m/>
    <n v="0"/>
    <m/>
    <n v="0"/>
    <m/>
    <n v="-1.9464999859337695E-3"/>
    <n v="0"/>
    <m/>
    <n v="0"/>
    <m/>
    <n v="0"/>
    <m/>
    <n v="0"/>
    <m/>
    <x v="104"/>
  </r>
  <r>
    <s v=""/>
    <n v="123"/>
    <x v="4"/>
    <x v="8"/>
    <x v="29"/>
    <x v="79"/>
    <x v="0"/>
    <x v="2"/>
    <s v="Sisteme_de_sanatate"/>
    <s v="Sisteme_de_sanatate!$A:$j"/>
    <n v="0"/>
    <m/>
    <n v="0"/>
    <m/>
    <n v="0"/>
    <m/>
    <n v="0"/>
    <m/>
    <n v="0"/>
    <n v="0"/>
    <m/>
    <n v="0"/>
    <m/>
    <n v="0"/>
    <m/>
    <n v="0"/>
    <m/>
    <n v="0"/>
    <n v="0"/>
    <m/>
    <n v="0"/>
    <m/>
    <n v="0"/>
    <m/>
    <n v="0"/>
    <m/>
    <n v="0"/>
    <n v="158036.65"/>
    <m/>
    <n v="0"/>
    <m/>
    <n v="0"/>
    <m/>
    <n v="0"/>
    <m/>
    <n v="158036.65"/>
    <n v="158036.65"/>
    <m/>
    <n v="0"/>
    <m/>
    <n v="0"/>
    <m/>
    <n v="0"/>
    <m/>
    <x v="105"/>
  </r>
  <r>
    <s v=""/>
    <n v="124"/>
    <x v="4"/>
    <x v="8"/>
    <x v="29"/>
    <x v="79"/>
    <x v="3"/>
    <x v="1"/>
    <s v="Sisteme_de_sanatate"/>
    <s v="Sisteme_de_sanatate!$A:$j"/>
    <n v="158036.65"/>
    <m/>
    <n v="0"/>
    <m/>
    <n v="0"/>
    <m/>
    <n v="0"/>
    <m/>
    <n v="158036.65"/>
    <n v="158036.65"/>
    <m/>
    <n v="0"/>
    <m/>
    <n v="0"/>
    <m/>
    <n v="0"/>
    <m/>
    <n v="158036.65"/>
    <n v="158036.65"/>
    <m/>
    <n v="0"/>
    <m/>
    <n v="0"/>
    <m/>
    <n v="0"/>
    <m/>
    <n v="158036.65"/>
    <n v="0"/>
    <m/>
    <n v="0"/>
    <m/>
    <n v="0"/>
    <m/>
    <n v="0"/>
    <m/>
    <n v="0"/>
    <n v="0"/>
    <m/>
    <n v="0"/>
    <m/>
    <n v="0"/>
    <m/>
    <n v="0"/>
    <m/>
    <x v="106"/>
  </r>
  <r>
    <s v=""/>
    <n v="125"/>
    <x v="4"/>
    <x v="8"/>
    <x v="29"/>
    <x v="80"/>
    <x v="0"/>
    <x v="4"/>
    <s v="Sisteme_de_sanatate"/>
    <s v="Sisteme_de_sanatate!$A:$j"/>
    <n v="0"/>
    <m/>
    <n v="0"/>
    <m/>
    <n v="0"/>
    <m/>
    <n v="0"/>
    <m/>
    <n v="0"/>
    <n v="0"/>
    <m/>
    <n v="0"/>
    <m/>
    <n v="0"/>
    <m/>
    <n v="0"/>
    <m/>
    <n v="0"/>
    <n v="0"/>
    <m/>
    <n v="0"/>
    <m/>
    <n v="0"/>
    <m/>
    <n v="0"/>
    <m/>
    <n v="0"/>
    <n v="52678.89"/>
    <m/>
    <n v="0"/>
    <m/>
    <n v="0"/>
    <m/>
    <n v="0"/>
    <m/>
    <n v="52678.89"/>
    <n v="52678.89"/>
    <m/>
    <n v="0"/>
    <m/>
    <n v="0"/>
    <m/>
    <n v="0"/>
    <m/>
    <x v="107"/>
  </r>
  <r>
    <s v=""/>
    <n v="126"/>
    <x v="4"/>
    <x v="8"/>
    <x v="29"/>
    <x v="80"/>
    <x v="3"/>
    <x v="1"/>
    <s v="Sisteme_de_sanatate"/>
    <s v="Sisteme_de_sanatate!$A:$j"/>
    <n v="52678.888533780002"/>
    <m/>
    <n v="0"/>
    <m/>
    <n v="0"/>
    <m/>
    <n v="0"/>
    <m/>
    <n v="52678.888533780002"/>
    <n v="52678.888533780002"/>
    <m/>
    <n v="0"/>
    <m/>
    <n v="0"/>
    <m/>
    <n v="0"/>
    <m/>
    <n v="52678.888533780002"/>
    <n v="52678.888533780002"/>
    <m/>
    <n v="0"/>
    <m/>
    <n v="0"/>
    <m/>
    <n v="0"/>
    <m/>
    <n v="52678.888533780002"/>
    <n v="-1.4662199973827228E-3"/>
    <m/>
    <n v="0"/>
    <m/>
    <n v="0"/>
    <m/>
    <n v="0"/>
    <m/>
    <n v="-1.4662199973827228E-3"/>
    <n v="0"/>
    <m/>
    <n v="0"/>
    <m/>
    <n v="0"/>
    <m/>
    <n v="0"/>
    <m/>
    <x v="108"/>
  </r>
  <r>
    <s v=""/>
    <n v="127"/>
    <x v="4"/>
    <x v="8"/>
    <x v="29"/>
    <x v="81"/>
    <x v="0"/>
    <x v="2"/>
    <s v="Sisteme_de_sanatate"/>
    <s v="Sisteme_de_sanatate!$A:$j"/>
    <n v="0"/>
    <m/>
    <n v="0"/>
    <m/>
    <n v="0"/>
    <m/>
    <n v="0"/>
    <m/>
    <n v="0"/>
    <n v="0"/>
    <m/>
    <n v="0"/>
    <m/>
    <n v="0"/>
    <m/>
    <n v="0"/>
    <m/>
    <n v="0"/>
    <n v="0"/>
    <m/>
    <n v="0"/>
    <m/>
    <n v="0"/>
    <m/>
    <n v="0"/>
    <m/>
    <n v="0"/>
    <n v="184473.56"/>
    <m/>
    <n v="0"/>
    <m/>
    <n v="0"/>
    <m/>
    <n v="0"/>
    <m/>
    <n v="184473.56"/>
    <n v="184473.56"/>
    <m/>
    <n v="0"/>
    <m/>
    <n v="0"/>
    <m/>
    <n v="0"/>
    <m/>
    <x v="109"/>
  </r>
  <r>
    <s v=""/>
    <n v="128"/>
    <x v="4"/>
    <x v="8"/>
    <x v="29"/>
    <x v="81"/>
    <x v="3"/>
    <x v="1"/>
    <s v="Sisteme_de_sanatate"/>
    <s v="Sisteme_de_sanatate!$A:$j"/>
    <n v="189744.22999999998"/>
    <m/>
    <n v="0"/>
    <m/>
    <n v="0"/>
    <m/>
    <n v="0"/>
    <m/>
    <n v="189744.22999999998"/>
    <n v="221368.27499999997"/>
    <m/>
    <n v="0"/>
    <m/>
    <n v="0"/>
    <m/>
    <n v="0"/>
    <m/>
    <n v="221368.27499999997"/>
    <n v="221368.27499999997"/>
    <m/>
    <n v="0"/>
    <m/>
    <n v="0"/>
    <m/>
    <n v="0"/>
    <m/>
    <n v="221368.27499999997"/>
    <n v="0"/>
    <m/>
    <n v="0"/>
    <m/>
    <n v="0"/>
    <m/>
    <n v="0"/>
    <m/>
    <n v="0"/>
    <n v="0"/>
    <m/>
    <n v="0"/>
    <m/>
    <n v="0"/>
    <m/>
    <n v="0"/>
    <m/>
    <x v="110"/>
  </r>
  <r>
    <s v=""/>
    <n v="129"/>
    <x v="4"/>
    <x v="8"/>
    <x v="29"/>
    <x v="82"/>
    <x v="0"/>
    <x v="4"/>
    <s v="Sisteme_de_sanatate"/>
    <s v="Sisteme_de_sanatate!$A:$j"/>
    <n v="0"/>
    <m/>
    <n v="0"/>
    <m/>
    <n v="0"/>
    <m/>
    <n v="0"/>
    <m/>
    <n v="0"/>
    <n v="0"/>
    <m/>
    <n v="0"/>
    <m/>
    <n v="0"/>
    <m/>
    <n v="0"/>
    <m/>
    <n v="0"/>
    <n v="0"/>
    <m/>
    <n v="0"/>
    <m/>
    <n v="0"/>
    <m/>
    <n v="0"/>
    <m/>
    <n v="0"/>
    <n v="43922.28"/>
    <m/>
    <n v="0"/>
    <m/>
    <n v="0"/>
    <m/>
    <n v="0"/>
    <m/>
    <n v="43922.28"/>
    <n v="43922.28"/>
    <m/>
    <n v="0"/>
    <m/>
    <n v="0"/>
    <m/>
    <n v="0"/>
    <m/>
    <x v="111"/>
  </r>
  <r>
    <s v=""/>
    <n v="130"/>
    <x v="4"/>
    <x v="8"/>
    <x v="29"/>
    <x v="82"/>
    <x v="3"/>
    <x v="1"/>
    <s v="Sisteme_de_sanatate"/>
    <s v="Sisteme_de_sanatate!$A:$j"/>
    <n v="42165.38"/>
    <m/>
    <n v="0"/>
    <m/>
    <n v="0"/>
    <m/>
    <n v="0"/>
    <m/>
    <n v="42165.38"/>
    <n v="52706.735000000001"/>
    <m/>
    <n v="0"/>
    <m/>
    <n v="0"/>
    <m/>
    <n v="0"/>
    <m/>
    <n v="52706.735000000001"/>
    <n v="52706.735000000001"/>
    <m/>
    <n v="0"/>
    <m/>
    <n v="0"/>
    <m/>
    <n v="0"/>
    <m/>
    <n v="52706.735000000001"/>
    <n v="-4.9999999973806553E-3"/>
    <m/>
    <n v="0"/>
    <m/>
    <n v="0"/>
    <m/>
    <n v="0"/>
    <m/>
    <n v="-4.9999999973806553E-3"/>
    <n v="-4.9999999973806553E-3"/>
    <m/>
    <n v="0"/>
    <m/>
    <n v="0"/>
    <m/>
    <n v="0"/>
    <m/>
    <x v="112"/>
  </r>
  <r>
    <s v=""/>
    <n v="131"/>
    <x v="4"/>
    <x v="8"/>
    <x v="29"/>
    <x v="83"/>
    <x v="0"/>
    <x v="0"/>
    <s v="Sisteme_de_sanatate"/>
    <s v="Sisteme_de_sanatate!$A:$j"/>
    <n v="0"/>
    <m/>
    <n v="0"/>
    <m/>
    <n v="0"/>
    <m/>
    <n v="0"/>
    <m/>
    <n v="0"/>
    <n v="0"/>
    <m/>
    <n v="0"/>
    <m/>
    <n v="0"/>
    <m/>
    <n v="0"/>
    <m/>
    <n v="0"/>
    <n v="0"/>
    <m/>
    <n v="0"/>
    <m/>
    <n v="0"/>
    <m/>
    <n v="0"/>
    <m/>
    <n v="0"/>
    <n v="409101.5"/>
    <m/>
    <n v="0"/>
    <m/>
    <n v="0"/>
    <m/>
    <n v="0"/>
    <m/>
    <n v="409101.5"/>
    <n v="409101.5"/>
    <m/>
    <n v="0"/>
    <m/>
    <n v="0"/>
    <m/>
    <n v="0"/>
    <m/>
    <x v="113"/>
  </r>
  <r>
    <s v=""/>
    <n v="132"/>
    <x v="4"/>
    <x v="8"/>
    <x v="29"/>
    <x v="83"/>
    <x v="3"/>
    <x v="1"/>
    <s v="Sisteme_de_sanatate"/>
    <s v="Sisteme_de_sanatate!$A:$j"/>
    <n v="392762.69479999994"/>
    <m/>
    <n v="0"/>
    <m/>
    <n v="0"/>
    <m/>
    <n v="0"/>
    <m/>
    <n v="392762.69479999994"/>
    <n v="425545.9976"/>
    <m/>
    <n v="0"/>
    <m/>
    <n v="0"/>
    <m/>
    <n v="0"/>
    <m/>
    <n v="425545.9976"/>
    <n v="425545.9976"/>
    <m/>
    <n v="0"/>
    <m/>
    <n v="0"/>
    <m/>
    <n v="0"/>
    <m/>
    <n v="425545.9976"/>
    <n v="-2.4000000266823918E-3"/>
    <m/>
    <n v="0"/>
    <m/>
    <n v="0"/>
    <m/>
    <n v="0"/>
    <m/>
    <n v="-2.4000000266823918E-3"/>
    <n v="-2.4000000266823918E-3"/>
    <m/>
    <n v="0"/>
    <m/>
    <n v="0"/>
    <m/>
    <n v="0"/>
    <m/>
    <x v="114"/>
  </r>
  <r>
    <s v=""/>
    <n v="133"/>
    <x v="1"/>
    <x v="10"/>
    <x v="30"/>
    <x v="84"/>
    <x v="1"/>
    <x v="1"/>
    <s v="Aderenta_VOT"/>
    <s v="Aderenta_VOT!$A:$j"/>
    <n v="1023902.0150000001"/>
    <m/>
    <n v="0"/>
    <m/>
    <n v="0"/>
    <m/>
    <n v="0"/>
    <m/>
    <n v="1023902.0150000001"/>
    <n v="1015733.9350000001"/>
    <m/>
    <n v="0"/>
    <m/>
    <n v="0"/>
    <m/>
    <n v="0"/>
    <m/>
    <n v="1015733.9350000001"/>
    <n v="1015091.51"/>
    <m/>
    <n v="0"/>
    <m/>
    <n v="0"/>
    <m/>
    <n v="0"/>
    <m/>
    <n v="1015091.51"/>
    <n v="0"/>
    <m/>
    <n v="0"/>
    <m/>
    <n v="0"/>
    <m/>
    <n v="0"/>
    <m/>
    <n v="0"/>
    <n v="0"/>
    <m/>
    <n v="0"/>
    <m/>
    <n v="0"/>
    <m/>
    <n v="0"/>
    <m/>
    <x v="115"/>
  </r>
  <r>
    <s v=""/>
    <n v="134"/>
    <x v="1"/>
    <x v="10"/>
    <x v="30"/>
    <x v="85"/>
    <x v="1"/>
    <x v="1"/>
    <s v="Aderenta_VOT"/>
    <s v="Aderenta_VOT!$A:$j"/>
    <n v="115584"/>
    <m/>
    <n v="0"/>
    <m/>
    <n v="0"/>
    <m/>
    <n v="0"/>
    <m/>
    <n v="115584"/>
    <n v="115584"/>
    <m/>
    <n v="0"/>
    <m/>
    <n v="0"/>
    <m/>
    <n v="0"/>
    <m/>
    <n v="115584"/>
    <n v="115584"/>
    <m/>
    <n v="0"/>
    <m/>
    <n v="0"/>
    <m/>
    <n v="0"/>
    <m/>
    <n v="115584"/>
    <n v="0"/>
    <m/>
    <n v="0"/>
    <m/>
    <n v="0"/>
    <m/>
    <n v="0"/>
    <m/>
    <n v="0"/>
    <n v="0"/>
    <m/>
    <n v="0"/>
    <m/>
    <n v="0"/>
    <m/>
    <n v="0"/>
    <m/>
    <x v="116"/>
  </r>
  <r>
    <s v=""/>
    <n v="135"/>
    <x v="1"/>
    <x v="10"/>
    <x v="30"/>
    <x v="86"/>
    <x v="1"/>
    <x v="1"/>
    <s v="Aderenta_VOT"/>
    <s v="Aderenta_VOT!$A:$j"/>
    <n v="40000"/>
    <m/>
    <n v="0"/>
    <m/>
    <n v="0"/>
    <m/>
    <n v="0"/>
    <m/>
    <n v="40000"/>
    <n v="0"/>
    <m/>
    <n v="0"/>
    <m/>
    <n v="0"/>
    <m/>
    <n v="0"/>
    <m/>
    <n v="0"/>
    <n v="0"/>
    <m/>
    <n v="0"/>
    <m/>
    <n v="0"/>
    <m/>
    <n v="0"/>
    <m/>
    <n v="0"/>
    <n v="0"/>
    <m/>
    <n v="0"/>
    <m/>
    <n v="0"/>
    <m/>
    <n v="0"/>
    <m/>
    <n v="0"/>
    <n v="0"/>
    <m/>
    <n v="0"/>
    <m/>
    <n v="0"/>
    <m/>
    <n v="0"/>
    <m/>
    <x v="5"/>
  </r>
  <r>
    <s v=""/>
    <n v="136"/>
    <x v="4"/>
    <x v="11"/>
    <x v="31"/>
    <x v="87"/>
    <x v="2"/>
    <x v="1"/>
    <s v="ONG_TB"/>
    <s v="ONG_TB!$A:$j"/>
    <n v="406270.625"/>
    <m/>
    <n v="0"/>
    <m/>
    <n v="0"/>
    <m/>
    <n v="0"/>
    <m/>
    <n v="406270.625"/>
    <n v="504104.14"/>
    <m/>
    <n v="0"/>
    <m/>
    <n v="0"/>
    <m/>
    <n v="0"/>
    <m/>
    <n v="504104.14"/>
    <n v="609463.31000000006"/>
    <m/>
    <n v="0"/>
    <m/>
    <n v="0"/>
    <m/>
    <n v="0"/>
    <m/>
    <n v="609463.31000000006"/>
    <n v="0"/>
    <m/>
    <n v="0"/>
    <m/>
    <n v="0"/>
    <m/>
    <n v="0"/>
    <m/>
    <n v="0"/>
    <n v="0"/>
    <m/>
    <n v="0"/>
    <m/>
    <n v="0"/>
    <m/>
    <n v="0"/>
    <m/>
    <x v="117"/>
  </r>
  <r>
    <s v=""/>
    <n v="137"/>
    <x v="1"/>
    <x v="10"/>
    <x v="30"/>
    <x v="88"/>
    <x v="1"/>
    <x v="1"/>
    <s v="Aderenta_VOT"/>
    <s v="Aderenta_VOT!$A:$j"/>
    <n v="510176"/>
    <m/>
    <n v="0"/>
    <m/>
    <n v="0"/>
    <m/>
    <n v="0"/>
    <m/>
    <n v="510176"/>
    <n v="0"/>
    <m/>
    <n v="0"/>
    <m/>
    <n v="0"/>
    <m/>
    <n v="0"/>
    <m/>
    <n v="0"/>
    <n v="0"/>
    <m/>
    <n v="0"/>
    <m/>
    <n v="0"/>
    <m/>
    <n v="0"/>
    <m/>
    <n v="0"/>
    <n v="0"/>
    <m/>
    <n v="0"/>
    <m/>
    <n v="0"/>
    <m/>
    <n v="0"/>
    <m/>
    <n v="0"/>
    <n v="0"/>
    <m/>
    <n v="0"/>
    <m/>
    <n v="0"/>
    <m/>
    <n v="0"/>
    <m/>
    <x v="118"/>
  </r>
  <r>
    <s v=""/>
    <n v="138"/>
    <x v="1"/>
    <x v="10"/>
    <x v="32"/>
    <x v="89"/>
    <x v="0"/>
    <x v="0"/>
    <s v="Aderenta_VOT"/>
    <s v="Aderenta_VOT!$A:$j"/>
    <n v="15316701"/>
    <m/>
    <n v="0"/>
    <m/>
    <n v="0"/>
    <m/>
    <n v="0"/>
    <m/>
    <n v="15316701"/>
    <n v="14812927.949999999"/>
    <m/>
    <n v="0"/>
    <m/>
    <n v="0"/>
    <m/>
    <n v="0"/>
    <m/>
    <n v="14812927.949999999"/>
    <n v="14344887.75"/>
    <m/>
    <n v="0"/>
    <m/>
    <n v="0"/>
    <m/>
    <n v="0"/>
    <m/>
    <n v="14344887.75"/>
    <n v="13931570.399999999"/>
    <m/>
    <n v="0"/>
    <m/>
    <n v="0"/>
    <m/>
    <n v="0"/>
    <m/>
    <n v="13931570.399999999"/>
    <n v="13540344.75"/>
    <m/>
    <n v="0"/>
    <m/>
    <n v="0"/>
    <m/>
    <n v="0"/>
    <m/>
    <x v="119"/>
  </r>
  <r>
    <s v=""/>
    <n v="139"/>
    <x v="1"/>
    <x v="10"/>
    <x v="33"/>
    <x v="90"/>
    <x v="1"/>
    <x v="1"/>
    <s v="Aderenta_VOT"/>
    <s v="Aderenta_VOT!$A:$j"/>
    <n v="1005600"/>
    <m/>
    <n v="0"/>
    <m/>
    <n v="0"/>
    <m/>
    <n v="0"/>
    <m/>
    <n v="1005600"/>
    <n v="838000"/>
    <m/>
    <n v="0"/>
    <m/>
    <n v="0"/>
    <m/>
    <n v="0"/>
    <m/>
    <n v="838000"/>
    <n v="670400"/>
    <m/>
    <n v="0"/>
    <m/>
    <n v="0"/>
    <m/>
    <n v="0"/>
    <m/>
    <n v="670400"/>
    <n v="0"/>
    <m/>
    <n v="0"/>
    <m/>
    <n v="0"/>
    <m/>
    <n v="0"/>
    <m/>
    <n v="0"/>
    <n v="0"/>
    <m/>
    <n v="0"/>
    <m/>
    <n v="0"/>
    <m/>
    <n v="0"/>
    <m/>
    <x v="120"/>
  </r>
  <r>
    <s v=""/>
    <n v="140"/>
    <x v="1"/>
    <x v="10"/>
    <x v="33"/>
    <x v="91"/>
    <x v="1"/>
    <x v="1"/>
    <s v="Aderenta_VOT"/>
    <s v="Aderenta_VOT!$A:$j"/>
    <n v="0"/>
    <m/>
    <n v="0"/>
    <m/>
    <n v="0"/>
    <m/>
    <n v="0"/>
    <m/>
    <n v="0"/>
    <n v="94000"/>
    <m/>
    <n v="0"/>
    <m/>
    <n v="0"/>
    <m/>
    <n v="0"/>
    <m/>
    <n v="94000"/>
    <n v="0"/>
    <m/>
    <n v="0"/>
    <m/>
    <n v="0"/>
    <m/>
    <n v="0"/>
    <m/>
    <n v="0"/>
    <n v="0"/>
    <m/>
    <n v="0"/>
    <m/>
    <n v="0"/>
    <m/>
    <n v="0"/>
    <m/>
    <n v="0"/>
    <n v="0"/>
    <m/>
    <n v="0"/>
    <m/>
    <n v="0"/>
    <m/>
    <n v="0"/>
    <m/>
    <x v="121"/>
  </r>
  <r>
    <s v=""/>
    <n v="141"/>
    <x v="1"/>
    <x v="10"/>
    <x v="33"/>
    <x v="92"/>
    <x v="1"/>
    <x v="1"/>
    <s v="Aderenta_VOT"/>
    <s v="Aderenta_VOT!$A:$j"/>
    <n v="120000"/>
    <m/>
    <n v="0"/>
    <m/>
    <n v="0"/>
    <m/>
    <n v="0"/>
    <m/>
    <n v="120000"/>
    <n v="0"/>
    <m/>
    <n v="0"/>
    <m/>
    <n v="0"/>
    <m/>
    <n v="0"/>
    <m/>
    <n v="0"/>
    <n v="0"/>
    <m/>
    <n v="0"/>
    <m/>
    <n v="0"/>
    <m/>
    <n v="0"/>
    <m/>
    <n v="0"/>
    <n v="0"/>
    <m/>
    <n v="0"/>
    <m/>
    <n v="0"/>
    <m/>
    <n v="0"/>
    <m/>
    <n v="0"/>
    <n v="0"/>
    <m/>
    <n v="0"/>
    <m/>
    <n v="0"/>
    <m/>
    <n v="0"/>
    <m/>
    <x v="122"/>
  </r>
  <r>
    <s v=""/>
    <n v="142"/>
    <x v="1"/>
    <x v="10"/>
    <x v="33"/>
    <x v="93"/>
    <x v="1"/>
    <x v="1"/>
    <s v="Aderenta_VOT"/>
    <s v="Aderenta_VOT!$A:$j"/>
    <n v="81790.8"/>
    <m/>
    <n v="0"/>
    <m/>
    <n v="0"/>
    <m/>
    <n v="0"/>
    <m/>
    <n v="81790.8"/>
    <n v="0"/>
    <m/>
    <n v="0"/>
    <m/>
    <n v="0"/>
    <m/>
    <n v="0"/>
    <m/>
    <n v="0"/>
    <n v="0"/>
    <m/>
    <n v="0"/>
    <m/>
    <n v="0"/>
    <m/>
    <n v="0"/>
    <m/>
    <n v="0"/>
    <n v="0"/>
    <m/>
    <n v="0"/>
    <m/>
    <n v="0"/>
    <m/>
    <n v="0"/>
    <m/>
    <n v="0"/>
    <n v="0"/>
    <m/>
    <n v="0"/>
    <m/>
    <n v="0"/>
    <m/>
    <n v="0"/>
    <m/>
    <x v="123"/>
  </r>
  <r>
    <s v=""/>
    <n v="143"/>
    <x v="3"/>
    <x v="12"/>
    <x v="34"/>
    <x v="94"/>
    <x v="1"/>
    <x v="1"/>
    <s v="Informare"/>
    <s v="Informare!$A:$j"/>
    <n v="30000"/>
    <m/>
    <n v="0"/>
    <m/>
    <n v="0"/>
    <m/>
    <n v="0"/>
    <m/>
    <n v="30000"/>
    <n v="30000"/>
    <m/>
    <n v="0"/>
    <m/>
    <n v="0"/>
    <m/>
    <n v="0"/>
    <m/>
    <n v="30000"/>
    <n v="30000"/>
    <m/>
    <n v="0"/>
    <m/>
    <n v="0"/>
    <m/>
    <n v="0"/>
    <m/>
    <n v="30000"/>
    <n v="0"/>
    <m/>
    <n v="0"/>
    <m/>
    <n v="0"/>
    <m/>
    <n v="0"/>
    <m/>
    <n v="0"/>
    <n v="0"/>
    <m/>
    <n v="0"/>
    <m/>
    <n v="0"/>
    <m/>
    <n v="0"/>
    <m/>
    <x v="124"/>
  </r>
  <r>
    <s v=""/>
    <n v="144"/>
    <x v="1"/>
    <x v="10"/>
    <x v="33"/>
    <x v="95"/>
    <x v="1"/>
    <x v="1"/>
    <s v="Aderenta_VOT"/>
    <s v="Aderenta_VOT!$A:$j"/>
    <n v="97100"/>
    <m/>
    <n v="0"/>
    <m/>
    <n v="0"/>
    <m/>
    <n v="0"/>
    <m/>
    <n v="97100"/>
    <n v="0"/>
    <m/>
    <n v="0"/>
    <m/>
    <n v="0"/>
    <m/>
    <n v="0"/>
    <m/>
    <n v="0"/>
    <n v="0"/>
    <m/>
    <n v="0"/>
    <m/>
    <n v="0"/>
    <m/>
    <n v="0"/>
    <m/>
    <n v="0"/>
    <n v="0"/>
    <m/>
    <n v="0"/>
    <m/>
    <n v="0"/>
    <m/>
    <n v="0"/>
    <m/>
    <n v="0"/>
    <n v="0"/>
    <m/>
    <n v="0"/>
    <m/>
    <n v="0"/>
    <m/>
    <n v="0"/>
    <m/>
    <x v="125"/>
  </r>
  <r>
    <s v=""/>
    <n v="145"/>
    <x v="4"/>
    <x v="11"/>
    <x v="35"/>
    <x v="96"/>
    <x v="2"/>
    <x v="1"/>
    <s v="ONG_TB"/>
    <s v="ONG_TB!$A:$j"/>
    <n v="863487"/>
    <m/>
    <n v="0"/>
    <m/>
    <n v="0"/>
    <m/>
    <n v="0"/>
    <m/>
    <n v="863487"/>
    <n v="863487"/>
    <m/>
    <n v="0"/>
    <m/>
    <n v="0"/>
    <m/>
    <n v="0"/>
    <m/>
    <n v="863487"/>
    <n v="863487"/>
    <m/>
    <n v="0"/>
    <m/>
    <n v="0"/>
    <m/>
    <n v="0"/>
    <m/>
    <n v="863487"/>
    <n v="0"/>
    <m/>
    <n v="0"/>
    <m/>
    <n v="0"/>
    <m/>
    <n v="0"/>
    <m/>
    <n v="0"/>
    <n v="0"/>
    <m/>
    <n v="0"/>
    <m/>
    <n v="0"/>
    <m/>
    <n v="0"/>
    <m/>
    <x v="126"/>
  </r>
  <r>
    <s v=""/>
    <n v="146"/>
    <x v="4"/>
    <x v="11"/>
    <x v="35"/>
    <x v="97"/>
    <x v="2"/>
    <x v="1"/>
    <s v="ONG_TB"/>
    <s v="ONG_TB!$A:$j"/>
    <n v="0"/>
    <m/>
    <n v="0"/>
    <m/>
    <n v="0"/>
    <m/>
    <n v="0"/>
    <m/>
    <n v="0"/>
    <n v="0"/>
    <m/>
    <n v="0"/>
    <m/>
    <n v="0"/>
    <m/>
    <n v="0"/>
    <m/>
    <n v="0"/>
    <n v="0"/>
    <m/>
    <n v="0"/>
    <m/>
    <n v="0"/>
    <m/>
    <n v="0"/>
    <m/>
    <n v="0"/>
    <n v="0"/>
    <m/>
    <n v="0"/>
    <m/>
    <n v="0"/>
    <m/>
    <n v="0"/>
    <m/>
    <n v="0"/>
    <n v="0"/>
    <m/>
    <n v="0"/>
    <m/>
    <n v="0"/>
    <m/>
    <n v="0"/>
    <m/>
    <x v="35"/>
  </r>
  <r>
    <s v=""/>
    <n v="147"/>
    <x v="0"/>
    <x v="0"/>
    <x v="3"/>
    <x v="98"/>
    <x v="2"/>
    <x v="1"/>
    <s v="ONG_TB"/>
    <s v="ONG_TB!$A:$j"/>
    <n v="215000"/>
    <m/>
    <n v="0"/>
    <m/>
    <n v="0"/>
    <m/>
    <n v="0"/>
    <m/>
    <n v="215000"/>
    <n v="225000"/>
    <m/>
    <n v="0"/>
    <m/>
    <n v="0"/>
    <m/>
    <n v="0"/>
    <m/>
    <n v="225000"/>
    <n v="235000"/>
    <m/>
    <n v="0"/>
    <m/>
    <n v="0"/>
    <m/>
    <n v="0"/>
    <m/>
    <n v="235000"/>
    <n v="0"/>
    <m/>
    <n v="0"/>
    <m/>
    <n v="0"/>
    <m/>
    <n v="0"/>
    <m/>
    <n v="0"/>
    <n v="0"/>
    <m/>
    <n v="0"/>
    <m/>
    <n v="0"/>
    <m/>
    <n v="0"/>
    <m/>
    <x v="127"/>
  </r>
  <r>
    <s v=""/>
    <n v="148"/>
    <x v="2"/>
    <x v="2"/>
    <x v="36"/>
    <x v="99"/>
    <x v="1"/>
    <x v="1"/>
    <s v="Activ_colaborative"/>
    <s v="Activ_colaborative!$A:$j"/>
    <n v="40000"/>
    <m/>
    <n v="0"/>
    <m/>
    <n v="0"/>
    <m/>
    <n v="0"/>
    <m/>
    <n v="40000"/>
    <n v="0"/>
    <m/>
    <n v="0"/>
    <m/>
    <n v="0"/>
    <m/>
    <n v="0"/>
    <m/>
    <n v="0"/>
    <n v="0"/>
    <m/>
    <n v="0"/>
    <m/>
    <n v="0"/>
    <m/>
    <n v="0"/>
    <m/>
    <n v="0"/>
    <n v="0"/>
    <m/>
    <n v="0"/>
    <m/>
    <n v="0"/>
    <m/>
    <n v="0"/>
    <m/>
    <n v="0"/>
    <n v="0"/>
    <m/>
    <n v="0"/>
    <m/>
    <n v="0"/>
    <m/>
    <n v="0"/>
    <m/>
    <x v="5"/>
  </r>
  <r>
    <s v=""/>
    <n v="149"/>
    <x v="2"/>
    <x v="2"/>
    <x v="36"/>
    <x v="100"/>
    <x v="1"/>
    <x v="1"/>
    <s v="Activ_colaborative"/>
    <s v="Activ_colaborative!$A:$j"/>
    <n v="70192"/>
    <m/>
    <n v="0"/>
    <m/>
    <n v="0"/>
    <m/>
    <n v="0"/>
    <m/>
    <n v="70192"/>
    <n v="0"/>
    <m/>
    <n v="0"/>
    <m/>
    <n v="0"/>
    <m/>
    <n v="0"/>
    <m/>
    <n v="0"/>
    <n v="0"/>
    <m/>
    <n v="0"/>
    <m/>
    <n v="0"/>
    <m/>
    <n v="0"/>
    <m/>
    <n v="0"/>
    <n v="0"/>
    <m/>
    <n v="0"/>
    <m/>
    <n v="0"/>
    <m/>
    <n v="0"/>
    <m/>
    <n v="0"/>
    <n v="0"/>
    <m/>
    <n v="0"/>
    <m/>
    <n v="0"/>
    <m/>
    <n v="0"/>
    <m/>
    <x v="128"/>
  </r>
  <r>
    <s v=""/>
    <n v="150"/>
    <x v="2"/>
    <x v="2"/>
    <x v="37"/>
    <x v="101"/>
    <x v="1"/>
    <x v="1"/>
    <s v="Activ_colaborative"/>
    <s v="Activ_colaborative!$A:$j"/>
    <n v="20000"/>
    <m/>
    <n v="0"/>
    <m/>
    <n v="0"/>
    <m/>
    <n v="0"/>
    <m/>
    <n v="20000"/>
    <n v="0"/>
    <m/>
    <n v="0"/>
    <m/>
    <n v="0"/>
    <m/>
    <n v="0"/>
    <m/>
    <n v="0"/>
    <n v="0"/>
    <m/>
    <n v="0"/>
    <m/>
    <n v="0"/>
    <m/>
    <n v="0"/>
    <m/>
    <n v="0"/>
    <n v="0"/>
    <m/>
    <n v="0"/>
    <m/>
    <n v="0"/>
    <m/>
    <n v="0"/>
    <m/>
    <n v="0"/>
    <n v="0"/>
    <m/>
    <n v="0"/>
    <m/>
    <n v="0"/>
    <m/>
    <n v="0"/>
    <m/>
    <x v="129"/>
  </r>
  <r>
    <s v=""/>
    <n v="151"/>
    <x v="2"/>
    <x v="2"/>
    <x v="37"/>
    <x v="102"/>
    <x v="1"/>
    <x v="1"/>
    <s v="Activ_colaborative"/>
    <s v="Activ_colaborative!$A:$j"/>
    <n v="17548"/>
    <m/>
    <n v="0"/>
    <m/>
    <n v="0"/>
    <m/>
    <n v="0"/>
    <m/>
    <n v="17548"/>
    <n v="0"/>
    <m/>
    <n v="0"/>
    <m/>
    <n v="0"/>
    <m/>
    <n v="0"/>
    <m/>
    <n v="0"/>
    <n v="0"/>
    <m/>
    <n v="0"/>
    <m/>
    <n v="0"/>
    <m/>
    <n v="0"/>
    <m/>
    <n v="0"/>
    <n v="0"/>
    <m/>
    <n v="0"/>
    <m/>
    <n v="0"/>
    <m/>
    <n v="0"/>
    <m/>
    <n v="0"/>
    <n v="0"/>
    <m/>
    <n v="0"/>
    <m/>
    <n v="0"/>
    <m/>
    <n v="0"/>
    <m/>
    <x v="130"/>
  </r>
  <r>
    <s v=""/>
    <n v="152"/>
    <x v="2"/>
    <x v="13"/>
    <x v="38"/>
    <x v="103"/>
    <x v="1"/>
    <x v="1"/>
    <s v="Activ_colaborative"/>
    <s v="Activ_colaborative!$A:$j"/>
    <n v="80000"/>
    <m/>
    <n v="0"/>
    <m/>
    <n v="0"/>
    <m/>
    <n v="0"/>
    <m/>
    <n v="80000"/>
    <n v="0"/>
    <m/>
    <n v="0"/>
    <m/>
    <n v="0"/>
    <m/>
    <n v="0"/>
    <m/>
    <n v="0"/>
    <n v="0"/>
    <m/>
    <n v="0"/>
    <m/>
    <n v="0"/>
    <m/>
    <n v="0"/>
    <m/>
    <n v="0"/>
    <n v="0"/>
    <m/>
    <n v="0"/>
    <m/>
    <n v="0"/>
    <m/>
    <n v="0"/>
    <m/>
    <n v="0"/>
    <n v="0"/>
    <m/>
    <n v="0"/>
    <m/>
    <n v="0"/>
    <m/>
    <n v="0"/>
    <m/>
    <x v="131"/>
  </r>
  <r>
    <s v=""/>
    <n v="153"/>
    <x v="2"/>
    <x v="13"/>
    <x v="38"/>
    <x v="104"/>
    <x v="1"/>
    <x v="1"/>
    <s v="Activ_colaborative"/>
    <s v="Activ_colaborative!$A:$j"/>
    <n v="70192"/>
    <m/>
    <n v="0"/>
    <m/>
    <n v="0"/>
    <m/>
    <n v="0"/>
    <m/>
    <n v="70192"/>
    <n v="0"/>
    <m/>
    <n v="0"/>
    <m/>
    <n v="0"/>
    <m/>
    <n v="0"/>
    <m/>
    <n v="0"/>
    <n v="0"/>
    <m/>
    <n v="0"/>
    <m/>
    <n v="0"/>
    <m/>
    <n v="0"/>
    <m/>
    <n v="0"/>
    <n v="0"/>
    <m/>
    <n v="0"/>
    <m/>
    <n v="0"/>
    <m/>
    <n v="0"/>
    <m/>
    <n v="0"/>
    <n v="0"/>
    <m/>
    <n v="0"/>
    <m/>
    <n v="0"/>
    <m/>
    <n v="0"/>
    <m/>
    <x v="128"/>
  </r>
  <r>
    <s v=""/>
    <n v="154"/>
    <x v="2"/>
    <x v="13"/>
    <x v="39"/>
    <x v="105"/>
    <x v="1"/>
    <x v="1"/>
    <s v="Activ_colaborative"/>
    <s v="Activ_colaborative!$A:$j"/>
    <n v="0"/>
    <m/>
    <n v="0"/>
    <m/>
    <n v="0"/>
    <m/>
    <n v="0"/>
    <m/>
    <n v="0"/>
    <n v="4280"/>
    <m/>
    <n v="0"/>
    <m/>
    <n v="0"/>
    <m/>
    <n v="0"/>
    <m/>
    <n v="4280"/>
    <n v="4280"/>
    <m/>
    <n v="0"/>
    <m/>
    <n v="0"/>
    <m/>
    <n v="0"/>
    <m/>
    <n v="4280"/>
    <n v="0"/>
    <m/>
    <n v="0"/>
    <m/>
    <n v="0"/>
    <m/>
    <n v="0"/>
    <m/>
    <n v="0"/>
    <n v="0"/>
    <m/>
    <n v="0"/>
    <m/>
    <n v="0"/>
    <m/>
    <n v="0"/>
    <m/>
    <x v="132"/>
  </r>
  <r>
    <s v=""/>
    <n v="155"/>
    <x v="2"/>
    <x v="13"/>
    <x v="39"/>
    <x v="106"/>
    <x v="1"/>
    <x v="1"/>
    <s v="Activ_colaborative"/>
    <s v="Activ_colaborative!$A:$j"/>
    <n v="0"/>
    <m/>
    <n v="0"/>
    <m/>
    <n v="0"/>
    <m/>
    <n v="0"/>
    <m/>
    <n v="0"/>
    <n v="159986.4"/>
    <m/>
    <n v="0"/>
    <m/>
    <n v="0"/>
    <m/>
    <n v="0"/>
    <m/>
    <n v="159986.4"/>
    <n v="159986.4"/>
    <m/>
    <n v="0"/>
    <m/>
    <n v="0"/>
    <m/>
    <n v="0"/>
    <m/>
    <n v="159986.4"/>
    <n v="0"/>
    <m/>
    <n v="0"/>
    <m/>
    <n v="0"/>
    <m/>
    <n v="0"/>
    <m/>
    <n v="0"/>
    <n v="0"/>
    <m/>
    <n v="0"/>
    <m/>
    <n v="0"/>
    <m/>
    <n v="0"/>
    <m/>
    <x v="133"/>
  </r>
  <r>
    <s v=""/>
    <n v="156"/>
    <x v="2"/>
    <x v="13"/>
    <x v="40"/>
    <x v="107"/>
    <x v="0"/>
    <x v="1"/>
    <s v="Activ_colaborative"/>
    <s v="Activ_colaborative!$A:$j"/>
    <n v="0"/>
    <m/>
    <n v="0"/>
    <m/>
    <n v="0"/>
    <m/>
    <n v="0"/>
    <m/>
    <n v="0"/>
    <n v="0"/>
    <m/>
    <n v="0"/>
    <m/>
    <n v="0"/>
    <m/>
    <n v="0"/>
    <m/>
    <n v="0"/>
    <n v="0"/>
    <m/>
    <n v="0"/>
    <m/>
    <n v="0"/>
    <m/>
    <n v="0"/>
    <m/>
    <n v="0"/>
    <n v="0"/>
    <m/>
    <n v="0"/>
    <m/>
    <n v="0"/>
    <m/>
    <n v="0"/>
    <m/>
    <n v="0"/>
    <n v="0"/>
    <m/>
    <n v="0"/>
    <m/>
    <n v="0"/>
    <m/>
    <n v="0"/>
    <m/>
    <x v="35"/>
  </r>
  <r>
    <s v=""/>
    <n v="157"/>
    <x v="2"/>
    <x v="13"/>
    <x v="40"/>
    <x v="108"/>
    <x v="0"/>
    <x v="1"/>
    <s v="Activ_colaborative"/>
    <s v="Activ_colaborative!$A:$j"/>
    <n v="0"/>
    <m/>
    <n v="0"/>
    <m/>
    <n v="0"/>
    <m/>
    <n v="0"/>
    <m/>
    <n v="0"/>
    <n v="0"/>
    <m/>
    <n v="0"/>
    <m/>
    <n v="0"/>
    <m/>
    <n v="0"/>
    <m/>
    <n v="0"/>
    <n v="0"/>
    <m/>
    <n v="0"/>
    <m/>
    <n v="0"/>
    <m/>
    <n v="0"/>
    <m/>
    <n v="0"/>
    <n v="0"/>
    <m/>
    <n v="0"/>
    <m/>
    <n v="0"/>
    <m/>
    <n v="0"/>
    <m/>
    <n v="0"/>
    <n v="0"/>
    <m/>
    <n v="0"/>
    <m/>
    <n v="0"/>
    <m/>
    <n v="0"/>
    <m/>
    <x v="35"/>
  </r>
  <r>
    <s v=""/>
    <n v="158"/>
    <x v="2"/>
    <x v="13"/>
    <x v="40"/>
    <x v="109"/>
    <x v="0"/>
    <x v="1"/>
    <s v="Activ_colaborative"/>
    <s v="Activ_colaborative!$A:$j"/>
    <n v="0"/>
    <m/>
    <n v="0"/>
    <m/>
    <n v="0"/>
    <m/>
    <n v="0"/>
    <m/>
    <n v="0"/>
    <n v="0"/>
    <m/>
    <n v="0"/>
    <m/>
    <n v="0"/>
    <m/>
    <n v="0"/>
    <m/>
    <n v="0"/>
    <n v="0"/>
    <m/>
    <n v="0"/>
    <m/>
    <n v="0"/>
    <m/>
    <n v="0"/>
    <m/>
    <n v="0"/>
    <n v="0"/>
    <m/>
    <n v="0"/>
    <m/>
    <n v="0"/>
    <m/>
    <n v="0"/>
    <m/>
    <n v="0"/>
    <n v="0"/>
    <m/>
    <n v="0"/>
    <m/>
    <n v="0"/>
    <m/>
    <n v="0"/>
    <m/>
    <x v="35"/>
  </r>
  <r>
    <s v=""/>
    <n v="159"/>
    <x v="3"/>
    <x v="12"/>
    <x v="34"/>
    <x v="110"/>
    <x v="1"/>
    <x v="1"/>
    <s v="Informare"/>
    <s v="Informare!$A:$j"/>
    <n v="298560"/>
    <m/>
    <n v="0"/>
    <m/>
    <n v="0"/>
    <m/>
    <n v="0"/>
    <m/>
    <n v="298560"/>
    <n v="298560"/>
    <m/>
    <n v="0"/>
    <m/>
    <n v="0"/>
    <m/>
    <n v="0"/>
    <m/>
    <n v="298560"/>
    <n v="298560"/>
    <m/>
    <n v="0"/>
    <m/>
    <n v="0"/>
    <m/>
    <n v="0"/>
    <m/>
    <n v="298560"/>
    <n v="0"/>
    <m/>
    <n v="0"/>
    <m/>
    <n v="0"/>
    <m/>
    <n v="0"/>
    <m/>
    <n v="0"/>
    <n v="0"/>
    <m/>
    <n v="0"/>
    <m/>
    <n v="0"/>
    <m/>
    <n v="0"/>
    <m/>
    <x v="134"/>
  </r>
  <r>
    <s v=""/>
    <n v="160"/>
    <x v="3"/>
    <x v="12"/>
    <x v="34"/>
    <x v="111"/>
    <x v="1"/>
    <x v="2"/>
    <s v="Informare"/>
    <s v="Informare!$A:$j"/>
    <n v="0"/>
    <m/>
    <n v="0"/>
    <m/>
    <n v="0"/>
    <m/>
    <n v="0"/>
    <m/>
    <n v="0"/>
    <n v="0"/>
    <m/>
    <n v="0"/>
    <m/>
    <n v="0"/>
    <m/>
    <n v="0"/>
    <m/>
    <n v="0"/>
    <n v="0"/>
    <m/>
    <n v="0"/>
    <m/>
    <n v="0"/>
    <m/>
    <n v="0"/>
    <m/>
    <n v="0"/>
    <n v="0"/>
    <m/>
    <n v="0"/>
    <m/>
    <n v="0"/>
    <m/>
    <n v="0"/>
    <m/>
    <n v="0"/>
    <n v="0"/>
    <m/>
    <n v="0"/>
    <m/>
    <n v="0"/>
    <m/>
    <n v="0"/>
    <m/>
    <x v="35"/>
  </r>
  <r>
    <s v=""/>
    <n v="161"/>
    <x v="3"/>
    <x v="12"/>
    <x v="34"/>
    <x v="112"/>
    <x v="1"/>
    <x v="1"/>
    <s v="Informare"/>
    <s v="Informare!$A:$j"/>
    <n v="0"/>
    <m/>
    <n v="0"/>
    <m/>
    <n v="0"/>
    <m/>
    <n v="0"/>
    <m/>
    <n v="0"/>
    <n v="0"/>
    <m/>
    <n v="0"/>
    <m/>
    <n v="0"/>
    <m/>
    <n v="0"/>
    <m/>
    <n v="0"/>
    <n v="0"/>
    <m/>
    <n v="0"/>
    <m/>
    <n v="0"/>
    <m/>
    <n v="0"/>
    <m/>
    <n v="0"/>
    <n v="0"/>
    <m/>
    <n v="0"/>
    <m/>
    <n v="0"/>
    <m/>
    <n v="0"/>
    <m/>
    <n v="0"/>
    <n v="0"/>
    <m/>
    <n v="0"/>
    <m/>
    <n v="0"/>
    <m/>
    <n v="0"/>
    <m/>
    <x v="35"/>
  </r>
  <r>
    <s v=""/>
    <n v="162"/>
    <x v="3"/>
    <x v="12"/>
    <x v="34"/>
    <x v="113"/>
    <x v="1"/>
    <x v="1"/>
    <s v="Informare"/>
    <s v="Informare!$A:$j"/>
    <n v="0"/>
    <m/>
    <n v="0"/>
    <m/>
    <n v="0"/>
    <m/>
    <n v="0"/>
    <m/>
    <n v="0"/>
    <n v="0"/>
    <m/>
    <n v="0"/>
    <m/>
    <n v="0"/>
    <m/>
    <n v="0"/>
    <m/>
    <n v="0"/>
    <n v="0"/>
    <m/>
    <n v="0"/>
    <m/>
    <n v="0"/>
    <m/>
    <n v="0"/>
    <m/>
    <n v="0"/>
    <n v="0"/>
    <m/>
    <n v="0"/>
    <m/>
    <n v="0"/>
    <m/>
    <n v="0"/>
    <m/>
    <n v="0"/>
    <n v="0"/>
    <m/>
    <n v="0"/>
    <m/>
    <n v="0"/>
    <m/>
    <n v="0"/>
    <m/>
    <x v="35"/>
  </r>
  <r>
    <s v=""/>
    <n v="163"/>
    <x v="3"/>
    <x v="12"/>
    <x v="34"/>
    <x v="114"/>
    <x v="1"/>
    <x v="1"/>
    <s v="Informare"/>
    <s v="Informare!$A:$j"/>
    <n v="165400.6"/>
    <m/>
    <n v="0"/>
    <m/>
    <n v="0"/>
    <m/>
    <n v="0"/>
    <m/>
    <n v="165400.6"/>
    <n v="165400.6"/>
    <m/>
    <n v="0"/>
    <m/>
    <n v="0"/>
    <m/>
    <n v="0"/>
    <m/>
    <n v="165400.6"/>
    <n v="165400.6"/>
    <m/>
    <n v="0"/>
    <m/>
    <n v="0"/>
    <m/>
    <n v="0"/>
    <m/>
    <n v="165400.6"/>
    <n v="0"/>
    <m/>
    <n v="0"/>
    <m/>
    <n v="0"/>
    <m/>
    <n v="0"/>
    <m/>
    <n v="0"/>
    <n v="0"/>
    <m/>
    <n v="0"/>
    <m/>
    <n v="0"/>
    <m/>
    <n v="0"/>
    <m/>
    <x v="135"/>
  </r>
  <r>
    <s v=""/>
    <n v="164"/>
    <x v="1"/>
    <x v="1"/>
    <x v="19"/>
    <x v="115"/>
    <x v="1"/>
    <x v="1"/>
    <s v="Tratament_Scheme_scurte"/>
    <s v="Tratament_Scheme_scurte!$A:$j"/>
    <n v="564799.39879999997"/>
    <m/>
    <n v="0"/>
    <m/>
    <n v="0"/>
    <m/>
    <n v="0"/>
    <m/>
    <n v="564799.39879999997"/>
    <n v="242056.88520000002"/>
    <m/>
    <n v="0"/>
    <m/>
    <n v="0"/>
    <m/>
    <n v="0"/>
    <m/>
    <n v="242056.88520000002"/>
    <n v="0"/>
    <m/>
    <n v="0"/>
    <m/>
    <n v="0"/>
    <m/>
    <n v="0"/>
    <m/>
    <n v="0"/>
    <n v="0"/>
    <m/>
    <n v="0"/>
    <m/>
    <n v="0"/>
    <m/>
    <n v="0"/>
    <m/>
    <n v="0"/>
    <n v="0"/>
    <m/>
    <n v="0"/>
    <m/>
    <n v="0"/>
    <m/>
    <n v="0"/>
    <m/>
    <x v="136"/>
  </r>
  <r>
    <s v=""/>
    <n v="165"/>
    <x v="3"/>
    <x v="12"/>
    <x v="41"/>
    <x v="116"/>
    <x v="1"/>
    <x v="1"/>
    <s v="Informare"/>
    <s v="Informare!$A:$j"/>
    <n v="199309.66999999998"/>
    <m/>
    <n v="0"/>
    <m/>
    <n v="0"/>
    <m/>
    <n v="0"/>
    <m/>
    <n v="199309.66999999998"/>
    <n v="0"/>
    <m/>
    <n v="0"/>
    <m/>
    <n v="0"/>
    <m/>
    <n v="0"/>
    <m/>
    <n v="0"/>
    <n v="17030"/>
    <m/>
    <n v="0"/>
    <m/>
    <n v="0"/>
    <m/>
    <n v="0"/>
    <m/>
    <n v="17030"/>
    <n v="0"/>
    <m/>
    <n v="0"/>
    <m/>
    <n v="0"/>
    <m/>
    <n v="0"/>
    <m/>
    <n v="0"/>
    <n v="0"/>
    <m/>
    <n v="0"/>
    <m/>
    <n v="0"/>
    <m/>
    <n v="0"/>
    <m/>
    <x v="137"/>
  </r>
  <r>
    <s v=""/>
    <n v="166"/>
    <x v="5"/>
    <x v="9"/>
    <x v="28"/>
    <x v="117"/>
    <x v="3"/>
    <x v="1"/>
    <s v="Estimare_laborator"/>
    <s v="Estimare_laborator!$A:$j"/>
    <n v="1507412.48"/>
    <m/>
    <n v="0"/>
    <m/>
    <n v="0"/>
    <m/>
    <n v="0"/>
    <m/>
    <n v="1507412.48"/>
    <n v="0"/>
    <m/>
    <n v="0"/>
    <m/>
    <n v="0"/>
    <m/>
    <n v="0"/>
    <m/>
    <n v="0"/>
    <n v="0"/>
    <m/>
    <n v="0"/>
    <m/>
    <n v="0"/>
    <m/>
    <n v="0"/>
    <m/>
    <n v="0"/>
    <n v="0"/>
    <m/>
    <n v="0"/>
    <m/>
    <n v="0"/>
    <m/>
    <n v="0"/>
    <m/>
    <n v="0"/>
    <n v="0"/>
    <m/>
    <n v="0"/>
    <m/>
    <n v="0"/>
    <m/>
    <n v="0"/>
    <m/>
    <x v="138"/>
  </r>
  <r>
    <s v=""/>
    <n v="167"/>
    <x v="5"/>
    <x v="9"/>
    <x v="28"/>
    <x v="118"/>
    <x v="3"/>
    <x v="1"/>
    <s v="Estimare_laborator"/>
    <s v="Estimare_laborator!$A:$j"/>
    <n v="1067543.720163"/>
    <m/>
    <n v="0"/>
    <m/>
    <n v="0"/>
    <m/>
    <n v="0"/>
    <m/>
    <n v="1067543.720163"/>
    <n v="0"/>
    <m/>
    <n v="0"/>
    <m/>
    <n v="0"/>
    <m/>
    <n v="0"/>
    <m/>
    <n v="0"/>
    <n v="0"/>
    <m/>
    <n v="0"/>
    <m/>
    <n v="0"/>
    <m/>
    <n v="0"/>
    <m/>
    <n v="0"/>
    <n v="0"/>
    <m/>
    <n v="0"/>
    <m/>
    <n v="0"/>
    <m/>
    <n v="0"/>
    <m/>
    <n v="0"/>
    <n v="0"/>
    <m/>
    <n v="0"/>
    <m/>
    <n v="0"/>
    <m/>
    <n v="0"/>
    <m/>
    <x v="139"/>
  </r>
  <r>
    <s v=""/>
    <n v="168"/>
    <x v="3"/>
    <x v="12"/>
    <x v="42"/>
    <x v="119"/>
    <x v="1"/>
    <x v="1"/>
    <s v="Informare"/>
    <s v="Informare!$A:$j"/>
    <n v="102000"/>
    <m/>
    <n v="0"/>
    <m/>
    <n v="0"/>
    <m/>
    <n v="0"/>
    <m/>
    <n v="102000"/>
    <n v="0"/>
    <m/>
    <n v="0"/>
    <m/>
    <n v="0"/>
    <m/>
    <n v="0"/>
    <m/>
    <n v="0"/>
    <n v="0"/>
    <m/>
    <n v="0"/>
    <m/>
    <n v="0"/>
    <m/>
    <n v="0"/>
    <m/>
    <n v="0"/>
    <n v="0"/>
    <m/>
    <n v="0"/>
    <m/>
    <n v="0"/>
    <m/>
    <n v="0"/>
    <m/>
    <n v="0"/>
    <n v="0"/>
    <m/>
    <n v="0"/>
    <m/>
    <n v="0"/>
    <m/>
    <n v="0"/>
    <m/>
    <x v="140"/>
  </r>
  <r>
    <s v=""/>
    <n v="169"/>
    <x v="3"/>
    <x v="12"/>
    <x v="42"/>
    <x v="120"/>
    <x v="1"/>
    <x v="1"/>
    <s v="Informare"/>
    <s v="Informare!$A:$j"/>
    <n v="300000"/>
    <m/>
    <n v="0"/>
    <m/>
    <n v="0"/>
    <m/>
    <n v="0"/>
    <m/>
    <n v="300000"/>
    <n v="300000"/>
    <m/>
    <n v="0"/>
    <m/>
    <n v="0"/>
    <m/>
    <n v="0"/>
    <m/>
    <n v="300000"/>
    <n v="300000"/>
    <m/>
    <n v="0"/>
    <m/>
    <n v="0"/>
    <m/>
    <n v="0"/>
    <m/>
    <n v="300000"/>
    <n v="0"/>
    <m/>
    <n v="0"/>
    <m/>
    <n v="0"/>
    <m/>
    <n v="0"/>
    <m/>
    <n v="0"/>
    <n v="0"/>
    <m/>
    <n v="0"/>
    <m/>
    <n v="0"/>
    <m/>
    <n v="0"/>
    <m/>
    <x v="141"/>
  </r>
  <r>
    <s v=""/>
    <n v="170"/>
    <x v="4"/>
    <x v="11"/>
    <x v="35"/>
    <x v="121"/>
    <x v="2"/>
    <x v="1"/>
    <s v="ONG_TB"/>
    <s v="ONG_TB!$A:$j"/>
    <n v="100000"/>
    <m/>
    <n v="0"/>
    <m/>
    <n v="0"/>
    <m/>
    <n v="0"/>
    <m/>
    <n v="100000"/>
    <n v="0"/>
    <m/>
    <n v="0"/>
    <m/>
    <n v="0"/>
    <m/>
    <n v="0"/>
    <m/>
    <n v="0"/>
    <n v="0"/>
    <m/>
    <n v="0"/>
    <m/>
    <n v="0"/>
    <m/>
    <n v="0"/>
    <m/>
    <n v="0"/>
    <n v="0"/>
    <m/>
    <n v="0"/>
    <m/>
    <n v="0"/>
    <m/>
    <n v="0"/>
    <m/>
    <n v="0"/>
    <n v="0"/>
    <m/>
    <n v="0"/>
    <m/>
    <n v="0"/>
    <m/>
    <n v="0"/>
    <m/>
    <x v="142"/>
  </r>
  <r>
    <s v=""/>
    <n v="171"/>
    <x v="4"/>
    <x v="11"/>
    <x v="35"/>
    <x v="122"/>
    <x v="2"/>
    <x v="1"/>
    <s v="ONG_TB"/>
    <s v="ONG_TB!$A:$j"/>
    <n v="41088"/>
    <m/>
    <n v="0"/>
    <m/>
    <n v="0"/>
    <m/>
    <n v="0"/>
    <m/>
    <n v="41088"/>
    <n v="0"/>
    <m/>
    <n v="0"/>
    <m/>
    <n v="0"/>
    <m/>
    <n v="0"/>
    <m/>
    <n v="0"/>
    <n v="0"/>
    <m/>
    <n v="0"/>
    <m/>
    <n v="0"/>
    <m/>
    <n v="0"/>
    <m/>
    <n v="0"/>
    <n v="0"/>
    <m/>
    <n v="0"/>
    <m/>
    <n v="0"/>
    <m/>
    <n v="0"/>
    <m/>
    <n v="0"/>
    <n v="0"/>
    <m/>
    <n v="0"/>
    <m/>
    <n v="0"/>
    <m/>
    <n v="0"/>
    <m/>
    <x v="143"/>
  </r>
  <r>
    <s v=""/>
    <n v="172"/>
    <x v="3"/>
    <x v="12"/>
    <x v="42"/>
    <x v="123"/>
    <x v="1"/>
    <x v="1"/>
    <s v="Informare"/>
    <s v="Informare!$A:$j"/>
    <n v="35000"/>
    <m/>
    <n v="0"/>
    <m/>
    <n v="0"/>
    <m/>
    <n v="0"/>
    <m/>
    <n v="35000"/>
    <n v="35000"/>
    <m/>
    <n v="0"/>
    <m/>
    <n v="0"/>
    <m/>
    <n v="0"/>
    <m/>
    <n v="35000"/>
    <n v="35000"/>
    <m/>
    <n v="0"/>
    <m/>
    <n v="0"/>
    <m/>
    <n v="0"/>
    <m/>
    <n v="35000"/>
    <n v="0"/>
    <m/>
    <n v="0"/>
    <m/>
    <n v="0"/>
    <m/>
    <n v="0"/>
    <m/>
    <n v="0"/>
    <n v="0"/>
    <m/>
    <n v="0"/>
    <m/>
    <n v="0"/>
    <m/>
    <n v="0"/>
    <m/>
    <x v="144"/>
  </r>
  <r>
    <s v=""/>
    <n v="173"/>
    <x v="4"/>
    <x v="8"/>
    <x v="43"/>
    <x v="124"/>
    <x v="1"/>
    <x v="1"/>
    <s v="Sisteme_de_sanatate"/>
    <s v="Sisteme_de_sanatate!$A:$j"/>
    <n v="161394.41999999998"/>
    <m/>
    <n v="0"/>
    <m/>
    <n v="0"/>
    <m/>
    <n v="0"/>
    <m/>
    <n v="161394.41999999998"/>
    <n v="0"/>
    <m/>
    <n v="0"/>
    <m/>
    <n v="0"/>
    <m/>
    <n v="0"/>
    <m/>
    <n v="0"/>
    <n v="0"/>
    <m/>
    <n v="0"/>
    <m/>
    <n v="0"/>
    <m/>
    <n v="0"/>
    <m/>
    <n v="0"/>
    <n v="0"/>
    <m/>
    <n v="0"/>
    <m/>
    <n v="0"/>
    <m/>
    <n v="0"/>
    <m/>
    <n v="0"/>
    <n v="0"/>
    <m/>
    <n v="0"/>
    <m/>
    <n v="0"/>
    <m/>
    <n v="0"/>
    <m/>
    <x v="145"/>
  </r>
  <r>
    <s v=""/>
    <n v="174"/>
    <x v="4"/>
    <x v="8"/>
    <x v="44"/>
    <x v="125"/>
    <x v="0"/>
    <x v="0"/>
    <s v="Sisteme_de_sanatate"/>
    <s v="Sisteme_de_sanatate!$A:$j"/>
    <n v="0"/>
    <m/>
    <n v="0"/>
    <m/>
    <n v="0"/>
    <m/>
    <n v="0"/>
    <m/>
    <n v="0"/>
    <n v="0"/>
    <m/>
    <n v="0"/>
    <m/>
    <n v="0"/>
    <m/>
    <n v="0"/>
    <m/>
    <n v="0"/>
    <n v="0"/>
    <m/>
    <n v="0"/>
    <m/>
    <n v="0"/>
    <m/>
    <n v="0"/>
    <m/>
    <n v="0"/>
    <n v="0"/>
    <m/>
    <n v="0"/>
    <m/>
    <n v="0"/>
    <m/>
    <n v="0"/>
    <m/>
    <n v="0"/>
    <n v="0"/>
    <m/>
    <n v="0"/>
    <m/>
    <n v="0"/>
    <m/>
    <n v="0"/>
    <m/>
    <x v="35"/>
  </r>
  <r>
    <s v=""/>
    <n v="175"/>
    <x v="4"/>
    <x v="8"/>
    <x v="45"/>
    <x v="126"/>
    <x v="1"/>
    <x v="1"/>
    <s v="Sisteme_de_sanatate"/>
    <s v="Sisteme_de_sanatate!$A:$j"/>
    <n v="40000"/>
    <m/>
    <n v="0"/>
    <m/>
    <n v="0"/>
    <m/>
    <n v="0"/>
    <m/>
    <n v="40000"/>
    <n v="0"/>
    <m/>
    <n v="0"/>
    <m/>
    <n v="0"/>
    <m/>
    <n v="0"/>
    <m/>
    <n v="0"/>
    <n v="0"/>
    <m/>
    <n v="0"/>
    <m/>
    <n v="0"/>
    <m/>
    <n v="0"/>
    <m/>
    <n v="0"/>
    <n v="0"/>
    <m/>
    <n v="0"/>
    <m/>
    <n v="0"/>
    <m/>
    <n v="0"/>
    <m/>
    <n v="0"/>
    <n v="0"/>
    <m/>
    <n v="0"/>
    <m/>
    <n v="0"/>
    <m/>
    <n v="0"/>
    <m/>
    <x v="5"/>
  </r>
  <r>
    <s v=""/>
    <n v="176"/>
    <x v="4"/>
    <x v="8"/>
    <x v="46"/>
    <x v="127"/>
    <x v="0"/>
    <x v="0"/>
    <s v="Sisteme_de_sanatate"/>
    <s v="Sisteme_de_sanatate!$A:$j"/>
    <n v="82099793.640000001"/>
    <m/>
    <n v="0"/>
    <m/>
    <n v="0"/>
    <m/>
    <n v="0"/>
    <m/>
    <n v="82099793.640000001"/>
    <n v="82099793.640000001"/>
    <m/>
    <n v="0"/>
    <m/>
    <n v="0"/>
    <m/>
    <n v="0"/>
    <m/>
    <n v="82099793.640000001"/>
    <n v="82099793.640000001"/>
    <m/>
    <n v="0"/>
    <m/>
    <n v="0"/>
    <m/>
    <n v="0"/>
    <m/>
    <n v="82099793.640000001"/>
    <n v="82099793.640000001"/>
    <m/>
    <n v="0"/>
    <m/>
    <n v="0"/>
    <m/>
    <n v="0"/>
    <m/>
    <n v="82099793.640000001"/>
    <n v="82099793.640000001"/>
    <m/>
    <n v="0"/>
    <m/>
    <n v="0"/>
    <m/>
    <n v="0"/>
    <m/>
    <x v="146"/>
  </r>
  <r>
    <s v=""/>
    <n v="177"/>
    <x v="4"/>
    <x v="8"/>
    <x v="46"/>
    <x v="128"/>
    <x v="0"/>
    <x v="0"/>
    <s v="Sisteme_de_sanatate"/>
    <s v="Sisteme_de_sanatate!$A:$j"/>
    <n v="42504883"/>
    <m/>
    <n v="0"/>
    <m/>
    <n v="0"/>
    <m/>
    <n v="0"/>
    <m/>
    <n v="42504883"/>
    <n v="42504883"/>
    <m/>
    <n v="0"/>
    <m/>
    <n v="0"/>
    <m/>
    <n v="0"/>
    <m/>
    <n v="42504883"/>
    <n v="42504883"/>
    <m/>
    <n v="0"/>
    <m/>
    <n v="0"/>
    <m/>
    <n v="0"/>
    <m/>
    <n v="42504883"/>
    <n v="42504883"/>
    <m/>
    <n v="0"/>
    <m/>
    <n v="0"/>
    <m/>
    <n v="0"/>
    <m/>
    <n v="42504883"/>
    <n v="42504883"/>
    <m/>
    <n v="0"/>
    <m/>
    <n v="0"/>
    <m/>
    <n v="0"/>
    <m/>
    <x v="147"/>
  </r>
  <r>
    <s v=""/>
    <n v="178"/>
    <x v="4"/>
    <x v="8"/>
    <x v="29"/>
    <x v="129"/>
    <x v="1"/>
    <x v="1"/>
    <s v="Sisteme_de_sanatate"/>
    <s v="Sisteme_de_sanatate!$A:$j"/>
    <n v="0"/>
    <m/>
    <n v="0"/>
    <m/>
    <n v="0"/>
    <m/>
    <n v="0"/>
    <m/>
    <n v="0"/>
    <n v="0"/>
    <m/>
    <n v="0"/>
    <m/>
    <n v="0"/>
    <m/>
    <n v="0"/>
    <m/>
    <n v="0"/>
    <n v="0"/>
    <m/>
    <n v="0"/>
    <m/>
    <n v="0"/>
    <m/>
    <n v="0"/>
    <m/>
    <n v="0"/>
    <n v="0"/>
    <m/>
    <n v="0"/>
    <m/>
    <n v="0"/>
    <m/>
    <n v="0"/>
    <m/>
    <n v="0"/>
    <n v="0"/>
    <m/>
    <n v="0"/>
    <m/>
    <n v="0"/>
    <m/>
    <n v="0"/>
    <m/>
    <x v="35"/>
  </r>
  <r>
    <s v=""/>
    <n v="179"/>
    <x v="4"/>
    <x v="8"/>
    <x v="47"/>
    <x v="130"/>
    <x v="1"/>
    <x v="1"/>
    <s v="Sisteme_de_sanatate"/>
    <s v="Sisteme_de_sanatate!$A:$j"/>
    <n v="143029.75"/>
    <m/>
    <n v="0"/>
    <m/>
    <n v="0"/>
    <m/>
    <n v="0"/>
    <m/>
    <n v="143029.75"/>
    <n v="0"/>
    <m/>
    <n v="0"/>
    <m/>
    <n v="0"/>
    <m/>
    <n v="0"/>
    <m/>
    <n v="0"/>
    <n v="0"/>
    <m/>
    <n v="0"/>
    <m/>
    <n v="0"/>
    <m/>
    <n v="0"/>
    <m/>
    <n v="0"/>
    <n v="0"/>
    <m/>
    <n v="0"/>
    <m/>
    <n v="0"/>
    <m/>
    <n v="0"/>
    <m/>
    <n v="0"/>
    <n v="0"/>
    <m/>
    <n v="0"/>
    <m/>
    <n v="0"/>
    <m/>
    <n v="0"/>
    <m/>
    <x v="148"/>
  </r>
  <r>
    <s v=""/>
    <n v="180"/>
    <x v="4"/>
    <x v="14"/>
    <x v="48"/>
    <x v="131"/>
    <x v="1"/>
    <x v="1"/>
    <s v="Sisteme_de_sanatate"/>
    <s v="Sisteme_de_sanatate!$A:$j"/>
    <n v="0"/>
    <m/>
    <n v="0"/>
    <m/>
    <n v="0"/>
    <m/>
    <n v="0"/>
    <m/>
    <n v="0"/>
    <n v="40000"/>
    <m/>
    <n v="0"/>
    <m/>
    <n v="0"/>
    <m/>
    <n v="0"/>
    <m/>
    <n v="40000"/>
    <n v="0"/>
    <m/>
    <n v="0"/>
    <m/>
    <n v="0"/>
    <m/>
    <n v="0"/>
    <m/>
    <n v="0"/>
    <n v="0"/>
    <m/>
    <n v="0"/>
    <m/>
    <n v="0"/>
    <m/>
    <n v="0"/>
    <m/>
    <n v="0"/>
    <n v="0"/>
    <m/>
    <n v="0"/>
    <m/>
    <n v="0"/>
    <m/>
    <n v="0"/>
    <m/>
    <x v="5"/>
  </r>
  <r>
    <s v=""/>
    <n v="181"/>
    <x v="4"/>
    <x v="14"/>
    <x v="48"/>
    <x v="132"/>
    <x v="1"/>
    <x v="1"/>
    <s v="Sisteme_de_sanatate"/>
    <s v="Sisteme_de_sanatate!$A:$j"/>
    <n v="450000"/>
    <m/>
    <n v="0"/>
    <m/>
    <n v="0"/>
    <m/>
    <n v="0"/>
    <m/>
    <n v="450000"/>
    <n v="0"/>
    <m/>
    <n v="0"/>
    <m/>
    <n v="0"/>
    <m/>
    <n v="0"/>
    <m/>
    <n v="0"/>
    <n v="0"/>
    <m/>
    <n v="0"/>
    <m/>
    <n v="0"/>
    <m/>
    <n v="0"/>
    <m/>
    <n v="0"/>
    <n v="0"/>
    <m/>
    <n v="0"/>
    <m/>
    <n v="0"/>
    <m/>
    <n v="0"/>
    <m/>
    <n v="0"/>
    <n v="0"/>
    <m/>
    <n v="0"/>
    <m/>
    <n v="0"/>
    <m/>
    <n v="0"/>
    <m/>
    <x v="149"/>
  </r>
  <r>
    <s v=""/>
    <n v="182"/>
    <x v="4"/>
    <x v="14"/>
    <x v="48"/>
    <x v="133"/>
    <x v="1"/>
    <x v="1"/>
    <s v="Sisteme_de_sanatate"/>
    <s v="Sisteme_de_sanatate!$A:$j"/>
    <n v="264453.15000000002"/>
    <m/>
    <n v="0"/>
    <m/>
    <n v="0"/>
    <m/>
    <n v="0"/>
    <m/>
    <n v="264453.15000000002"/>
    <n v="0"/>
    <m/>
    <n v="0"/>
    <m/>
    <n v="0"/>
    <m/>
    <n v="0"/>
    <m/>
    <n v="0"/>
    <n v="0"/>
    <m/>
    <n v="0"/>
    <m/>
    <n v="0"/>
    <m/>
    <n v="0"/>
    <m/>
    <n v="0"/>
    <n v="0"/>
    <m/>
    <n v="0"/>
    <m/>
    <n v="0"/>
    <m/>
    <n v="0"/>
    <m/>
    <n v="0"/>
    <n v="0"/>
    <m/>
    <n v="0"/>
    <m/>
    <n v="0"/>
    <m/>
    <n v="0"/>
    <m/>
    <x v="150"/>
  </r>
  <r>
    <s v=""/>
    <n v="183"/>
    <x v="4"/>
    <x v="14"/>
    <x v="49"/>
    <x v="134"/>
    <x v="0"/>
    <x v="2"/>
    <s v="Sisteme_de_sanatate"/>
    <s v="Sisteme_de_sanatate!$A:$j"/>
    <n v="588371"/>
    <m/>
    <n v="0"/>
    <m/>
    <n v="0"/>
    <m/>
    <n v="0"/>
    <m/>
    <n v="588371"/>
    <n v="588371"/>
    <m/>
    <n v="0"/>
    <m/>
    <n v="0"/>
    <m/>
    <n v="0"/>
    <m/>
    <n v="588371"/>
    <n v="588371"/>
    <m/>
    <n v="0"/>
    <m/>
    <n v="0"/>
    <m/>
    <n v="0"/>
    <m/>
    <n v="588371"/>
    <n v="588371"/>
    <m/>
    <n v="0"/>
    <m/>
    <n v="0"/>
    <m/>
    <n v="0"/>
    <m/>
    <n v="588371"/>
    <n v="588371"/>
    <m/>
    <n v="0"/>
    <m/>
    <n v="0"/>
    <m/>
    <n v="0"/>
    <m/>
    <x v="151"/>
  </r>
  <r>
    <s v=""/>
    <n v="184"/>
    <x v="4"/>
    <x v="14"/>
    <x v="50"/>
    <x v="135"/>
    <x v="1"/>
    <x v="1"/>
    <s v="Sisteme_de_sanatate"/>
    <s v="Sisteme_de_sanatate!$A:$j"/>
    <n v="419440"/>
    <m/>
    <n v="0"/>
    <m/>
    <n v="0"/>
    <m/>
    <n v="0"/>
    <m/>
    <n v="419440"/>
    <n v="419440"/>
    <m/>
    <n v="0"/>
    <m/>
    <n v="0"/>
    <m/>
    <n v="0"/>
    <m/>
    <n v="419440"/>
    <n v="419440"/>
    <m/>
    <n v="0"/>
    <m/>
    <n v="0"/>
    <m/>
    <n v="0"/>
    <m/>
    <n v="419440"/>
    <n v="0"/>
    <m/>
    <n v="0"/>
    <m/>
    <n v="0"/>
    <m/>
    <n v="0"/>
    <m/>
    <n v="0"/>
    <n v="0"/>
    <m/>
    <n v="0"/>
    <m/>
    <n v="0"/>
    <m/>
    <n v="0"/>
    <m/>
    <x v="152"/>
  </r>
  <r>
    <s v=""/>
    <n v="185"/>
    <x v="4"/>
    <x v="14"/>
    <x v="51"/>
    <x v="136"/>
    <x v="1"/>
    <x v="1"/>
    <s v="Sisteme_de_sanatate"/>
    <s v="Sisteme_de_sanatate!$A:$j"/>
    <n v="70192"/>
    <m/>
    <n v="0"/>
    <m/>
    <n v="0"/>
    <m/>
    <n v="0"/>
    <m/>
    <n v="70192"/>
    <n v="70192"/>
    <m/>
    <n v="0"/>
    <m/>
    <n v="0"/>
    <m/>
    <n v="0"/>
    <m/>
    <n v="70192"/>
    <n v="70192"/>
    <m/>
    <n v="0"/>
    <m/>
    <n v="0"/>
    <m/>
    <n v="0"/>
    <m/>
    <n v="70192"/>
    <n v="0"/>
    <m/>
    <n v="0"/>
    <m/>
    <n v="0"/>
    <m/>
    <n v="0"/>
    <m/>
    <n v="0"/>
    <n v="0"/>
    <m/>
    <n v="0"/>
    <m/>
    <n v="0"/>
    <m/>
    <n v="0"/>
    <m/>
    <x v="153"/>
  </r>
  <r>
    <s v=""/>
    <n v="186"/>
    <x v="4"/>
    <x v="14"/>
    <x v="51"/>
    <x v="137"/>
    <x v="1"/>
    <x v="1"/>
    <s v="Sisteme_de_sanatate"/>
    <s v="Sisteme_de_sanatate!$A:$j"/>
    <n v="80987.813081489992"/>
    <m/>
    <n v="0"/>
    <m/>
    <n v="0"/>
    <m/>
    <n v="0"/>
    <m/>
    <n v="80987.813081489992"/>
    <n v="80987.813081489992"/>
    <m/>
    <n v="0"/>
    <m/>
    <n v="0"/>
    <m/>
    <n v="0"/>
    <m/>
    <n v="80987.813081489992"/>
    <n v="80987.813081489992"/>
    <m/>
    <n v="0"/>
    <m/>
    <n v="0"/>
    <m/>
    <n v="0"/>
    <m/>
    <n v="80987.813081489992"/>
    <n v="0"/>
    <m/>
    <n v="0"/>
    <m/>
    <n v="0"/>
    <m/>
    <n v="0"/>
    <m/>
    <n v="0"/>
    <n v="0"/>
    <m/>
    <n v="0"/>
    <m/>
    <n v="0"/>
    <m/>
    <n v="0"/>
    <m/>
    <x v="154"/>
  </r>
  <r>
    <s v=""/>
    <n v="187"/>
    <x v="4"/>
    <x v="14"/>
    <x v="52"/>
    <x v="138"/>
    <x v="1"/>
    <x v="1"/>
    <s v="Sisteme_de_sanatate"/>
    <s v="Sisteme_de_sanatate!$A:$j"/>
    <n v="20000"/>
    <m/>
    <n v="0"/>
    <m/>
    <n v="0"/>
    <m/>
    <n v="0"/>
    <m/>
    <n v="20000"/>
    <n v="0"/>
    <m/>
    <n v="0"/>
    <m/>
    <n v="0"/>
    <m/>
    <n v="0"/>
    <m/>
    <n v="0"/>
    <n v="0"/>
    <m/>
    <n v="0"/>
    <m/>
    <n v="0"/>
    <m/>
    <n v="0"/>
    <m/>
    <n v="0"/>
    <n v="0"/>
    <m/>
    <n v="0"/>
    <m/>
    <n v="0"/>
    <m/>
    <n v="0"/>
    <m/>
    <n v="0"/>
    <n v="0"/>
    <m/>
    <n v="0"/>
    <m/>
    <n v="0"/>
    <m/>
    <n v="0"/>
    <m/>
    <x v="129"/>
  </r>
  <r>
    <s v=""/>
    <n v="188"/>
    <x v="4"/>
    <x v="11"/>
    <x v="53"/>
    <x v="139"/>
    <x v="1"/>
    <x v="1"/>
    <s v="Sisteme_de_sanatate"/>
    <s v="Sisteme_de_sanatate!$A:$j"/>
    <n v="0"/>
    <m/>
    <n v="0"/>
    <m/>
    <n v="0"/>
    <m/>
    <n v="0"/>
    <m/>
    <n v="0"/>
    <n v="40000"/>
    <m/>
    <n v="0"/>
    <m/>
    <n v="0"/>
    <m/>
    <n v="0"/>
    <m/>
    <n v="40000"/>
    <n v="0"/>
    <m/>
    <n v="0"/>
    <m/>
    <n v="0"/>
    <m/>
    <n v="0"/>
    <m/>
    <n v="0"/>
    <n v="0"/>
    <m/>
    <n v="0"/>
    <m/>
    <n v="0"/>
    <m/>
    <n v="0"/>
    <m/>
    <n v="0"/>
    <n v="0"/>
    <m/>
    <n v="0"/>
    <m/>
    <n v="0"/>
    <m/>
    <n v="0"/>
    <m/>
    <x v="5"/>
  </r>
  <r>
    <s v=""/>
    <n v="189"/>
    <x v="4"/>
    <x v="11"/>
    <x v="31"/>
    <x v="140"/>
    <x v="2"/>
    <x v="1"/>
    <s v="ONG_TB"/>
    <s v="ONG_TB!$A:$j"/>
    <n v="1392933.9100000001"/>
    <m/>
    <n v="0"/>
    <m/>
    <n v="0"/>
    <m/>
    <n v="0"/>
    <m/>
    <n v="1392933.9100000001"/>
    <n v="1687902.75"/>
    <m/>
    <n v="0"/>
    <m/>
    <n v="0"/>
    <m/>
    <n v="0"/>
    <m/>
    <n v="1687902.75"/>
    <n v="1961694.2200000002"/>
    <m/>
    <n v="0"/>
    <m/>
    <n v="0"/>
    <m/>
    <n v="0"/>
    <m/>
    <n v="1961694.2200000002"/>
    <n v="0"/>
    <m/>
    <n v="0"/>
    <m/>
    <n v="0"/>
    <m/>
    <n v="0"/>
    <m/>
    <n v="0"/>
    <n v="0"/>
    <m/>
    <n v="0"/>
    <m/>
    <n v="0"/>
    <m/>
    <n v="0"/>
    <m/>
    <x v="155"/>
  </r>
  <r>
    <s v=""/>
    <n v="190"/>
    <x v="4"/>
    <x v="11"/>
    <x v="31"/>
    <x v="140"/>
    <x v="0"/>
    <x v="0"/>
    <s v="ONG_TB"/>
    <s v="ONG_TB!$A:$j"/>
    <n v="0"/>
    <m/>
    <n v="0"/>
    <m/>
    <n v="0"/>
    <m/>
    <n v="0"/>
    <m/>
    <n v="0"/>
    <n v="0"/>
    <m/>
    <n v="0"/>
    <m/>
    <n v="0"/>
    <m/>
    <n v="0"/>
    <m/>
    <n v="0"/>
    <n v="0"/>
    <m/>
    <n v="0"/>
    <m/>
    <n v="0"/>
    <m/>
    <n v="0"/>
    <m/>
    <n v="0"/>
    <n v="1901603.7250000001"/>
    <m/>
    <n v="0"/>
    <m/>
    <n v="0"/>
    <m/>
    <n v="0"/>
    <m/>
    <n v="1901603.7250000001"/>
    <n v="1845597.27"/>
    <m/>
    <n v="0"/>
    <m/>
    <n v="0"/>
    <m/>
    <n v="0"/>
    <m/>
    <x v="156"/>
  </r>
  <r>
    <s v=""/>
    <n v="191"/>
    <x v="4"/>
    <x v="11"/>
    <x v="54"/>
    <x v="141"/>
    <x v="1"/>
    <x v="1"/>
    <s v="Sisteme_de_sanatate"/>
    <s v="Sisteme_de_sanatate!$A:$j"/>
    <n v="256000"/>
    <m/>
    <n v="0"/>
    <m/>
    <n v="0"/>
    <m/>
    <n v="0"/>
    <m/>
    <n v="256000"/>
    <n v="0"/>
    <m/>
    <n v="0"/>
    <m/>
    <n v="0"/>
    <m/>
    <n v="0"/>
    <m/>
    <n v="0"/>
    <n v="0"/>
    <m/>
    <n v="0"/>
    <m/>
    <n v="0"/>
    <m/>
    <n v="0"/>
    <m/>
    <n v="0"/>
    <n v="0"/>
    <m/>
    <n v="0"/>
    <m/>
    <n v="0"/>
    <m/>
    <n v="0"/>
    <m/>
    <n v="0"/>
    <n v="0"/>
    <m/>
    <n v="0"/>
    <m/>
    <n v="0"/>
    <m/>
    <n v="0"/>
    <m/>
    <x v="157"/>
  </r>
  <r>
    <s v=""/>
    <n v="192"/>
    <x v="4"/>
    <x v="11"/>
    <x v="54"/>
    <x v="142"/>
    <x v="1"/>
    <x v="1"/>
    <s v="Sisteme_de_sanatate"/>
    <s v="Sisteme_de_sanatate!$A:$j"/>
    <n v="0"/>
    <m/>
    <n v="0"/>
    <m/>
    <n v="0"/>
    <m/>
    <n v="0"/>
    <m/>
    <n v="0"/>
    <n v="0"/>
    <m/>
    <n v="0"/>
    <m/>
    <n v="0"/>
    <m/>
    <n v="0"/>
    <m/>
    <n v="0"/>
    <n v="0"/>
    <m/>
    <n v="0"/>
    <m/>
    <n v="0"/>
    <m/>
    <n v="0"/>
    <m/>
    <n v="0"/>
    <n v="0"/>
    <m/>
    <n v="0"/>
    <m/>
    <n v="0"/>
    <m/>
    <n v="0"/>
    <m/>
    <n v="0"/>
    <n v="0"/>
    <m/>
    <n v="0"/>
    <m/>
    <n v="0"/>
    <m/>
    <n v="0"/>
    <m/>
    <x v="35"/>
  </r>
  <r>
    <s v=""/>
    <n v="193"/>
    <x v="4"/>
    <x v="11"/>
    <x v="54"/>
    <x v="143"/>
    <x v="1"/>
    <x v="1"/>
    <s v="Sisteme_de_sanatate"/>
    <s v="Sisteme_de_sanatate!$A:$j"/>
    <n v="60000"/>
    <m/>
    <n v="0"/>
    <m/>
    <n v="0"/>
    <m/>
    <n v="0"/>
    <m/>
    <n v="60000"/>
    <n v="0"/>
    <m/>
    <n v="0"/>
    <m/>
    <n v="0"/>
    <m/>
    <n v="0"/>
    <m/>
    <n v="0"/>
    <n v="0"/>
    <m/>
    <n v="0"/>
    <m/>
    <n v="0"/>
    <m/>
    <n v="0"/>
    <m/>
    <n v="0"/>
    <n v="0"/>
    <m/>
    <n v="0"/>
    <m/>
    <n v="0"/>
    <m/>
    <n v="0"/>
    <m/>
    <n v="0"/>
    <n v="0"/>
    <m/>
    <n v="0"/>
    <m/>
    <n v="0"/>
    <m/>
    <n v="0"/>
    <m/>
    <x v="158"/>
  </r>
  <r>
    <s v=""/>
    <n v="194"/>
    <x v="4"/>
    <x v="11"/>
    <x v="54"/>
    <x v="144"/>
    <x v="1"/>
    <x v="1"/>
    <s v="Sisteme_de_sanatate"/>
    <s v="Sisteme_de_sanatate!$A:$j"/>
    <n v="40000"/>
    <m/>
    <n v="0"/>
    <m/>
    <n v="0"/>
    <m/>
    <n v="0"/>
    <m/>
    <n v="40000"/>
    <n v="0"/>
    <m/>
    <n v="0"/>
    <m/>
    <n v="0"/>
    <m/>
    <n v="0"/>
    <m/>
    <n v="0"/>
    <n v="0"/>
    <m/>
    <n v="0"/>
    <m/>
    <n v="0"/>
    <m/>
    <n v="0"/>
    <m/>
    <n v="0"/>
    <n v="0"/>
    <m/>
    <n v="0"/>
    <m/>
    <n v="0"/>
    <m/>
    <n v="0"/>
    <m/>
    <n v="0"/>
    <n v="0"/>
    <m/>
    <n v="0"/>
    <m/>
    <n v="0"/>
    <m/>
    <n v="0"/>
    <m/>
    <x v="5"/>
  </r>
  <r>
    <s v=""/>
    <n v="195"/>
    <x v="4"/>
    <x v="11"/>
    <x v="35"/>
    <x v="145"/>
    <x v="2"/>
    <x v="1"/>
    <s v="ONG_TB"/>
    <s v="ONG_TB!$A:$j"/>
    <n v="0"/>
    <m/>
    <n v="0"/>
    <m/>
    <n v="0"/>
    <m/>
    <n v="0"/>
    <m/>
    <n v="0"/>
    <n v="490618"/>
    <m/>
    <n v="0"/>
    <m/>
    <n v="0"/>
    <m/>
    <n v="0"/>
    <m/>
    <n v="490618"/>
    <n v="490618"/>
    <m/>
    <n v="0"/>
    <m/>
    <n v="0"/>
    <m/>
    <n v="0"/>
    <m/>
    <n v="490618"/>
    <n v="0"/>
    <m/>
    <n v="0"/>
    <m/>
    <n v="0"/>
    <m/>
    <n v="0"/>
    <m/>
    <n v="0"/>
    <n v="0"/>
    <m/>
    <n v="0"/>
    <m/>
    <n v="0"/>
    <m/>
    <n v="0"/>
    <m/>
    <x v="159"/>
  </r>
  <r>
    <s v=""/>
    <n v="196"/>
    <x v="4"/>
    <x v="15"/>
    <x v="55"/>
    <x v="146"/>
    <x v="2"/>
    <x v="1"/>
    <s v="ONG_TB"/>
    <s v="ONG_TB!$A:$j"/>
    <n v="399288.83999999997"/>
    <m/>
    <n v="0"/>
    <m/>
    <n v="0"/>
    <m/>
    <n v="0"/>
    <m/>
    <n v="399288.83999999997"/>
    <n v="391877.57"/>
    <m/>
    <n v="0"/>
    <m/>
    <n v="0"/>
    <m/>
    <n v="0"/>
    <m/>
    <n v="391877.57"/>
    <n v="385553.51"/>
    <m/>
    <n v="0"/>
    <m/>
    <n v="0"/>
    <m/>
    <n v="0"/>
    <m/>
    <n v="385553.51"/>
    <n v="0"/>
    <m/>
    <n v="0"/>
    <m/>
    <n v="0"/>
    <m/>
    <n v="0"/>
    <m/>
    <n v="0"/>
    <n v="0"/>
    <m/>
    <n v="0"/>
    <m/>
    <n v="0"/>
    <m/>
    <n v="0"/>
    <m/>
    <x v="160"/>
  </r>
  <r>
    <s v=""/>
    <n v="197"/>
    <x v="4"/>
    <x v="15"/>
    <x v="56"/>
    <x v="147"/>
    <x v="1"/>
    <x v="1"/>
    <s v="Sisteme_de_sanatate"/>
    <s v="Sisteme_de_sanatate!$A:$j"/>
    <n v="0"/>
    <m/>
    <n v="0"/>
    <m/>
    <n v="0"/>
    <m/>
    <n v="0"/>
    <m/>
    <n v="0"/>
    <n v="0"/>
    <m/>
    <n v="0"/>
    <m/>
    <n v="0"/>
    <m/>
    <n v="0"/>
    <m/>
    <n v="0"/>
    <n v="0"/>
    <m/>
    <n v="0"/>
    <m/>
    <n v="0"/>
    <m/>
    <n v="0"/>
    <m/>
    <n v="0"/>
    <n v="0"/>
    <m/>
    <n v="0"/>
    <m/>
    <n v="0"/>
    <m/>
    <n v="0"/>
    <m/>
    <n v="0"/>
    <n v="0"/>
    <m/>
    <n v="0"/>
    <m/>
    <n v="0"/>
    <m/>
    <n v="0"/>
    <m/>
    <x v="35"/>
  </r>
  <r>
    <s v=""/>
    <n v="198"/>
    <x v="4"/>
    <x v="15"/>
    <x v="56"/>
    <x v="148"/>
    <x v="1"/>
    <x v="1"/>
    <s v="Sisteme_de_sanatate"/>
    <s v="Sisteme_de_sanatate!$A:$j"/>
    <n v="0"/>
    <m/>
    <n v="0"/>
    <m/>
    <n v="0"/>
    <m/>
    <n v="0"/>
    <m/>
    <n v="0"/>
    <n v="0"/>
    <m/>
    <n v="0"/>
    <m/>
    <n v="0"/>
    <m/>
    <n v="0"/>
    <m/>
    <n v="0"/>
    <n v="0"/>
    <m/>
    <n v="0"/>
    <m/>
    <n v="0"/>
    <m/>
    <n v="0"/>
    <m/>
    <n v="0"/>
    <n v="0"/>
    <m/>
    <n v="0"/>
    <m/>
    <n v="0"/>
    <m/>
    <n v="0"/>
    <m/>
    <n v="0"/>
    <n v="0"/>
    <m/>
    <n v="0"/>
    <m/>
    <n v="0"/>
    <m/>
    <n v="0"/>
    <m/>
    <x v="35"/>
  </r>
  <r>
    <s v=""/>
    <n v="199"/>
    <x v="4"/>
    <x v="15"/>
    <x v="56"/>
    <x v="149"/>
    <x v="1"/>
    <x v="1"/>
    <s v="Sisteme_de_sanatate"/>
    <s v="Sisteme_de_sanatate!$A:$j"/>
    <n v="0"/>
    <m/>
    <n v="0"/>
    <m/>
    <n v="0"/>
    <m/>
    <n v="0"/>
    <m/>
    <n v="0"/>
    <n v="0"/>
    <m/>
    <n v="0"/>
    <m/>
    <n v="0"/>
    <m/>
    <n v="0"/>
    <m/>
    <n v="0"/>
    <n v="0"/>
    <m/>
    <n v="0"/>
    <m/>
    <n v="0"/>
    <m/>
    <n v="0"/>
    <m/>
    <n v="0"/>
    <n v="0"/>
    <m/>
    <n v="0"/>
    <m/>
    <n v="0"/>
    <m/>
    <n v="0"/>
    <m/>
    <n v="0"/>
    <n v="0"/>
    <m/>
    <n v="0"/>
    <m/>
    <n v="0"/>
    <m/>
    <n v="0"/>
    <m/>
    <x v="35"/>
  </r>
  <r>
    <s v=""/>
    <n v="200"/>
    <x v="4"/>
    <x v="11"/>
    <x v="31"/>
    <x v="87"/>
    <x v="0"/>
    <x v="4"/>
    <s v="ONG_TB"/>
    <s v="ONG_TB!$A:$j"/>
    <n v="0"/>
    <m/>
    <n v="0"/>
    <m/>
    <n v="0"/>
    <m/>
    <n v="0"/>
    <m/>
    <n v="0"/>
    <n v="0"/>
    <m/>
    <n v="0"/>
    <m/>
    <n v="0"/>
    <m/>
    <n v="0"/>
    <m/>
    <n v="0"/>
    <n v="0"/>
    <m/>
    <n v="0"/>
    <m/>
    <n v="0"/>
    <m/>
    <n v="0"/>
    <m/>
    <n v="0"/>
    <n v="618388.56000000006"/>
    <m/>
    <n v="0"/>
    <m/>
    <n v="0"/>
    <m/>
    <n v="0"/>
    <m/>
    <n v="618388.56000000006"/>
    <n v="619788.15500000003"/>
    <m/>
    <n v="0"/>
    <m/>
    <n v="0"/>
    <m/>
    <n v="0"/>
    <m/>
    <x v="161"/>
  </r>
  <r>
    <s v=""/>
    <n v="201"/>
    <x v="4"/>
    <x v="15"/>
    <x v="57"/>
    <x v="150"/>
    <x v="1"/>
    <x v="1"/>
    <s v="Sisteme_de_sanatate"/>
    <s v="Sisteme_de_sanatate!$A:$j"/>
    <n v="40000"/>
    <m/>
    <n v="0"/>
    <m/>
    <n v="0"/>
    <m/>
    <n v="0"/>
    <m/>
    <n v="40000"/>
    <n v="0"/>
    <m/>
    <n v="0"/>
    <m/>
    <n v="0"/>
    <m/>
    <n v="0"/>
    <m/>
    <n v="0"/>
    <n v="0"/>
    <m/>
    <n v="0"/>
    <m/>
    <n v="0"/>
    <m/>
    <n v="0"/>
    <m/>
    <n v="0"/>
    <n v="0"/>
    <m/>
    <n v="0"/>
    <m/>
    <n v="0"/>
    <m/>
    <n v="0"/>
    <m/>
    <n v="0"/>
    <n v="0"/>
    <m/>
    <n v="0"/>
    <m/>
    <n v="0"/>
    <m/>
    <n v="0"/>
    <m/>
    <x v="5"/>
  </r>
  <r>
    <s v=""/>
    <n v="202"/>
    <x v="4"/>
    <x v="16"/>
    <x v="58"/>
    <x v="151"/>
    <x v="1"/>
    <x v="1"/>
    <s v="Sisteme_de_sanatate"/>
    <s v="Sisteme_de_sanatate!$A:$j"/>
    <n v="0"/>
    <m/>
    <n v="0"/>
    <m/>
    <n v="0"/>
    <m/>
    <n v="0"/>
    <m/>
    <n v="0"/>
    <n v="0"/>
    <m/>
    <n v="0"/>
    <m/>
    <n v="0"/>
    <m/>
    <n v="0"/>
    <m/>
    <n v="0"/>
    <n v="0"/>
    <m/>
    <n v="0"/>
    <m/>
    <n v="0"/>
    <m/>
    <n v="0"/>
    <m/>
    <n v="0"/>
    <n v="0"/>
    <m/>
    <n v="0"/>
    <m/>
    <n v="0"/>
    <m/>
    <n v="0"/>
    <m/>
    <n v="0"/>
    <n v="0"/>
    <m/>
    <n v="0"/>
    <m/>
    <n v="0"/>
    <m/>
    <n v="0"/>
    <m/>
    <x v="35"/>
  </r>
  <r>
    <s v=""/>
    <n v="203"/>
    <x v="4"/>
    <x v="16"/>
    <x v="58"/>
    <x v="152"/>
    <x v="1"/>
    <x v="1"/>
    <s v="Sisteme_de_sanatate"/>
    <s v="Sisteme_de_sanatate!$A:$j"/>
    <n v="0"/>
    <m/>
    <n v="0"/>
    <m/>
    <n v="0"/>
    <m/>
    <n v="0"/>
    <m/>
    <n v="0"/>
    <n v="0"/>
    <m/>
    <n v="0"/>
    <m/>
    <n v="0"/>
    <m/>
    <n v="0"/>
    <m/>
    <n v="0"/>
    <n v="0"/>
    <m/>
    <n v="0"/>
    <m/>
    <n v="0"/>
    <m/>
    <n v="0"/>
    <m/>
    <n v="0"/>
    <n v="0"/>
    <m/>
    <n v="0"/>
    <m/>
    <n v="0"/>
    <m/>
    <n v="0"/>
    <m/>
    <n v="0"/>
    <n v="0"/>
    <m/>
    <n v="0"/>
    <m/>
    <n v="0"/>
    <m/>
    <n v="0"/>
    <m/>
    <x v="35"/>
  </r>
  <r>
    <s v=""/>
    <n v="204"/>
    <x v="4"/>
    <x v="16"/>
    <x v="59"/>
    <x v="153"/>
    <x v="1"/>
    <x v="1"/>
    <s v="Sisteme_de_sanatate"/>
    <s v="Sisteme_de_sanatate!$A:$j"/>
    <n v="116508"/>
    <m/>
    <n v="0"/>
    <m/>
    <n v="0"/>
    <m/>
    <n v="0"/>
    <m/>
    <n v="116508"/>
    <n v="0"/>
    <m/>
    <n v="0"/>
    <m/>
    <n v="0"/>
    <m/>
    <n v="0"/>
    <m/>
    <n v="0"/>
    <n v="0"/>
    <m/>
    <n v="0"/>
    <m/>
    <n v="0"/>
    <m/>
    <n v="0"/>
    <m/>
    <n v="0"/>
    <n v="0"/>
    <m/>
    <n v="0"/>
    <m/>
    <n v="0"/>
    <m/>
    <n v="0"/>
    <m/>
    <n v="0"/>
    <n v="0"/>
    <m/>
    <n v="0"/>
    <m/>
    <n v="0"/>
    <m/>
    <n v="0"/>
    <m/>
    <x v="162"/>
  </r>
  <r>
    <s v=""/>
    <n v="205"/>
    <x v="4"/>
    <x v="16"/>
    <x v="60"/>
    <x v="154"/>
    <x v="1"/>
    <x v="1"/>
    <s v="Sisteme_de_sanatate"/>
    <s v="Sisteme_de_sanatate!$A:$j"/>
    <n v="83845.2"/>
    <m/>
    <n v="0"/>
    <m/>
    <n v="0"/>
    <m/>
    <n v="0"/>
    <m/>
    <n v="83845.2"/>
    <n v="83845.2"/>
    <m/>
    <n v="0"/>
    <m/>
    <n v="0"/>
    <m/>
    <n v="0"/>
    <m/>
    <n v="83845.2"/>
    <n v="83845.2"/>
    <m/>
    <n v="0"/>
    <m/>
    <n v="0"/>
    <m/>
    <n v="0"/>
    <m/>
    <n v="83845.2"/>
    <n v="0"/>
    <m/>
    <n v="0"/>
    <m/>
    <n v="0"/>
    <m/>
    <n v="0"/>
    <m/>
    <n v="0"/>
    <n v="0"/>
    <m/>
    <n v="0"/>
    <m/>
    <n v="0"/>
    <m/>
    <n v="0"/>
    <m/>
    <x v="163"/>
  </r>
  <r>
    <s v=""/>
    <n v="206"/>
    <x v="4"/>
    <x v="16"/>
    <x v="60"/>
    <x v="155"/>
    <x v="1"/>
    <x v="1"/>
    <s v="Sisteme_de_sanatate"/>
    <s v="Sisteme_de_sanatate!$A:$j"/>
    <n v="35000"/>
    <m/>
    <n v="0"/>
    <m/>
    <n v="0"/>
    <m/>
    <n v="0"/>
    <m/>
    <n v="35000"/>
    <n v="35000"/>
    <m/>
    <n v="0"/>
    <m/>
    <n v="0"/>
    <m/>
    <n v="0"/>
    <m/>
    <n v="35000"/>
    <n v="35000"/>
    <m/>
    <n v="0"/>
    <m/>
    <n v="0"/>
    <m/>
    <n v="0"/>
    <m/>
    <n v="35000"/>
    <n v="0"/>
    <m/>
    <n v="0"/>
    <m/>
    <n v="0"/>
    <m/>
    <n v="0"/>
    <m/>
    <n v="0"/>
    <n v="0"/>
    <m/>
    <n v="0"/>
    <m/>
    <n v="0"/>
    <m/>
    <n v="0"/>
    <m/>
    <x v="144"/>
  </r>
  <r>
    <s v=""/>
    <n v="207"/>
    <x v="4"/>
    <x v="16"/>
    <x v="60"/>
    <x v="156"/>
    <x v="1"/>
    <x v="1"/>
    <s v="Sisteme_de_sanatate"/>
    <s v="Sisteme_de_sanatate!$A:$j"/>
    <n v="0"/>
    <m/>
    <n v="0"/>
    <m/>
    <n v="0"/>
    <m/>
    <n v="0"/>
    <m/>
    <n v="0"/>
    <n v="20000"/>
    <m/>
    <n v="0"/>
    <m/>
    <n v="0"/>
    <m/>
    <n v="0"/>
    <m/>
    <n v="20000"/>
    <n v="0"/>
    <m/>
    <n v="0"/>
    <m/>
    <n v="0"/>
    <m/>
    <n v="0"/>
    <m/>
    <n v="0"/>
    <n v="0"/>
    <m/>
    <n v="0"/>
    <m/>
    <n v="0"/>
    <m/>
    <n v="0"/>
    <m/>
    <n v="0"/>
    <n v="0"/>
    <m/>
    <n v="0"/>
    <m/>
    <n v="0"/>
    <m/>
    <n v="0"/>
    <m/>
    <x v="129"/>
  </r>
  <r>
    <s v=""/>
    <n v="208"/>
    <x v="4"/>
    <x v="16"/>
    <x v="60"/>
    <x v="157"/>
    <x v="1"/>
    <x v="1"/>
    <s v="Sisteme_de_sanatate"/>
    <s v="Sisteme_de_sanatate!$A:$j"/>
    <n v="17548"/>
    <m/>
    <n v="0"/>
    <m/>
    <n v="0"/>
    <m/>
    <n v="0"/>
    <m/>
    <n v="17548"/>
    <n v="17548"/>
    <m/>
    <n v="0"/>
    <m/>
    <n v="0"/>
    <m/>
    <n v="0"/>
    <m/>
    <n v="17548"/>
    <n v="17548"/>
    <m/>
    <n v="0"/>
    <m/>
    <n v="0"/>
    <m/>
    <n v="0"/>
    <m/>
    <n v="17548"/>
    <n v="0"/>
    <m/>
    <n v="0"/>
    <m/>
    <n v="0"/>
    <m/>
    <n v="0"/>
    <m/>
    <n v="0"/>
    <n v="0"/>
    <m/>
    <n v="0"/>
    <m/>
    <n v="0"/>
    <m/>
    <n v="0"/>
    <m/>
    <x v="164"/>
  </r>
  <r>
    <s v=""/>
    <n v="209"/>
    <x v="6"/>
    <x v="17"/>
    <x v="61"/>
    <x v="158"/>
    <x v="1"/>
    <x v="1"/>
    <s v="Sisteme_de_sanatate"/>
    <s v="Sisteme_de_sanatate!$A:$j"/>
    <n v="0"/>
    <m/>
    <n v="0"/>
    <m/>
    <n v="0"/>
    <m/>
    <n v="0"/>
    <m/>
    <n v="0"/>
    <n v="0"/>
    <m/>
    <n v="0"/>
    <m/>
    <n v="0"/>
    <m/>
    <n v="0"/>
    <m/>
    <n v="0"/>
    <n v="256000"/>
    <m/>
    <n v="0"/>
    <m/>
    <n v="0"/>
    <m/>
    <n v="0"/>
    <m/>
    <n v="256000"/>
    <n v="0"/>
    <m/>
    <n v="0"/>
    <m/>
    <n v="0"/>
    <m/>
    <n v="0"/>
    <m/>
    <n v="0"/>
    <n v="0"/>
    <m/>
    <n v="0"/>
    <m/>
    <n v="0"/>
    <m/>
    <n v="0"/>
    <m/>
    <x v="157"/>
  </r>
  <r>
    <s v=""/>
    <n v="210"/>
    <x v="6"/>
    <x v="17"/>
    <x v="61"/>
    <x v="159"/>
    <x v="1"/>
    <x v="1"/>
    <s v="Sisteme_de_sanatate"/>
    <s v="Sisteme_de_sanatate!$A:$j"/>
    <n v="256000"/>
    <m/>
    <n v="0"/>
    <m/>
    <n v="0"/>
    <m/>
    <n v="0"/>
    <m/>
    <n v="256000"/>
    <n v="0"/>
    <m/>
    <n v="0"/>
    <m/>
    <n v="0"/>
    <m/>
    <n v="0"/>
    <m/>
    <n v="0"/>
    <n v="0"/>
    <m/>
    <n v="0"/>
    <m/>
    <n v="0"/>
    <m/>
    <n v="0"/>
    <m/>
    <n v="0"/>
    <n v="0"/>
    <m/>
    <n v="0"/>
    <m/>
    <n v="0"/>
    <m/>
    <n v="0"/>
    <m/>
    <n v="0"/>
    <n v="0"/>
    <m/>
    <n v="0"/>
    <m/>
    <n v="0"/>
    <m/>
    <n v="0"/>
    <m/>
    <x v="157"/>
  </r>
  <r>
    <s v=""/>
    <n v="211"/>
    <x v="6"/>
    <x v="17"/>
    <x v="61"/>
    <x v="160"/>
    <x v="1"/>
    <x v="1"/>
    <s v="Sisteme_de_sanatate"/>
    <s v="Sisteme_de_sanatate!$A:$j"/>
    <n v="302750"/>
    <m/>
    <n v="0"/>
    <m/>
    <n v="0"/>
    <m/>
    <n v="0"/>
    <m/>
    <n v="302750"/>
    <n v="0"/>
    <m/>
    <n v="0"/>
    <m/>
    <n v="0"/>
    <m/>
    <n v="0"/>
    <m/>
    <n v="0"/>
    <n v="0"/>
    <m/>
    <n v="0"/>
    <m/>
    <n v="0"/>
    <m/>
    <n v="0"/>
    <m/>
    <n v="0"/>
    <n v="0"/>
    <m/>
    <n v="0"/>
    <m/>
    <n v="0"/>
    <m/>
    <n v="0"/>
    <m/>
    <n v="0"/>
    <n v="0"/>
    <m/>
    <n v="0"/>
    <m/>
    <n v="0"/>
    <m/>
    <n v="0"/>
    <m/>
    <x v="165"/>
  </r>
  <r>
    <s v=""/>
    <n v="212"/>
    <x v="6"/>
    <x v="17"/>
    <x v="61"/>
    <x v="161"/>
    <x v="1"/>
    <x v="1"/>
    <s v="Sisteme_de_sanatate"/>
    <s v="Sisteme_de_sanatate!$A:$j"/>
    <n v="0"/>
    <m/>
    <n v="0"/>
    <m/>
    <n v="0"/>
    <m/>
    <n v="0"/>
    <m/>
    <n v="0"/>
    <n v="256000"/>
    <m/>
    <n v="0"/>
    <m/>
    <n v="0"/>
    <m/>
    <n v="0"/>
    <m/>
    <n v="256000"/>
    <n v="0"/>
    <m/>
    <n v="0"/>
    <m/>
    <n v="0"/>
    <m/>
    <n v="0"/>
    <m/>
    <n v="0"/>
    <n v="0"/>
    <m/>
    <n v="0"/>
    <m/>
    <n v="0"/>
    <m/>
    <n v="0"/>
    <m/>
    <n v="0"/>
    <n v="0"/>
    <m/>
    <n v="0"/>
    <m/>
    <n v="0"/>
    <m/>
    <n v="0"/>
    <m/>
    <x v="157"/>
  </r>
  <r>
    <s v=""/>
    <n v="213"/>
    <x v="3"/>
    <x v="12"/>
    <x v="41"/>
    <x v="162"/>
    <x v="1"/>
    <x v="1"/>
    <s v="Informare"/>
    <s v="Informare!$A:$j"/>
    <n v="30000"/>
    <m/>
    <n v="0"/>
    <m/>
    <n v="0"/>
    <m/>
    <n v="0"/>
    <m/>
    <n v="30000"/>
    <n v="30000"/>
    <m/>
    <n v="0"/>
    <m/>
    <n v="0"/>
    <m/>
    <n v="0"/>
    <m/>
    <n v="30000"/>
    <n v="30000"/>
    <m/>
    <n v="0"/>
    <m/>
    <n v="0"/>
    <m/>
    <n v="0"/>
    <m/>
    <n v="30000"/>
    <n v="0"/>
    <m/>
    <n v="0"/>
    <m/>
    <n v="0"/>
    <m/>
    <n v="0"/>
    <m/>
    <n v="0"/>
    <n v="0"/>
    <m/>
    <n v="0"/>
    <m/>
    <n v="0"/>
    <m/>
    <n v="0"/>
    <m/>
    <x v="124"/>
  </r>
  <r>
    <s v=""/>
    <n v="214"/>
    <x v="4"/>
    <x v="8"/>
    <x v="29"/>
    <x v="129"/>
    <x v="0"/>
    <x v="0"/>
    <s v="Sisteme_de_sanatate"/>
    <s v="Sisteme_de_sanatate!$A:$j"/>
    <n v="0"/>
    <m/>
    <n v="0"/>
    <m/>
    <n v="0"/>
    <m/>
    <n v="0"/>
    <m/>
    <n v="0"/>
    <n v="0"/>
    <m/>
    <n v="0"/>
    <m/>
    <n v="0"/>
    <m/>
    <n v="0"/>
    <m/>
    <n v="0"/>
    <n v="0"/>
    <m/>
    <n v="0"/>
    <m/>
    <n v="0"/>
    <m/>
    <n v="0"/>
    <m/>
    <n v="0"/>
    <n v="0"/>
    <m/>
    <n v="0"/>
    <m/>
    <n v="0"/>
    <m/>
    <n v="0"/>
    <m/>
    <n v="0"/>
    <n v="0"/>
    <m/>
    <n v="0"/>
    <m/>
    <n v="0"/>
    <m/>
    <n v="0"/>
    <m/>
    <x v="35"/>
  </r>
  <r>
    <s v=""/>
    <n v="215"/>
    <x v="1"/>
    <x v="10"/>
    <x v="30"/>
    <x v="85"/>
    <x v="0"/>
    <x v="4"/>
    <s v="Aderenta_VOT"/>
    <s v="Aderenta_VOT!$A:$j"/>
    <n v="0"/>
    <m/>
    <n v="0"/>
    <m/>
    <n v="0"/>
    <m/>
    <n v="0"/>
    <m/>
    <n v="0"/>
    <n v="0"/>
    <m/>
    <n v="0"/>
    <m/>
    <n v="0"/>
    <m/>
    <n v="0"/>
    <m/>
    <n v="0"/>
    <n v="0"/>
    <m/>
    <n v="0"/>
    <m/>
    <n v="0"/>
    <m/>
    <n v="0"/>
    <m/>
    <n v="0"/>
    <n v="115584"/>
    <m/>
    <n v="0"/>
    <m/>
    <n v="0"/>
    <m/>
    <n v="0"/>
    <m/>
    <n v="115584"/>
    <n v="115584"/>
    <m/>
    <n v="0"/>
    <m/>
    <n v="0"/>
    <m/>
    <n v="0"/>
    <m/>
    <x v="166"/>
  </r>
  <r>
    <s v=""/>
    <n v="216"/>
    <x v="0"/>
    <x v="0"/>
    <x v="3"/>
    <x v="3"/>
    <x v="0"/>
    <x v="0"/>
    <s v="Exam_grup_risc"/>
    <s v="Exam_grup_risc!$A:$j"/>
    <n v="0"/>
    <m/>
    <n v="0"/>
    <m/>
    <n v="0"/>
    <m/>
    <n v="0"/>
    <m/>
    <n v="0"/>
    <n v="0"/>
    <m/>
    <n v="0"/>
    <m/>
    <n v="0"/>
    <m/>
    <n v="0"/>
    <m/>
    <n v="0"/>
    <n v="0"/>
    <m/>
    <n v="0"/>
    <m/>
    <n v="0"/>
    <m/>
    <n v="0"/>
    <m/>
    <n v="0"/>
    <n v="1475880"/>
    <m/>
    <n v="0"/>
    <m/>
    <n v="0"/>
    <m/>
    <n v="0"/>
    <m/>
    <n v="1475880"/>
    <n v="1475880"/>
    <m/>
    <n v="0"/>
    <m/>
    <n v="0"/>
    <m/>
    <n v="0"/>
    <m/>
    <x v="167"/>
  </r>
  <r>
    <s v=""/>
    <n v="217"/>
    <x v="0"/>
    <x v="0"/>
    <x v="3"/>
    <x v="3"/>
    <x v="1"/>
    <x v="1"/>
    <s v="Exam_grup_risc"/>
    <s v="Exam_grup_risc!$A:$j"/>
    <n v="948766.92"/>
    <m/>
    <n v="0"/>
    <m/>
    <n v="0"/>
    <m/>
    <n v="0"/>
    <m/>
    <n v="948766.92"/>
    <n v="737940"/>
    <m/>
    <n v="0"/>
    <m/>
    <n v="0"/>
    <m/>
    <n v="0"/>
    <m/>
    <n v="737940"/>
    <n v="737940"/>
    <m/>
    <n v="0"/>
    <m/>
    <n v="0"/>
    <m/>
    <n v="0"/>
    <m/>
    <n v="737940"/>
    <n v="0"/>
    <m/>
    <n v="0"/>
    <m/>
    <n v="0"/>
    <m/>
    <n v="0"/>
    <m/>
    <n v="0"/>
    <n v="0"/>
    <m/>
    <n v="0"/>
    <m/>
    <n v="0"/>
    <m/>
    <n v="0"/>
    <m/>
    <x v="168"/>
  </r>
  <r>
    <s v=""/>
    <n v="218"/>
    <x v="0"/>
    <x v="0"/>
    <x v="3"/>
    <x v="3"/>
    <x v="0"/>
    <x v="4"/>
    <s v="Exam_grup_risc"/>
    <s v="Exam_grup_risc!$A:$j"/>
    <n v="0"/>
    <m/>
    <n v="0"/>
    <m/>
    <n v="0"/>
    <m/>
    <n v="0"/>
    <m/>
    <n v="0"/>
    <n v="0"/>
    <m/>
    <n v="0"/>
    <m/>
    <n v="0"/>
    <m/>
    <n v="0"/>
    <m/>
    <n v="0"/>
    <n v="0"/>
    <m/>
    <n v="0"/>
    <m/>
    <n v="0"/>
    <m/>
    <n v="0"/>
    <m/>
    <n v="0"/>
    <n v="737940"/>
    <m/>
    <n v="0"/>
    <m/>
    <n v="0"/>
    <m/>
    <n v="0"/>
    <m/>
    <n v="737940"/>
    <n v="737940"/>
    <m/>
    <n v="0"/>
    <m/>
    <n v="0"/>
    <m/>
    <n v="0"/>
    <m/>
    <x v="169"/>
  </r>
  <r>
    <s v=""/>
    <n v="219"/>
    <x v="4"/>
    <x v="5"/>
    <x v="26"/>
    <x v="73"/>
    <x v="0"/>
    <x v="0"/>
    <s v="PNCT"/>
    <s v="PNCT!$A:$j"/>
    <n v="0"/>
    <m/>
    <n v="0"/>
    <m/>
    <n v="0"/>
    <m/>
    <n v="0"/>
    <m/>
    <n v="0"/>
    <n v="0"/>
    <m/>
    <n v="0"/>
    <m/>
    <n v="0"/>
    <m/>
    <n v="0"/>
    <m/>
    <n v="0"/>
    <n v="0"/>
    <m/>
    <n v="0"/>
    <m/>
    <n v="0"/>
    <m/>
    <n v="0"/>
    <m/>
    <n v="0"/>
    <n v="392494.06"/>
    <m/>
    <n v="0"/>
    <m/>
    <n v="0"/>
    <m/>
    <n v="0"/>
    <m/>
    <n v="392494.06"/>
    <n v="392494.06"/>
    <m/>
    <n v="0"/>
    <m/>
    <n v="0"/>
    <m/>
    <n v="0"/>
    <m/>
    <x v="170"/>
  </r>
  <r>
    <s v=""/>
    <n v="220"/>
    <x v="6"/>
    <x v="17"/>
    <x v="61"/>
    <x v="159"/>
    <x v="0"/>
    <x v="0"/>
    <s v="Sisteme_de_sanatate"/>
    <s v="Sisteme_de_sanatate!$A:$j"/>
    <n v="0"/>
    <m/>
    <n v="0"/>
    <m/>
    <n v="0"/>
    <m/>
    <n v="0"/>
    <m/>
    <n v="0"/>
    <n v="0"/>
    <m/>
    <n v="0"/>
    <m/>
    <n v="0"/>
    <m/>
    <n v="0"/>
    <m/>
    <n v="0"/>
    <n v="0"/>
    <m/>
    <n v="0"/>
    <m/>
    <n v="0"/>
    <m/>
    <n v="0"/>
    <m/>
    <n v="0"/>
    <n v="0"/>
    <m/>
    <n v="0"/>
    <m/>
    <n v="0"/>
    <m/>
    <n v="0"/>
    <m/>
    <n v="0"/>
    <n v="256000"/>
    <m/>
    <n v="0"/>
    <m/>
    <n v="0"/>
    <m/>
    <n v="0"/>
    <m/>
    <x v="157"/>
  </r>
  <r>
    <s v=""/>
    <n v="221"/>
    <x v="0"/>
    <x v="0"/>
    <x v="3"/>
    <x v="163"/>
    <x v="2"/>
    <x v="1"/>
    <s v="ONG_TB"/>
    <s v="ONG_TB!$A:$j"/>
    <n v="1777584"/>
    <m/>
    <n v="0"/>
    <m/>
    <n v="0"/>
    <m/>
    <n v="0"/>
    <m/>
    <n v="1777584"/>
    <n v="2022768.0000000002"/>
    <m/>
    <n v="0"/>
    <m/>
    <n v="0"/>
    <m/>
    <n v="0"/>
    <m/>
    <n v="2022768.0000000002"/>
    <n v="2084064.0000000002"/>
    <m/>
    <n v="0"/>
    <m/>
    <n v="0"/>
    <m/>
    <n v="0"/>
    <m/>
    <n v="2084064.0000000002"/>
    <n v="0"/>
    <m/>
    <n v="0"/>
    <m/>
    <n v="0"/>
    <m/>
    <n v="0"/>
    <m/>
    <n v="0"/>
    <n v="0"/>
    <m/>
    <n v="0"/>
    <m/>
    <n v="0"/>
    <m/>
    <n v="0"/>
    <m/>
    <x v="171"/>
  </r>
  <r>
    <s v=""/>
    <n v="222"/>
    <x v="1"/>
    <x v="4"/>
    <x v="62"/>
    <x v="164"/>
    <x v="1"/>
    <x v="1"/>
    <s v="RA_farmacovigilenta"/>
    <s v="RA_farmacovigilenta!$A:$j"/>
    <n v="0"/>
    <m/>
    <n v="0"/>
    <m/>
    <n v="0"/>
    <m/>
    <n v="0"/>
    <m/>
    <n v="0"/>
    <n v="0"/>
    <m/>
    <n v="0"/>
    <m/>
    <n v="0"/>
    <m/>
    <n v="0"/>
    <m/>
    <n v="0"/>
    <n v="0"/>
    <m/>
    <n v="0"/>
    <m/>
    <n v="0"/>
    <m/>
    <n v="0"/>
    <m/>
    <n v="0"/>
    <n v="0"/>
    <m/>
    <n v="0"/>
    <m/>
    <n v="0"/>
    <m/>
    <n v="0"/>
    <m/>
    <n v="0"/>
    <n v="0"/>
    <m/>
    <n v="0"/>
    <m/>
    <n v="0"/>
    <m/>
    <n v="0"/>
    <m/>
    <x v="35"/>
  </r>
  <r>
    <s v=""/>
    <n v="223"/>
    <x v="4"/>
    <x v="16"/>
    <x v="60"/>
    <x v="165"/>
    <x v="1"/>
    <x v="1"/>
    <s v="Sisteme_de_sanatate"/>
    <s v="Sisteme_de_sanatate!$A:$j"/>
    <n v="26300"/>
    <m/>
    <n v="0"/>
    <m/>
    <n v="0"/>
    <m/>
    <n v="0"/>
    <m/>
    <n v="26300"/>
    <n v="0"/>
    <m/>
    <n v="0"/>
    <m/>
    <n v="0"/>
    <m/>
    <n v="0"/>
    <m/>
    <n v="0"/>
    <n v="0"/>
    <m/>
    <n v="0"/>
    <m/>
    <n v="0"/>
    <m/>
    <n v="0"/>
    <m/>
    <n v="0"/>
    <n v="0"/>
    <m/>
    <n v="0"/>
    <m/>
    <n v="0"/>
    <m/>
    <n v="0"/>
    <m/>
    <n v="0"/>
    <n v="0"/>
    <m/>
    <n v="0"/>
    <m/>
    <n v="0"/>
    <m/>
    <n v="0"/>
    <m/>
    <x v="172"/>
  </r>
  <r>
    <s v=""/>
    <n v="224"/>
    <x v="4"/>
    <x v="16"/>
    <x v="60"/>
    <x v="166"/>
    <x v="1"/>
    <x v="1"/>
    <s v="Sisteme_de_sanatate"/>
    <s v="Sisteme_de_sanatate!$A:$j"/>
    <n v="0"/>
    <m/>
    <n v="0"/>
    <m/>
    <n v="0"/>
    <m/>
    <n v="0"/>
    <m/>
    <n v="0"/>
    <n v="17548"/>
    <m/>
    <n v="0"/>
    <m/>
    <n v="0"/>
    <m/>
    <n v="0"/>
    <m/>
    <n v="17548"/>
    <n v="0"/>
    <m/>
    <n v="0"/>
    <m/>
    <n v="0"/>
    <m/>
    <n v="0"/>
    <m/>
    <n v="0"/>
    <n v="0"/>
    <m/>
    <n v="0"/>
    <m/>
    <n v="0"/>
    <m/>
    <n v="0"/>
    <m/>
    <n v="0"/>
    <n v="0"/>
    <m/>
    <n v="0"/>
    <m/>
    <n v="0"/>
    <m/>
    <n v="0"/>
    <m/>
    <x v="130"/>
  </r>
  <r>
    <s v=""/>
    <n v="225"/>
    <x v="1"/>
    <x v="4"/>
    <x v="13"/>
    <x v="43"/>
    <x v="0"/>
    <x v="0"/>
    <s v="RA_farmacovigilenta"/>
    <s v="RA_farmacovigilenta!$A:$j"/>
    <n v="0"/>
    <m/>
    <n v="0"/>
    <m/>
    <n v="0"/>
    <m/>
    <n v="0"/>
    <m/>
    <n v="0"/>
    <n v="0"/>
    <m/>
    <n v="0"/>
    <m/>
    <n v="0"/>
    <m/>
    <n v="0"/>
    <m/>
    <n v="0"/>
    <n v="0"/>
    <m/>
    <n v="0"/>
    <m/>
    <n v="0"/>
    <m/>
    <n v="0"/>
    <m/>
    <n v="0"/>
    <n v="0"/>
    <m/>
    <n v="0"/>
    <m/>
    <n v="0"/>
    <m/>
    <n v="0"/>
    <m/>
    <n v="0"/>
    <n v="413833.19999999995"/>
    <m/>
    <n v="0"/>
    <m/>
    <n v="0"/>
    <m/>
    <n v="0"/>
    <m/>
    <x v="78"/>
  </r>
  <r>
    <s v=""/>
    <n v="226"/>
    <x v="1"/>
    <x v="10"/>
    <x v="33"/>
    <x v="93"/>
    <x v="0"/>
    <x v="0"/>
    <s v="Aderenta_VOT"/>
    <s v="Aderenta_VOT!$A:$j"/>
    <n v="0"/>
    <m/>
    <n v="0"/>
    <m/>
    <n v="0"/>
    <m/>
    <n v="0"/>
    <m/>
    <n v="0"/>
    <n v="61343.100000000006"/>
    <m/>
    <n v="0"/>
    <m/>
    <n v="0"/>
    <m/>
    <n v="0"/>
    <m/>
    <n v="61343.100000000006"/>
    <n v="61343.100000000006"/>
    <m/>
    <n v="0"/>
    <m/>
    <n v="0"/>
    <m/>
    <n v="0"/>
    <m/>
    <n v="61343.100000000006"/>
    <n v="40895.4"/>
    <m/>
    <n v="0"/>
    <m/>
    <n v="0"/>
    <m/>
    <n v="0"/>
    <m/>
    <n v="40895.4"/>
    <n v="40895.4"/>
    <m/>
    <n v="0"/>
    <m/>
    <n v="0"/>
    <m/>
    <n v="0"/>
    <m/>
    <x v="173"/>
  </r>
  <r>
    <s v=""/>
    <n v="227"/>
    <x v="1"/>
    <x v="10"/>
    <x v="32"/>
    <x v="167"/>
    <x v="2"/>
    <x v="1"/>
    <s v="Aderenta_VOT"/>
    <s v="Aderenta_VOT!$A:$j"/>
    <n v="3525747.2600000002"/>
    <m/>
    <n v="0"/>
    <m/>
    <n v="0"/>
    <m/>
    <n v="0"/>
    <m/>
    <n v="3525747.2600000002"/>
    <n v="3493356.14"/>
    <m/>
    <n v="0"/>
    <m/>
    <n v="0"/>
    <m/>
    <n v="0"/>
    <m/>
    <n v="3493356.14"/>
    <n v="3506768.38"/>
    <m/>
    <n v="0"/>
    <m/>
    <n v="0"/>
    <m/>
    <n v="0"/>
    <m/>
    <n v="3506768.38"/>
    <n v="0"/>
    <m/>
    <n v="0"/>
    <m/>
    <n v="0"/>
    <m/>
    <n v="0"/>
    <m/>
    <n v="0"/>
    <n v="0"/>
    <m/>
    <n v="0"/>
    <m/>
    <n v="0"/>
    <m/>
    <n v="0"/>
    <m/>
    <x v="174"/>
  </r>
  <r>
    <s v=""/>
    <n v="228"/>
    <x v="1"/>
    <x v="10"/>
    <x v="32"/>
    <x v="167"/>
    <x v="0"/>
    <x v="4"/>
    <s v="Aderenta_VOT"/>
    <s v="Aderenta_VOT!$A:$j"/>
    <n v="0"/>
    <m/>
    <n v="0"/>
    <m/>
    <n v="0"/>
    <m/>
    <n v="0"/>
    <m/>
    <n v="0"/>
    <n v="0"/>
    <m/>
    <n v="0"/>
    <m/>
    <n v="0"/>
    <m/>
    <n v="0"/>
    <m/>
    <n v="0"/>
    <n v="0"/>
    <m/>
    <n v="0"/>
    <m/>
    <n v="0"/>
    <m/>
    <n v="0"/>
    <m/>
    <n v="0"/>
    <n v="3541756.02"/>
    <m/>
    <n v="0"/>
    <m/>
    <n v="0"/>
    <m/>
    <n v="0"/>
    <m/>
    <n v="3541756.02"/>
    <n v="3563947.86"/>
    <m/>
    <n v="0"/>
    <m/>
    <n v="0"/>
    <m/>
    <n v="0"/>
    <m/>
    <x v="175"/>
  </r>
  <r>
    <s v=""/>
    <n v="229"/>
    <x v="3"/>
    <x v="3"/>
    <x v="11"/>
    <x v="33"/>
    <x v="0"/>
    <x v="1"/>
    <s v="ITL"/>
    <s v="ITL!$A:$j"/>
    <n v="1511600.8077581038"/>
    <m/>
    <n v="0"/>
    <m/>
    <n v="0"/>
    <m/>
    <n v="0"/>
    <m/>
    <n v="1511600.8077581038"/>
    <n v="1287137.6363048111"/>
    <m/>
    <n v="0"/>
    <m/>
    <n v="0"/>
    <m/>
    <n v="0"/>
    <m/>
    <n v="1287137.6363048111"/>
    <n v="1074426.4633569261"/>
    <m/>
    <n v="0"/>
    <m/>
    <n v="0"/>
    <m/>
    <n v="0"/>
    <m/>
    <n v="1074426.4633569261"/>
    <n v="0"/>
    <m/>
    <n v="0"/>
    <m/>
    <n v="0"/>
    <m/>
    <n v="0"/>
    <m/>
    <n v="0"/>
    <n v="0"/>
    <m/>
    <n v="0"/>
    <m/>
    <n v="0"/>
    <m/>
    <n v="0"/>
    <m/>
    <x v="176"/>
  </r>
  <r>
    <s v=""/>
    <n v="230"/>
    <x v="3"/>
    <x v="3"/>
    <x v="11"/>
    <x v="34"/>
    <x v="0"/>
    <x v="1"/>
    <s v="ITL"/>
    <s v="ITL!$A:$j"/>
    <n v="208597.97347099197"/>
    <m/>
    <n v="0"/>
    <m/>
    <n v="0"/>
    <m/>
    <n v="0"/>
    <m/>
    <n v="208597.97347099197"/>
    <n v="174810.97776794396"/>
    <m/>
    <n v="0"/>
    <m/>
    <n v="0"/>
    <m/>
    <n v="0"/>
    <m/>
    <n v="174810.97776794396"/>
    <n v="144255.7816538832"/>
    <m/>
    <n v="0"/>
    <m/>
    <n v="0"/>
    <m/>
    <n v="0"/>
    <m/>
    <n v="144255.7816538832"/>
    <n v="0"/>
    <m/>
    <n v="0"/>
    <m/>
    <n v="0"/>
    <m/>
    <n v="0"/>
    <m/>
    <n v="0"/>
    <n v="0"/>
    <m/>
    <n v="0"/>
    <m/>
    <n v="0"/>
    <m/>
    <n v="0"/>
    <m/>
    <x v="177"/>
  </r>
  <r>
    <s v=""/>
    <n v="231"/>
    <x v="3"/>
    <x v="3"/>
    <x v="11"/>
    <x v="37"/>
    <x v="0"/>
    <x v="1"/>
    <s v="ITL"/>
    <s v="ITL!$A:$j"/>
    <n v="167465.97870206399"/>
    <m/>
    <n v="0"/>
    <m/>
    <n v="0"/>
    <m/>
    <n v="0"/>
    <m/>
    <n v="167465.97870206399"/>
    <n v="148956.58105604642"/>
    <m/>
    <n v="0"/>
    <m/>
    <n v="0"/>
    <m/>
    <n v="0"/>
    <m/>
    <n v="148956.58105604642"/>
    <n v="128684.38363421758"/>
    <m/>
    <n v="0"/>
    <m/>
    <n v="0"/>
    <m/>
    <n v="0"/>
    <m/>
    <n v="128684.38363421758"/>
    <n v="0"/>
    <m/>
    <n v="0"/>
    <m/>
    <n v="0"/>
    <m/>
    <n v="0"/>
    <m/>
    <n v="0"/>
    <n v="0"/>
    <m/>
    <n v="0"/>
    <m/>
    <n v="0"/>
    <m/>
    <n v="0"/>
    <m/>
    <x v="178"/>
  </r>
  <r>
    <s v=""/>
    <n v="232"/>
    <x v="3"/>
    <x v="3"/>
    <x v="11"/>
    <x v="38"/>
    <x v="0"/>
    <x v="1"/>
    <s v="ITL"/>
    <s v="ITL!$A:$j"/>
    <n v="36137.395404129602"/>
    <m/>
    <n v="0"/>
    <m/>
    <n v="0"/>
    <m/>
    <n v="0"/>
    <m/>
    <n v="36137.395404129602"/>
    <n v="33493.195740412797"/>
    <m/>
    <n v="0"/>
    <m/>
    <n v="0"/>
    <m/>
    <n v="0"/>
    <m/>
    <n v="33493.195740412797"/>
    <n v="31730.395964601597"/>
    <m/>
    <n v="0"/>
    <m/>
    <n v="0"/>
    <m/>
    <n v="0"/>
    <m/>
    <n v="31730.395964601597"/>
    <n v="0"/>
    <m/>
    <n v="0"/>
    <m/>
    <n v="0"/>
    <m/>
    <n v="0"/>
    <m/>
    <n v="0"/>
    <n v="0"/>
    <m/>
    <n v="0"/>
    <m/>
    <n v="0"/>
    <m/>
    <n v="0"/>
    <m/>
    <x v="179"/>
  </r>
  <r>
    <s v=""/>
    <n v="233"/>
    <x v="3"/>
    <x v="3"/>
    <x v="12"/>
    <x v="39"/>
    <x v="0"/>
    <x v="1"/>
    <s v="ITL"/>
    <s v="ITL!$A:$j"/>
    <n v="297913.16211209283"/>
    <m/>
    <n v="0"/>
    <m/>
    <n v="0"/>
    <m/>
    <n v="0"/>
    <m/>
    <n v="297913.16211209283"/>
    <n v="272352.56536283036"/>
    <m/>
    <n v="0"/>
    <m/>
    <n v="0"/>
    <m/>
    <n v="0"/>
    <m/>
    <n v="272352.56536283036"/>
    <n v="233570.97029498397"/>
    <m/>
    <n v="0"/>
    <m/>
    <n v="0"/>
    <m/>
    <n v="0"/>
    <m/>
    <n v="233570.97029498397"/>
    <n v="0"/>
    <m/>
    <n v="0"/>
    <m/>
    <n v="0"/>
    <m/>
    <n v="0"/>
    <m/>
    <n v="0"/>
    <n v="0"/>
    <m/>
    <n v="0"/>
    <m/>
    <n v="0"/>
    <m/>
    <n v="0"/>
    <m/>
    <x v="180"/>
  </r>
  <r>
    <s v=""/>
    <n v="234"/>
    <x v="3"/>
    <x v="3"/>
    <x v="12"/>
    <x v="40"/>
    <x v="0"/>
    <x v="1"/>
    <s v="ITL"/>
    <s v="ITL!$A:$j"/>
    <n v="99598.187333332782"/>
    <m/>
    <n v="0"/>
    <m/>
    <n v="0"/>
    <m/>
    <n v="0"/>
    <m/>
    <n v="99598.187333332782"/>
    <n v="90784.188454276795"/>
    <m/>
    <n v="0"/>
    <m/>
    <n v="0"/>
    <m/>
    <n v="0"/>
    <m/>
    <n v="90784.188454276795"/>
    <n v="77563.190135692785"/>
    <m/>
    <n v="0"/>
    <m/>
    <n v="0"/>
    <m/>
    <n v="0"/>
    <m/>
    <n v="77563.190135692785"/>
    <n v="0"/>
    <m/>
    <n v="0"/>
    <m/>
    <n v="0"/>
    <m/>
    <n v="0"/>
    <m/>
    <n v="0"/>
    <n v="0"/>
    <m/>
    <n v="0"/>
    <m/>
    <n v="0"/>
    <m/>
    <n v="0"/>
    <m/>
    <x v="181"/>
  </r>
  <r>
    <s v=""/>
    <n v="235"/>
    <x v="6"/>
    <x v="18"/>
    <x v="63"/>
    <x v="168"/>
    <x v="0"/>
    <x v="2"/>
    <s v="Sisteme_de_sanatate"/>
    <s v="Sisteme_de_sanatate!$A:$j"/>
    <n v="2188724"/>
    <m/>
    <n v="0"/>
    <m/>
    <n v="0"/>
    <m/>
    <n v="0"/>
    <m/>
    <n v="2188724"/>
    <n v="2424160"/>
    <m/>
    <n v="0"/>
    <m/>
    <n v="0"/>
    <m/>
    <n v="0"/>
    <m/>
    <n v="2424160"/>
    <n v="2625367"/>
    <m/>
    <n v="0"/>
    <m/>
    <n v="0"/>
    <m/>
    <n v="0"/>
    <m/>
    <n v="2625367"/>
    <n v="2853809"/>
    <m/>
    <n v="0"/>
    <m/>
    <n v="0"/>
    <m/>
    <n v="0"/>
    <m/>
    <n v="2853809"/>
    <n v="3076500"/>
    <m/>
    <n v="0"/>
    <m/>
    <n v="0"/>
    <m/>
    <n v="0"/>
    <m/>
    <x v="182"/>
  </r>
  <r>
    <s v=""/>
    <n v="236"/>
    <x v="0"/>
    <x v="0"/>
    <x v="3"/>
    <x v="163"/>
    <x v="0"/>
    <x v="4"/>
    <s v="ONG_TB"/>
    <s v="ONG_TB!$A:$j"/>
    <n v="0"/>
    <m/>
    <n v="0"/>
    <m/>
    <n v="0"/>
    <m/>
    <n v="0"/>
    <m/>
    <n v="0"/>
    <n v="0"/>
    <m/>
    <n v="0"/>
    <m/>
    <n v="0"/>
    <m/>
    <n v="0"/>
    <m/>
    <n v="0"/>
    <n v="0"/>
    <m/>
    <n v="0"/>
    <m/>
    <n v="0"/>
    <m/>
    <n v="0"/>
    <m/>
    <n v="0"/>
    <n v="2084064.0000000002"/>
    <m/>
    <n v="0"/>
    <m/>
    <n v="0"/>
    <m/>
    <n v="0"/>
    <m/>
    <n v="2084064.0000000002"/>
    <n v="2084064.0000000002"/>
    <m/>
    <n v="0"/>
    <m/>
    <n v="0"/>
    <m/>
    <n v="0"/>
    <m/>
    <x v="183"/>
  </r>
  <r>
    <s v=""/>
    <n v="237"/>
    <x v="4"/>
    <x v="11"/>
    <x v="35"/>
    <x v="169"/>
    <x v="2"/>
    <x v="1"/>
    <s v="ONG_TB"/>
    <s v="ONG_TB!$A:$j"/>
    <n v="20000"/>
    <m/>
    <n v="0"/>
    <m/>
    <n v="0"/>
    <m/>
    <n v="0"/>
    <m/>
    <n v="20000"/>
    <n v="0"/>
    <m/>
    <n v="0"/>
    <m/>
    <n v="0"/>
    <m/>
    <n v="0"/>
    <m/>
    <n v="0"/>
    <n v="0"/>
    <m/>
    <n v="0"/>
    <m/>
    <n v="0"/>
    <m/>
    <n v="0"/>
    <m/>
    <n v="0"/>
    <n v="0"/>
    <m/>
    <n v="0"/>
    <m/>
    <n v="0"/>
    <m/>
    <n v="0"/>
    <m/>
    <n v="0"/>
    <n v="0"/>
    <m/>
    <n v="0"/>
    <m/>
    <n v="0"/>
    <m/>
    <n v="0"/>
    <m/>
    <x v="129"/>
  </r>
  <r>
    <s v=""/>
    <n v="238"/>
    <x v="4"/>
    <x v="5"/>
    <x v="26"/>
    <x v="170"/>
    <x v="1"/>
    <x v="1"/>
    <s v="PNCT"/>
    <s v="PNCT!$A:$j"/>
    <n v="0"/>
    <m/>
    <n v="0"/>
    <m/>
    <n v="0"/>
    <m/>
    <n v="0"/>
    <m/>
    <n v="0"/>
    <n v="1180000"/>
    <m/>
    <n v="0"/>
    <m/>
    <n v="0"/>
    <m/>
    <n v="0"/>
    <m/>
    <n v="1180000"/>
    <n v="0"/>
    <m/>
    <n v="0"/>
    <m/>
    <n v="0"/>
    <m/>
    <n v="0"/>
    <m/>
    <n v="0"/>
    <n v="0"/>
    <m/>
    <n v="0"/>
    <m/>
    <n v="0"/>
    <m/>
    <n v="0"/>
    <m/>
    <n v="0"/>
    <n v="0"/>
    <m/>
    <n v="0"/>
    <m/>
    <n v="0"/>
    <m/>
    <n v="0"/>
    <m/>
    <x v="184"/>
  </r>
  <r>
    <s v=""/>
    <n v="239"/>
    <x v="4"/>
    <x v="5"/>
    <x v="26"/>
    <x v="171"/>
    <x v="1"/>
    <x v="1"/>
    <s v="PNCT"/>
    <s v="PNCT!$A:$j"/>
    <n v="474000"/>
    <m/>
    <n v="0"/>
    <m/>
    <n v="0"/>
    <m/>
    <n v="0"/>
    <m/>
    <n v="474000"/>
    <n v="474000"/>
    <m/>
    <n v="0"/>
    <m/>
    <n v="0"/>
    <m/>
    <n v="0"/>
    <m/>
    <n v="474000"/>
    <n v="474000"/>
    <m/>
    <n v="0"/>
    <m/>
    <n v="0"/>
    <m/>
    <n v="0"/>
    <m/>
    <n v="474000"/>
    <n v="0"/>
    <m/>
    <n v="0"/>
    <m/>
    <n v="0"/>
    <m/>
    <n v="0"/>
    <m/>
    <n v="0"/>
    <n v="0"/>
    <m/>
    <n v="0"/>
    <m/>
    <n v="0"/>
    <m/>
    <n v="0"/>
    <m/>
    <x v="185"/>
  </r>
  <r>
    <s v=""/>
    <n v="240"/>
    <x v="4"/>
    <x v="11"/>
    <x v="35"/>
    <x v="172"/>
    <x v="2"/>
    <x v="1"/>
    <s v="ONG_TB"/>
    <s v="ONG_TB!$A:$j"/>
    <n v="0"/>
    <m/>
    <n v="0"/>
    <m/>
    <n v="0"/>
    <m/>
    <n v="0"/>
    <m/>
    <n v="0"/>
    <n v="0"/>
    <m/>
    <n v="0"/>
    <m/>
    <n v="0"/>
    <m/>
    <n v="0"/>
    <m/>
    <n v="0"/>
    <n v="0"/>
    <m/>
    <n v="0"/>
    <m/>
    <n v="0"/>
    <m/>
    <n v="0"/>
    <m/>
    <n v="0"/>
    <n v="0"/>
    <m/>
    <n v="0"/>
    <m/>
    <n v="0"/>
    <m/>
    <n v="0"/>
    <m/>
    <n v="0"/>
    <n v="0"/>
    <m/>
    <n v="0"/>
    <m/>
    <n v="0"/>
    <m/>
    <n v="0"/>
    <m/>
    <x v="35"/>
  </r>
  <r>
    <s v=""/>
    <n v="241"/>
    <x v="4"/>
    <x v="11"/>
    <x v="35"/>
    <x v="173"/>
    <x v="2"/>
    <x v="1"/>
    <s v="ONG_TB"/>
    <s v="ONG_TB!$A:$j"/>
    <n v="0"/>
    <m/>
    <n v="0"/>
    <m/>
    <n v="0"/>
    <m/>
    <n v="0"/>
    <m/>
    <n v="0"/>
    <n v="0"/>
    <m/>
    <n v="0"/>
    <m/>
    <n v="0"/>
    <m/>
    <n v="0"/>
    <m/>
    <n v="0"/>
    <n v="0"/>
    <m/>
    <n v="0"/>
    <m/>
    <n v="0"/>
    <m/>
    <n v="0"/>
    <m/>
    <n v="0"/>
    <n v="0"/>
    <m/>
    <n v="0"/>
    <m/>
    <n v="0"/>
    <m/>
    <n v="0"/>
    <m/>
    <n v="0"/>
    <n v="0"/>
    <m/>
    <n v="0"/>
    <m/>
    <n v="0"/>
    <m/>
    <n v="0"/>
    <m/>
    <x v="35"/>
  </r>
  <r>
    <s v=""/>
    <n v="242"/>
    <x v="1"/>
    <x v="1"/>
    <x v="7"/>
    <x v="174"/>
    <x v="0"/>
    <x v="1"/>
    <s v="PNCT"/>
    <s v="PNCT!$A:$j"/>
    <n v="878445.5"/>
    <m/>
    <n v="0"/>
    <m/>
    <n v="0"/>
    <m/>
    <n v="0"/>
    <m/>
    <n v="878445.5"/>
    <n v="878445.5"/>
    <m/>
    <n v="0"/>
    <m/>
    <n v="0"/>
    <m/>
    <n v="0"/>
    <m/>
    <n v="878445.5"/>
    <n v="878445.5"/>
    <m/>
    <n v="0"/>
    <m/>
    <n v="0"/>
    <m/>
    <n v="0"/>
    <m/>
    <n v="878445.5"/>
    <n v="0"/>
    <m/>
    <n v="0"/>
    <m/>
    <n v="0"/>
    <m/>
    <n v="0"/>
    <m/>
    <n v="0"/>
    <n v="0"/>
    <m/>
    <n v="0"/>
    <m/>
    <n v="0"/>
    <m/>
    <n v="0"/>
    <m/>
    <x v="186"/>
  </r>
  <r>
    <s v=""/>
    <n v="243"/>
    <x v="4"/>
    <x v="5"/>
    <x v="26"/>
    <x v="175"/>
    <x v="1"/>
    <x v="1"/>
    <s v="PNCT"/>
    <s v="PNCT!$A:$j"/>
    <n v="180000"/>
    <m/>
    <n v="0"/>
    <m/>
    <n v="0"/>
    <m/>
    <n v="0"/>
    <m/>
    <n v="180000"/>
    <n v="360000"/>
    <m/>
    <n v="0"/>
    <m/>
    <n v="0"/>
    <m/>
    <n v="0"/>
    <m/>
    <n v="360000"/>
    <n v="360000"/>
    <m/>
    <n v="0"/>
    <m/>
    <n v="0"/>
    <m/>
    <n v="0"/>
    <m/>
    <n v="360000"/>
    <n v="0"/>
    <m/>
    <n v="0"/>
    <m/>
    <n v="0"/>
    <m/>
    <n v="0"/>
    <m/>
    <n v="0"/>
    <n v="0"/>
    <m/>
    <n v="0"/>
    <m/>
    <n v="0"/>
    <m/>
    <n v="0"/>
    <m/>
    <x v="141"/>
  </r>
  <r>
    <s v=""/>
    <n v="244"/>
    <x v="4"/>
    <x v="5"/>
    <x v="26"/>
    <x v="175"/>
    <x v="0"/>
    <x v="0"/>
    <s v="PNCT"/>
    <s v="PNCT!$A:$j"/>
    <n v="0"/>
    <m/>
    <n v="0"/>
    <m/>
    <n v="0"/>
    <m/>
    <n v="0"/>
    <m/>
    <n v="0"/>
    <n v="0"/>
    <m/>
    <n v="0"/>
    <m/>
    <n v="0"/>
    <m/>
    <n v="0"/>
    <m/>
    <n v="0"/>
    <n v="0"/>
    <m/>
    <n v="0"/>
    <m/>
    <n v="0"/>
    <m/>
    <n v="0"/>
    <m/>
    <n v="0"/>
    <n v="360000"/>
    <m/>
    <n v="0"/>
    <m/>
    <n v="0"/>
    <m/>
    <n v="0"/>
    <m/>
    <n v="360000"/>
    <n v="360000"/>
    <m/>
    <n v="0"/>
    <m/>
    <n v="0"/>
    <m/>
    <n v="0"/>
    <m/>
    <x v="187"/>
  </r>
  <r>
    <s v=""/>
    <n v="245"/>
    <x v="4"/>
    <x v="8"/>
    <x v="25"/>
    <x v="72"/>
    <x v="0"/>
    <x v="0"/>
    <s v="PNCT"/>
    <s v="PNCT!$A:$j"/>
    <n v="0"/>
    <m/>
    <n v="0"/>
    <m/>
    <n v="0"/>
    <m/>
    <n v="0"/>
    <m/>
    <n v="0"/>
    <n v="0"/>
    <m/>
    <n v="0"/>
    <m/>
    <n v="0"/>
    <m/>
    <n v="0"/>
    <m/>
    <n v="0"/>
    <n v="0"/>
    <m/>
    <n v="0"/>
    <m/>
    <n v="0"/>
    <m/>
    <n v="0"/>
    <m/>
    <n v="0"/>
    <n v="374400"/>
    <m/>
    <n v="0"/>
    <m/>
    <n v="0"/>
    <m/>
    <n v="0"/>
    <m/>
    <n v="374400"/>
    <n v="374400"/>
    <m/>
    <n v="0"/>
    <m/>
    <n v="0"/>
    <m/>
    <n v="0"/>
    <m/>
    <x v="188"/>
  </r>
  <r>
    <s v=""/>
    <n v="246"/>
    <x v="4"/>
    <x v="8"/>
    <x v="29"/>
    <x v="176"/>
    <x v="0"/>
    <x v="4"/>
    <s v="Sisteme_de_sanatate"/>
    <s v="Sisteme_de_sanatate!$A:$j"/>
    <n v="0"/>
    <m/>
    <n v="0"/>
    <m/>
    <n v="0"/>
    <m/>
    <n v="0"/>
    <m/>
    <n v="0"/>
    <n v="0"/>
    <m/>
    <n v="0"/>
    <m/>
    <n v="0"/>
    <m/>
    <n v="0"/>
    <m/>
    <n v="0"/>
    <n v="0"/>
    <m/>
    <n v="0"/>
    <m/>
    <n v="0"/>
    <m/>
    <n v="0"/>
    <m/>
    <n v="0"/>
    <n v="75264.375"/>
    <m/>
    <n v="0"/>
    <m/>
    <n v="0"/>
    <m/>
    <n v="0"/>
    <m/>
    <n v="75264.375"/>
    <n v="75264.375"/>
    <m/>
    <n v="0"/>
    <m/>
    <n v="0"/>
    <m/>
    <n v="0"/>
    <m/>
    <x v="189"/>
  </r>
  <r>
    <s v=""/>
    <n v="247"/>
    <x v="4"/>
    <x v="8"/>
    <x v="29"/>
    <x v="176"/>
    <x v="3"/>
    <x v="1"/>
    <s v="Sisteme_de_sanatate"/>
    <s v="Sisteme_de_sanatate!$A:$j"/>
    <n v="71785.721799999999"/>
    <m/>
    <n v="0"/>
    <m/>
    <n v="0"/>
    <m/>
    <n v="0"/>
    <m/>
    <n v="71785.721799999999"/>
    <n v="79375.489399999991"/>
    <m/>
    <n v="0"/>
    <m/>
    <n v="0"/>
    <m/>
    <n v="0"/>
    <m/>
    <n v="79375.489399999991"/>
    <n v="79375.489399999991"/>
    <m/>
    <n v="0"/>
    <m/>
    <n v="0"/>
    <m/>
    <n v="0"/>
    <m/>
    <n v="79375.489399999991"/>
    <n v="-6.0000000667059794E-4"/>
    <m/>
    <n v="0"/>
    <m/>
    <n v="0"/>
    <m/>
    <n v="0"/>
    <m/>
    <n v="-6.0000000667059794E-4"/>
    <n v="-6.0000000667059794E-4"/>
    <m/>
    <n v="0"/>
    <m/>
    <n v="0"/>
    <m/>
    <n v="0"/>
    <m/>
    <x v="190"/>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r>
    <s v=""/>
    <m/>
    <x v="7"/>
    <x v="19"/>
    <x v="64"/>
    <x v="177"/>
    <x v="0"/>
    <x v="5"/>
    <m/>
    <s v="!$A:$j"/>
    <n v="0"/>
    <m/>
    <n v="0"/>
    <m/>
    <n v="0"/>
    <m/>
    <n v="0"/>
    <m/>
    <n v="0"/>
    <n v="0"/>
    <m/>
    <n v="0"/>
    <m/>
    <n v="0"/>
    <m/>
    <n v="0"/>
    <m/>
    <n v="0"/>
    <n v="0"/>
    <m/>
    <n v="0"/>
    <m/>
    <n v="0"/>
    <m/>
    <n v="0"/>
    <m/>
    <n v="0"/>
    <n v="0"/>
    <m/>
    <n v="0"/>
    <m/>
    <n v="0"/>
    <m/>
    <n v="0"/>
    <m/>
    <n v="0"/>
    <n v="0"/>
    <m/>
    <n v="0"/>
    <m/>
    <n v="0"/>
    <m/>
    <n v="0"/>
    <m/>
    <x v="35"/>
  </r>
</pivotCacheRecords>
</file>

<file path=xl/pivotTables/_rels/pivotTable1.xml.rels><?xml version="1.0" encoding="UTF-8" standalone="yes"?>
<Relationships xmlns="http://schemas.openxmlformats.org/package/2006/relationships"><Relationship Id="rId1" Type="http://purl.oclc.org/ooxml/officeDocument/relationships/pivotCacheDefinition" Target="../pivotCache/pivotCacheDefinition1.xml"/></Relationships>
</file>

<file path=xl/pivotTables/_rels/pivotTable2.xml.rels><?xml version="1.0" encoding="UTF-8" standalone="yes"?>
<Relationships xmlns="http://schemas.openxmlformats.org/package/2006/relationships"><Relationship Id="rId1" Type="http://purl.oclc.org/ooxml/officeDocument/relationships/pivotCacheDefinition" Target="../pivotCache/pivotCacheDefinition1.xml"/></Relationships>
</file>

<file path=xl/pivotTables/_rels/pivotTable3.xml.rels><?xml version="1.0" encoding="UTF-8" standalone="yes"?>
<Relationships xmlns="http://schemas.openxmlformats.org/package/2006/relationships"><Relationship Id="rId1" Type="http://purl.oclc.org/ooxml/officeDocument/relationships/pivotCacheDefinition" Target="../pivotCache/pivotCacheDefinition1.xml"/></Relationships>
</file>

<file path=xl/pivotTables/_rels/pivotTable4.xml.rels><?xml version="1.0" encoding="UTF-8" standalone="yes"?>
<Relationships xmlns="http://schemas.openxmlformats.org/package/2006/relationships"><Relationship Id="rId1" Type="http://purl.oclc.org/ooxml/officeDocument/relationships/pivotCacheDefinition" Target="../pivotCache/pivotCacheDefinition1.xml"/></Relationships>
</file>

<file path=xl/pivotTables/pivotTable1.xml><?xml version="1.0" encoding="utf-8"?>
<pivotTableDefinition xmlns="http://purl.oclc.org/ooxml/spreadsheetml/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B3:H169" firstHeaderRow="0" firstDataRow="1" firstDataCol="1" rowPageCount="1" colPageCount="1"/>
  <pivotFields count="55">
    <pivotField showAll="0" insertBlankRow="1"/>
    <pivotField showAll="0" insertBlankRow="1"/>
    <pivotField axis="axisRow" showAll="0" insertBlankRow="1">
      <items count="9">
        <item x="7"/>
        <item x="0"/>
        <item x="5"/>
        <item x="1"/>
        <item x="2"/>
        <item x="3"/>
        <item x="4"/>
        <item x="6"/>
        <item t="default"/>
      </items>
    </pivotField>
    <pivotField axis="axisRow" showAll="0" insertBlankRow="1">
      <items count="21">
        <item x="19"/>
        <item x="0"/>
        <item x="9"/>
        <item x="6"/>
        <item x="7"/>
        <item x="1"/>
        <item x="4"/>
        <item x="2"/>
        <item x="3"/>
        <item x="5"/>
        <item x="8"/>
        <item x="10"/>
        <item x="13"/>
        <item x="12"/>
        <item x="14"/>
        <item x="11"/>
        <item x="15"/>
        <item x="16"/>
        <item x="17"/>
        <item x="18"/>
        <item t="default"/>
      </items>
    </pivotField>
    <pivotField axis="axisRow" showAll="0" insertBlankRow="1">
      <items count="70">
        <item x="64"/>
        <item x="0"/>
        <item x="1"/>
        <item x="2"/>
        <item x="3"/>
        <item m="1" x="67"/>
        <item x="28"/>
        <item x="15"/>
        <item x="20"/>
        <item x="21"/>
        <item x="27"/>
        <item x="18"/>
        <item x="16"/>
        <item x="6"/>
        <item x="7"/>
        <item x="4"/>
        <item x="17"/>
        <item x="19"/>
        <item x="13"/>
        <item x="22"/>
        <item x="5"/>
        <item x="8"/>
        <item x="9"/>
        <item x="10"/>
        <item x="12"/>
        <item x="11"/>
        <item x="23"/>
        <item x="26"/>
        <item x="14"/>
        <item x="24"/>
        <item x="30"/>
        <item x="32"/>
        <item x="33"/>
        <item m="1" x="65"/>
        <item x="36"/>
        <item x="37"/>
        <item x="38"/>
        <item m="1" x="66"/>
        <item x="39"/>
        <item x="34"/>
        <item x="41"/>
        <item x="42"/>
        <item x="43"/>
        <item x="44"/>
        <item x="45"/>
        <item x="46"/>
        <item x="48"/>
        <item x="49"/>
        <item x="50"/>
        <item m="1" x="68"/>
        <item x="51"/>
        <item x="52"/>
        <item x="53"/>
        <item x="31"/>
        <item x="35"/>
        <item x="54"/>
        <item x="55"/>
        <item x="56"/>
        <item x="57"/>
        <item x="58"/>
        <item x="59"/>
        <item x="60"/>
        <item x="61"/>
        <item x="29"/>
        <item x="47"/>
        <item x="25"/>
        <item x="40"/>
        <item x="62"/>
        <item x="63"/>
        <item t="default"/>
      </items>
    </pivotField>
    <pivotField axis="axisRow" showAll="0" insertBlankRow="1">
      <items count="179">
        <item x="177"/>
        <item x="0"/>
        <item x="1"/>
        <item x="2"/>
        <item x="3"/>
        <item x="4"/>
        <item x="5"/>
        <item x="68"/>
        <item x="74"/>
        <item x="41"/>
        <item x="29"/>
        <item x="30"/>
        <item x="31"/>
        <item x="32"/>
        <item x="47"/>
        <item x="49"/>
        <item x="45"/>
        <item x="10"/>
        <item x="12"/>
        <item x="17"/>
        <item x="20"/>
        <item x="25"/>
        <item x="27"/>
        <item x="46"/>
        <item x="48"/>
        <item x="44"/>
        <item x="50"/>
        <item x="53"/>
        <item x="67"/>
        <item x="66"/>
        <item x="75"/>
        <item x="76"/>
        <item x="71"/>
        <item x="35"/>
        <item x="33"/>
        <item x="39"/>
        <item x="37"/>
        <item x="36"/>
        <item x="34"/>
        <item x="40"/>
        <item x="38"/>
        <item x="72"/>
        <item x="64"/>
        <item x="51"/>
        <item x="54"/>
        <item x="52"/>
        <item x="55"/>
        <item x="62"/>
        <item x="63"/>
        <item x="57"/>
        <item x="60"/>
        <item x="61"/>
        <item x="58"/>
        <item x="59"/>
        <item x="56"/>
        <item x="11"/>
        <item x="13"/>
        <item x="16"/>
        <item x="14"/>
        <item x="9"/>
        <item x="18"/>
        <item x="19"/>
        <item x="21"/>
        <item x="26"/>
        <item x="23"/>
        <item x="24"/>
        <item x="28"/>
        <item x="15"/>
        <item x="6"/>
        <item x="65"/>
        <item x="84"/>
        <item x="85"/>
        <item x="86"/>
        <item x="70"/>
        <item x="90"/>
        <item x="91"/>
        <item x="92"/>
        <item x="93"/>
        <item x="99"/>
        <item x="100"/>
        <item x="101"/>
        <item x="102"/>
        <item x="103"/>
        <item x="104"/>
        <item x="105"/>
        <item x="106"/>
        <item x="107"/>
        <item x="108"/>
        <item x="109"/>
        <item x="110"/>
        <item x="111"/>
        <item x="112"/>
        <item x="113"/>
        <item x="114"/>
        <item x="115"/>
        <item x="162"/>
        <item x="116"/>
        <item x="119"/>
        <item x="120"/>
        <item x="124"/>
        <item x="126"/>
        <item x="127"/>
        <item x="128"/>
        <item x="125"/>
        <item x="129"/>
        <item x="130"/>
        <item x="134"/>
        <item x="135"/>
        <item x="136"/>
        <item x="137"/>
        <item x="138"/>
        <item x="139"/>
        <item x="141"/>
        <item x="142"/>
        <item x="143"/>
        <item x="144"/>
        <item x="145"/>
        <item x="146"/>
        <item x="150"/>
        <item x="151"/>
        <item x="152"/>
        <item x="153"/>
        <item x="154"/>
        <item x="155"/>
        <item x="156"/>
        <item x="157"/>
        <item x="88"/>
        <item x="69"/>
        <item x="42"/>
        <item x="43"/>
        <item x="7"/>
        <item x="147"/>
        <item x="148"/>
        <item x="149"/>
        <item x="131"/>
        <item x="132"/>
        <item x="133"/>
        <item x="79"/>
        <item x="80"/>
        <item x="95"/>
        <item x="164"/>
        <item x="165"/>
        <item x="166"/>
        <item x="158"/>
        <item x="159"/>
        <item x="160"/>
        <item x="161"/>
        <item x="22"/>
        <item x="89"/>
        <item x="168"/>
        <item x="8"/>
        <item x="163"/>
        <item x="96"/>
        <item x="97"/>
        <item x="94"/>
        <item x="123"/>
        <item x="121"/>
        <item x="122"/>
        <item x="169"/>
        <item x="167"/>
        <item x="172"/>
        <item x="173"/>
        <item x="87"/>
        <item x="140"/>
        <item x="98"/>
        <item x="174"/>
        <item x="81"/>
        <item x="82"/>
        <item x="83"/>
        <item x="176"/>
        <item x="77"/>
        <item x="78"/>
        <item x="117"/>
        <item x="118"/>
        <item x="73"/>
        <item x="170"/>
        <item x="175"/>
        <item x="171"/>
        <item t="default"/>
      </items>
    </pivotField>
    <pivotField axis="axisPage" multipleItemSelectionAllowed="1" showAll="0" defaultSubtotal="0">
      <items count="4">
        <item h="1" x="0"/>
        <item x="1"/>
        <item h="1" x="3"/>
        <item h="1" x="2"/>
      </items>
    </pivotField>
    <pivotField showAll="0" insertBlankRow="1"/>
    <pivotField showAll="0" insertBlankRow="1"/>
    <pivotField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dataField="1" numFmtId="4" showAll="0" insertBlankRow="1"/>
  </pivotFields>
  <rowFields count="4">
    <field x="2"/>
    <field x="3"/>
    <field x="4"/>
    <field x="5"/>
  </rowFields>
  <rowItems count="166">
    <i>
      <x v="1"/>
    </i>
    <i r="1">
      <x v="1"/>
    </i>
    <i r="2">
      <x v="4"/>
    </i>
    <i r="3">
      <x v="4"/>
    </i>
    <i r="3">
      <x v="5"/>
    </i>
    <i r="3">
      <x v="6"/>
    </i>
    <i t="blank" r="2">
      <x v="4"/>
    </i>
    <i>
      <x v="3"/>
    </i>
    <i r="1">
      <x v="5"/>
    </i>
    <i r="2">
      <x v="17"/>
    </i>
    <i r="3">
      <x v="69"/>
    </i>
    <i r="3">
      <x v="94"/>
    </i>
    <i t="blank" r="2">
      <x v="17"/>
    </i>
    <i r="1">
      <x v="6"/>
    </i>
    <i r="2">
      <x v="18"/>
    </i>
    <i r="3">
      <x v="9"/>
    </i>
    <i r="3">
      <x v="128"/>
    </i>
    <i r="3">
      <x v="129"/>
    </i>
    <i t="blank" r="2">
      <x v="18"/>
    </i>
    <i r="2">
      <x v="19"/>
    </i>
    <i r="3">
      <x v="127"/>
    </i>
    <i t="blank" r="2">
      <x v="19"/>
    </i>
    <i r="2">
      <x v="67"/>
    </i>
    <i r="3">
      <x v="140"/>
    </i>
    <i t="blank" r="2">
      <x v="67"/>
    </i>
    <i r="1">
      <x v="11"/>
    </i>
    <i r="2">
      <x v="30"/>
    </i>
    <i r="3">
      <x v="70"/>
    </i>
    <i r="3">
      <x v="71"/>
    </i>
    <i r="3">
      <x v="72"/>
    </i>
    <i r="3">
      <x v="126"/>
    </i>
    <i t="blank" r="2">
      <x v="30"/>
    </i>
    <i r="2">
      <x v="32"/>
    </i>
    <i r="3">
      <x v="74"/>
    </i>
    <i r="3">
      <x v="75"/>
    </i>
    <i r="3">
      <x v="76"/>
    </i>
    <i r="3">
      <x v="77"/>
    </i>
    <i r="3">
      <x v="139"/>
    </i>
    <i t="blank" r="2">
      <x v="32"/>
    </i>
    <i>
      <x v="4"/>
    </i>
    <i r="1">
      <x v="7"/>
    </i>
    <i r="2">
      <x v="34"/>
    </i>
    <i r="3">
      <x v="78"/>
    </i>
    <i r="3">
      <x v="79"/>
    </i>
    <i t="blank" r="2">
      <x v="34"/>
    </i>
    <i r="2">
      <x v="35"/>
    </i>
    <i r="3">
      <x v="80"/>
    </i>
    <i r="3">
      <x v="81"/>
    </i>
    <i t="blank" r="2">
      <x v="35"/>
    </i>
    <i r="1">
      <x v="12"/>
    </i>
    <i r="2">
      <x v="36"/>
    </i>
    <i r="3">
      <x v="82"/>
    </i>
    <i r="3">
      <x v="83"/>
    </i>
    <i t="blank" r="2">
      <x v="36"/>
    </i>
    <i r="2">
      <x v="38"/>
    </i>
    <i r="3">
      <x v="84"/>
    </i>
    <i r="3">
      <x v="85"/>
    </i>
    <i t="blank" r="2">
      <x v="38"/>
    </i>
    <i>
      <x v="5"/>
    </i>
    <i r="1">
      <x v="8"/>
    </i>
    <i r="2">
      <x v="21"/>
    </i>
    <i r="3">
      <x v="10"/>
    </i>
    <i r="3">
      <x v="11"/>
    </i>
    <i t="blank" r="2">
      <x v="21"/>
    </i>
    <i r="1">
      <x v="13"/>
    </i>
    <i r="2">
      <x v="39"/>
    </i>
    <i r="3">
      <x v="89"/>
    </i>
    <i r="3">
      <x v="90"/>
    </i>
    <i r="3">
      <x v="91"/>
    </i>
    <i r="3">
      <x v="92"/>
    </i>
    <i r="3">
      <x v="93"/>
    </i>
    <i r="3">
      <x v="154"/>
    </i>
    <i t="blank" r="2">
      <x v="39"/>
    </i>
    <i r="2">
      <x v="40"/>
    </i>
    <i r="3">
      <x v="95"/>
    </i>
    <i r="3">
      <x v="96"/>
    </i>
    <i t="blank" r="2">
      <x v="40"/>
    </i>
    <i r="2">
      <x v="41"/>
    </i>
    <i r="3">
      <x v="97"/>
    </i>
    <i r="3">
      <x v="98"/>
    </i>
    <i r="3">
      <x v="155"/>
    </i>
    <i t="blank" r="2">
      <x v="41"/>
    </i>
    <i>
      <x v="6"/>
    </i>
    <i r="1">
      <x v="9"/>
    </i>
    <i r="2">
      <x v="26"/>
    </i>
    <i r="3">
      <x v="73"/>
    </i>
    <i t="blank" r="2">
      <x v="26"/>
    </i>
    <i r="2">
      <x v="27"/>
    </i>
    <i r="3">
      <x v="174"/>
    </i>
    <i r="3">
      <x v="175"/>
    </i>
    <i r="3">
      <x v="176"/>
    </i>
    <i r="3">
      <x v="177"/>
    </i>
    <i t="blank" r="2">
      <x v="27"/>
    </i>
    <i r="1">
      <x v="10"/>
    </i>
    <i r="2">
      <x v="42"/>
    </i>
    <i r="3">
      <x v="99"/>
    </i>
    <i t="blank" r="2">
      <x v="42"/>
    </i>
    <i r="2">
      <x v="44"/>
    </i>
    <i r="3">
      <x v="100"/>
    </i>
    <i t="blank" r="2">
      <x v="44"/>
    </i>
    <i r="2">
      <x v="63"/>
    </i>
    <i r="3">
      <x v="104"/>
    </i>
    <i t="blank" r="2">
      <x v="63"/>
    </i>
    <i r="2">
      <x v="64"/>
    </i>
    <i r="3">
      <x v="105"/>
    </i>
    <i t="blank" r="2">
      <x v="64"/>
    </i>
    <i r="1">
      <x v="14"/>
    </i>
    <i r="2">
      <x v="46"/>
    </i>
    <i r="3">
      <x v="134"/>
    </i>
    <i r="3">
      <x v="135"/>
    </i>
    <i r="3">
      <x v="136"/>
    </i>
    <i t="blank" r="2">
      <x v="46"/>
    </i>
    <i r="2">
      <x v="48"/>
    </i>
    <i r="3">
      <x v="107"/>
    </i>
    <i t="blank" r="2">
      <x v="48"/>
    </i>
    <i r="2">
      <x v="50"/>
    </i>
    <i r="3">
      <x v="108"/>
    </i>
    <i r="3">
      <x v="109"/>
    </i>
    <i t="blank" r="2">
      <x v="50"/>
    </i>
    <i r="2">
      <x v="51"/>
    </i>
    <i r="3">
      <x v="110"/>
    </i>
    <i t="blank" r="2">
      <x v="51"/>
    </i>
    <i r="1">
      <x v="15"/>
    </i>
    <i r="2">
      <x v="52"/>
    </i>
    <i r="3">
      <x v="111"/>
    </i>
    <i t="blank" r="2">
      <x v="52"/>
    </i>
    <i r="2">
      <x v="55"/>
    </i>
    <i r="3">
      <x v="112"/>
    </i>
    <i r="3">
      <x v="113"/>
    </i>
    <i r="3">
      <x v="114"/>
    </i>
    <i r="3">
      <x v="115"/>
    </i>
    <i t="blank" r="2">
      <x v="55"/>
    </i>
    <i r="1">
      <x v="16"/>
    </i>
    <i r="2">
      <x v="57"/>
    </i>
    <i r="3">
      <x v="131"/>
    </i>
    <i r="3">
      <x v="132"/>
    </i>
    <i r="3">
      <x v="133"/>
    </i>
    <i t="blank" r="2">
      <x v="57"/>
    </i>
    <i r="2">
      <x v="58"/>
    </i>
    <i r="3">
      <x v="118"/>
    </i>
    <i t="blank" r="2">
      <x v="58"/>
    </i>
    <i r="1">
      <x v="17"/>
    </i>
    <i r="2">
      <x v="59"/>
    </i>
    <i r="3">
      <x v="119"/>
    </i>
    <i r="3">
      <x v="120"/>
    </i>
    <i t="blank" r="2">
      <x v="59"/>
    </i>
    <i r="2">
      <x v="60"/>
    </i>
    <i r="3">
      <x v="121"/>
    </i>
    <i t="blank" r="2">
      <x v="60"/>
    </i>
    <i r="2">
      <x v="61"/>
    </i>
    <i r="3">
      <x v="122"/>
    </i>
    <i r="3">
      <x v="123"/>
    </i>
    <i r="3">
      <x v="124"/>
    </i>
    <i r="3">
      <x v="125"/>
    </i>
    <i r="3">
      <x v="141"/>
    </i>
    <i r="3">
      <x v="142"/>
    </i>
    <i t="blank" r="2">
      <x v="61"/>
    </i>
    <i>
      <x v="7"/>
    </i>
    <i r="1">
      <x v="18"/>
    </i>
    <i r="2">
      <x v="62"/>
    </i>
    <i r="3">
      <x v="143"/>
    </i>
    <i r="3">
      <x v="144"/>
    </i>
    <i r="3">
      <x v="145"/>
    </i>
    <i r="3">
      <x v="146"/>
    </i>
    <i t="blank" r="2">
      <x v="62"/>
    </i>
    <i t="grand">
      <x/>
    </i>
  </rowItems>
  <colFields count="1">
    <field x="-2"/>
  </colFields>
  <colItems count="6">
    <i>
      <x/>
    </i>
    <i i="1">
      <x v="1"/>
    </i>
    <i i="2">
      <x v="2"/>
    </i>
    <i i="3">
      <x v="3"/>
    </i>
    <i i="4">
      <x v="4"/>
    </i>
    <i i="5">
      <x v="5"/>
    </i>
  </colItems>
  <pageFields count="1">
    <pageField fld="6" hier="-1"/>
  </pageFields>
  <dataFields count="6">
    <dataField name="Sum of 2021" fld="10" baseField="5" baseItem="27" numFmtId="4"/>
    <dataField name="Sum of 2022" fld="19" baseField="5" baseItem="59" numFmtId="4"/>
    <dataField name="Sum of 2023" fld="28" baseField="5" baseItem="59" numFmtId="4"/>
    <dataField name="Sum of 2024" fld="37" baseField="5" baseItem="59" numFmtId="4"/>
    <dataField name="Sum of 2025" fld="46" baseField="5" baseItem="59" numFmtId="4"/>
    <dataField name="Sum of Cost sumar activitate 2021-2025" fld="54" baseField="0" baseItem="0"/>
  </dataFields>
  <formats count="486">
    <format dxfId="2190">
      <pivotArea type="all" dataOnly="0" outline="0" fieldPosition="0"/>
    </format>
    <format dxfId="2189">
      <pivotArea outline="0" collapsedLevelsAreSubtotals="1" fieldPosition="0"/>
    </format>
    <format dxfId="2188">
      <pivotArea field="2" type="button" dataOnly="0" labelOnly="1" outline="0" axis="axisRow" fieldPosition="0"/>
    </format>
    <format dxfId="2187">
      <pivotArea dataOnly="0" labelOnly="1" fieldPosition="0">
        <references count="1">
          <reference field="2" count="0"/>
        </references>
      </pivotArea>
    </format>
    <format dxfId="2186">
      <pivotArea dataOnly="0" labelOnly="1" grandRow="1" outline="0" fieldPosition="0"/>
    </format>
    <format dxfId="2185">
      <pivotArea dataOnly="0" labelOnly="1" fieldPosition="0">
        <references count="2">
          <reference field="2" count="1" selected="0">
            <x v="0"/>
          </reference>
          <reference field="3" count="0"/>
        </references>
      </pivotArea>
    </format>
    <format dxfId="2184">
      <pivotArea dataOnly="0" labelOnly="1" fieldPosition="0">
        <references count="3">
          <reference field="2" count="1" selected="0">
            <x v="0"/>
          </reference>
          <reference field="3" count="1" selected="0">
            <x v="0"/>
          </reference>
          <reference field="4" count="0"/>
        </references>
      </pivotArea>
    </format>
    <format dxfId="2183">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2182">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57"/>
          </reference>
        </references>
      </pivotArea>
    </format>
    <format dxfId="2181">
      <pivotArea dataOnly="0" labelOnly="1" outline="0" fieldPosition="0">
        <references count="1">
          <reference field="4294967294" count="5">
            <x v="0"/>
            <x v="1"/>
            <x v="2"/>
            <x v="3"/>
            <x v="4"/>
          </reference>
        </references>
      </pivotArea>
    </format>
    <format dxfId="2180">
      <pivotArea dataOnly="0" outline="0" fieldPosition="0">
        <references count="1">
          <reference field="4294967294" count="1">
            <x v="4"/>
          </reference>
        </references>
      </pivotArea>
    </format>
    <format dxfId="2179">
      <pivotArea outline="0" collapsedLevelsAreSubtotals="1" fieldPosition="0"/>
    </format>
    <format dxfId="2178">
      <pivotArea dataOnly="0" labelOnly="1" outline="0" fieldPosition="0">
        <references count="1">
          <reference field="4294967294" count="5">
            <x v="0"/>
            <x v="1"/>
            <x v="2"/>
            <x v="3"/>
            <x v="4"/>
          </reference>
        </references>
      </pivotArea>
    </format>
    <format dxfId="2177">
      <pivotArea outline="0" collapsedLevelsAreSubtotals="1" fieldPosition="0"/>
    </format>
    <format dxfId="2176">
      <pivotArea dataOnly="0" labelOnly="1" outline="0" fieldPosition="0">
        <references count="1">
          <reference field="4294967294" count="5">
            <x v="0"/>
            <x v="1"/>
            <x v="2"/>
            <x v="3"/>
            <x v="4"/>
          </reference>
        </references>
      </pivotArea>
    </format>
    <format dxfId="2175">
      <pivotArea field="2" type="button" dataOnly="0" labelOnly="1" outline="0" axis="axisRow" fieldPosition="0"/>
    </format>
    <format dxfId="2174">
      <pivotArea dataOnly="0" labelOnly="1" fieldPosition="0">
        <references count="1">
          <reference field="2" count="0"/>
        </references>
      </pivotArea>
    </format>
    <format dxfId="2173">
      <pivotArea dataOnly="0" labelOnly="1" grandRow="1" outline="0" fieldPosition="0"/>
    </format>
    <format dxfId="2172">
      <pivotArea dataOnly="0" labelOnly="1" fieldPosition="0">
        <references count="2">
          <reference field="2" count="1" selected="0">
            <x v="0"/>
          </reference>
          <reference field="3" count="0"/>
        </references>
      </pivotArea>
    </format>
    <format dxfId="2171">
      <pivotArea dataOnly="0" labelOnly="1" fieldPosition="0">
        <references count="3">
          <reference field="2" count="1" selected="0">
            <x v="0"/>
          </reference>
          <reference field="3" count="1" selected="0">
            <x v="0"/>
          </reference>
          <reference field="4" count="0"/>
        </references>
      </pivotArea>
    </format>
    <format dxfId="2170">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2169">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57"/>
          </reference>
        </references>
      </pivotArea>
    </format>
    <format dxfId="2168">
      <pivotArea type="all" dataOnly="0" outline="0" fieldPosition="0"/>
    </format>
    <format dxfId="2167">
      <pivotArea outline="0" collapsedLevelsAreSubtotals="1" fieldPosition="0"/>
    </format>
    <format dxfId="2166">
      <pivotArea field="2" type="button" dataOnly="0" labelOnly="1" outline="0" axis="axisRow" fieldPosition="0"/>
    </format>
    <format dxfId="2165">
      <pivotArea dataOnly="0" labelOnly="1" fieldPosition="0">
        <references count="1">
          <reference field="2" count="0"/>
        </references>
      </pivotArea>
    </format>
    <format dxfId="2164">
      <pivotArea dataOnly="0" labelOnly="1" grandRow="1" outline="0" fieldPosition="0"/>
    </format>
    <format dxfId="2163">
      <pivotArea dataOnly="0" labelOnly="1" fieldPosition="0">
        <references count="2">
          <reference field="2" count="1" selected="0">
            <x v="0"/>
          </reference>
          <reference field="3" count="0"/>
        </references>
      </pivotArea>
    </format>
    <format dxfId="2162">
      <pivotArea dataOnly="0" labelOnly="1" fieldPosition="0">
        <references count="3">
          <reference field="2" count="1" selected="0">
            <x v="0"/>
          </reference>
          <reference field="3" count="1" selected="0">
            <x v="0"/>
          </reference>
          <reference field="4" count="0"/>
        </references>
      </pivotArea>
    </format>
    <format dxfId="2161">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2160">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2159">
      <pivotArea dataOnly="0" labelOnly="1" outline="0" fieldPosition="0">
        <references count="1">
          <reference field="4294967294" count="5">
            <x v="0"/>
            <x v="1"/>
            <x v="2"/>
            <x v="3"/>
            <x v="4"/>
          </reference>
        </references>
      </pivotArea>
    </format>
    <format dxfId="2158">
      <pivotArea outline="0" collapsedLevelsAreSubtotals="1" fieldPosition="0">
        <references count="1">
          <reference field="4294967294" count="1" selected="0">
            <x v="4"/>
          </reference>
        </references>
      </pivotArea>
    </format>
    <format dxfId="2157">
      <pivotArea dataOnly="0" labelOnly="1" outline="0" fieldPosition="0">
        <references count="1">
          <reference field="4294967294" count="1">
            <x v="4"/>
          </reference>
        </references>
      </pivotArea>
    </format>
    <format dxfId="2156">
      <pivotArea outline="0" fieldPosition="0">
        <references count="1">
          <reference field="4294967294" count="1">
            <x v="0"/>
          </reference>
        </references>
      </pivotArea>
    </format>
    <format dxfId="2155">
      <pivotArea outline="0" fieldPosition="0">
        <references count="1">
          <reference field="4294967294" count="1">
            <x v="1"/>
          </reference>
        </references>
      </pivotArea>
    </format>
    <format dxfId="2154">
      <pivotArea outline="0" fieldPosition="0">
        <references count="1">
          <reference field="4294967294" count="1">
            <x v="2"/>
          </reference>
        </references>
      </pivotArea>
    </format>
    <format dxfId="2153">
      <pivotArea outline="0" fieldPosition="0">
        <references count="1">
          <reference field="4294967294" count="1">
            <x v="3"/>
          </reference>
        </references>
      </pivotArea>
    </format>
    <format dxfId="2152">
      <pivotArea outline="0" fieldPosition="0">
        <references count="1">
          <reference field="4294967294" count="1">
            <x v="4"/>
          </reference>
        </references>
      </pivotArea>
    </format>
    <format dxfId="2151">
      <pivotArea type="all" dataOnly="0" outline="0" fieldPosition="0"/>
    </format>
    <format dxfId="2150">
      <pivotArea outline="0" collapsedLevelsAreSubtotals="1" fieldPosition="0"/>
    </format>
    <format dxfId="2149">
      <pivotArea field="2" type="button" dataOnly="0" labelOnly="1" outline="0" axis="axisRow" fieldPosition="0"/>
    </format>
    <format dxfId="2148">
      <pivotArea dataOnly="0" labelOnly="1" fieldPosition="0">
        <references count="1">
          <reference field="2" count="0"/>
        </references>
      </pivotArea>
    </format>
    <format dxfId="2147">
      <pivotArea dataOnly="0" labelOnly="1" grandRow="1" outline="0" fieldPosition="0"/>
    </format>
    <format dxfId="2146">
      <pivotArea dataOnly="0" labelOnly="1" fieldPosition="0">
        <references count="2">
          <reference field="2" count="1" selected="0">
            <x v="0"/>
          </reference>
          <reference field="3" count="0"/>
        </references>
      </pivotArea>
    </format>
    <format dxfId="2145">
      <pivotArea dataOnly="0" labelOnly="1" fieldPosition="0">
        <references count="3">
          <reference field="2" count="1" selected="0">
            <x v="0"/>
          </reference>
          <reference field="3" count="1" selected="0">
            <x v="0"/>
          </reference>
          <reference field="4" count="0"/>
        </references>
      </pivotArea>
    </format>
    <format dxfId="2144">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2143">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2142">
      <pivotArea dataOnly="0" labelOnly="1" outline="0" fieldPosition="0">
        <references count="1">
          <reference field="4294967294" count="5">
            <x v="0"/>
            <x v="1"/>
            <x v="2"/>
            <x v="3"/>
            <x v="4"/>
          </reference>
        </references>
      </pivotArea>
    </format>
    <format dxfId="2141">
      <pivotArea outline="0" collapsedLevelsAreSubtotals="1" fieldPosition="0">
        <references count="1">
          <reference field="4294967294" count="1" selected="0">
            <x v="5"/>
          </reference>
        </references>
      </pivotArea>
    </format>
    <format dxfId="2140">
      <pivotArea dataOnly="0" labelOnly="1" outline="0" fieldPosition="0">
        <references count="1">
          <reference field="4294967294" count="1">
            <x v="5"/>
          </reference>
        </references>
      </pivotArea>
    </format>
    <format dxfId="2139">
      <pivotArea type="all" dataOnly="0" outline="0" fieldPosition="0"/>
    </format>
    <format dxfId="2138">
      <pivotArea outline="0" collapsedLevelsAreSubtotals="1" fieldPosition="0"/>
    </format>
    <format dxfId="2137">
      <pivotArea field="2" type="button" dataOnly="0" labelOnly="1" outline="0" axis="axisRow" fieldPosition="0"/>
    </format>
    <format dxfId="2136">
      <pivotArea dataOnly="0" labelOnly="1" fieldPosition="0">
        <references count="1">
          <reference field="2" count="0"/>
        </references>
      </pivotArea>
    </format>
    <format dxfId="2135">
      <pivotArea dataOnly="0" labelOnly="1" grandRow="1" outline="0" fieldPosition="0"/>
    </format>
    <format dxfId="2134">
      <pivotArea dataOnly="0" labelOnly="1" fieldPosition="0">
        <references count="2">
          <reference field="2" count="1" selected="0">
            <x v="0"/>
          </reference>
          <reference field="3" count="0"/>
        </references>
      </pivotArea>
    </format>
    <format dxfId="2133">
      <pivotArea dataOnly="0" labelOnly="1" fieldPosition="0">
        <references count="3">
          <reference field="2" count="1" selected="0">
            <x v="0"/>
          </reference>
          <reference field="3" count="1" selected="0">
            <x v="0"/>
          </reference>
          <reference field="4" count="0"/>
        </references>
      </pivotArea>
    </format>
    <format dxfId="2132">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2131">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2130">
      <pivotArea dataOnly="0" labelOnly="1" outline="0" fieldPosition="0">
        <references count="1">
          <reference field="4294967294" count="6">
            <x v="0"/>
            <x v="1"/>
            <x v="2"/>
            <x v="3"/>
            <x v="4"/>
            <x v="5"/>
          </reference>
        </references>
      </pivotArea>
    </format>
    <format dxfId="2129">
      <pivotArea dataOnly="0" labelOnly="1" fieldPosition="0">
        <references count="3">
          <reference field="2" count="1" selected="0">
            <x v="0"/>
          </reference>
          <reference field="3" count="1" selected="0">
            <x v="0"/>
          </reference>
          <reference field="4" count="0"/>
        </references>
      </pivotArea>
    </format>
    <format dxfId="2128">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2127">
      <pivotArea dataOnly="0" labelOnly="1" fieldPosition="0">
        <references count="4">
          <reference field="2" count="1" selected="0">
            <x v="5"/>
          </reference>
          <reference field="3" count="1" selected="0">
            <x v="13"/>
          </reference>
          <reference field="4" count="1" selected="0">
            <x v="40"/>
          </reference>
          <reference field="5" count="36">
            <x v="14"/>
            <x v="15"/>
            <x v="16"/>
            <x v="23"/>
            <x v="24"/>
            <x v="25"/>
            <x v="32"/>
            <x v="41"/>
            <x v="73"/>
            <x v="96"/>
            <x v="99"/>
            <x v="100"/>
            <x v="101"/>
            <x v="102"/>
            <x v="103"/>
            <x v="104"/>
            <x v="105"/>
            <x v="106"/>
            <x v="107"/>
            <x v="108"/>
            <x v="109"/>
            <x v="110"/>
            <x v="111"/>
            <x v="112"/>
            <x v="113"/>
            <x v="114"/>
            <x v="115"/>
            <x v="116"/>
            <x v="117"/>
            <x v="118"/>
            <x v="119"/>
            <x v="120"/>
            <x v="121"/>
            <x v="122"/>
            <x v="123"/>
            <x v="133"/>
          </reference>
        </references>
      </pivotArea>
    </format>
    <format dxfId="2126">
      <pivotArea dataOnly="0" labelOnly="1" fieldPosition="0">
        <references count="3">
          <reference field="2" count="1" selected="0">
            <x v="0"/>
          </reference>
          <reference field="3" count="1" selected="0">
            <x v="0"/>
          </reference>
          <reference field="4" count="50">
            <x v="0"/>
            <x v="1"/>
            <x v="2"/>
            <x v="3"/>
            <x v="4"/>
            <x v="5"/>
            <x v="6"/>
            <x v="7"/>
            <x v="8"/>
            <x v="9"/>
            <x v="10"/>
            <x v="11"/>
            <x v="12"/>
            <x v="13"/>
            <x v="14"/>
            <x v="15"/>
            <x v="16"/>
            <x v="17"/>
            <x v="18"/>
            <x v="19"/>
            <x v="20"/>
            <x v="21"/>
            <x v="22"/>
            <x v="23"/>
            <x v="24"/>
            <x v="25"/>
            <x v="26"/>
            <x v="27"/>
            <x v="28"/>
            <x v="29"/>
            <x v="30"/>
            <x v="31"/>
            <x v="32"/>
            <x v="33"/>
            <x v="34"/>
            <x v="35"/>
            <x v="36"/>
            <x v="38"/>
            <x v="39"/>
            <x v="40"/>
            <x v="41"/>
            <x v="42"/>
            <x v="43"/>
            <x v="44"/>
            <x v="45"/>
            <x v="46"/>
            <x v="63"/>
            <x v="64"/>
            <x v="65"/>
            <x v="66"/>
          </reference>
        </references>
      </pivotArea>
    </format>
    <format dxfId="2125">
      <pivotArea dataOnly="0" labelOnly="1" fieldPosition="0">
        <references count="4">
          <reference field="2" count="1" selected="0">
            <x v="5"/>
          </reference>
          <reference field="3" count="1" selected="0">
            <x v="13"/>
          </reference>
          <reference field="4" count="1" selected="0">
            <x v="40"/>
          </reference>
          <reference field="5" count="36">
            <x v="14"/>
            <x v="15"/>
            <x v="16"/>
            <x v="23"/>
            <x v="24"/>
            <x v="25"/>
            <x v="32"/>
            <x v="41"/>
            <x v="73"/>
            <x v="99"/>
            <x v="100"/>
            <x v="101"/>
            <x v="102"/>
            <x v="103"/>
            <x v="104"/>
            <x v="105"/>
            <x v="106"/>
            <x v="107"/>
            <x v="108"/>
            <x v="109"/>
            <x v="110"/>
            <x v="111"/>
            <x v="112"/>
            <x v="113"/>
            <x v="114"/>
            <x v="115"/>
            <x v="116"/>
            <x v="117"/>
            <x v="118"/>
            <x v="119"/>
            <x v="120"/>
            <x v="121"/>
            <x v="122"/>
            <x v="123"/>
            <x v="124"/>
            <x v="133"/>
          </reference>
        </references>
      </pivotArea>
    </format>
    <format dxfId="2124">
      <pivotArea field="2" type="button" dataOnly="0" labelOnly="1" outline="0" axis="axisRow" fieldPosition="0"/>
    </format>
    <format dxfId="2123">
      <pivotArea dataOnly="0" labelOnly="1" fieldPosition="0">
        <references count="1">
          <reference field="2" count="0"/>
        </references>
      </pivotArea>
    </format>
    <format dxfId="2122">
      <pivotArea dataOnly="0" labelOnly="1" grandRow="1" outline="0" fieldPosition="0"/>
    </format>
    <format dxfId="2121">
      <pivotArea dataOnly="0" labelOnly="1" fieldPosition="0">
        <references count="2">
          <reference field="2" count="1" selected="0">
            <x v="0"/>
          </reference>
          <reference field="3" count="0"/>
        </references>
      </pivotArea>
    </format>
    <format dxfId="2120">
      <pivotArea dataOnly="0" labelOnly="1" fieldPosition="0">
        <references count="3">
          <reference field="2" count="1" selected="0">
            <x v="0"/>
          </reference>
          <reference field="3" count="1" selected="0">
            <x v="0"/>
          </reference>
          <reference field="4" count="25">
            <x v="0"/>
            <x v="1"/>
            <x v="2"/>
            <x v="3"/>
            <x v="4"/>
            <x v="5"/>
            <x v="6"/>
            <x v="7"/>
            <x v="8"/>
            <x v="9"/>
            <x v="10"/>
            <x v="11"/>
            <x v="12"/>
            <x v="13"/>
            <x v="14"/>
            <x v="15"/>
            <x v="16"/>
            <x v="17"/>
            <x v="18"/>
            <x v="19"/>
            <x v="20"/>
            <x v="30"/>
            <x v="31"/>
            <x v="32"/>
            <x v="33"/>
          </reference>
        </references>
      </pivotArea>
    </format>
    <format dxfId="2119">
      <pivotArea dataOnly="0" labelOnly="1" fieldPosition="0">
        <references count="3">
          <reference field="2" count="1" selected="0">
            <x v="4"/>
          </reference>
          <reference field="3" count="1" selected="0">
            <x v="7"/>
          </reference>
          <reference field="4" count="25">
            <x v="21"/>
            <x v="22"/>
            <x v="23"/>
            <x v="24"/>
            <x v="25"/>
            <x v="26"/>
            <x v="27"/>
            <x v="28"/>
            <x v="29"/>
            <x v="34"/>
            <x v="35"/>
            <x v="36"/>
            <x v="38"/>
            <x v="39"/>
            <x v="40"/>
            <x v="41"/>
            <x v="42"/>
            <x v="43"/>
            <x v="44"/>
            <x v="45"/>
            <x v="46"/>
            <x v="63"/>
            <x v="64"/>
            <x v="65"/>
            <x v="66"/>
          </reference>
        </references>
      </pivotArea>
    </format>
    <format dxfId="2118">
      <pivotArea dataOnly="0" labelOnly="1" fieldPosition="0">
        <references count="3">
          <reference field="2" count="1" selected="0">
            <x v="6"/>
          </reference>
          <reference field="3" count="1" selected="0">
            <x v="14"/>
          </reference>
          <reference field="4" count="15">
            <x v="47"/>
            <x v="48"/>
            <x v="50"/>
            <x v="51"/>
            <x v="52"/>
            <x v="53"/>
            <x v="54"/>
            <x v="55"/>
            <x v="56"/>
            <x v="57"/>
            <x v="58"/>
            <x v="59"/>
            <x v="60"/>
            <x v="61"/>
            <x v="62"/>
          </reference>
        </references>
      </pivotArea>
    </format>
    <format dxfId="2117">
      <pivotArea dataOnly="0" labelOnly="1" fieldPosition="0">
        <references count="4">
          <reference field="2" count="1" selected="0">
            <x v="0"/>
          </reference>
          <reference field="3" count="1" selected="0">
            <x v="0"/>
          </reference>
          <reference field="4" count="1" selected="0">
            <x v="0"/>
          </reference>
          <reference field="5" count="46">
            <x v="0"/>
            <x v="1"/>
            <x v="2"/>
            <x v="3"/>
            <x v="4"/>
            <x v="5"/>
            <x v="6"/>
            <x v="7"/>
            <x v="8"/>
            <x v="9"/>
            <x v="26"/>
            <x v="27"/>
            <x v="28"/>
            <x v="29"/>
            <x v="30"/>
            <x v="31"/>
            <x v="42"/>
            <x v="43"/>
            <x v="44"/>
            <x v="45"/>
            <x v="46"/>
            <x v="47"/>
            <x v="48"/>
            <x v="49"/>
            <x v="50"/>
            <x v="51"/>
            <x v="52"/>
            <x v="53"/>
            <x v="54"/>
            <x v="55"/>
            <x v="56"/>
            <x v="57"/>
            <x v="58"/>
            <x v="59"/>
            <x v="60"/>
            <x v="61"/>
            <x v="62"/>
            <x v="63"/>
            <x v="64"/>
            <x v="65"/>
            <x v="66"/>
            <x v="68"/>
            <x v="69"/>
            <x v="94"/>
            <x v="128"/>
            <x v="129"/>
          </reference>
        </references>
      </pivotArea>
    </format>
    <format dxfId="2116">
      <pivotArea dataOnly="0" labelOnly="1" fieldPosition="0">
        <references count="4">
          <reference field="2" count="1" selected="0">
            <x v="3"/>
          </reference>
          <reference field="3" count="1" selected="0">
            <x v="6"/>
          </reference>
          <reference field="4" count="1" selected="0">
            <x v="19"/>
          </reference>
          <reference field="5" count="45">
            <x v="10"/>
            <x v="11"/>
            <x v="12"/>
            <x v="13"/>
            <x v="17"/>
            <x v="18"/>
            <x v="19"/>
            <x v="20"/>
            <x v="21"/>
            <x v="22"/>
            <x v="33"/>
            <x v="34"/>
            <x v="35"/>
            <x v="36"/>
            <x v="37"/>
            <x v="38"/>
            <x v="39"/>
            <x v="40"/>
            <x v="67"/>
            <x v="70"/>
            <x v="71"/>
            <x v="72"/>
            <x v="74"/>
            <x v="75"/>
            <x v="76"/>
            <x v="77"/>
            <x v="78"/>
            <x v="79"/>
            <x v="80"/>
            <x v="81"/>
            <x v="82"/>
            <x v="83"/>
            <x v="84"/>
            <x v="85"/>
            <x v="86"/>
            <x v="87"/>
            <x v="88"/>
            <x v="89"/>
            <x v="90"/>
            <x v="91"/>
            <x v="92"/>
            <x v="93"/>
            <x v="96"/>
            <x v="126"/>
            <x v="127"/>
          </reference>
        </references>
      </pivotArea>
    </format>
    <format dxfId="2115">
      <pivotArea dataOnly="0" labelOnly="1" fieldPosition="0">
        <references count="4">
          <reference field="2" count="1" selected="0">
            <x v="5"/>
          </reference>
          <reference field="3" count="1" selected="0">
            <x v="13"/>
          </reference>
          <reference field="4" count="1" selected="0">
            <x v="40"/>
          </reference>
          <reference field="5" count="36">
            <x v="14"/>
            <x v="15"/>
            <x v="16"/>
            <x v="23"/>
            <x v="24"/>
            <x v="25"/>
            <x v="32"/>
            <x v="41"/>
            <x v="73"/>
            <x v="95"/>
            <x v="97"/>
            <x v="98"/>
            <x v="99"/>
            <x v="100"/>
            <x v="101"/>
            <x v="102"/>
            <x v="103"/>
            <x v="104"/>
            <x v="105"/>
            <x v="106"/>
            <x v="107"/>
            <x v="108"/>
            <x v="109"/>
            <x v="110"/>
            <x v="111"/>
            <x v="112"/>
            <x v="113"/>
            <x v="114"/>
            <x v="115"/>
            <x v="116"/>
            <x v="117"/>
            <x v="118"/>
            <x v="119"/>
            <x v="120"/>
            <x v="121"/>
            <x v="133"/>
          </reference>
        </references>
      </pivotArea>
    </format>
    <format dxfId="2114">
      <pivotArea dataOnly="0" labelOnly="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2113">
      <pivotArea dataOnly="0" labelOnly="1" fieldPosition="0">
        <references count="3">
          <reference field="2" count="1" selected="0">
            <x v="1"/>
          </reference>
          <reference field="3" count="1" selected="0">
            <x v="1"/>
          </reference>
          <reference field="4" count="5">
            <x v="1"/>
            <x v="2"/>
            <x v="3"/>
            <x v="4"/>
            <x v="5"/>
          </reference>
        </references>
      </pivotArea>
    </format>
    <format dxfId="2112">
      <pivotArea dataOnly="0" labelOnly="1" fieldPosition="0">
        <references count="4">
          <reference field="2" count="1" selected="0">
            <x v="5"/>
          </reference>
          <reference field="3" count="1" selected="0">
            <x v="13"/>
          </reference>
          <reference field="4" count="1" selected="0">
            <x v="40"/>
          </reference>
          <reference field="5" count="2">
            <x v="95"/>
            <x v="96"/>
          </reference>
        </references>
      </pivotArea>
    </format>
    <format dxfId="2111">
      <pivotArea collapsedLevelsAreSubtotals="1" fieldPosition="0">
        <references count="1">
          <reference field="2" count="1">
            <x v="1"/>
          </reference>
        </references>
      </pivotArea>
    </format>
    <format dxfId="2110">
      <pivotArea collapsedLevelsAreSubtotals="1" fieldPosition="0">
        <references count="2">
          <reference field="2" count="1" selected="0">
            <x v="1"/>
          </reference>
          <reference field="3" count="1">
            <x v="1"/>
          </reference>
        </references>
      </pivotArea>
    </format>
    <format dxfId="2109">
      <pivotArea collapsedLevelsAreSubtotals="1" fieldPosition="0">
        <references count="3">
          <reference field="2" count="1" selected="0">
            <x v="1"/>
          </reference>
          <reference field="3" count="1" selected="0">
            <x v="1"/>
          </reference>
          <reference field="4" count="1">
            <x v="1"/>
          </reference>
        </references>
      </pivotArea>
    </format>
    <format dxfId="2108">
      <pivotArea collapsedLevelsAreSubtotals="1" fieldPosition="0">
        <references count="4">
          <reference field="2" count="1" selected="0">
            <x v="1"/>
          </reference>
          <reference field="3" count="1" selected="0">
            <x v="1"/>
          </reference>
          <reference field="4" count="1" selected="0">
            <x v="1"/>
          </reference>
          <reference field="5" count="1">
            <x v="1"/>
          </reference>
        </references>
      </pivotArea>
    </format>
    <format dxfId="2107">
      <pivotArea collapsedLevelsAreSubtotals="1" fieldPosition="0">
        <references count="3">
          <reference field="2" count="1" selected="0">
            <x v="1"/>
          </reference>
          <reference field="3" count="1" selected="0">
            <x v="1"/>
          </reference>
          <reference field="4" count="1">
            <x v="1"/>
          </reference>
        </references>
      </pivotArea>
    </format>
    <format dxfId="2106">
      <pivotArea collapsedLevelsAreSubtotals="1" fieldPosition="0">
        <references count="3">
          <reference field="2" count="1" selected="0">
            <x v="1"/>
          </reference>
          <reference field="3" count="1" selected="0">
            <x v="1"/>
          </reference>
          <reference field="4" count="1">
            <x v="2"/>
          </reference>
        </references>
      </pivotArea>
    </format>
    <format dxfId="2105">
      <pivotArea collapsedLevelsAreSubtotals="1" fieldPosition="0">
        <references count="4">
          <reference field="2" count="1" selected="0">
            <x v="1"/>
          </reference>
          <reference field="3" count="1" selected="0">
            <x v="1"/>
          </reference>
          <reference field="4" count="1" selected="0">
            <x v="2"/>
          </reference>
          <reference field="5" count="1">
            <x v="2"/>
          </reference>
        </references>
      </pivotArea>
    </format>
    <format dxfId="2104">
      <pivotArea collapsedLevelsAreSubtotals="1" fieldPosition="0">
        <references count="3">
          <reference field="2" count="1" selected="0">
            <x v="1"/>
          </reference>
          <reference field="3" count="1" selected="0">
            <x v="1"/>
          </reference>
          <reference field="4" count="1">
            <x v="2"/>
          </reference>
        </references>
      </pivotArea>
    </format>
    <format dxfId="2103">
      <pivotArea collapsedLevelsAreSubtotals="1" fieldPosition="0">
        <references count="3">
          <reference field="2" count="1" selected="0">
            <x v="1"/>
          </reference>
          <reference field="3" count="1" selected="0">
            <x v="1"/>
          </reference>
          <reference field="4" count="1">
            <x v="3"/>
          </reference>
        </references>
      </pivotArea>
    </format>
    <format dxfId="2102">
      <pivotArea collapsedLevelsAreSubtotals="1" fieldPosition="0">
        <references count="4">
          <reference field="2" count="1" selected="0">
            <x v="1"/>
          </reference>
          <reference field="3" count="1" selected="0">
            <x v="1"/>
          </reference>
          <reference field="4" count="1" selected="0">
            <x v="3"/>
          </reference>
          <reference field="5" count="1">
            <x v="3"/>
          </reference>
        </references>
      </pivotArea>
    </format>
    <format dxfId="2101">
      <pivotArea collapsedLevelsAreSubtotals="1" fieldPosition="0">
        <references count="3">
          <reference field="2" count="1" selected="0">
            <x v="1"/>
          </reference>
          <reference field="3" count="1" selected="0">
            <x v="1"/>
          </reference>
          <reference field="4" count="1">
            <x v="3"/>
          </reference>
        </references>
      </pivotArea>
    </format>
    <format dxfId="2100">
      <pivotArea collapsedLevelsAreSubtotals="1" fieldPosition="0">
        <references count="3">
          <reference field="2" count="1" selected="0">
            <x v="1"/>
          </reference>
          <reference field="3" count="1" selected="0">
            <x v="1"/>
          </reference>
          <reference field="4" count="1">
            <x v="4"/>
          </reference>
        </references>
      </pivotArea>
    </format>
    <format dxfId="2099">
      <pivotArea collapsedLevelsAreSubtotals="1" fieldPosition="0">
        <references count="4">
          <reference field="2" count="1" selected="0">
            <x v="1"/>
          </reference>
          <reference field="3" count="1" selected="0">
            <x v="1"/>
          </reference>
          <reference field="4" count="1" selected="0">
            <x v="4"/>
          </reference>
          <reference field="5" count="4">
            <x v="4"/>
            <x v="5"/>
            <x v="6"/>
            <x v="68"/>
          </reference>
        </references>
      </pivotArea>
    </format>
    <format dxfId="2098">
      <pivotArea collapsedLevelsAreSubtotals="1" fieldPosition="0">
        <references count="3">
          <reference field="2" count="1" selected="0">
            <x v="1"/>
          </reference>
          <reference field="3" count="1" selected="0">
            <x v="1"/>
          </reference>
          <reference field="4" count="1">
            <x v="4"/>
          </reference>
        </references>
      </pivotArea>
    </format>
    <format dxfId="2097">
      <pivotArea collapsedLevelsAreSubtotals="1" fieldPosition="0">
        <references count="3">
          <reference field="2" count="1" selected="0">
            <x v="1"/>
          </reference>
          <reference field="3" count="1" selected="0">
            <x v="1"/>
          </reference>
          <reference field="4" count="1">
            <x v="5"/>
          </reference>
        </references>
      </pivotArea>
    </format>
    <format dxfId="2096">
      <pivotArea collapsedLevelsAreSubtotals="1" fieldPosition="0">
        <references count="3">
          <reference field="2" count="1" selected="0">
            <x v="1"/>
          </reference>
          <reference field="3" count="1" selected="0">
            <x v="1"/>
          </reference>
          <reference field="4" count="1">
            <x v="5"/>
          </reference>
        </references>
      </pivotArea>
    </format>
    <format dxfId="2095">
      <pivotArea collapsedLevelsAreSubtotals="1" fieldPosition="0">
        <references count="1">
          <reference field="2" count="1">
            <x v="2"/>
          </reference>
        </references>
      </pivotArea>
    </format>
    <format dxfId="2094">
      <pivotArea collapsedLevelsAreSubtotals="1" fieldPosition="0">
        <references count="2">
          <reference field="2" count="1" selected="0">
            <x v="2"/>
          </reference>
          <reference field="3" count="1">
            <x v="2"/>
          </reference>
        </references>
      </pivotArea>
    </format>
    <format dxfId="2093">
      <pivotArea collapsedLevelsAreSubtotals="1" fieldPosition="0">
        <references count="3">
          <reference field="2" count="1" selected="0">
            <x v="2"/>
          </reference>
          <reference field="3" count="1" selected="0">
            <x v="2"/>
          </reference>
          <reference field="4" count="1">
            <x v="6"/>
          </reference>
        </references>
      </pivotArea>
    </format>
    <format dxfId="2092">
      <pivotArea collapsedLevelsAreSubtotals="1" fieldPosition="0">
        <references count="3">
          <reference field="2" count="1" selected="0">
            <x v="2"/>
          </reference>
          <reference field="3" count="1" selected="0">
            <x v="2"/>
          </reference>
          <reference field="4" count="1">
            <x v="6"/>
          </reference>
        </references>
      </pivotArea>
    </format>
    <format dxfId="2091">
      <pivotArea collapsedLevelsAreSubtotals="1" fieldPosition="0">
        <references count="2">
          <reference field="2" count="1" selected="0">
            <x v="2"/>
          </reference>
          <reference field="3" count="1">
            <x v="3"/>
          </reference>
        </references>
      </pivotArea>
    </format>
    <format dxfId="2090">
      <pivotArea collapsedLevelsAreSubtotals="1" fieldPosition="0">
        <references count="3">
          <reference field="2" count="1" selected="0">
            <x v="2"/>
          </reference>
          <reference field="3" count="1" selected="0">
            <x v="3"/>
          </reference>
          <reference field="4" count="1">
            <x v="7"/>
          </reference>
        </references>
      </pivotArea>
    </format>
    <format dxfId="2089">
      <pivotArea collapsedLevelsAreSubtotals="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2088">
      <pivotArea collapsedLevelsAreSubtotals="1" fieldPosition="0">
        <references count="3">
          <reference field="2" count="1" selected="0">
            <x v="2"/>
          </reference>
          <reference field="3" count="1" selected="0">
            <x v="3"/>
          </reference>
          <reference field="4" count="1">
            <x v="7"/>
          </reference>
        </references>
      </pivotArea>
    </format>
    <format dxfId="2087">
      <pivotArea collapsedLevelsAreSubtotals="1" fieldPosition="0">
        <references count="3">
          <reference field="2" count="1" selected="0">
            <x v="2"/>
          </reference>
          <reference field="3" count="1" selected="0">
            <x v="3"/>
          </reference>
          <reference field="4" count="1">
            <x v="8"/>
          </reference>
        </references>
      </pivotArea>
    </format>
    <format dxfId="2086">
      <pivotArea collapsedLevelsAreSubtotals="1" fieldPosition="0">
        <references count="4">
          <reference field="2" count="1" selected="0">
            <x v="2"/>
          </reference>
          <reference field="3" count="1" selected="0">
            <x v="3"/>
          </reference>
          <reference field="4" count="1" selected="0">
            <x v="8"/>
          </reference>
          <reference field="5" count="2">
            <x v="28"/>
            <x v="29"/>
          </reference>
        </references>
      </pivotArea>
    </format>
    <format dxfId="2085">
      <pivotArea collapsedLevelsAreSubtotals="1" fieldPosition="0">
        <references count="3">
          <reference field="2" count="1" selected="0">
            <x v="2"/>
          </reference>
          <reference field="3" count="1" selected="0">
            <x v="3"/>
          </reference>
          <reference field="4" count="1">
            <x v="8"/>
          </reference>
        </references>
      </pivotArea>
    </format>
    <format dxfId="2084">
      <pivotArea collapsedLevelsAreSubtotals="1" fieldPosition="0">
        <references count="3">
          <reference field="2" count="1" selected="0">
            <x v="2"/>
          </reference>
          <reference field="3" count="1" selected="0">
            <x v="3"/>
          </reference>
          <reference field="4" count="1">
            <x v="9"/>
          </reference>
        </references>
      </pivotArea>
    </format>
    <format dxfId="2083">
      <pivotArea collapsedLevelsAreSubtotals="1" fieldPosition="0">
        <references count="4">
          <reference field="2" count="1" selected="0">
            <x v="2"/>
          </reference>
          <reference field="3" count="1" selected="0">
            <x v="3"/>
          </reference>
          <reference field="4" count="1" selected="0">
            <x v="9"/>
          </reference>
          <reference field="5" count="2">
            <x v="7"/>
            <x v="8"/>
          </reference>
        </references>
      </pivotArea>
    </format>
    <format dxfId="2082">
      <pivotArea collapsedLevelsAreSubtotals="1" fieldPosition="0">
        <references count="3">
          <reference field="2" count="1" selected="0">
            <x v="2"/>
          </reference>
          <reference field="3" count="1" selected="0">
            <x v="3"/>
          </reference>
          <reference field="4" count="1">
            <x v="9"/>
          </reference>
        </references>
      </pivotArea>
    </format>
    <format dxfId="2081">
      <pivotArea collapsedLevelsAreSubtotals="1" fieldPosition="0">
        <references count="2">
          <reference field="2" count="1" selected="0">
            <x v="2"/>
          </reference>
          <reference field="3" count="1">
            <x v="4"/>
          </reference>
        </references>
      </pivotArea>
    </format>
    <format dxfId="2080">
      <pivotArea collapsedLevelsAreSubtotals="1" fieldPosition="0">
        <references count="3">
          <reference field="2" count="1" selected="0">
            <x v="2"/>
          </reference>
          <reference field="3" count="1" selected="0">
            <x v="4"/>
          </reference>
          <reference field="4" count="1">
            <x v="10"/>
          </reference>
        </references>
      </pivotArea>
    </format>
    <format dxfId="2079">
      <pivotArea collapsedLevelsAreSubtotals="1" fieldPosition="0">
        <references count="4">
          <reference field="2" count="1" selected="0">
            <x v="2"/>
          </reference>
          <reference field="3" count="1" selected="0">
            <x v="4"/>
          </reference>
          <reference field="4" count="1" selected="0">
            <x v="10"/>
          </reference>
          <reference field="5" count="2">
            <x v="30"/>
            <x v="31"/>
          </reference>
        </references>
      </pivotArea>
    </format>
    <format dxfId="2078">
      <pivotArea collapsedLevelsAreSubtotals="1" fieldPosition="0">
        <references count="3">
          <reference field="2" count="1" selected="0">
            <x v="2"/>
          </reference>
          <reference field="3" count="1" selected="0">
            <x v="4"/>
          </reference>
          <reference field="4" count="1">
            <x v="10"/>
          </reference>
        </references>
      </pivotArea>
    </format>
    <format dxfId="2077">
      <pivotArea collapsedLevelsAreSubtotals="1" fieldPosition="0">
        <references count="3">
          <reference field="2" count="1" selected="0">
            <x v="2"/>
          </reference>
          <reference field="3" count="1" selected="0">
            <x v="4"/>
          </reference>
          <reference field="4" count="1">
            <x v="11"/>
          </reference>
        </references>
      </pivotArea>
    </format>
    <format dxfId="2076">
      <pivotArea collapsedLevelsAreSubtotals="1" fieldPosition="0">
        <references count="4">
          <reference field="2" count="1" selected="0">
            <x v="2"/>
          </reference>
          <reference field="3" count="1" selected="0">
            <x v="4"/>
          </reference>
          <reference field="4" count="1" selected="0">
            <x v="11"/>
          </reference>
          <reference field="5" count="1">
            <x v="42"/>
          </reference>
        </references>
      </pivotArea>
    </format>
    <format dxfId="2075">
      <pivotArea collapsedLevelsAreSubtotals="1" fieldPosition="0">
        <references count="3">
          <reference field="2" count="1" selected="0">
            <x v="2"/>
          </reference>
          <reference field="3" count="1" selected="0">
            <x v="4"/>
          </reference>
          <reference field="4" count="1">
            <x v="11"/>
          </reference>
        </references>
      </pivotArea>
    </format>
    <format dxfId="2074">
      <pivotArea collapsedLevelsAreSubtotals="1" fieldPosition="0">
        <references count="3">
          <reference field="2" count="1" selected="0">
            <x v="2"/>
          </reference>
          <reference field="3" count="1" selected="0">
            <x v="4"/>
          </reference>
          <reference field="4" count="1">
            <x v="12"/>
          </reference>
        </references>
      </pivotArea>
    </format>
    <format dxfId="2073">
      <pivotArea collapsedLevelsAreSubtotals="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2072">
      <pivotArea collapsedLevelsAreSubtotals="1" fieldPosition="0">
        <references count="3">
          <reference field="2" count="1" selected="0">
            <x v="2"/>
          </reference>
          <reference field="3" count="1" selected="0">
            <x v="4"/>
          </reference>
          <reference field="4" count="1">
            <x v="12"/>
          </reference>
        </references>
      </pivotArea>
    </format>
    <format dxfId="2071">
      <pivotArea collapsedLevelsAreSubtotals="1" fieldPosition="0">
        <references count="1">
          <reference field="2" count="1">
            <x v="3"/>
          </reference>
        </references>
      </pivotArea>
    </format>
    <format dxfId="2070">
      <pivotArea collapsedLevelsAreSubtotals="1" fieldPosition="0">
        <references count="2">
          <reference field="2" count="1" selected="0">
            <x v="3"/>
          </reference>
          <reference field="3" count="1">
            <x v="5"/>
          </reference>
        </references>
      </pivotArea>
    </format>
    <format dxfId="2069">
      <pivotArea collapsedLevelsAreSubtotals="1" fieldPosition="0">
        <references count="3">
          <reference field="2" count="1" selected="0">
            <x v="3"/>
          </reference>
          <reference field="3" count="1" selected="0">
            <x v="5"/>
          </reference>
          <reference field="4" count="1">
            <x v="13"/>
          </reference>
        </references>
      </pivotArea>
    </format>
    <format dxfId="2068">
      <pivotArea collapsedLevelsAreSubtotals="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2067">
      <pivotArea collapsedLevelsAreSubtotals="1" fieldPosition="0">
        <references count="3">
          <reference field="2" count="1" selected="0">
            <x v="3"/>
          </reference>
          <reference field="3" count="1" selected="0">
            <x v="5"/>
          </reference>
          <reference field="4" count="1">
            <x v="13"/>
          </reference>
        </references>
      </pivotArea>
    </format>
    <format dxfId="2066">
      <pivotArea collapsedLevelsAreSubtotals="1" fieldPosition="0">
        <references count="3">
          <reference field="2" count="1" selected="0">
            <x v="3"/>
          </reference>
          <reference field="3" count="1" selected="0">
            <x v="5"/>
          </reference>
          <reference field="4" count="1">
            <x v="14"/>
          </reference>
        </references>
      </pivotArea>
    </format>
    <format dxfId="2065">
      <pivotArea collapsedLevelsAreSubtotals="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2064">
      <pivotArea collapsedLevelsAreSubtotals="1" fieldPosition="0">
        <references count="3">
          <reference field="2" count="1" selected="0">
            <x v="3"/>
          </reference>
          <reference field="3" count="1" selected="0">
            <x v="5"/>
          </reference>
          <reference field="4" count="1">
            <x v="14"/>
          </reference>
        </references>
      </pivotArea>
    </format>
    <format dxfId="2063">
      <pivotArea collapsedLevelsAreSubtotals="1" fieldPosition="0">
        <references count="3">
          <reference field="2" count="1" selected="0">
            <x v="3"/>
          </reference>
          <reference field="3" count="1" selected="0">
            <x v="5"/>
          </reference>
          <reference field="4" count="1">
            <x v="15"/>
          </reference>
        </references>
      </pivotArea>
    </format>
    <format dxfId="2062">
      <pivotArea collapsedLevelsAreSubtotals="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2061">
      <pivotArea collapsedLevelsAreSubtotals="1" fieldPosition="0">
        <references count="3">
          <reference field="2" count="1" selected="0">
            <x v="3"/>
          </reference>
          <reference field="3" count="1" selected="0">
            <x v="5"/>
          </reference>
          <reference field="4" count="1">
            <x v="15"/>
          </reference>
        </references>
      </pivotArea>
    </format>
    <format dxfId="2060">
      <pivotArea collapsedLevelsAreSubtotals="1" fieldPosition="0">
        <references count="3">
          <reference field="2" count="1" selected="0">
            <x v="3"/>
          </reference>
          <reference field="3" count="1" selected="0">
            <x v="5"/>
          </reference>
          <reference field="4" count="1">
            <x v="16"/>
          </reference>
        </references>
      </pivotArea>
    </format>
    <format dxfId="2059">
      <pivotArea collapsedLevelsAreSubtotals="1" fieldPosition="0">
        <references count="4">
          <reference field="2" count="1" selected="0">
            <x v="3"/>
          </reference>
          <reference field="3" count="1" selected="0">
            <x v="5"/>
          </reference>
          <reference field="4" count="1" selected="0">
            <x v="16"/>
          </reference>
          <reference field="5" count="2">
            <x v="52"/>
            <x v="53"/>
          </reference>
        </references>
      </pivotArea>
    </format>
    <format dxfId="2058">
      <pivotArea collapsedLevelsAreSubtotals="1" fieldPosition="0">
        <references count="3">
          <reference field="2" count="1" selected="0">
            <x v="3"/>
          </reference>
          <reference field="3" count="1" selected="0">
            <x v="5"/>
          </reference>
          <reference field="4" count="1">
            <x v="16"/>
          </reference>
        </references>
      </pivotArea>
    </format>
    <format dxfId="2057">
      <pivotArea collapsedLevelsAreSubtotals="1" fieldPosition="0">
        <references count="3">
          <reference field="2" count="1" selected="0">
            <x v="3"/>
          </reference>
          <reference field="3" count="1" selected="0">
            <x v="5"/>
          </reference>
          <reference field="4" count="1">
            <x v="17"/>
          </reference>
        </references>
      </pivotArea>
    </format>
    <format dxfId="2056">
      <pivotArea collapsedLevelsAreSubtotals="1" fieldPosition="0">
        <references count="4">
          <reference field="2" count="1" selected="0">
            <x v="3"/>
          </reference>
          <reference field="3" count="1" selected="0">
            <x v="5"/>
          </reference>
          <reference field="4" count="1" selected="0">
            <x v="17"/>
          </reference>
          <reference field="5" count="2">
            <x v="69"/>
            <x v="94"/>
          </reference>
        </references>
      </pivotArea>
    </format>
    <format dxfId="2055">
      <pivotArea collapsedLevelsAreSubtotals="1" fieldPosition="0">
        <references count="3">
          <reference field="2" count="1" selected="0">
            <x v="3"/>
          </reference>
          <reference field="3" count="1" selected="0">
            <x v="5"/>
          </reference>
          <reference field="4" count="1">
            <x v="17"/>
          </reference>
        </references>
      </pivotArea>
    </format>
    <format dxfId="2054">
      <pivotArea collapsedLevelsAreSubtotals="1" fieldPosition="0">
        <references count="2">
          <reference field="2" count="1" selected="0">
            <x v="3"/>
          </reference>
          <reference field="3" count="1">
            <x v="6"/>
          </reference>
        </references>
      </pivotArea>
    </format>
    <format dxfId="2053">
      <pivotArea collapsedLevelsAreSubtotals="1" fieldPosition="0">
        <references count="3">
          <reference field="2" count="1" selected="0">
            <x v="3"/>
          </reference>
          <reference field="3" count="1" selected="0">
            <x v="6"/>
          </reference>
          <reference field="4" count="1">
            <x v="18"/>
          </reference>
        </references>
      </pivotArea>
    </format>
    <format dxfId="2052">
      <pivotArea collapsedLevelsAreSubtotals="1" fieldPosition="0">
        <references count="4">
          <reference field="2" count="1" selected="0">
            <x v="3"/>
          </reference>
          <reference field="3" count="1" selected="0">
            <x v="6"/>
          </reference>
          <reference field="4" count="1" selected="0">
            <x v="18"/>
          </reference>
          <reference field="5" count="3">
            <x v="9"/>
            <x v="128"/>
            <x v="129"/>
          </reference>
        </references>
      </pivotArea>
    </format>
    <format dxfId="2051">
      <pivotArea collapsedLevelsAreSubtotals="1" fieldPosition="0">
        <references count="3">
          <reference field="2" count="1" selected="0">
            <x v="3"/>
          </reference>
          <reference field="3" count="1" selected="0">
            <x v="6"/>
          </reference>
          <reference field="4" count="1">
            <x v="18"/>
          </reference>
        </references>
      </pivotArea>
    </format>
    <format dxfId="2050">
      <pivotArea collapsedLevelsAreSubtotals="1" fieldPosition="0">
        <references count="3">
          <reference field="2" count="1" selected="0">
            <x v="3"/>
          </reference>
          <reference field="3" count="1" selected="0">
            <x v="6"/>
          </reference>
          <reference field="4" count="1">
            <x v="19"/>
          </reference>
        </references>
      </pivotArea>
    </format>
    <format dxfId="2049">
      <pivotArea collapsedLevelsAreSubtotals="1" fieldPosition="0">
        <references count="4">
          <reference field="2" count="1" selected="0">
            <x v="3"/>
          </reference>
          <reference field="3" count="1" selected="0">
            <x v="6"/>
          </reference>
          <reference field="4" count="1" selected="0">
            <x v="19"/>
          </reference>
          <reference field="5" count="1">
            <x v="127"/>
          </reference>
        </references>
      </pivotArea>
    </format>
    <format dxfId="2048">
      <pivotArea collapsedLevelsAreSubtotals="1" fieldPosition="0">
        <references count="3">
          <reference field="2" count="1" selected="0">
            <x v="3"/>
          </reference>
          <reference field="3" count="1" selected="0">
            <x v="6"/>
          </reference>
          <reference field="4" count="1">
            <x v="19"/>
          </reference>
        </references>
      </pivotArea>
    </format>
    <format dxfId="2047">
      <pivotArea collapsedLevelsAreSubtotals="1" fieldPosition="0">
        <references count="2">
          <reference field="2" count="1" selected="0">
            <x v="3"/>
          </reference>
          <reference field="3" count="1">
            <x v="11"/>
          </reference>
        </references>
      </pivotArea>
    </format>
    <format dxfId="2046">
      <pivotArea collapsedLevelsAreSubtotals="1" fieldPosition="0">
        <references count="3">
          <reference field="2" count="1" selected="0">
            <x v="3"/>
          </reference>
          <reference field="3" count="1" selected="0">
            <x v="11"/>
          </reference>
          <reference field="4" count="1">
            <x v="30"/>
          </reference>
        </references>
      </pivotArea>
    </format>
    <format dxfId="2045">
      <pivotArea collapsedLevelsAreSubtotals="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2044">
      <pivotArea collapsedLevelsAreSubtotals="1" fieldPosition="0">
        <references count="3">
          <reference field="2" count="1" selected="0">
            <x v="3"/>
          </reference>
          <reference field="3" count="1" selected="0">
            <x v="11"/>
          </reference>
          <reference field="4" count="1">
            <x v="30"/>
          </reference>
        </references>
      </pivotArea>
    </format>
    <format dxfId="2043">
      <pivotArea collapsedLevelsAreSubtotals="1" fieldPosition="0">
        <references count="3">
          <reference field="2" count="1" selected="0">
            <x v="3"/>
          </reference>
          <reference field="3" count="1" selected="0">
            <x v="11"/>
          </reference>
          <reference field="4" count="1">
            <x v="31"/>
          </reference>
        </references>
      </pivotArea>
    </format>
    <format dxfId="2042">
      <pivotArea collapsedLevelsAreSubtotals="1" fieldPosition="0">
        <references count="3">
          <reference field="2" count="1" selected="0">
            <x v="3"/>
          </reference>
          <reference field="3" count="1" selected="0">
            <x v="11"/>
          </reference>
          <reference field="4" count="1">
            <x v="31"/>
          </reference>
        </references>
      </pivotArea>
    </format>
    <format dxfId="2041">
      <pivotArea collapsedLevelsAreSubtotals="1" fieldPosition="0">
        <references count="3">
          <reference field="2" count="1" selected="0">
            <x v="3"/>
          </reference>
          <reference field="3" count="1" selected="0">
            <x v="11"/>
          </reference>
          <reference field="4" count="1">
            <x v="32"/>
          </reference>
        </references>
      </pivotArea>
    </format>
    <format dxfId="2040">
      <pivotArea collapsedLevelsAreSubtotals="1" fieldPosition="0">
        <references count="4">
          <reference field="2" count="1" selected="0">
            <x v="3"/>
          </reference>
          <reference field="3" count="1" selected="0">
            <x v="11"/>
          </reference>
          <reference field="4" count="1" selected="0">
            <x v="32"/>
          </reference>
          <reference field="5" count="4">
            <x v="74"/>
            <x v="75"/>
            <x v="76"/>
            <x v="77"/>
          </reference>
        </references>
      </pivotArea>
    </format>
    <format dxfId="2039">
      <pivotArea collapsedLevelsAreSubtotals="1" fieldPosition="0">
        <references count="3">
          <reference field="2" count="1" selected="0">
            <x v="3"/>
          </reference>
          <reference field="3" count="1" selected="0">
            <x v="11"/>
          </reference>
          <reference field="4" count="1">
            <x v="32"/>
          </reference>
        </references>
      </pivotArea>
    </format>
    <format dxfId="2038">
      <pivotArea collapsedLevelsAreSubtotals="1" fieldPosition="0">
        <references count="3">
          <reference field="2" count="1" selected="0">
            <x v="3"/>
          </reference>
          <reference field="3" count="1" selected="0">
            <x v="11"/>
          </reference>
          <reference field="4" count="1">
            <x v="33"/>
          </reference>
        </references>
      </pivotArea>
    </format>
    <format dxfId="2037">
      <pivotArea collapsedLevelsAreSubtotals="1" fieldPosition="0">
        <references count="3">
          <reference field="2" count="1" selected="0">
            <x v="3"/>
          </reference>
          <reference field="3" count="1" selected="0">
            <x v="11"/>
          </reference>
          <reference field="4" count="1">
            <x v="33"/>
          </reference>
        </references>
      </pivotArea>
    </format>
    <format dxfId="2036">
      <pivotArea collapsedLevelsAreSubtotals="1" fieldPosition="0">
        <references count="1">
          <reference field="2" count="1">
            <x v="4"/>
          </reference>
        </references>
      </pivotArea>
    </format>
    <format dxfId="2035">
      <pivotArea collapsedLevelsAreSubtotals="1" fieldPosition="0">
        <references count="2">
          <reference field="2" count="1" selected="0">
            <x v="4"/>
          </reference>
          <reference field="3" count="1">
            <x v="7"/>
          </reference>
        </references>
      </pivotArea>
    </format>
    <format dxfId="2034">
      <pivotArea collapsedLevelsAreSubtotals="1" fieldPosition="0">
        <references count="3">
          <reference field="2" count="1" selected="0">
            <x v="4"/>
          </reference>
          <reference field="3" count="1" selected="0">
            <x v="7"/>
          </reference>
          <reference field="4" count="1">
            <x v="20"/>
          </reference>
        </references>
      </pivotArea>
    </format>
    <format dxfId="2033">
      <pivotArea collapsedLevelsAreSubtotals="1" fieldPosition="0">
        <references count="4">
          <reference field="2" count="1" selected="0">
            <x v="4"/>
          </reference>
          <reference field="3" count="1" selected="0">
            <x v="7"/>
          </reference>
          <reference field="4" count="1" selected="0">
            <x v="20"/>
          </reference>
          <reference field="5" count="7">
            <x v="17"/>
            <x v="18"/>
            <x v="19"/>
            <x v="20"/>
            <x v="21"/>
            <x v="22"/>
            <x v="67"/>
          </reference>
        </references>
      </pivotArea>
    </format>
    <format dxfId="2032">
      <pivotArea collapsedLevelsAreSubtotals="1" fieldPosition="0">
        <references count="3">
          <reference field="2" count="1" selected="0">
            <x v="4"/>
          </reference>
          <reference field="3" count="1" selected="0">
            <x v="7"/>
          </reference>
          <reference field="4" count="1">
            <x v="20"/>
          </reference>
        </references>
      </pivotArea>
    </format>
    <format dxfId="2031">
      <pivotArea collapsedLevelsAreSubtotals="1" fieldPosition="0">
        <references count="3">
          <reference field="2" count="1" selected="0">
            <x v="4"/>
          </reference>
          <reference field="3" count="1" selected="0">
            <x v="7"/>
          </reference>
          <reference field="4" count="1">
            <x v="34"/>
          </reference>
        </references>
      </pivotArea>
    </format>
    <format dxfId="2030">
      <pivotArea collapsedLevelsAreSubtotals="1" fieldPosition="0">
        <references count="4">
          <reference field="2" count="1" selected="0">
            <x v="4"/>
          </reference>
          <reference field="3" count="1" selected="0">
            <x v="7"/>
          </reference>
          <reference field="4" count="1" selected="0">
            <x v="34"/>
          </reference>
          <reference field="5" count="2">
            <x v="78"/>
            <x v="79"/>
          </reference>
        </references>
      </pivotArea>
    </format>
    <format dxfId="2029">
      <pivotArea collapsedLevelsAreSubtotals="1" fieldPosition="0">
        <references count="3">
          <reference field="2" count="1" selected="0">
            <x v="4"/>
          </reference>
          <reference field="3" count="1" selected="0">
            <x v="7"/>
          </reference>
          <reference field="4" count="1">
            <x v="34"/>
          </reference>
        </references>
      </pivotArea>
    </format>
    <format dxfId="2028">
      <pivotArea collapsedLevelsAreSubtotals="1" fieldPosition="0">
        <references count="3">
          <reference field="2" count="1" selected="0">
            <x v="4"/>
          </reference>
          <reference field="3" count="1" selected="0">
            <x v="7"/>
          </reference>
          <reference field="4" count="1">
            <x v="35"/>
          </reference>
        </references>
      </pivotArea>
    </format>
    <format dxfId="2027">
      <pivotArea collapsedLevelsAreSubtotals="1" fieldPosition="0">
        <references count="4">
          <reference field="2" count="1" selected="0">
            <x v="4"/>
          </reference>
          <reference field="3" count="1" selected="0">
            <x v="7"/>
          </reference>
          <reference field="4" count="1" selected="0">
            <x v="35"/>
          </reference>
          <reference field="5" count="2">
            <x v="80"/>
            <x v="81"/>
          </reference>
        </references>
      </pivotArea>
    </format>
    <format dxfId="2026">
      <pivotArea collapsedLevelsAreSubtotals="1" fieldPosition="0">
        <references count="3">
          <reference field="2" count="1" selected="0">
            <x v="4"/>
          </reference>
          <reference field="3" count="1" selected="0">
            <x v="7"/>
          </reference>
          <reference field="4" count="1">
            <x v="35"/>
          </reference>
        </references>
      </pivotArea>
    </format>
    <format dxfId="2025">
      <pivotArea collapsedLevelsAreSubtotals="1" fieldPosition="0">
        <references count="2">
          <reference field="2" count="1" selected="0">
            <x v="4"/>
          </reference>
          <reference field="3" count="1">
            <x v="12"/>
          </reference>
        </references>
      </pivotArea>
    </format>
    <format dxfId="2024">
      <pivotArea collapsedLevelsAreSubtotals="1" fieldPosition="0">
        <references count="3">
          <reference field="2" count="1" selected="0">
            <x v="4"/>
          </reference>
          <reference field="3" count="1" selected="0">
            <x v="12"/>
          </reference>
          <reference field="4" count="1">
            <x v="36"/>
          </reference>
        </references>
      </pivotArea>
    </format>
    <format dxfId="2023">
      <pivotArea collapsedLevelsAreSubtotals="1" fieldPosition="0">
        <references count="4">
          <reference field="2" count="1" selected="0">
            <x v="4"/>
          </reference>
          <reference field="3" count="1" selected="0">
            <x v="12"/>
          </reference>
          <reference field="4" count="1" selected="0">
            <x v="36"/>
          </reference>
          <reference field="5" count="2">
            <x v="82"/>
            <x v="83"/>
          </reference>
        </references>
      </pivotArea>
    </format>
    <format dxfId="2022">
      <pivotArea collapsedLevelsAreSubtotals="1" fieldPosition="0">
        <references count="3">
          <reference field="2" count="1" selected="0">
            <x v="4"/>
          </reference>
          <reference field="3" count="1" selected="0">
            <x v="12"/>
          </reference>
          <reference field="4" count="1">
            <x v="36"/>
          </reference>
        </references>
      </pivotArea>
    </format>
    <format dxfId="2021">
      <pivotArea collapsedLevelsAreSubtotals="1" fieldPosition="0">
        <references count="3">
          <reference field="2" count="1" selected="0">
            <x v="4"/>
          </reference>
          <reference field="3" count="1" selected="0">
            <x v="12"/>
          </reference>
          <reference field="4" count="1">
            <x v="66"/>
          </reference>
        </references>
      </pivotArea>
    </format>
    <format dxfId="2020">
      <pivotArea collapsedLevelsAreSubtotals="1" fieldPosition="0">
        <references count="4">
          <reference field="2" count="1" selected="0">
            <x v="4"/>
          </reference>
          <reference field="3" count="1" selected="0">
            <x v="12"/>
          </reference>
          <reference field="4" count="1" selected="0">
            <x v="66"/>
          </reference>
          <reference field="5" count="3">
            <x v="86"/>
            <x v="87"/>
            <x v="88"/>
          </reference>
        </references>
      </pivotArea>
    </format>
    <format dxfId="2019">
      <pivotArea collapsedLevelsAreSubtotals="1" fieldPosition="0">
        <references count="3">
          <reference field="2" count="1" selected="0">
            <x v="4"/>
          </reference>
          <reference field="3" count="1" selected="0">
            <x v="12"/>
          </reference>
          <reference field="4" count="1">
            <x v="66"/>
          </reference>
        </references>
      </pivotArea>
    </format>
    <format dxfId="2018">
      <pivotArea collapsedLevelsAreSubtotals="1" fieldPosition="0">
        <references count="3">
          <reference field="2" count="1" selected="0">
            <x v="4"/>
          </reference>
          <reference field="3" count="1" selected="0">
            <x v="12"/>
          </reference>
          <reference field="4" count="1">
            <x v="38"/>
          </reference>
        </references>
      </pivotArea>
    </format>
    <format dxfId="2017">
      <pivotArea collapsedLevelsAreSubtotals="1" fieldPosition="0">
        <references count="4">
          <reference field="2" count="1" selected="0">
            <x v="4"/>
          </reference>
          <reference field="3" count="1" selected="0">
            <x v="12"/>
          </reference>
          <reference field="4" count="1" selected="0">
            <x v="38"/>
          </reference>
          <reference field="5" count="2">
            <x v="84"/>
            <x v="85"/>
          </reference>
        </references>
      </pivotArea>
    </format>
    <format dxfId="2016">
      <pivotArea collapsedLevelsAreSubtotals="1" fieldPosition="0">
        <references count="3">
          <reference field="2" count="1" selected="0">
            <x v="4"/>
          </reference>
          <reference field="3" count="1" selected="0">
            <x v="12"/>
          </reference>
          <reference field="4" count="1">
            <x v="38"/>
          </reference>
        </references>
      </pivotArea>
    </format>
    <format dxfId="2015">
      <pivotArea collapsedLevelsAreSubtotals="1" fieldPosition="0">
        <references count="1">
          <reference field="2" count="1">
            <x v="5"/>
          </reference>
        </references>
      </pivotArea>
    </format>
    <format dxfId="2014">
      <pivotArea collapsedLevelsAreSubtotals="1" fieldPosition="0">
        <references count="2">
          <reference field="2" count="1" selected="0">
            <x v="5"/>
          </reference>
          <reference field="3" count="1">
            <x v="8"/>
          </reference>
        </references>
      </pivotArea>
    </format>
    <format dxfId="2013">
      <pivotArea collapsedLevelsAreSubtotals="1" fieldPosition="0">
        <references count="3">
          <reference field="2" count="1" selected="0">
            <x v="5"/>
          </reference>
          <reference field="3" count="1" selected="0">
            <x v="8"/>
          </reference>
          <reference field="4" count="1">
            <x v="21"/>
          </reference>
        </references>
      </pivotArea>
    </format>
    <format dxfId="2012">
      <pivotArea collapsedLevelsAreSubtotals="1" fieldPosition="0">
        <references count="4">
          <reference field="2" count="1" selected="0">
            <x v="5"/>
          </reference>
          <reference field="3" count="1" selected="0">
            <x v="8"/>
          </reference>
          <reference field="4" count="1" selected="0">
            <x v="21"/>
          </reference>
          <reference field="5" count="2">
            <x v="10"/>
            <x v="11"/>
          </reference>
        </references>
      </pivotArea>
    </format>
    <format dxfId="2011">
      <pivotArea collapsedLevelsAreSubtotals="1" fieldPosition="0">
        <references count="3">
          <reference field="2" count="1" selected="0">
            <x v="5"/>
          </reference>
          <reference field="3" count="1" selected="0">
            <x v="8"/>
          </reference>
          <reference field="4" count="1">
            <x v="21"/>
          </reference>
        </references>
      </pivotArea>
    </format>
    <format dxfId="2010">
      <pivotArea collapsedLevelsAreSubtotals="1" fieldPosition="0">
        <references count="3">
          <reference field="2" count="1" selected="0">
            <x v="5"/>
          </reference>
          <reference field="3" count="1" selected="0">
            <x v="8"/>
          </reference>
          <reference field="4" count="1">
            <x v="22"/>
          </reference>
        </references>
      </pivotArea>
    </format>
    <format dxfId="2009">
      <pivotArea collapsedLevelsAreSubtotals="1" fieldPosition="0">
        <references count="4">
          <reference field="2" count="1" selected="0">
            <x v="5"/>
          </reference>
          <reference field="3" count="1" selected="0">
            <x v="8"/>
          </reference>
          <reference field="4" count="1" selected="0">
            <x v="22"/>
          </reference>
          <reference field="5" count="1">
            <x v="12"/>
          </reference>
        </references>
      </pivotArea>
    </format>
    <format dxfId="2008">
      <pivotArea collapsedLevelsAreSubtotals="1" fieldPosition="0">
        <references count="3">
          <reference field="2" count="1" selected="0">
            <x v="5"/>
          </reference>
          <reference field="3" count="1" selected="0">
            <x v="8"/>
          </reference>
          <reference field="4" count="1">
            <x v="22"/>
          </reference>
        </references>
      </pivotArea>
    </format>
    <format dxfId="2007">
      <pivotArea collapsedLevelsAreSubtotals="1" fieldPosition="0">
        <references count="3">
          <reference field="2" count="1" selected="0">
            <x v="5"/>
          </reference>
          <reference field="3" count="1" selected="0">
            <x v="8"/>
          </reference>
          <reference field="4" count="1">
            <x v="23"/>
          </reference>
        </references>
      </pivotArea>
    </format>
    <format dxfId="2006">
      <pivotArea collapsedLevelsAreSubtotals="1" fieldPosition="0">
        <references count="4">
          <reference field="2" count="1" selected="0">
            <x v="5"/>
          </reference>
          <reference field="3" count="1" selected="0">
            <x v="8"/>
          </reference>
          <reference field="4" count="1" selected="0">
            <x v="23"/>
          </reference>
          <reference field="5" count="1">
            <x v="13"/>
          </reference>
        </references>
      </pivotArea>
    </format>
    <format dxfId="2005">
      <pivotArea collapsedLevelsAreSubtotals="1" fieldPosition="0">
        <references count="3">
          <reference field="2" count="1" selected="0">
            <x v="5"/>
          </reference>
          <reference field="3" count="1" selected="0">
            <x v="8"/>
          </reference>
          <reference field="4" count="1">
            <x v="23"/>
          </reference>
        </references>
      </pivotArea>
    </format>
    <format dxfId="2004">
      <pivotArea collapsedLevelsAreSubtotals="1" fieldPosition="0">
        <references count="3">
          <reference field="2" count="1" selected="0">
            <x v="5"/>
          </reference>
          <reference field="3" count="1" selected="0">
            <x v="8"/>
          </reference>
          <reference field="4" count="1">
            <x v="24"/>
          </reference>
        </references>
      </pivotArea>
    </format>
    <format dxfId="2003">
      <pivotArea collapsedLevelsAreSubtotals="1" fieldPosition="0">
        <references count="4">
          <reference field="2" count="1" selected="0">
            <x v="5"/>
          </reference>
          <reference field="3" count="1" selected="0">
            <x v="8"/>
          </reference>
          <reference field="4" count="1" selected="0">
            <x v="24"/>
          </reference>
          <reference field="5" count="2">
            <x v="35"/>
            <x v="39"/>
          </reference>
        </references>
      </pivotArea>
    </format>
    <format dxfId="2002">
      <pivotArea collapsedLevelsAreSubtotals="1" fieldPosition="0">
        <references count="3">
          <reference field="2" count="1" selected="0">
            <x v="5"/>
          </reference>
          <reference field="3" count="1" selected="0">
            <x v="8"/>
          </reference>
          <reference field="4" count="1">
            <x v="24"/>
          </reference>
        </references>
      </pivotArea>
    </format>
    <format dxfId="2001">
      <pivotArea collapsedLevelsAreSubtotals="1" fieldPosition="0">
        <references count="3">
          <reference field="2" count="1" selected="0">
            <x v="5"/>
          </reference>
          <reference field="3" count="1" selected="0">
            <x v="8"/>
          </reference>
          <reference field="4" count="1">
            <x v="25"/>
          </reference>
        </references>
      </pivotArea>
    </format>
    <format dxfId="2000">
      <pivotArea collapsedLevelsAreSubtotals="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1999">
      <pivotArea collapsedLevelsAreSubtotals="1" fieldPosition="0">
        <references count="3">
          <reference field="2" count="1" selected="0">
            <x v="5"/>
          </reference>
          <reference field="3" count="1" selected="0">
            <x v="8"/>
          </reference>
          <reference field="4" count="1">
            <x v="25"/>
          </reference>
        </references>
      </pivotArea>
    </format>
    <format dxfId="1998">
      <pivotArea collapsedLevelsAreSubtotals="1" fieldPosition="0">
        <references count="2">
          <reference field="2" count="1" selected="0">
            <x v="5"/>
          </reference>
          <reference field="3" count="1">
            <x v="13"/>
          </reference>
        </references>
      </pivotArea>
    </format>
    <format dxfId="1997">
      <pivotArea collapsedLevelsAreSubtotals="1" fieldPosition="0">
        <references count="3">
          <reference field="2" count="1" selected="0">
            <x v="5"/>
          </reference>
          <reference field="3" count="1" selected="0">
            <x v="13"/>
          </reference>
          <reference field="4" count="1">
            <x v="39"/>
          </reference>
        </references>
      </pivotArea>
    </format>
    <format dxfId="1996">
      <pivotArea collapsedLevelsAreSubtotals="1" fieldPosition="0">
        <references count="4">
          <reference field="2" count="1" selected="0">
            <x v="5"/>
          </reference>
          <reference field="3" count="1" selected="0">
            <x v="13"/>
          </reference>
          <reference field="4" count="1" selected="0">
            <x v="39"/>
          </reference>
          <reference field="5" count="5">
            <x v="89"/>
            <x v="90"/>
            <x v="91"/>
            <x v="92"/>
            <x v="93"/>
          </reference>
        </references>
      </pivotArea>
    </format>
    <format dxfId="1995">
      <pivotArea collapsedLevelsAreSubtotals="1" fieldPosition="0">
        <references count="3">
          <reference field="2" count="1" selected="0">
            <x v="5"/>
          </reference>
          <reference field="3" count="1" selected="0">
            <x v="13"/>
          </reference>
          <reference field="4" count="1">
            <x v="39"/>
          </reference>
        </references>
      </pivotArea>
    </format>
    <format dxfId="1994">
      <pivotArea collapsedLevelsAreSubtotals="1" fieldPosition="0">
        <references count="3">
          <reference field="2" count="1" selected="0">
            <x v="5"/>
          </reference>
          <reference field="3" count="1" selected="0">
            <x v="13"/>
          </reference>
          <reference field="4" count="1">
            <x v="40"/>
          </reference>
        </references>
      </pivotArea>
    </format>
    <format dxfId="1993">
      <pivotArea collapsedLevelsAreSubtotals="1" fieldPosition="0">
        <references count="4">
          <reference field="2" count="1" selected="0">
            <x v="5"/>
          </reference>
          <reference field="3" count="1" selected="0">
            <x v="13"/>
          </reference>
          <reference field="4" count="1" selected="0">
            <x v="40"/>
          </reference>
          <reference field="5" count="2">
            <x v="95"/>
            <x v="96"/>
          </reference>
        </references>
      </pivotArea>
    </format>
    <format dxfId="1992">
      <pivotArea collapsedLevelsAreSubtotals="1" fieldPosition="0">
        <references count="3">
          <reference field="2" count="1" selected="0">
            <x v="5"/>
          </reference>
          <reference field="3" count="1" selected="0">
            <x v="13"/>
          </reference>
          <reference field="4" count="1">
            <x v="40"/>
          </reference>
        </references>
      </pivotArea>
    </format>
    <format dxfId="1991">
      <pivotArea collapsedLevelsAreSubtotals="1" fieldPosition="0">
        <references count="3">
          <reference field="2" count="1" selected="0">
            <x v="5"/>
          </reference>
          <reference field="3" count="1" selected="0">
            <x v="13"/>
          </reference>
          <reference field="4" count="1">
            <x v="41"/>
          </reference>
        </references>
      </pivotArea>
    </format>
    <format dxfId="1990">
      <pivotArea collapsedLevelsAreSubtotals="1" fieldPosition="0">
        <references count="4">
          <reference field="2" count="1" selected="0">
            <x v="5"/>
          </reference>
          <reference field="3" count="1" selected="0">
            <x v="13"/>
          </reference>
          <reference field="4" count="1" selected="0">
            <x v="41"/>
          </reference>
          <reference field="5" count="2">
            <x v="97"/>
            <x v="98"/>
          </reference>
        </references>
      </pivotArea>
    </format>
    <format dxfId="1989">
      <pivotArea collapsedLevelsAreSubtotals="1" fieldPosition="0">
        <references count="3">
          <reference field="2" count="1" selected="0">
            <x v="5"/>
          </reference>
          <reference field="3" count="1" selected="0">
            <x v="13"/>
          </reference>
          <reference field="4" count="1">
            <x v="41"/>
          </reference>
        </references>
      </pivotArea>
    </format>
    <format dxfId="1988">
      <pivotArea collapsedLevelsAreSubtotals="1" fieldPosition="0">
        <references count="1">
          <reference field="2" count="1">
            <x v="6"/>
          </reference>
        </references>
      </pivotArea>
    </format>
    <format dxfId="1987">
      <pivotArea collapsedLevelsAreSubtotals="1" fieldPosition="0">
        <references count="2">
          <reference field="2" count="1" selected="0">
            <x v="6"/>
          </reference>
          <reference field="3" count="1">
            <x v="9"/>
          </reference>
        </references>
      </pivotArea>
    </format>
    <format dxfId="1986">
      <pivotArea collapsedLevelsAreSubtotals="1" fieldPosition="0">
        <references count="3">
          <reference field="2" count="1" selected="0">
            <x v="6"/>
          </reference>
          <reference field="3" count="1" selected="0">
            <x v="9"/>
          </reference>
          <reference field="4" count="1">
            <x v="26"/>
          </reference>
        </references>
      </pivotArea>
    </format>
    <format dxfId="1985">
      <pivotArea collapsedLevelsAreSubtotals="1" fieldPosition="0">
        <references count="4">
          <reference field="2" count="1" selected="0">
            <x v="6"/>
          </reference>
          <reference field="3" count="1" selected="0">
            <x v="9"/>
          </reference>
          <reference field="4" count="1" selected="0">
            <x v="26"/>
          </reference>
          <reference field="5" count="1">
            <x v="73"/>
          </reference>
        </references>
      </pivotArea>
    </format>
    <format dxfId="1984">
      <pivotArea collapsedLevelsAreSubtotals="1" fieldPosition="0">
        <references count="3">
          <reference field="2" count="1" selected="0">
            <x v="6"/>
          </reference>
          <reference field="3" count="1" selected="0">
            <x v="9"/>
          </reference>
          <reference field="4" count="1">
            <x v="26"/>
          </reference>
        </references>
      </pivotArea>
    </format>
    <format dxfId="1983">
      <pivotArea collapsedLevelsAreSubtotals="1" fieldPosition="0">
        <references count="3">
          <reference field="2" count="1" selected="0">
            <x v="6"/>
          </reference>
          <reference field="3" count="1" selected="0">
            <x v="9"/>
          </reference>
          <reference field="4" count="1">
            <x v="27"/>
          </reference>
        </references>
      </pivotArea>
    </format>
    <format dxfId="1982">
      <pivotArea collapsedLevelsAreSubtotals="1" fieldPosition="0">
        <references count="3">
          <reference field="2" count="1" selected="0">
            <x v="6"/>
          </reference>
          <reference field="3" count="1" selected="0">
            <x v="9"/>
          </reference>
          <reference field="4" count="1">
            <x v="27"/>
          </reference>
        </references>
      </pivotArea>
    </format>
    <format dxfId="1981">
      <pivotArea collapsedLevelsAreSubtotals="1" fieldPosition="0">
        <references count="3">
          <reference field="2" count="1" selected="0">
            <x v="6"/>
          </reference>
          <reference field="3" count="1" selected="0">
            <x v="9"/>
          </reference>
          <reference field="4" count="1">
            <x v="28"/>
          </reference>
        </references>
      </pivotArea>
    </format>
    <format dxfId="1980">
      <pivotArea collapsedLevelsAreSubtotals="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1979">
      <pivotArea collapsedLevelsAreSubtotals="1" fieldPosition="0">
        <references count="3">
          <reference field="2" count="1" selected="0">
            <x v="6"/>
          </reference>
          <reference field="3" count="1" selected="0">
            <x v="9"/>
          </reference>
          <reference field="4" count="1">
            <x v="28"/>
          </reference>
        </references>
      </pivotArea>
    </format>
    <format dxfId="1978">
      <pivotArea collapsedLevelsAreSubtotals="1" fieldPosition="0">
        <references count="3">
          <reference field="2" count="1" selected="0">
            <x v="6"/>
          </reference>
          <reference field="3" count="1" selected="0">
            <x v="9"/>
          </reference>
          <reference field="4" count="1">
            <x v="29"/>
          </reference>
        </references>
      </pivotArea>
    </format>
    <format dxfId="1977">
      <pivotArea collapsedLevelsAreSubtotals="1" fieldPosition="0">
        <references count="4">
          <reference field="2" count="1" selected="0">
            <x v="6"/>
          </reference>
          <reference field="3" count="1" selected="0">
            <x v="9"/>
          </reference>
          <reference field="4" count="1" selected="0">
            <x v="29"/>
          </reference>
          <reference field="5" count="1">
            <x v="32"/>
          </reference>
        </references>
      </pivotArea>
    </format>
    <format dxfId="1976">
      <pivotArea collapsedLevelsAreSubtotals="1" fieldPosition="0">
        <references count="3">
          <reference field="2" count="1" selected="0">
            <x v="6"/>
          </reference>
          <reference field="3" count="1" selected="0">
            <x v="9"/>
          </reference>
          <reference field="4" count="1">
            <x v="29"/>
          </reference>
        </references>
      </pivotArea>
    </format>
    <format dxfId="1975">
      <pivotArea collapsedLevelsAreSubtotals="1" fieldPosition="0">
        <references count="2">
          <reference field="2" count="1" selected="0">
            <x v="6"/>
          </reference>
          <reference field="3" count="1">
            <x v="10"/>
          </reference>
        </references>
      </pivotArea>
    </format>
    <format dxfId="1974">
      <pivotArea collapsedLevelsAreSubtotals="1" fieldPosition="0">
        <references count="3">
          <reference field="2" count="1" selected="0">
            <x v="6"/>
          </reference>
          <reference field="3" count="1" selected="0">
            <x v="10"/>
          </reference>
          <reference field="4" count="1">
            <x v="42"/>
          </reference>
        </references>
      </pivotArea>
    </format>
    <format dxfId="1973">
      <pivotArea collapsedLevelsAreSubtotals="1" fieldPosition="0">
        <references count="4">
          <reference field="2" count="1" selected="0">
            <x v="6"/>
          </reference>
          <reference field="3" count="1" selected="0">
            <x v="10"/>
          </reference>
          <reference field="4" count="1" selected="0">
            <x v="42"/>
          </reference>
          <reference field="5" count="1">
            <x v="99"/>
          </reference>
        </references>
      </pivotArea>
    </format>
    <format dxfId="1972">
      <pivotArea collapsedLevelsAreSubtotals="1" fieldPosition="0">
        <references count="3">
          <reference field="2" count="1" selected="0">
            <x v="6"/>
          </reference>
          <reference field="3" count="1" selected="0">
            <x v="10"/>
          </reference>
          <reference field="4" count="1">
            <x v="42"/>
          </reference>
        </references>
      </pivotArea>
    </format>
    <format dxfId="1971">
      <pivotArea collapsedLevelsAreSubtotals="1" fieldPosition="0">
        <references count="3">
          <reference field="2" count="1" selected="0">
            <x v="6"/>
          </reference>
          <reference field="3" count="1" selected="0">
            <x v="10"/>
          </reference>
          <reference field="4" count="1">
            <x v="43"/>
          </reference>
        </references>
      </pivotArea>
    </format>
    <format dxfId="1970">
      <pivotArea collapsedLevelsAreSubtotals="1" fieldPosition="0">
        <references count="4">
          <reference field="2" count="1" selected="0">
            <x v="6"/>
          </reference>
          <reference field="3" count="1" selected="0">
            <x v="10"/>
          </reference>
          <reference field="4" count="1" selected="0">
            <x v="43"/>
          </reference>
          <reference field="5" count="1">
            <x v="103"/>
          </reference>
        </references>
      </pivotArea>
    </format>
    <format dxfId="1969">
      <pivotArea collapsedLevelsAreSubtotals="1" fieldPosition="0">
        <references count="3">
          <reference field="2" count="1" selected="0">
            <x v="6"/>
          </reference>
          <reference field="3" count="1" selected="0">
            <x v="10"/>
          </reference>
          <reference field="4" count="1">
            <x v="43"/>
          </reference>
        </references>
      </pivotArea>
    </format>
    <format dxfId="1968">
      <pivotArea collapsedLevelsAreSubtotals="1" fieldPosition="0">
        <references count="3">
          <reference field="2" count="1" selected="0">
            <x v="6"/>
          </reference>
          <reference field="3" count="1" selected="0">
            <x v="10"/>
          </reference>
          <reference field="4" count="1">
            <x v="44"/>
          </reference>
        </references>
      </pivotArea>
    </format>
    <format dxfId="1967">
      <pivotArea collapsedLevelsAreSubtotals="1" fieldPosition="0">
        <references count="4">
          <reference field="2" count="1" selected="0">
            <x v="6"/>
          </reference>
          <reference field="3" count="1" selected="0">
            <x v="10"/>
          </reference>
          <reference field="4" count="1" selected="0">
            <x v="44"/>
          </reference>
          <reference field="5" count="1">
            <x v="100"/>
          </reference>
        </references>
      </pivotArea>
    </format>
    <format dxfId="1966">
      <pivotArea collapsedLevelsAreSubtotals="1" fieldPosition="0">
        <references count="3">
          <reference field="2" count="1" selected="0">
            <x v="6"/>
          </reference>
          <reference field="3" count="1" selected="0">
            <x v="10"/>
          </reference>
          <reference field="4" count="1">
            <x v="44"/>
          </reference>
        </references>
      </pivotArea>
    </format>
    <format dxfId="1965">
      <pivotArea collapsedLevelsAreSubtotals="1" fieldPosition="0">
        <references count="3">
          <reference field="2" count="1" selected="0">
            <x v="6"/>
          </reference>
          <reference field="3" count="1" selected="0">
            <x v="10"/>
          </reference>
          <reference field="4" count="1">
            <x v="45"/>
          </reference>
        </references>
      </pivotArea>
    </format>
    <format dxfId="1964">
      <pivotArea collapsedLevelsAreSubtotals="1" fieldPosition="0">
        <references count="4">
          <reference field="2" count="1" selected="0">
            <x v="6"/>
          </reference>
          <reference field="3" count="1" selected="0">
            <x v="10"/>
          </reference>
          <reference field="4" count="1" selected="0">
            <x v="45"/>
          </reference>
          <reference field="5" count="2">
            <x v="101"/>
            <x v="102"/>
          </reference>
        </references>
      </pivotArea>
    </format>
    <format dxfId="1963">
      <pivotArea collapsedLevelsAreSubtotals="1" fieldPosition="0">
        <references count="3">
          <reference field="2" count="1" selected="0">
            <x v="6"/>
          </reference>
          <reference field="3" count="1" selected="0">
            <x v="10"/>
          </reference>
          <reference field="4" count="1">
            <x v="45"/>
          </reference>
        </references>
      </pivotArea>
    </format>
    <format dxfId="1962">
      <pivotArea collapsedLevelsAreSubtotals="1" fieldPosition="0">
        <references count="3">
          <reference field="2" count="1" selected="0">
            <x v="6"/>
          </reference>
          <reference field="3" count="1" selected="0">
            <x v="10"/>
          </reference>
          <reference field="4" count="1">
            <x v="63"/>
          </reference>
        </references>
      </pivotArea>
    </format>
    <format dxfId="1961">
      <pivotArea collapsedLevelsAreSubtotals="1" fieldPosition="0">
        <references count="4">
          <reference field="2" count="1" selected="0">
            <x v="6"/>
          </reference>
          <reference field="3" count="1" selected="0">
            <x v="10"/>
          </reference>
          <reference field="4" count="1" selected="0">
            <x v="63"/>
          </reference>
          <reference field="5" count="1">
            <x v="104"/>
          </reference>
        </references>
      </pivotArea>
    </format>
    <format dxfId="1960">
      <pivotArea collapsedLevelsAreSubtotals="1" fieldPosition="0">
        <references count="3">
          <reference field="2" count="1" selected="0">
            <x v="6"/>
          </reference>
          <reference field="3" count="1" selected="0">
            <x v="10"/>
          </reference>
          <reference field="4" count="1">
            <x v="63"/>
          </reference>
        </references>
      </pivotArea>
    </format>
    <format dxfId="1959">
      <pivotArea collapsedLevelsAreSubtotals="1" fieldPosition="0">
        <references count="3">
          <reference field="2" count="1" selected="0">
            <x v="6"/>
          </reference>
          <reference field="3" count="1" selected="0">
            <x v="10"/>
          </reference>
          <reference field="4" count="1">
            <x v="64"/>
          </reference>
        </references>
      </pivotArea>
    </format>
    <format dxfId="1958">
      <pivotArea collapsedLevelsAreSubtotals="1" fieldPosition="0">
        <references count="4">
          <reference field="2" count="1" selected="0">
            <x v="6"/>
          </reference>
          <reference field="3" count="1" selected="0">
            <x v="10"/>
          </reference>
          <reference field="4" count="1" selected="0">
            <x v="64"/>
          </reference>
          <reference field="5" count="1">
            <x v="105"/>
          </reference>
        </references>
      </pivotArea>
    </format>
    <format dxfId="1957">
      <pivotArea collapsedLevelsAreSubtotals="1" fieldPosition="0">
        <references count="3">
          <reference field="2" count="1" selected="0">
            <x v="6"/>
          </reference>
          <reference field="3" count="1" selected="0">
            <x v="10"/>
          </reference>
          <reference field="4" count="1">
            <x v="64"/>
          </reference>
        </references>
      </pivotArea>
    </format>
    <format dxfId="1956">
      <pivotArea collapsedLevelsAreSubtotals="1" fieldPosition="0">
        <references count="3">
          <reference field="2" count="1" selected="0">
            <x v="6"/>
          </reference>
          <reference field="3" count="1" selected="0">
            <x v="10"/>
          </reference>
          <reference field="4" count="1">
            <x v="65"/>
          </reference>
        </references>
      </pivotArea>
    </format>
    <format dxfId="1955">
      <pivotArea collapsedLevelsAreSubtotals="1" fieldPosition="0">
        <references count="4">
          <reference field="2" count="1" selected="0">
            <x v="6"/>
          </reference>
          <reference field="3" count="1" selected="0">
            <x v="10"/>
          </reference>
          <reference field="4" count="1" selected="0">
            <x v="65"/>
          </reference>
          <reference field="5" count="1">
            <x v="41"/>
          </reference>
        </references>
      </pivotArea>
    </format>
    <format dxfId="1954">
      <pivotArea collapsedLevelsAreSubtotals="1" fieldPosition="0">
        <references count="3">
          <reference field="2" count="1" selected="0">
            <x v="6"/>
          </reference>
          <reference field="3" count="1" selected="0">
            <x v="10"/>
          </reference>
          <reference field="4" count="1">
            <x v="65"/>
          </reference>
        </references>
      </pivotArea>
    </format>
    <format dxfId="1953">
      <pivotArea collapsedLevelsAreSubtotals="1" fieldPosition="0">
        <references count="2">
          <reference field="2" count="1" selected="0">
            <x v="6"/>
          </reference>
          <reference field="3" count="1">
            <x v="14"/>
          </reference>
        </references>
      </pivotArea>
    </format>
    <format dxfId="1952">
      <pivotArea collapsedLevelsAreSubtotals="1" fieldPosition="0">
        <references count="3">
          <reference field="2" count="1" selected="0">
            <x v="6"/>
          </reference>
          <reference field="3" count="1" selected="0">
            <x v="14"/>
          </reference>
          <reference field="4" count="1">
            <x v="46"/>
          </reference>
        </references>
      </pivotArea>
    </format>
    <format dxfId="1951">
      <pivotArea collapsedLevelsAreSubtotals="1" fieldPosition="0">
        <references count="3">
          <reference field="2" count="1" selected="0">
            <x v="6"/>
          </reference>
          <reference field="3" count="1" selected="0">
            <x v="14"/>
          </reference>
          <reference field="4" count="1">
            <x v="46"/>
          </reference>
        </references>
      </pivotArea>
    </format>
    <format dxfId="1950">
      <pivotArea collapsedLevelsAreSubtotals="1" fieldPosition="0">
        <references count="3">
          <reference field="2" count="1" selected="0">
            <x v="6"/>
          </reference>
          <reference field="3" count="1" selected="0">
            <x v="14"/>
          </reference>
          <reference field="4" count="1">
            <x v="47"/>
          </reference>
        </references>
      </pivotArea>
    </format>
    <format dxfId="1949">
      <pivotArea collapsedLevelsAreSubtotals="1" fieldPosition="0">
        <references count="4">
          <reference field="2" count="1" selected="0">
            <x v="6"/>
          </reference>
          <reference field="3" count="1" selected="0">
            <x v="14"/>
          </reference>
          <reference field="4" count="1" selected="0">
            <x v="47"/>
          </reference>
          <reference field="5" count="1">
            <x v="106"/>
          </reference>
        </references>
      </pivotArea>
    </format>
    <format dxfId="1948">
      <pivotArea collapsedLevelsAreSubtotals="1" fieldPosition="0">
        <references count="3">
          <reference field="2" count="1" selected="0">
            <x v="6"/>
          </reference>
          <reference field="3" count="1" selected="0">
            <x v="14"/>
          </reference>
          <reference field="4" count="1">
            <x v="47"/>
          </reference>
        </references>
      </pivotArea>
    </format>
    <format dxfId="1947">
      <pivotArea collapsedLevelsAreSubtotals="1" fieldPosition="0">
        <references count="3">
          <reference field="2" count="1" selected="0">
            <x v="6"/>
          </reference>
          <reference field="3" count="1" selected="0">
            <x v="14"/>
          </reference>
          <reference field="4" count="1">
            <x v="48"/>
          </reference>
        </references>
      </pivotArea>
    </format>
    <format dxfId="1946">
      <pivotArea collapsedLevelsAreSubtotals="1" fieldPosition="0">
        <references count="4">
          <reference field="2" count="1" selected="0">
            <x v="6"/>
          </reference>
          <reference field="3" count="1" selected="0">
            <x v="14"/>
          </reference>
          <reference field="4" count="1" selected="0">
            <x v="48"/>
          </reference>
          <reference field="5" count="1">
            <x v="107"/>
          </reference>
        </references>
      </pivotArea>
    </format>
    <format dxfId="1945">
      <pivotArea collapsedLevelsAreSubtotals="1" fieldPosition="0">
        <references count="3">
          <reference field="2" count="1" selected="0">
            <x v="6"/>
          </reference>
          <reference field="3" count="1" selected="0">
            <x v="14"/>
          </reference>
          <reference field="4" count="1">
            <x v="48"/>
          </reference>
        </references>
      </pivotArea>
    </format>
    <format dxfId="1944">
      <pivotArea collapsedLevelsAreSubtotals="1" fieldPosition="0">
        <references count="3">
          <reference field="2" count="1" selected="0">
            <x v="6"/>
          </reference>
          <reference field="3" count="1" selected="0">
            <x v="14"/>
          </reference>
          <reference field="4" count="1">
            <x v="50"/>
          </reference>
        </references>
      </pivotArea>
    </format>
    <format dxfId="1943">
      <pivotArea collapsedLevelsAreSubtotals="1" fieldPosition="0">
        <references count="4">
          <reference field="2" count="1" selected="0">
            <x v="6"/>
          </reference>
          <reference field="3" count="1" selected="0">
            <x v="14"/>
          </reference>
          <reference field="4" count="1" selected="0">
            <x v="50"/>
          </reference>
          <reference field="5" count="2">
            <x v="108"/>
            <x v="109"/>
          </reference>
        </references>
      </pivotArea>
    </format>
    <format dxfId="1942">
      <pivotArea collapsedLevelsAreSubtotals="1" fieldPosition="0">
        <references count="3">
          <reference field="2" count="1" selected="0">
            <x v="6"/>
          </reference>
          <reference field="3" count="1" selected="0">
            <x v="14"/>
          </reference>
          <reference field="4" count="1">
            <x v="50"/>
          </reference>
        </references>
      </pivotArea>
    </format>
    <format dxfId="1941">
      <pivotArea collapsedLevelsAreSubtotals="1" fieldPosition="0">
        <references count="3">
          <reference field="2" count="1" selected="0">
            <x v="6"/>
          </reference>
          <reference field="3" count="1" selected="0">
            <x v="14"/>
          </reference>
          <reference field="4" count="1">
            <x v="51"/>
          </reference>
        </references>
      </pivotArea>
    </format>
    <format dxfId="1940">
      <pivotArea collapsedLevelsAreSubtotals="1" fieldPosition="0">
        <references count="4">
          <reference field="2" count="1" selected="0">
            <x v="6"/>
          </reference>
          <reference field="3" count="1" selected="0">
            <x v="14"/>
          </reference>
          <reference field="4" count="1" selected="0">
            <x v="51"/>
          </reference>
          <reference field="5" count="1">
            <x v="110"/>
          </reference>
        </references>
      </pivotArea>
    </format>
    <format dxfId="1939">
      <pivotArea collapsedLevelsAreSubtotals="1" fieldPosition="0">
        <references count="3">
          <reference field="2" count="1" selected="0">
            <x v="6"/>
          </reference>
          <reference field="3" count="1" selected="0">
            <x v="14"/>
          </reference>
          <reference field="4" count="1">
            <x v="51"/>
          </reference>
        </references>
      </pivotArea>
    </format>
    <format dxfId="1938">
      <pivotArea collapsedLevelsAreSubtotals="1" fieldPosition="0">
        <references count="2">
          <reference field="2" count="1" selected="0">
            <x v="6"/>
          </reference>
          <reference field="3" count="1">
            <x v="15"/>
          </reference>
        </references>
      </pivotArea>
    </format>
    <format dxfId="1937">
      <pivotArea collapsedLevelsAreSubtotals="1" fieldPosition="0">
        <references count="3">
          <reference field="2" count="1" selected="0">
            <x v="6"/>
          </reference>
          <reference field="3" count="1" selected="0">
            <x v="15"/>
          </reference>
          <reference field="4" count="1">
            <x v="52"/>
          </reference>
        </references>
      </pivotArea>
    </format>
    <format dxfId="1936">
      <pivotArea collapsedLevelsAreSubtotals="1" fieldPosition="0">
        <references count="4">
          <reference field="2" count="1" selected="0">
            <x v="6"/>
          </reference>
          <reference field="3" count="1" selected="0">
            <x v="15"/>
          </reference>
          <reference field="4" count="1" selected="0">
            <x v="52"/>
          </reference>
          <reference field="5" count="1">
            <x v="111"/>
          </reference>
        </references>
      </pivotArea>
    </format>
    <format dxfId="1935">
      <pivotArea collapsedLevelsAreSubtotals="1" fieldPosition="0">
        <references count="3">
          <reference field="2" count="1" selected="0">
            <x v="6"/>
          </reference>
          <reference field="3" count="1" selected="0">
            <x v="15"/>
          </reference>
          <reference field="4" count="1">
            <x v="52"/>
          </reference>
        </references>
      </pivotArea>
    </format>
    <format dxfId="1934">
      <pivotArea collapsedLevelsAreSubtotals="1" fieldPosition="0">
        <references count="3">
          <reference field="2" count="1" selected="0">
            <x v="6"/>
          </reference>
          <reference field="3" count="1" selected="0">
            <x v="15"/>
          </reference>
          <reference field="4" count="1">
            <x v="53"/>
          </reference>
        </references>
      </pivotArea>
    </format>
    <format dxfId="1933">
      <pivotArea collapsedLevelsAreSubtotals="1" fieldPosition="0">
        <references count="3">
          <reference field="2" count="1" selected="0">
            <x v="6"/>
          </reference>
          <reference field="3" count="1" selected="0">
            <x v="15"/>
          </reference>
          <reference field="4" count="1">
            <x v="53"/>
          </reference>
        </references>
      </pivotArea>
    </format>
    <format dxfId="1932">
      <pivotArea collapsedLevelsAreSubtotals="1" fieldPosition="0">
        <references count="3">
          <reference field="2" count="1" selected="0">
            <x v="6"/>
          </reference>
          <reference field="3" count="1" selected="0">
            <x v="15"/>
          </reference>
          <reference field="4" count="1">
            <x v="54"/>
          </reference>
        </references>
      </pivotArea>
    </format>
    <format dxfId="1931">
      <pivotArea collapsedLevelsAreSubtotals="1" fieldPosition="0">
        <references count="4">
          <reference field="2" count="1" selected="0">
            <x v="6"/>
          </reference>
          <reference field="3" count="1" selected="0">
            <x v="15"/>
          </reference>
          <reference field="4" count="1" selected="0">
            <x v="54"/>
          </reference>
          <reference field="5" count="1">
            <x v="116"/>
          </reference>
        </references>
      </pivotArea>
    </format>
    <format dxfId="1930">
      <pivotArea collapsedLevelsAreSubtotals="1" fieldPosition="0">
        <references count="3">
          <reference field="2" count="1" selected="0">
            <x v="6"/>
          </reference>
          <reference field="3" count="1" selected="0">
            <x v="15"/>
          </reference>
          <reference field="4" count="1">
            <x v="54"/>
          </reference>
        </references>
      </pivotArea>
    </format>
    <format dxfId="1929">
      <pivotArea collapsedLevelsAreSubtotals="1" fieldPosition="0">
        <references count="3">
          <reference field="2" count="1" selected="0">
            <x v="6"/>
          </reference>
          <reference field="3" count="1" selected="0">
            <x v="15"/>
          </reference>
          <reference field="4" count="1">
            <x v="55"/>
          </reference>
        </references>
      </pivotArea>
    </format>
    <format dxfId="1928">
      <pivotArea collapsedLevelsAreSubtotals="1" fieldPosition="0">
        <references count="4">
          <reference field="2" count="1" selected="0">
            <x v="6"/>
          </reference>
          <reference field="3" count="1" selected="0">
            <x v="15"/>
          </reference>
          <reference field="4" count="1" selected="0">
            <x v="55"/>
          </reference>
          <reference field="5" count="4">
            <x v="112"/>
            <x v="113"/>
            <x v="114"/>
            <x v="115"/>
          </reference>
        </references>
      </pivotArea>
    </format>
    <format dxfId="1927">
      <pivotArea collapsedLevelsAreSubtotals="1" fieldPosition="0">
        <references count="3">
          <reference field="2" count="1" selected="0">
            <x v="6"/>
          </reference>
          <reference field="3" count="1" selected="0">
            <x v="15"/>
          </reference>
          <reference field="4" count="1">
            <x v="55"/>
          </reference>
        </references>
      </pivotArea>
    </format>
    <format dxfId="1926">
      <pivotArea collapsedLevelsAreSubtotals="1" fieldPosition="0">
        <references count="2">
          <reference field="2" count="1" selected="0">
            <x v="6"/>
          </reference>
          <reference field="3" count="1">
            <x v="16"/>
          </reference>
        </references>
      </pivotArea>
    </format>
    <format dxfId="1925">
      <pivotArea collapsedLevelsAreSubtotals="1" fieldPosition="0">
        <references count="3">
          <reference field="2" count="1" selected="0">
            <x v="6"/>
          </reference>
          <reference field="3" count="1" selected="0">
            <x v="16"/>
          </reference>
          <reference field="4" count="1">
            <x v="56"/>
          </reference>
        </references>
      </pivotArea>
    </format>
    <format dxfId="1924">
      <pivotArea collapsedLevelsAreSubtotals="1" fieldPosition="0">
        <references count="4">
          <reference field="2" count="1" selected="0">
            <x v="6"/>
          </reference>
          <reference field="3" count="1" selected="0">
            <x v="16"/>
          </reference>
          <reference field="4" count="1" selected="0">
            <x v="56"/>
          </reference>
          <reference field="5" count="1">
            <x v="117"/>
          </reference>
        </references>
      </pivotArea>
    </format>
    <format dxfId="1923">
      <pivotArea collapsedLevelsAreSubtotals="1" fieldPosition="0">
        <references count="3">
          <reference field="2" count="1" selected="0">
            <x v="6"/>
          </reference>
          <reference field="3" count="1" selected="0">
            <x v="16"/>
          </reference>
          <reference field="4" count="1">
            <x v="56"/>
          </reference>
        </references>
      </pivotArea>
    </format>
    <format dxfId="1922">
      <pivotArea collapsedLevelsAreSubtotals="1" fieldPosition="0">
        <references count="3">
          <reference field="2" count="1" selected="0">
            <x v="6"/>
          </reference>
          <reference field="3" count="1" selected="0">
            <x v="16"/>
          </reference>
          <reference field="4" count="1">
            <x v="57"/>
          </reference>
        </references>
      </pivotArea>
    </format>
    <format dxfId="1921">
      <pivotArea collapsedLevelsAreSubtotals="1" fieldPosition="0">
        <references count="4">
          <reference field="2" count="1" selected="0">
            <x v="6"/>
          </reference>
          <reference field="3" count="1" selected="0">
            <x v="16"/>
          </reference>
          <reference field="4" count="1" selected="0">
            <x v="57"/>
          </reference>
          <reference field="5" count="1">
            <x v="133"/>
          </reference>
        </references>
      </pivotArea>
    </format>
    <format dxfId="1920">
      <pivotArea collapsedLevelsAreSubtotals="1" fieldPosition="0">
        <references count="3">
          <reference field="2" count="1" selected="0">
            <x v="6"/>
          </reference>
          <reference field="3" count="1" selected="0">
            <x v="16"/>
          </reference>
          <reference field="4" count="1">
            <x v="57"/>
          </reference>
        </references>
      </pivotArea>
    </format>
    <format dxfId="1919">
      <pivotArea collapsedLevelsAreSubtotals="1" fieldPosition="0">
        <references count="3">
          <reference field="2" count="1" selected="0">
            <x v="6"/>
          </reference>
          <reference field="3" count="1" selected="0">
            <x v="16"/>
          </reference>
          <reference field="4" count="1">
            <x v="58"/>
          </reference>
        </references>
      </pivotArea>
    </format>
    <format dxfId="1918">
      <pivotArea collapsedLevelsAreSubtotals="1" fieldPosition="0">
        <references count="4">
          <reference field="2" count="1" selected="0">
            <x v="6"/>
          </reference>
          <reference field="3" count="1" selected="0">
            <x v="16"/>
          </reference>
          <reference field="4" count="1" selected="0">
            <x v="58"/>
          </reference>
          <reference field="5" count="1">
            <x v="118"/>
          </reference>
        </references>
      </pivotArea>
    </format>
    <format dxfId="1917">
      <pivotArea collapsedLevelsAreSubtotals="1" fieldPosition="0">
        <references count="3">
          <reference field="2" count="1" selected="0">
            <x v="6"/>
          </reference>
          <reference field="3" count="1" selected="0">
            <x v="16"/>
          </reference>
          <reference field="4" count="1">
            <x v="58"/>
          </reference>
        </references>
      </pivotArea>
    </format>
    <format dxfId="1916">
      <pivotArea collapsedLevelsAreSubtotals="1" fieldPosition="0">
        <references count="2">
          <reference field="2" count="1" selected="0">
            <x v="6"/>
          </reference>
          <reference field="3" count="1">
            <x v="17"/>
          </reference>
        </references>
      </pivotArea>
    </format>
    <format dxfId="1915">
      <pivotArea collapsedLevelsAreSubtotals="1" fieldPosition="0">
        <references count="3">
          <reference field="2" count="1" selected="0">
            <x v="6"/>
          </reference>
          <reference field="3" count="1" selected="0">
            <x v="17"/>
          </reference>
          <reference field="4" count="1">
            <x v="59"/>
          </reference>
        </references>
      </pivotArea>
    </format>
    <format dxfId="1914">
      <pivotArea collapsedLevelsAreSubtotals="1" fieldPosition="0">
        <references count="4">
          <reference field="2" count="1" selected="0">
            <x v="6"/>
          </reference>
          <reference field="3" count="1" selected="0">
            <x v="17"/>
          </reference>
          <reference field="4" count="1" selected="0">
            <x v="59"/>
          </reference>
          <reference field="5" count="2">
            <x v="119"/>
            <x v="120"/>
          </reference>
        </references>
      </pivotArea>
    </format>
    <format dxfId="1913">
      <pivotArea collapsedLevelsAreSubtotals="1" fieldPosition="0">
        <references count="3">
          <reference field="2" count="1" selected="0">
            <x v="6"/>
          </reference>
          <reference field="3" count="1" selected="0">
            <x v="17"/>
          </reference>
          <reference field="4" count="1">
            <x v="59"/>
          </reference>
        </references>
      </pivotArea>
    </format>
    <format dxfId="1912">
      <pivotArea collapsedLevelsAreSubtotals="1" fieldPosition="0">
        <references count="3">
          <reference field="2" count="1" selected="0">
            <x v="6"/>
          </reference>
          <reference field="3" count="1" selected="0">
            <x v="17"/>
          </reference>
          <reference field="4" count="1">
            <x v="60"/>
          </reference>
        </references>
      </pivotArea>
    </format>
    <format dxfId="1911">
      <pivotArea collapsedLevelsAreSubtotals="1" fieldPosition="0">
        <references count="4">
          <reference field="2" count="1" selected="0">
            <x v="6"/>
          </reference>
          <reference field="3" count="1" selected="0">
            <x v="17"/>
          </reference>
          <reference field="4" count="1" selected="0">
            <x v="60"/>
          </reference>
          <reference field="5" count="1">
            <x v="121"/>
          </reference>
        </references>
      </pivotArea>
    </format>
    <format dxfId="1910">
      <pivotArea collapsedLevelsAreSubtotals="1" fieldPosition="0">
        <references count="3">
          <reference field="2" count="1" selected="0">
            <x v="6"/>
          </reference>
          <reference field="3" count="1" selected="0">
            <x v="17"/>
          </reference>
          <reference field="4" count="1">
            <x v="60"/>
          </reference>
        </references>
      </pivotArea>
    </format>
    <format dxfId="1909">
      <pivotArea collapsedLevelsAreSubtotals="1" fieldPosition="0">
        <references count="3">
          <reference field="2" count="1" selected="0">
            <x v="6"/>
          </reference>
          <reference field="3" count="1" selected="0">
            <x v="17"/>
          </reference>
          <reference field="4" count="1">
            <x v="61"/>
          </reference>
        </references>
      </pivotArea>
    </format>
    <format dxfId="1908">
      <pivotArea collapsedLevelsAreSubtotals="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1907">
      <pivotArea collapsedLevelsAreSubtotals="1" fieldPosition="0">
        <references count="3">
          <reference field="2" count="1" selected="0">
            <x v="6"/>
          </reference>
          <reference field="3" count="1" selected="0">
            <x v="17"/>
          </reference>
          <reference field="4" count="1">
            <x v="61"/>
          </reference>
        </references>
      </pivotArea>
    </format>
    <format dxfId="1906">
      <pivotArea collapsedLevelsAreSubtotals="1" fieldPosition="0">
        <references count="1">
          <reference field="2" count="1">
            <x v="7"/>
          </reference>
        </references>
      </pivotArea>
    </format>
    <format dxfId="1905">
      <pivotArea collapsedLevelsAreSubtotals="1" fieldPosition="0">
        <references count="2">
          <reference field="2" count="1" selected="0">
            <x v="7"/>
          </reference>
          <reference field="3" count="1">
            <x v="18"/>
          </reference>
        </references>
      </pivotArea>
    </format>
    <format dxfId="1904">
      <pivotArea collapsedLevelsAreSubtotals="1" fieldPosition="0">
        <references count="3">
          <reference field="2" count="1" selected="0">
            <x v="7"/>
          </reference>
          <reference field="3" count="1" selected="0">
            <x v="18"/>
          </reference>
          <reference field="4" count="1">
            <x v="62"/>
          </reference>
        </references>
      </pivotArea>
    </format>
    <format dxfId="1903">
      <pivotArea collapsedLevelsAreSubtotals="1" fieldPosition="0">
        <references count="3">
          <reference field="2" count="1" selected="0">
            <x v="7"/>
          </reference>
          <reference field="3" count="1" selected="0">
            <x v="18"/>
          </reference>
          <reference field="4" count="1">
            <x v="62"/>
          </reference>
        </references>
      </pivotArea>
    </format>
    <format dxfId="1902">
      <pivotArea grandRow="1" outline="0" collapsedLevelsAreSubtotals="1" fieldPosition="0"/>
    </format>
    <format dxfId="1901">
      <pivotArea collapsedLevelsAreSubtotals="1" fieldPosition="0">
        <references count="4">
          <reference field="2" count="1" selected="0">
            <x v="4"/>
          </reference>
          <reference field="3" count="1" selected="0">
            <x v="12"/>
          </reference>
          <reference field="4" count="1" selected="0">
            <x v="38"/>
          </reference>
          <reference field="5" count="2">
            <x v="84"/>
            <x v="85"/>
          </reference>
        </references>
      </pivotArea>
    </format>
    <format dxfId="1900">
      <pivotArea collapsedLevelsAreSubtotals="1" fieldPosition="0">
        <references count="4">
          <reference field="2" count="1" selected="0">
            <x v="4"/>
          </reference>
          <reference field="3" count="1" selected="0">
            <x v="12"/>
          </reference>
          <reference field="4" count="1" selected="0">
            <x v="66"/>
          </reference>
          <reference field="5" count="3">
            <x v="86"/>
            <x v="87"/>
            <x v="88"/>
          </reference>
        </references>
      </pivotArea>
    </format>
    <format dxfId="1899">
      <pivotArea dataOnly="0" labelOnly="1" fieldPosition="0">
        <references count="1">
          <reference field="2" count="0"/>
        </references>
      </pivotArea>
    </format>
    <format dxfId="1898">
      <pivotArea dataOnly="0" labelOnly="1" fieldPosition="0">
        <references count="2">
          <reference field="2" count="1" selected="0">
            <x v="0"/>
          </reference>
          <reference field="3" count="1">
            <x v="0"/>
          </reference>
        </references>
      </pivotArea>
    </format>
    <format dxfId="1897">
      <pivotArea dataOnly="0" labelOnly="1" fieldPosition="0">
        <references count="2">
          <reference field="2" count="1" selected="0">
            <x v="2"/>
          </reference>
          <reference field="3" count="3">
            <x v="2"/>
            <x v="3"/>
            <x v="4"/>
          </reference>
        </references>
      </pivotArea>
    </format>
    <format dxfId="1896">
      <pivotArea dataOnly="0" labelOnly="1" fieldPosition="0">
        <references count="3">
          <reference field="2" count="1" selected="0">
            <x v="0"/>
          </reference>
          <reference field="3" count="1" selected="0">
            <x v="0"/>
          </reference>
          <reference field="4" count="1">
            <x v="0"/>
          </reference>
        </references>
      </pivotArea>
    </format>
    <format dxfId="1895">
      <pivotArea dataOnly="0" labelOnly="1" fieldPosition="0">
        <references count="3">
          <reference field="2" count="1" selected="0">
            <x v="1"/>
          </reference>
          <reference field="3" count="1" selected="0">
            <x v="1"/>
          </reference>
          <reference field="4" count="4">
            <x v="1"/>
            <x v="2"/>
            <x v="3"/>
            <x v="4"/>
          </reference>
        </references>
      </pivotArea>
    </format>
    <format dxfId="1894">
      <pivotArea dataOnly="0" labelOnly="1" fieldPosition="0">
        <references count="3">
          <reference field="2" count="1" selected="0">
            <x v="2"/>
          </reference>
          <reference field="3" count="1" selected="0">
            <x v="2"/>
          </reference>
          <reference field="4" count="1">
            <x v="6"/>
          </reference>
        </references>
      </pivotArea>
    </format>
    <format dxfId="1893">
      <pivotArea dataOnly="0" labelOnly="1" fieldPosition="0">
        <references count="3">
          <reference field="2" count="1" selected="0">
            <x v="2"/>
          </reference>
          <reference field="3" count="1" selected="0">
            <x v="3"/>
          </reference>
          <reference field="4" count="3">
            <x v="7"/>
            <x v="8"/>
            <x v="9"/>
          </reference>
        </references>
      </pivotArea>
    </format>
    <format dxfId="1892">
      <pivotArea dataOnly="0" labelOnly="1" fieldPosition="0">
        <references count="3">
          <reference field="2" count="1" selected="0">
            <x v="2"/>
          </reference>
          <reference field="3" count="1" selected="0">
            <x v="4"/>
          </reference>
          <reference field="4" count="3">
            <x v="10"/>
            <x v="11"/>
            <x v="12"/>
          </reference>
        </references>
      </pivotArea>
    </format>
    <format dxfId="1891">
      <pivotArea dataOnly="0" labelOnly="1" fieldPosition="0">
        <references count="3">
          <reference field="2" count="1" selected="0">
            <x v="3"/>
          </reference>
          <reference field="3" count="1" selected="0">
            <x v="5"/>
          </reference>
          <reference field="4" count="5">
            <x v="13"/>
            <x v="14"/>
            <x v="15"/>
            <x v="16"/>
            <x v="17"/>
          </reference>
        </references>
      </pivotArea>
    </format>
    <format dxfId="1890">
      <pivotArea dataOnly="0" labelOnly="1" fieldPosition="0">
        <references count="3">
          <reference field="2" count="1" selected="0">
            <x v="3"/>
          </reference>
          <reference field="3" count="1" selected="0">
            <x v="11"/>
          </reference>
          <reference field="4" count="4">
            <x v="30"/>
            <x v="31"/>
            <x v="32"/>
            <x v="33"/>
          </reference>
        </references>
      </pivotArea>
    </format>
    <format dxfId="1889">
      <pivotArea dataOnly="0" labelOnly="1" fieldPosition="0">
        <references count="3">
          <reference field="2" count="1" selected="0">
            <x v="4"/>
          </reference>
          <reference field="3" count="1" selected="0">
            <x v="7"/>
          </reference>
          <reference field="4" count="3">
            <x v="20"/>
            <x v="34"/>
            <x v="35"/>
          </reference>
        </references>
      </pivotArea>
    </format>
    <format dxfId="1888">
      <pivotArea dataOnly="0" labelOnly="1" fieldPosition="0">
        <references count="3">
          <reference field="2" count="1" selected="0">
            <x v="4"/>
          </reference>
          <reference field="3" count="1" selected="0">
            <x v="12"/>
          </reference>
          <reference field="4" count="3">
            <x v="36"/>
            <x v="38"/>
            <x v="66"/>
          </reference>
        </references>
      </pivotArea>
    </format>
    <format dxfId="1887">
      <pivotArea dataOnly="0" labelOnly="1" fieldPosition="0">
        <references count="3">
          <reference field="2" count="1" selected="0">
            <x v="5"/>
          </reference>
          <reference field="3" count="1" selected="0">
            <x v="8"/>
          </reference>
          <reference field="4" count="5">
            <x v="21"/>
            <x v="22"/>
            <x v="23"/>
            <x v="24"/>
            <x v="25"/>
          </reference>
        </references>
      </pivotArea>
    </format>
    <format dxfId="1886">
      <pivotArea dataOnly="0" labelOnly="1" fieldPosition="0">
        <references count="3">
          <reference field="2" count="1" selected="0">
            <x v="6"/>
          </reference>
          <reference field="3" count="1" selected="0">
            <x v="9"/>
          </reference>
          <reference field="4" count="4">
            <x v="26"/>
            <x v="27"/>
            <x v="28"/>
            <x v="29"/>
          </reference>
        </references>
      </pivotArea>
    </format>
    <format dxfId="1885">
      <pivotArea dataOnly="0" labelOnly="1" fieldPosition="0">
        <references count="3">
          <reference field="2" count="1" selected="0">
            <x v="6"/>
          </reference>
          <reference field="3" count="1" selected="0">
            <x v="10"/>
          </reference>
          <reference field="4" count="7">
            <x v="42"/>
            <x v="43"/>
            <x v="44"/>
            <x v="45"/>
            <x v="63"/>
            <x v="64"/>
            <x v="65"/>
          </reference>
        </references>
      </pivotArea>
    </format>
    <format dxfId="1884">
      <pivotArea dataOnly="0" labelOnly="1" fieldPosition="0">
        <references count="3">
          <reference field="2" count="1" selected="0">
            <x v="6"/>
          </reference>
          <reference field="3" count="1" selected="0">
            <x v="14"/>
          </reference>
          <reference field="4" count="5">
            <x v="46"/>
            <x v="47"/>
            <x v="48"/>
            <x v="50"/>
            <x v="51"/>
          </reference>
        </references>
      </pivotArea>
    </format>
    <format dxfId="1883">
      <pivotArea dataOnly="0" labelOnly="1" fieldPosition="0">
        <references count="3">
          <reference field="2" count="1" selected="0">
            <x v="6"/>
          </reference>
          <reference field="3" count="1" selected="0">
            <x v="15"/>
          </reference>
          <reference field="4" count="4">
            <x v="52"/>
            <x v="53"/>
            <x v="54"/>
            <x v="55"/>
          </reference>
        </references>
      </pivotArea>
    </format>
    <format dxfId="1882">
      <pivotArea dataOnly="0" labelOnly="1" fieldPosition="0">
        <references count="3">
          <reference field="2" count="1" selected="0">
            <x v="6"/>
          </reference>
          <reference field="3" count="1" selected="0">
            <x v="16"/>
          </reference>
          <reference field="4" count="3">
            <x v="56"/>
            <x v="57"/>
            <x v="58"/>
          </reference>
        </references>
      </pivotArea>
    </format>
    <format dxfId="1881">
      <pivotArea dataOnly="0" labelOnly="1" fieldPosition="0">
        <references count="4">
          <reference field="2" count="1" selected="0">
            <x v="0"/>
          </reference>
          <reference field="3" count="1" selected="0">
            <x v="0"/>
          </reference>
          <reference field="4" count="1" selected="0">
            <x v="0"/>
          </reference>
          <reference field="5" count="1">
            <x v="0"/>
          </reference>
        </references>
      </pivotArea>
    </format>
    <format dxfId="1880">
      <pivotArea dataOnly="0" labelOnly="1" fieldPosition="0">
        <references count="4">
          <reference field="2" count="1" selected="0">
            <x v="1"/>
          </reference>
          <reference field="3" count="1" selected="0">
            <x v="1"/>
          </reference>
          <reference field="4" count="1" selected="0">
            <x v="1"/>
          </reference>
          <reference field="5" count="1">
            <x v="1"/>
          </reference>
        </references>
      </pivotArea>
    </format>
    <format dxfId="1879">
      <pivotArea dataOnly="0" labelOnly="1" fieldPosition="0">
        <references count="4">
          <reference field="2" count="1" selected="0">
            <x v="1"/>
          </reference>
          <reference field="3" count="1" selected="0">
            <x v="1"/>
          </reference>
          <reference field="4" count="1" selected="0">
            <x v="2"/>
          </reference>
          <reference field="5" count="1">
            <x v="2"/>
          </reference>
        </references>
      </pivotArea>
    </format>
    <format dxfId="1878">
      <pivotArea dataOnly="0" labelOnly="1" fieldPosition="0">
        <references count="4">
          <reference field="2" count="1" selected="0">
            <x v="1"/>
          </reference>
          <reference field="3" count="1" selected="0">
            <x v="1"/>
          </reference>
          <reference field="4" count="1" selected="0">
            <x v="3"/>
          </reference>
          <reference field="5" count="1">
            <x v="3"/>
          </reference>
        </references>
      </pivotArea>
    </format>
    <format dxfId="1877">
      <pivotArea dataOnly="0" labelOnly="1" fieldPosition="0">
        <references count="4">
          <reference field="2" count="1" selected="0">
            <x v="1"/>
          </reference>
          <reference field="3" count="1" selected="0">
            <x v="1"/>
          </reference>
          <reference field="4" count="1" selected="0">
            <x v="4"/>
          </reference>
          <reference field="5" count="4">
            <x v="4"/>
            <x v="5"/>
            <x v="6"/>
            <x v="68"/>
          </reference>
        </references>
      </pivotArea>
    </format>
    <format dxfId="1876">
      <pivotArea dataOnly="0" labelOnly="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1875">
      <pivotArea dataOnly="0" labelOnly="1" fieldPosition="0">
        <references count="4">
          <reference field="2" count="1" selected="0">
            <x v="2"/>
          </reference>
          <reference field="3" count="1" selected="0">
            <x v="3"/>
          </reference>
          <reference field="4" count="1" selected="0">
            <x v="8"/>
          </reference>
          <reference field="5" count="2">
            <x v="28"/>
            <x v="29"/>
          </reference>
        </references>
      </pivotArea>
    </format>
    <format dxfId="1874">
      <pivotArea dataOnly="0" labelOnly="1" fieldPosition="0">
        <references count="4">
          <reference field="2" count="1" selected="0">
            <x v="2"/>
          </reference>
          <reference field="3" count="1" selected="0">
            <x v="3"/>
          </reference>
          <reference field="4" count="1" selected="0">
            <x v="9"/>
          </reference>
          <reference field="5" count="2">
            <x v="7"/>
            <x v="8"/>
          </reference>
        </references>
      </pivotArea>
    </format>
    <format dxfId="1873">
      <pivotArea dataOnly="0" labelOnly="1" fieldPosition="0">
        <references count="4">
          <reference field="2" count="1" selected="0">
            <x v="2"/>
          </reference>
          <reference field="3" count="1" selected="0">
            <x v="4"/>
          </reference>
          <reference field="4" count="1" selected="0">
            <x v="10"/>
          </reference>
          <reference field="5" count="2">
            <x v="30"/>
            <x v="31"/>
          </reference>
        </references>
      </pivotArea>
    </format>
    <format dxfId="1872">
      <pivotArea dataOnly="0" labelOnly="1" fieldPosition="0">
        <references count="4">
          <reference field="2" count="1" selected="0">
            <x v="2"/>
          </reference>
          <reference field="3" count="1" selected="0">
            <x v="4"/>
          </reference>
          <reference field="4" count="1" selected="0">
            <x v="11"/>
          </reference>
          <reference field="5" count="1">
            <x v="42"/>
          </reference>
        </references>
      </pivotArea>
    </format>
    <format dxfId="1871">
      <pivotArea dataOnly="0" labelOnly="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1870">
      <pivotArea dataOnly="0" labelOnly="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1869">
      <pivotArea dataOnly="0" labelOnly="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1868">
      <pivotArea dataOnly="0" labelOnly="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1867">
      <pivotArea dataOnly="0" labelOnly="1" fieldPosition="0">
        <references count="4">
          <reference field="2" count="1" selected="0">
            <x v="3"/>
          </reference>
          <reference field="3" count="1" selected="0">
            <x v="5"/>
          </reference>
          <reference field="4" count="1" selected="0">
            <x v="16"/>
          </reference>
          <reference field="5" count="2">
            <x v="52"/>
            <x v="53"/>
          </reference>
        </references>
      </pivotArea>
    </format>
    <format dxfId="1866">
      <pivotArea dataOnly="0" labelOnly="1" fieldPosition="0">
        <references count="4">
          <reference field="2" count="1" selected="0">
            <x v="3"/>
          </reference>
          <reference field="3" count="1" selected="0">
            <x v="6"/>
          </reference>
          <reference field="4" count="1" selected="0">
            <x v="18"/>
          </reference>
          <reference field="5" count="3">
            <x v="9"/>
            <x v="128"/>
            <x v="129"/>
          </reference>
        </references>
      </pivotArea>
    </format>
    <format dxfId="1865">
      <pivotArea dataOnly="0" labelOnly="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1864">
      <pivotArea dataOnly="0" labelOnly="1" fieldPosition="0">
        <references count="4">
          <reference field="2" count="1" selected="0">
            <x v="4"/>
          </reference>
          <reference field="3" count="1" selected="0">
            <x v="7"/>
          </reference>
          <reference field="4" count="1" selected="0">
            <x v="20"/>
          </reference>
          <reference field="5" count="7">
            <x v="17"/>
            <x v="18"/>
            <x v="19"/>
            <x v="20"/>
            <x v="21"/>
            <x v="22"/>
            <x v="67"/>
          </reference>
        </references>
      </pivotArea>
    </format>
    <format dxfId="1863">
      <pivotArea dataOnly="0" labelOnly="1" fieldPosition="0">
        <references count="4">
          <reference field="2" count="1" selected="0">
            <x v="4"/>
          </reference>
          <reference field="3" count="1" selected="0">
            <x v="12"/>
          </reference>
          <reference field="4" count="1" selected="0">
            <x v="66"/>
          </reference>
          <reference field="5" count="3">
            <x v="86"/>
            <x v="87"/>
            <x v="88"/>
          </reference>
        </references>
      </pivotArea>
    </format>
    <format dxfId="1862">
      <pivotArea dataOnly="0" labelOnly="1" fieldPosition="0">
        <references count="4">
          <reference field="2" count="1" selected="0">
            <x v="5"/>
          </reference>
          <reference field="3" count="1" selected="0">
            <x v="8"/>
          </reference>
          <reference field="4" count="1" selected="0">
            <x v="22"/>
          </reference>
          <reference field="5" count="1">
            <x v="12"/>
          </reference>
        </references>
      </pivotArea>
    </format>
    <format dxfId="1861">
      <pivotArea dataOnly="0" labelOnly="1" fieldPosition="0">
        <references count="4">
          <reference field="2" count="1" selected="0">
            <x v="5"/>
          </reference>
          <reference field="3" count="1" selected="0">
            <x v="8"/>
          </reference>
          <reference field="4" count="1" selected="0">
            <x v="23"/>
          </reference>
          <reference field="5" count="1">
            <x v="13"/>
          </reference>
        </references>
      </pivotArea>
    </format>
    <format dxfId="1860">
      <pivotArea dataOnly="0" labelOnly="1" fieldPosition="0">
        <references count="4">
          <reference field="2" count="1" selected="0">
            <x v="5"/>
          </reference>
          <reference field="3" count="1" selected="0">
            <x v="8"/>
          </reference>
          <reference field="4" count="1" selected="0">
            <x v="24"/>
          </reference>
          <reference field="5" count="2">
            <x v="35"/>
            <x v="39"/>
          </reference>
        </references>
      </pivotArea>
    </format>
    <format dxfId="1859">
      <pivotArea dataOnly="0" labelOnly="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1858">
      <pivotArea dataOnly="0" labelOnly="1" fieldPosition="0">
        <references count="4">
          <reference field="2" count="1" selected="0">
            <x v="5"/>
          </reference>
          <reference field="3" count="1" selected="0">
            <x v="13"/>
          </reference>
          <reference field="4" count="1" selected="0">
            <x v="40"/>
          </reference>
          <reference field="5" count="2">
            <x v="95"/>
            <x v="96"/>
          </reference>
        </references>
      </pivotArea>
    </format>
    <format dxfId="1857">
      <pivotArea dataOnly="0" labelOnly="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1856">
      <pivotArea dataOnly="0" labelOnly="1" fieldPosition="0">
        <references count="4">
          <reference field="2" count="1" selected="0">
            <x v="6"/>
          </reference>
          <reference field="3" count="1" selected="0">
            <x v="10"/>
          </reference>
          <reference field="4" count="1" selected="0">
            <x v="43"/>
          </reference>
          <reference field="5" count="1">
            <x v="103"/>
          </reference>
        </references>
      </pivotArea>
    </format>
    <format dxfId="1855">
      <pivotArea dataOnly="0" labelOnly="1" fieldPosition="0">
        <references count="4">
          <reference field="2" count="1" selected="0">
            <x v="6"/>
          </reference>
          <reference field="3" count="1" selected="0">
            <x v="10"/>
          </reference>
          <reference field="4" count="1" selected="0">
            <x v="45"/>
          </reference>
          <reference field="5" count="2">
            <x v="101"/>
            <x v="102"/>
          </reference>
        </references>
      </pivotArea>
    </format>
    <format dxfId="1854">
      <pivotArea dataOnly="0" labelOnly="1" fieldPosition="0">
        <references count="4">
          <reference field="2" count="1" selected="0">
            <x v="6"/>
          </reference>
          <reference field="3" count="1" selected="0">
            <x v="10"/>
          </reference>
          <reference field="4" count="1" selected="0">
            <x v="65"/>
          </reference>
          <reference field="5" count="1">
            <x v="41"/>
          </reference>
        </references>
      </pivotArea>
    </format>
    <format dxfId="1853">
      <pivotArea dataOnly="0" labelOnly="1" fieldPosition="0">
        <references count="4">
          <reference field="2" count="1" selected="0">
            <x v="6"/>
          </reference>
          <reference field="3" count="1" selected="0">
            <x v="14"/>
          </reference>
          <reference field="4" count="1" selected="0">
            <x v="47"/>
          </reference>
          <reference field="5" count="1">
            <x v="106"/>
          </reference>
        </references>
      </pivotArea>
    </format>
    <format dxfId="1852">
      <pivotArea dataOnly="0" labelOnly="1" fieldPosition="0">
        <references count="4">
          <reference field="2" count="1" selected="0">
            <x v="6"/>
          </reference>
          <reference field="3" count="1" selected="0">
            <x v="15"/>
          </reference>
          <reference field="4" count="1" selected="0">
            <x v="54"/>
          </reference>
          <reference field="5" count="1">
            <x v="116"/>
          </reference>
        </references>
      </pivotArea>
    </format>
    <format dxfId="1851">
      <pivotArea dataOnly="0" labelOnly="1" fieldPosition="0">
        <references count="4">
          <reference field="2" count="1" selected="0">
            <x v="6"/>
          </reference>
          <reference field="3" count="1" selected="0">
            <x v="16"/>
          </reference>
          <reference field="4" count="1" selected="0">
            <x v="56"/>
          </reference>
          <reference field="5" count="1">
            <x v="117"/>
          </reference>
        </references>
      </pivotArea>
    </format>
    <format dxfId="1850">
      <pivotArea field="2" type="button" dataOnly="0" labelOnly="1" outline="0" axis="axisRow" fieldPosition="0"/>
    </format>
    <format dxfId="1849">
      <pivotArea dataOnly="0" labelOnly="1" fieldPosition="0">
        <references count="1">
          <reference field="2" count="0"/>
        </references>
      </pivotArea>
    </format>
    <format dxfId="1848">
      <pivotArea dataOnly="0" labelOnly="1" grandRow="1" outline="0" fieldPosition="0"/>
    </format>
    <format dxfId="1847">
      <pivotArea dataOnly="0" labelOnly="1" fieldPosition="0">
        <references count="2">
          <reference field="2" count="1" selected="0">
            <x v="0"/>
          </reference>
          <reference field="3" count="1">
            <x v="0"/>
          </reference>
        </references>
      </pivotArea>
    </format>
    <format dxfId="1846">
      <pivotArea dataOnly="0" labelOnly="1" fieldPosition="0">
        <references count="2">
          <reference field="2" count="1" selected="0">
            <x v="1"/>
          </reference>
          <reference field="3" count="1">
            <x v="1"/>
          </reference>
        </references>
      </pivotArea>
    </format>
    <format dxfId="1845">
      <pivotArea dataOnly="0" labelOnly="1" fieldPosition="0">
        <references count="2">
          <reference field="2" count="1" selected="0">
            <x v="2"/>
          </reference>
          <reference field="3" count="3">
            <x v="2"/>
            <x v="3"/>
            <x v="4"/>
          </reference>
        </references>
      </pivotArea>
    </format>
    <format dxfId="1844">
      <pivotArea dataOnly="0" labelOnly="1" fieldPosition="0">
        <references count="2">
          <reference field="2" count="1" selected="0">
            <x v="3"/>
          </reference>
          <reference field="3" count="3">
            <x v="5"/>
            <x v="6"/>
            <x v="11"/>
          </reference>
        </references>
      </pivotArea>
    </format>
    <format dxfId="1843">
      <pivotArea dataOnly="0" labelOnly="1" fieldPosition="0">
        <references count="2">
          <reference field="2" count="1" selected="0">
            <x v="4"/>
          </reference>
          <reference field="3" count="2">
            <x v="7"/>
            <x v="12"/>
          </reference>
        </references>
      </pivotArea>
    </format>
    <format dxfId="1842">
      <pivotArea dataOnly="0" labelOnly="1" fieldPosition="0">
        <references count="2">
          <reference field="2" count="1" selected="0">
            <x v="5"/>
          </reference>
          <reference field="3" count="2">
            <x v="8"/>
            <x v="13"/>
          </reference>
        </references>
      </pivotArea>
    </format>
    <format dxfId="1841">
      <pivotArea dataOnly="0" labelOnly="1" fieldPosition="0">
        <references count="2">
          <reference field="2" count="1" selected="0">
            <x v="6"/>
          </reference>
          <reference field="3" count="6">
            <x v="9"/>
            <x v="10"/>
            <x v="14"/>
            <x v="15"/>
            <x v="16"/>
            <x v="17"/>
          </reference>
        </references>
      </pivotArea>
    </format>
    <format dxfId="1840">
      <pivotArea dataOnly="0" labelOnly="1" fieldPosition="0">
        <references count="2">
          <reference field="2" count="1" selected="0">
            <x v="7"/>
          </reference>
          <reference field="3" count="1">
            <x v="18"/>
          </reference>
        </references>
      </pivotArea>
    </format>
    <format dxfId="1839">
      <pivotArea dataOnly="0" labelOnly="1" fieldPosition="0">
        <references count="3">
          <reference field="2" count="1" selected="0">
            <x v="0"/>
          </reference>
          <reference field="3" count="1" selected="0">
            <x v="0"/>
          </reference>
          <reference field="4" count="1">
            <x v="0"/>
          </reference>
        </references>
      </pivotArea>
    </format>
    <format dxfId="1838">
      <pivotArea dataOnly="0" labelOnly="1" fieldPosition="0">
        <references count="3">
          <reference field="2" count="1" selected="0">
            <x v="1"/>
          </reference>
          <reference field="3" count="1" selected="0">
            <x v="1"/>
          </reference>
          <reference field="4" count="4">
            <x v="1"/>
            <x v="2"/>
            <x v="3"/>
            <x v="4"/>
          </reference>
        </references>
      </pivotArea>
    </format>
    <format dxfId="1837">
      <pivotArea dataOnly="0" labelOnly="1" fieldPosition="0">
        <references count="3">
          <reference field="2" count="1" selected="0">
            <x v="2"/>
          </reference>
          <reference field="3" count="1" selected="0">
            <x v="2"/>
          </reference>
          <reference field="4" count="1">
            <x v="6"/>
          </reference>
        </references>
      </pivotArea>
    </format>
    <format dxfId="1836">
      <pivotArea dataOnly="0" labelOnly="1" fieldPosition="0">
        <references count="3">
          <reference field="2" count="1" selected="0">
            <x v="2"/>
          </reference>
          <reference field="3" count="1" selected="0">
            <x v="3"/>
          </reference>
          <reference field="4" count="3">
            <x v="7"/>
            <x v="8"/>
            <x v="9"/>
          </reference>
        </references>
      </pivotArea>
    </format>
    <format dxfId="1835">
      <pivotArea dataOnly="0" labelOnly="1" fieldPosition="0">
        <references count="3">
          <reference field="2" count="1" selected="0">
            <x v="2"/>
          </reference>
          <reference field="3" count="1" selected="0">
            <x v="4"/>
          </reference>
          <reference field="4" count="3">
            <x v="10"/>
            <x v="11"/>
            <x v="12"/>
          </reference>
        </references>
      </pivotArea>
    </format>
    <format dxfId="1834">
      <pivotArea dataOnly="0" labelOnly="1" fieldPosition="0">
        <references count="3">
          <reference field="2" count="1" selected="0">
            <x v="3"/>
          </reference>
          <reference field="3" count="1" selected="0">
            <x v="5"/>
          </reference>
          <reference field="4" count="5">
            <x v="13"/>
            <x v="14"/>
            <x v="15"/>
            <x v="16"/>
            <x v="17"/>
          </reference>
        </references>
      </pivotArea>
    </format>
    <format dxfId="1833">
      <pivotArea dataOnly="0" labelOnly="1" fieldPosition="0">
        <references count="3">
          <reference field="2" count="1" selected="0">
            <x v="3"/>
          </reference>
          <reference field="3" count="1" selected="0">
            <x v="6"/>
          </reference>
          <reference field="4" count="2">
            <x v="18"/>
            <x v="19"/>
          </reference>
        </references>
      </pivotArea>
    </format>
    <format dxfId="1832">
      <pivotArea dataOnly="0" labelOnly="1" fieldPosition="0">
        <references count="3">
          <reference field="2" count="1" selected="0">
            <x v="3"/>
          </reference>
          <reference field="3" count="1" selected="0">
            <x v="11"/>
          </reference>
          <reference field="4" count="4">
            <x v="30"/>
            <x v="31"/>
            <x v="32"/>
            <x v="33"/>
          </reference>
        </references>
      </pivotArea>
    </format>
    <format dxfId="1831">
      <pivotArea dataOnly="0" labelOnly="1" fieldPosition="0">
        <references count="3">
          <reference field="2" count="1" selected="0">
            <x v="4"/>
          </reference>
          <reference field="3" count="1" selected="0">
            <x v="7"/>
          </reference>
          <reference field="4" count="3">
            <x v="20"/>
            <x v="34"/>
            <x v="35"/>
          </reference>
        </references>
      </pivotArea>
    </format>
    <format dxfId="1830">
      <pivotArea dataOnly="0" labelOnly="1" fieldPosition="0">
        <references count="3">
          <reference field="2" count="1" selected="0">
            <x v="4"/>
          </reference>
          <reference field="3" count="1" selected="0">
            <x v="12"/>
          </reference>
          <reference field="4" count="3">
            <x v="36"/>
            <x v="38"/>
            <x v="66"/>
          </reference>
        </references>
      </pivotArea>
    </format>
    <format dxfId="1829">
      <pivotArea dataOnly="0" labelOnly="1" fieldPosition="0">
        <references count="3">
          <reference field="2" count="1" selected="0">
            <x v="5"/>
          </reference>
          <reference field="3" count="1" selected="0">
            <x v="8"/>
          </reference>
          <reference field="4" count="5">
            <x v="21"/>
            <x v="22"/>
            <x v="23"/>
            <x v="24"/>
            <x v="25"/>
          </reference>
        </references>
      </pivotArea>
    </format>
    <format dxfId="1828">
      <pivotArea dataOnly="0" labelOnly="1" fieldPosition="0">
        <references count="3">
          <reference field="2" count="1" selected="0">
            <x v="5"/>
          </reference>
          <reference field="3" count="1" selected="0">
            <x v="13"/>
          </reference>
          <reference field="4" count="3">
            <x v="39"/>
            <x v="40"/>
            <x v="41"/>
          </reference>
        </references>
      </pivotArea>
    </format>
    <format dxfId="1827">
      <pivotArea dataOnly="0" labelOnly="1" fieldPosition="0">
        <references count="3">
          <reference field="2" count="1" selected="0">
            <x v="6"/>
          </reference>
          <reference field="3" count="1" selected="0">
            <x v="9"/>
          </reference>
          <reference field="4" count="4">
            <x v="26"/>
            <x v="27"/>
            <x v="28"/>
            <x v="29"/>
          </reference>
        </references>
      </pivotArea>
    </format>
    <format dxfId="1826">
      <pivotArea dataOnly="0" labelOnly="1" fieldPosition="0">
        <references count="3">
          <reference field="2" count="1" selected="0">
            <x v="6"/>
          </reference>
          <reference field="3" count="1" selected="0">
            <x v="10"/>
          </reference>
          <reference field="4" count="7">
            <x v="42"/>
            <x v="43"/>
            <x v="44"/>
            <x v="45"/>
            <x v="63"/>
            <x v="64"/>
            <x v="65"/>
          </reference>
        </references>
      </pivotArea>
    </format>
    <format dxfId="1825">
      <pivotArea dataOnly="0" labelOnly="1" fieldPosition="0">
        <references count="3">
          <reference field="2" count="1" selected="0">
            <x v="6"/>
          </reference>
          <reference field="3" count="1" selected="0">
            <x v="14"/>
          </reference>
          <reference field="4" count="5">
            <x v="46"/>
            <x v="47"/>
            <x v="48"/>
            <x v="50"/>
            <x v="51"/>
          </reference>
        </references>
      </pivotArea>
    </format>
    <format dxfId="1824">
      <pivotArea dataOnly="0" labelOnly="1" fieldPosition="0">
        <references count="3">
          <reference field="2" count="1" selected="0">
            <x v="6"/>
          </reference>
          <reference field="3" count="1" selected="0">
            <x v="15"/>
          </reference>
          <reference field="4" count="4">
            <x v="52"/>
            <x v="53"/>
            <x v="54"/>
            <x v="55"/>
          </reference>
        </references>
      </pivotArea>
    </format>
    <format dxfId="1823">
      <pivotArea dataOnly="0" labelOnly="1" fieldPosition="0">
        <references count="3">
          <reference field="2" count="1" selected="0">
            <x v="6"/>
          </reference>
          <reference field="3" count="1" selected="0">
            <x v="16"/>
          </reference>
          <reference field="4" count="3">
            <x v="56"/>
            <x v="57"/>
            <x v="58"/>
          </reference>
        </references>
      </pivotArea>
    </format>
    <format dxfId="1822">
      <pivotArea dataOnly="0" labelOnly="1" fieldPosition="0">
        <references count="3">
          <reference field="2" count="1" selected="0">
            <x v="6"/>
          </reference>
          <reference field="3" count="1" selected="0">
            <x v="17"/>
          </reference>
          <reference field="4" count="3">
            <x v="59"/>
            <x v="60"/>
            <x v="61"/>
          </reference>
        </references>
      </pivotArea>
    </format>
    <format dxfId="1821">
      <pivotArea dataOnly="0" labelOnly="1" fieldPosition="0">
        <references count="3">
          <reference field="2" count="1" selected="0">
            <x v="7"/>
          </reference>
          <reference field="3" count="1" selected="0">
            <x v="18"/>
          </reference>
          <reference field="4" count="1">
            <x v="62"/>
          </reference>
        </references>
      </pivotArea>
    </format>
    <format dxfId="1820">
      <pivotArea dataOnly="0" labelOnly="1" fieldPosition="0">
        <references count="4">
          <reference field="2" count="1" selected="0">
            <x v="0"/>
          </reference>
          <reference field="3" count="1" selected="0">
            <x v="0"/>
          </reference>
          <reference field="4" count="1" selected="0">
            <x v="0"/>
          </reference>
          <reference field="5" count="1">
            <x v="0"/>
          </reference>
        </references>
      </pivotArea>
    </format>
    <format dxfId="1819">
      <pivotArea dataOnly="0" labelOnly="1" fieldPosition="0">
        <references count="4">
          <reference field="2" count="1" selected="0">
            <x v="1"/>
          </reference>
          <reference field="3" count="1" selected="0">
            <x v="1"/>
          </reference>
          <reference field="4" count="1" selected="0">
            <x v="1"/>
          </reference>
          <reference field="5" count="1">
            <x v="1"/>
          </reference>
        </references>
      </pivotArea>
    </format>
    <format dxfId="1818">
      <pivotArea dataOnly="0" labelOnly="1" fieldPosition="0">
        <references count="4">
          <reference field="2" count="1" selected="0">
            <x v="1"/>
          </reference>
          <reference field="3" count="1" selected="0">
            <x v="1"/>
          </reference>
          <reference field="4" count="1" selected="0">
            <x v="2"/>
          </reference>
          <reference field="5" count="1">
            <x v="2"/>
          </reference>
        </references>
      </pivotArea>
    </format>
    <format dxfId="1817">
      <pivotArea dataOnly="0" labelOnly="1" fieldPosition="0">
        <references count="4">
          <reference field="2" count="1" selected="0">
            <x v="1"/>
          </reference>
          <reference field="3" count="1" selected="0">
            <x v="1"/>
          </reference>
          <reference field="4" count="1" selected="0">
            <x v="3"/>
          </reference>
          <reference field="5" count="1">
            <x v="3"/>
          </reference>
        </references>
      </pivotArea>
    </format>
    <format dxfId="1816">
      <pivotArea dataOnly="0" labelOnly="1" fieldPosition="0">
        <references count="4">
          <reference field="2" count="1" selected="0">
            <x v="1"/>
          </reference>
          <reference field="3" count="1" selected="0">
            <x v="1"/>
          </reference>
          <reference field="4" count="1" selected="0">
            <x v="4"/>
          </reference>
          <reference field="5" count="5">
            <x v="4"/>
            <x v="5"/>
            <x v="6"/>
            <x v="68"/>
            <x v="130"/>
          </reference>
        </references>
      </pivotArea>
    </format>
    <format dxfId="1815">
      <pivotArea dataOnly="0" labelOnly="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1814">
      <pivotArea dataOnly="0" labelOnly="1" fieldPosition="0">
        <references count="4">
          <reference field="2" count="1" selected="0">
            <x v="2"/>
          </reference>
          <reference field="3" count="1" selected="0">
            <x v="3"/>
          </reference>
          <reference field="4" count="1" selected="0">
            <x v="8"/>
          </reference>
          <reference field="5" count="2">
            <x v="28"/>
            <x v="29"/>
          </reference>
        </references>
      </pivotArea>
    </format>
    <format dxfId="1813">
      <pivotArea dataOnly="0" labelOnly="1" fieldPosition="0">
        <references count="4">
          <reference field="2" count="1" selected="0">
            <x v="2"/>
          </reference>
          <reference field="3" count="1" selected="0">
            <x v="3"/>
          </reference>
          <reference field="4" count="1" selected="0">
            <x v="9"/>
          </reference>
          <reference field="5" count="2">
            <x v="7"/>
            <x v="8"/>
          </reference>
        </references>
      </pivotArea>
    </format>
    <format dxfId="1812">
      <pivotArea dataOnly="0" labelOnly="1" fieldPosition="0">
        <references count="4">
          <reference field="2" count="1" selected="0">
            <x v="2"/>
          </reference>
          <reference field="3" count="1" selected="0">
            <x v="4"/>
          </reference>
          <reference field="4" count="1" selected="0">
            <x v="10"/>
          </reference>
          <reference field="5" count="2">
            <x v="30"/>
            <x v="31"/>
          </reference>
        </references>
      </pivotArea>
    </format>
    <format dxfId="1811">
      <pivotArea dataOnly="0" labelOnly="1" fieldPosition="0">
        <references count="4">
          <reference field="2" count="1" selected="0">
            <x v="2"/>
          </reference>
          <reference field="3" count="1" selected="0">
            <x v="4"/>
          </reference>
          <reference field="4" count="1" selected="0">
            <x v="11"/>
          </reference>
          <reference field="5" count="1">
            <x v="42"/>
          </reference>
        </references>
      </pivotArea>
    </format>
    <format dxfId="1810">
      <pivotArea dataOnly="0" labelOnly="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1809">
      <pivotArea dataOnly="0" labelOnly="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1808">
      <pivotArea dataOnly="0" labelOnly="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1807">
      <pivotArea dataOnly="0" labelOnly="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1806">
      <pivotArea dataOnly="0" labelOnly="1" fieldPosition="0">
        <references count="4">
          <reference field="2" count="1" selected="0">
            <x v="3"/>
          </reference>
          <reference field="3" count="1" selected="0">
            <x v="5"/>
          </reference>
          <reference field="4" count="1" selected="0">
            <x v="16"/>
          </reference>
          <reference field="5" count="2">
            <x v="52"/>
            <x v="53"/>
          </reference>
        </references>
      </pivotArea>
    </format>
    <format dxfId="1805">
      <pivotArea dataOnly="0" labelOnly="1" fieldPosition="0">
        <references count="4">
          <reference field="2" count="1" selected="0">
            <x v="3"/>
          </reference>
          <reference field="3" count="1" selected="0">
            <x v="5"/>
          </reference>
          <reference field="4" count="1" selected="0">
            <x v="17"/>
          </reference>
          <reference field="5" count="2">
            <x v="69"/>
            <x v="94"/>
          </reference>
        </references>
      </pivotArea>
    </format>
    <format dxfId="1804">
      <pivotArea dataOnly="0" labelOnly="1" fieldPosition="0">
        <references count="4">
          <reference field="2" count="1" selected="0">
            <x v="3"/>
          </reference>
          <reference field="3" count="1" selected="0">
            <x v="6"/>
          </reference>
          <reference field="4" count="1" selected="0">
            <x v="18"/>
          </reference>
          <reference field="5" count="3">
            <x v="9"/>
            <x v="128"/>
            <x v="129"/>
          </reference>
        </references>
      </pivotArea>
    </format>
    <format dxfId="1803">
      <pivotArea dataOnly="0" labelOnly="1" fieldPosition="0">
        <references count="4">
          <reference field="2" count="1" selected="0">
            <x v="3"/>
          </reference>
          <reference field="3" count="1" selected="0">
            <x v="6"/>
          </reference>
          <reference field="4" count="1" selected="0">
            <x v="19"/>
          </reference>
          <reference field="5" count="1">
            <x v="127"/>
          </reference>
        </references>
      </pivotArea>
    </format>
    <format dxfId="1802">
      <pivotArea dataOnly="0" labelOnly="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1801">
      <pivotArea dataOnly="0" labelOnly="1" fieldPosition="0">
        <references count="4">
          <reference field="2" count="1" selected="0">
            <x v="3"/>
          </reference>
          <reference field="3" count="1" selected="0">
            <x v="11"/>
          </reference>
          <reference field="4" count="1" selected="0">
            <x v="32"/>
          </reference>
          <reference field="5" count="4">
            <x v="74"/>
            <x v="75"/>
            <x v="76"/>
            <x v="77"/>
          </reference>
        </references>
      </pivotArea>
    </format>
    <format dxfId="1800">
      <pivotArea dataOnly="0" labelOnly="1" fieldPosition="0">
        <references count="4">
          <reference field="2" count="1" selected="0">
            <x v="4"/>
          </reference>
          <reference field="3" count="1" selected="0">
            <x v="7"/>
          </reference>
          <reference field="4" count="1" selected="0">
            <x v="20"/>
          </reference>
          <reference field="5" count="7">
            <x v="17"/>
            <x v="18"/>
            <x v="19"/>
            <x v="20"/>
            <x v="21"/>
            <x v="22"/>
            <x v="67"/>
          </reference>
        </references>
      </pivotArea>
    </format>
    <format dxfId="1799">
      <pivotArea dataOnly="0" labelOnly="1" fieldPosition="0">
        <references count="4">
          <reference field="2" count="1" selected="0">
            <x v="4"/>
          </reference>
          <reference field="3" count="1" selected="0">
            <x v="7"/>
          </reference>
          <reference field="4" count="1" selected="0">
            <x v="34"/>
          </reference>
          <reference field="5" count="2">
            <x v="78"/>
            <x v="79"/>
          </reference>
        </references>
      </pivotArea>
    </format>
    <format dxfId="1798">
      <pivotArea dataOnly="0" labelOnly="1" fieldPosition="0">
        <references count="4">
          <reference field="2" count="1" selected="0">
            <x v="4"/>
          </reference>
          <reference field="3" count="1" selected="0">
            <x v="7"/>
          </reference>
          <reference field="4" count="1" selected="0">
            <x v="35"/>
          </reference>
          <reference field="5" count="2">
            <x v="80"/>
            <x v="81"/>
          </reference>
        </references>
      </pivotArea>
    </format>
    <format dxfId="1797">
      <pivotArea dataOnly="0" labelOnly="1" fieldPosition="0">
        <references count="4">
          <reference field="2" count="1" selected="0">
            <x v="4"/>
          </reference>
          <reference field="3" count="1" selected="0">
            <x v="12"/>
          </reference>
          <reference field="4" count="1" selected="0">
            <x v="36"/>
          </reference>
          <reference field="5" count="2">
            <x v="82"/>
            <x v="83"/>
          </reference>
        </references>
      </pivotArea>
    </format>
    <format dxfId="1796">
      <pivotArea dataOnly="0" labelOnly="1" fieldPosition="0">
        <references count="4">
          <reference field="2" count="1" selected="0">
            <x v="4"/>
          </reference>
          <reference field="3" count="1" selected="0">
            <x v="12"/>
          </reference>
          <reference field="4" count="1" selected="0">
            <x v="38"/>
          </reference>
          <reference field="5" count="2">
            <x v="84"/>
            <x v="85"/>
          </reference>
        </references>
      </pivotArea>
    </format>
    <format dxfId="1795">
      <pivotArea dataOnly="0" labelOnly="1" fieldPosition="0">
        <references count="4">
          <reference field="2" count="1" selected="0">
            <x v="4"/>
          </reference>
          <reference field="3" count="1" selected="0">
            <x v="12"/>
          </reference>
          <reference field="4" count="1" selected="0">
            <x v="66"/>
          </reference>
          <reference field="5" count="3">
            <x v="86"/>
            <x v="87"/>
            <x v="88"/>
          </reference>
        </references>
      </pivotArea>
    </format>
    <format dxfId="1794">
      <pivotArea dataOnly="0" labelOnly="1" fieldPosition="0">
        <references count="4">
          <reference field="2" count="1" selected="0">
            <x v="5"/>
          </reference>
          <reference field="3" count="1" selected="0">
            <x v="8"/>
          </reference>
          <reference field="4" count="1" selected="0">
            <x v="21"/>
          </reference>
          <reference field="5" count="2">
            <x v="10"/>
            <x v="11"/>
          </reference>
        </references>
      </pivotArea>
    </format>
    <format dxfId="1793">
      <pivotArea dataOnly="0" labelOnly="1" fieldPosition="0">
        <references count="4">
          <reference field="2" count="1" selected="0">
            <x v="5"/>
          </reference>
          <reference field="3" count="1" selected="0">
            <x v="8"/>
          </reference>
          <reference field="4" count="1" selected="0">
            <x v="22"/>
          </reference>
          <reference field="5" count="1">
            <x v="12"/>
          </reference>
        </references>
      </pivotArea>
    </format>
    <format dxfId="1792">
      <pivotArea dataOnly="0" labelOnly="1" fieldPosition="0">
        <references count="4">
          <reference field="2" count="1" selected="0">
            <x v="5"/>
          </reference>
          <reference field="3" count="1" selected="0">
            <x v="8"/>
          </reference>
          <reference field="4" count="1" selected="0">
            <x v="23"/>
          </reference>
          <reference field="5" count="1">
            <x v="13"/>
          </reference>
        </references>
      </pivotArea>
    </format>
    <format dxfId="1791">
      <pivotArea dataOnly="0" labelOnly="1" fieldPosition="0">
        <references count="4">
          <reference field="2" count="1" selected="0">
            <x v="5"/>
          </reference>
          <reference field="3" count="1" selected="0">
            <x v="8"/>
          </reference>
          <reference field="4" count="1" selected="0">
            <x v="24"/>
          </reference>
          <reference field="5" count="2">
            <x v="35"/>
            <x v="39"/>
          </reference>
        </references>
      </pivotArea>
    </format>
    <format dxfId="1790">
      <pivotArea dataOnly="0" labelOnly="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1789">
      <pivotArea dataOnly="0" labelOnly="1" fieldPosition="0">
        <references count="4">
          <reference field="2" count="1" selected="0">
            <x v="5"/>
          </reference>
          <reference field="3" count="1" selected="0">
            <x v="13"/>
          </reference>
          <reference field="4" count="1" selected="0">
            <x v="39"/>
          </reference>
          <reference field="5" count="5">
            <x v="89"/>
            <x v="90"/>
            <x v="91"/>
            <x v="92"/>
            <x v="93"/>
          </reference>
        </references>
      </pivotArea>
    </format>
    <format dxfId="1788">
      <pivotArea dataOnly="0" labelOnly="1" fieldPosition="0">
        <references count="4">
          <reference field="2" count="1" selected="0">
            <x v="5"/>
          </reference>
          <reference field="3" count="1" selected="0">
            <x v="13"/>
          </reference>
          <reference field="4" count="1" selected="0">
            <x v="40"/>
          </reference>
          <reference field="5" count="2">
            <x v="95"/>
            <x v="96"/>
          </reference>
        </references>
      </pivotArea>
    </format>
    <format dxfId="1787">
      <pivotArea dataOnly="0" labelOnly="1" fieldPosition="0">
        <references count="4">
          <reference field="2" count="1" selected="0">
            <x v="5"/>
          </reference>
          <reference field="3" count="1" selected="0">
            <x v="13"/>
          </reference>
          <reference field="4" count="1" selected="0">
            <x v="41"/>
          </reference>
          <reference field="5" count="2">
            <x v="97"/>
            <x v="98"/>
          </reference>
        </references>
      </pivotArea>
    </format>
    <format dxfId="1786">
      <pivotArea dataOnly="0" labelOnly="1" fieldPosition="0">
        <references count="4">
          <reference field="2" count="1" selected="0">
            <x v="6"/>
          </reference>
          <reference field="3" count="1" selected="0">
            <x v="9"/>
          </reference>
          <reference field="4" count="1" selected="0">
            <x v="26"/>
          </reference>
          <reference field="5" count="1">
            <x v="73"/>
          </reference>
        </references>
      </pivotArea>
    </format>
    <format dxfId="1785">
      <pivotArea dataOnly="0" labelOnly="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1784">
      <pivotArea dataOnly="0" labelOnly="1" fieldPosition="0">
        <references count="4">
          <reference field="2" count="1" selected="0">
            <x v="6"/>
          </reference>
          <reference field="3" count="1" selected="0">
            <x v="9"/>
          </reference>
          <reference field="4" count="1" selected="0">
            <x v="29"/>
          </reference>
          <reference field="5" count="1">
            <x v="32"/>
          </reference>
        </references>
      </pivotArea>
    </format>
    <format dxfId="1783">
      <pivotArea dataOnly="0" labelOnly="1" fieldPosition="0">
        <references count="4">
          <reference field="2" count="1" selected="0">
            <x v="6"/>
          </reference>
          <reference field="3" count="1" selected="0">
            <x v="10"/>
          </reference>
          <reference field="4" count="1" selected="0">
            <x v="42"/>
          </reference>
          <reference field="5" count="1">
            <x v="99"/>
          </reference>
        </references>
      </pivotArea>
    </format>
    <format dxfId="1782">
      <pivotArea dataOnly="0" labelOnly="1" fieldPosition="0">
        <references count="4">
          <reference field="2" count="1" selected="0">
            <x v="6"/>
          </reference>
          <reference field="3" count="1" selected="0">
            <x v="10"/>
          </reference>
          <reference field="4" count="1" selected="0">
            <x v="43"/>
          </reference>
          <reference field="5" count="1">
            <x v="103"/>
          </reference>
        </references>
      </pivotArea>
    </format>
    <format dxfId="1781">
      <pivotArea dataOnly="0" labelOnly="1" fieldPosition="0">
        <references count="4">
          <reference field="2" count="1" selected="0">
            <x v="6"/>
          </reference>
          <reference field="3" count="1" selected="0">
            <x v="10"/>
          </reference>
          <reference field="4" count="1" selected="0">
            <x v="44"/>
          </reference>
          <reference field="5" count="1">
            <x v="100"/>
          </reference>
        </references>
      </pivotArea>
    </format>
    <format dxfId="1780">
      <pivotArea dataOnly="0" labelOnly="1" fieldPosition="0">
        <references count="4">
          <reference field="2" count="1" selected="0">
            <x v="6"/>
          </reference>
          <reference field="3" count="1" selected="0">
            <x v="10"/>
          </reference>
          <reference field="4" count="1" selected="0">
            <x v="45"/>
          </reference>
          <reference field="5" count="2">
            <x v="101"/>
            <x v="102"/>
          </reference>
        </references>
      </pivotArea>
    </format>
    <format dxfId="1779">
      <pivotArea dataOnly="0" labelOnly="1" fieldPosition="0">
        <references count="4">
          <reference field="2" count="1" selected="0">
            <x v="6"/>
          </reference>
          <reference field="3" count="1" selected="0">
            <x v="10"/>
          </reference>
          <reference field="4" count="1" selected="0">
            <x v="63"/>
          </reference>
          <reference field="5" count="1">
            <x v="104"/>
          </reference>
        </references>
      </pivotArea>
    </format>
    <format dxfId="1778">
      <pivotArea dataOnly="0" labelOnly="1" fieldPosition="0">
        <references count="4">
          <reference field="2" count="1" selected="0">
            <x v="6"/>
          </reference>
          <reference field="3" count="1" selected="0">
            <x v="10"/>
          </reference>
          <reference field="4" count="1" selected="0">
            <x v="64"/>
          </reference>
          <reference field="5" count="1">
            <x v="105"/>
          </reference>
        </references>
      </pivotArea>
    </format>
    <format dxfId="1777">
      <pivotArea dataOnly="0" labelOnly="1" fieldPosition="0">
        <references count="4">
          <reference field="2" count="1" selected="0">
            <x v="6"/>
          </reference>
          <reference field="3" count="1" selected="0">
            <x v="10"/>
          </reference>
          <reference field="4" count="1" selected="0">
            <x v="65"/>
          </reference>
          <reference field="5" count="1">
            <x v="41"/>
          </reference>
        </references>
      </pivotArea>
    </format>
    <format dxfId="1776">
      <pivotArea dataOnly="0" labelOnly="1" fieldPosition="0">
        <references count="4">
          <reference field="2" count="1" selected="0">
            <x v="6"/>
          </reference>
          <reference field="3" count="1" selected="0">
            <x v="14"/>
          </reference>
          <reference field="4" count="1" selected="0">
            <x v="47"/>
          </reference>
          <reference field="5" count="1">
            <x v="106"/>
          </reference>
        </references>
      </pivotArea>
    </format>
    <format dxfId="1775">
      <pivotArea dataOnly="0" labelOnly="1" fieldPosition="0">
        <references count="4">
          <reference field="2" count="1" selected="0">
            <x v="6"/>
          </reference>
          <reference field="3" count="1" selected="0">
            <x v="14"/>
          </reference>
          <reference field="4" count="1" selected="0">
            <x v="48"/>
          </reference>
          <reference field="5" count="1">
            <x v="107"/>
          </reference>
        </references>
      </pivotArea>
    </format>
    <format dxfId="1774">
      <pivotArea dataOnly="0" labelOnly="1" fieldPosition="0">
        <references count="4">
          <reference field="2" count="1" selected="0">
            <x v="6"/>
          </reference>
          <reference field="3" count="1" selected="0">
            <x v="14"/>
          </reference>
          <reference field="4" count="1" selected="0">
            <x v="50"/>
          </reference>
          <reference field="5" count="2">
            <x v="108"/>
            <x v="109"/>
          </reference>
        </references>
      </pivotArea>
    </format>
    <format dxfId="1773">
      <pivotArea dataOnly="0" labelOnly="1" fieldPosition="0">
        <references count="4">
          <reference field="2" count="1" selected="0">
            <x v="6"/>
          </reference>
          <reference field="3" count="1" selected="0">
            <x v="14"/>
          </reference>
          <reference field="4" count="1" selected="0">
            <x v="51"/>
          </reference>
          <reference field="5" count="1">
            <x v="110"/>
          </reference>
        </references>
      </pivotArea>
    </format>
    <format dxfId="1772">
      <pivotArea dataOnly="0" labelOnly="1" fieldPosition="0">
        <references count="4">
          <reference field="2" count="1" selected="0">
            <x v="6"/>
          </reference>
          <reference field="3" count="1" selected="0">
            <x v="15"/>
          </reference>
          <reference field="4" count="1" selected="0">
            <x v="52"/>
          </reference>
          <reference field="5" count="1">
            <x v="111"/>
          </reference>
        </references>
      </pivotArea>
    </format>
    <format dxfId="1771">
      <pivotArea dataOnly="0" labelOnly="1" fieldPosition="0">
        <references count="4">
          <reference field="2" count="1" selected="0">
            <x v="6"/>
          </reference>
          <reference field="3" count="1" selected="0">
            <x v="15"/>
          </reference>
          <reference field="4" count="1" selected="0">
            <x v="54"/>
          </reference>
          <reference field="5" count="1">
            <x v="116"/>
          </reference>
        </references>
      </pivotArea>
    </format>
    <format dxfId="1770">
      <pivotArea dataOnly="0" labelOnly="1" fieldPosition="0">
        <references count="4">
          <reference field="2" count="1" selected="0">
            <x v="6"/>
          </reference>
          <reference field="3" count="1" selected="0">
            <x v="15"/>
          </reference>
          <reference field="4" count="1" selected="0">
            <x v="55"/>
          </reference>
          <reference field="5" count="4">
            <x v="112"/>
            <x v="113"/>
            <x v="114"/>
            <x v="115"/>
          </reference>
        </references>
      </pivotArea>
    </format>
    <format dxfId="1769">
      <pivotArea dataOnly="0" labelOnly="1" fieldPosition="0">
        <references count="4">
          <reference field="2" count="1" selected="0">
            <x v="6"/>
          </reference>
          <reference field="3" count="1" selected="0">
            <x v="16"/>
          </reference>
          <reference field="4" count="1" selected="0">
            <x v="56"/>
          </reference>
          <reference field="5" count="1">
            <x v="117"/>
          </reference>
        </references>
      </pivotArea>
    </format>
    <format dxfId="1768">
      <pivotArea dataOnly="0" labelOnly="1" fieldPosition="0">
        <references count="4">
          <reference field="2" count="1" selected="0">
            <x v="6"/>
          </reference>
          <reference field="3" count="1" selected="0">
            <x v="16"/>
          </reference>
          <reference field="4" count="1" selected="0">
            <x v="57"/>
          </reference>
          <reference field="5" count="1">
            <x v="133"/>
          </reference>
        </references>
      </pivotArea>
    </format>
    <format dxfId="1767">
      <pivotArea dataOnly="0" labelOnly="1" fieldPosition="0">
        <references count="4">
          <reference field="2" count="1" selected="0">
            <x v="6"/>
          </reference>
          <reference field="3" count="1" selected="0">
            <x v="16"/>
          </reference>
          <reference field="4" count="1" selected="0">
            <x v="58"/>
          </reference>
          <reference field="5" count="1">
            <x v="118"/>
          </reference>
        </references>
      </pivotArea>
    </format>
    <format dxfId="1766">
      <pivotArea dataOnly="0" labelOnly="1" fieldPosition="0">
        <references count="4">
          <reference field="2" count="1" selected="0">
            <x v="6"/>
          </reference>
          <reference field="3" count="1" selected="0">
            <x v="17"/>
          </reference>
          <reference field="4" count="1" selected="0">
            <x v="59"/>
          </reference>
          <reference field="5" count="2">
            <x v="119"/>
            <x v="120"/>
          </reference>
        </references>
      </pivotArea>
    </format>
    <format dxfId="1765">
      <pivotArea dataOnly="0" labelOnly="1" fieldPosition="0">
        <references count="4">
          <reference field="2" count="1" selected="0">
            <x v="6"/>
          </reference>
          <reference field="3" count="1" selected="0">
            <x v="17"/>
          </reference>
          <reference field="4" count="1" selected="0">
            <x v="60"/>
          </reference>
          <reference field="5" count="1">
            <x v="121"/>
          </reference>
        </references>
      </pivotArea>
    </format>
    <format dxfId="1764">
      <pivotArea dataOnly="0" labelOnly="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1763">
      <pivotArea dataOnly="0" labelOnly="1" fieldPosition="0">
        <references count="4">
          <reference field="2" count="1" selected="0">
            <x v="3"/>
          </reference>
          <reference field="3" count="1" selected="0">
            <x v="11"/>
          </reference>
          <reference field="4" count="1" selected="0">
            <x v="30"/>
          </reference>
          <reference field="5" count="1">
            <x v="71"/>
          </reference>
        </references>
      </pivotArea>
    </format>
    <format dxfId="1762">
      <pivotArea field="6" type="button" dataOnly="0" labelOnly="1" outline="0" axis="axisPage" fieldPosition="0"/>
    </format>
    <format dxfId="1761">
      <pivotArea field="2" type="button" dataOnly="0" labelOnly="1" outline="0" axis="axisRow" fieldPosition="0"/>
    </format>
    <format dxfId="1760">
      <pivotArea dataOnly="0" labelOnly="1" fieldPosition="0">
        <references count="1">
          <reference field="2" count="6">
            <x v="1"/>
            <x v="3"/>
            <x v="4"/>
            <x v="5"/>
            <x v="6"/>
            <x v="7"/>
          </reference>
        </references>
      </pivotArea>
    </format>
    <format dxfId="1759">
      <pivotArea dataOnly="0" labelOnly="1" grandRow="1" outline="0" fieldPosition="0"/>
    </format>
    <format dxfId="1758">
      <pivotArea dataOnly="0" labelOnly="1" fieldPosition="0">
        <references count="2">
          <reference field="2" count="1" selected="0">
            <x v="1"/>
          </reference>
          <reference field="3" count="1">
            <x v="1"/>
          </reference>
        </references>
      </pivotArea>
    </format>
    <format dxfId="1757">
      <pivotArea dataOnly="0" labelOnly="1" fieldPosition="0">
        <references count="2">
          <reference field="2" count="1" selected="0">
            <x v="3"/>
          </reference>
          <reference field="3" count="3">
            <x v="5"/>
            <x v="6"/>
            <x v="11"/>
          </reference>
        </references>
      </pivotArea>
    </format>
    <format dxfId="1756">
      <pivotArea dataOnly="0" labelOnly="1" fieldPosition="0">
        <references count="2">
          <reference field="2" count="1" selected="0">
            <x v="4"/>
          </reference>
          <reference field="3" count="2">
            <x v="7"/>
            <x v="12"/>
          </reference>
        </references>
      </pivotArea>
    </format>
    <format dxfId="1755">
      <pivotArea dataOnly="0" labelOnly="1" fieldPosition="0">
        <references count="2">
          <reference field="2" count="1" selected="0">
            <x v="5"/>
          </reference>
          <reference field="3" count="2">
            <x v="8"/>
            <x v="13"/>
          </reference>
        </references>
      </pivotArea>
    </format>
    <format dxfId="1754">
      <pivotArea dataOnly="0" labelOnly="1" fieldPosition="0">
        <references count="2">
          <reference field="2" count="1" selected="0">
            <x v="6"/>
          </reference>
          <reference field="3" count="6">
            <x v="9"/>
            <x v="10"/>
            <x v="14"/>
            <x v="15"/>
            <x v="16"/>
            <x v="17"/>
          </reference>
        </references>
      </pivotArea>
    </format>
    <format dxfId="1753">
      <pivotArea dataOnly="0" labelOnly="1" fieldPosition="0">
        <references count="2">
          <reference field="2" count="1" selected="0">
            <x v="7"/>
          </reference>
          <reference field="3" count="1">
            <x v="18"/>
          </reference>
        </references>
      </pivotArea>
    </format>
    <format dxfId="1752">
      <pivotArea dataOnly="0" labelOnly="1" fieldPosition="0">
        <references count="3">
          <reference field="2" count="1" selected="0">
            <x v="1"/>
          </reference>
          <reference field="3" count="1" selected="0">
            <x v="1"/>
          </reference>
          <reference field="4" count="1">
            <x v="4"/>
          </reference>
        </references>
      </pivotArea>
    </format>
    <format dxfId="1751">
      <pivotArea dataOnly="0" labelOnly="1" fieldPosition="0">
        <references count="3">
          <reference field="2" count="1" selected="0">
            <x v="3"/>
          </reference>
          <reference field="3" count="1" selected="0">
            <x v="5"/>
          </reference>
          <reference field="4" count="1">
            <x v="17"/>
          </reference>
        </references>
      </pivotArea>
    </format>
    <format dxfId="1750">
      <pivotArea dataOnly="0" labelOnly="1" fieldPosition="0">
        <references count="3">
          <reference field="2" count="1" selected="0">
            <x v="3"/>
          </reference>
          <reference field="3" count="1" selected="0">
            <x v="6"/>
          </reference>
          <reference field="4" count="3">
            <x v="18"/>
            <x v="19"/>
            <x v="67"/>
          </reference>
        </references>
      </pivotArea>
    </format>
    <format dxfId="1749">
      <pivotArea dataOnly="0" labelOnly="1" fieldPosition="0">
        <references count="3">
          <reference field="2" count="1" selected="0">
            <x v="3"/>
          </reference>
          <reference field="3" count="1" selected="0">
            <x v="11"/>
          </reference>
          <reference field="4" count="2">
            <x v="30"/>
            <x v="32"/>
          </reference>
        </references>
      </pivotArea>
    </format>
    <format dxfId="1748">
      <pivotArea dataOnly="0" labelOnly="1" fieldPosition="0">
        <references count="3">
          <reference field="2" count="1" selected="0">
            <x v="4"/>
          </reference>
          <reference field="3" count="1" selected="0">
            <x v="7"/>
          </reference>
          <reference field="4" count="2">
            <x v="34"/>
            <x v="35"/>
          </reference>
        </references>
      </pivotArea>
    </format>
    <format dxfId="1747">
      <pivotArea dataOnly="0" labelOnly="1" fieldPosition="0">
        <references count="3">
          <reference field="2" count="1" selected="0">
            <x v="4"/>
          </reference>
          <reference field="3" count="1" selected="0">
            <x v="12"/>
          </reference>
          <reference field="4" count="2">
            <x v="36"/>
            <x v="38"/>
          </reference>
        </references>
      </pivotArea>
    </format>
    <format dxfId="1746">
      <pivotArea dataOnly="0" labelOnly="1" fieldPosition="0">
        <references count="3">
          <reference field="2" count="1" selected="0">
            <x v="5"/>
          </reference>
          <reference field="3" count="1" selected="0">
            <x v="8"/>
          </reference>
          <reference field="4" count="1">
            <x v="21"/>
          </reference>
        </references>
      </pivotArea>
    </format>
    <format dxfId="1745">
      <pivotArea dataOnly="0" labelOnly="1" fieldPosition="0">
        <references count="3">
          <reference field="2" count="1" selected="0">
            <x v="5"/>
          </reference>
          <reference field="3" count="1" selected="0">
            <x v="13"/>
          </reference>
          <reference field="4" count="3">
            <x v="39"/>
            <x v="40"/>
            <x v="41"/>
          </reference>
        </references>
      </pivotArea>
    </format>
    <format dxfId="1744">
      <pivotArea dataOnly="0" labelOnly="1" fieldPosition="0">
        <references count="3">
          <reference field="2" count="1" selected="0">
            <x v="6"/>
          </reference>
          <reference field="3" count="1" selected="0">
            <x v="9"/>
          </reference>
          <reference field="4" count="3">
            <x v="26"/>
            <x v="27"/>
            <x v="29"/>
          </reference>
        </references>
      </pivotArea>
    </format>
    <format dxfId="1743">
      <pivotArea dataOnly="0" labelOnly="1" fieldPosition="0">
        <references count="3">
          <reference field="2" count="1" selected="0">
            <x v="6"/>
          </reference>
          <reference field="3" count="1" selected="0">
            <x v="10"/>
          </reference>
          <reference field="4" count="4">
            <x v="42"/>
            <x v="44"/>
            <x v="63"/>
            <x v="64"/>
          </reference>
        </references>
      </pivotArea>
    </format>
    <format dxfId="1742">
      <pivotArea dataOnly="0" labelOnly="1" fieldPosition="0">
        <references count="3">
          <reference field="2" count="1" selected="0">
            <x v="6"/>
          </reference>
          <reference field="3" count="1" selected="0">
            <x v="14"/>
          </reference>
          <reference field="4" count="4">
            <x v="46"/>
            <x v="48"/>
            <x v="50"/>
            <x v="51"/>
          </reference>
        </references>
      </pivotArea>
    </format>
    <format dxfId="1741">
      <pivotArea dataOnly="0" labelOnly="1" fieldPosition="0">
        <references count="3">
          <reference field="2" count="1" selected="0">
            <x v="6"/>
          </reference>
          <reference field="3" count="1" selected="0">
            <x v="15"/>
          </reference>
          <reference field="4" count="2">
            <x v="52"/>
            <x v="55"/>
          </reference>
        </references>
      </pivotArea>
    </format>
    <format dxfId="1740">
      <pivotArea dataOnly="0" labelOnly="1" fieldPosition="0">
        <references count="3">
          <reference field="2" count="1" selected="0">
            <x v="6"/>
          </reference>
          <reference field="3" count="1" selected="0">
            <x v="16"/>
          </reference>
          <reference field="4" count="2">
            <x v="57"/>
            <x v="58"/>
          </reference>
        </references>
      </pivotArea>
    </format>
    <format dxfId="1739">
      <pivotArea dataOnly="0" labelOnly="1" fieldPosition="0">
        <references count="3">
          <reference field="2" count="1" selected="0">
            <x v="6"/>
          </reference>
          <reference field="3" count="1" selected="0">
            <x v="17"/>
          </reference>
          <reference field="4" count="3">
            <x v="59"/>
            <x v="60"/>
            <x v="61"/>
          </reference>
        </references>
      </pivotArea>
    </format>
    <format dxfId="1738">
      <pivotArea dataOnly="0" labelOnly="1" fieldPosition="0">
        <references count="3">
          <reference field="2" count="1" selected="0">
            <x v="7"/>
          </reference>
          <reference field="3" count="1" selected="0">
            <x v="18"/>
          </reference>
          <reference field="4" count="1">
            <x v="62"/>
          </reference>
        </references>
      </pivotArea>
    </format>
    <format dxfId="1737">
      <pivotArea dataOnly="0" labelOnly="1" fieldPosition="0">
        <references count="4">
          <reference field="2" count="1" selected="0">
            <x v="1"/>
          </reference>
          <reference field="3" count="1" selected="0">
            <x v="1"/>
          </reference>
          <reference field="4" count="1" selected="0">
            <x v="4"/>
          </reference>
          <reference field="5" count="3">
            <x v="4"/>
            <x v="5"/>
            <x v="6"/>
          </reference>
        </references>
      </pivotArea>
    </format>
    <format dxfId="1736">
      <pivotArea dataOnly="0" labelOnly="1" fieldPosition="0">
        <references count="4">
          <reference field="2" count="1" selected="0">
            <x v="3"/>
          </reference>
          <reference field="3" count="1" selected="0">
            <x v="5"/>
          </reference>
          <reference field="4" count="1" selected="0">
            <x v="17"/>
          </reference>
          <reference field="5" count="2">
            <x v="69"/>
            <x v="94"/>
          </reference>
        </references>
      </pivotArea>
    </format>
    <format dxfId="1735">
      <pivotArea dataOnly="0" labelOnly="1" fieldPosition="0">
        <references count="4">
          <reference field="2" count="1" selected="0">
            <x v="3"/>
          </reference>
          <reference field="3" count="1" selected="0">
            <x v="6"/>
          </reference>
          <reference field="4" count="1" selected="0">
            <x v="18"/>
          </reference>
          <reference field="5" count="2">
            <x v="9"/>
            <x v="128"/>
          </reference>
        </references>
      </pivotArea>
    </format>
    <format dxfId="1734">
      <pivotArea dataOnly="0" labelOnly="1" fieldPosition="0">
        <references count="4">
          <reference field="2" count="1" selected="0">
            <x v="3"/>
          </reference>
          <reference field="3" count="1" selected="0">
            <x v="6"/>
          </reference>
          <reference field="4" count="1" selected="0">
            <x v="19"/>
          </reference>
          <reference field="5" count="1">
            <x v="127"/>
          </reference>
        </references>
      </pivotArea>
    </format>
    <format dxfId="1733">
      <pivotArea dataOnly="0" labelOnly="1" fieldPosition="0">
        <references count="4">
          <reference field="2" count="1" selected="0">
            <x v="3"/>
          </reference>
          <reference field="3" count="1" selected="0">
            <x v="6"/>
          </reference>
          <reference field="4" count="1" selected="0">
            <x v="67"/>
          </reference>
          <reference field="5" count="1">
            <x v="140"/>
          </reference>
        </references>
      </pivotArea>
    </format>
    <format dxfId="1732">
      <pivotArea dataOnly="0" labelOnly="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1731">
      <pivotArea dataOnly="0" labelOnly="1" fieldPosition="0">
        <references count="4">
          <reference field="2" count="1" selected="0">
            <x v="3"/>
          </reference>
          <reference field="3" count="1" selected="0">
            <x v="11"/>
          </reference>
          <reference field="4" count="1" selected="0">
            <x v="32"/>
          </reference>
          <reference field="5" count="5">
            <x v="74"/>
            <x v="75"/>
            <x v="76"/>
            <x v="77"/>
            <x v="139"/>
          </reference>
        </references>
      </pivotArea>
    </format>
    <format dxfId="1730">
      <pivotArea dataOnly="0" labelOnly="1" fieldPosition="0">
        <references count="4">
          <reference field="2" count="1" selected="0">
            <x v="4"/>
          </reference>
          <reference field="3" count="1" selected="0">
            <x v="7"/>
          </reference>
          <reference field="4" count="1" selected="0">
            <x v="34"/>
          </reference>
          <reference field="5" count="2">
            <x v="78"/>
            <x v="79"/>
          </reference>
        </references>
      </pivotArea>
    </format>
    <format dxfId="1729">
      <pivotArea dataOnly="0" labelOnly="1" fieldPosition="0">
        <references count="4">
          <reference field="2" count="1" selected="0">
            <x v="4"/>
          </reference>
          <reference field="3" count="1" selected="0">
            <x v="7"/>
          </reference>
          <reference field="4" count="1" selected="0">
            <x v="35"/>
          </reference>
          <reference field="5" count="2">
            <x v="80"/>
            <x v="81"/>
          </reference>
        </references>
      </pivotArea>
    </format>
    <format dxfId="1728">
      <pivotArea dataOnly="0" labelOnly="1" fieldPosition="0">
        <references count="4">
          <reference field="2" count="1" selected="0">
            <x v="4"/>
          </reference>
          <reference field="3" count="1" selected="0">
            <x v="12"/>
          </reference>
          <reference field="4" count="1" selected="0">
            <x v="36"/>
          </reference>
          <reference field="5" count="2">
            <x v="82"/>
            <x v="83"/>
          </reference>
        </references>
      </pivotArea>
    </format>
    <format dxfId="1727">
      <pivotArea dataOnly="0" labelOnly="1" fieldPosition="0">
        <references count="4">
          <reference field="2" count="1" selected="0">
            <x v="4"/>
          </reference>
          <reference field="3" count="1" selected="0">
            <x v="12"/>
          </reference>
          <reference field="4" count="1" selected="0">
            <x v="38"/>
          </reference>
          <reference field="5" count="2">
            <x v="84"/>
            <x v="85"/>
          </reference>
        </references>
      </pivotArea>
    </format>
    <format dxfId="1726">
      <pivotArea dataOnly="0" labelOnly="1" fieldPosition="0">
        <references count="4">
          <reference field="2" count="1" selected="0">
            <x v="5"/>
          </reference>
          <reference field="3" count="1" selected="0">
            <x v="8"/>
          </reference>
          <reference field="4" count="1" selected="0">
            <x v="21"/>
          </reference>
          <reference field="5" count="2">
            <x v="10"/>
            <x v="11"/>
          </reference>
        </references>
      </pivotArea>
    </format>
    <format dxfId="1725">
      <pivotArea dataOnly="0" labelOnly="1" fieldPosition="0">
        <references count="4">
          <reference field="2" count="1" selected="0">
            <x v="5"/>
          </reference>
          <reference field="3" count="1" selected="0">
            <x v="13"/>
          </reference>
          <reference field="4" count="1" selected="0">
            <x v="39"/>
          </reference>
          <reference field="5" count="5">
            <x v="89"/>
            <x v="90"/>
            <x v="91"/>
            <x v="92"/>
            <x v="93"/>
          </reference>
        </references>
      </pivotArea>
    </format>
    <format dxfId="1724">
      <pivotArea dataOnly="0" labelOnly="1" fieldPosition="0">
        <references count="4">
          <reference field="2" count="1" selected="0">
            <x v="5"/>
          </reference>
          <reference field="3" count="1" selected="0">
            <x v="13"/>
          </reference>
          <reference field="4" count="1" selected="0">
            <x v="40"/>
          </reference>
          <reference field="5" count="2">
            <x v="95"/>
            <x v="96"/>
          </reference>
        </references>
      </pivotArea>
    </format>
    <format dxfId="1723">
      <pivotArea dataOnly="0" labelOnly="1" fieldPosition="0">
        <references count="4">
          <reference field="2" count="1" selected="0">
            <x v="5"/>
          </reference>
          <reference field="3" count="1" selected="0">
            <x v="13"/>
          </reference>
          <reference field="4" count="1" selected="0">
            <x v="41"/>
          </reference>
          <reference field="5" count="2">
            <x v="97"/>
            <x v="98"/>
          </reference>
        </references>
      </pivotArea>
    </format>
    <format dxfId="1722">
      <pivotArea dataOnly="0" labelOnly="1" fieldPosition="0">
        <references count="4">
          <reference field="2" count="1" selected="0">
            <x v="6"/>
          </reference>
          <reference field="3" count="1" selected="0">
            <x v="9"/>
          </reference>
          <reference field="4" count="1" selected="0">
            <x v="26"/>
          </reference>
          <reference field="5" count="1">
            <x v="73"/>
          </reference>
        </references>
      </pivotArea>
    </format>
    <format dxfId="1721">
      <pivotArea dataOnly="0" labelOnly="1" fieldPosition="0">
        <references count="4">
          <reference field="2" count="1" selected="0">
            <x v="6"/>
          </reference>
          <reference field="3" count="1" selected="0">
            <x v="9"/>
          </reference>
          <reference field="4" count="1" selected="0">
            <x v="29"/>
          </reference>
          <reference field="5" count="1">
            <x v="32"/>
          </reference>
        </references>
      </pivotArea>
    </format>
    <format dxfId="1720">
      <pivotArea dataOnly="0" labelOnly="1" fieldPosition="0">
        <references count="4">
          <reference field="2" count="1" selected="0">
            <x v="6"/>
          </reference>
          <reference field="3" count="1" selected="0">
            <x v="10"/>
          </reference>
          <reference field="4" count="1" selected="0">
            <x v="42"/>
          </reference>
          <reference field="5" count="1">
            <x v="99"/>
          </reference>
        </references>
      </pivotArea>
    </format>
    <format dxfId="1719">
      <pivotArea dataOnly="0" labelOnly="1" fieldPosition="0">
        <references count="4">
          <reference field="2" count="1" selected="0">
            <x v="6"/>
          </reference>
          <reference field="3" count="1" selected="0">
            <x v="10"/>
          </reference>
          <reference field="4" count="1" selected="0">
            <x v="44"/>
          </reference>
          <reference field="5" count="1">
            <x v="100"/>
          </reference>
        </references>
      </pivotArea>
    </format>
    <format dxfId="1718">
      <pivotArea dataOnly="0" labelOnly="1" fieldPosition="0">
        <references count="4">
          <reference field="2" count="1" selected="0">
            <x v="6"/>
          </reference>
          <reference field="3" count="1" selected="0">
            <x v="10"/>
          </reference>
          <reference field="4" count="1" selected="0">
            <x v="63"/>
          </reference>
          <reference field="5" count="1">
            <x v="104"/>
          </reference>
        </references>
      </pivotArea>
    </format>
    <format dxfId="1717">
      <pivotArea dataOnly="0" labelOnly="1" fieldPosition="0">
        <references count="4">
          <reference field="2" count="1" selected="0">
            <x v="6"/>
          </reference>
          <reference field="3" count="1" selected="0">
            <x v="10"/>
          </reference>
          <reference field="4" count="1" selected="0">
            <x v="64"/>
          </reference>
          <reference field="5" count="1">
            <x v="105"/>
          </reference>
        </references>
      </pivotArea>
    </format>
    <format dxfId="1716">
      <pivotArea dataOnly="0" labelOnly="1" fieldPosition="0">
        <references count="4">
          <reference field="2" count="1" selected="0">
            <x v="6"/>
          </reference>
          <reference field="3" count="1" selected="0">
            <x v="14"/>
          </reference>
          <reference field="4" count="1" selected="0">
            <x v="46"/>
          </reference>
          <reference field="5" count="3">
            <x v="134"/>
            <x v="135"/>
            <x v="136"/>
          </reference>
        </references>
      </pivotArea>
    </format>
    <format dxfId="1715">
      <pivotArea dataOnly="0" labelOnly="1" fieldPosition="0">
        <references count="4">
          <reference field="2" count="1" selected="0">
            <x v="6"/>
          </reference>
          <reference field="3" count="1" selected="0">
            <x v="14"/>
          </reference>
          <reference field="4" count="1" selected="0">
            <x v="48"/>
          </reference>
          <reference field="5" count="1">
            <x v="107"/>
          </reference>
        </references>
      </pivotArea>
    </format>
    <format dxfId="1714">
      <pivotArea dataOnly="0" labelOnly="1" fieldPosition="0">
        <references count="4">
          <reference field="2" count="1" selected="0">
            <x v="6"/>
          </reference>
          <reference field="3" count="1" selected="0">
            <x v="14"/>
          </reference>
          <reference field="4" count="1" selected="0">
            <x v="50"/>
          </reference>
          <reference field="5" count="2">
            <x v="108"/>
            <x v="109"/>
          </reference>
        </references>
      </pivotArea>
    </format>
    <format dxfId="1713">
      <pivotArea dataOnly="0" labelOnly="1" fieldPosition="0">
        <references count="4">
          <reference field="2" count="1" selected="0">
            <x v="6"/>
          </reference>
          <reference field="3" count="1" selected="0">
            <x v="14"/>
          </reference>
          <reference field="4" count="1" selected="0">
            <x v="51"/>
          </reference>
          <reference field="5" count="1">
            <x v="110"/>
          </reference>
        </references>
      </pivotArea>
    </format>
    <format dxfId="1712">
      <pivotArea dataOnly="0" labelOnly="1" fieldPosition="0">
        <references count="4">
          <reference field="2" count="1" selected="0">
            <x v="6"/>
          </reference>
          <reference field="3" count="1" selected="0">
            <x v="15"/>
          </reference>
          <reference field="4" count="1" selected="0">
            <x v="52"/>
          </reference>
          <reference field="5" count="1">
            <x v="111"/>
          </reference>
        </references>
      </pivotArea>
    </format>
    <format dxfId="1711">
      <pivotArea dataOnly="0" labelOnly="1" fieldPosition="0">
        <references count="4">
          <reference field="2" count="1" selected="0">
            <x v="6"/>
          </reference>
          <reference field="3" count="1" selected="0">
            <x v="15"/>
          </reference>
          <reference field="4" count="1" selected="0">
            <x v="55"/>
          </reference>
          <reference field="5" count="4">
            <x v="112"/>
            <x v="113"/>
            <x v="114"/>
            <x v="115"/>
          </reference>
        </references>
      </pivotArea>
    </format>
    <format dxfId="1710">
      <pivotArea dataOnly="0" labelOnly="1" fieldPosition="0">
        <references count="4">
          <reference field="2" count="1" selected="0">
            <x v="6"/>
          </reference>
          <reference field="3" count="1" selected="0">
            <x v="16"/>
          </reference>
          <reference field="4" count="1" selected="0">
            <x v="57"/>
          </reference>
          <reference field="5" count="3">
            <x v="131"/>
            <x v="132"/>
            <x v="133"/>
          </reference>
        </references>
      </pivotArea>
    </format>
    <format dxfId="1709">
      <pivotArea dataOnly="0" labelOnly="1" fieldPosition="0">
        <references count="4">
          <reference field="2" count="1" selected="0">
            <x v="6"/>
          </reference>
          <reference field="3" count="1" selected="0">
            <x v="16"/>
          </reference>
          <reference field="4" count="1" selected="0">
            <x v="58"/>
          </reference>
          <reference field="5" count="1">
            <x v="118"/>
          </reference>
        </references>
      </pivotArea>
    </format>
    <format dxfId="1708">
      <pivotArea dataOnly="0" labelOnly="1" fieldPosition="0">
        <references count="4">
          <reference field="2" count="1" selected="0">
            <x v="6"/>
          </reference>
          <reference field="3" count="1" selected="0">
            <x v="17"/>
          </reference>
          <reference field="4" count="1" selected="0">
            <x v="59"/>
          </reference>
          <reference field="5" count="2">
            <x v="119"/>
            <x v="120"/>
          </reference>
        </references>
      </pivotArea>
    </format>
    <format dxfId="1707">
      <pivotArea dataOnly="0" labelOnly="1" fieldPosition="0">
        <references count="4">
          <reference field="2" count="1" selected="0">
            <x v="6"/>
          </reference>
          <reference field="3" count="1" selected="0">
            <x v="17"/>
          </reference>
          <reference field="4" count="1" selected="0">
            <x v="60"/>
          </reference>
          <reference field="5" count="1">
            <x v="121"/>
          </reference>
        </references>
      </pivotArea>
    </format>
    <format dxfId="1706">
      <pivotArea dataOnly="0" labelOnly="1" fieldPosition="0">
        <references count="4">
          <reference field="2" count="1" selected="0">
            <x v="6"/>
          </reference>
          <reference field="3" count="1" selected="0">
            <x v="17"/>
          </reference>
          <reference field="4" count="1" selected="0">
            <x v="61"/>
          </reference>
          <reference field="5" count="6">
            <x v="122"/>
            <x v="123"/>
            <x v="124"/>
            <x v="125"/>
            <x v="141"/>
            <x v="142"/>
          </reference>
        </references>
      </pivotArea>
    </format>
    <format dxfId="1705">
      <pivotArea dataOnly="0" labelOnly="1" fieldPosition="0">
        <references count="4">
          <reference field="2" count="1" selected="0">
            <x v="7"/>
          </reference>
          <reference field="3" count="1" selected="0">
            <x v="18"/>
          </reference>
          <reference field="4" count="1" selected="0">
            <x v="62"/>
          </reference>
          <reference field="5" count="4">
            <x v="143"/>
            <x v="144"/>
            <x v="145"/>
            <x v="146"/>
          </reference>
        </references>
      </pivotArea>
    </format>
  </formats>
  <pivotTableStyleInfo name="Pivot_subinterventii"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purl.oclc.org/ooxml/spreadsheetml/main" xmlns:mc="http://schemas.openxmlformats.org/markup-compatibility/2006" xmlns:xr="http://schemas.microsoft.com/office/spreadsheetml/2014/revision" mc:Ignorable="xr" xr:uid="{00000000-0007-0000-0400-000000000000}" name="PivotTable1" cacheId="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B3:H36" firstHeaderRow="0" firstDataRow="1" firstDataCol="1" rowPageCount="1" colPageCount="1"/>
  <pivotFields count="55">
    <pivotField showAll="0" insertBlankRow="1"/>
    <pivotField showAll="0" insertBlankRow="1"/>
    <pivotField axis="axisRow" showAll="0" insertBlankRow="1">
      <items count="9">
        <item x="7"/>
        <item x="0"/>
        <item x="5"/>
        <item x="1"/>
        <item x="2"/>
        <item x="3"/>
        <item x="4"/>
        <item x="6"/>
        <item t="default"/>
      </items>
    </pivotField>
    <pivotField axis="axisRow" showAll="0" insertBlankRow="1">
      <items count="21">
        <item x="19"/>
        <item x="0"/>
        <item x="9"/>
        <item x="6"/>
        <item x="7"/>
        <item x="1"/>
        <item x="4"/>
        <item x="2"/>
        <item x="3"/>
        <item x="5"/>
        <item x="8"/>
        <item x="10"/>
        <item x="13"/>
        <item x="12"/>
        <item x="14"/>
        <item x="11"/>
        <item x="15"/>
        <item x="16"/>
        <item x="17"/>
        <item x="18"/>
        <item t="default"/>
      </items>
    </pivotField>
    <pivotField axis="axisRow" showAll="0" insertBlankRow="1">
      <items count="70">
        <item x="64"/>
        <item x="0"/>
        <item x="1"/>
        <item x="2"/>
        <item x="3"/>
        <item m="1" x="67"/>
        <item x="28"/>
        <item x="15"/>
        <item x="20"/>
        <item x="21"/>
        <item x="27"/>
        <item x="18"/>
        <item x="16"/>
        <item x="6"/>
        <item x="7"/>
        <item x="4"/>
        <item x="17"/>
        <item x="19"/>
        <item x="13"/>
        <item x="22"/>
        <item x="5"/>
        <item x="8"/>
        <item x="9"/>
        <item x="10"/>
        <item x="12"/>
        <item x="11"/>
        <item x="23"/>
        <item x="26"/>
        <item x="14"/>
        <item x="24"/>
        <item x="30"/>
        <item x="32"/>
        <item x="33"/>
        <item m="1" x="65"/>
        <item x="36"/>
        <item x="37"/>
        <item x="38"/>
        <item m="1" x="66"/>
        <item x="39"/>
        <item x="34"/>
        <item x="41"/>
        <item x="42"/>
        <item x="43"/>
        <item x="44"/>
        <item x="45"/>
        <item x="46"/>
        <item x="48"/>
        <item x="49"/>
        <item x="50"/>
        <item m="1" x="68"/>
        <item x="51"/>
        <item x="52"/>
        <item x="53"/>
        <item x="31"/>
        <item x="35"/>
        <item x="54"/>
        <item x="55"/>
        <item x="56"/>
        <item x="57"/>
        <item x="58"/>
        <item x="59"/>
        <item x="60"/>
        <item x="61"/>
        <item x="29"/>
        <item x="47"/>
        <item x="25"/>
        <item x="40"/>
        <item x="62"/>
        <item x="63"/>
        <item t="default"/>
      </items>
    </pivotField>
    <pivotField axis="axisRow" showAll="0" insertBlankRow="1">
      <items count="179">
        <item x="177"/>
        <item x="0"/>
        <item x="1"/>
        <item x="2"/>
        <item x="3"/>
        <item x="4"/>
        <item x="5"/>
        <item x="68"/>
        <item x="74"/>
        <item x="41"/>
        <item x="29"/>
        <item x="30"/>
        <item x="31"/>
        <item x="32"/>
        <item x="47"/>
        <item x="49"/>
        <item x="45"/>
        <item x="10"/>
        <item x="12"/>
        <item x="17"/>
        <item x="20"/>
        <item x="25"/>
        <item x="27"/>
        <item x="46"/>
        <item x="48"/>
        <item x="44"/>
        <item x="50"/>
        <item x="53"/>
        <item x="67"/>
        <item x="66"/>
        <item x="75"/>
        <item x="76"/>
        <item x="71"/>
        <item x="35"/>
        <item x="33"/>
        <item x="39"/>
        <item x="37"/>
        <item x="36"/>
        <item x="34"/>
        <item x="40"/>
        <item x="38"/>
        <item x="72"/>
        <item x="64"/>
        <item x="51"/>
        <item x="54"/>
        <item x="52"/>
        <item x="55"/>
        <item x="62"/>
        <item x="63"/>
        <item x="57"/>
        <item x="60"/>
        <item x="61"/>
        <item x="58"/>
        <item x="59"/>
        <item x="56"/>
        <item x="11"/>
        <item x="13"/>
        <item x="16"/>
        <item x="14"/>
        <item x="9"/>
        <item x="18"/>
        <item x="19"/>
        <item x="21"/>
        <item x="26"/>
        <item x="23"/>
        <item x="24"/>
        <item x="28"/>
        <item x="15"/>
        <item x="6"/>
        <item x="65"/>
        <item x="84"/>
        <item x="85"/>
        <item x="86"/>
        <item x="70"/>
        <item x="90"/>
        <item x="91"/>
        <item x="93"/>
        <item x="92"/>
        <item x="99"/>
        <item x="100"/>
        <item x="101"/>
        <item x="102"/>
        <item x="103"/>
        <item x="104"/>
        <item x="105"/>
        <item x="106"/>
        <item x="107"/>
        <item x="108"/>
        <item x="109"/>
        <item x="110"/>
        <item x="111"/>
        <item x="112"/>
        <item x="113"/>
        <item x="114"/>
        <item x="115"/>
        <item x="162"/>
        <item x="116"/>
        <item x="119"/>
        <item x="120"/>
        <item x="124"/>
        <item x="126"/>
        <item x="127"/>
        <item x="128"/>
        <item x="125"/>
        <item x="129"/>
        <item x="130"/>
        <item x="134"/>
        <item x="135"/>
        <item x="136"/>
        <item x="137"/>
        <item x="138"/>
        <item x="139"/>
        <item x="141"/>
        <item x="142"/>
        <item x="143"/>
        <item x="144"/>
        <item x="145"/>
        <item x="146"/>
        <item x="150"/>
        <item x="151"/>
        <item x="152"/>
        <item x="153"/>
        <item x="154"/>
        <item x="155"/>
        <item x="156"/>
        <item x="157"/>
        <item x="88"/>
        <item x="69"/>
        <item x="42"/>
        <item x="43"/>
        <item x="7"/>
        <item x="147"/>
        <item x="148"/>
        <item x="149"/>
        <item x="131"/>
        <item x="132"/>
        <item x="133"/>
        <item x="79"/>
        <item x="80"/>
        <item x="95"/>
        <item x="164"/>
        <item x="165"/>
        <item x="166"/>
        <item x="158"/>
        <item x="159"/>
        <item x="160"/>
        <item x="161"/>
        <item x="22"/>
        <item x="89"/>
        <item x="168"/>
        <item x="8"/>
        <item x="163"/>
        <item x="96"/>
        <item x="97"/>
        <item x="94"/>
        <item x="123"/>
        <item x="121"/>
        <item x="122"/>
        <item x="169"/>
        <item x="167"/>
        <item x="172"/>
        <item x="173"/>
        <item x="87"/>
        <item x="140"/>
        <item x="98"/>
        <item x="174"/>
        <item x="81"/>
        <item x="82"/>
        <item x="83"/>
        <item x="176"/>
        <item x="77"/>
        <item x="78"/>
        <item x="117"/>
        <item x="118"/>
        <item x="73"/>
        <item x="170"/>
        <item x="175"/>
        <item x="171"/>
        <item t="default"/>
      </items>
    </pivotField>
    <pivotField axis="axisPage" multipleItemSelectionAllowed="1" showAll="0" defaultSubtotal="0">
      <items count="4">
        <item h="1" x="0"/>
        <item x="2"/>
        <item h="1" x="1"/>
        <item h="1" x="3"/>
      </items>
    </pivotField>
    <pivotField showAll="0" insertBlankRow="1"/>
    <pivotField showAll="0" insertBlankRow="1"/>
    <pivotField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dataField="1" numFmtId="4" showAll="0" insertBlankRow="1"/>
  </pivotFields>
  <rowFields count="4">
    <field x="2"/>
    <field x="3"/>
    <field x="4"/>
    <field x="5"/>
  </rowFields>
  <rowItems count="33">
    <i>
      <x v="1"/>
    </i>
    <i r="1">
      <x v="1"/>
    </i>
    <i r="2">
      <x v="4"/>
    </i>
    <i r="3">
      <x v="150"/>
    </i>
    <i r="3">
      <x v="151"/>
    </i>
    <i r="3">
      <x v="164"/>
    </i>
    <i t="blank" r="2">
      <x v="4"/>
    </i>
    <i>
      <x v="3"/>
    </i>
    <i r="1">
      <x v="11"/>
    </i>
    <i r="2">
      <x v="31"/>
    </i>
    <i r="3">
      <x v="159"/>
    </i>
    <i t="blank" r="2">
      <x v="31"/>
    </i>
    <i>
      <x v="6"/>
    </i>
    <i r="1">
      <x v="15"/>
    </i>
    <i r="2">
      <x v="53"/>
    </i>
    <i r="3">
      <x v="162"/>
    </i>
    <i r="3">
      <x v="163"/>
    </i>
    <i t="blank" r="2">
      <x v="53"/>
    </i>
    <i r="2">
      <x v="54"/>
    </i>
    <i r="3">
      <x v="116"/>
    </i>
    <i r="3">
      <x v="152"/>
    </i>
    <i r="3">
      <x v="153"/>
    </i>
    <i r="3">
      <x v="156"/>
    </i>
    <i r="3">
      <x v="157"/>
    </i>
    <i r="3">
      <x v="158"/>
    </i>
    <i r="3">
      <x v="160"/>
    </i>
    <i r="3">
      <x v="161"/>
    </i>
    <i t="blank" r="2">
      <x v="54"/>
    </i>
    <i r="1">
      <x v="16"/>
    </i>
    <i r="2">
      <x v="56"/>
    </i>
    <i r="3">
      <x v="117"/>
    </i>
    <i t="blank" r="2">
      <x v="56"/>
    </i>
    <i t="grand">
      <x/>
    </i>
  </rowItems>
  <colFields count="1">
    <field x="-2"/>
  </colFields>
  <colItems count="6">
    <i>
      <x/>
    </i>
    <i i="1">
      <x v="1"/>
    </i>
    <i i="2">
      <x v="2"/>
    </i>
    <i i="3">
      <x v="3"/>
    </i>
    <i i="4">
      <x v="4"/>
    </i>
    <i i="5">
      <x v="5"/>
    </i>
  </colItems>
  <pageFields count="1">
    <pageField fld="6" hier="-1"/>
  </pageFields>
  <dataFields count="6">
    <dataField name="Sum of 2021" fld="10" baseField="5" baseItem="162" numFmtId="4"/>
    <dataField name="Sum of 2022" fld="19" baseField="5" baseItem="59" numFmtId="4"/>
    <dataField name="Sum of 2023" fld="28" baseField="5" baseItem="59" numFmtId="4"/>
    <dataField name="Sum of 2024" fld="37" baseField="5" baseItem="59" numFmtId="4"/>
    <dataField name="Sum of 2025" fld="46" baseField="5" baseItem="59" numFmtId="4"/>
    <dataField name="Sum of Cost sumar activitate 2021-2025" fld="54" baseField="5" baseItem="162" numFmtId="4"/>
  </dataFields>
  <formats count="468">
    <format dxfId="1703">
      <pivotArea type="all" dataOnly="0" outline="0" fieldPosition="0"/>
    </format>
    <format dxfId="1702">
      <pivotArea outline="0" collapsedLevelsAreSubtotals="1" fieldPosition="0"/>
    </format>
    <format dxfId="1701">
      <pivotArea field="2" type="button" dataOnly="0" labelOnly="1" outline="0" axis="axisRow" fieldPosition="0"/>
    </format>
    <format dxfId="1700">
      <pivotArea dataOnly="0" labelOnly="1" fieldPosition="0">
        <references count="1">
          <reference field="2" count="0"/>
        </references>
      </pivotArea>
    </format>
    <format dxfId="1699">
      <pivotArea dataOnly="0" labelOnly="1" grandRow="1" outline="0" fieldPosition="0"/>
    </format>
    <format dxfId="1698">
      <pivotArea dataOnly="0" labelOnly="1" fieldPosition="0">
        <references count="2">
          <reference field="2" count="1" selected="0">
            <x v="0"/>
          </reference>
          <reference field="3" count="0"/>
        </references>
      </pivotArea>
    </format>
    <format dxfId="1697">
      <pivotArea dataOnly="0" labelOnly="1" fieldPosition="0">
        <references count="3">
          <reference field="2" count="1" selected="0">
            <x v="0"/>
          </reference>
          <reference field="3" count="1" selected="0">
            <x v="0"/>
          </reference>
          <reference field="4" count="0"/>
        </references>
      </pivotArea>
    </format>
    <format dxfId="1696">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695">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57"/>
          </reference>
        </references>
      </pivotArea>
    </format>
    <format dxfId="1694">
      <pivotArea dataOnly="0" labelOnly="1" outline="0" fieldPosition="0">
        <references count="1">
          <reference field="4294967294" count="5">
            <x v="0"/>
            <x v="1"/>
            <x v="2"/>
            <x v="3"/>
            <x v="4"/>
          </reference>
        </references>
      </pivotArea>
    </format>
    <format dxfId="1693">
      <pivotArea dataOnly="0" outline="0" fieldPosition="0">
        <references count="1">
          <reference field="4294967294" count="1">
            <x v="4"/>
          </reference>
        </references>
      </pivotArea>
    </format>
    <format dxfId="1692">
      <pivotArea outline="0" collapsedLevelsAreSubtotals="1" fieldPosition="0"/>
    </format>
    <format dxfId="1691">
      <pivotArea dataOnly="0" labelOnly="1" outline="0" fieldPosition="0">
        <references count="1">
          <reference field="4294967294" count="5">
            <x v="0"/>
            <x v="1"/>
            <x v="2"/>
            <x v="3"/>
            <x v="4"/>
          </reference>
        </references>
      </pivotArea>
    </format>
    <format dxfId="1690">
      <pivotArea outline="0" collapsedLevelsAreSubtotals="1" fieldPosition="0"/>
    </format>
    <format dxfId="1689">
      <pivotArea dataOnly="0" labelOnly="1" outline="0" fieldPosition="0">
        <references count="1">
          <reference field="4294967294" count="5">
            <x v="0"/>
            <x v="1"/>
            <x v="2"/>
            <x v="3"/>
            <x v="4"/>
          </reference>
        </references>
      </pivotArea>
    </format>
    <format dxfId="1688">
      <pivotArea field="2" type="button" dataOnly="0" labelOnly="1" outline="0" axis="axisRow" fieldPosition="0"/>
    </format>
    <format dxfId="1687">
      <pivotArea dataOnly="0" labelOnly="1" fieldPosition="0">
        <references count="1">
          <reference field="2" count="0"/>
        </references>
      </pivotArea>
    </format>
    <format dxfId="1686">
      <pivotArea dataOnly="0" labelOnly="1" grandRow="1" outline="0" fieldPosition="0"/>
    </format>
    <format dxfId="1685">
      <pivotArea dataOnly="0" labelOnly="1" fieldPosition="0">
        <references count="2">
          <reference field="2" count="1" selected="0">
            <x v="0"/>
          </reference>
          <reference field="3" count="0"/>
        </references>
      </pivotArea>
    </format>
    <format dxfId="1684">
      <pivotArea dataOnly="0" labelOnly="1" fieldPosition="0">
        <references count="3">
          <reference field="2" count="1" selected="0">
            <x v="0"/>
          </reference>
          <reference field="3" count="1" selected="0">
            <x v="0"/>
          </reference>
          <reference field="4" count="0"/>
        </references>
      </pivotArea>
    </format>
    <format dxfId="1683">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682">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57"/>
          </reference>
        </references>
      </pivotArea>
    </format>
    <format dxfId="1681">
      <pivotArea type="all" dataOnly="0" outline="0" fieldPosition="0"/>
    </format>
    <format dxfId="1680">
      <pivotArea outline="0" collapsedLevelsAreSubtotals="1" fieldPosition="0"/>
    </format>
    <format dxfId="1679">
      <pivotArea field="2" type="button" dataOnly="0" labelOnly="1" outline="0" axis="axisRow" fieldPosition="0"/>
    </format>
    <format dxfId="1678">
      <pivotArea dataOnly="0" labelOnly="1" fieldPosition="0">
        <references count="1">
          <reference field="2" count="0"/>
        </references>
      </pivotArea>
    </format>
    <format dxfId="1677">
      <pivotArea dataOnly="0" labelOnly="1" grandRow="1" outline="0" fieldPosition="0"/>
    </format>
    <format dxfId="1676">
      <pivotArea dataOnly="0" labelOnly="1" fieldPosition="0">
        <references count="2">
          <reference field="2" count="1" selected="0">
            <x v="0"/>
          </reference>
          <reference field="3" count="0"/>
        </references>
      </pivotArea>
    </format>
    <format dxfId="1675">
      <pivotArea dataOnly="0" labelOnly="1" fieldPosition="0">
        <references count="3">
          <reference field="2" count="1" selected="0">
            <x v="0"/>
          </reference>
          <reference field="3" count="1" selected="0">
            <x v="0"/>
          </reference>
          <reference field="4" count="0"/>
        </references>
      </pivotArea>
    </format>
    <format dxfId="1674">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673">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672">
      <pivotArea dataOnly="0" labelOnly="1" outline="0" fieldPosition="0">
        <references count="1">
          <reference field="4294967294" count="5">
            <x v="0"/>
            <x v="1"/>
            <x v="2"/>
            <x v="3"/>
            <x v="4"/>
          </reference>
        </references>
      </pivotArea>
    </format>
    <format dxfId="1671">
      <pivotArea outline="0" collapsedLevelsAreSubtotals="1" fieldPosition="0">
        <references count="1">
          <reference field="4294967294" count="1" selected="0">
            <x v="4"/>
          </reference>
        </references>
      </pivotArea>
    </format>
    <format dxfId="1670">
      <pivotArea dataOnly="0" labelOnly="1" outline="0" fieldPosition="0">
        <references count="1">
          <reference field="4294967294" count="1">
            <x v="4"/>
          </reference>
        </references>
      </pivotArea>
    </format>
    <format dxfId="1669">
      <pivotArea outline="0" fieldPosition="0">
        <references count="1">
          <reference field="4294967294" count="1">
            <x v="0"/>
          </reference>
        </references>
      </pivotArea>
    </format>
    <format dxfId="1668">
      <pivotArea outline="0" fieldPosition="0">
        <references count="1">
          <reference field="4294967294" count="1">
            <x v="1"/>
          </reference>
        </references>
      </pivotArea>
    </format>
    <format dxfId="1667">
      <pivotArea outline="0" fieldPosition="0">
        <references count="1">
          <reference field="4294967294" count="1">
            <x v="2"/>
          </reference>
        </references>
      </pivotArea>
    </format>
    <format dxfId="1666">
      <pivotArea outline="0" fieldPosition="0">
        <references count="1">
          <reference field="4294967294" count="1">
            <x v="3"/>
          </reference>
        </references>
      </pivotArea>
    </format>
    <format dxfId="1665">
      <pivotArea outline="0" fieldPosition="0">
        <references count="1">
          <reference field="4294967294" count="1">
            <x v="4"/>
          </reference>
        </references>
      </pivotArea>
    </format>
    <format dxfId="1664">
      <pivotArea type="all" dataOnly="0" outline="0" fieldPosition="0"/>
    </format>
    <format dxfId="1663">
      <pivotArea outline="0" collapsedLevelsAreSubtotals="1" fieldPosition="0"/>
    </format>
    <format dxfId="1662">
      <pivotArea field="2" type="button" dataOnly="0" labelOnly="1" outline="0" axis="axisRow" fieldPosition="0"/>
    </format>
    <format dxfId="1661">
      <pivotArea dataOnly="0" labelOnly="1" fieldPosition="0">
        <references count="1">
          <reference field="2" count="0"/>
        </references>
      </pivotArea>
    </format>
    <format dxfId="1660">
      <pivotArea dataOnly="0" labelOnly="1" grandRow="1" outline="0" fieldPosition="0"/>
    </format>
    <format dxfId="1659">
      <pivotArea dataOnly="0" labelOnly="1" fieldPosition="0">
        <references count="2">
          <reference field="2" count="1" selected="0">
            <x v="0"/>
          </reference>
          <reference field="3" count="0"/>
        </references>
      </pivotArea>
    </format>
    <format dxfId="1658">
      <pivotArea dataOnly="0" labelOnly="1" fieldPosition="0">
        <references count="3">
          <reference field="2" count="1" selected="0">
            <x v="0"/>
          </reference>
          <reference field="3" count="1" selected="0">
            <x v="0"/>
          </reference>
          <reference field="4" count="0"/>
        </references>
      </pivotArea>
    </format>
    <format dxfId="1657">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656">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655">
      <pivotArea dataOnly="0" labelOnly="1" outline="0" fieldPosition="0">
        <references count="1">
          <reference field="4294967294" count="5">
            <x v="0"/>
            <x v="1"/>
            <x v="2"/>
            <x v="3"/>
            <x v="4"/>
          </reference>
        </references>
      </pivotArea>
    </format>
    <format dxfId="1654">
      <pivotArea outline="0" collapsedLevelsAreSubtotals="1" fieldPosition="0">
        <references count="1">
          <reference field="4294967294" count="1" selected="0">
            <x v="5"/>
          </reference>
        </references>
      </pivotArea>
    </format>
    <format dxfId="1653">
      <pivotArea dataOnly="0" labelOnly="1" outline="0" fieldPosition="0">
        <references count="1">
          <reference field="4294967294" count="1">
            <x v="5"/>
          </reference>
        </references>
      </pivotArea>
    </format>
    <format dxfId="1652">
      <pivotArea type="all" dataOnly="0" outline="0" fieldPosition="0"/>
    </format>
    <format dxfId="1651">
      <pivotArea dataOnly="0" labelOnly="1" fieldPosition="0">
        <references count="3">
          <reference field="2" count="1" selected="0">
            <x v="0"/>
          </reference>
          <reference field="3" count="1" selected="0">
            <x v="0"/>
          </reference>
          <reference field="4" count="0"/>
        </references>
      </pivotArea>
    </format>
    <format dxfId="1650">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649">
      <pivotArea dataOnly="0" labelOnly="1" fieldPosition="0">
        <references count="3">
          <reference field="2" count="1" selected="0">
            <x v="0"/>
          </reference>
          <reference field="3" count="1" selected="0">
            <x v="0"/>
          </reference>
          <reference field="4" count="0"/>
        </references>
      </pivotArea>
    </format>
    <format dxfId="1648">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647">
      <pivotArea dataOnly="0" labelOnly="1" fieldPosition="0">
        <references count="4">
          <reference field="2" count="1" selected="0">
            <x v="5"/>
          </reference>
          <reference field="3" count="1" selected="0">
            <x v="13"/>
          </reference>
          <reference field="4" count="1" selected="0">
            <x v="40"/>
          </reference>
          <reference field="5" count="36">
            <x v="14"/>
            <x v="15"/>
            <x v="16"/>
            <x v="23"/>
            <x v="24"/>
            <x v="25"/>
            <x v="32"/>
            <x v="41"/>
            <x v="73"/>
            <x v="96"/>
            <x v="99"/>
            <x v="100"/>
            <x v="101"/>
            <x v="102"/>
            <x v="103"/>
            <x v="104"/>
            <x v="105"/>
            <x v="106"/>
            <x v="107"/>
            <x v="108"/>
            <x v="109"/>
            <x v="110"/>
            <x v="111"/>
            <x v="112"/>
            <x v="113"/>
            <x v="114"/>
            <x v="115"/>
            <x v="116"/>
            <x v="117"/>
            <x v="118"/>
            <x v="119"/>
            <x v="120"/>
            <x v="121"/>
            <x v="122"/>
            <x v="123"/>
            <x v="133"/>
          </reference>
        </references>
      </pivotArea>
    </format>
    <format dxfId="1646">
      <pivotArea dataOnly="0" labelOnly="1" fieldPosition="0">
        <references count="3">
          <reference field="2" count="1" selected="0">
            <x v="0"/>
          </reference>
          <reference field="3" count="1" selected="0">
            <x v="0"/>
          </reference>
          <reference field="4" count="50">
            <x v="0"/>
            <x v="1"/>
            <x v="2"/>
            <x v="3"/>
            <x v="4"/>
            <x v="5"/>
            <x v="6"/>
            <x v="7"/>
            <x v="8"/>
            <x v="9"/>
            <x v="10"/>
            <x v="11"/>
            <x v="12"/>
            <x v="13"/>
            <x v="14"/>
            <x v="15"/>
            <x v="16"/>
            <x v="17"/>
            <x v="18"/>
            <x v="19"/>
            <x v="20"/>
            <x v="21"/>
            <x v="22"/>
            <x v="23"/>
            <x v="24"/>
            <x v="25"/>
            <x v="26"/>
            <x v="27"/>
            <x v="28"/>
            <x v="29"/>
            <x v="30"/>
            <x v="31"/>
            <x v="32"/>
            <x v="33"/>
            <x v="34"/>
            <x v="35"/>
            <x v="36"/>
            <x v="38"/>
            <x v="39"/>
            <x v="40"/>
            <x v="41"/>
            <x v="42"/>
            <x v="43"/>
            <x v="44"/>
            <x v="45"/>
            <x v="46"/>
            <x v="63"/>
            <x v="64"/>
            <x v="65"/>
            <x v="66"/>
          </reference>
        </references>
      </pivotArea>
    </format>
    <format dxfId="1645">
      <pivotArea dataOnly="0" labelOnly="1" fieldPosition="0">
        <references count="4">
          <reference field="2" count="1" selected="0">
            <x v="5"/>
          </reference>
          <reference field="3" count="1" selected="0">
            <x v="13"/>
          </reference>
          <reference field="4" count="1" selected="0">
            <x v="40"/>
          </reference>
          <reference field="5" count="36">
            <x v="14"/>
            <x v="15"/>
            <x v="16"/>
            <x v="23"/>
            <x v="24"/>
            <x v="25"/>
            <x v="32"/>
            <x v="41"/>
            <x v="73"/>
            <x v="99"/>
            <x v="100"/>
            <x v="101"/>
            <x v="102"/>
            <x v="103"/>
            <x v="104"/>
            <x v="105"/>
            <x v="106"/>
            <x v="107"/>
            <x v="108"/>
            <x v="109"/>
            <x v="110"/>
            <x v="111"/>
            <x v="112"/>
            <x v="113"/>
            <x v="114"/>
            <x v="115"/>
            <x v="116"/>
            <x v="117"/>
            <x v="118"/>
            <x v="119"/>
            <x v="120"/>
            <x v="121"/>
            <x v="122"/>
            <x v="123"/>
            <x v="124"/>
            <x v="133"/>
          </reference>
        </references>
      </pivotArea>
    </format>
    <format dxfId="1644">
      <pivotArea field="2" type="button" dataOnly="0" labelOnly="1" outline="0" axis="axisRow" fieldPosition="0"/>
    </format>
    <format dxfId="1643">
      <pivotArea dataOnly="0" labelOnly="1" fieldPosition="0">
        <references count="1">
          <reference field="2" count="0"/>
        </references>
      </pivotArea>
    </format>
    <format dxfId="1642">
      <pivotArea dataOnly="0" labelOnly="1" grandRow="1" outline="0" fieldPosition="0"/>
    </format>
    <format dxfId="1641">
      <pivotArea dataOnly="0" labelOnly="1" fieldPosition="0">
        <references count="2">
          <reference field="2" count="1" selected="0">
            <x v="0"/>
          </reference>
          <reference field="3" count="0"/>
        </references>
      </pivotArea>
    </format>
    <format dxfId="1640">
      <pivotArea dataOnly="0" labelOnly="1" fieldPosition="0">
        <references count="3">
          <reference field="2" count="1" selected="0">
            <x v="0"/>
          </reference>
          <reference field="3" count="1" selected="0">
            <x v="0"/>
          </reference>
          <reference field="4" count="25">
            <x v="0"/>
            <x v="1"/>
            <x v="2"/>
            <x v="3"/>
            <x v="4"/>
            <x v="5"/>
            <x v="6"/>
            <x v="7"/>
            <x v="8"/>
            <x v="9"/>
            <x v="10"/>
            <x v="11"/>
            <x v="12"/>
            <x v="13"/>
            <x v="14"/>
            <x v="15"/>
            <x v="16"/>
            <x v="17"/>
            <x v="18"/>
            <x v="19"/>
            <x v="20"/>
            <x v="30"/>
            <x v="31"/>
            <x v="32"/>
            <x v="33"/>
          </reference>
        </references>
      </pivotArea>
    </format>
    <format dxfId="1639">
      <pivotArea dataOnly="0" labelOnly="1" fieldPosition="0">
        <references count="3">
          <reference field="2" count="1" selected="0">
            <x v="4"/>
          </reference>
          <reference field="3" count="1" selected="0">
            <x v="7"/>
          </reference>
          <reference field="4" count="25">
            <x v="21"/>
            <x v="22"/>
            <x v="23"/>
            <x v="24"/>
            <x v="25"/>
            <x v="26"/>
            <x v="27"/>
            <x v="28"/>
            <x v="29"/>
            <x v="34"/>
            <x v="35"/>
            <x v="36"/>
            <x v="38"/>
            <x v="39"/>
            <x v="40"/>
            <x v="41"/>
            <x v="42"/>
            <x v="43"/>
            <x v="44"/>
            <x v="45"/>
            <x v="46"/>
            <x v="63"/>
            <x v="64"/>
            <x v="65"/>
            <x v="66"/>
          </reference>
        </references>
      </pivotArea>
    </format>
    <format dxfId="1638">
      <pivotArea dataOnly="0" labelOnly="1" fieldPosition="0">
        <references count="3">
          <reference field="2" count="1" selected="0">
            <x v="6"/>
          </reference>
          <reference field="3" count="1" selected="0">
            <x v="14"/>
          </reference>
          <reference field="4" count="15">
            <x v="47"/>
            <x v="48"/>
            <x v="50"/>
            <x v="51"/>
            <x v="52"/>
            <x v="53"/>
            <x v="54"/>
            <x v="55"/>
            <x v="56"/>
            <x v="57"/>
            <x v="58"/>
            <x v="59"/>
            <x v="60"/>
            <x v="61"/>
            <x v="62"/>
          </reference>
        </references>
      </pivotArea>
    </format>
    <format dxfId="1637">
      <pivotArea dataOnly="0" labelOnly="1" fieldPosition="0">
        <references count="4">
          <reference field="2" count="1" selected="0">
            <x v="0"/>
          </reference>
          <reference field="3" count="1" selected="0">
            <x v="0"/>
          </reference>
          <reference field="4" count="1" selected="0">
            <x v="0"/>
          </reference>
          <reference field="5" count="46">
            <x v="0"/>
            <x v="1"/>
            <x v="2"/>
            <x v="3"/>
            <x v="4"/>
            <x v="5"/>
            <x v="6"/>
            <x v="7"/>
            <x v="8"/>
            <x v="9"/>
            <x v="26"/>
            <x v="27"/>
            <x v="28"/>
            <x v="29"/>
            <x v="30"/>
            <x v="31"/>
            <x v="42"/>
            <x v="43"/>
            <x v="44"/>
            <x v="45"/>
            <x v="46"/>
            <x v="47"/>
            <x v="48"/>
            <x v="49"/>
            <x v="50"/>
            <x v="51"/>
            <x v="52"/>
            <x v="53"/>
            <x v="54"/>
            <x v="55"/>
            <x v="56"/>
            <x v="57"/>
            <x v="58"/>
            <x v="59"/>
            <x v="60"/>
            <x v="61"/>
            <x v="62"/>
            <x v="63"/>
            <x v="64"/>
            <x v="65"/>
            <x v="66"/>
            <x v="68"/>
            <x v="69"/>
            <x v="94"/>
            <x v="128"/>
            <x v="129"/>
          </reference>
        </references>
      </pivotArea>
    </format>
    <format dxfId="1636">
      <pivotArea dataOnly="0" labelOnly="1" fieldPosition="0">
        <references count="4">
          <reference field="2" count="1" selected="0">
            <x v="3"/>
          </reference>
          <reference field="3" count="1" selected="0">
            <x v="6"/>
          </reference>
          <reference field="4" count="1" selected="0">
            <x v="19"/>
          </reference>
          <reference field="5" count="45">
            <x v="10"/>
            <x v="11"/>
            <x v="12"/>
            <x v="13"/>
            <x v="17"/>
            <x v="18"/>
            <x v="19"/>
            <x v="20"/>
            <x v="21"/>
            <x v="22"/>
            <x v="33"/>
            <x v="34"/>
            <x v="35"/>
            <x v="36"/>
            <x v="37"/>
            <x v="38"/>
            <x v="39"/>
            <x v="40"/>
            <x v="67"/>
            <x v="70"/>
            <x v="71"/>
            <x v="72"/>
            <x v="74"/>
            <x v="75"/>
            <x v="76"/>
            <x v="77"/>
            <x v="78"/>
            <x v="79"/>
            <x v="80"/>
            <x v="81"/>
            <x v="82"/>
            <x v="83"/>
            <x v="84"/>
            <x v="85"/>
            <x v="86"/>
            <x v="87"/>
            <x v="88"/>
            <x v="89"/>
            <x v="90"/>
            <x v="91"/>
            <x v="92"/>
            <x v="93"/>
            <x v="96"/>
            <x v="126"/>
            <x v="127"/>
          </reference>
        </references>
      </pivotArea>
    </format>
    <format dxfId="1635">
      <pivotArea dataOnly="0" labelOnly="1" fieldPosition="0">
        <references count="4">
          <reference field="2" count="1" selected="0">
            <x v="5"/>
          </reference>
          <reference field="3" count="1" selected="0">
            <x v="13"/>
          </reference>
          <reference field="4" count="1" selected="0">
            <x v="40"/>
          </reference>
          <reference field="5" count="36">
            <x v="14"/>
            <x v="15"/>
            <x v="16"/>
            <x v="23"/>
            <x v="24"/>
            <x v="25"/>
            <x v="32"/>
            <x v="41"/>
            <x v="73"/>
            <x v="95"/>
            <x v="97"/>
            <x v="98"/>
            <x v="99"/>
            <x v="100"/>
            <x v="101"/>
            <x v="102"/>
            <x v="103"/>
            <x v="104"/>
            <x v="105"/>
            <x v="106"/>
            <x v="107"/>
            <x v="108"/>
            <x v="109"/>
            <x v="110"/>
            <x v="111"/>
            <x v="112"/>
            <x v="113"/>
            <x v="114"/>
            <x v="115"/>
            <x v="116"/>
            <x v="117"/>
            <x v="118"/>
            <x v="119"/>
            <x v="120"/>
            <x v="121"/>
            <x v="133"/>
          </reference>
        </references>
      </pivotArea>
    </format>
    <format dxfId="1634">
      <pivotArea dataOnly="0" labelOnly="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1633">
      <pivotArea dataOnly="0" labelOnly="1" fieldPosition="0">
        <references count="3">
          <reference field="2" count="1" selected="0">
            <x v="1"/>
          </reference>
          <reference field="3" count="1" selected="0">
            <x v="1"/>
          </reference>
          <reference field="4" count="5">
            <x v="1"/>
            <x v="2"/>
            <x v="3"/>
            <x v="4"/>
            <x v="5"/>
          </reference>
        </references>
      </pivotArea>
    </format>
    <format dxfId="1632">
      <pivotArea dataOnly="0" labelOnly="1" fieldPosition="0">
        <references count="4">
          <reference field="2" count="1" selected="0">
            <x v="5"/>
          </reference>
          <reference field="3" count="1" selected="0">
            <x v="13"/>
          </reference>
          <reference field="4" count="1" selected="0">
            <x v="40"/>
          </reference>
          <reference field="5" count="2">
            <x v="95"/>
            <x v="96"/>
          </reference>
        </references>
      </pivotArea>
    </format>
    <format dxfId="1631">
      <pivotArea collapsedLevelsAreSubtotals="1" fieldPosition="0">
        <references count="1">
          <reference field="2" count="1">
            <x v="1"/>
          </reference>
        </references>
      </pivotArea>
    </format>
    <format dxfId="1630">
      <pivotArea collapsedLevelsAreSubtotals="1" fieldPosition="0">
        <references count="2">
          <reference field="2" count="1" selected="0">
            <x v="1"/>
          </reference>
          <reference field="3" count="1">
            <x v="1"/>
          </reference>
        </references>
      </pivotArea>
    </format>
    <format dxfId="1629">
      <pivotArea collapsedLevelsAreSubtotals="1" fieldPosition="0">
        <references count="3">
          <reference field="2" count="1" selected="0">
            <x v="1"/>
          </reference>
          <reference field="3" count="1" selected="0">
            <x v="1"/>
          </reference>
          <reference field="4" count="1">
            <x v="1"/>
          </reference>
        </references>
      </pivotArea>
    </format>
    <format dxfId="1628">
      <pivotArea collapsedLevelsAreSubtotals="1" fieldPosition="0">
        <references count="4">
          <reference field="2" count="1" selected="0">
            <x v="1"/>
          </reference>
          <reference field="3" count="1" selected="0">
            <x v="1"/>
          </reference>
          <reference field="4" count="1" selected="0">
            <x v="1"/>
          </reference>
          <reference field="5" count="1">
            <x v="1"/>
          </reference>
        </references>
      </pivotArea>
    </format>
    <format dxfId="1627">
      <pivotArea collapsedLevelsAreSubtotals="1" fieldPosition="0">
        <references count="3">
          <reference field="2" count="1" selected="0">
            <x v="1"/>
          </reference>
          <reference field="3" count="1" selected="0">
            <x v="1"/>
          </reference>
          <reference field="4" count="1">
            <x v="1"/>
          </reference>
        </references>
      </pivotArea>
    </format>
    <format dxfId="1626">
      <pivotArea collapsedLevelsAreSubtotals="1" fieldPosition="0">
        <references count="3">
          <reference field="2" count="1" selected="0">
            <x v="1"/>
          </reference>
          <reference field="3" count="1" selected="0">
            <x v="1"/>
          </reference>
          <reference field="4" count="1">
            <x v="2"/>
          </reference>
        </references>
      </pivotArea>
    </format>
    <format dxfId="1625">
      <pivotArea collapsedLevelsAreSubtotals="1" fieldPosition="0">
        <references count="4">
          <reference field="2" count="1" selected="0">
            <x v="1"/>
          </reference>
          <reference field="3" count="1" selected="0">
            <x v="1"/>
          </reference>
          <reference field="4" count="1" selected="0">
            <x v="2"/>
          </reference>
          <reference field="5" count="1">
            <x v="2"/>
          </reference>
        </references>
      </pivotArea>
    </format>
    <format dxfId="1624">
      <pivotArea collapsedLevelsAreSubtotals="1" fieldPosition="0">
        <references count="3">
          <reference field="2" count="1" selected="0">
            <x v="1"/>
          </reference>
          <reference field="3" count="1" selected="0">
            <x v="1"/>
          </reference>
          <reference field="4" count="1">
            <x v="2"/>
          </reference>
        </references>
      </pivotArea>
    </format>
    <format dxfId="1623">
      <pivotArea collapsedLevelsAreSubtotals="1" fieldPosition="0">
        <references count="3">
          <reference field="2" count="1" selected="0">
            <x v="1"/>
          </reference>
          <reference field="3" count="1" selected="0">
            <x v="1"/>
          </reference>
          <reference field="4" count="1">
            <x v="3"/>
          </reference>
        </references>
      </pivotArea>
    </format>
    <format dxfId="1622">
      <pivotArea collapsedLevelsAreSubtotals="1" fieldPosition="0">
        <references count="4">
          <reference field="2" count="1" selected="0">
            <x v="1"/>
          </reference>
          <reference field="3" count="1" selected="0">
            <x v="1"/>
          </reference>
          <reference field="4" count="1" selected="0">
            <x v="3"/>
          </reference>
          <reference field="5" count="1">
            <x v="3"/>
          </reference>
        </references>
      </pivotArea>
    </format>
    <format dxfId="1621">
      <pivotArea collapsedLevelsAreSubtotals="1" fieldPosition="0">
        <references count="3">
          <reference field="2" count="1" selected="0">
            <x v="1"/>
          </reference>
          <reference field="3" count="1" selected="0">
            <x v="1"/>
          </reference>
          <reference field="4" count="1">
            <x v="3"/>
          </reference>
        </references>
      </pivotArea>
    </format>
    <format dxfId="1620">
      <pivotArea collapsedLevelsAreSubtotals="1" fieldPosition="0">
        <references count="3">
          <reference field="2" count="1" selected="0">
            <x v="1"/>
          </reference>
          <reference field="3" count="1" selected="0">
            <x v="1"/>
          </reference>
          <reference field="4" count="1">
            <x v="4"/>
          </reference>
        </references>
      </pivotArea>
    </format>
    <format dxfId="1619">
      <pivotArea collapsedLevelsAreSubtotals="1" fieldPosition="0">
        <references count="4">
          <reference field="2" count="1" selected="0">
            <x v="1"/>
          </reference>
          <reference field="3" count="1" selected="0">
            <x v="1"/>
          </reference>
          <reference field="4" count="1" selected="0">
            <x v="4"/>
          </reference>
          <reference field="5" count="4">
            <x v="4"/>
            <x v="5"/>
            <x v="6"/>
            <x v="68"/>
          </reference>
        </references>
      </pivotArea>
    </format>
    <format dxfId="1618">
      <pivotArea collapsedLevelsAreSubtotals="1" fieldPosition="0">
        <references count="3">
          <reference field="2" count="1" selected="0">
            <x v="1"/>
          </reference>
          <reference field="3" count="1" selected="0">
            <x v="1"/>
          </reference>
          <reference field="4" count="1">
            <x v="4"/>
          </reference>
        </references>
      </pivotArea>
    </format>
    <format dxfId="1617">
      <pivotArea collapsedLevelsAreSubtotals="1" fieldPosition="0">
        <references count="3">
          <reference field="2" count="1" selected="0">
            <x v="1"/>
          </reference>
          <reference field="3" count="1" selected="0">
            <x v="1"/>
          </reference>
          <reference field="4" count="1">
            <x v="5"/>
          </reference>
        </references>
      </pivotArea>
    </format>
    <format dxfId="1616">
      <pivotArea collapsedLevelsAreSubtotals="1" fieldPosition="0">
        <references count="3">
          <reference field="2" count="1" selected="0">
            <x v="1"/>
          </reference>
          <reference field="3" count="1" selected="0">
            <x v="1"/>
          </reference>
          <reference field="4" count="1">
            <x v="5"/>
          </reference>
        </references>
      </pivotArea>
    </format>
    <format dxfId="1615">
      <pivotArea collapsedLevelsAreSubtotals="1" fieldPosition="0">
        <references count="1">
          <reference field="2" count="1">
            <x v="2"/>
          </reference>
        </references>
      </pivotArea>
    </format>
    <format dxfId="1614">
      <pivotArea collapsedLevelsAreSubtotals="1" fieldPosition="0">
        <references count="2">
          <reference field="2" count="1" selected="0">
            <x v="2"/>
          </reference>
          <reference field="3" count="1">
            <x v="2"/>
          </reference>
        </references>
      </pivotArea>
    </format>
    <format dxfId="1613">
      <pivotArea collapsedLevelsAreSubtotals="1" fieldPosition="0">
        <references count="3">
          <reference field="2" count="1" selected="0">
            <x v="2"/>
          </reference>
          <reference field="3" count="1" selected="0">
            <x v="2"/>
          </reference>
          <reference field="4" count="1">
            <x v="6"/>
          </reference>
        </references>
      </pivotArea>
    </format>
    <format dxfId="1612">
      <pivotArea collapsedLevelsAreSubtotals="1" fieldPosition="0">
        <references count="3">
          <reference field="2" count="1" selected="0">
            <x v="2"/>
          </reference>
          <reference field="3" count="1" selected="0">
            <x v="2"/>
          </reference>
          <reference field="4" count="1">
            <x v="6"/>
          </reference>
        </references>
      </pivotArea>
    </format>
    <format dxfId="1611">
      <pivotArea collapsedLevelsAreSubtotals="1" fieldPosition="0">
        <references count="2">
          <reference field="2" count="1" selected="0">
            <x v="2"/>
          </reference>
          <reference field="3" count="1">
            <x v="3"/>
          </reference>
        </references>
      </pivotArea>
    </format>
    <format dxfId="1610">
      <pivotArea collapsedLevelsAreSubtotals="1" fieldPosition="0">
        <references count="3">
          <reference field="2" count="1" selected="0">
            <x v="2"/>
          </reference>
          <reference field="3" count="1" selected="0">
            <x v="3"/>
          </reference>
          <reference field="4" count="1">
            <x v="7"/>
          </reference>
        </references>
      </pivotArea>
    </format>
    <format dxfId="1609">
      <pivotArea collapsedLevelsAreSubtotals="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1608">
      <pivotArea collapsedLevelsAreSubtotals="1" fieldPosition="0">
        <references count="3">
          <reference field="2" count="1" selected="0">
            <x v="2"/>
          </reference>
          <reference field="3" count="1" selected="0">
            <x v="3"/>
          </reference>
          <reference field="4" count="1">
            <x v="7"/>
          </reference>
        </references>
      </pivotArea>
    </format>
    <format dxfId="1607">
      <pivotArea collapsedLevelsAreSubtotals="1" fieldPosition="0">
        <references count="3">
          <reference field="2" count="1" selected="0">
            <x v="2"/>
          </reference>
          <reference field="3" count="1" selected="0">
            <x v="3"/>
          </reference>
          <reference field="4" count="1">
            <x v="8"/>
          </reference>
        </references>
      </pivotArea>
    </format>
    <format dxfId="1606">
      <pivotArea collapsedLevelsAreSubtotals="1" fieldPosition="0">
        <references count="4">
          <reference field="2" count="1" selected="0">
            <x v="2"/>
          </reference>
          <reference field="3" count="1" selected="0">
            <x v="3"/>
          </reference>
          <reference field="4" count="1" selected="0">
            <x v="8"/>
          </reference>
          <reference field="5" count="2">
            <x v="28"/>
            <x v="29"/>
          </reference>
        </references>
      </pivotArea>
    </format>
    <format dxfId="1605">
      <pivotArea collapsedLevelsAreSubtotals="1" fieldPosition="0">
        <references count="3">
          <reference field="2" count="1" selected="0">
            <x v="2"/>
          </reference>
          <reference field="3" count="1" selected="0">
            <x v="3"/>
          </reference>
          <reference field="4" count="1">
            <x v="8"/>
          </reference>
        </references>
      </pivotArea>
    </format>
    <format dxfId="1604">
      <pivotArea collapsedLevelsAreSubtotals="1" fieldPosition="0">
        <references count="3">
          <reference field="2" count="1" selected="0">
            <x v="2"/>
          </reference>
          <reference field="3" count="1" selected="0">
            <x v="3"/>
          </reference>
          <reference field="4" count="1">
            <x v="9"/>
          </reference>
        </references>
      </pivotArea>
    </format>
    <format dxfId="1603">
      <pivotArea collapsedLevelsAreSubtotals="1" fieldPosition="0">
        <references count="4">
          <reference field="2" count="1" selected="0">
            <x v="2"/>
          </reference>
          <reference field="3" count="1" selected="0">
            <x v="3"/>
          </reference>
          <reference field="4" count="1" selected="0">
            <x v="9"/>
          </reference>
          <reference field="5" count="2">
            <x v="7"/>
            <x v="8"/>
          </reference>
        </references>
      </pivotArea>
    </format>
    <format dxfId="1602">
      <pivotArea collapsedLevelsAreSubtotals="1" fieldPosition="0">
        <references count="3">
          <reference field="2" count="1" selected="0">
            <x v="2"/>
          </reference>
          <reference field="3" count="1" selected="0">
            <x v="3"/>
          </reference>
          <reference field="4" count="1">
            <x v="9"/>
          </reference>
        </references>
      </pivotArea>
    </format>
    <format dxfId="1601">
      <pivotArea collapsedLevelsAreSubtotals="1" fieldPosition="0">
        <references count="2">
          <reference field="2" count="1" selected="0">
            <x v="2"/>
          </reference>
          <reference field="3" count="1">
            <x v="4"/>
          </reference>
        </references>
      </pivotArea>
    </format>
    <format dxfId="1600">
      <pivotArea collapsedLevelsAreSubtotals="1" fieldPosition="0">
        <references count="3">
          <reference field="2" count="1" selected="0">
            <x v="2"/>
          </reference>
          <reference field="3" count="1" selected="0">
            <x v="4"/>
          </reference>
          <reference field="4" count="1">
            <x v="10"/>
          </reference>
        </references>
      </pivotArea>
    </format>
    <format dxfId="1599">
      <pivotArea collapsedLevelsAreSubtotals="1" fieldPosition="0">
        <references count="4">
          <reference field="2" count="1" selected="0">
            <x v="2"/>
          </reference>
          <reference field="3" count="1" selected="0">
            <x v="4"/>
          </reference>
          <reference field="4" count="1" selected="0">
            <x v="10"/>
          </reference>
          <reference field="5" count="2">
            <x v="30"/>
            <x v="31"/>
          </reference>
        </references>
      </pivotArea>
    </format>
    <format dxfId="1598">
      <pivotArea collapsedLevelsAreSubtotals="1" fieldPosition="0">
        <references count="3">
          <reference field="2" count="1" selected="0">
            <x v="2"/>
          </reference>
          <reference field="3" count="1" selected="0">
            <x v="4"/>
          </reference>
          <reference field="4" count="1">
            <x v="10"/>
          </reference>
        </references>
      </pivotArea>
    </format>
    <format dxfId="1597">
      <pivotArea collapsedLevelsAreSubtotals="1" fieldPosition="0">
        <references count="3">
          <reference field="2" count="1" selected="0">
            <x v="2"/>
          </reference>
          <reference field="3" count="1" selected="0">
            <x v="4"/>
          </reference>
          <reference field="4" count="1">
            <x v="11"/>
          </reference>
        </references>
      </pivotArea>
    </format>
    <format dxfId="1596">
      <pivotArea collapsedLevelsAreSubtotals="1" fieldPosition="0">
        <references count="4">
          <reference field="2" count="1" selected="0">
            <x v="2"/>
          </reference>
          <reference field="3" count="1" selected="0">
            <x v="4"/>
          </reference>
          <reference field="4" count="1" selected="0">
            <x v="11"/>
          </reference>
          <reference field="5" count="1">
            <x v="42"/>
          </reference>
        </references>
      </pivotArea>
    </format>
    <format dxfId="1595">
      <pivotArea collapsedLevelsAreSubtotals="1" fieldPosition="0">
        <references count="3">
          <reference field="2" count="1" selected="0">
            <x v="2"/>
          </reference>
          <reference field="3" count="1" selected="0">
            <x v="4"/>
          </reference>
          <reference field="4" count="1">
            <x v="11"/>
          </reference>
        </references>
      </pivotArea>
    </format>
    <format dxfId="1594">
      <pivotArea collapsedLevelsAreSubtotals="1" fieldPosition="0">
        <references count="3">
          <reference field="2" count="1" selected="0">
            <x v="2"/>
          </reference>
          <reference field="3" count="1" selected="0">
            <x v="4"/>
          </reference>
          <reference field="4" count="1">
            <x v="12"/>
          </reference>
        </references>
      </pivotArea>
    </format>
    <format dxfId="1593">
      <pivotArea collapsedLevelsAreSubtotals="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1592">
      <pivotArea collapsedLevelsAreSubtotals="1" fieldPosition="0">
        <references count="3">
          <reference field="2" count="1" selected="0">
            <x v="2"/>
          </reference>
          <reference field="3" count="1" selected="0">
            <x v="4"/>
          </reference>
          <reference field="4" count="1">
            <x v="12"/>
          </reference>
        </references>
      </pivotArea>
    </format>
    <format dxfId="1591">
      <pivotArea collapsedLevelsAreSubtotals="1" fieldPosition="0">
        <references count="1">
          <reference field="2" count="1">
            <x v="3"/>
          </reference>
        </references>
      </pivotArea>
    </format>
    <format dxfId="1590">
      <pivotArea collapsedLevelsAreSubtotals="1" fieldPosition="0">
        <references count="2">
          <reference field="2" count="1" selected="0">
            <x v="3"/>
          </reference>
          <reference field="3" count="1">
            <x v="5"/>
          </reference>
        </references>
      </pivotArea>
    </format>
    <format dxfId="1589">
      <pivotArea collapsedLevelsAreSubtotals="1" fieldPosition="0">
        <references count="3">
          <reference field="2" count="1" selected="0">
            <x v="3"/>
          </reference>
          <reference field="3" count="1" selected="0">
            <x v="5"/>
          </reference>
          <reference field="4" count="1">
            <x v="13"/>
          </reference>
        </references>
      </pivotArea>
    </format>
    <format dxfId="1588">
      <pivotArea collapsedLevelsAreSubtotals="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1587">
      <pivotArea collapsedLevelsAreSubtotals="1" fieldPosition="0">
        <references count="3">
          <reference field="2" count="1" selected="0">
            <x v="3"/>
          </reference>
          <reference field="3" count="1" selected="0">
            <x v="5"/>
          </reference>
          <reference field="4" count="1">
            <x v="13"/>
          </reference>
        </references>
      </pivotArea>
    </format>
    <format dxfId="1586">
      <pivotArea collapsedLevelsAreSubtotals="1" fieldPosition="0">
        <references count="3">
          <reference field="2" count="1" selected="0">
            <x v="3"/>
          </reference>
          <reference field="3" count="1" selected="0">
            <x v="5"/>
          </reference>
          <reference field="4" count="1">
            <x v="14"/>
          </reference>
        </references>
      </pivotArea>
    </format>
    <format dxfId="1585">
      <pivotArea collapsedLevelsAreSubtotals="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1584">
      <pivotArea collapsedLevelsAreSubtotals="1" fieldPosition="0">
        <references count="3">
          <reference field="2" count="1" selected="0">
            <x v="3"/>
          </reference>
          <reference field="3" count="1" selected="0">
            <x v="5"/>
          </reference>
          <reference field="4" count="1">
            <x v="14"/>
          </reference>
        </references>
      </pivotArea>
    </format>
    <format dxfId="1583">
      <pivotArea collapsedLevelsAreSubtotals="1" fieldPosition="0">
        <references count="3">
          <reference field="2" count="1" selected="0">
            <x v="3"/>
          </reference>
          <reference field="3" count="1" selected="0">
            <x v="5"/>
          </reference>
          <reference field="4" count="1">
            <x v="15"/>
          </reference>
        </references>
      </pivotArea>
    </format>
    <format dxfId="1582">
      <pivotArea collapsedLevelsAreSubtotals="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1581">
      <pivotArea collapsedLevelsAreSubtotals="1" fieldPosition="0">
        <references count="3">
          <reference field="2" count="1" selected="0">
            <x v="3"/>
          </reference>
          <reference field="3" count="1" selected="0">
            <x v="5"/>
          </reference>
          <reference field="4" count="1">
            <x v="15"/>
          </reference>
        </references>
      </pivotArea>
    </format>
    <format dxfId="1580">
      <pivotArea collapsedLevelsAreSubtotals="1" fieldPosition="0">
        <references count="3">
          <reference field="2" count="1" selected="0">
            <x v="3"/>
          </reference>
          <reference field="3" count="1" selected="0">
            <x v="5"/>
          </reference>
          <reference field="4" count="1">
            <x v="16"/>
          </reference>
        </references>
      </pivotArea>
    </format>
    <format dxfId="1579">
      <pivotArea collapsedLevelsAreSubtotals="1" fieldPosition="0">
        <references count="4">
          <reference field="2" count="1" selected="0">
            <x v="3"/>
          </reference>
          <reference field="3" count="1" selected="0">
            <x v="5"/>
          </reference>
          <reference field="4" count="1" selected="0">
            <x v="16"/>
          </reference>
          <reference field="5" count="2">
            <x v="52"/>
            <x v="53"/>
          </reference>
        </references>
      </pivotArea>
    </format>
    <format dxfId="1578">
      <pivotArea collapsedLevelsAreSubtotals="1" fieldPosition="0">
        <references count="3">
          <reference field="2" count="1" selected="0">
            <x v="3"/>
          </reference>
          <reference field="3" count="1" selected="0">
            <x v="5"/>
          </reference>
          <reference field="4" count="1">
            <x v="16"/>
          </reference>
        </references>
      </pivotArea>
    </format>
    <format dxfId="1577">
      <pivotArea collapsedLevelsAreSubtotals="1" fieldPosition="0">
        <references count="3">
          <reference field="2" count="1" selected="0">
            <x v="3"/>
          </reference>
          <reference field="3" count="1" selected="0">
            <x v="5"/>
          </reference>
          <reference field="4" count="1">
            <x v="17"/>
          </reference>
        </references>
      </pivotArea>
    </format>
    <format dxfId="1576">
      <pivotArea collapsedLevelsAreSubtotals="1" fieldPosition="0">
        <references count="4">
          <reference field="2" count="1" selected="0">
            <x v="3"/>
          </reference>
          <reference field="3" count="1" selected="0">
            <x v="5"/>
          </reference>
          <reference field="4" count="1" selected="0">
            <x v="17"/>
          </reference>
          <reference field="5" count="2">
            <x v="69"/>
            <x v="94"/>
          </reference>
        </references>
      </pivotArea>
    </format>
    <format dxfId="1575">
      <pivotArea collapsedLevelsAreSubtotals="1" fieldPosition="0">
        <references count="3">
          <reference field="2" count="1" selected="0">
            <x v="3"/>
          </reference>
          <reference field="3" count="1" selected="0">
            <x v="5"/>
          </reference>
          <reference field="4" count="1">
            <x v="17"/>
          </reference>
        </references>
      </pivotArea>
    </format>
    <format dxfId="1574">
      <pivotArea collapsedLevelsAreSubtotals="1" fieldPosition="0">
        <references count="2">
          <reference field="2" count="1" selected="0">
            <x v="3"/>
          </reference>
          <reference field="3" count="1">
            <x v="6"/>
          </reference>
        </references>
      </pivotArea>
    </format>
    <format dxfId="1573">
      <pivotArea collapsedLevelsAreSubtotals="1" fieldPosition="0">
        <references count="3">
          <reference field="2" count="1" selected="0">
            <x v="3"/>
          </reference>
          <reference field="3" count="1" selected="0">
            <x v="6"/>
          </reference>
          <reference field="4" count="1">
            <x v="18"/>
          </reference>
        </references>
      </pivotArea>
    </format>
    <format dxfId="1572">
      <pivotArea collapsedLevelsAreSubtotals="1" fieldPosition="0">
        <references count="4">
          <reference field="2" count="1" selected="0">
            <x v="3"/>
          </reference>
          <reference field="3" count="1" selected="0">
            <x v="6"/>
          </reference>
          <reference field="4" count="1" selected="0">
            <x v="18"/>
          </reference>
          <reference field="5" count="3">
            <x v="9"/>
            <x v="128"/>
            <x v="129"/>
          </reference>
        </references>
      </pivotArea>
    </format>
    <format dxfId="1571">
      <pivotArea collapsedLevelsAreSubtotals="1" fieldPosition="0">
        <references count="3">
          <reference field="2" count="1" selected="0">
            <x v="3"/>
          </reference>
          <reference field="3" count="1" selected="0">
            <x v="6"/>
          </reference>
          <reference field="4" count="1">
            <x v="18"/>
          </reference>
        </references>
      </pivotArea>
    </format>
    <format dxfId="1570">
      <pivotArea collapsedLevelsAreSubtotals="1" fieldPosition="0">
        <references count="3">
          <reference field="2" count="1" selected="0">
            <x v="3"/>
          </reference>
          <reference field="3" count="1" selected="0">
            <x v="6"/>
          </reference>
          <reference field="4" count="1">
            <x v="19"/>
          </reference>
        </references>
      </pivotArea>
    </format>
    <format dxfId="1569">
      <pivotArea collapsedLevelsAreSubtotals="1" fieldPosition="0">
        <references count="4">
          <reference field="2" count="1" selected="0">
            <x v="3"/>
          </reference>
          <reference field="3" count="1" selected="0">
            <x v="6"/>
          </reference>
          <reference field="4" count="1" selected="0">
            <x v="19"/>
          </reference>
          <reference field="5" count="1">
            <x v="127"/>
          </reference>
        </references>
      </pivotArea>
    </format>
    <format dxfId="1568">
      <pivotArea collapsedLevelsAreSubtotals="1" fieldPosition="0">
        <references count="3">
          <reference field="2" count="1" selected="0">
            <x v="3"/>
          </reference>
          <reference field="3" count="1" selected="0">
            <x v="6"/>
          </reference>
          <reference field="4" count="1">
            <x v="19"/>
          </reference>
        </references>
      </pivotArea>
    </format>
    <format dxfId="1567">
      <pivotArea collapsedLevelsAreSubtotals="1" fieldPosition="0">
        <references count="2">
          <reference field="2" count="1" selected="0">
            <x v="3"/>
          </reference>
          <reference field="3" count="1">
            <x v="11"/>
          </reference>
        </references>
      </pivotArea>
    </format>
    <format dxfId="1566">
      <pivotArea collapsedLevelsAreSubtotals="1" fieldPosition="0">
        <references count="3">
          <reference field="2" count="1" selected="0">
            <x v="3"/>
          </reference>
          <reference field="3" count="1" selected="0">
            <x v="11"/>
          </reference>
          <reference field="4" count="1">
            <x v="30"/>
          </reference>
        </references>
      </pivotArea>
    </format>
    <format dxfId="1565">
      <pivotArea collapsedLevelsAreSubtotals="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1564">
      <pivotArea collapsedLevelsAreSubtotals="1" fieldPosition="0">
        <references count="3">
          <reference field="2" count="1" selected="0">
            <x v="3"/>
          </reference>
          <reference field="3" count="1" selected="0">
            <x v="11"/>
          </reference>
          <reference field="4" count="1">
            <x v="30"/>
          </reference>
        </references>
      </pivotArea>
    </format>
    <format dxfId="1563">
      <pivotArea collapsedLevelsAreSubtotals="1" fieldPosition="0">
        <references count="3">
          <reference field="2" count="1" selected="0">
            <x v="3"/>
          </reference>
          <reference field="3" count="1" selected="0">
            <x v="11"/>
          </reference>
          <reference field="4" count="1">
            <x v="31"/>
          </reference>
        </references>
      </pivotArea>
    </format>
    <format dxfId="1562">
      <pivotArea collapsedLevelsAreSubtotals="1" fieldPosition="0">
        <references count="3">
          <reference field="2" count="1" selected="0">
            <x v="3"/>
          </reference>
          <reference field="3" count="1" selected="0">
            <x v="11"/>
          </reference>
          <reference field="4" count="1">
            <x v="31"/>
          </reference>
        </references>
      </pivotArea>
    </format>
    <format dxfId="1561">
      <pivotArea collapsedLevelsAreSubtotals="1" fieldPosition="0">
        <references count="3">
          <reference field="2" count="1" selected="0">
            <x v="3"/>
          </reference>
          <reference field="3" count="1" selected="0">
            <x v="11"/>
          </reference>
          <reference field="4" count="1">
            <x v="32"/>
          </reference>
        </references>
      </pivotArea>
    </format>
    <format dxfId="1560">
      <pivotArea collapsedLevelsAreSubtotals="1" fieldPosition="0">
        <references count="4">
          <reference field="2" count="1" selected="0">
            <x v="3"/>
          </reference>
          <reference field="3" count="1" selected="0">
            <x v="11"/>
          </reference>
          <reference field="4" count="1" selected="0">
            <x v="32"/>
          </reference>
          <reference field="5" count="4">
            <x v="74"/>
            <x v="75"/>
            <x v="76"/>
            <x v="77"/>
          </reference>
        </references>
      </pivotArea>
    </format>
    <format dxfId="1559">
      <pivotArea collapsedLevelsAreSubtotals="1" fieldPosition="0">
        <references count="3">
          <reference field="2" count="1" selected="0">
            <x v="3"/>
          </reference>
          <reference field="3" count="1" selected="0">
            <x v="11"/>
          </reference>
          <reference field="4" count="1">
            <x v="32"/>
          </reference>
        </references>
      </pivotArea>
    </format>
    <format dxfId="1558">
      <pivotArea collapsedLevelsAreSubtotals="1" fieldPosition="0">
        <references count="3">
          <reference field="2" count="1" selected="0">
            <x v="3"/>
          </reference>
          <reference field="3" count="1" selected="0">
            <x v="11"/>
          </reference>
          <reference field="4" count="1">
            <x v="33"/>
          </reference>
        </references>
      </pivotArea>
    </format>
    <format dxfId="1557">
      <pivotArea collapsedLevelsAreSubtotals="1" fieldPosition="0">
        <references count="3">
          <reference field="2" count="1" selected="0">
            <x v="3"/>
          </reference>
          <reference field="3" count="1" selected="0">
            <x v="11"/>
          </reference>
          <reference field="4" count="1">
            <x v="33"/>
          </reference>
        </references>
      </pivotArea>
    </format>
    <format dxfId="1556">
      <pivotArea collapsedLevelsAreSubtotals="1" fieldPosition="0">
        <references count="1">
          <reference field="2" count="1">
            <x v="4"/>
          </reference>
        </references>
      </pivotArea>
    </format>
    <format dxfId="1555">
      <pivotArea collapsedLevelsAreSubtotals="1" fieldPosition="0">
        <references count="2">
          <reference field="2" count="1" selected="0">
            <x v="4"/>
          </reference>
          <reference field="3" count="1">
            <x v="7"/>
          </reference>
        </references>
      </pivotArea>
    </format>
    <format dxfId="1554">
      <pivotArea collapsedLevelsAreSubtotals="1" fieldPosition="0">
        <references count="3">
          <reference field="2" count="1" selected="0">
            <x v="4"/>
          </reference>
          <reference field="3" count="1" selected="0">
            <x v="7"/>
          </reference>
          <reference field="4" count="1">
            <x v="20"/>
          </reference>
        </references>
      </pivotArea>
    </format>
    <format dxfId="1553">
      <pivotArea collapsedLevelsAreSubtotals="1" fieldPosition="0">
        <references count="4">
          <reference field="2" count="1" selected="0">
            <x v="4"/>
          </reference>
          <reference field="3" count="1" selected="0">
            <x v="7"/>
          </reference>
          <reference field="4" count="1" selected="0">
            <x v="20"/>
          </reference>
          <reference field="5" count="7">
            <x v="17"/>
            <x v="18"/>
            <x v="19"/>
            <x v="20"/>
            <x v="21"/>
            <x v="22"/>
            <x v="67"/>
          </reference>
        </references>
      </pivotArea>
    </format>
    <format dxfId="1552">
      <pivotArea collapsedLevelsAreSubtotals="1" fieldPosition="0">
        <references count="3">
          <reference field="2" count="1" selected="0">
            <x v="4"/>
          </reference>
          <reference field="3" count="1" selected="0">
            <x v="7"/>
          </reference>
          <reference field="4" count="1">
            <x v="20"/>
          </reference>
        </references>
      </pivotArea>
    </format>
    <format dxfId="1551">
      <pivotArea collapsedLevelsAreSubtotals="1" fieldPosition="0">
        <references count="3">
          <reference field="2" count="1" selected="0">
            <x v="4"/>
          </reference>
          <reference field="3" count="1" selected="0">
            <x v="7"/>
          </reference>
          <reference field="4" count="1">
            <x v="34"/>
          </reference>
        </references>
      </pivotArea>
    </format>
    <format dxfId="1550">
      <pivotArea collapsedLevelsAreSubtotals="1" fieldPosition="0">
        <references count="4">
          <reference field="2" count="1" selected="0">
            <x v="4"/>
          </reference>
          <reference field="3" count="1" selected="0">
            <x v="7"/>
          </reference>
          <reference field="4" count="1" selected="0">
            <x v="34"/>
          </reference>
          <reference field="5" count="2">
            <x v="78"/>
            <x v="79"/>
          </reference>
        </references>
      </pivotArea>
    </format>
    <format dxfId="1549">
      <pivotArea collapsedLevelsAreSubtotals="1" fieldPosition="0">
        <references count="3">
          <reference field="2" count="1" selected="0">
            <x v="4"/>
          </reference>
          <reference field="3" count="1" selected="0">
            <x v="7"/>
          </reference>
          <reference field="4" count="1">
            <x v="34"/>
          </reference>
        </references>
      </pivotArea>
    </format>
    <format dxfId="1548">
      <pivotArea collapsedLevelsAreSubtotals="1" fieldPosition="0">
        <references count="3">
          <reference field="2" count="1" selected="0">
            <x v="4"/>
          </reference>
          <reference field="3" count="1" selected="0">
            <x v="7"/>
          </reference>
          <reference field="4" count="1">
            <x v="35"/>
          </reference>
        </references>
      </pivotArea>
    </format>
    <format dxfId="1547">
      <pivotArea collapsedLevelsAreSubtotals="1" fieldPosition="0">
        <references count="4">
          <reference field="2" count="1" selected="0">
            <x v="4"/>
          </reference>
          <reference field="3" count="1" selected="0">
            <x v="7"/>
          </reference>
          <reference field="4" count="1" selected="0">
            <x v="35"/>
          </reference>
          <reference field="5" count="2">
            <x v="80"/>
            <x v="81"/>
          </reference>
        </references>
      </pivotArea>
    </format>
    <format dxfId="1546">
      <pivotArea collapsedLevelsAreSubtotals="1" fieldPosition="0">
        <references count="3">
          <reference field="2" count="1" selected="0">
            <x v="4"/>
          </reference>
          <reference field="3" count="1" selected="0">
            <x v="7"/>
          </reference>
          <reference field="4" count="1">
            <x v="35"/>
          </reference>
        </references>
      </pivotArea>
    </format>
    <format dxfId="1545">
      <pivotArea collapsedLevelsAreSubtotals="1" fieldPosition="0">
        <references count="2">
          <reference field="2" count="1" selected="0">
            <x v="4"/>
          </reference>
          <reference field="3" count="1">
            <x v="12"/>
          </reference>
        </references>
      </pivotArea>
    </format>
    <format dxfId="1544">
      <pivotArea collapsedLevelsAreSubtotals="1" fieldPosition="0">
        <references count="3">
          <reference field="2" count="1" selected="0">
            <x v="4"/>
          </reference>
          <reference field="3" count="1" selected="0">
            <x v="12"/>
          </reference>
          <reference field="4" count="1">
            <x v="36"/>
          </reference>
        </references>
      </pivotArea>
    </format>
    <format dxfId="1543">
      <pivotArea collapsedLevelsAreSubtotals="1" fieldPosition="0">
        <references count="4">
          <reference field="2" count="1" selected="0">
            <x v="4"/>
          </reference>
          <reference field="3" count="1" selected="0">
            <x v="12"/>
          </reference>
          <reference field="4" count="1" selected="0">
            <x v="36"/>
          </reference>
          <reference field="5" count="2">
            <x v="82"/>
            <x v="83"/>
          </reference>
        </references>
      </pivotArea>
    </format>
    <format dxfId="1542">
      <pivotArea collapsedLevelsAreSubtotals="1" fieldPosition="0">
        <references count="3">
          <reference field="2" count="1" selected="0">
            <x v="4"/>
          </reference>
          <reference field="3" count="1" selected="0">
            <x v="12"/>
          </reference>
          <reference field="4" count="1">
            <x v="36"/>
          </reference>
        </references>
      </pivotArea>
    </format>
    <format dxfId="1541">
      <pivotArea collapsedLevelsAreSubtotals="1" fieldPosition="0">
        <references count="3">
          <reference field="2" count="1" selected="0">
            <x v="4"/>
          </reference>
          <reference field="3" count="1" selected="0">
            <x v="12"/>
          </reference>
          <reference field="4" count="1">
            <x v="66"/>
          </reference>
        </references>
      </pivotArea>
    </format>
    <format dxfId="1540">
      <pivotArea collapsedLevelsAreSubtotals="1" fieldPosition="0">
        <references count="4">
          <reference field="2" count="1" selected="0">
            <x v="4"/>
          </reference>
          <reference field="3" count="1" selected="0">
            <x v="12"/>
          </reference>
          <reference field="4" count="1" selected="0">
            <x v="66"/>
          </reference>
          <reference field="5" count="3">
            <x v="86"/>
            <x v="87"/>
            <x v="88"/>
          </reference>
        </references>
      </pivotArea>
    </format>
    <format dxfId="1539">
      <pivotArea collapsedLevelsAreSubtotals="1" fieldPosition="0">
        <references count="3">
          <reference field="2" count="1" selected="0">
            <x v="4"/>
          </reference>
          <reference field="3" count="1" selected="0">
            <x v="12"/>
          </reference>
          <reference field="4" count="1">
            <x v="66"/>
          </reference>
        </references>
      </pivotArea>
    </format>
    <format dxfId="1538">
      <pivotArea collapsedLevelsAreSubtotals="1" fieldPosition="0">
        <references count="3">
          <reference field="2" count="1" selected="0">
            <x v="4"/>
          </reference>
          <reference field="3" count="1" selected="0">
            <x v="12"/>
          </reference>
          <reference field="4" count="1">
            <x v="38"/>
          </reference>
        </references>
      </pivotArea>
    </format>
    <format dxfId="1537">
      <pivotArea collapsedLevelsAreSubtotals="1" fieldPosition="0">
        <references count="4">
          <reference field="2" count="1" selected="0">
            <x v="4"/>
          </reference>
          <reference field="3" count="1" selected="0">
            <x v="12"/>
          </reference>
          <reference field="4" count="1" selected="0">
            <x v="38"/>
          </reference>
          <reference field="5" count="2">
            <x v="84"/>
            <x v="85"/>
          </reference>
        </references>
      </pivotArea>
    </format>
    <format dxfId="1536">
      <pivotArea collapsedLevelsAreSubtotals="1" fieldPosition="0">
        <references count="3">
          <reference field="2" count="1" selected="0">
            <x v="4"/>
          </reference>
          <reference field="3" count="1" selected="0">
            <x v="12"/>
          </reference>
          <reference field="4" count="1">
            <x v="38"/>
          </reference>
        </references>
      </pivotArea>
    </format>
    <format dxfId="1535">
      <pivotArea collapsedLevelsAreSubtotals="1" fieldPosition="0">
        <references count="1">
          <reference field="2" count="1">
            <x v="5"/>
          </reference>
        </references>
      </pivotArea>
    </format>
    <format dxfId="1534">
      <pivotArea collapsedLevelsAreSubtotals="1" fieldPosition="0">
        <references count="2">
          <reference field="2" count="1" selected="0">
            <x v="5"/>
          </reference>
          <reference field="3" count="1">
            <x v="8"/>
          </reference>
        </references>
      </pivotArea>
    </format>
    <format dxfId="1533">
      <pivotArea collapsedLevelsAreSubtotals="1" fieldPosition="0">
        <references count="3">
          <reference field="2" count="1" selected="0">
            <x v="5"/>
          </reference>
          <reference field="3" count="1" selected="0">
            <x v="8"/>
          </reference>
          <reference field="4" count="1">
            <x v="21"/>
          </reference>
        </references>
      </pivotArea>
    </format>
    <format dxfId="1532">
      <pivotArea collapsedLevelsAreSubtotals="1" fieldPosition="0">
        <references count="4">
          <reference field="2" count="1" selected="0">
            <x v="5"/>
          </reference>
          <reference field="3" count="1" selected="0">
            <x v="8"/>
          </reference>
          <reference field="4" count="1" selected="0">
            <x v="21"/>
          </reference>
          <reference field="5" count="2">
            <x v="10"/>
            <x v="11"/>
          </reference>
        </references>
      </pivotArea>
    </format>
    <format dxfId="1531">
      <pivotArea collapsedLevelsAreSubtotals="1" fieldPosition="0">
        <references count="3">
          <reference field="2" count="1" selected="0">
            <x v="5"/>
          </reference>
          <reference field="3" count="1" selected="0">
            <x v="8"/>
          </reference>
          <reference field="4" count="1">
            <x v="21"/>
          </reference>
        </references>
      </pivotArea>
    </format>
    <format dxfId="1530">
      <pivotArea collapsedLevelsAreSubtotals="1" fieldPosition="0">
        <references count="3">
          <reference field="2" count="1" selected="0">
            <x v="5"/>
          </reference>
          <reference field="3" count="1" selected="0">
            <x v="8"/>
          </reference>
          <reference field="4" count="1">
            <x v="22"/>
          </reference>
        </references>
      </pivotArea>
    </format>
    <format dxfId="1529">
      <pivotArea collapsedLevelsAreSubtotals="1" fieldPosition="0">
        <references count="4">
          <reference field="2" count="1" selected="0">
            <x v="5"/>
          </reference>
          <reference field="3" count="1" selected="0">
            <x v="8"/>
          </reference>
          <reference field="4" count="1" selected="0">
            <x v="22"/>
          </reference>
          <reference field="5" count="1">
            <x v="12"/>
          </reference>
        </references>
      </pivotArea>
    </format>
    <format dxfId="1528">
      <pivotArea collapsedLevelsAreSubtotals="1" fieldPosition="0">
        <references count="3">
          <reference field="2" count="1" selected="0">
            <x v="5"/>
          </reference>
          <reference field="3" count="1" selected="0">
            <x v="8"/>
          </reference>
          <reference field="4" count="1">
            <x v="22"/>
          </reference>
        </references>
      </pivotArea>
    </format>
    <format dxfId="1527">
      <pivotArea collapsedLevelsAreSubtotals="1" fieldPosition="0">
        <references count="3">
          <reference field="2" count="1" selected="0">
            <x v="5"/>
          </reference>
          <reference field="3" count="1" selected="0">
            <x v="8"/>
          </reference>
          <reference field="4" count="1">
            <x v="23"/>
          </reference>
        </references>
      </pivotArea>
    </format>
    <format dxfId="1526">
      <pivotArea collapsedLevelsAreSubtotals="1" fieldPosition="0">
        <references count="4">
          <reference field="2" count="1" selected="0">
            <x v="5"/>
          </reference>
          <reference field="3" count="1" selected="0">
            <x v="8"/>
          </reference>
          <reference field="4" count="1" selected="0">
            <x v="23"/>
          </reference>
          <reference field="5" count="1">
            <x v="13"/>
          </reference>
        </references>
      </pivotArea>
    </format>
    <format dxfId="1525">
      <pivotArea collapsedLevelsAreSubtotals="1" fieldPosition="0">
        <references count="3">
          <reference field="2" count="1" selected="0">
            <x v="5"/>
          </reference>
          <reference field="3" count="1" selected="0">
            <x v="8"/>
          </reference>
          <reference field="4" count="1">
            <x v="23"/>
          </reference>
        </references>
      </pivotArea>
    </format>
    <format dxfId="1524">
      <pivotArea collapsedLevelsAreSubtotals="1" fieldPosition="0">
        <references count="3">
          <reference field="2" count="1" selected="0">
            <x v="5"/>
          </reference>
          <reference field="3" count="1" selected="0">
            <x v="8"/>
          </reference>
          <reference field="4" count="1">
            <x v="24"/>
          </reference>
        </references>
      </pivotArea>
    </format>
    <format dxfId="1523">
      <pivotArea collapsedLevelsAreSubtotals="1" fieldPosition="0">
        <references count="4">
          <reference field="2" count="1" selected="0">
            <x v="5"/>
          </reference>
          <reference field="3" count="1" selected="0">
            <x v="8"/>
          </reference>
          <reference field="4" count="1" selected="0">
            <x v="24"/>
          </reference>
          <reference field="5" count="2">
            <x v="35"/>
            <x v="39"/>
          </reference>
        </references>
      </pivotArea>
    </format>
    <format dxfId="1522">
      <pivotArea collapsedLevelsAreSubtotals="1" fieldPosition="0">
        <references count="3">
          <reference field="2" count="1" selected="0">
            <x v="5"/>
          </reference>
          <reference field="3" count="1" selected="0">
            <x v="8"/>
          </reference>
          <reference field="4" count="1">
            <x v="24"/>
          </reference>
        </references>
      </pivotArea>
    </format>
    <format dxfId="1521">
      <pivotArea collapsedLevelsAreSubtotals="1" fieldPosition="0">
        <references count="3">
          <reference field="2" count="1" selected="0">
            <x v="5"/>
          </reference>
          <reference field="3" count="1" selected="0">
            <x v="8"/>
          </reference>
          <reference field="4" count="1">
            <x v="25"/>
          </reference>
        </references>
      </pivotArea>
    </format>
    <format dxfId="1520">
      <pivotArea collapsedLevelsAreSubtotals="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1519">
      <pivotArea collapsedLevelsAreSubtotals="1" fieldPosition="0">
        <references count="3">
          <reference field="2" count="1" selected="0">
            <x v="5"/>
          </reference>
          <reference field="3" count="1" selected="0">
            <x v="8"/>
          </reference>
          <reference field="4" count="1">
            <x v="25"/>
          </reference>
        </references>
      </pivotArea>
    </format>
    <format dxfId="1518">
      <pivotArea collapsedLevelsAreSubtotals="1" fieldPosition="0">
        <references count="2">
          <reference field="2" count="1" selected="0">
            <x v="5"/>
          </reference>
          <reference field="3" count="1">
            <x v="13"/>
          </reference>
        </references>
      </pivotArea>
    </format>
    <format dxfId="1517">
      <pivotArea collapsedLevelsAreSubtotals="1" fieldPosition="0">
        <references count="3">
          <reference field="2" count="1" selected="0">
            <x v="5"/>
          </reference>
          <reference field="3" count="1" selected="0">
            <x v="13"/>
          </reference>
          <reference field="4" count="1">
            <x v="39"/>
          </reference>
        </references>
      </pivotArea>
    </format>
    <format dxfId="1516">
      <pivotArea collapsedLevelsAreSubtotals="1" fieldPosition="0">
        <references count="4">
          <reference field="2" count="1" selected="0">
            <x v="5"/>
          </reference>
          <reference field="3" count="1" selected="0">
            <x v="13"/>
          </reference>
          <reference field="4" count="1" selected="0">
            <x v="39"/>
          </reference>
          <reference field="5" count="5">
            <x v="89"/>
            <x v="90"/>
            <x v="91"/>
            <x v="92"/>
            <x v="93"/>
          </reference>
        </references>
      </pivotArea>
    </format>
    <format dxfId="1515">
      <pivotArea collapsedLevelsAreSubtotals="1" fieldPosition="0">
        <references count="3">
          <reference field="2" count="1" selected="0">
            <x v="5"/>
          </reference>
          <reference field="3" count="1" selected="0">
            <x v="13"/>
          </reference>
          <reference field="4" count="1">
            <x v="39"/>
          </reference>
        </references>
      </pivotArea>
    </format>
    <format dxfId="1514">
      <pivotArea collapsedLevelsAreSubtotals="1" fieldPosition="0">
        <references count="3">
          <reference field="2" count="1" selected="0">
            <x v="5"/>
          </reference>
          <reference field="3" count="1" selected="0">
            <x v="13"/>
          </reference>
          <reference field="4" count="1">
            <x v="40"/>
          </reference>
        </references>
      </pivotArea>
    </format>
    <format dxfId="1513">
      <pivotArea collapsedLevelsAreSubtotals="1" fieldPosition="0">
        <references count="4">
          <reference field="2" count="1" selected="0">
            <x v="5"/>
          </reference>
          <reference field="3" count="1" selected="0">
            <x v="13"/>
          </reference>
          <reference field="4" count="1" selected="0">
            <x v="40"/>
          </reference>
          <reference field="5" count="2">
            <x v="95"/>
            <x v="96"/>
          </reference>
        </references>
      </pivotArea>
    </format>
    <format dxfId="1512">
      <pivotArea collapsedLevelsAreSubtotals="1" fieldPosition="0">
        <references count="3">
          <reference field="2" count="1" selected="0">
            <x v="5"/>
          </reference>
          <reference field="3" count="1" selected="0">
            <x v="13"/>
          </reference>
          <reference field="4" count="1">
            <x v="40"/>
          </reference>
        </references>
      </pivotArea>
    </format>
    <format dxfId="1511">
      <pivotArea collapsedLevelsAreSubtotals="1" fieldPosition="0">
        <references count="3">
          <reference field="2" count="1" selected="0">
            <x v="5"/>
          </reference>
          <reference field="3" count="1" selected="0">
            <x v="13"/>
          </reference>
          <reference field="4" count="1">
            <x v="41"/>
          </reference>
        </references>
      </pivotArea>
    </format>
    <format dxfId="1510">
      <pivotArea collapsedLevelsAreSubtotals="1" fieldPosition="0">
        <references count="4">
          <reference field="2" count="1" selected="0">
            <x v="5"/>
          </reference>
          <reference field="3" count="1" selected="0">
            <x v="13"/>
          </reference>
          <reference field="4" count="1" selected="0">
            <x v="41"/>
          </reference>
          <reference field="5" count="2">
            <x v="97"/>
            <x v="98"/>
          </reference>
        </references>
      </pivotArea>
    </format>
    <format dxfId="1509">
      <pivotArea collapsedLevelsAreSubtotals="1" fieldPosition="0">
        <references count="3">
          <reference field="2" count="1" selected="0">
            <x v="5"/>
          </reference>
          <reference field="3" count="1" selected="0">
            <x v="13"/>
          </reference>
          <reference field="4" count="1">
            <x v="41"/>
          </reference>
        </references>
      </pivotArea>
    </format>
    <format dxfId="1508">
      <pivotArea collapsedLevelsAreSubtotals="1" fieldPosition="0">
        <references count="1">
          <reference field="2" count="1">
            <x v="6"/>
          </reference>
        </references>
      </pivotArea>
    </format>
    <format dxfId="1507">
      <pivotArea collapsedLevelsAreSubtotals="1" fieldPosition="0">
        <references count="2">
          <reference field="2" count="1" selected="0">
            <x v="6"/>
          </reference>
          <reference field="3" count="1">
            <x v="9"/>
          </reference>
        </references>
      </pivotArea>
    </format>
    <format dxfId="1506">
      <pivotArea collapsedLevelsAreSubtotals="1" fieldPosition="0">
        <references count="3">
          <reference field="2" count="1" selected="0">
            <x v="6"/>
          </reference>
          <reference field="3" count="1" selected="0">
            <x v="9"/>
          </reference>
          <reference field="4" count="1">
            <x v="26"/>
          </reference>
        </references>
      </pivotArea>
    </format>
    <format dxfId="1505">
      <pivotArea collapsedLevelsAreSubtotals="1" fieldPosition="0">
        <references count="4">
          <reference field="2" count="1" selected="0">
            <x v="6"/>
          </reference>
          <reference field="3" count="1" selected="0">
            <x v="9"/>
          </reference>
          <reference field="4" count="1" selected="0">
            <x v="26"/>
          </reference>
          <reference field="5" count="1">
            <x v="73"/>
          </reference>
        </references>
      </pivotArea>
    </format>
    <format dxfId="1504">
      <pivotArea collapsedLevelsAreSubtotals="1" fieldPosition="0">
        <references count="3">
          <reference field="2" count="1" selected="0">
            <x v="6"/>
          </reference>
          <reference field="3" count="1" selected="0">
            <x v="9"/>
          </reference>
          <reference field="4" count="1">
            <x v="26"/>
          </reference>
        </references>
      </pivotArea>
    </format>
    <format dxfId="1503">
      <pivotArea collapsedLevelsAreSubtotals="1" fieldPosition="0">
        <references count="3">
          <reference field="2" count="1" selected="0">
            <x v="6"/>
          </reference>
          <reference field="3" count="1" selected="0">
            <x v="9"/>
          </reference>
          <reference field="4" count="1">
            <x v="27"/>
          </reference>
        </references>
      </pivotArea>
    </format>
    <format dxfId="1502">
      <pivotArea collapsedLevelsAreSubtotals="1" fieldPosition="0">
        <references count="3">
          <reference field="2" count="1" selected="0">
            <x v="6"/>
          </reference>
          <reference field="3" count="1" selected="0">
            <x v="9"/>
          </reference>
          <reference field="4" count="1">
            <x v="27"/>
          </reference>
        </references>
      </pivotArea>
    </format>
    <format dxfId="1501">
      <pivotArea collapsedLevelsAreSubtotals="1" fieldPosition="0">
        <references count="3">
          <reference field="2" count="1" selected="0">
            <x v="6"/>
          </reference>
          <reference field="3" count="1" selected="0">
            <x v="9"/>
          </reference>
          <reference field="4" count="1">
            <x v="28"/>
          </reference>
        </references>
      </pivotArea>
    </format>
    <format dxfId="1500">
      <pivotArea collapsedLevelsAreSubtotals="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1499">
      <pivotArea collapsedLevelsAreSubtotals="1" fieldPosition="0">
        <references count="3">
          <reference field="2" count="1" selected="0">
            <x v="6"/>
          </reference>
          <reference field="3" count="1" selected="0">
            <x v="9"/>
          </reference>
          <reference field="4" count="1">
            <x v="28"/>
          </reference>
        </references>
      </pivotArea>
    </format>
    <format dxfId="1498">
      <pivotArea collapsedLevelsAreSubtotals="1" fieldPosition="0">
        <references count="3">
          <reference field="2" count="1" selected="0">
            <x v="6"/>
          </reference>
          <reference field="3" count="1" selected="0">
            <x v="9"/>
          </reference>
          <reference field="4" count="1">
            <x v="29"/>
          </reference>
        </references>
      </pivotArea>
    </format>
    <format dxfId="1497">
      <pivotArea collapsedLevelsAreSubtotals="1" fieldPosition="0">
        <references count="4">
          <reference field="2" count="1" selected="0">
            <x v="6"/>
          </reference>
          <reference field="3" count="1" selected="0">
            <x v="9"/>
          </reference>
          <reference field="4" count="1" selected="0">
            <x v="29"/>
          </reference>
          <reference field="5" count="1">
            <x v="32"/>
          </reference>
        </references>
      </pivotArea>
    </format>
    <format dxfId="1496">
      <pivotArea collapsedLevelsAreSubtotals="1" fieldPosition="0">
        <references count="3">
          <reference field="2" count="1" selected="0">
            <x v="6"/>
          </reference>
          <reference field="3" count="1" selected="0">
            <x v="9"/>
          </reference>
          <reference field="4" count="1">
            <x v="29"/>
          </reference>
        </references>
      </pivotArea>
    </format>
    <format dxfId="1495">
      <pivotArea collapsedLevelsAreSubtotals="1" fieldPosition="0">
        <references count="2">
          <reference field="2" count="1" selected="0">
            <x v="6"/>
          </reference>
          <reference field="3" count="1">
            <x v="10"/>
          </reference>
        </references>
      </pivotArea>
    </format>
    <format dxfId="1494">
      <pivotArea collapsedLevelsAreSubtotals="1" fieldPosition="0">
        <references count="3">
          <reference field="2" count="1" selected="0">
            <x v="6"/>
          </reference>
          <reference field="3" count="1" selected="0">
            <x v="10"/>
          </reference>
          <reference field="4" count="1">
            <x v="42"/>
          </reference>
        </references>
      </pivotArea>
    </format>
    <format dxfId="1493">
      <pivotArea collapsedLevelsAreSubtotals="1" fieldPosition="0">
        <references count="4">
          <reference field="2" count="1" selected="0">
            <x v="6"/>
          </reference>
          <reference field="3" count="1" selected="0">
            <x v="10"/>
          </reference>
          <reference field="4" count="1" selected="0">
            <x v="42"/>
          </reference>
          <reference field="5" count="1">
            <x v="99"/>
          </reference>
        </references>
      </pivotArea>
    </format>
    <format dxfId="1492">
      <pivotArea collapsedLevelsAreSubtotals="1" fieldPosition="0">
        <references count="3">
          <reference field="2" count="1" selected="0">
            <x v="6"/>
          </reference>
          <reference field="3" count="1" selected="0">
            <x v="10"/>
          </reference>
          <reference field="4" count="1">
            <x v="42"/>
          </reference>
        </references>
      </pivotArea>
    </format>
    <format dxfId="1491">
      <pivotArea collapsedLevelsAreSubtotals="1" fieldPosition="0">
        <references count="3">
          <reference field="2" count="1" selected="0">
            <x v="6"/>
          </reference>
          <reference field="3" count="1" selected="0">
            <x v="10"/>
          </reference>
          <reference field="4" count="1">
            <x v="43"/>
          </reference>
        </references>
      </pivotArea>
    </format>
    <format dxfId="1490">
      <pivotArea collapsedLevelsAreSubtotals="1" fieldPosition="0">
        <references count="4">
          <reference field="2" count="1" selected="0">
            <x v="6"/>
          </reference>
          <reference field="3" count="1" selected="0">
            <x v="10"/>
          </reference>
          <reference field="4" count="1" selected="0">
            <x v="43"/>
          </reference>
          <reference field="5" count="1">
            <x v="103"/>
          </reference>
        </references>
      </pivotArea>
    </format>
    <format dxfId="1489">
      <pivotArea collapsedLevelsAreSubtotals="1" fieldPosition="0">
        <references count="3">
          <reference field="2" count="1" selected="0">
            <x v="6"/>
          </reference>
          <reference field="3" count="1" selected="0">
            <x v="10"/>
          </reference>
          <reference field="4" count="1">
            <x v="43"/>
          </reference>
        </references>
      </pivotArea>
    </format>
    <format dxfId="1488">
      <pivotArea collapsedLevelsAreSubtotals="1" fieldPosition="0">
        <references count="3">
          <reference field="2" count="1" selected="0">
            <x v="6"/>
          </reference>
          <reference field="3" count="1" selected="0">
            <x v="10"/>
          </reference>
          <reference field="4" count="1">
            <x v="44"/>
          </reference>
        </references>
      </pivotArea>
    </format>
    <format dxfId="1487">
      <pivotArea collapsedLevelsAreSubtotals="1" fieldPosition="0">
        <references count="4">
          <reference field="2" count="1" selected="0">
            <x v="6"/>
          </reference>
          <reference field="3" count="1" selected="0">
            <x v="10"/>
          </reference>
          <reference field="4" count="1" selected="0">
            <x v="44"/>
          </reference>
          <reference field="5" count="1">
            <x v="100"/>
          </reference>
        </references>
      </pivotArea>
    </format>
    <format dxfId="1486">
      <pivotArea collapsedLevelsAreSubtotals="1" fieldPosition="0">
        <references count="3">
          <reference field="2" count="1" selected="0">
            <x v="6"/>
          </reference>
          <reference field="3" count="1" selected="0">
            <x v="10"/>
          </reference>
          <reference field="4" count="1">
            <x v="44"/>
          </reference>
        </references>
      </pivotArea>
    </format>
    <format dxfId="1485">
      <pivotArea collapsedLevelsAreSubtotals="1" fieldPosition="0">
        <references count="3">
          <reference field="2" count="1" selected="0">
            <x v="6"/>
          </reference>
          <reference field="3" count="1" selected="0">
            <x v="10"/>
          </reference>
          <reference field="4" count="1">
            <x v="45"/>
          </reference>
        </references>
      </pivotArea>
    </format>
    <format dxfId="1484">
      <pivotArea collapsedLevelsAreSubtotals="1" fieldPosition="0">
        <references count="4">
          <reference field="2" count="1" selected="0">
            <x v="6"/>
          </reference>
          <reference field="3" count="1" selected="0">
            <x v="10"/>
          </reference>
          <reference field="4" count="1" selected="0">
            <x v="45"/>
          </reference>
          <reference field="5" count="2">
            <x v="101"/>
            <x v="102"/>
          </reference>
        </references>
      </pivotArea>
    </format>
    <format dxfId="1483">
      <pivotArea collapsedLevelsAreSubtotals="1" fieldPosition="0">
        <references count="3">
          <reference field="2" count="1" selected="0">
            <x v="6"/>
          </reference>
          <reference field="3" count="1" selected="0">
            <x v="10"/>
          </reference>
          <reference field="4" count="1">
            <x v="45"/>
          </reference>
        </references>
      </pivotArea>
    </format>
    <format dxfId="1482">
      <pivotArea collapsedLevelsAreSubtotals="1" fieldPosition="0">
        <references count="3">
          <reference field="2" count="1" selected="0">
            <x v="6"/>
          </reference>
          <reference field="3" count="1" selected="0">
            <x v="10"/>
          </reference>
          <reference field="4" count="1">
            <x v="63"/>
          </reference>
        </references>
      </pivotArea>
    </format>
    <format dxfId="1481">
      <pivotArea collapsedLevelsAreSubtotals="1" fieldPosition="0">
        <references count="4">
          <reference field="2" count="1" selected="0">
            <x v="6"/>
          </reference>
          <reference field="3" count="1" selected="0">
            <x v="10"/>
          </reference>
          <reference field="4" count="1" selected="0">
            <x v="63"/>
          </reference>
          <reference field="5" count="1">
            <x v="104"/>
          </reference>
        </references>
      </pivotArea>
    </format>
    <format dxfId="1480">
      <pivotArea collapsedLevelsAreSubtotals="1" fieldPosition="0">
        <references count="3">
          <reference field="2" count="1" selected="0">
            <x v="6"/>
          </reference>
          <reference field="3" count="1" selected="0">
            <x v="10"/>
          </reference>
          <reference field="4" count="1">
            <x v="63"/>
          </reference>
        </references>
      </pivotArea>
    </format>
    <format dxfId="1479">
      <pivotArea collapsedLevelsAreSubtotals="1" fieldPosition="0">
        <references count="3">
          <reference field="2" count="1" selected="0">
            <x v="6"/>
          </reference>
          <reference field="3" count="1" selected="0">
            <x v="10"/>
          </reference>
          <reference field="4" count="1">
            <x v="64"/>
          </reference>
        </references>
      </pivotArea>
    </format>
    <format dxfId="1478">
      <pivotArea collapsedLevelsAreSubtotals="1" fieldPosition="0">
        <references count="4">
          <reference field="2" count="1" selected="0">
            <x v="6"/>
          </reference>
          <reference field="3" count="1" selected="0">
            <x v="10"/>
          </reference>
          <reference field="4" count="1" selected="0">
            <x v="64"/>
          </reference>
          <reference field="5" count="1">
            <x v="105"/>
          </reference>
        </references>
      </pivotArea>
    </format>
    <format dxfId="1477">
      <pivotArea collapsedLevelsAreSubtotals="1" fieldPosition="0">
        <references count="3">
          <reference field="2" count="1" selected="0">
            <x v="6"/>
          </reference>
          <reference field="3" count="1" selected="0">
            <x v="10"/>
          </reference>
          <reference field="4" count="1">
            <x v="64"/>
          </reference>
        </references>
      </pivotArea>
    </format>
    <format dxfId="1476">
      <pivotArea collapsedLevelsAreSubtotals="1" fieldPosition="0">
        <references count="3">
          <reference field="2" count="1" selected="0">
            <x v="6"/>
          </reference>
          <reference field="3" count="1" selected="0">
            <x v="10"/>
          </reference>
          <reference field="4" count="1">
            <x v="65"/>
          </reference>
        </references>
      </pivotArea>
    </format>
    <format dxfId="1475">
      <pivotArea collapsedLevelsAreSubtotals="1" fieldPosition="0">
        <references count="4">
          <reference field="2" count="1" selected="0">
            <x v="6"/>
          </reference>
          <reference field="3" count="1" selected="0">
            <x v="10"/>
          </reference>
          <reference field="4" count="1" selected="0">
            <x v="65"/>
          </reference>
          <reference field="5" count="1">
            <x v="41"/>
          </reference>
        </references>
      </pivotArea>
    </format>
    <format dxfId="1474">
      <pivotArea collapsedLevelsAreSubtotals="1" fieldPosition="0">
        <references count="3">
          <reference field="2" count="1" selected="0">
            <x v="6"/>
          </reference>
          <reference field="3" count="1" selected="0">
            <x v="10"/>
          </reference>
          <reference field="4" count="1">
            <x v="65"/>
          </reference>
        </references>
      </pivotArea>
    </format>
    <format dxfId="1473">
      <pivotArea collapsedLevelsAreSubtotals="1" fieldPosition="0">
        <references count="2">
          <reference field="2" count="1" selected="0">
            <x v="6"/>
          </reference>
          <reference field="3" count="1">
            <x v="14"/>
          </reference>
        </references>
      </pivotArea>
    </format>
    <format dxfId="1472">
      <pivotArea collapsedLevelsAreSubtotals="1" fieldPosition="0">
        <references count="3">
          <reference field="2" count="1" selected="0">
            <x v="6"/>
          </reference>
          <reference field="3" count="1" selected="0">
            <x v="14"/>
          </reference>
          <reference field="4" count="1">
            <x v="46"/>
          </reference>
        </references>
      </pivotArea>
    </format>
    <format dxfId="1471">
      <pivotArea collapsedLevelsAreSubtotals="1" fieldPosition="0">
        <references count="3">
          <reference field="2" count="1" selected="0">
            <x v="6"/>
          </reference>
          <reference field="3" count="1" selected="0">
            <x v="14"/>
          </reference>
          <reference field="4" count="1">
            <x v="46"/>
          </reference>
        </references>
      </pivotArea>
    </format>
    <format dxfId="1470">
      <pivotArea collapsedLevelsAreSubtotals="1" fieldPosition="0">
        <references count="3">
          <reference field="2" count="1" selected="0">
            <x v="6"/>
          </reference>
          <reference field="3" count="1" selected="0">
            <x v="14"/>
          </reference>
          <reference field="4" count="1">
            <x v="47"/>
          </reference>
        </references>
      </pivotArea>
    </format>
    <format dxfId="1469">
      <pivotArea collapsedLevelsAreSubtotals="1" fieldPosition="0">
        <references count="4">
          <reference field="2" count="1" selected="0">
            <x v="6"/>
          </reference>
          <reference field="3" count="1" selected="0">
            <x v="14"/>
          </reference>
          <reference field="4" count="1" selected="0">
            <x v="47"/>
          </reference>
          <reference field="5" count="1">
            <x v="106"/>
          </reference>
        </references>
      </pivotArea>
    </format>
    <format dxfId="1468">
      <pivotArea collapsedLevelsAreSubtotals="1" fieldPosition="0">
        <references count="3">
          <reference field="2" count="1" selected="0">
            <x v="6"/>
          </reference>
          <reference field="3" count="1" selected="0">
            <x v="14"/>
          </reference>
          <reference field="4" count="1">
            <x v="47"/>
          </reference>
        </references>
      </pivotArea>
    </format>
    <format dxfId="1467">
      <pivotArea collapsedLevelsAreSubtotals="1" fieldPosition="0">
        <references count="3">
          <reference field="2" count="1" selected="0">
            <x v="6"/>
          </reference>
          <reference field="3" count="1" selected="0">
            <x v="14"/>
          </reference>
          <reference field="4" count="1">
            <x v="48"/>
          </reference>
        </references>
      </pivotArea>
    </format>
    <format dxfId="1466">
      <pivotArea collapsedLevelsAreSubtotals="1" fieldPosition="0">
        <references count="4">
          <reference field="2" count="1" selected="0">
            <x v="6"/>
          </reference>
          <reference field="3" count="1" selected="0">
            <x v="14"/>
          </reference>
          <reference field="4" count="1" selected="0">
            <x v="48"/>
          </reference>
          <reference field="5" count="1">
            <x v="107"/>
          </reference>
        </references>
      </pivotArea>
    </format>
    <format dxfId="1465">
      <pivotArea collapsedLevelsAreSubtotals="1" fieldPosition="0">
        <references count="3">
          <reference field="2" count="1" selected="0">
            <x v="6"/>
          </reference>
          <reference field="3" count="1" selected="0">
            <x v="14"/>
          </reference>
          <reference field="4" count="1">
            <x v="48"/>
          </reference>
        </references>
      </pivotArea>
    </format>
    <format dxfId="1464">
      <pivotArea collapsedLevelsAreSubtotals="1" fieldPosition="0">
        <references count="3">
          <reference field="2" count="1" selected="0">
            <x v="6"/>
          </reference>
          <reference field="3" count="1" selected="0">
            <x v="14"/>
          </reference>
          <reference field="4" count="1">
            <x v="50"/>
          </reference>
        </references>
      </pivotArea>
    </format>
    <format dxfId="1463">
      <pivotArea collapsedLevelsAreSubtotals="1" fieldPosition="0">
        <references count="4">
          <reference field="2" count="1" selected="0">
            <x v="6"/>
          </reference>
          <reference field="3" count="1" selected="0">
            <x v="14"/>
          </reference>
          <reference field="4" count="1" selected="0">
            <x v="50"/>
          </reference>
          <reference field="5" count="2">
            <x v="108"/>
            <x v="109"/>
          </reference>
        </references>
      </pivotArea>
    </format>
    <format dxfId="1462">
      <pivotArea collapsedLevelsAreSubtotals="1" fieldPosition="0">
        <references count="3">
          <reference field="2" count="1" selected="0">
            <x v="6"/>
          </reference>
          <reference field="3" count="1" selected="0">
            <x v="14"/>
          </reference>
          <reference field="4" count="1">
            <x v="50"/>
          </reference>
        </references>
      </pivotArea>
    </format>
    <format dxfId="1461">
      <pivotArea collapsedLevelsAreSubtotals="1" fieldPosition="0">
        <references count="3">
          <reference field="2" count="1" selected="0">
            <x v="6"/>
          </reference>
          <reference field="3" count="1" selected="0">
            <x v="14"/>
          </reference>
          <reference field="4" count="1">
            <x v="51"/>
          </reference>
        </references>
      </pivotArea>
    </format>
    <format dxfId="1460">
      <pivotArea collapsedLevelsAreSubtotals="1" fieldPosition="0">
        <references count="4">
          <reference field="2" count="1" selected="0">
            <x v="6"/>
          </reference>
          <reference field="3" count="1" selected="0">
            <x v="14"/>
          </reference>
          <reference field="4" count="1" selected="0">
            <x v="51"/>
          </reference>
          <reference field="5" count="1">
            <x v="110"/>
          </reference>
        </references>
      </pivotArea>
    </format>
    <format dxfId="1459">
      <pivotArea collapsedLevelsAreSubtotals="1" fieldPosition="0">
        <references count="3">
          <reference field="2" count="1" selected="0">
            <x v="6"/>
          </reference>
          <reference field="3" count="1" selected="0">
            <x v="14"/>
          </reference>
          <reference field="4" count="1">
            <x v="51"/>
          </reference>
        </references>
      </pivotArea>
    </format>
    <format dxfId="1458">
      <pivotArea collapsedLevelsAreSubtotals="1" fieldPosition="0">
        <references count="2">
          <reference field="2" count="1" selected="0">
            <x v="6"/>
          </reference>
          <reference field="3" count="1">
            <x v="15"/>
          </reference>
        </references>
      </pivotArea>
    </format>
    <format dxfId="1457">
      <pivotArea collapsedLevelsAreSubtotals="1" fieldPosition="0">
        <references count="3">
          <reference field="2" count="1" selected="0">
            <x v="6"/>
          </reference>
          <reference field="3" count="1" selected="0">
            <x v="15"/>
          </reference>
          <reference field="4" count="1">
            <x v="52"/>
          </reference>
        </references>
      </pivotArea>
    </format>
    <format dxfId="1456">
      <pivotArea collapsedLevelsAreSubtotals="1" fieldPosition="0">
        <references count="4">
          <reference field="2" count="1" selected="0">
            <x v="6"/>
          </reference>
          <reference field="3" count="1" selected="0">
            <x v="15"/>
          </reference>
          <reference field="4" count="1" selected="0">
            <x v="52"/>
          </reference>
          <reference field="5" count="1">
            <x v="111"/>
          </reference>
        </references>
      </pivotArea>
    </format>
    <format dxfId="1455">
      <pivotArea collapsedLevelsAreSubtotals="1" fieldPosition="0">
        <references count="3">
          <reference field="2" count="1" selected="0">
            <x v="6"/>
          </reference>
          <reference field="3" count="1" selected="0">
            <x v="15"/>
          </reference>
          <reference field="4" count="1">
            <x v="52"/>
          </reference>
        </references>
      </pivotArea>
    </format>
    <format dxfId="1454">
      <pivotArea collapsedLevelsAreSubtotals="1" fieldPosition="0">
        <references count="3">
          <reference field="2" count="1" selected="0">
            <x v="6"/>
          </reference>
          <reference field="3" count="1" selected="0">
            <x v="15"/>
          </reference>
          <reference field="4" count="1">
            <x v="53"/>
          </reference>
        </references>
      </pivotArea>
    </format>
    <format dxfId="1453">
      <pivotArea collapsedLevelsAreSubtotals="1" fieldPosition="0">
        <references count="3">
          <reference field="2" count="1" selected="0">
            <x v="6"/>
          </reference>
          <reference field="3" count="1" selected="0">
            <x v="15"/>
          </reference>
          <reference field="4" count="1">
            <x v="53"/>
          </reference>
        </references>
      </pivotArea>
    </format>
    <format dxfId="1452">
      <pivotArea collapsedLevelsAreSubtotals="1" fieldPosition="0">
        <references count="3">
          <reference field="2" count="1" selected="0">
            <x v="6"/>
          </reference>
          <reference field="3" count="1" selected="0">
            <x v="15"/>
          </reference>
          <reference field="4" count="1">
            <x v="54"/>
          </reference>
        </references>
      </pivotArea>
    </format>
    <format dxfId="1451">
      <pivotArea collapsedLevelsAreSubtotals="1" fieldPosition="0">
        <references count="4">
          <reference field="2" count="1" selected="0">
            <x v="6"/>
          </reference>
          <reference field="3" count="1" selected="0">
            <x v="15"/>
          </reference>
          <reference field="4" count="1" selected="0">
            <x v="54"/>
          </reference>
          <reference field="5" count="1">
            <x v="116"/>
          </reference>
        </references>
      </pivotArea>
    </format>
    <format dxfId="1450">
      <pivotArea collapsedLevelsAreSubtotals="1" fieldPosition="0">
        <references count="3">
          <reference field="2" count="1" selected="0">
            <x v="6"/>
          </reference>
          <reference field="3" count="1" selected="0">
            <x v="15"/>
          </reference>
          <reference field="4" count="1">
            <x v="54"/>
          </reference>
        </references>
      </pivotArea>
    </format>
    <format dxfId="1449">
      <pivotArea collapsedLevelsAreSubtotals="1" fieldPosition="0">
        <references count="3">
          <reference field="2" count="1" selected="0">
            <x v="6"/>
          </reference>
          <reference field="3" count="1" selected="0">
            <x v="15"/>
          </reference>
          <reference field="4" count="1">
            <x v="55"/>
          </reference>
        </references>
      </pivotArea>
    </format>
    <format dxfId="1448">
      <pivotArea collapsedLevelsAreSubtotals="1" fieldPosition="0">
        <references count="4">
          <reference field="2" count="1" selected="0">
            <x v="6"/>
          </reference>
          <reference field="3" count="1" selected="0">
            <x v="15"/>
          </reference>
          <reference field="4" count="1" selected="0">
            <x v="55"/>
          </reference>
          <reference field="5" count="4">
            <x v="112"/>
            <x v="113"/>
            <x v="114"/>
            <x v="115"/>
          </reference>
        </references>
      </pivotArea>
    </format>
    <format dxfId="1447">
      <pivotArea collapsedLevelsAreSubtotals="1" fieldPosition="0">
        <references count="3">
          <reference field="2" count="1" selected="0">
            <x v="6"/>
          </reference>
          <reference field="3" count="1" selected="0">
            <x v="15"/>
          </reference>
          <reference field="4" count="1">
            <x v="55"/>
          </reference>
        </references>
      </pivotArea>
    </format>
    <format dxfId="1446">
      <pivotArea collapsedLevelsAreSubtotals="1" fieldPosition="0">
        <references count="2">
          <reference field="2" count="1" selected="0">
            <x v="6"/>
          </reference>
          <reference field="3" count="1">
            <x v="16"/>
          </reference>
        </references>
      </pivotArea>
    </format>
    <format dxfId="1445">
      <pivotArea collapsedLevelsAreSubtotals="1" fieldPosition="0">
        <references count="3">
          <reference field="2" count="1" selected="0">
            <x v="6"/>
          </reference>
          <reference field="3" count="1" selected="0">
            <x v="16"/>
          </reference>
          <reference field="4" count="1">
            <x v="56"/>
          </reference>
        </references>
      </pivotArea>
    </format>
    <format dxfId="1444">
      <pivotArea collapsedLevelsAreSubtotals="1" fieldPosition="0">
        <references count="4">
          <reference field="2" count="1" selected="0">
            <x v="6"/>
          </reference>
          <reference field="3" count="1" selected="0">
            <x v="16"/>
          </reference>
          <reference field="4" count="1" selected="0">
            <x v="56"/>
          </reference>
          <reference field="5" count="1">
            <x v="117"/>
          </reference>
        </references>
      </pivotArea>
    </format>
    <format dxfId="1443">
      <pivotArea collapsedLevelsAreSubtotals="1" fieldPosition="0">
        <references count="3">
          <reference field="2" count="1" selected="0">
            <x v="6"/>
          </reference>
          <reference field="3" count="1" selected="0">
            <x v="16"/>
          </reference>
          <reference field="4" count="1">
            <x v="56"/>
          </reference>
        </references>
      </pivotArea>
    </format>
    <format dxfId="1442">
      <pivotArea collapsedLevelsAreSubtotals="1" fieldPosition="0">
        <references count="3">
          <reference field="2" count="1" selected="0">
            <x v="6"/>
          </reference>
          <reference field="3" count="1" selected="0">
            <x v="16"/>
          </reference>
          <reference field="4" count="1">
            <x v="57"/>
          </reference>
        </references>
      </pivotArea>
    </format>
    <format dxfId="1441">
      <pivotArea collapsedLevelsAreSubtotals="1" fieldPosition="0">
        <references count="4">
          <reference field="2" count="1" selected="0">
            <x v="6"/>
          </reference>
          <reference field="3" count="1" selected="0">
            <x v="16"/>
          </reference>
          <reference field="4" count="1" selected="0">
            <x v="57"/>
          </reference>
          <reference field="5" count="1">
            <x v="133"/>
          </reference>
        </references>
      </pivotArea>
    </format>
    <format dxfId="1440">
      <pivotArea collapsedLevelsAreSubtotals="1" fieldPosition="0">
        <references count="3">
          <reference field="2" count="1" selected="0">
            <x v="6"/>
          </reference>
          <reference field="3" count="1" selected="0">
            <x v="16"/>
          </reference>
          <reference field="4" count="1">
            <x v="57"/>
          </reference>
        </references>
      </pivotArea>
    </format>
    <format dxfId="1439">
      <pivotArea collapsedLevelsAreSubtotals="1" fieldPosition="0">
        <references count="3">
          <reference field="2" count="1" selected="0">
            <x v="6"/>
          </reference>
          <reference field="3" count="1" selected="0">
            <x v="16"/>
          </reference>
          <reference field="4" count="1">
            <x v="58"/>
          </reference>
        </references>
      </pivotArea>
    </format>
    <format dxfId="1438">
      <pivotArea collapsedLevelsAreSubtotals="1" fieldPosition="0">
        <references count="4">
          <reference field="2" count="1" selected="0">
            <x v="6"/>
          </reference>
          <reference field="3" count="1" selected="0">
            <x v="16"/>
          </reference>
          <reference field="4" count="1" selected="0">
            <x v="58"/>
          </reference>
          <reference field="5" count="1">
            <x v="118"/>
          </reference>
        </references>
      </pivotArea>
    </format>
    <format dxfId="1437">
      <pivotArea collapsedLevelsAreSubtotals="1" fieldPosition="0">
        <references count="3">
          <reference field="2" count="1" selected="0">
            <x v="6"/>
          </reference>
          <reference field="3" count="1" selected="0">
            <x v="16"/>
          </reference>
          <reference field="4" count="1">
            <x v="58"/>
          </reference>
        </references>
      </pivotArea>
    </format>
    <format dxfId="1436">
      <pivotArea collapsedLevelsAreSubtotals="1" fieldPosition="0">
        <references count="2">
          <reference field="2" count="1" selected="0">
            <x v="6"/>
          </reference>
          <reference field="3" count="1">
            <x v="17"/>
          </reference>
        </references>
      </pivotArea>
    </format>
    <format dxfId="1435">
      <pivotArea collapsedLevelsAreSubtotals="1" fieldPosition="0">
        <references count="3">
          <reference field="2" count="1" selected="0">
            <x v="6"/>
          </reference>
          <reference field="3" count="1" selected="0">
            <x v="17"/>
          </reference>
          <reference field="4" count="1">
            <x v="59"/>
          </reference>
        </references>
      </pivotArea>
    </format>
    <format dxfId="1434">
      <pivotArea collapsedLevelsAreSubtotals="1" fieldPosition="0">
        <references count="4">
          <reference field="2" count="1" selected="0">
            <x v="6"/>
          </reference>
          <reference field="3" count="1" selected="0">
            <x v="17"/>
          </reference>
          <reference field="4" count="1" selected="0">
            <x v="59"/>
          </reference>
          <reference field="5" count="2">
            <x v="119"/>
            <x v="120"/>
          </reference>
        </references>
      </pivotArea>
    </format>
    <format dxfId="1433">
      <pivotArea collapsedLevelsAreSubtotals="1" fieldPosition="0">
        <references count="3">
          <reference field="2" count="1" selected="0">
            <x v="6"/>
          </reference>
          <reference field="3" count="1" selected="0">
            <x v="17"/>
          </reference>
          <reference field="4" count="1">
            <x v="59"/>
          </reference>
        </references>
      </pivotArea>
    </format>
    <format dxfId="1432">
      <pivotArea collapsedLevelsAreSubtotals="1" fieldPosition="0">
        <references count="3">
          <reference field="2" count="1" selected="0">
            <x v="6"/>
          </reference>
          <reference field="3" count="1" selected="0">
            <x v="17"/>
          </reference>
          <reference field="4" count="1">
            <x v="60"/>
          </reference>
        </references>
      </pivotArea>
    </format>
    <format dxfId="1431">
      <pivotArea collapsedLevelsAreSubtotals="1" fieldPosition="0">
        <references count="4">
          <reference field="2" count="1" selected="0">
            <x v="6"/>
          </reference>
          <reference field="3" count="1" selected="0">
            <x v="17"/>
          </reference>
          <reference field="4" count="1" selected="0">
            <x v="60"/>
          </reference>
          <reference field="5" count="1">
            <x v="121"/>
          </reference>
        </references>
      </pivotArea>
    </format>
    <format dxfId="1430">
      <pivotArea collapsedLevelsAreSubtotals="1" fieldPosition="0">
        <references count="3">
          <reference field="2" count="1" selected="0">
            <x v="6"/>
          </reference>
          <reference field="3" count="1" selected="0">
            <x v="17"/>
          </reference>
          <reference field="4" count="1">
            <x v="60"/>
          </reference>
        </references>
      </pivotArea>
    </format>
    <format dxfId="1429">
      <pivotArea collapsedLevelsAreSubtotals="1" fieldPosition="0">
        <references count="3">
          <reference field="2" count="1" selected="0">
            <x v="6"/>
          </reference>
          <reference field="3" count="1" selected="0">
            <x v="17"/>
          </reference>
          <reference field="4" count="1">
            <x v="61"/>
          </reference>
        </references>
      </pivotArea>
    </format>
    <format dxfId="1428">
      <pivotArea collapsedLevelsAreSubtotals="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1427">
      <pivotArea collapsedLevelsAreSubtotals="1" fieldPosition="0">
        <references count="3">
          <reference field="2" count="1" selected="0">
            <x v="6"/>
          </reference>
          <reference field="3" count="1" selected="0">
            <x v="17"/>
          </reference>
          <reference field="4" count="1">
            <x v="61"/>
          </reference>
        </references>
      </pivotArea>
    </format>
    <format dxfId="1426">
      <pivotArea collapsedLevelsAreSubtotals="1" fieldPosition="0">
        <references count="1">
          <reference field="2" count="1">
            <x v="7"/>
          </reference>
        </references>
      </pivotArea>
    </format>
    <format dxfId="1425">
      <pivotArea collapsedLevelsAreSubtotals="1" fieldPosition="0">
        <references count="2">
          <reference field="2" count="1" selected="0">
            <x v="7"/>
          </reference>
          <reference field="3" count="1">
            <x v="18"/>
          </reference>
        </references>
      </pivotArea>
    </format>
    <format dxfId="1424">
      <pivotArea collapsedLevelsAreSubtotals="1" fieldPosition="0">
        <references count="3">
          <reference field="2" count="1" selected="0">
            <x v="7"/>
          </reference>
          <reference field="3" count="1" selected="0">
            <x v="18"/>
          </reference>
          <reference field="4" count="1">
            <x v="62"/>
          </reference>
        </references>
      </pivotArea>
    </format>
    <format dxfId="1423">
      <pivotArea collapsedLevelsAreSubtotals="1" fieldPosition="0">
        <references count="3">
          <reference field="2" count="1" selected="0">
            <x v="7"/>
          </reference>
          <reference field="3" count="1" selected="0">
            <x v="18"/>
          </reference>
          <reference field="4" count="1">
            <x v="62"/>
          </reference>
        </references>
      </pivotArea>
    </format>
    <format dxfId="1422">
      <pivotArea grandRow="1" outline="0" collapsedLevelsAreSubtotals="1" fieldPosition="0"/>
    </format>
    <format dxfId="1421">
      <pivotArea collapsedLevelsAreSubtotals="1" fieldPosition="0">
        <references count="4">
          <reference field="2" count="1" selected="0">
            <x v="4"/>
          </reference>
          <reference field="3" count="1" selected="0">
            <x v="12"/>
          </reference>
          <reference field="4" count="1" selected="0">
            <x v="38"/>
          </reference>
          <reference field="5" count="2">
            <x v="84"/>
            <x v="85"/>
          </reference>
        </references>
      </pivotArea>
    </format>
    <format dxfId="1420">
      <pivotArea collapsedLevelsAreSubtotals="1" fieldPosition="0">
        <references count="4">
          <reference field="2" count="1" selected="0">
            <x v="4"/>
          </reference>
          <reference field="3" count="1" selected="0">
            <x v="12"/>
          </reference>
          <reference field="4" count="1" selected="0">
            <x v="66"/>
          </reference>
          <reference field="5" count="3">
            <x v="86"/>
            <x v="87"/>
            <x v="88"/>
          </reference>
        </references>
      </pivotArea>
    </format>
    <format dxfId="1419">
      <pivotArea dataOnly="0" labelOnly="1" fieldPosition="0">
        <references count="2">
          <reference field="2" count="1" selected="0">
            <x v="1"/>
          </reference>
          <reference field="3" count="1">
            <x v="1"/>
          </reference>
        </references>
      </pivotArea>
    </format>
    <format dxfId="1418">
      <pivotArea dataOnly="0" labelOnly="1" fieldPosition="0">
        <references count="2">
          <reference field="2" count="1" selected="0">
            <x v="2"/>
          </reference>
          <reference field="3" count="3">
            <x v="2"/>
            <x v="3"/>
            <x v="4"/>
          </reference>
        </references>
      </pivotArea>
    </format>
    <format dxfId="1417">
      <pivotArea dataOnly="0" labelOnly="1" fieldPosition="0">
        <references count="2">
          <reference field="2" count="1" selected="0">
            <x v="3"/>
          </reference>
          <reference field="3" count="3">
            <x v="5"/>
            <x v="6"/>
            <x v="11"/>
          </reference>
        </references>
      </pivotArea>
    </format>
    <format dxfId="1416">
      <pivotArea dataOnly="0" labelOnly="1" fieldPosition="0">
        <references count="2">
          <reference field="2" count="1" selected="0">
            <x v="4"/>
          </reference>
          <reference field="3" count="2">
            <x v="7"/>
            <x v="12"/>
          </reference>
        </references>
      </pivotArea>
    </format>
    <format dxfId="1415">
      <pivotArea dataOnly="0" labelOnly="1" fieldPosition="0">
        <references count="2">
          <reference field="2" count="1" selected="0">
            <x v="5"/>
          </reference>
          <reference field="3" count="2">
            <x v="8"/>
            <x v="13"/>
          </reference>
        </references>
      </pivotArea>
    </format>
    <format dxfId="1414">
      <pivotArea dataOnly="0" labelOnly="1" fieldPosition="0">
        <references count="2">
          <reference field="2" count="1" selected="0">
            <x v="6"/>
          </reference>
          <reference field="3" count="6">
            <x v="9"/>
            <x v="10"/>
            <x v="14"/>
            <x v="15"/>
            <x v="16"/>
            <x v="17"/>
          </reference>
        </references>
      </pivotArea>
    </format>
    <format dxfId="1413">
      <pivotArea dataOnly="0" labelOnly="1" fieldPosition="0">
        <references count="2">
          <reference field="2" count="1" selected="0">
            <x v="7"/>
          </reference>
          <reference field="3" count="1">
            <x v="18"/>
          </reference>
        </references>
      </pivotArea>
    </format>
    <format dxfId="1412">
      <pivotArea dataOnly="0" labelOnly="1" fieldPosition="0">
        <references count="3">
          <reference field="2" count="1" selected="0">
            <x v="1"/>
          </reference>
          <reference field="3" count="1" selected="0">
            <x v="1"/>
          </reference>
          <reference field="4" count="4">
            <x v="1"/>
            <x v="2"/>
            <x v="3"/>
            <x v="4"/>
          </reference>
        </references>
      </pivotArea>
    </format>
    <format dxfId="1411">
      <pivotArea dataOnly="0" labelOnly="1" fieldPosition="0">
        <references count="3">
          <reference field="2" count="1" selected="0">
            <x v="2"/>
          </reference>
          <reference field="3" count="1" selected="0">
            <x v="2"/>
          </reference>
          <reference field="4" count="1">
            <x v="6"/>
          </reference>
        </references>
      </pivotArea>
    </format>
    <format dxfId="1410">
      <pivotArea dataOnly="0" labelOnly="1" fieldPosition="0">
        <references count="3">
          <reference field="2" count="1" selected="0">
            <x v="2"/>
          </reference>
          <reference field="3" count="1" selected="0">
            <x v="3"/>
          </reference>
          <reference field="4" count="3">
            <x v="7"/>
            <x v="8"/>
            <x v="9"/>
          </reference>
        </references>
      </pivotArea>
    </format>
    <format dxfId="1409">
      <pivotArea dataOnly="0" labelOnly="1" fieldPosition="0">
        <references count="3">
          <reference field="2" count="1" selected="0">
            <x v="2"/>
          </reference>
          <reference field="3" count="1" selected="0">
            <x v="4"/>
          </reference>
          <reference field="4" count="3">
            <x v="10"/>
            <x v="11"/>
            <x v="12"/>
          </reference>
        </references>
      </pivotArea>
    </format>
    <format dxfId="1408">
      <pivotArea dataOnly="0" labelOnly="1" fieldPosition="0">
        <references count="3">
          <reference field="2" count="1" selected="0">
            <x v="3"/>
          </reference>
          <reference field="3" count="1" selected="0">
            <x v="5"/>
          </reference>
          <reference field="4" count="5">
            <x v="13"/>
            <x v="14"/>
            <x v="15"/>
            <x v="16"/>
            <x v="17"/>
          </reference>
        </references>
      </pivotArea>
    </format>
    <format dxfId="1407">
      <pivotArea dataOnly="0" labelOnly="1" fieldPosition="0">
        <references count="3">
          <reference field="2" count="1" selected="0">
            <x v="3"/>
          </reference>
          <reference field="3" count="1" selected="0">
            <x v="6"/>
          </reference>
          <reference field="4" count="2">
            <x v="18"/>
            <x v="19"/>
          </reference>
        </references>
      </pivotArea>
    </format>
    <format dxfId="1406">
      <pivotArea dataOnly="0" labelOnly="1" fieldPosition="0">
        <references count="3">
          <reference field="2" count="1" selected="0">
            <x v="3"/>
          </reference>
          <reference field="3" count="1" selected="0">
            <x v="11"/>
          </reference>
          <reference field="4" count="4">
            <x v="30"/>
            <x v="31"/>
            <x v="32"/>
            <x v="33"/>
          </reference>
        </references>
      </pivotArea>
    </format>
    <format dxfId="1405">
      <pivotArea dataOnly="0" labelOnly="1" fieldPosition="0">
        <references count="3">
          <reference field="2" count="1" selected="0">
            <x v="4"/>
          </reference>
          <reference field="3" count="1" selected="0">
            <x v="7"/>
          </reference>
          <reference field="4" count="3">
            <x v="20"/>
            <x v="34"/>
            <x v="35"/>
          </reference>
        </references>
      </pivotArea>
    </format>
    <format dxfId="1404">
      <pivotArea dataOnly="0" labelOnly="1" fieldPosition="0">
        <references count="3">
          <reference field="2" count="1" selected="0">
            <x v="4"/>
          </reference>
          <reference field="3" count="1" selected="0">
            <x v="12"/>
          </reference>
          <reference field="4" count="3">
            <x v="36"/>
            <x v="38"/>
            <x v="66"/>
          </reference>
        </references>
      </pivotArea>
    </format>
    <format dxfId="1403">
      <pivotArea dataOnly="0" labelOnly="1" fieldPosition="0">
        <references count="3">
          <reference field="2" count="1" selected="0">
            <x v="5"/>
          </reference>
          <reference field="3" count="1" selected="0">
            <x v="8"/>
          </reference>
          <reference field="4" count="5">
            <x v="21"/>
            <x v="22"/>
            <x v="23"/>
            <x v="24"/>
            <x v="25"/>
          </reference>
        </references>
      </pivotArea>
    </format>
    <format dxfId="1402">
      <pivotArea dataOnly="0" labelOnly="1" fieldPosition="0">
        <references count="3">
          <reference field="2" count="1" selected="0">
            <x v="5"/>
          </reference>
          <reference field="3" count="1" selected="0">
            <x v="13"/>
          </reference>
          <reference field="4" count="3">
            <x v="39"/>
            <x v="40"/>
            <x v="41"/>
          </reference>
        </references>
      </pivotArea>
    </format>
    <format dxfId="1401">
      <pivotArea dataOnly="0" labelOnly="1" fieldPosition="0">
        <references count="3">
          <reference field="2" count="1" selected="0">
            <x v="6"/>
          </reference>
          <reference field="3" count="1" selected="0">
            <x v="9"/>
          </reference>
          <reference field="4" count="4">
            <x v="26"/>
            <x v="27"/>
            <x v="28"/>
            <x v="29"/>
          </reference>
        </references>
      </pivotArea>
    </format>
    <format dxfId="1400">
      <pivotArea dataOnly="0" labelOnly="1" fieldPosition="0">
        <references count="3">
          <reference field="2" count="1" selected="0">
            <x v="6"/>
          </reference>
          <reference field="3" count="1" selected="0">
            <x v="10"/>
          </reference>
          <reference field="4" count="7">
            <x v="42"/>
            <x v="43"/>
            <x v="44"/>
            <x v="45"/>
            <x v="63"/>
            <x v="64"/>
            <x v="65"/>
          </reference>
        </references>
      </pivotArea>
    </format>
    <format dxfId="1399">
      <pivotArea dataOnly="0" labelOnly="1" fieldPosition="0">
        <references count="3">
          <reference field="2" count="1" selected="0">
            <x v="6"/>
          </reference>
          <reference field="3" count="1" selected="0">
            <x v="14"/>
          </reference>
          <reference field="4" count="5">
            <x v="46"/>
            <x v="47"/>
            <x v="48"/>
            <x v="50"/>
            <x v="51"/>
          </reference>
        </references>
      </pivotArea>
    </format>
    <format dxfId="1398">
      <pivotArea dataOnly="0" labelOnly="1" fieldPosition="0">
        <references count="3">
          <reference field="2" count="1" selected="0">
            <x v="6"/>
          </reference>
          <reference field="3" count="1" selected="0">
            <x v="15"/>
          </reference>
          <reference field="4" count="4">
            <x v="52"/>
            <x v="53"/>
            <x v="54"/>
            <x v="55"/>
          </reference>
        </references>
      </pivotArea>
    </format>
    <format dxfId="1397">
      <pivotArea dataOnly="0" labelOnly="1" fieldPosition="0">
        <references count="3">
          <reference field="2" count="1" selected="0">
            <x v="6"/>
          </reference>
          <reference field="3" count="1" selected="0">
            <x v="16"/>
          </reference>
          <reference field="4" count="3">
            <x v="56"/>
            <x v="57"/>
            <x v="58"/>
          </reference>
        </references>
      </pivotArea>
    </format>
    <format dxfId="1396">
      <pivotArea dataOnly="0" labelOnly="1" fieldPosition="0">
        <references count="3">
          <reference field="2" count="1" selected="0">
            <x v="6"/>
          </reference>
          <reference field="3" count="1" selected="0">
            <x v="17"/>
          </reference>
          <reference field="4" count="3">
            <x v="59"/>
            <x v="60"/>
            <x v="61"/>
          </reference>
        </references>
      </pivotArea>
    </format>
    <format dxfId="1395">
      <pivotArea dataOnly="0" labelOnly="1" fieldPosition="0">
        <references count="3">
          <reference field="2" count="1" selected="0">
            <x v="7"/>
          </reference>
          <reference field="3" count="1" selected="0">
            <x v="18"/>
          </reference>
          <reference field="4" count="1">
            <x v="62"/>
          </reference>
        </references>
      </pivotArea>
    </format>
    <format dxfId="1394">
      <pivotArea dataOnly="0" labelOnly="1" fieldPosition="0">
        <references count="4">
          <reference field="2" count="1" selected="0">
            <x v="1"/>
          </reference>
          <reference field="3" count="1" selected="0">
            <x v="1"/>
          </reference>
          <reference field="4" count="1" selected="0">
            <x v="1"/>
          </reference>
          <reference field="5" count="1">
            <x v="1"/>
          </reference>
        </references>
      </pivotArea>
    </format>
    <format dxfId="1393">
      <pivotArea dataOnly="0" labelOnly="1" fieldPosition="0">
        <references count="4">
          <reference field="2" count="1" selected="0">
            <x v="1"/>
          </reference>
          <reference field="3" count="1" selected="0">
            <x v="1"/>
          </reference>
          <reference field="4" count="1" selected="0">
            <x v="2"/>
          </reference>
          <reference field="5" count="1">
            <x v="2"/>
          </reference>
        </references>
      </pivotArea>
    </format>
    <format dxfId="1392">
      <pivotArea dataOnly="0" labelOnly="1" fieldPosition="0">
        <references count="4">
          <reference field="2" count="1" selected="0">
            <x v="1"/>
          </reference>
          <reference field="3" count="1" selected="0">
            <x v="1"/>
          </reference>
          <reference field="4" count="1" selected="0">
            <x v="3"/>
          </reference>
          <reference field="5" count="1">
            <x v="3"/>
          </reference>
        </references>
      </pivotArea>
    </format>
    <format dxfId="1391">
      <pivotArea dataOnly="0" labelOnly="1" fieldPosition="0">
        <references count="4">
          <reference field="2" count="1" selected="0">
            <x v="1"/>
          </reference>
          <reference field="3" count="1" selected="0">
            <x v="1"/>
          </reference>
          <reference field="4" count="1" selected="0">
            <x v="4"/>
          </reference>
          <reference field="5" count="4">
            <x v="4"/>
            <x v="5"/>
            <x v="6"/>
            <x v="68"/>
          </reference>
        </references>
      </pivotArea>
    </format>
    <format dxfId="1390">
      <pivotArea dataOnly="0" labelOnly="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1389">
      <pivotArea dataOnly="0" labelOnly="1" fieldPosition="0">
        <references count="4">
          <reference field="2" count="1" selected="0">
            <x v="2"/>
          </reference>
          <reference field="3" count="1" selected="0">
            <x v="3"/>
          </reference>
          <reference field="4" count="1" selected="0">
            <x v="8"/>
          </reference>
          <reference field="5" count="2">
            <x v="28"/>
            <x v="29"/>
          </reference>
        </references>
      </pivotArea>
    </format>
    <format dxfId="1388">
      <pivotArea dataOnly="0" labelOnly="1" fieldPosition="0">
        <references count="4">
          <reference field="2" count="1" selected="0">
            <x v="2"/>
          </reference>
          <reference field="3" count="1" selected="0">
            <x v="3"/>
          </reference>
          <reference field="4" count="1" selected="0">
            <x v="9"/>
          </reference>
          <reference field="5" count="2">
            <x v="7"/>
            <x v="8"/>
          </reference>
        </references>
      </pivotArea>
    </format>
    <format dxfId="1387">
      <pivotArea dataOnly="0" labelOnly="1" fieldPosition="0">
        <references count="4">
          <reference field="2" count="1" selected="0">
            <x v="2"/>
          </reference>
          <reference field="3" count="1" selected="0">
            <x v="4"/>
          </reference>
          <reference field="4" count="1" selected="0">
            <x v="10"/>
          </reference>
          <reference field="5" count="2">
            <x v="30"/>
            <x v="31"/>
          </reference>
        </references>
      </pivotArea>
    </format>
    <format dxfId="1386">
      <pivotArea dataOnly="0" labelOnly="1" fieldPosition="0">
        <references count="4">
          <reference field="2" count="1" selected="0">
            <x v="2"/>
          </reference>
          <reference field="3" count="1" selected="0">
            <x v="4"/>
          </reference>
          <reference field="4" count="1" selected="0">
            <x v="11"/>
          </reference>
          <reference field="5" count="1">
            <x v="42"/>
          </reference>
        </references>
      </pivotArea>
    </format>
    <format dxfId="1385">
      <pivotArea dataOnly="0" labelOnly="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1384">
      <pivotArea dataOnly="0" labelOnly="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1383">
      <pivotArea dataOnly="0" labelOnly="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1382">
      <pivotArea dataOnly="0" labelOnly="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1381">
      <pivotArea dataOnly="0" labelOnly="1" fieldPosition="0">
        <references count="4">
          <reference field="2" count="1" selected="0">
            <x v="3"/>
          </reference>
          <reference field="3" count="1" selected="0">
            <x v="5"/>
          </reference>
          <reference field="4" count="1" selected="0">
            <x v="16"/>
          </reference>
          <reference field="5" count="2">
            <x v="52"/>
            <x v="53"/>
          </reference>
        </references>
      </pivotArea>
    </format>
    <format dxfId="1380">
      <pivotArea dataOnly="0" labelOnly="1" fieldPosition="0">
        <references count="4">
          <reference field="2" count="1" selected="0">
            <x v="3"/>
          </reference>
          <reference field="3" count="1" selected="0">
            <x v="5"/>
          </reference>
          <reference field="4" count="1" selected="0">
            <x v="17"/>
          </reference>
          <reference field="5" count="2">
            <x v="69"/>
            <x v="94"/>
          </reference>
        </references>
      </pivotArea>
    </format>
    <format dxfId="1379">
      <pivotArea dataOnly="0" labelOnly="1" fieldPosition="0">
        <references count="4">
          <reference field="2" count="1" selected="0">
            <x v="3"/>
          </reference>
          <reference field="3" count="1" selected="0">
            <x v="6"/>
          </reference>
          <reference field="4" count="1" selected="0">
            <x v="18"/>
          </reference>
          <reference field="5" count="3">
            <x v="9"/>
            <x v="128"/>
            <x v="129"/>
          </reference>
        </references>
      </pivotArea>
    </format>
    <format dxfId="1378">
      <pivotArea dataOnly="0" labelOnly="1" fieldPosition="0">
        <references count="4">
          <reference field="2" count="1" selected="0">
            <x v="3"/>
          </reference>
          <reference field="3" count="1" selected="0">
            <x v="6"/>
          </reference>
          <reference field="4" count="1" selected="0">
            <x v="19"/>
          </reference>
          <reference field="5" count="1">
            <x v="127"/>
          </reference>
        </references>
      </pivotArea>
    </format>
    <format dxfId="1377">
      <pivotArea dataOnly="0" labelOnly="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1376">
      <pivotArea dataOnly="0" labelOnly="1" fieldPosition="0">
        <references count="4">
          <reference field="2" count="1" selected="0">
            <x v="3"/>
          </reference>
          <reference field="3" count="1" selected="0">
            <x v="11"/>
          </reference>
          <reference field="4" count="1" selected="0">
            <x v="32"/>
          </reference>
          <reference field="5" count="4">
            <x v="74"/>
            <x v="75"/>
            <x v="76"/>
            <x v="77"/>
          </reference>
        </references>
      </pivotArea>
    </format>
    <format dxfId="1375">
      <pivotArea dataOnly="0" labelOnly="1" fieldPosition="0">
        <references count="4">
          <reference field="2" count="1" selected="0">
            <x v="4"/>
          </reference>
          <reference field="3" count="1" selected="0">
            <x v="7"/>
          </reference>
          <reference field="4" count="1" selected="0">
            <x v="20"/>
          </reference>
          <reference field="5" count="7">
            <x v="17"/>
            <x v="18"/>
            <x v="19"/>
            <x v="20"/>
            <x v="21"/>
            <x v="22"/>
            <x v="67"/>
          </reference>
        </references>
      </pivotArea>
    </format>
    <format dxfId="1374">
      <pivotArea dataOnly="0" labelOnly="1" fieldPosition="0">
        <references count="4">
          <reference field="2" count="1" selected="0">
            <x v="4"/>
          </reference>
          <reference field="3" count="1" selected="0">
            <x v="7"/>
          </reference>
          <reference field="4" count="1" selected="0">
            <x v="34"/>
          </reference>
          <reference field="5" count="2">
            <x v="78"/>
            <x v="79"/>
          </reference>
        </references>
      </pivotArea>
    </format>
    <format dxfId="1373">
      <pivotArea dataOnly="0" labelOnly="1" fieldPosition="0">
        <references count="4">
          <reference field="2" count="1" selected="0">
            <x v="4"/>
          </reference>
          <reference field="3" count="1" selected="0">
            <x v="7"/>
          </reference>
          <reference field="4" count="1" selected="0">
            <x v="35"/>
          </reference>
          <reference field="5" count="2">
            <x v="80"/>
            <x v="81"/>
          </reference>
        </references>
      </pivotArea>
    </format>
    <format dxfId="1372">
      <pivotArea dataOnly="0" labelOnly="1" fieldPosition="0">
        <references count="4">
          <reference field="2" count="1" selected="0">
            <x v="4"/>
          </reference>
          <reference field="3" count="1" selected="0">
            <x v="12"/>
          </reference>
          <reference field="4" count="1" selected="0">
            <x v="36"/>
          </reference>
          <reference field="5" count="2">
            <x v="82"/>
            <x v="83"/>
          </reference>
        </references>
      </pivotArea>
    </format>
    <format dxfId="1371">
      <pivotArea dataOnly="0" labelOnly="1" fieldPosition="0">
        <references count="4">
          <reference field="2" count="1" selected="0">
            <x v="4"/>
          </reference>
          <reference field="3" count="1" selected="0">
            <x v="12"/>
          </reference>
          <reference field="4" count="1" selected="0">
            <x v="38"/>
          </reference>
          <reference field="5" count="2">
            <x v="84"/>
            <x v="85"/>
          </reference>
        </references>
      </pivotArea>
    </format>
    <format dxfId="1370">
      <pivotArea dataOnly="0" labelOnly="1" fieldPosition="0">
        <references count="4">
          <reference field="2" count="1" selected="0">
            <x v="4"/>
          </reference>
          <reference field="3" count="1" selected="0">
            <x v="12"/>
          </reference>
          <reference field="4" count="1" selected="0">
            <x v="66"/>
          </reference>
          <reference field="5" count="3">
            <x v="86"/>
            <x v="87"/>
            <x v="88"/>
          </reference>
        </references>
      </pivotArea>
    </format>
    <format dxfId="1369">
      <pivotArea dataOnly="0" labelOnly="1" fieldPosition="0">
        <references count="4">
          <reference field="2" count="1" selected="0">
            <x v="5"/>
          </reference>
          <reference field="3" count="1" selected="0">
            <x v="8"/>
          </reference>
          <reference field="4" count="1" selected="0">
            <x v="21"/>
          </reference>
          <reference field="5" count="2">
            <x v="10"/>
            <x v="11"/>
          </reference>
        </references>
      </pivotArea>
    </format>
    <format dxfId="1368">
      <pivotArea dataOnly="0" labelOnly="1" fieldPosition="0">
        <references count="4">
          <reference field="2" count="1" selected="0">
            <x v="5"/>
          </reference>
          <reference field="3" count="1" selected="0">
            <x v="8"/>
          </reference>
          <reference field="4" count="1" selected="0">
            <x v="22"/>
          </reference>
          <reference field="5" count="1">
            <x v="12"/>
          </reference>
        </references>
      </pivotArea>
    </format>
    <format dxfId="1367">
      <pivotArea dataOnly="0" labelOnly="1" fieldPosition="0">
        <references count="4">
          <reference field="2" count="1" selected="0">
            <x v="5"/>
          </reference>
          <reference field="3" count="1" selected="0">
            <x v="8"/>
          </reference>
          <reference field="4" count="1" selected="0">
            <x v="23"/>
          </reference>
          <reference field="5" count="1">
            <x v="13"/>
          </reference>
        </references>
      </pivotArea>
    </format>
    <format dxfId="1366">
      <pivotArea dataOnly="0" labelOnly="1" fieldPosition="0">
        <references count="4">
          <reference field="2" count="1" selected="0">
            <x v="5"/>
          </reference>
          <reference field="3" count="1" selected="0">
            <x v="8"/>
          </reference>
          <reference field="4" count="1" selected="0">
            <x v="24"/>
          </reference>
          <reference field="5" count="2">
            <x v="35"/>
            <x v="39"/>
          </reference>
        </references>
      </pivotArea>
    </format>
    <format dxfId="1365">
      <pivotArea dataOnly="0" labelOnly="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1364">
      <pivotArea dataOnly="0" labelOnly="1" fieldPosition="0">
        <references count="4">
          <reference field="2" count="1" selected="0">
            <x v="5"/>
          </reference>
          <reference field="3" count="1" selected="0">
            <x v="13"/>
          </reference>
          <reference field="4" count="1" selected="0">
            <x v="39"/>
          </reference>
          <reference field="5" count="5">
            <x v="89"/>
            <x v="90"/>
            <x v="91"/>
            <x v="92"/>
            <x v="93"/>
          </reference>
        </references>
      </pivotArea>
    </format>
    <format dxfId="1363">
      <pivotArea dataOnly="0" labelOnly="1" fieldPosition="0">
        <references count="4">
          <reference field="2" count="1" selected="0">
            <x v="5"/>
          </reference>
          <reference field="3" count="1" selected="0">
            <x v="13"/>
          </reference>
          <reference field="4" count="1" selected="0">
            <x v="40"/>
          </reference>
          <reference field="5" count="2">
            <x v="95"/>
            <x v="96"/>
          </reference>
        </references>
      </pivotArea>
    </format>
    <format dxfId="1362">
      <pivotArea dataOnly="0" labelOnly="1" fieldPosition="0">
        <references count="4">
          <reference field="2" count="1" selected="0">
            <x v="5"/>
          </reference>
          <reference field="3" count="1" selected="0">
            <x v="13"/>
          </reference>
          <reference field="4" count="1" selected="0">
            <x v="41"/>
          </reference>
          <reference field="5" count="2">
            <x v="97"/>
            <x v="98"/>
          </reference>
        </references>
      </pivotArea>
    </format>
    <format dxfId="1361">
      <pivotArea dataOnly="0" labelOnly="1" fieldPosition="0">
        <references count="4">
          <reference field="2" count="1" selected="0">
            <x v="6"/>
          </reference>
          <reference field="3" count="1" selected="0">
            <x v="9"/>
          </reference>
          <reference field="4" count="1" selected="0">
            <x v="26"/>
          </reference>
          <reference field="5" count="1">
            <x v="73"/>
          </reference>
        </references>
      </pivotArea>
    </format>
    <format dxfId="1360">
      <pivotArea dataOnly="0" labelOnly="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1359">
      <pivotArea dataOnly="0" labelOnly="1" fieldPosition="0">
        <references count="4">
          <reference field="2" count="1" selected="0">
            <x v="6"/>
          </reference>
          <reference field="3" count="1" selected="0">
            <x v="9"/>
          </reference>
          <reference field="4" count="1" selected="0">
            <x v="29"/>
          </reference>
          <reference field="5" count="1">
            <x v="32"/>
          </reference>
        </references>
      </pivotArea>
    </format>
    <format dxfId="1358">
      <pivotArea dataOnly="0" labelOnly="1" fieldPosition="0">
        <references count="4">
          <reference field="2" count="1" selected="0">
            <x v="6"/>
          </reference>
          <reference field="3" count="1" selected="0">
            <x v="10"/>
          </reference>
          <reference field="4" count="1" selected="0">
            <x v="42"/>
          </reference>
          <reference field="5" count="1">
            <x v="99"/>
          </reference>
        </references>
      </pivotArea>
    </format>
    <format dxfId="1357">
      <pivotArea dataOnly="0" labelOnly="1" fieldPosition="0">
        <references count="4">
          <reference field="2" count="1" selected="0">
            <x v="6"/>
          </reference>
          <reference field="3" count="1" selected="0">
            <x v="10"/>
          </reference>
          <reference field="4" count="1" selected="0">
            <x v="43"/>
          </reference>
          <reference field="5" count="1">
            <x v="103"/>
          </reference>
        </references>
      </pivotArea>
    </format>
    <format dxfId="1356">
      <pivotArea dataOnly="0" labelOnly="1" fieldPosition="0">
        <references count="4">
          <reference field="2" count="1" selected="0">
            <x v="6"/>
          </reference>
          <reference field="3" count="1" selected="0">
            <x v="10"/>
          </reference>
          <reference field="4" count="1" selected="0">
            <x v="44"/>
          </reference>
          <reference field="5" count="1">
            <x v="100"/>
          </reference>
        </references>
      </pivotArea>
    </format>
    <format dxfId="1355">
      <pivotArea dataOnly="0" labelOnly="1" fieldPosition="0">
        <references count="4">
          <reference field="2" count="1" selected="0">
            <x v="6"/>
          </reference>
          <reference field="3" count="1" selected="0">
            <x v="10"/>
          </reference>
          <reference field="4" count="1" selected="0">
            <x v="45"/>
          </reference>
          <reference field="5" count="2">
            <x v="101"/>
            <x v="102"/>
          </reference>
        </references>
      </pivotArea>
    </format>
    <format dxfId="1354">
      <pivotArea dataOnly="0" labelOnly="1" fieldPosition="0">
        <references count="4">
          <reference field="2" count="1" selected="0">
            <x v="6"/>
          </reference>
          <reference field="3" count="1" selected="0">
            <x v="10"/>
          </reference>
          <reference field="4" count="1" selected="0">
            <x v="63"/>
          </reference>
          <reference field="5" count="1">
            <x v="104"/>
          </reference>
        </references>
      </pivotArea>
    </format>
    <format dxfId="1353">
      <pivotArea dataOnly="0" labelOnly="1" fieldPosition="0">
        <references count="4">
          <reference field="2" count="1" selected="0">
            <x v="6"/>
          </reference>
          <reference field="3" count="1" selected="0">
            <x v="10"/>
          </reference>
          <reference field="4" count="1" selected="0">
            <x v="64"/>
          </reference>
          <reference field="5" count="1">
            <x v="105"/>
          </reference>
        </references>
      </pivotArea>
    </format>
    <format dxfId="1352">
      <pivotArea dataOnly="0" labelOnly="1" fieldPosition="0">
        <references count="4">
          <reference field="2" count="1" selected="0">
            <x v="6"/>
          </reference>
          <reference field="3" count="1" selected="0">
            <x v="10"/>
          </reference>
          <reference field="4" count="1" selected="0">
            <x v="65"/>
          </reference>
          <reference field="5" count="1">
            <x v="41"/>
          </reference>
        </references>
      </pivotArea>
    </format>
    <format dxfId="1351">
      <pivotArea dataOnly="0" labelOnly="1" fieldPosition="0">
        <references count="4">
          <reference field="2" count="1" selected="0">
            <x v="6"/>
          </reference>
          <reference field="3" count="1" selected="0">
            <x v="14"/>
          </reference>
          <reference field="4" count="1" selected="0">
            <x v="47"/>
          </reference>
          <reference field="5" count="1">
            <x v="106"/>
          </reference>
        </references>
      </pivotArea>
    </format>
    <format dxfId="1350">
      <pivotArea dataOnly="0" labelOnly="1" fieldPosition="0">
        <references count="4">
          <reference field="2" count="1" selected="0">
            <x v="6"/>
          </reference>
          <reference field="3" count="1" selected="0">
            <x v="14"/>
          </reference>
          <reference field="4" count="1" selected="0">
            <x v="48"/>
          </reference>
          <reference field="5" count="1">
            <x v="107"/>
          </reference>
        </references>
      </pivotArea>
    </format>
    <format dxfId="1349">
      <pivotArea dataOnly="0" labelOnly="1" fieldPosition="0">
        <references count="4">
          <reference field="2" count="1" selected="0">
            <x v="6"/>
          </reference>
          <reference field="3" count="1" selected="0">
            <x v="14"/>
          </reference>
          <reference field="4" count="1" selected="0">
            <x v="50"/>
          </reference>
          <reference field="5" count="2">
            <x v="108"/>
            <x v="109"/>
          </reference>
        </references>
      </pivotArea>
    </format>
    <format dxfId="1348">
      <pivotArea dataOnly="0" labelOnly="1" fieldPosition="0">
        <references count="4">
          <reference field="2" count="1" selected="0">
            <x v="6"/>
          </reference>
          <reference field="3" count="1" selected="0">
            <x v="14"/>
          </reference>
          <reference field="4" count="1" selected="0">
            <x v="51"/>
          </reference>
          <reference field="5" count="1">
            <x v="110"/>
          </reference>
        </references>
      </pivotArea>
    </format>
    <format dxfId="1347">
      <pivotArea dataOnly="0" labelOnly="1" fieldPosition="0">
        <references count="4">
          <reference field="2" count="1" selected="0">
            <x v="6"/>
          </reference>
          <reference field="3" count="1" selected="0">
            <x v="15"/>
          </reference>
          <reference field="4" count="1" selected="0">
            <x v="52"/>
          </reference>
          <reference field="5" count="1">
            <x v="111"/>
          </reference>
        </references>
      </pivotArea>
    </format>
    <format dxfId="1346">
      <pivotArea dataOnly="0" labelOnly="1" fieldPosition="0">
        <references count="4">
          <reference field="2" count="1" selected="0">
            <x v="6"/>
          </reference>
          <reference field="3" count="1" selected="0">
            <x v="15"/>
          </reference>
          <reference field="4" count="1" selected="0">
            <x v="54"/>
          </reference>
          <reference field="5" count="1">
            <x v="116"/>
          </reference>
        </references>
      </pivotArea>
    </format>
    <format dxfId="1345">
      <pivotArea dataOnly="0" labelOnly="1" fieldPosition="0">
        <references count="4">
          <reference field="2" count="1" selected="0">
            <x v="6"/>
          </reference>
          <reference field="3" count="1" selected="0">
            <x v="15"/>
          </reference>
          <reference field="4" count="1" selected="0">
            <x v="55"/>
          </reference>
          <reference field="5" count="4">
            <x v="112"/>
            <x v="113"/>
            <x v="114"/>
            <x v="115"/>
          </reference>
        </references>
      </pivotArea>
    </format>
    <format dxfId="1344">
      <pivotArea dataOnly="0" labelOnly="1" fieldPosition="0">
        <references count="4">
          <reference field="2" count="1" selected="0">
            <x v="6"/>
          </reference>
          <reference field="3" count="1" selected="0">
            <x v="16"/>
          </reference>
          <reference field="4" count="1" selected="0">
            <x v="56"/>
          </reference>
          <reference field="5" count="1">
            <x v="117"/>
          </reference>
        </references>
      </pivotArea>
    </format>
    <format dxfId="1343">
      <pivotArea dataOnly="0" labelOnly="1" fieldPosition="0">
        <references count="4">
          <reference field="2" count="1" selected="0">
            <x v="6"/>
          </reference>
          <reference field="3" count="1" selected="0">
            <x v="16"/>
          </reference>
          <reference field="4" count="1" selected="0">
            <x v="57"/>
          </reference>
          <reference field="5" count="1">
            <x v="133"/>
          </reference>
        </references>
      </pivotArea>
    </format>
    <format dxfId="1342">
      <pivotArea dataOnly="0" labelOnly="1" fieldPosition="0">
        <references count="4">
          <reference field="2" count="1" selected="0">
            <x v="6"/>
          </reference>
          <reference field="3" count="1" selected="0">
            <x v="16"/>
          </reference>
          <reference field="4" count="1" selected="0">
            <x v="58"/>
          </reference>
          <reference field="5" count="1">
            <x v="118"/>
          </reference>
        </references>
      </pivotArea>
    </format>
    <format dxfId="1341">
      <pivotArea dataOnly="0" labelOnly="1" fieldPosition="0">
        <references count="4">
          <reference field="2" count="1" selected="0">
            <x v="6"/>
          </reference>
          <reference field="3" count="1" selected="0">
            <x v="17"/>
          </reference>
          <reference field="4" count="1" selected="0">
            <x v="59"/>
          </reference>
          <reference field="5" count="2">
            <x v="119"/>
            <x v="120"/>
          </reference>
        </references>
      </pivotArea>
    </format>
    <format dxfId="1340">
      <pivotArea dataOnly="0" labelOnly="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1339">
      <pivotArea field="2" type="button" dataOnly="0" labelOnly="1" outline="0" axis="axisRow" fieldPosition="0"/>
    </format>
    <format dxfId="1338">
      <pivotArea dataOnly="0" labelOnly="1" fieldPosition="0">
        <references count="1">
          <reference field="2" count="0"/>
        </references>
      </pivotArea>
    </format>
    <format dxfId="1337">
      <pivotArea dataOnly="0" labelOnly="1" grandRow="1" outline="0" fieldPosition="0"/>
    </format>
    <format dxfId="1336">
      <pivotArea dataOnly="0" labelOnly="1" fieldPosition="0">
        <references count="2">
          <reference field="2" count="1" selected="0">
            <x v="0"/>
          </reference>
          <reference field="3" count="1">
            <x v="0"/>
          </reference>
        </references>
      </pivotArea>
    </format>
    <format dxfId="1335">
      <pivotArea dataOnly="0" labelOnly="1" fieldPosition="0">
        <references count="2">
          <reference field="2" count="1" selected="0">
            <x v="1"/>
          </reference>
          <reference field="3" count="1">
            <x v="1"/>
          </reference>
        </references>
      </pivotArea>
    </format>
    <format dxfId="1334">
      <pivotArea dataOnly="0" labelOnly="1" fieldPosition="0">
        <references count="2">
          <reference field="2" count="1" selected="0">
            <x v="2"/>
          </reference>
          <reference field="3" count="3">
            <x v="2"/>
            <x v="3"/>
            <x v="4"/>
          </reference>
        </references>
      </pivotArea>
    </format>
    <format dxfId="1333">
      <pivotArea dataOnly="0" labelOnly="1" fieldPosition="0">
        <references count="2">
          <reference field="2" count="1" selected="0">
            <x v="3"/>
          </reference>
          <reference field="3" count="3">
            <x v="5"/>
            <x v="6"/>
            <x v="11"/>
          </reference>
        </references>
      </pivotArea>
    </format>
    <format dxfId="1332">
      <pivotArea dataOnly="0" labelOnly="1" fieldPosition="0">
        <references count="2">
          <reference field="2" count="1" selected="0">
            <x v="4"/>
          </reference>
          <reference field="3" count="2">
            <x v="7"/>
            <x v="12"/>
          </reference>
        </references>
      </pivotArea>
    </format>
    <format dxfId="1331">
      <pivotArea dataOnly="0" labelOnly="1" fieldPosition="0">
        <references count="2">
          <reference field="2" count="1" selected="0">
            <x v="5"/>
          </reference>
          <reference field="3" count="2">
            <x v="8"/>
            <x v="13"/>
          </reference>
        </references>
      </pivotArea>
    </format>
    <format dxfId="1330">
      <pivotArea dataOnly="0" labelOnly="1" fieldPosition="0">
        <references count="2">
          <reference field="2" count="1" selected="0">
            <x v="6"/>
          </reference>
          <reference field="3" count="6">
            <x v="9"/>
            <x v="10"/>
            <x v="14"/>
            <x v="15"/>
            <x v="16"/>
            <x v="17"/>
          </reference>
        </references>
      </pivotArea>
    </format>
    <format dxfId="1329">
      <pivotArea dataOnly="0" labelOnly="1" fieldPosition="0">
        <references count="2">
          <reference field="2" count="1" selected="0">
            <x v="7"/>
          </reference>
          <reference field="3" count="1">
            <x v="18"/>
          </reference>
        </references>
      </pivotArea>
    </format>
    <format dxfId="1328">
      <pivotArea dataOnly="0" labelOnly="1" fieldPosition="0">
        <references count="3">
          <reference field="2" count="1" selected="0">
            <x v="0"/>
          </reference>
          <reference field="3" count="1" selected="0">
            <x v="0"/>
          </reference>
          <reference field="4" count="1">
            <x v="0"/>
          </reference>
        </references>
      </pivotArea>
    </format>
    <format dxfId="1327">
      <pivotArea dataOnly="0" labelOnly="1" fieldPosition="0">
        <references count="3">
          <reference field="2" count="1" selected="0">
            <x v="1"/>
          </reference>
          <reference field="3" count="1" selected="0">
            <x v="1"/>
          </reference>
          <reference field="4" count="4">
            <x v="1"/>
            <x v="2"/>
            <x v="3"/>
            <x v="4"/>
          </reference>
        </references>
      </pivotArea>
    </format>
    <format dxfId="1326">
      <pivotArea dataOnly="0" labelOnly="1" fieldPosition="0">
        <references count="3">
          <reference field="2" count="1" selected="0">
            <x v="2"/>
          </reference>
          <reference field="3" count="1" selected="0">
            <x v="2"/>
          </reference>
          <reference field="4" count="1">
            <x v="6"/>
          </reference>
        </references>
      </pivotArea>
    </format>
    <format dxfId="1325">
      <pivotArea dataOnly="0" labelOnly="1" fieldPosition="0">
        <references count="3">
          <reference field="2" count="1" selected="0">
            <x v="2"/>
          </reference>
          <reference field="3" count="1" selected="0">
            <x v="3"/>
          </reference>
          <reference field="4" count="3">
            <x v="7"/>
            <x v="8"/>
            <x v="9"/>
          </reference>
        </references>
      </pivotArea>
    </format>
    <format dxfId="1324">
      <pivotArea dataOnly="0" labelOnly="1" fieldPosition="0">
        <references count="3">
          <reference field="2" count="1" selected="0">
            <x v="2"/>
          </reference>
          <reference field="3" count="1" selected="0">
            <x v="4"/>
          </reference>
          <reference field="4" count="3">
            <x v="10"/>
            <x v="11"/>
            <x v="12"/>
          </reference>
        </references>
      </pivotArea>
    </format>
    <format dxfId="1323">
      <pivotArea dataOnly="0" labelOnly="1" fieldPosition="0">
        <references count="3">
          <reference field="2" count="1" selected="0">
            <x v="3"/>
          </reference>
          <reference field="3" count="1" selected="0">
            <x v="5"/>
          </reference>
          <reference field="4" count="5">
            <x v="13"/>
            <x v="14"/>
            <x v="15"/>
            <x v="16"/>
            <x v="17"/>
          </reference>
        </references>
      </pivotArea>
    </format>
    <format dxfId="1322">
      <pivotArea dataOnly="0" labelOnly="1" fieldPosition="0">
        <references count="3">
          <reference field="2" count="1" selected="0">
            <x v="3"/>
          </reference>
          <reference field="3" count="1" selected="0">
            <x v="6"/>
          </reference>
          <reference field="4" count="2">
            <x v="18"/>
            <x v="19"/>
          </reference>
        </references>
      </pivotArea>
    </format>
    <format dxfId="1321">
      <pivotArea dataOnly="0" labelOnly="1" fieldPosition="0">
        <references count="3">
          <reference field="2" count="1" selected="0">
            <x v="3"/>
          </reference>
          <reference field="3" count="1" selected="0">
            <x v="11"/>
          </reference>
          <reference field="4" count="4">
            <x v="30"/>
            <x v="31"/>
            <x v="32"/>
            <x v="33"/>
          </reference>
        </references>
      </pivotArea>
    </format>
    <format dxfId="1320">
      <pivotArea dataOnly="0" labelOnly="1" fieldPosition="0">
        <references count="3">
          <reference field="2" count="1" selected="0">
            <x v="4"/>
          </reference>
          <reference field="3" count="1" selected="0">
            <x v="7"/>
          </reference>
          <reference field="4" count="3">
            <x v="20"/>
            <x v="34"/>
            <x v="35"/>
          </reference>
        </references>
      </pivotArea>
    </format>
    <format dxfId="1319">
      <pivotArea dataOnly="0" labelOnly="1" fieldPosition="0">
        <references count="3">
          <reference field="2" count="1" selected="0">
            <x v="4"/>
          </reference>
          <reference field="3" count="1" selected="0">
            <x v="12"/>
          </reference>
          <reference field="4" count="3">
            <x v="36"/>
            <x v="38"/>
            <x v="66"/>
          </reference>
        </references>
      </pivotArea>
    </format>
    <format dxfId="1318">
      <pivotArea dataOnly="0" labelOnly="1" fieldPosition="0">
        <references count="3">
          <reference field="2" count="1" selected="0">
            <x v="5"/>
          </reference>
          <reference field="3" count="1" selected="0">
            <x v="8"/>
          </reference>
          <reference field="4" count="5">
            <x v="21"/>
            <x v="22"/>
            <x v="23"/>
            <x v="24"/>
            <x v="25"/>
          </reference>
        </references>
      </pivotArea>
    </format>
    <format dxfId="1317">
      <pivotArea dataOnly="0" labelOnly="1" fieldPosition="0">
        <references count="3">
          <reference field="2" count="1" selected="0">
            <x v="5"/>
          </reference>
          <reference field="3" count="1" selected="0">
            <x v="13"/>
          </reference>
          <reference field="4" count="3">
            <x v="39"/>
            <x v="40"/>
            <x v="41"/>
          </reference>
        </references>
      </pivotArea>
    </format>
    <format dxfId="1316">
      <pivotArea dataOnly="0" labelOnly="1" fieldPosition="0">
        <references count="3">
          <reference field="2" count="1" selected="0">
            <x v="6"/>
          </reference>
          <reference field="3" count="1" selected="0">
            <x v="9"/>
          </reference>
          <reference field="4" count="4">
            <x v="26"/>
            <x v="27"/>
            <x v="28"/>
            <x v="29"/>
          </reference>
        </references>
      </pivotArea>
    </format>
    <format dxfId="1315">
      <pivotArea dataOnly="0" labelOnly="1" fieldPosition="0">
        <references count="3">
          <reference field="2" count="1" selected="0">
            <x v="6"/>
          </reference>
          <reference field="3" count="1" selected="0">
            <x v="10"/>
          </reference>
          <reference field="4" count="7">
            <x v="42"/>
            <x v="43"/>
            <x v="44"/>
            <x v="45"/>
            <x v="63"/>
            <x v="64"/>
            <x v="65"/>
          </reference>
        </references>
      </pivotArea>
    </format>
    <format dxfId="1314">
      <pivotArea dataOnly="0" labelOnly="1" fieldPosition="0">
        <references count="3">
          <reference field="2" count="1" selected="0">
            <x v="6"/>
          </reference>
          <reference field="3" count="1" selected="0">
            <x v="14"/>
          </reference>
          <reference field="4" count="5">
            <x v="46"/>
            <x v="47"/>
            <x v="48"/>
            <x v="50"/>
            <x v="51"/>
          </reference>
        </references>
      </pivotArea>
    </format>
    <format dxfId="1313">
      <pivotArea dataOnly="0" labelOnly="1" fieldPosition="0">
        <references count="3">
          <reference field="2" count="1" selected="0">
            <x v="6"/>
          </reference>
          <reference field="3" count="1" selected="0">
            <x v="15"/>
          </reference>
          <reference field="4" count="4">
            <x v="52"/>
            <x v="53"/>
            <x v="54"/>
            <x v="55"/>
          </reference>
        </references>
      </pivotArea>
    </format>
    <format dxfId="1312">
      <pivotArea dataOnly="0" labelOnly="1" fieldPosition="0">
        <references count="3">
          <reference field="2" count="1" selected="0">
            <x v="6"/>
          </reference>
          <reference field="3" count="1" selected="0">
            <x v="16"/>
          </reference>
          <reference field="4" count="3">
            <x v="56"/>
            <x v="57"/>
            <x v="58"/>
          </reference>
        </references>
      </pivotArea>
    </format>
    <format dxfId="1311">
      <pivotArea dataOnly="0" labelOnly="1" fieldPosition="0">
        <references count="3">
          <reference field="2" count="1" selected="0">
            <x v="6"/>
          </reference>
          <reference field="3" count="1" selected="0">
            <x v="17"/>
          </reference>
          <reference field="4" count="3">
            <x v="59"/>
            <x v="60"/>
            <x v="61"/>
          </reference>
        </references>
      </pivotArea>
    </format>
    <format dxfId="1310">
      <pivotArea dataOnly="0" labelOnly="1" fieldPosition="0">
        <references count="3">
          <reference field="2" count="1" selected="0">
            <x v="7"/>
          </reference>
          <reference field="3" count="1" selected="0">
            <x v="18"/>
          </reference>
          <reference field="4" count="1">
            <x v="62"/>
          </reference>
        </references>
      </pivotArea>
    </format>
    <format dxfId="1309">
      <pivotArea dataOnly="0" labelOnly="1" fieldPosition="0">
        <references count="4">
          <reference field="2" count="1" selected="0">
            <x v="0"/>
          </reference>
          <reference field="3" count="1" selected="0">
            <x v="0"/>
          </reference>
          <reference field="4" count="1" selected="0">
            <x v="0"/>
          </reference>
          <reference field="5" count="1">
            <x v="0"/>
          </reference>
        </references>
      </pivotArea>
    </format>
    <format dxfId="1308">
      <pivotArea dataOnly="0" labelOnly="1" fieldPosition="0">
        <references count="4">
          <reference field="2" count="1" selected="0">
            <x v="1"/>
          </reference>
          <reference field="3" count="1" selected="0">
            <x v="1"/>
          </reference>
          <reference field="4" count="1" selected="0">
            <x v="1"/>
          </reference>
          <reference field="5" count="1">
            <x v="1"/>
          </reference>
        </references>
      </pivotArea>
    </format>
    <format dxfId="1307">
      <pivotArea dataOnly="0" labelOnly="1" fieldPosition="0">
        <references count="4">
          <reference field="2" count="1" selected="0">
            <x v="1"/>
          </reference>
          <reference field="3" count="1" selected="0">
            <x v="1"/>
          </reference>
          <reference field="4" count="1" selected="0">
            <x v="2"/>
          </reference>
          <reference field="5" count="1">
            <x v="2"/>
          </reference>
        </references>
      </pivotArea>
    </format>
    <format dxfId="1306">
      <pivotArea dataOnly="0" labelOnly="1" fieldPosition="0">
        <references count="4">
          <reference field="2" count="1" selected="0">
            <x v="1"/>
          </reference>
          <reference field="3" count="1" selected="0">
            <x v="1"/>
          </reference>
          <reference field="4" count="1" selected="0">
            <x v="3"/>
          </reference>
          <reference field="5" count="1">
            <x v="3"/>
          </reference>
        </references>
      </pivotArea>
    </format>
    <format dxfId="1305">
      <pivotArea dataOnly="0" labelOnly="1" fieldPosition="0">
        <references count="4">
          <reference field="2" count="1" selected="0">
            <x v="1"/>
          </reference>
          <reference field="3" count="1" selected="0">
            <x v="1"/>
          </reference>
          <reference field="4" count="1" selected="0">
            <x v="4"/>
          </reference>
          <reference field="5" count="5">
            <x v="4"/>
            <x v="5"/>
            <x v="6"/>
            <x v="68"/>
            <x v="130"/>
          </reference>
        </references>
      </pivotArea>
    </format>
    <format dxfId="1304">
      <pivotArea dataOnly="0" labelOnly="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1303">
      <pivotArea dataOnly="0" labelOnly="1" fieldPosition="0">
        <references count="4">
          <reference field="2" count="1" selected="0">
            <x v="2"/>
          </reference>
          <reference field="3" count="1" selected="0">
            <x v="3"/>
          </reference>
          <reference field="4" count="1" selected="0">
            <x v="8"/>
          </reference>
          <reference field="5" count="2">
            <x v="28"/>
            <x v="29"/>
          </reference>
        </references>
      </pivotArea>
    </format>
    <format dxfId="1302">
      <pivotArea dataOnly="0" labelOnly="1" fieldPosition="0">
        <references count="4">
          <reference field="2" count="1" selected="0">
            <x v="2"/>
          </reference>
          <reference field="3" count="1" selected="0">
            <x v="3"/>
          </reference>
          <reference field="4" count="1" selected="0">
            <x v="9"/>
          </reference>
          <reference field="5" count="2">
            <x v="7"/>
            <x v="8"/>
          </reference>
        </references>
      </pivotArea>
    </format>
    <format dxfId="1301">
      <pivotArea dataOnly="0" labelOnly="1" fieldPosition="0">
        <references count="4">
          <reference field="2" count="1" selected="0">
            <x v="2"/>
          </reference>
          <reference field="3" count="1" selected="0">
            <x v="4"/>
          </reference>
          <reference field="4" count="1" selected="0">
            <x v="10"/>
          </reference>
          <reference field="5" count="2">
            <x v="30"/>
            <x v="31"/>
          </reference>
        </references>
      </pivotArea>
    </format>
    <format dxfId="1300">
      <pivotArea dataOnly="0" labelOnly="1" fieldPosition="0">
        <references count="4">
          <reference field="2" count="1" selected="0">
            <x v="2"/>
          </reference>
          <reference field="3" count="1" selected="0">
            <x v="4"/>
          </reference>
          <reference field="4" count="1" selected="0">
            <x v="11"/>
          </reference>
          <reference field="5" count="1">
            <x v="42"/>
          </reference>
        </references>
      </pivotArea>
    </format>
    <format dxfId="1299">
      <pivotArea dataOnly="0" labelOnly="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1298">
      <pivotArea dataOnly="0" labelOnly="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1297">
      <pivotArea dataOnly="0" labelOnly="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1296">
      <pivotArea dataOnly="0" labelOnly="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1295">
      <pivotArea dataOnly="0" labelOnly="1" fieldPosition="0">
        <references count="4">
          <reference field="2" count="1" selected="0">
            <x v="3"/>
          </reference>
          <reference field="3" count="1" selected="0">
            <x v="5"/>
          </reference>
          <reference field="4" count="1" selected="0">
            <x v="16"/>
          </reference>
          <reference field="5" count="2">
            <x v="52"/>
            <x v="53"/>
          </reference>
        </references>
      </pivotArea>
    </format>
    <format dxfId="1294">
      <pivotArea dataOnly="0" labelOnly="1" fieldPosition="0">
        <references count="4">
          <reference field="2" count="1" selected="0">
            <x v="3"/>
          </reference>
          <reference field="3" count="1" selected="0">
            <x v="5"/>
          </reference>
          <reference field="4" count="1" selected="0">
            <x v="17"/>
          </reference>
          <reference field="5" count="2">
            <x v="69"/>
            <x v="94"/>
          </reference>
        </references>
      </pivotArea>
    </format>
    <format dxfId="1293">
      <pivotArea dataOnly="0" labelOnly="1" fieldPosition="0">
        <references count="4">
          <reference field="2" count="1" selected="0">
            <x v="3"/>
          </reference>
          <reference field="3" count="1" selected="0">
            <x v="6"/>
          </reference>
          <reference field="4" count="1" selected="0">
            <x v="18"/>
          </reference>
          <reference field="5" count="3">
            <x v="9"/>
            <x v="128"/>
            <x v="129"/>
          </reference>
        </references>
      </pivotArea>
    </format>
    <format dxfId="1292">
      <pivotArea dataOnly="0" labelOnly="1" fieldPosition="0">
        <references count="4">
          <reference field="2" count="1" selected="0">
            <x v="3"/>
          </reference>
          <reference field="3" count="1" selected="0">
            <x v="6"/>
          </reference>
          <reference field="4" count="1" selected="0">
            <x v="19"/>
          </reference>
          <reference field="5" count="1">
            <x v="127"/>
          </reference>
        </references>
      </pivotArea>
    </format>
    <format dxfId="1291">
      <pivotArea dataOnly="0" labelOnly="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1290">
      <pivotArea dataOnly="0" labelOnly="1" fieldPosition="0">
        <references count="4">
          <reference field="2" count="1" selected="0">
            <x v="3"/>
          </reference>
          <reference field="3" count="1" selected="0">
            <x v="11"/>
          </reference>
          <reference field="4" count="1" selected="0">
            <x v="32"/>
          </reference>
          <reference field="5" count="4">
            <x v="74"/>
            <x v="75"/>
            <x v="76"/>
            <x v="77"/>
          </reference>
        </references>
      </pivotArea>
    </format>
    <format dxfId="1289">
      <pivotArea dataOnly="0" labelOnly="1" fieldPosition="0">
        <references count="4">
          <reference field="2" count="1" selected="0">
            <x v="4"/>
          </reference>
          <reference field="3" count="1" selected="0">
            <x v="7"/>
          </reference>
          <reference field="4" count="1" selected="0">
            <x v="20"/>
          </reference>
          <reference field="5" count="7">
            <x v="17"/>
            <x v="18"/>
            <x v="19"/>
            <x v="20"/>
            <x v="21"/>
            <x v="22"/>
            <x v="67"/>
          </reference>
        </references>
      </pivotArea>
    </format>
    <format dxfId="1288">
      <pivotArea dataOnly="0" labelOnly="1" fieldPosition="0">
        <references count="4">
          <reference field="2" count="1" selected="0">
            <x v="4"/>
          </reference>
          <reference field="3" count="1" selected="0">
            <x v="7"/>
          </reference>
          <reference field="4" count="1" selected="0">
            <x v="34"/>
          </reference>
          <reference field="5" count="2">
            <x v="78"/>
            <x v="79"/>
          </reference>
        </references>
      </pivotArea>
    </format>
    <format dxfId="1287">
      <pivotArea dataOnly="0" labelOnly="1" fieldPosition="0">
        <references count="4">
          <reference field="2" count="1" selected="0">
            <x v="4"/>
          </reference>
          <reference field="3" count="1" selected="0">
            <x v="7"/>
          </reference>
          <reference field="4" count="1" selected="0">
            <x v="35"/>
          </reference>
          <reference field="5" count="2">
            <x v="80"/>
            <x v="81"/>
          </reference>
        </references>
      </pivotArea>
    </format>
    <format dxfId="1286">
      <pivotArea dataOnly="0" labelOnly="1" fieldPosition="0">
        <references count="4">
          <reference field="2" count="1" selected="0">
            <x v="4"/>
          </reference>
          <reference field="3" count="1" selected="0">
            <x v="12"/>
          </reference>
          <reference field="4" count="1" selected="0">
            <x v="36"/>
          </reference>
          <reference field="5" count="2">
            <x v="82"/>
            <x v="83"/>
          </reference>
        </references>
      </pivotArea>
    </format>
    <format dxfId="1285">
      <pivotArea dataOnly="0" labelOnly="1" fieldPosition="0">
        <references count="4">
          <reference field="2" count="1" selected="0">
            <x v="4"/>
          </reference>
          <reference field="3" count="1" selected="0">
            <x v="12"/>
          </reference>
          <reference field="4" count="1" selected="0">
            <x v="38"/>
          </reference>
          <reference field="5" count="2">
            <x v="84"/>
            <x v="85"/>
          </reference>
        </references>
      </pivotArea>
    </format>
    <format dxfId="1284">
      <pivotArea dataOnly="0" labelOnly="1" fieldPosition="0">
        <references count="4">
          <reference field="2" count="1" selected="0">
            <x v="4"/>
          </reference>
          <reference field="3" count="1" selected="0">
            <x v="12"/>
          </reference>
          <reference field="4" count="1" selected="0">
            <x v="66"/>
          </reference>
          <reference field="5" count="3">
            <x v="86"/>
            <x v="87"/>
            <x v="88"/>
          </reference>
        </references>
      </pivotArea>
    </format>
    <format dxfId="1283">
      <pivotArea dataOnly="0" labelOnly="1" fieldPosition="0">
        <references count="4">
          <reference field="2" count="1" selected="0">
            <x v="5"/>
          </reference>
          <reference field="3" count="1" selected="0">
            <x v="8"/>
          </reference>
          <reference field="4" count="1" selected="0">
            <x v="21"/>
          </reference>
          <reference field="5" count="2">
            <x v="10"/>
            <x v="11"/>
          </reference>
        </references>
      </pivotArea>
    </format>
    <format dxfId="1282">
      <pivotArea dataOnly="0" labelOnly="1" fieldPosition="0">
        <references count="4">
          <reference field="2" count="1" selected="0">
            <x v="5"/>
          </reference>
          <reference field="3" count="1" selected="0">
            <x v="8"/>
          </reference>
          <reference field="4" count="1" selected="0">
            <x v="22"/>
          </reference>
          <reference field="5" count="1">
            <x v="12"/>
          </reference>
        </references>
      </pivotArea>
    </format>
    <format dxfId="1281">
      <pivotArea dataOnly="0" labelOnly="1" fieldPosition="0">
        <references count="4">
          <reference field="2" count="1" selected="0">
            <x v="5"/>
          </reference>
          <reference field="3" count="1" selected="0">
            <x v="8"/>
          </reference>
          <reference field="4" count="1" selected="0">
            <x v="23"/>
          </reference>
          <reference field="5" count="1">
            <x v="13"/>
          </reference>
        </references>
      </pivotArea>
    </format>
    <format dxfId="1280">
      <pivotArea dataOnly="0" labelOnly="1" fieldPosition="0">
        <references count="4">
          <reference field="2" count="1" selected="0">
            <x v="5"/>
          </reference>
          <reference field="3" count="1" selected="0">
            <x v="8"/>
          </reference>
          <reference field="4" count="1" selected="0">
            <x v="24"/>
          </reference>
          <reference field="5" count="2">
            <x v="35"/>
            <x v="39"/>
          </reference>
        </references>
      </pivotArea>
    </format>
    <format dxfId="1279">
      <pivotArea dataOnly="0" labelOnly="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1278">
      <pivotArea dataOnly="0" labelOnly="1" fieldPosition="0">
        <references count="4">
          <reference field="2" count="1" selected="0">
            <x v="5"/>
          </reference>
          <reference field="3" count="1" selected="0">
            <x v="13"/>
          </reference>
          <reference field="4" count="1" selected="0">
            <x v="39"/>
          </reference>
          <reference field="5" count="5">
            <x v="89"/>
            <x v="90"/>
            <x v="91"/>
            <x v="92"/>
            <x v="93"/>
          </reference>
        </references>
      </pivotArea>
    </format>
    <format dxfId="1277">
      <pivotArea dataOnly="0" labelOnly="1" fieldPosition="0">
        <references count="4">
          <reference field="2" count="1" selected="0">
            <x v="5"/>
          </reference>
          <reference field="3" count="1" selected="0">
            <x v="13"/>
          </reference>
          <reference field="4" count="1" selected="0">
            <x v="40"/>
          </reference>
          <reference field="5" count="2">
            <x v="95"/>
            <x v="96"/>
          </reference>
        </references>
      </pivotArea>
    </format>
    <format dxfId="1276">
      <pivotArea dataOnly="0" labelOnly="1" fieldPosition="0">
        <references count="4">
          <reference field="2" count="1" selected="0">
            <x v="5"/>
          </reference>
          <reference field="3" count="1" selected="0">
            <x v="13"/>
          </reference>
          <reference field="4" count="1" selected="0">
            <x v="41"/>
          </reference>
          <reference field="5" count="2">
            <x v="97"/>
            <x v="98"/>
          </reference>
        </references>
      </pivotArea>
    </format>
    <format dxfId="1275">
      <pivotArea dataOnly="0" labelOnly="1" fieldPosition="0">
        <references count="4">
          <reference field="2" count="1" selected="0">
            <x v="6"/>
          </reference>
          <reference field="3" count="1" selected="0">
            <x v="9"/>
          </reference>
          <reference field="4" count="1" selected="0">
            <x v="26"/>
          </reference>
          <reference field="5" count="1">
            <x v="73"/>
          </reference>
        </references>
      </pivotArea>
    </format>
    <format dxfId="1274">
      <pivotArea dataOnly="0" labelOnly="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1273">
      <pivotArea dataOnly="0" labelOnly="1" fieldPosition="0">
        <references count="4">
          <reference field="2" count="1" selected="0">
            <x v="6"/>
          </reference>
          <reference field="3" count="1" selected="0">
            <x v="9"/>
          </reference>
          <reference field="4" count="1" selected="0">
            <x v="29"/>
          </reference>
          <reference field="5" count="1">
            <x v="32"/>
          </reference>
        </references>
      </pivotArea>
    </format>
    <format dxfId="1272">
      <pivotArea dataOnly="0" labelOnly="1" fieldPosition="0">
        <references count="4">
          <reference field="2" count="1" selected="0">
            <x v="6"/>
          </reference>
          <reference field="3" count="1" selected="0">
            <x v="10"/>
          </reference>
          <reference field="4" count="1" selected="0">
            <x v="42"/>
          </reference>
          <reference field="5" count="1">
            <x v="99"/>
          </reference>
        </references>
      </pivotArea>
    </format>
    <format dxfId="1271">
      <pivotArea dataOnly="0" labelOnly="1" fieldPosition="0">
        <references count="4">
          <reference field="2" count="1" selected="0">
            <x v="6"/>
          </reference>
          <reference field="3" count="1" selected="0">
            <x v="10"/>
          </reference>
          <reference field="4" count="1" selected="0">
            <x v="43"/>
          </reference>
          <reference field="5" count="1">
            <x v="103"/>
          </reference>
        </references>
      </pivotArea>
    </format>
    <format dxfId="1270">
      <pivotArea dataOnly="0" labelOnly="1" fieldPosition="0">
        <references count="4">
          <reference field="2" count="1" selected="0">
            <x v="6"/>
          </reference>
          <reference field="3" count="1" selected="0">
            <x v="10"/>
          </reference>
          <reference field="4" count="1" selected="0">
            <x v="44"/>
          </reference>
          <reference field="5" count="1">
            <x v="100"/>
          </reference>
        </references>
      </pivotArea>
    </format>
    <format dxfId="1269">
      <pivotArea dataOnly="0" labelOnly="1" fieldPosition="0">
        <references count="4">
          <reference field="2" count="1" selected="0">
            <x v="6"/>
          </reference>
          <reference field="3" count="1" selected="0">
            <x v="10"/>
          </reference>
          <reference field="4" count="1" selected="0">
            <x v="45"/>
          </reference>
          <reference field="5" count="2">
            <x v="101"/>
            <x v="102"/>
          </reference>
        </references>
      </pivotArea>
    </format>
    <format dxfId="1268">
      <pivotArea dataOnly="0" labelOnly="1" fieldPosition="0">
        <references count="4">
          <reference field="2" count="1" selected="0">
            <x v="6"/>
          </reference>
          <reference field="3" count="1" selected="0">
            <x v="10"/>
          </reference>
          <reference field="4" count="1" selected="0">
            <x v="63"/>
          </reference>
          <reference field="5" count="1">
            <x v="104"/>
          </reference>
        </references>
      </pivotArea>
    </format>
    <format dxfId="1267">
      <pivotArea dataOnly="0" labelOnly="1" fieldPosition="0">
        <references count="4">
          <reference field="2" count="1" selected="0">
            <x v="6"/>
          </reference>
          <reference field="3" count="1" selected="0">
            <x v="10"/>
          </reference>
          <reference field="4" count="1" selected="0">
            <x v="64"/>
          </reference>
          <reference field="5" count="1">
            <x v="105"/>
          </reference>
        </references>
      </pivotArea>
    </format>
    <format dxfId="1266">
      <pivotArea dataOnly="0" labelOnly="1" fieldPosition="0">
        <references count="4">
          <reference field="2" count="1" selected="0">
            <x v="6"/>
          </reference>
          <reference field="3" count="1" selected="0">
            <x v="10"/>
          </reference>
          <reference field="4" count="1" selected="0">
            <x v="65"/>
          </reference>
          <reference field="5" count="1">
            <x v="41"/>
          </reference>
        </references>
      </pivotArea>
    </format>
    <format dxfId="1265">
      <pivotArea dataOnly="0" labelOnly="1" fieldPosition="0">
        <references count="4">
          <reference field="2" count="1" selected="0">
            <x v="6"/>
          </reference>
          <reference field="3" count="1" selected="0">
            <x v="14"/>
          </reference>
          <reference field="4" count="1" selected="0">
            <x v="47"/>
          </reference>
          <reference field="5" count="1">
            <x v="106"/>
          </reference>
        </references>
      </pivotArea>
    </format>
    <format dxfId="1264">
      <pivotArea dataOnly="0" labelOnly="1" fieldPosition="0">
        <references count="4">
          <reference field="2" count="1" selected="0">
            <x v="6"/>
          </reference>
          <reference field="3" count="1" selected="0">
            <x v="14"/>
          </reference>
          <reference field="4" count="1" selected="0">
            <x v="48"/>
          </reference>
          <reference field="5" count="1">
            <x v="107"/>
          </reference>
        </references>
      </pivotArea>
    </format>
    <format dxfId="1263">
      <pivotArea dataOnly="0" labelOnly="1" fieldPosition="0">
        <references count="4">
          <reference field="2" count="1" selected="0">
            <x v="6"/>
          </reference>
          <reference field="3" count="1" selected="0">
            <x v="14"/>
          </reference>
          <reference field="4" count="1" selected="0">
            <x v="50"/>
          </reference>
          <reference field="5" count="2">
            <x v="108"/>
            <x v="109"/>
          </reference>
        </references>
      </pivotArea>
    </format>
    <format dxfId="1262">
      <pivotArea dataOnly="0" labelOnly="1" fieldPosition="0">
        <references count="4">
          <reference field="2" count="1" selected="0">
            <x v="6"/>
          </reference>
          <reference field="3" count="1" selected="0">
            <x v="14"/>
          </reference>
          <reference field="4" count="1" selected="0">
            <x v="51"/>
          </reference>
          <reference field="5" count="1">
            <x v="110"/>
          </reference>
        </references>
      </pivotArea>
    </format>
    <format dxfId="1261">
      <pivotArea dataOnly="0" labelOnly="1" fieldPosition="0">
        <references count="4">
          <reference field="2" count="1" selected="0">
            <x v="6"/>
          </reference>
          <reference field="3" count="1" selected="0">
            <x v="15"/>
          </reference>
          <reference field="4" count="1" selected="0">
            <x v="52"/>
          </reference>
          <reference field="5" count="1">
            <x v="111"/>
          </reference>
        </references>
      </pivotArea>
    </format>
    <format dxfId="1260">
      <pivotArea dataOnly="0" labelOnly="1" fieldPosition="0">
        <references count="4">
          <reference field="2" count="1" selected="0">
            <x v="6"/>
          </reference>
          <reference field="3" count="1" selected="0">
            <x v="15"/>
          </reference>
          <reference field="4" count="1" selected="0">
            <x v="54"/>
          </reference>
          <reference field="5" count="1">
            <x v="116"/>
          </reference>
        </references>
      </pivotArea>
    </format>
    <format dxfId="1259">
      <pivotArea dataOnly="0" labelOnly="1" fieldPosition="0">
        <references count="4">
          <reference field="2" count="1" selected="0">
            <x v="6"/>
          </reference>
          <reference field="3" count="1" selected="0">
            <x v="15"/>
          </reference>
          <reference field="4" count="1" selected="0">
            <x v="55"/>
          </reference>
          <reference field="5" count="4">
            <x v="112"/>
            <x v="113"/>
            <x v="114"/>
            <x v="115"/>
          </reference>
        </references>
      </pivotArea>
    </format>
    <format dxfId="1258">
      <pivotArea dataOnly="0" labelOnly="1" fieldPosition="0">
        <references count="4">
          <reference field="2" count="1" selected="0">
            <x v="6"/>
          </reference>
          <reference field="3" count="1" selected="0">
            <x v="16"/>
          </reference>
          <reference field="4" count="1" selected="0">
            <x v="56"/>
          </reference>
          <reference field="5" count="1">
            <x v="117"/>
          </reference>
        </references>
      </pivotArea>
    </format>
    <format dxfId="1257">
      <pivotArea dataOnly="0" labelOnly="1" fieldPosition="0">
        <references count="4">
          <reference field="2" count="1" selected="0">
            <x v="6"/>
          </reference>
          <reference field="3" count="1" selected="0">
            <x v="16"/>
          </reference>
          <reference field="4" count="1" selected="0">
            <x v="57"/>
          </reference>
          <reference field="5" count="1">
            <x v="133"/>
          </reference>
        </references>
      </pivotArea>
    </format>
    <format dxfId="1256">
      <pivotArea dataOnly="0" labelOnly="1" fieldPosition="0">
        <references count="4">
          <reference field="2" count="1" selected="0">
            <x v="6"/>
          </reference>
          <reference field="3" count="1" selected="0">
            <x v="16"/>
          </reference>
          <reference field="4" count="1" selected="0">
            <x v="58"/>
          </reference>
          <reference field="5" count="1">
            <x v="118"/>
          </reference>
        </references>
      </pivotArea>
    </format>
    <format dxfId="1255">
      <pivotArea dataOnly="0" labelOnly="1" fieldPosition="0">
        <references count="4">
          <reference field="2" count="1" selected="0">
            <x v="6"/>
          </reference>
          <reference field="3" count="1" selected="0">
            <x v="17"/>
          </reference>
          <reference field="4" count="1" selected="0">
            <x v="59"/>
          </reference>
          <reference field="5" count="2">
            <x v="119"/>
            <x v="120"/>
          </reference>
        </references>
      </pivotArea>
    </format>
    <format dxfId="1254">
      <pivotArea dataOnly="0" labelOnly="1" fieldPosition="0">
        <references count="4">
          <reference field="2" count="1" selected="0">
            <x v="6"/>
          </reference>
          <reference field="3" count="1" selected="0">
            <x v="17"/>
          </reference>
          <reference field="4" count="1" selected="0">
            <x v="60"/>
          </reference>
          <reference field="5" count="1">
            <x v="121"/>
          </reference>
        </references>
      </pivotArea>
    </format>
    <format dxfId="1253">
      <pivotArea dataOnly="0" labelOnly="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1252">
      <pivotArea dataOnly="0" labelOnly="1" fieldPosition="0">
        <references count="4">
          <reference field="2" count="1" selected="0">
            <x v="3"/>
          </reference>
          <reference field="3" count="1" selected="0">
            <x v="11"/>
          </reference>
          <reference field="4" count="1" selected="0">
            <x v="30"/>
          </reference>
          <reference field="5" count="1">
            <x v="71"/>
          </reference>
        </references>
      </pivotArea>
    </format>
    <format dxfId="1251">
      <pivotArea type="all" dataOnly="0" outline="0" fieldPosition="0"/>
    </format>
    <format dxfId="1250">
      <pivotArea outline="0" collapsedLevelsAreSubtotals="1" fieldPosition="0"/>
    </format>
    <format dxfId="1249">
      <pivotArea field="2" type="button" dataOnly="0" labelOnly="1" outline="0" axis="axisRow" fieldPosition="0"/>
    </format>
    <format dxfId="1248">
      <pivotArea dataOnly="0" labelOnly="1" fieldPosition="0">
        <references count="1">
          <reference field="2" count="0"/>
        </references>
      </pivotArea>
    </format>
    <format dxfId="1247">
      <pivotArea dataOnly="0" labelOnly="1" grandRow="1" outline="0" fieldPosition="0"/>
    </format>
    <format dxfId="1246">
      <pivotArea dataOnly="0" labelOnly="1" fieldPosition="0">
        <references count="2">
          <reference field="2" count="1" selected="0">
            <x v="0"/>
          </reference>
          <reference field="3" count="0"/>
        </references>
      </pivotArea>
    </format>
    <format dxfId="1245">
      <pivotArea dataOnly="0" labelOnly="1" fieldPosition="0">
        <references count="3">
          <reference field="2" count="1" selected="0">
            <x v="0"/>
          </reference>
          <reference field="3" count="1" selected="0">
            <x v="0"/>
          </reference>
          <reference field="4" count="25">
            <x v="0"/>
            <x v="1"/>
            <x v="2"/>
            <x v="3"/>
            <x v="4"/>
            <x v="6"/>
            <x v="7"/>
            <x v="8"/>
            <x v="9"/>
            <x v="10"/>
            <x v="11"/>
            <x v="12"/>
            <x v="13"/>
            <x v="14"/>
            <x v="15"/>
            <x v="16"/>
            <x v="17"/>
            <x v="18"/>
            <x v="19"/>
            <x v="20"/>
            <x v="30"/>
            <x v="31"/>
            <x v="32"/>
            <x v="33"/>
            <x v="34"/>
          </reference>
        </references>
      </pivotArea>
    </format>
    <format dxfId="1244">
      <pivotArea dataOnly="0" labelOnly="1" fieldPosition="0">
        <references count="3">
          <reference field="2" count="1" selected="0">
            <x v="4"/>
          </reference>
          <reference field="3" count="1" selected="0">
            <x v="7"/>
          </reference>
          <reference field="4" count="25">
            <x v="21"/>
            <x v="22"/>
            <x v="23"/>
            <x v="24"/>
            <x v="25"/>
            <x v="26"/>
            <x v="27"/>
            <x v="28"/>
            <x v="29"/>
            <x v="35"/>
            <x v="36"/>
            <x v="38"/>
            <x v="39"/>
            <x v="40"/>
            <x v="41"/>
            <x v="42"/>
            <x v="43"/>
            <x v="44"/>
            <x v="45"/>
            <x v="46"/>
            <x v="47"/>
            <x v="63"/>
            <x v="64"/>
            <x v="65"/>
            <x v="66"/>
          </reference>
        </references>
      </pivotArea>
    </format>
    <format dxfId="1243">
      <pivotArea dataOnly="0" labelOnly="1" fieldPosition="0">
        <references count="3">
          <reference field="2" count="1" selected="0">
            <x v="6"/>
          </reference>
          <reference field="3" count="1" selected="0">
            <x v="14"/>
          </reference>
          <reference field="4" count="14">
            <x v="48"/>
            <x v="50"/>
            <x v="51"/>
            <x v="52"/>
            <x v="53"/>
            <x v="54"/>
            <x v="55"/>
            <x v="56"/>
            <x v="57"/>
            <x v="58"/>
            <x v="59"/>
            <x v="60"/>
            <x v="61"/>
            <x v="62"/>
          </reference>
        </references>
      </pivotArea>
    </format>
    <format dxfId="1242">
      <pivotArea dataOnly="0" labelOnly="1" fieldPosition="0">
        <references count="4">
          <reference field="2" count="1" selected="0">
            <x v="0"/>
          </reference>
          <reference field="3" count="1" selected="0">
            <x v="0"/>
          </reference>
          <reference field="4" count="1" selected="0">
            <x v="0"/>
          </reference>
          <reference field="5" count="46">
            <x v="0"/>
            <x v="1"/>
            <x v="2"/>
            <x v="3"/>
            <x v="4"/>
            <x v="5"/>
            <x v="6"/>
            <x v="7"/>
            <x v="8"/>
            <x v="9"/>
            <x v="26"/>
            <x v="27"/>
            <x v="28"/>
            <x v="29"/>
            <x v="30"/>
            <x v="31"/>
            <x v="42"/>
            <x v="43"/>
            <x v="44"/>
            <x v="45"/>
            <x v="46"/>
            <x v="47"/>
            <x v="48"/>
            <x v="49"/>
            <x v="50"/>
            <x v="51"/>
            <x v="52"/>
            <x v="53"/>
            <x v="54"/>
            <x v="55"/>
            <x v="56"/>
            <x v="57"/>
            <x v="58"/>
            <x v="59"/>
            <x v="60"/>
            <x v="61"/>
            <x v="62"/>
            <x v="63"/>
            <x v="64"/>
            <x v="65"/>
            <x v="66"/>
            <x v="68"/>
            <x v="69"/>
            <x v="94"/>
            <x v="128"/>
            <x v="130"/>
          </reference>
        </references>
      </pivotArea>
    </format>
    <format dxfId="1241">
      <pivotArea dataOnly="0" labelOnly="1" fieldPosition="0">
        <references count="4">
          <reference field="2" count="1" selected="0">
            <x v="3"/>
          </reference>
          <reference field="3" count="1" selected="0">
            <x v="6"/>
          </reference>
          <reference field="4" count="1" selected="0">
            <x v="18"/>
          </reference>
          <reference field="5" count="45">
            <x v="10"/>
            <x v="11"/>
            <x v="12"/>
            <x v="13"/>
            <x v="17"/>
            <x v="18"/>
            <x v="19"/>
            <x v="20"/>
            <x v="21"/>
            <x v="22"/>
            <x v="33"/>
            <x v="34"/>
            <x v="35"/>
            <x v="36"/>
            <x v="37"/>
            <x v="38"/>
            <x v="39"/>
            <x v="40"/>
            <x v="67"/>
            <x v="70"/>
            <x v="71"/>
            <x v="72"/>
            <x v="74"/>
            <x v="75"/>
            <x v="76"/>
            <x v="77"/>
            <x v="78"/>
            <x v="79"/>
            <x v="80"/>
            <x v="81"/>
            <x v="82"/>
            <x v="83"/>
            <x v="84"/>
            <x v="85"/>
            <x v="86"/>
            <x v="87"/>
            <x v="88"/>
            <x v="89"/>
            <x v="90"/>
            <x v="91"/>
            <x v="92"/>
            <x v="93"/>
            <x v="126"/>
            <x v="127"/>
            <x v="129"/>
          </reference>
        </references>
      </pivotArea>
    </format>
    <format dxfId="1240">
      <pivotArea dataOnly="0" labelOnly="1" fieldPosition="0">
        <references count="4">
          <reference field="2" count="1" selected="0">
            <x v="5"/>
          </reference>
          <reference field="3" count="1" selected="0">
            <x v="13"/>
          </reference>
          <reference field="4" count="1" selected="0">
            <x v="40"/>
          </reference>
          <reference field="5" count="41">
            <x v="14"/>
            <x v="15"/>
            <x v="16"/>
            <x v="23"/>
            <x v="24"/>
            <x v="25"/>
            <x v="32"/>
            <x v="41"/>
            <x v="73"/>
            <x v="95"/>
            <x v="96"/>
            <x v="97"/>
            <x v="98"/>
            <x v="99"/>
            <x v="100"/>
            <x v="101"/>
            <x v="102"/>
            <x v="103"/>
            <x v="104"/>
            <x v="105"/>
            <x v="106"/>
            <x v="107"/>
            <x v="108"/>
            <x v="109"/>
            <x v="110"/>
            <x v="111"/>
            <x v="112"/>
            <x v="113"/>
            <x v="114"/>
            <x v="115"/>
            <x v="116"/>
            <x v="117"/>
            <x v="118"/>
            <x v="119"/>
            <x v="120"/>
            <x v="131"/>
            <x v="132"/>
            <x v="133"/>
            <x v="134"/>
            <x v="135"/>
            <x v="136"/>
          </reference>
        </references>
      </pivotArea>
    </format>
    <format dxfId="1239">
      <pivotArea dataOnly="0" labelOnly="1" fieldPosition="0">
        <references count="4">
          <reference field="2" count="1" selected="0">
            <x v="6"/>
          </reference>
          <reference field="3" count="1" selected="0">
            <x v="17"/>
          </reference>
          <reference field="4" count="1" selected="0">
            <x v="60"/>
          </reference>
          <reference field="5" count="5">
            <x v="121"/>
            <x v="122"/>
            <x v="123"/>
            <x v="124"/>
            <x v="125"/>
          </reference>
        </references>
      </pivotArea>
    </format>
    <format dxfId="1238">
      <pivotArea dataOnly="0" labelOnly="1" outline="0" fieldPosition="0">
        <references count="1">
          <reference field="4294967294" count="6">
            <x v="0"/>
            <x v="1"/>
            <x v="2"/>
            <x v="3"/>
            <x v="4"/>
            <x v="5"/>
          </reference>
        </references>
      </pivotArea>
    </format>
    <format dxfId="1237">
      <pivotArea dataOnly="0" labelOnly="1" fieldPosition="0">
        <references count="4">
          <reference field="2" count="1" selected="0">
            <x v="1"/>
          </reference>
          <reference field="3" count="1" selected="0">
            <x v="1"/>
          </reference>
          <reference field="4" count="1" selected="0">
            <x v="4"/>
          </reference>
          <reference field="5" count="1">
            <x v="130"/>
          </reference>
        </references>
      </pivotArea>
    </format>
    <format dxfId="1236">
      <pivotArea outline="0" fieldPosition="0">
        <references count="1">
          <reference field="4294967294" count="1">
            <x v="5"/>
          </reference>
        </references>
      </pivotArea>
    </format>
  </formats>
  <pivotTableStyleInfo name="Pivot_subinterventii"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purl.oclc.org/ooxml/spreadsheetml/main" xmlns:mc="http://schemas.openxmlformats.org/markup-compatibility/2006" xmlns:xr="http://schemas.microsoft.com/office/spreadsheetml/2014/revision" mc:Ignorable="xr" xr:uid="{00000000-0007-0000-0500-000000000000}" name="PivotTable1" cacheId="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B4:H283" firstHeaderRow="0" firstDataRow="1" firstDataCol="1" rowPageCount="1" colPageCount="1"/>
  <pivotFields count="55">
    <pivotField showAll="0" insertBlankRow="1"/>
    <pivotField showAll="0" insertBlankRow="1"/>
    <pivotField axis="axisRow" showAll="0" insertBlankRow="1" sortType="ascending">
      <items count="9">
        <item x="7"/>
        <item x="0"/>
        <item x="5"/>
        <item x="1"/>
        <item x="2"/>
        <item x="3"/>
        <item x="4"/>
        <item x="6"/>
        <item t="default"/>
      </items>
    </pivotField>
    <pivotField axis="axisRow" showAll="0" insertBlankRow="1">
      <items count="21">
        <item x="19"/>
        <item x="0"/>
        <item x="9"/>
        <item x="6"/>
        <item x="7"/>
        <item x="1"/>
        <item x="4"/>
        <item x="2"/>
        <item x="3"/>
        <item x="5"/>
        <item x="8"/>
        <item x="10"/>
        <item x="13"/>
        <item x="12"/>
        <item x="14"/>
        <item x="11"/>
        <item x="15"/>
        <item x="16"/>
        <item x="17"/>
        <item x="18"/>
        <item t="default"/>
      </items>
    </pivotField>
    <pivotField axis="axisRow" showAll="0" insertBlankRow="1">
      <items count="70">
        <item x="64"/>
        <item x="0"/>
        <item x="1"/>
        <item x="2"/>
        <item x="3"/>
        <item m="1" x="67"/>
        <item x="28"/>
        <item x="15"/>
        <item x="20"/>
        <item x="21"/>
        <item x="27"/>
        <item x="18"/>
        <item x="16"/>
        <item x="6"/>
        <item x="7"/>
        <item x="4"/>
        <item x="17"/>
        <item x="19"/>
        <item x="13"/>
        <item x="22"/>
        <item x="5"/>
        <item x="8"/>
        <item x="9"/>
        <item x="10"/>
        <item x="12"/>
        <item x="11"/>
        <item x="23"/>
        <item x="26"/>
        <item x="14"/>
        <item x="24"/>
        <item x="30"/>
        <item x="32"/>
        <item x="33"/>
        <item m="1" x="65"/>
        <item x="36"/>
        <item x="37"/>
        <item x="38"/>
        <item m="1" x="66"/>
        <item x="40"/>
        <item x="39"/>
        <item x="34"/>
        <item x="41"/>
        <item x="42"/>
        <item x="43"/>
        <item x="44"/>
        <item x="45"/>
        <item x="46"/>
        <item x="48"/>
        <item x="49"/>
        <item x="50"/>
        <item m="1" x="68"/>
        <item x="51"/>
        <item x="52"/>
        <item x="53"/>
        <item x="31"/>
        <item x="54"/>
        <item x="35"/>
        <item x="55"/>
        <item x="56"/>
        <item x="57"/>
        <item x="58"/>
        <item x="59"/>
        <item x="60"/>
        <item x="61"/>
        <item x="29"/>
        <item x="47"/>
        <item x="25"/>
        <item x="62"/>
        <item x="63"/>
        <item t="default"/>
      </items>
    </pivotField>
    <pivotField axis="axisRow" showAll="0" insertBlankRow="1">
      <items count="179">
        <item x="177"/>
        <item x="0"/>
        <item x="1"/>
        <item x="2"/>
        <item x="3"/>
        <item x="4"/>
        <item x="5"/>
        <item x="68"/>
        <item x="74"/>
        <item x="41"/>
        <item x="29"/>
        <item x="30"/>
        <item x="31"/>
        <item x="32"/>
        <item x="47"/>
        <item x="49"/>
        <item x="45"/>
        <item x="10"/>
        <item x="12"/>
        <item x="17"/>
        <item x="20"/>
        <item x="25"/>
        <item x="27"/>
        <item x="46"/>
        <item x="48"/>
        <item x="44"/>
        <item x="50"/>
        <item x="53"/>
        <item x="67"/>
        <item x="66"/>
        <item x="75"/>
        <item x="76"/>
        <item x="71"/>
        <item x="35"/>
        <item x="33"/>
        <item x="39"/>
        <item x="37"/>
        <item x="36"/>
        <item x="34"/>
        <item x="40"/>
        <item x="38"/>
        <item x="72"/>
        <item x="64"/>
        <item x="51"/>
        <item x="54"/>
        <item x="52"/>
        <item x="55"/>
        <item x="62"/>
        <item x="63"/>
        <item x="57"/>
        <item x="60"/>
        <item x="61"/>
        <item x="58"/>
        <item x="59"/>
        <item x="56"/>
        <item x="11"/>
        <item x="13"/>
        <item x="16"/>
        <item x="14"/>
        <item x="9"/>
        <item x="18"/>
        <item x="19"/>
        <item x="21"/>
        <item x="26"/>
        <item x="23"/>
        <item x="24"/>
        <item x="28"/>
        <item x="15"/>
        <item x="6"/>
        <item x="65"/>
        <item x="84"/>
        <item x="85"/>
        <item x="86"/>
        <item x="70"/>
        <item x="90"/>
        <item x="91"/>
        <item x="92"/>
        <item x="99"/>
        <item x="100"/>
        <item x="101"/>
        <item x="102"/>
        <item x="103"/>
        <item x="104"/>
        <item x="105"/>
        <item x="106"/>
        <item x="107"/>
        <item x="108"/>
        <item x="109"/>
        <item x="110"/>
        <item x="111"/>
        <item x="112"/>
        <item x="113"/>
        <item x="114"/>
        <item x="115"/>
        <item x="162"/>
        <item x="116"/>
        <item x="119"/>
        <item x="120"/>
        <item x="124"/>
        <item x="126"/>
        <item x="127"/>
        <item x="128"/>
        <item x="125"/>
        <item x="129"/>
        <item x="130"/>
        <item x="134"/>
        <item x="135"/>
        <item x="136"/>
        <item x="137"/>
        <item x="138"/>
        <item x="139"/>
        <item x="141"/>
        <item x="142"/>
        <item x="143"/>
        <item x="144"/>
        <item x="145"/>
        <item x="146"/>
        <item x="147"/>
        <item x="148"/>
        <item x="149"/>
        <item x="150"/>
        <item x="151"/>
        <item x="152"/>
        <item x="153"/>
        <item x="154"/>
        <item x="155"/>
        <item x="156"/>
        <item x="157"/>
        <item x="88"/>
        <item x="69"/>
        <item x="42"/>
        <item x="43"/>
        <item x="7"/>
        <item x="133"/>
        <item x="131"/>
        <item x="132"/>
        <item x="79"/>
        <item x="80"/>
        <item x="93"/>
        <item x="95"/>
        <item x="164"/>
        <item x="165"/>
        <item x="166"/>
        <item x="158"/>
        <item x="159"/>
        <item x="160"/>
        <item x="161"/>
        <item x="22"/>
        <item x="89"/>
        <item x="168"/>
        <item x="8"/>
        <item x="163"/>
        <item x="96"/>
        <item x="97"/>
        <item x="94"/>
        <item x="123"/>
        <item x="121"/>
        <item x="122"/>
        <item x="169"/>
        <item x="167"/>
        <item x="172"/>
        <item x="173"/>
        <item x="140"/>
        <item x="87"/>
        <item x="98"/>
        <item x="174"/>
        <item x="81"/>
        <item x="82"/>
        <item x="83"/>
        <item x="176"/>
        <item x="77"/>
        <item x="78"/>
        <item x="117"/>
        <item x="118"/>
        <item x="171"/>
        <item x="73"/>
        <item x="170"/>
        <item x="175"/>
        <item t="default"/>
      </items>
    </pivotField>
    <pivotField showAll="0" defaultSubtotal="0"/>
    <pivotField axis="axisPage" multipleItemSelectionAllowed="1" showAll="0" insertBlankRow="1">
      <items count="7">
        <item h="1" x="5"/>
        <item h="1" x="4"/>
        <item h="1" x="0"/>
        <item x="1"/>
        <item h="1" x="3"/>
        <item h="1" x="2"/>
        <item t="default"/>
      </items>
    </pivotField>
    <pivotField showAll="0" insertBlankRow="1"/>
    <pivotField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dataField="1" numFmtId="4" multipleItemSelectionAllowed="1" showAll="0" insertBlankRow="1">
      <items count="280">
        <item x="35"/>
        <item x="32"/>
        <item x="22"/>
        <item x="12"/>
        <item x="82"/>
        <item x="30"/>
        <item x="65"/>
        <item x="99"/>
        <item x="81"/>
        <item m="1" x="202"/>
        <item x="130"/>
        <item m="1" x="239"/>
        <item x="14"/>
        <item x="129"/>
        <item x="66"/>
        <item x="75"/>
        <item x="64"/>
        <item x="172"/>
        <item x="56"/>
        <item m="1" x="203"/>
        <item x="77"/>
        <item x="15"/>
        <item m="1" x="269"/>
        <item x="5"/>
        <item x="143"/>
        <item x="97"/>
        <item m="1" x="240"/>
        <item x="84"/>
        <item x="80"/>
        <item x="74"/>
        <item x="52"/>
        <item x="164"/>
        <item x="76"/>
        <item x="88"/>
        <item x="98"/>
        <item m="1" x="199"/>
        <item x="128"/>
        <item x="79"/>
        <item x="55"/>
        <item x="47"/>
        <item x="131"/>
        <item x="123"/>
        <item x="73"/>
        <item x="17"/>
        <item x="124"/>
        <item x="10"/>
        <item x="25"/>
        <item x="125"/>
        <item x="34"/>
        <item x="103"/>
        <item x="142"/>
        <item m="1" x="217"/>
        <item x="179"/>
        <item x="140"/>
        <item m="1" x="225"/>
        <item x="144"/>
        <item x="107"/>
        <item x="57"/>
        <item x="162"/>
        <item x="62"/>
        <item x="51"/>
        <item x="148"/>
        <item m="1" x="270"/>
        <item m="1" x="194"/>
        <item m="1" x="259"/>
        <item x="145"/>
        <item x="50"/>
        <item m="1" x="210"/>
        <item m="1" x="238"/>
        <item x="63"/>
        <item x="72"/>
        <item m="1" x="242"/>
        <item m="1" x="273"/>
        <item m="1" x="275"/>
        <item x="137"/>
        <item m="1" x="236"/>
        <item x="154"/>
        <item x="44"/>
        <item x="163"/>
        <item x="13"/>
        <item x="157"/>
        <item x="150"/>
        <item x="181"/>
        <item x="71"/>
        <item x="101"/>
        <item x="165"/>
        <item m="1" x="216"/>
        <item x="28"/>
        <item x="105"/>
        <item m="1" x="265"/>
        <item x="133"/>
        <item m="1" x="237"/>
        <item m="1" x="246"/>
        <item x="9"/>
        <item x="61"/>
        <item m="1" x="198"/>
        <item x="69"/>
        <item x="85"/>
        <item m="1" x="232"/>
        <item x="78"/>
        <item x="53"/>
        <item m="1" x="274"/>
        <item m="1" x="271"/>
        <item x="102"/>
        <item x="178"/>
        <item x="149"/>
        <item x="49"/>
        <item x="106"/>
        <item x="83"/>
        <item m="1" x="254"/>
        <item m="1" x="208"/>
        <item x="177"/>
        <item x="68"/>
        <item x="24"/>
        <item x="33"/>
        <item m="1" x="235"/>
        <item x="70"/>
        <item x="54"/>
        <item x="46"/>
        <item x="42"/>
        <item x="180"/>
        <item x="136"/>
        <item x="134"/>
        <item x="141"/>
        <item m="1" x="207"/>
        <item m="1" x="233"/>
        <item m="1" x="261"/>
        <item x="43"/>
        <item x="38"/>
        <item x="67"/>
        <item x="160"/>
        <item m="1" x="195"/>
        <item x="37"/>
        <item m="1" x="234"/>
        <item m="1" x="272"/>
        <item m="1" x="206"/>
        <item x="40"/>
        <item x="185"/>
        <item m="1" x="257"/>
        <item x="138"/>
        <item m="1" x="213"/>
        <item x="41"/>
        <item m="1" x="196"/>
        <item x="45"/>
        <item x="20"/>
        <item x="16"/>
        <item m="1" x="276"/>
        <item x="23"/>
        <item m="1" x="263"/>
        <item m="1" x="252"/>
        <item m="1" x="223"/>
        <item x="31"/>
        <item x="151"/>
        <item x="167"/>
        <item m="1" x="247"/>
        <item m="1" x="228"/>
        <item m="1" x="226"/>
        <item m="1" x="229"/>
        <item x="176"/>
        <item m="1" x="256"/>
        <item m="1" x="221"/>
        <item x="183"/>
        <item m="1" x="253"/>
        <item x="3"/>
        <item x="36"/>
        <item x="1"/>
        <item x="171"/>
        <item m="1" x="212"/>
        <item m="1" x="262"/>
        <item m="1" x="222"/>
        <item x="11"/>
        <item m="1" x="197"/>
        <item m="1" x="245"/>
        <item x="39"/>
        <item m="1" x="214"/>
        <item x="182"/>
        <item m="1" x="218"/>
        <item x="19"/>
        <item x="6"/>
        <item m="1" x="258"/>
        <item x="26"/>
        <item m="1" x="209"/>
        <item m="1" x="204"/>
        <item m="1" x="250"/>
        <item x="27"/>
        <item x="2"/>
        <item m="1" x="268"/>
        <item x="18"/>
        <item x="119"/>
        <item x="0"/>
        <item x="147"/>
        <item x="146"/>
        <item m="1" x="192"/>
        <item m="1" x="230"/>
        <item x="168"/>
        <item x="169"/>
        <item m="1" x="255"/>
        <item x="4"/>
        <item x="7"/>
        <item x="8"/>
        <item x="127"/>
        <item x="186"/>
        <item m="1" x="264"/>
        <item m="1" x="224"/>
        <item x="48"/>
        <item x="116"/>
        <item x="166"/>
        <item x="118"/>
        <item x="174"/>
        <item x="175"/>
        <item x="120"/>
        <item x="121"/>
        <item x="122"/>
        <item x="173"/>
        <item x="132"/>
        <item x="135"/>
        <item m="1" x="266"/>
        <item x="87"/>
        <item x="170"/>
        <item x="187"/>
        <item m="1" x="193"/>
        <item m="1" x="243"/>
        <item m="1" x="200"/>
        <item x="58"/>
        <item x="59"/>
        <item x="60"/>
        <item m="1" x="249"/>
        <item x="152"/>
        <item x="153"/>
        <item x="117"/>
        <item x="155"/>
        <item x="156"/>
        <item x="161"/>
        <item x="158"/>
        <item x="159"/>
        <item x="126"/>
        <item m="1" x="191"/>
        <item m="1" x="201"/>
        <item x="91"/>
        <item x="92"/>
        <item m="1" x="215"/>
        <item m="1" x="231"/>
        <item m="1" x="260"/>
        <item m="1" x="241"/>
        <item m="1" x="248"/>
        <item x="95"/>
        <item x="96"/>
        <item x="89"/>
        <item x="90"/>
        <item x="93"/>
        <item x="94"/>
        <item x="100"/>
        <item x="104"/>
        <item x="108"/>
        <item x="109"/>
        <item x="110"/>
        <item x="111"/>
        <item x="112"/>
        <item x="113"/>
        <item x="114"/>
        <item m="1" x="267"/>
        <item x="190"/>
        <item m="1" x="211"/>
        <item x="139"/>
        <item m="1" x="244"/>
        <item x="115"/>
        <item m="1" x="205"/>
        <item x="189"/>
        <item h="1" m="1" x="277"/>
        <item h="1" m="1" x="219"/>
        <item h="1" m="1" x="220"/>
        <item h="1" m="1" x="227"/>
        <item h="1" m="1" x="278"/>
        <item x="188"/>
        <item x="21"/>
        <item x="29"/>
        <item m="1" x="251"/>
        <item x="184"/>
        <item x="86"/>
        <item t="default"/>
      </items>
    </pivotField>
  </pivotFields>
  <rowFields count="4">
    <field x="2"/>
    <field x="3"/>
    <field x="4"/>
    <field x="5"/>
  </rowFields>
  <rowItems count="279">
    <i>
      <x v="1"/>
    </i>
    <i r="1">
      <x v="1"/>
    </i>
    <i r="2">
      <x v="4"/>
    </i>
    <i r="3">
      <x v="4"/>
    </i>
    <i r="3">
      <x v="5"/>
    </i>
    <i r="3">
      <x v="6"/>
    </i>
    <i r="3">
      <x v="150"/>
    </i>
    <i r="3">
      <x v="151"/>
    </i>
    <i r="3">
      <x v="164"/>
    </i>
    <i t="blank" r="2">
      <x v="4"/>
    </i>
    <i>
      <x v="2"/>
    </i>
    <i r="1">
      <x v="2"/>
    </i>
    <i r="2">
      <x v="6"/>
    </i>
    <i r="3">
      <x v="170"/>
    </i>
    <i r="3">
      <x v="171"/>
    </i>
    <i r="3">
      <x v="172"/>
    </i>
    <i r="3">
      <x v="173"/>
    </i>
    <i t="blank" r="2">
      <x v="6"/>
    </i>
    <i r="1">
      <x v="3"/>
    </i>
    <i r="2">
      <x v="7"/>
    </i>
    <i r="3">
      <x v="26"/>
    </i>
    <i r="3">
      <x v="27"/>
    </i>
    <i r="3">
      <x v="45"/>
    </i>
    <i r="3">
      <x v="46"/>
    </i>
    <i t="blank" r="2">
      <x v="7"/>
    </i>
    <i r="2">
      <x v="8"/>
    </i>
    <i r="3">
      <x v="28"/>
    </i>
    <i r="3">
      <x v="29"/>
    </i>
    <i t="blank" r="2">
      <x v="8"/>
    </i>
    <i r="2">
      <x v="9"/>
    </i>
    <i r="3">
      <x v="7"/>
    </i>
    <i r="3">
      <x v="8"/>
    </i>
    <i t="blank" r="2">
      <x v="9"/>
    </i>
    <i r="1">
      <x v="4"/>
    </i>
    <i r="2">
      <x v="10"/>
    </i>
    <i r="3">
      <x v="30"/>
    </i>
    <i r="3">
      <x v="31"/>
    </i>
    <i t="blank" r="2">
      <x v="10"/>
    </i>
    <i r="2">
      <x v="11"/>
    </i>
    <i r="3">
      <x v="42"/>
    </i>
    <i t="blank" r="2">
      <x v="11"/>
    </i>
    <i r="2">
      <x v="12"/>
    </i>
    <i r="3">
      <x v="49"/>
    </i>
    <i r="3">
      <x v="50"/>
    </i>
    <i r="3">
      <x v="51"/>
    </i>
    <i r="3">
      <x v="54"/>
    </i>
    <i t="blank" r="2">
      <x v="12"/>
    </i>
    <i>
      <x v="3"/>
    </i>
    <i r="1">
      <x v="5"/>
    </i>
    <i r="2">
      <x v="14"/>
    </i>
    <i r="3">
      <x v="60"/>
    </i>
    <i r="3">
      <x v="62"/>
    </i>
    <i r="3">
      <x v="64"/>
    </i>
    <i r="3">
      <x v="165"/>
    </i>
    <i t="blank" r="2">
      <x v="14"/>
    </i>
    <i r="2">
      <x v="15"/>
    </i>
    <i r="3">
      <x v="61"/>
    </i>
    <i r="3">
      <x v="65"/>
    </i>
    <i t="blank" r="2">
      <x v="15"/>
    </i>
    <i r="2">
      <x v="16"/>
    </i>
    <i r="3">
      <x v="47"/>
    </i>
    <i r="3">
      <x v="48"/>
    </i>
    <i r="3">
      <x v="52"/>
    </i>
    <i r="3">
      <x v="53"/>
    </i>
    <i t="blank" r="2">
      <x v="16"/>
    </i>
    <i r="2">
      <x v="17"/>
    </i>
    <i r="3">
      <x v="69"/>
    </i>
    <i r="3">
      <x v="93"/>
    </i>
    <i t="blank" r="2">
      <x v="17"/>
    </i>
    <i r="1">
      <x v="6"/>
    </i>
    <i r="2">
      <x v="18"/>
    </i>
    <i r="3">
      <x v="9"/>
    </i>
    <i r="3">
      <x v="130"/>
    </i>
    <i r="3">
      <x v="131"/>
    </i>
    <i t="blank" r="2">
      <x v="18"/>
    </i>
    <i r="2">
      <x v="19"/>
    </i>
    <i r="3">
      <x v="129"/>
    </i>
    <i t="blank" r="2">
      <x v="19"/>
    </i>
    <i r="2">
      <x v="67"/>
    </i>
    <i r="3">
      <x v="140"/>
    </i>
    <i t="blank" r="2">
      <x v="67"/>
    </i>
    <i r="1">
      <x v="11"/>
    </i>
    <i r="2">
      <x v="30"/>
    </i>
    <i r="3">
      <x v="70"/>
    </i>
    <i r="3">
      <x v="71"/>
    </i>
    <i r="3">
      <x v="72"/>
    </i>
    <i r="3">
      <x v="128"/>
    </i>
    <i t="blank" r="2">
      <x v="30"/>
    </i>
    <i r="2">
      <x v="31"/>
    </i>
    <i r="3">
      <x v="159"/>
    </i>
    <i t="blank" r="2">
      <x v="31"/>
    </i>
    <i r="2">
      <x v="32"/>
    </i>
    <i r="3">
      <x v="74"/>
    </i>
    <i r="3">
      <x v="75"/>
    </i>
    <i r="3">
      <x v="76"/>
    </i>
    <i r="3">
      <x v="138"/>
    </i>
    <i r="3">
      <x v="139"/>
    </i>
    <i t="blank" r="2">
      <x v="32"/>
    </i>
    <i>
      <x v="4"/>
    </i>
    <i r="1">
      <x v="7"/>
    </i>
    <i r="2">
      <x v="34"/>
    </i>
    <i r="3">
      <x v="77"/>
    </i>
    <i r="3">
      <x v="78"/>
    </i>
    <i t="blank" r="2">
      <x v="34"/>
    </i>
    <i r="2">
      <x v="35"/>
    </i>
    <i r="3">
      <x v="79"/>
    </i>
    <i r="3">
      <x v="80"/>
    </i>
    <i t="blank" r="2">
      <x v="35"/>
    </i>
    <i r="1">
      <x v="12"/>
    </i>
    <i r="2">
      <x v="36"/>
    </i>
    <i r="3">
      <x v="81"/>
    </i>
    <i r="3">
      <x v="82"/>
    </i>
    <i t="blank" r="2">
      <x v="36"/>
    </i>
    <i r="2">
      <x v="38"/>
    </i>
    <i r="3">
      <x v="85"/>
    </i>
    <i r="3">
      <x v="86"/>
    </i>
    <i r="3">
      <x v="87"/>
    </i>
    <i t="blank" r="2">
      <x v="38"/>
    </i>
    <i r="2">
      <x v="39"/>
    </i>
    <i r="3">
      <x v="83"/>
    </i>
    <i r="3">
      <x v="84"/>
    </i>
    <i t="blank" r="2">
      <x v="39"/>
    </i>
    <i>
      <x v="5"/>
    </i>
    <i r="1">
      <x v="8"/>
    </i>
    <i r="2">
      <x v="21"/>
    </i>
    <i r="3">
      <x v="10"/>
    </i>
    <i r="3">
      <x v="11"/>
    </i>
    <i t="blank" r="2">
      <x v="21"/>
    </i>
    <i r="2">
      <x v="23"/>
    </i>
    <i r="3">
      <x v="13"/>
    </i>
    <i t="blank" r="2">
      <x v="23"/>
    </i>
    <i r="2">
      <x v="24"/>
    </i>
    <i r="3">
      <x v="35"/>
    </i>
    <i r="3">
      <x v="39"/>
    </i>
    <i t="blank" r="2">
      <x v="24"/>
    </i>
    <i r="2">
      <x v="25"/>
    </i>
    <i r="3">
      <x v="34"/>
    </i>
    <i r="3">
      <x v="36"/>
    </i>
    <i r="3">
      <x v="38"/>
    </i>
    <i r="3">
      <x v="40"/>
    </i>
    <i t="blank" r="2">
      <x v="25"/>
    </i>
    <i r="1">
      <x v="13"/>
    </i>
    <i r="2">
      <x v="40"/>
    </i>
    <i r="3">
      <x v="88"/>
    </i>
    <i r="3">
      <x v="90"/>
    </i>
    <i r="3">
      <x v="91"/>
    </i>
    <i r="3">
      <x v="92"/>
    </i>
    <i r="3">
      <x v="154"/>
    </i>
    <i t="blank" r="2">
      <x v="40"/>
    </i>
    <i r="2">
      <x v="41"/>
    </i>
    <i r="3">
      <x v="94"/>
    </i>
    <i r="3">
      <x v="95"/>
    </i>
    <i t="blank" r="2">
      <x v="41"/>
    </i>
    <i r="2">
      <x v="42"/>
    </i>
    <i r="3">
      <x v="96"/>
    </i>
    <i r="3">
      <x v="97"/>
    </i>
    <i r="3">
      <x v="155"/>
    </i>
    <i t="blank" r="2">
      <x v="42"/>
    </i>
    <i>
      <x v="6"/>
    </i>
    <i r="1">
      <x v="9"/>
    </i>
    <i r="2">
      <x v="26"/>
    </i>
    <i r="3">
      <x v="73"/>
    </i>
    <i t="blank" r="2">
      <x v="26"/>
    </i>
    <i r="2">
      <x v="27"/>
    </i>
    <i r="3">
      <x v="174"/>
    </i>
    <i r="3">
      <x v="175"/>
    </i>
    <i r="3">
      <x v="176"/>
    </i>
    <i r="3">
      <x v="177"/>
    </i>
    <i t="blank" r="2">
      <x v="27"/>
    </i>
    <i r="2">
      <x v="28"/>
    </i>
    <i r="3">
      <x v="14"/>
    </i>
    <i r="3">
      <x v="15"/>
    </i>
    <i r="3">
      <x v="16"/>
    </i>
    <i r="3">
      <x v="23"/>
    </i>
    <i r="3">
      <x v="24"/>
    </i>
    <i r="3">
      <x v="25"/>
    </i>
    <i t="blank" r="2">
      <x v="28"/>
    </i>
    <i r="2">
      <x v="29"/>
    </i>
    <i r="3">
      <x v="32"/>
    </i>
    <i t="blank" r="2">
      <x v="29"/>
    </i>
    <i r="1">
      <x v="10"/>
    </i>
    <i r="2">
      <x v="43"/>
    </i>
    <i r="3">
      <x v="98"/>
    </i>
    <i t="blank" r="2">
      <x v="43"/>
    </i>
    <i r="2">
      <x v="45"/>
    </i>
    <i r="3">
      <x v="99"/>
    </i>
    <i t="blank" r="2">
      <x v="45"/>
    </i>
    <i r="2">
      <x v="64"/>
    </i>
    <i r="3">
      <x v="103"/>
    </i>
    <i r="3">
      <x v="136"/>
    </i>
    <i r="3">
      <x v="137"/>
    </i>
    <i r="3">
      <x v="166"/>
    </i>
    <i r="3">
      <x v="167"/>
    </i>
    <i r="3">
      <x v="168"/>
    </i>
    <i r="3">
      <x v="169"/>
    </i>
    <i t="blank" r="2">
      <x v="64"/>
    </i>
    <i r="2">
      <x v="65"/>
    </i>
    <i r="3">
      <x v="104"/>
    </i>
    <i t="blank" r="2">
      <x v="65"/>
    </i>
    <i r="2">
      <x v="66"/>
    </i>
    <i r="3">
      <x v="41"/>
    </i>
    <i t="blank" r="2">
      <x v="66"/>
    </i>
    <i r="1">
      <x v="14"/>
    </i>
    <i r="2">
      <x v="47"/>
    </i>
    <i r="3">
      <x v="133"/>
    </i>
    <i r="3">
      <x v="134"/>
    </i>
    <i r="3">
      <x v="135"/>
    </i>
    <i t="blank" r="2">
      <x v="47"/>
    </i>
    <i r="2">
      <x v="49"/>
    </i>
    <i r="3">
      <x v="106"/>
    </i>
    <i t="blank" r="2">
      <x v="49"/>
    </i>
    <i r="2">
      <x v="51"/>
    </i>
    <i r="3">
      <x v="107"/>
    </i>
    <i r="3">
      <x v="108"/>
    </i>
    <i t="blank" r="2">
      <x v="51"/>
    </i>
    <i r="2">
      <x v="52"/>
    </i>
    <i r="3">
      <x v="109"/>
    </i>
    <i t="blank" r="2">
      <x v="52"/>
    </i>
    <i r="1">
      <x v="15"/>
    </i>
    <i r="2">
      <x v="53"/>
    </i>
    <i r="3">
      <x v="110"/>
    </i>
    <i t="blank" r="2">
      <x v="53"/>
    </i>
    <i r="2">
      <x v="54"/>
    </i>
    <i r="3">
      <x v="162"/>
    </i>
    <i r="3">
      <x v="163"/>
    </i>
    <i t="blank" r="2">
      <x v="54"/>
    </i>
    <i r="2">
      <x v="55"/>
    </i>
    <i r="3">
      <x v="111"/>
    </i>
    <i r="3">
      <x v="112"/>
    </i>
    <i r="3">
      <x v="113"/>
    </i>
    <i r="3">
      <x v="114"/>
    </i>
    <i t="blank" r="2">
      <x v="55"/>
    </i>
    <i r="2">
      <x v="56"/>
    </i>
    <i r="3">
      <x v="115"/>
    </i>
    <i r="3">
      <x v="152"/>
    </i>
    <i r="3">
      <x v="153"/>
    </i>
    <i r="3">
      <x v="156"/>
    </i>
    <i r="3">
      <x v="157"/>
    </i>
    <i r="3">
      <x v="158"/>
    </i>
    <i r="3">
      <x v="160"/>
    </i>
    <i r="3">
      <x v="161"/>
    </i>
    <i t="blank" r="2">
      <x v="56"/>
    </i>
    <i r="1">
      <x v="16"/>
    </i>
    <i r="2">
      <x v="57"/>
    </i>
    <i r="3">
      <x v="116"/>
    </i>
    <i t="blank" r="2">
      <x v="57"/>
    </i>
    <i r="2">
      <x v="58"/>
    </i>
    <i r="3">
      <x v="117"/>
    </i>
    <i r="3">
      <x v="118"/>
    </i>
    <i r="3">
      <x v="119"/>
    </i>
    <i t="blank" r="2">
      <x v="58"/>
    </i>
    <i r="2">
      <x v="59"/>
    </i>
    <i r="3">
      <x v="120"/>
    </i>
    <i t="blank" r="2">
      <x v="59"/>
    </i>
    <i r="1">
      <x v="17"/>
    </i>
    <i r="2">
      <x v="60"/>
    </i>
    <i r="3">
      <x v="121"/>
    </i>
    <i r="3">
      <x v="122"/>
    </i>
    <i t="blank" r="2">
      <x v="60"/>
    </i>
    <i r="2">
      <x v="61"/>
    </i>
    <i r="3">
      <x v="123"/>
    </i>
    <i t="blank" r="2">
      <x v="61"/>
    </i>
    <i r="2">
      <x v="62"/>
    </i>
    <i r="3">
      <x v="124"/>
    </i>
    <i r="3">
      <x v="125"/>
    </i>
    <i r="3">
      <x v="126"/>
    </i>
    <i r="3">
      <x v="127"/>
    </i>
    <i r="3">
      <x v="141"/>
    </i>
    <i r="3">
      <x v="142"/>
    </i>
    <i t="blank" r="2">
      <x v="62"/>
    </i>
    <i>
      <x v="7"/>
    </i>
    <i r="1">
      <x v="18"/>
    </i>
    <i r="2">
      <x v="63"/>
    </i>
    <i r="3">
      <x v="143"/>
    </i>
    <i r="3">
      <x v="144"/>
    </i>
    <i r="3">
      <x v="145"/>
    </i>
    <i r="3">
      <x v="146"/>
    </i>
    <i t="blank" r="2">
      <x v="63"/>
    </i>
    <i t="grand">
      <x/>
    </i>
  </rowItems>
  <colFields count="1">
    <field x="-2"/>
  </colFields>
  <colItems count="6">
    <i>
      <x/>
    </i>
    <i i="1">
      <x v="1"/>
    </i>
    <i i="2">
      <x v="2"/>
    </i>
    <i i="3">
      <x v="3"/>
    </i>
    <i i="4">
      <x v="4"/>
    </i>
    <i i="5">
      <x v="5"/>
    </i>
  </colItems>
  <pageFields count="1">
    <pageField fld="7" hier="-1"/>
  </pageFields>
  <dataFields count="6">
    <dataField name="Sum of 2021" fld="10" baseField="5" baseItem="27" numFmtId="4"/>
    <dataField name="Sum of 2022" fld="19" baseField="5" baseItem="59" numFmtId="4"/>
    <dataField name="Sum of 2023" fld="28" baseField="5" baseItem="59" numFmtId="4"/>
    <dataField name="Sum of 2024" fld="37" baseField="5" baseItem="59" numFmtId="4"/>
    <dataField name="Sum of 2025" fld="46" baseField="5" baseItem="59" numFmtId="4"/>
    <dataField name="Sum of Cost sumar activitate 2021-2025" fld="54" baseField="5" baseItem="41" numFmtId="4"/>
  </dataFields>
  <formats count="166">
    <format dxfId="1235">
      <pivotArea type="all" dataOnly="0" outline="0" fieldPosition="0"/>
    </format>
    <format dxfId="1234">
      <pivotArea outline="0" collapsedLevelsAreSubtotals="1" fieldPosition="0"/>
    </format>
    <format dxfId="1233">
      <pivotArea field="2" type="button" dataOnly="0" labelOnly="1" outline="0" axis="axisRow" fieldPosition="0"/>
    </format>
    <format dxfId="1232">
      <pivotArea dataOnly="0" labelOnly="1" fieldPosition="0">
        <references count="1">
          <reference field="2" count="0"/>
        </references>
      </pivotArea>
    </format>
    <format dxfId="1231">
      <pivotArea dataOnly="0" labelOnly="1" grandRow="1" outline="0" fieldPosition="0"/>
    </format>
    <format dxfId="1230">
      <pivotArea dataOnly="0" labelOnly="1" fieldPosition="0">
        <references count="2">
          <reference field="2" count="1" selected="0">
            <x v="0"/>
          </reference>
          <reference field="3" count="0"/>
        </references>
      </pivotArea>
    </format>
    <format dxfId="1229">
      <pivotArea dataOnly="0" labelOnly="1" fieldPosition="0">
        <references count="3">
          <reference field="2" count="1" selected="0">
            <x v="0"/>
          </reference>
          <reference field="3" count="1" selected="0">
            <x v="0"/>
          </reference>
          <reference field="4" count="0"/>
        </references>
      </pivotArea>
    </format>
    <format dxfId="1228">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227">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57"/>
          </reference>
        </references>
      </pivotArea>
    </format>
    <format dxfId="1226">
      <pivotArea dataOnly="0" labelOnly="1" outline="0" fieldPosition="0">
        <references count="1">
          <reference field="4294967294" count="5">
            <x v="0"/>
            <x v="1"/>
            <x v="2"/>
            <x v="3"/>
            <x v="4"/>
          </reference>
        </references>
      </pivotArea>
    </format>
    <format dxfId="1225">
      <pivotArea dataOnly="0" outline="0" fieldPosition="0">
        <references count="1">
          <reference field="4294967294" count="1">
            <x v="4"/>
          </reference>
        </references>
      </pivotArea>
    </format>
    <format dxfId="1224">
      <pivotArea outline="0" collapsedLevelsAreSubtotals="1" fieldPosition="0"/>
    </format>
    <format dxfId="1223">
      <pivotArea dataOnly="0" labelOnly="1" outline="0" fieldPosition="0">
        <references count="1">
          <reference field="4294967294" count="5">
            <x v="0"/>
            <x v="1"/>
            <x v="2"/>
            <x v="3"/>
            <x v="4"/>
          </reference>
        </references>
      </pivotArea>
    </format>
    <format dxfId="1222">
      <pivotArea outline="0" collapsedLevelsAreSubtotals="1" fieldPosition="0"/>
    </format>
    <format dxfId="1221">
      <pivotArea dataOnly="0" labelOnly="1" outline="0" fieldPosition="0">
        <references count="1">
          <reference field="4294967294" count="5">
            <x v="0"/>
            <x v="1"/>
            <x v="2"/>
            <x v="3"/>
            <x v="4"/>
          </reference>
        </references>
      </pivotArea>
    </format>
    <format dxfId="1220">
      <pivotArea field="2" type="button" dataOnly="0" labelOnly="1" outline="0" axis="axisRow" fieldPosition="0"/>
    </format>
    <format dxfId="1219">
      <pivotArea dataOnly="0" labelOnly="1" fieldPosition="0">
        <references count="1">
          <reference field="2" count="0"/>
        </references>
      </pivotArea>
    </format>
    <format dxfId="1218">
      <pivotArea dataOnly="0" labelOnly="1" grandRow="1" outline="0" fieldPosition="0"/>
    </format>
    <format dxfId="1217">
      <pivotArea dataOnly="0" labelOnly="1" fieldPosition="0">
        <references count="2">
          <reference field="2" count="1" selected="0">
            <x v="0"/>
          </reference>
          <reference field="3" count="0"/>
        </references>
      </pivotArea>
    </format>
    <format dxfId="1216">
      <pivotArea dataOnly="0" labelOnly="1" fieldPosition="0">
        <references count="3">
          <reference field="2" count="1" selected="0">
            <x v="0"/>
          </reference>
          <reference field="3" count="1" selected="0">
            <x v="0"/>
          </reference>
          <reference field="4" count="0"/>
        </references>
      </pivotArea>
    </format>
    <format dxfId="1215">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214">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57"/>
          </reference>
        </references>
      </pivotArea>
    </format>
    <format dxfId="1213">
      <pivotArea type="all" dataOnly="0" outline="0" fieldPosition="0"/>
    </format>
    <format dxfId="1212">
      <pivotArea outline="0" collapsedLevelsAreSubtotals="1" fieldPosition="0"/>
    </format>
    <format dxfId="1211">
      <pivotArea field="2" type="button" dataOnly="0" labelOnly="1" outline="0" axis="axisRow" fieldPosition="0"/>
    </format>
    <format dxfId="1210">
      <pivotArea dataOnly="0" labelOnly="1" fieldPosition="0">
        <references count="1">
          <reference field="2" count="0"/>
        </references>
      </pivotArea>
    </format>
    <format dxfId="1209">
      <pivotArea dataOnly="0" labelOnly="1" grandRow="1" outline="0" fieldPosition="0"/>
    </format>
    <format dxfId="1208">
      <pivotArea dataOnly="0" labelOnly="1" fieldPosition="0">
        <references count="2">
          <reference field="2" count="1" selected="0">
            <x v="0"/>
          </reference>
          <reference field="3" count="0"/>
        </references>
      </pivotArea>
    </format>
    <format dxfId="1207">
      <pivotArea dataOnly="0" labelOnly="1" fieldPosition="0">
        <references count="3">
          <reference field="2" count="1" selected="0">
            <x v="0"/>
          </reference>
          <reference field="3" count="1" selected="0">
            <x v="0"/>
          </reference>
          <reference field="4" count="0"/>
        </references>
      </pivotArea>
    </format>
    <format dxfId="1206">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205">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204">
      <pivotArea dataOnly="0" labelOnly="1" outline="0" fieldPosition="0">
        <references count="1">
          <reference field="4294967294" count="5">
            <x v="0"/>
            <x v="1"/>
            <x v="2"/>
            <x v="3"/>
            <x v="4"/>
          </reference>
        </references>
      </pivotArea>
    </format>
    <format dxfId="1203">
      <pivotArea outline="0" collapsedLevelsAreSubtotals="1" fieldPosition="0">
        <references count="1">
          <reference field="4294967294" count="1" selected="0">
            <x v="4"/>
          </reference>
        </references>
      </pivotArea>
    </format>
    <format dxfId="1202">
      <pivotArea dataOnly="0" labelOnly="1" outline="0" fieldPosition="0">
        <references count="1">
          <reference field="4294967294" count="1">
            <x v="4"/>
          </reference>
        </references>
      </pivotArea>
    </format>
    <format dxfId="1201">
      <pivotArea outline="0" fieldPosition="0">
        <references count="1">
          <reference field="4294967294" count="1">
            <x v="0"/>
          </reference>
        </references>
      </pivotArea>
    </format>
    <format dxfId="1200">
      <pivotArea outline="0" fieldPosition="0">
        <references count="1">
          <reference field="4294967294" count="1">
            <x v="1"/>
          </reference>
        </references>
      </pivotArea>
    </format>
    <format dxfId="1199">
      <pivotArea outline="0" fieldPosition="0">
        <references count="1">
          <reference field="4294967294" count="1">
            <x v="2"/>
          </reference>
        </references>
      </pivotArea>
    </format>
    <format dxfId="1198">
      <pivotArea outline="0" fieldPosition="0">
        <references count="1">
          <reference field="4294967294" count="1">
            <x v="3"/>
          </reference>
        </references>
      </pivotArea>
    </format>
    <format dxfId="1197">
      <pivotArea outline="0" fieldPosition="0">
        <references count="1">
          <reference field="4294967294" count="1">
            <x v="4"/>
          </reference>
        </references>
      </pivotArea>
    </format>
    <format dxfId="1196">
      <pivotArea type="all" dataOnly="0" outline="0" fieldPosition="0"/>
    </format>
    <format dxfId="1195">
      <pivotArea outline="0" collapsedLevelsAreSubtotals="1" fieldPosition="0"/>
    </format>
    <format dxfId="1194">
      <pivotArea field="2" type="button" dataOnly="0" labelOnly="1" outline="0" axis="axisRow" fieldPosition="0"/>
    </format>
    <format dxfId="1193">
      <pivotArea dataOnly="0" labelOnly="1" fieldPosition="0">
        <references count="1">
          <reference field="2" count="0"/>
        </references>
      </pivotArea>
    </format>
    <format dxfId="1192">
      <pivotArea dataOnly="0" labelOnly="1" grandRow="1" outline="0" fieldPosition="0"/>
    </format>
    <format dxfId="1191">
      <pivotArea dataOnly="0" labelOnly="1" fieldPosition="0">
        <references count="2">
          <reference field="2" count="1" selected="0">
            <x v="0"/>
          </reference>
          <reference field="3" count="0"/>
        </references>
      </pivotArea>
    </format>
    <format dxfId="1190">
      <pivotArea dataOnly="0" labelOnly="1" fieldPosition="0">
        <references count="3">
          <reference field="2" count="1" selected="0">
            <x v="0"/>
          </reference>
          <reference field="3" count="1" selected="0">
            <x v="0"/>
          </reference>
          <reference field="4" count="0"/>
        </references>
      </pivotArea>
    </format>
    <format dxfId="1189">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188">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187">
      <pivotArea dataOnly="0" labelOnly="1" outline="0" fieldPosition="0">
        <references count="1">
          <reference field="4294967294" count="5">
            <x v="0"/>
            <x v="1"/>
            <x v="2"/>
            <x v="3"/>
            <x v="4"/>
          </reference>
        </references>
      </pivotArea>
    </format>
    <format dxfId="1186">
      <pivotArea outline="0" collapsedLevelsAreSubtotals="1" fieldPosition="0">
        <references count="1">
          <reference field="4294967294" count="1" selected="0">
            <x v="5"/>
          </reference>
        </references>
      </pivotArea>
    </format>
    <format dxfId="1185">
      <pivotArea dataOnly="0" labelOnly="1" outline="0" fieldPosition="0">
        <references count="1">
          <reference field="4294967294" count="1">
            <x v="5"/>
          </reference>
        </references>
      </pivotArea>
    </format>
    <format dxfId="1184">
      <pivotArea type="all" dataOnly="0" outline="0" fieldPosition="0"/>
    </format>
    <format dxfId="1183">
      <pivotArea outline="0" collapsedLevelsAreSubtotals="1" fieldPosition="0"/>
    </format>
    <format dxfId="1182">
      <pivotArea field="2" type="button" dataOnly="0" labelOnly="1" outline="0" axis="axisRow" fieldPosition="0"/>
    </format>
    <format dxfId="1181">
      <pivotArea dataOnly="0" labelOnly="1" fieldPosition="0">
        <references count="1">
          <reference field="2" count="0"/>
        </references>
      </pivotArea>
    </format>
    <format dxfId="1180">
      <pivotArea dataOnly="0" labelOnly="1" grandRow="1" outline="0" fieldPosition="0"/>
    </format>
    <format dxfId="1179">
      <pivotArea dataOnly="0" labelOnly="1" fieldPosition="0">
        <references count="2">
          <reference field="2" count="1" selected="0">
            <x v="0"/>
          </reference>
          <reference field="3" count="0"/>
        </references>
      </pivotArea>
    </format>
    <format dxfId="1178">
      <pivotArea dataOnly="0" labelOnly="1" fieldPosition="0">
        <references count="3">
          <reference field="2" count="1" selected="0">
            <x v="0"/>
          </reference>
          <reference field="3" count="1" selected="0">
            <x v="0"/>
          </reference>
          <reference field="4" count="0"/>
        </references>
      </pivotArea>
    </format>
    <format dxfId="1177">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176">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175">
      <pivotArea dataOnly="0" labelOnly="1" outline="0" fieldPosition="0">
        <references count="1">
          <reference field="4294967294" count="6">
            <x v="0"/>
            <x v="1"/>
            <x v="2"/>
            <x v="3"/>
            <x v="4"/>
            <x v="5"/>
          </reference>
        </references>
      </pivotArea>
    </format>
    <format dxfId="1174">
      <pivotArea dataOnly="0" labelOnly="1" fieldPosition="0">
        <references count="3">
          <reference field="2" count="1" selected="0">
            <x v="0"/>
          </reference>
          <reference field="3" count="1" selected="0">
            <x v="0"/>
          </reference>
          <reference field="4" count="0"/>
        </references>
      </pivotArea>
    </format>
    <format dxfId="1173">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172">
      <pivotArea dataOnly="0" labelOnly="1" fieldPosition="0">
        <references count="4">
          <reference field="2" count="1" selected="0">
            <x v="5"/>
          </reference>
          <reference field="3" count="1" selected="0">
            <x v="13"/>
          </reference>
          <reference field="4" count="1" selected="0">
            <x v="41"/>
          </reference>
          <reference field="5" count="36">
            <x v="14"/>
            <x v="15"/>
            <x v="16"/>
            <x v="23"/>
            <x v="24"/>
            <x v="25"/>
            <x v="32"/>
            <x v="41"/>
            <x v="73"/>
            <x v="95"/>
            <x v="98"/>
            <x v="99"/>
            <x v="100"/>
            <x v="101"/>
            <x v="102"/>
            <x v="103"/>
            <x v="104"/>
            <x v="105"/>
            <x v="106"/>
            <x v="107"/>
            <x v="108"/>
            <x v="109"/>
            <x v="110"/>
            <x v="111"/>
            <x v="112"/>
            <x v="113"/>
            <x v="114"/>
            <x v="115"/>
            <x v="116"/>
            <x v="119"/>
            <x v="120"/>
            <x v="121"/>
            <x v="122"/>
            <x v="123"/>
            <x v="124"/>
            <x v="125"/>
          </reference>
        </references>
      </pivotArea>
    </format>
    <format dxfId="1171">
      <pivotArea dataOnly="0" labelOnly="1" fieldPosition="0">
        <references count="3">
          <reference field="2" count="1" selected="0">
            <x v="0"/>
          </reference>
          <reference field="3" count="1" selected="0">
            <x v="0"/>
          </reference>
          <reference field="4" count="50">
            <x v="0"/>
            <x v="1"/>
            <x v="2"/>
            <x v="3"/>
            <x v="4"/>
            <x v="5"/>
            <x v="6"/>
            <x v="7"/>
            <x v="8"/>
            <x v="9"/>
            <x v="10"/>
            <x v="11"/>
            <x v="12"/>
            <x v="13"/>
            <x v="14"/>
            <x v="15"/>
            <x v="16"/>
            <x v="17"/>
            <x v="18"/>
            <x v="19"/>
            <x v="20"/>
            <x v="21"/>
            <x v="22"/>
            <x v="23"/>
            <x v="24"/>
            <x v="25"/>
            <x v="26"/>
            <x v="27"/>
            <x v="28"/>
            <x v="29"/>
            <x v="30"/>
            <x v="31"/>
            <x v="32"/>
            <x v="33"/>
            <x v="34"/>
            <x v="35"/>
            <x v="36"/>
            <x v="38"/>
            <x v="39"/>
            <x v="40"/>
            <x v="41"/>
            <x v="42"/>
            <x v="43"/>
            <x v="44"/>
            <x v="45"/>
            <x v="46"/>
            <x v="47"/>
            <x v="64"/>
            <x v="65"/>
            <x v="66"/>
          </reference>
        </references>
      </pivotArea>
    </format>
    <format dxfId="1170">
      <pivotArea dataOnly="0" labelOnly="1" fieldPosition="0">
        <references count="4">
          <reference field="2" count="1" selected="0">
            <x v="5"/>
          </reference>
          <reference field="3" count="1" selected="0">
            <x v="13"/>
          </reference>
          <reference field="4" count="1" selected="0">
            <x v="41"/>
          </reference>
          <reference field="5" count="36">
            <x v="14"/>
            <x v="15"/>
            <x v="16"/>
            <x v="23"/>
            <x v="24"/>
            <x v="25"/>
            <x v="32"/>
            <x v="41"/>
            <x v="73"/>
            <x v="98"/>
            <x v="99"/>
            <x v="100"/>
            <x v="101"/>
            <x v="102"/>
            <x v="103"/>
            <x v="104"/>
            <x v="105"/>
            <x v="106"/>
            <x v="107"/>
            <x v="108"/>
            <x v="109"/>
            <x v="110"/>
            <x v="111"/>
            <x v="112"/>
            <x v="113"/>
            <x v="114"/>
            <x v="115"/>
            <x v="116"/>
            <x v="119"/>
            <x v="120"/>
            <x v="121"/>
            <x v="122"/>
            <x v="123"/>
            <x v="124"/>
            <x v="125"/>
            <x v="126"/>
          </reference>
        </references>
      </pivotArea>
    </format>
    <format dxfId="1169">
      <pivotArea field="2" type="button" dataOnly="0" labelOnly="1" outline="0" axis="axisRow" fieldPosition="0"/>
    </format>
    <format dxfId="1168">
      <pivotArea dataOnly="0" labelOnly="1" fieldPosition="0">
        <references count="1">
          <reference field="2" count="0"/>
        </references>
      </pivotArea>
    </format>
    <format dxfId="1167">
      <pivotArea dataOnly="0" labelOnly="1" grandRow="1" outline="0" fieldPosition="0"/>
    </format>
    <format dxfId="1166">
      <pivotArea dataOnly="0" labelOnly="1" fieldPosition="0">
        <references count="2">
          <reference field="2" count="1" selected="0">
            <x v="0"/>
          </reference>
          <reference field="3" count="0"/>
        </references>
      </pivotArea>
    </format>
    <format dxfId="1165">
      <pivotArea dataOnly="0" labelOnly="1" fieldPosition="0">
        <references count="3">
          <reference field="2" count="1" selected="0">
            <x v="0"/>
          </reference>
          <reference field="3" count="1" selected="0">
            <x v="0"/>
          </reference>
          <reference field="4" count="25">
            <x v="0"/>
            <x v="1"/>
            <x v="2"/>
            <x v="3"/>
            <x v="4"/>
            <x v="5"/>
            <x v="6"/>
            <x v="7"/>
            <x v="8"/>
            <x v="9"/>
            <x v="10"/>
            <x v="11"/>
            <x v="12"/>
            <x v="13"/>
            <x v="14"/>
            <x v="15"/>
            <x v="16"/>
            <x v="17"/>
            <x v="18"/>
            <x v="19"/>
            <x v="20"/>
            <x v="30"/>
            <x v="31"/>
            <x v="32"/>
            <x v="33"/>
          </reference>
        </references>
      </pivotArea>
    </format>
    <format dxfId="1164">
      <pivotArea dataOnly="0" labelOnly="1" fieldPosition="0">
        <references count="3">
          <reference field="2" count="1" selected="0">
            <x v="4"/>
          </reference>
          <reference field="3" count="1" selected="0">
            <x v="7"/>
          </reference>
          <reference field="4" count="25">
            <x v="21"/>
            <x v="22"/>
            <x v="23"/>
            <x v="24"/>
            <x v="25"/>
            <x v="26"/>
            <x v="27"/>
            <x v="28"/>
            <x v="29"/>
            <x v="34"/>
            <x v="35"/>
            <x v="36"/>
            <x v="38"/>
            <x v="39"/>
            <x v="40"/>
            <x v="41"/>
            <x v="42"/>
            <x v="43"/>
            <x v="44"/>
            <x v="45"/>
            <x v="46"/>
            <x v="47"/>
            <x v="64"/>
            <x v="65"/>
            <x v="66"/>
          </reference>
        </references>
      </pivotArea>
    </format>
    <format dxfId="1163">
      <pivotArea dataOnly="0" labelOnly="1" fieldPosition="0">
        <references count="3">
          <reference field="2" count="1" selected="0">
            <x v="6"/>
          </reference>
          <reference field="3" count="1" selected="0">
            <x v="14"/>
          </reference>
          <reference field="4" count="15">
            <x v="48"/>
            <x v="49"/>
            <x v="51"/>
            <x v="52"/>
            <x v="53"/>
            <x v="54"/>
            <x v="55"/>
            <x v="56"/>
            <x v="57"/>
            <x v="58"/>
            <x v="59"/>
            <x v="60"/>
            <x v="61"/>
            <x v="62"/>
            <x v="63"/>
          </reference>
        </references>
      </pivotArea>
    </format>
    <format dxfId="1162">
      <pivotArea dataOnly="0" labelOnly="1" fieldPosition="0">
        <references count="4">
          <reference field="2" count="1" selected="0">
            <x v="0"/>
          </reference>
          <reference field="3" count="1" selected="0">
            <x v="0"/>
          </reference>
          <reference field="4" count="1" selected="0">
            <x v="0"/>
          </reference>
          <reference field="5" count="46">
            <x v="0"/>
            <x v="1"/>
            <x v="2"/>
            <x v="3"/>
            <x v="4"/>
            <x v="5"/>
            <x v="6"/>
            <x v="7"/>
            <x v="8"/>
            <x v="9"/>
            <x v="26"/>
            <x v="27"/>
            <x v="28"/>
            <x v="29"/>
            <x v="30"/>
            <x v="31"/>
            <x v="42"/>
            <x v="43"/>
            <x v="44"/>
            <x v="45"/>
            <x v="46"/>
            <x v="47"/>
            <x v="48"/>
            <x v="49"/>
            <x v="50"/>
            <x v="51"/>
            <x v="52"/>
            <x v="53"/>
            <x v="54"/>
            <x v="55"/>
            <x v="56"/>
            <x v="57"/>
            <x v="58"/>
            <x v="59"/>
            <x v="60"/>
            <x v="61"/>
            <x v="62"/>
            <x v="63"/>
            <x v="64"/>
            <x v="65"/>
            <x v="66"/>
            <x v="68"/>
            <x v="69"/>
            <x v="93"/>
            <x v="130"/>
            <x v="131"/>
          </reference>
        </references>
      </pivotArea>
    </format>
    <format dxfId="1161">
      <pivotArea dataOnly="0" labelOnly="1" fieldPosition="0">
        <references count="4">
          <reference field="2" count="1" selected="0">
            <x v="3"/>
          </reference>
          <reference field="3" count="1" selected="0">
            <x v="6"/>
          </reference>
          <reference field="4" count="1" selected="0">
            <x v="19"/>
          </reference>
          <reference field="5" count="45">
            <x v="10"/>
            <x v="11"/>
            <x v="12"/>
            <x v="13"/>
            <x v="17"/>
            <x v="18"/>
            <x v="19"/>
            <x v="20"/>
            <x v="21"/>
            <x v="22"/>
            <x v="33"/>
            <x v="34"/>
            <x v="35"/>
            <x v="36"/>
            <x v="37"/>
            <x v="38"/>
            <x v="39"/>
            <x v="40"/>
            <x v="67"/>
            <x v="70"/>
            <x v="71"/>
            <x v="72"/>
            <x v="74"/>
            <x v="75"/>
            <x v="76"/>
            <x v="77"/>
            <x v="78"/>
            <x v="79"/>
            <x v="80"/>
            <x v="81"/>
            <x v="82"/>
            <x v="83"/>
            <x v="84"/>
            <x v="85"/>
            <x v="86"/>
            <x v="87"/>
            <x v="88"/>
            <x v="89"/>
            <x v="90"/>
            <x v="91"/>
            <x v="92"/>
            <x v="95"/>
            <x v="128"/>
            <x v="129"/>
            <x v="138"/>
          </reference>
        </references>
      </pivotArea>
    </format>
    <format dxfId="1160">
      <pivotArea dataOnly="0" labelOnly="1" fieldPosition="0">
        <references count="4">
          <reference field="2" count="1" selected="0">
            <x v="5"/>
          </reference>
          <reference field="3" count="1" selected="0">
            <x v="13"/>
          </reference>
          <reference field="4" count="1" selected="0">
            <x v="41"/>
          </reference>
          <reference field="5" count="36">
            <x v="14"/>
            <x v="15"/>
            <x v="16"/>
            <x v="23"/>
            <x v="24"/>
            <x v="25"/>
            <x v="32"/>
            <x v="41"/>
            <x v="73"/>
            <x v="94"/>
            <x v="96"/>
            <x v="97"/>
            <x v="98"/>
            <x v="99"/>
            <x v="100"/>
            <x v="101"/>
            <x v="102"/>
            <x v="103"/>
            <x v="104"/>
            <x v="105"/>
            <x v="106"/>
            <x v="107"/>
            <x v="108"/>
            <x v="109"/>
            <x v="110"/>
            <x v="111"/>
            <x v="112"/>
            <x v="113"/>
            <x v="114"/>
            <x v="115"/>
            <x v="116"/>
            <x v="119"/>
            <x v="120"/>
            <x v="121"/>
            <x v="122"/>
            <x v="123"/>
          </reference>
        </references>
      </pivotArea>
    </format>
    <format dxfId="1159">
      <pivotArea dataOnly="0" labelOnly="1" fieldPosition="0">
        <references count="4">
          <reference field="2" count="1" selected="0">
            <x v="6"/>
          </reference>
          <reference field="3" count="1" selected="0">
            <x v="17"/>
          </reference>
          <reference field="4" count="1" selected="0">
            <x v="62"/>
          </reference>
          <reference field="5" count="4">
            <x v="124"/>
            <x v="125"/>
            <x v="126"/>
            <x v="127"/>
          </reference>
        </references>
      </pivotArea>
    </format>
    <format dxfId="1158">
      <pivotArea field="2" type="button" dataOnly="0" labelOnly="1" outline="0" axis="axisRow" fieldPosition="0"/>
    </format>
    <format dxfId="1157">
      <pivotArea dataOnly="0" labelOnly="1" fieldPosition="0">
        <references count="1">
          <reference field="2" count="0"/>
        </references>
      </pivotArea>
    </format>
    <format dxfId="1156">
      <pivotArea dataOnly="0" labelOnly="1" grandRow="1" outline="0" fieldPosition="0"/>
    </format>
    <format dxfId="1155">
      <pivotArea dataOnly="0" labelOnly="1" fieldPosition="0">
        <references count="2">
          <reference field="2" count="1" selected="0">
            <x v="0"/>
          </reference>
          <reference field="3" count="1">
            <x v="0"/>
          </reference>
        </references>
      </pivotArea>
    </format>
    <format dxfId="1154">
      <pivotArea dataOnly="0" labelOnly="1" fieldPosition="0">
        <references count="2">
          <reference field="2" count="1" selected="0">
            <x v="1"/>
          </reference>
          <reference field="3" count="1">
            <x v="1"/>
          </reference>
        </references>
      </pivotArea>
    </format>
    <format dxfId="1153">
      <pivotArea dataOnly="0" labelOnly="1" fieldPosition="0">
        <references count="2">
          <reference field="2" count="1" selected="0">
            <x v="2"/>
          </reference>
          <reference field="3" count="3">
            <x v="2"/>
            <x v="3"/>
            <x v="4"/>
          </reference>
        </references>
      </pivotArea>
    </format>
    <format dxfId="1152">
      <pivotArea dataOnly="0" labelOnly="1" fieldPosition="0">
        <references count="2">
          <reference field="2" count="1" selected="0">
            <x v="3"/>
          </reference>
          <reference field="3" count="3">
            <x v="5"/>
            <x v="6"/>
            <x v="11"/>
          </reference>
        </references>
      </pivotArea>
    </format>
    <format dxfId="1151">
      <pivotArea dataOnly="0" labelOnly="1" fieldPosition="0">
        <references count="2">
          <reference field="2" count="1" selected="0">
            <x v="4"/>
          </reference>
          <reference field="3" count="2">
            <x v="7"/>
            <x v="12"/>
          </reference>
        </references>
      </pivotArea>
    </format>
    <format dxfId="1150">
      <pivotArea dataOnly="0" labelOnly="1" fieldPosition="0">
        <references count="2">
          <reference field="2" count="1" selected="0">
            <x v="5"/>
          </reference>
          <reference field="3" count="2">
            <x v="8"/>
            <x v="13"/>
          </reference>
        </references>
      </pivotArea>
    </format>
    <format dxfId="1149">
      <pivotArea dataOnly="0" labelOnly="1" fieldPosition="0">
        <references count="2">
          <reference field="2" count="1" selected="0">
            <x v="6"/>
          </reference>
          <reference field="3" count="6">
            <x v="9"/>
            <x v="10"/>
            <x v="14"/>
            <x v="15"/>
            <x v="16"/>
            <x v="17"/>
          </reference>
        </references>
      </pivotArea>
    </format>
    <format dxfId="1148">
      <pivotArea dataOnly="0" labelOnly="1" fieldPosition="0">
        <references count="2">
          <reference field="2" count="1" selected="0">
            <x v="7"/>
          </reference>
          <reference field="3" count="1">
            <x v="18"/>
          </reference>
        </references>
      </pivotArea>
    </format>
    <format dxfId="1147">
      <pivotArea dataOnly="0" labelOnly="1" fieldPosition="0">
        <references count="3">
          <reference field="2" count="1" selected="0">
            <x v="0"/>
          </reference>
          <reference field="3" count="1" selected="0">
            <x v="0"/>
          </reference>
          <reference field="4" count="1">
            <x v="0"/>
          </reference>
        </references>
      </pivotArea>
    </format>
    <format dxfId="1146">
      <pivotArea dataOnly="0" labelOnly="1" fieldPosition="0">
        <references count="3">
          <reference field="2" count="1" selected="0">
            <x v="1"/>
          </reference>
          <reference field="3" count="1" selected="0">
            <x v="1"/>
          </reference>
          <reference field="4" count="5">
            <x v="1"/>
            <x v="2"/>
            <x v="3"/>
            <x v="4"/>
            <x v="5"/>
          </reference>
        </references>
      </pivotArea>
    </format>
    <format dxfId="1145">
      <pivotArea dataOnly="0" labelOnly="1" fieldPosition="0">
        <references count="3">
          <reference field="2" count="1" selected="0">
            <x v="2"/>
          </reference>
          <reference field="3" count="1" selected="0">
            <x v="2"/>
          </reference>
          <reference field="4" count="1">
            <x v="6"/>
          </reference>
        </references>
      </pivotArea>
    </format>
    <format dxfId="1144">
      <pivotArea dataOnly="0" labelOnly="1" fieldPosition="0">
        <references count="3">
          <reference field="2" count="1" selected="0">
            <x v="2"/>
          </reference>
          <reference field="3" count="1" selected="0">
            <x v="3"/>
          </reference>
          <reference field="4" count="3">
            <x v="7"/>
            <x v="8"/>
            <x v="9"/>
          </reference>
        </references>
      </pivotArea>
    </format>
    <format dxfId="1143">
      <pivotArea dataOnly="0" labelOnly="1" fieldPosition="0">
        <references count="3">
          <reference field="2" count="1" selected="0">
            <x v="2"/>
          </reference>
          <reference field="3" count="1" selected="0">
            <x v="4"/>
          </reference>
          <reference field="4" count="3">
            <x v="10"/>
            <x v="11"/>
            <x v="12"/>
          </reference>
        </references>
      </pivotArea>
    </format>
    <format dxfId="1142">
      <pivotArea dataOnly="0" labelOnly="1" fieldPosition="0">
        <references count="3">
          <reference field="2" count="1" selected="0">
            <x v="3"/>
          </reference>
          <reference field="3" count="1" selected="0">
            <x v="5"/>
          </reference>
          <reference field="4" count="5">
            <x v="13"/>
            <x v="14"/>
            <x v="15"/>
            <x v="16"/>
            <x v="17"/>
          </reference>
        </references>
      </pivotArea>
    </format>
    <format dxfId="1141">
      <pivotArea dataOnly="0" labelOnly="1" fieldPosition="0">
        <references count="3">
          <reference field="2" count="1" selected="0">
            <x v="3"/>
          </reference>
          <reference field="3" count="1" selected="0">
            <x v="6"/>
          </reference>
          <reference field="4" count="2">
            <x v="18"/>
            <x v="19"/>
          </reference>
        </references>
      </pivotArea>
    </format>
    <format dxfId="1140">
      <pivotArea dataOnly="0" labelOnly="1" fieldPosition="0">
        <references count="3">
          <reference field="2" count="1" selected="0">
            <x v="3"/>
          </reference>
          <reference field="3" count="1" selected="0">
            <x v="11"/>
          </reference>
          <reference field="4" count="4">
            <x v="30"/>
            <x v="31"/>
            <x v="32"/>
            <x v="33"/>
          </reference>
        </references>
      </pivotArea>
    </format>
    <format dxfId="1139">
      <pivotArea dataOnly="0" labelOnly="1" fieldPosition="0">
        <references count="3">
          <reference field="2" count="1" selected="0">
            <x v="4"/>
          </reference>
          <reference field="3" count="1" selected="0">
            <x v="7"/>
          </reference>
          <reference field="4" count="3">
            <x v="20"/>
            <x v="34"/>
            <x v="35"/>
          </reference>
        </references>
      </pivotArea>
    </format>
    <format dxfId="1138">
      <pivotArea dataOnly="0" labelOnly="1" fieldPosition="0">
        <references count="3">
          <reference field="2" count="1" selected="0">
            <x v="4"/>
          </reference>
          <reference field="3" count="1" selected="0">
            <x v="12"/>
          </reference>
          <reference field="4" count="3">
            <x v="36"/>
            <x v="38"/>
            <x v="39"/>
          </reference>
        </references>
      </pivotArea>
    </format>
    <format dxfId="1137">
      <pivotArea dataOnly="0" labelOnly="1" fieldPosition="0">
        <references count="3">
          <reference field="2" count="1" selected="0">
            <x v="5"/>
          </reference>
          <reference field="3" count="1" selected="0">
            <x v="8"/>
          </reference>
          <reference field="4" count="5">
            <x v="21"/>
            <x v="22"/>
            <x v="23"/>
            <x v="24"/>
            <x v="25"/>
          </reference>
        </references>
      </pivotArea>
    </format>
    <format dxfId="1136">
      <pivotArea dataOnly="0" labelOnly="1" fieldPosition="0">
        <references count="3">
          <reference field="2" count="1" selected="0">
            <x v="5"/>
          </reference>
          <reference field="3" count="1" selected="0">
            <x v="13"/>
          </reference>
          <reference field="4" count="3">
            <x v="40"/>
            <x v="41"/>
            <x v="42"/>
          </reference>
        </references>
      </pivotArea>
    </format>
    <format dxfId="1135">
      <pivotArea dataOnly="0" labelOnly="1" fieldPosition="0">
        <references count="3">
          <reference field="2" count="1" selected="0">
            <x v="6"/>
          </reference>
          <reference field="3" count="1" selected="0">
            <x v="9"/>
          </reference>
          <reference field="4" count="4">
            <x v="26"/>
            <x v="27"/>
            <x v="28"/>
            <x v="29"/>
          </reference>
        </references>
      </pivotArea>
    </format>
    <format dxfId="1134">
      <pivotArea dataOnly="0" labelOnly="1" fieldPosition="0">
        <references count="3">
          <reference field="2" count="1" selected="0">
            <x v="6"/>
          </reference>
          <reference field="3" count="1" selected="0">
            <x v="10"/>
          </reference>
          <reference field="4" count="7">
            <x v="43"/>
            <x v="44"/>
            <x v="45"/>
            <x v="46"/>
            <x v="64"/>
            <x v="65"/>
            <x v="66"/>
          </reference>
        </references>
      </pivotArea>
    </format>
    <format dxfId="1133">
      <pivotArea dataOnly="0" labelOnly="1" fieldPosition="0">
        <references count="3">
          <reference field="2" count="1" selected="0">
            <x v="6"/>
          </reference>
          <reference field="3" count="1" selected="0">
            <x v="14"/>
          </reference>
          <reference field="4" count="5">
            <x v="47"/>
            <x v="48"/>
            <x v="49"/>
            <x v="51"/>
            <x v="52"/>
          </reference>
        </references>
      </pivotArea>
    </format>
    <format dxfId="1132">
      <pivotArea dataOnly="0" labelOnly="1" fieldPosition="0">
        <references count="3">
          <reference field="2" count="1" selected="0">
            <x v="6"/>
          </reference>
          <reference field="3" count="1" selected="0">
            <x v="15"/>
          </reference>
          <reference field="4" count="4">
            <x v="53"/>
            <x v="54"/>
            <x v="55"/>
            <x v="56"/>
          </reference>
        </references>
      </pivotArea>
    </format>
    <format dxfId="1131">
      <pivotArea dataOnly="0" labelOnly="1" fieldPosition="0">
        <references count="3">
          <reference field="2" count="1" selected="0">
            <x v="6"/>
          </reference>
          <reference field="3" count="1" selected="0">
            <x v="16"/>
          </reference>
          <reference field="4" count="3">
            <x v="57"/>
            <x v="58"/>
            <x v="59"/>
          </reference>
        </references>
      </pivotArea>
    </format>
    <format dxfId="1130">
      <pivotArea dataOnly="0" labelOnly="1" fieldPosition="0">
        <references count="3">
          <reference field="2" count="1" selected="0">
            <x v="6"/>
          </reference>
          <reference field="3" count="1" selected="0">
            <x v="17"/>
          </reference>
          <reference field="4" count="3">
            <x v="60"/>
            <x v="61"/>
            <x v="62"/>
          </reference>
        </references>
      </pivotArea>
    </format>
    <format dxfId="1129">
      <pivotArea dataOnly="0" labelOnly="1" fieldPosition="0">
        <references count="3">
          <reference field="2" count="1" selected="0">
            <x v="7"/>
          </reference>
          <reference field="3" count="1" selected="0">
            <x v="18"/>
          </reference>
          <reference field="4" count="1">
            <x v="63"/>
          </reference>
        </references>
      </pivotArea>
    </format>
    <format dxfId="1128">
      <pivotArea dataOnly="0" labelOnly="1" fieldPosition="0">
        <references count="4">
          <reference field="2" count="1" selected="0">
            <x v="0"/>
          </reference>
          <reference field="3" count="1" selected="0">
            <x v="0"/>
          </reference>
          <reference field="4" count="1" selected="0">
            <x v="0"/>
          </reference>
          <reference field="5" count="1">
            <x v="0"/>
          </reference>
        </references>
      </pivotArea>
    </format>
    <format dxfId="1127">
      <pivotArea dataOnly="0" labelOnly="1" fieldPosition="0">
        <references count="4">
          <reference field="2" count="1" selected="0">
            <x v="1"/>
          </reference>
          <reference field="3" count="1" selected="0">
            <x v="1"/>
          </reference>
          <reference field="4" count="1" selected="0">
            <x v="1"/>
          </reference>
          <reference field="5" count="1">
            <x v="1"/>
          </reference>
        </references>
      </pivotArea>
    </format>
    <format dxfId="1126">
      <pivotArea dataOnly="0" labelOnly="1" fieldPosition="0">
        <references count="4">
          <reference field="2" count="1" selected="0">
            <x v="1"/>
          </reference>
          <reference field="3" count="1" selected="0">
            <x v="1"/>
          </reference>
          <reference field="4" count="1" selected="0">
            <x v="2"/>
          </reference>
          <reference field="5" count="1">
            <x v="2"/>
          </reference>
        </references>
      </pivotArea>
    </format>
    <format dxfId="1125">
      <pivotArea dataOnly="0" labelOnly="1" fieldPosition="0">
        <references count="4">
          <reference field="2" count="1" selected="0">
            <x v="1"/>
          </reference>
          <reference field="3" count="1" selected="0">
            <x v="1"/>
          </reference>
          <reference field="4" count="1" selected="0">
            <x v="3"/>
          </reference>
          <reference field="5" count="1">
            <x v="3"/>
          </reference>
        </references>
      </pivotArea>
    </format>
    <format dxfId="1124">
      <pivotArea dataOnly="0" labelOnly="1" fieldPosition="0">
        <references count="4">
          <reference field="2" count="1" selected="0">
            <x v="1"/>
          </reference>
          <reference field="3" count="1" selected="0">
            <x v="1"/>
          </reference>
          <reference field="4" count="1" selected="0">
            <x v="4"/>
          </reference>
          <reference field="5" count="4">
            <x v="4"/>
            <x v="5"/>
            <x v="6"/>
            <x v="68"/>
          </reference>
        </references>
      </pivotArea>
    </format>
    <format dxfId="1123">
      <pivotArea dataOnly="0" labelOnly="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1122">
      <pivotArea dataOnly="0" labelOnly="1" fieldPosition="0">
        <references count="4">
          <reference field="2" count="1" selected="0">
            <x v="2"/>
          </reference>
          <reference field="3" count="1" selected="0">
            <x v="3"/>
          </reference>
          <reference field="4" count="1" selected="0">
            <x v="8"/>
          </reference>
          <reference field="5" count="2">
            <x v="28"/>
            <x v="29"/>
          </reference>
        </references>
      </pivotArea>
    </format>
    <format dxfId="1121">
      <pivotArea dataOnly="0" labelOnly="1" fieldPosition="0">
        <references count="4">
          <reference field="2" count="1" selected="0">
            <x v="2"/>
          </reference>
          <reference field="3" count="1" selected="0">
            <x v="3"/>
          </reference>
          <reference field="4" count="1" selected="0">
            <x v="9"/>
          </reference>
          <reference field="5" count="2">
            <x v="7"/>
            <x v="8"/>
          </reference>
        </references>
      </pivotArea>
    </format>
    <format dxfId="1120">
      <pivotArea dataOnly="0" labelOnly="1" fieldPosition="0">
        <references count="4">
          <reference field="2" count="1" selected="0">
            <x v="2"/>
          </reference>
          <reference field="3" count="1" selected="0">
            <x v="4"/>
          </reference>
          <reference field="4" count="1" selected="0">
            <x v="10"/>
          </reference>
          <reference field="5" count="2">
            <x v="30"/>
            <x v="31"/>
          </reference>
        </references>
      </pivotArea>
    </format>
    <format dxfId="1119">
      <pivotArea dataOnly="0" labelOnly="1" fieldPosition="0">
        <references count="4">
          <reference field="2" count="1" selected="0">
            <x v="2"/>
          </reference>
          <reference field="3" count="1" selected="0">
            <x v="4"/>
          </reference>
          <reference field="4" count="1" selected="0">
            <x v="11"/>
          </reference>
          <reference field="5" count="1">
            <x v="42"/>
          </reference>
        </references>
      </pivotArea>
    </format>
    <format dxfId="1118">
      <pivotArea dataOnly="0" labelOnly="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1117">
      <pivotArea dataOnly="0" labelOnly="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1116">
      <pivotArea dataOnly="0" labelOnly="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1115">
      <pivotArea dataOnly="0" labelOnly="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1114">
      <pivotArea dataOnly="0" labelOnly="1" fieldPosition="0">
        <references count="4">
          <reference field="2" count="1" selected="0">
            <x v="3"/>
          </reference>
          <reference field="3" count="1" selected="0">
            <x v="5"/>
          </reference>
          <reference field="4" count="1" selected="0">
            <x v="16"/>
          </reference>
          <reference field="5" count="2">
            <x v="52"/>
            <x v="53"/>
          </reference>
        </references>
      </pivotArea>
    </format>
    <format dxfId="1113">
      <pivotArea dataOnly="0" labelOnly="1" fieldPosition="0">
        <references count="4">
          <reference field="2" count="1" selected="0">
            <x v="3"/>
          </reference>
          <reference field="3" count="1" selected="0">
            <x v="5"/>
          </reference>
          <reference field="4" count="1" selected="0">
            <x v="17"/>
          </reference>
          <reference field="5" count="2">
            <x v="69"/>
            <x v="93"/>
          </reference>
        </references>
      </pivotArea>
    </format>
    <format dxfId="1112">
      <pivotArea dataOnly="0" labelOnly="1" fieldPosition="0">
        <references count="4">
          <reference field="2" count="1" selected="0">
            <x v="3"/>
          </reference>
          <reference field="3" count="1" selected="0">
            <x v="6"/>
          </reference>
          <reference field="4" count="1" selected="0">
            <x v="18"/>
          </reference>
          <reference field="5" count="3">
            <x v="9"/>
            <x v="130"/>
            <x v="131"/>
          </reference>
        </references>
      </pivotArea>
    </format>
    <format dxfId="1111">
      <pivotArea dataOnly="0" labelOnly="1" fieldPosition="0">
        <references count="4">
          <reference field="2" count="1" selected="0">
            <x v="3"/>
          </reference>
          <reference field="3" count="1" selected="0">
            <x v="6"/>
          </reference>
          <reference field="4" count="1" selected="0">
            <x v="19"/>
          </reference>
          <reference field="5" count="1">
            <x v="129"/>
          </reference>
        </references>
      </pivotArea>
    </format>
    <format dxfId="1110">
      <pivotArea dataOnly="0" labelOnly="1" fieldPosition="0">
        <references count="4">
          <reference field="2" count="1" selected="0">
            <x v="3"/>
          </reference>
          <reference field="3" count="1" selected="0">
            <x v="11"/>
          </reference>
          <reference field="4" count="1" selected="0">
            <x v="30"/>
          </reference>
          <reference field="5" count="4">
            <x v="70"/>
            <x v="71"/>
            <x v="72"/>
            <x v="128"/>
          </reference>
        </references>
      </pivotArea>
    </format>
    <format dxfId="1109">
      <pivotArea dataOnly="0" labelOnly="1" fieldPosition="0">
        <references count="4">
          <reference field="2" count="1" selected="0">
            <x v="3"/>
          </reference>
          <reference field="3" count="1" selected="0">
            <x v="11"/>
          </reference>
          <reference field="4" count="1" selected="0">
            <x v="32"/>
          </reference>
          <reference field="5" count="4">
            <x v="74"/>
            <x v="75"/>
            <x v="76"/>
            <x v="138"/>
          </reference>
        </references>
      </pivotArea>
    </format>
    <format dxfId="1108">
      <pivotArea dataOnly="0" labelOnly="1" fieldPosition="0">
        <references count="4">
          <reference field="2" count="1" selected="0">
            <x v="4"/>
          </reference>
          <reference field="3" count="1" selected="0">
            <x v="7"/>
          </reference>
          <reference field="4" count="1" selected="0">
            <x v="20"/>
          </reference>
          <reference field="5" count="7">
            <x v="17"/>
            <x v="18"/>
            <x v="19"/>
            <x v="20"/>
            <x v="21"/>
            <x v="22"/>
            <x v="67"/>
          </reference>
        </references>
      </pivotArea>
    </format>
    <format dxfId="1107">
      <pivotArea dataOnly="0" labelOnly="1" fieldPosition="0">
        <references count="4">
          <reference field="2" count="1" selected="0">
            <x v="4"/>
          </reference>
          <reference field="3" count="1" selected="0">
            <x v="7"/>
          </reference>
          <reference field="4" count="1" selected="0">
            <x v="34"/>
          </reference>
          <reference field="5" count="2">
            <x v="77"/>
            <x v="78"/>
          </reference>
        </references>
      </pivotArea>
    </format>
    <format dxfId="1106">
      <pivotArea dataOnly="0" labelOnly="1" fieldPosition="0">
        <references count="4">
          <reference field="2" count="1" selected="0">
            <x v="4"/>
          </reference>
          <reference field="3" count="1" selected="0">
            <x v="7"/>
          </reference>
          <reference field="4" count="1" selected="0">
            <x v="35"/>
          </reference>
          <reference field="5" count="2">
            <x v="79"/>
            <x v="80"/>
          </reference>
        </references>
      </pivotArea>
    </format>
    <format dxfId="1105">
      <pivotArea dataOnly="0" labelOnly="1" fieldPosition="0">
        <references count="4">
          <reference field="2" count="1" selected="0">
            <x v="4"/>
          </reference>
          <reference field="3" count="1" selected="0">
            <x v="12"/>
          </reference>
          <reference field="4" count="1" selected="0">
            <x v="36"/>
          </reference>
          <reference field="5" count="2">
            <x v="81"/>
            <x v="82"/>
          </reference>
        </references>
      </pivotArea>
    </format>
    <format dxfId="1104">
      <pivotArea dataOnly="0" labelOnly="1" fieldPosition="0">
        <references count="4">
          <reference field="2" count="1" selected="0">
            <x v="4"/>
          </reference>
          <reference field="3" count="1" selected="0">
            <x v="12"/>
          </reference>
          <reference field="4" count="1" selected="0">
            <x v="38"/>
          </reference>
          <reference field="5" count="3">
            <x v="85"/>
            <x v="86"/>
            <x v="87"/>
          </reference>
        </references>
      </pivotArea>
    </format>
    <format dxfId="1103">
      <pivotArea dataOnly="0" labelOnly="1" fieldPosition="0">
        <references count="4">
          <reference field="2" count="1" selected="0">
            <x v="4"/>
          </reference>
          <reference field="3" count="1" selected="0">
            <x v="12"/>
          </reference>
          <reference field="4" count="1" selected="0">
            <x v="39"/>
          </reference>
          <reference field="5" count="2">
            <x v="83"/>
            <x v="84"/>
          </reference>
        </references>
      </pivotArea>
    </format>
    <format dxfId="1102">
      <pivotArea dataOnly="0" labelOnly="1" fieldPosition="0">
        <references count="4">
          <reference field="2" count="1" selected="0">
            <x v="5"/>
          </reference>
          <reference field="3" count="1" selected="0">
            <x v="8"/>
          </reference>
          <reference field="4" count="1" selected="0">
            <x v="21"/>
          </reference>
          <reference field="5" count="2">
            <x v="10"/>
            <x v="11"/>
          </reference>
        </references>
      </pivotArea>
    </format>
    <format dxfId="1101">
      <pivotArea dataOnly="0" labelOnly="1" fieldPosition="0">
        <references count="4">
          <reference field="2" count="1" selected="0">
            <x v="5"/>
          </reference>
          <reference field="3" count="1" selected="0">
            <x v="8"/>
          </reference>
          <reference field="4" count="1" selected="0">
            <x v="22"/>
          </reference>
          <reference field="5" count="1">
            <x v="12"/>
          </reference>
        </references>
      </pivotArea>
    </format>
    <format dxfId="1100">
      <pivotArea dataOnly="0" labelOnly="1" fieldPosition="0">
        <references count="4">
          <reference field="2" count="1" selected="0">
            <x v="5"/>
          </reference>
          <reference field="3" count="1" selected="0">
            <x v="8"/>
          </reference>
          <reference field="4" count="1" selected="0">
            <x v="23"/>
          </reference>
          <reference field="5" count="1">
            <x v="13"/>
          </reference>
        </references>
      </pivotArea>
    </format>
    <format dxfId="1099">
      <pivotArea dataOnly="0" labelOnly="1" fieldPosition="0">
        <references count="4">
          <reference field="2" count="1" selected="0">
            <x v="5"/>
          </reference>
          <reference field="3" count="1" selected="0">
            <x v="8"/>
          </reference>
          <reference field="4" count="1" selected="0">
            <x v="24"/>
          </reference>
          <reference field="5" count="2">
            <x v="35"/>
            <x v="39"/>
          </reference>
        </references>
      </pivotArea>
    </format>
    <format dxfId="1098">
      <pivotArea dataOnly="0" labelOnly="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1097">
      <pivotArea dataOnly="0" labelOnly="1" fieldPosition="0">
        <references count="4">
          <reference field="2" count="1" selected="0">
            <x v="5"/>
          </reference>
          <reference field="3" count="1" selected="0">
            <x v="13"/>
          </reference>
          <reference field="4" count="1" selected="0">
            <x v="40"/>
          </reference>
          <reference field="5" count="5">
            <x v="88"/>
            <x v="89"/>
            <x v="90"/>
            <x v="91"/>
            <x v="92"/>
          </reference>
        </references>
      </pivotArea>
    </format>
    <format dxfId="1096">
      <pivotArea dataOnly="0" labelOnly="1" fieldPosition="0">
        <references count="4">
          <reference field="2" count="1" selected="0">
            <x v="5"/>
          </reference>
          <reference field="3" count="1" selected="0">
            <x v="13"/>
          </reference>
          <reference field="4" count="1" selected="0">
            <x v="41"/>
          </reference>
          <reference field="5" count="2">
            <x v="94"/>
            <x v="95"/>
          </reference>
        </references>
      </pivotArea>
    </format>
    <format dxfId="1095">
      <pivotArea dataOnly="0" labelOnly="1" fieldPosition="0">
        <references count="4">
          <reference field="2" count="1" selected="0">
            <x v="5"/>
          </reference>
          <reference field="3" count="1" selected="0">
            <x v="13"/>
          </reference>
          <reference field="4" count="1" selected="0">
            <x v="42"/>
          </reference>
          <reference field="5" count="2">
            <x v="96"/>
            <x v="97"/>
          </reference>
        </references>
      </pivotArea>
    </format>
    <format dxfId="1094">
      <pivotArea dataOnly="0" labelOnly="1" fieldPosition="0">
        <references count="4">
          <reference field="2" count="1" selected="0">
            <x v="6"/>
          </reference>
          <reference field="3" count="1" selected="0">
            <x v="9"/>
          </reference>
          <reference field="4" count="1" selected="0">
            <x v="26"/>
          </reference>
          <reference field="5" count="1">
            <x v="73"/>
          </reference>
        </references>
      </pivotArea>
    </format>
    <format dxfId="1093">
      <pivotArea dataOnly="0" labelOnly="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1092">
      <pivotArea dataOnly="0" labelOnly="1" fieldPosition="0">
        <references count="4">
          <reference field="2" count="1" selected="0">
            <x v="6"/>
          </reference>
          <reference field="3" count="1" selected="0">
            <x v="9"/>
          </reference>
          <reference field="4" count="1" selected="0">
            <x v="29"/>
          </reference>
          <reference field="5" count="1">
            <x v="32"/>
          </reference>
        </references>
      </pivotArea>
    </format>
    <format dxfId="1091">
      <pivotArea dataOnly="0" labelOnly="1" fieldPosition="0">
        <references count="4">
          <reference field="2" count="1" selected="0">
            <x v="6"/>
          </reference>
          <reference field="3" count="1" selected="0">
            <x v="10"/>
          </reference>
          <reference field="4" count="1" selected="0">
            <x v="43"/>
          </reference>
          <reference field="5" count="1">
            <x v="98"/>
          </reference>
        </references>
      </pivotArea>
    </format>
    <format dxfId="1090">
      <pivotArea dataOnly="0" labelOnly="1" fieldPosition="0">
        <references count="4">
          <reference field="2" count="1" selected="0">
            <x v="6"/>
          </reference>
          <reference field="3" count="1" selected="0">
            <x v="10"/>
          </reference>
          <reference field="4" count="1" selected="0">
            <x v="44"/>
          </reference>
          <reference field="5" count="1">
            <x v="102"/>
          </reference>
        </references>
      </pivotArea>
    </format>
    <format dxfId="1089">
      <pivotArea dataOnly="0" labelOnly="1" fieldPosition="0">
        <references count="4">
          <reference field="2" count="1" selected="0">
            <x v="6"/>
          </reference>
          <reference field="3" count="1" selected="0">
            <x v="10"/>
          </reference>
          <reference field="4" count="1" selected="0">
            <x v="45"/>
          </reference>
          <reference field="5" count="1">
            <x v="99"/>
          </reference>
        </references>
      </pivotArea>
    </format>
    <format dxfId="1088">
      <pivotArea dataOnly="0" labelOnly="1" fieldPosition="0">
        <references count="4">
          <reference field="2" count="1" selected="0">
            <x v="6"/>
          </reference>
          <reference field="3" count="1" selected="0">
            <x v="10"/>
          </reference>
          <reference field="4" count="1" selected="0">
            <x v="46"/>
          </reference>
          <reference field="5" count="2">
            <x v="100"/>
            <x v="101"/>
          </reference>
        </references>
      </pivotArea>
    </format>
    <format dxfId="1087">
      <pivotArea dataOnly="0" labelOnly="1" fieldPosition="0">
        <references count="4">
          <reference field="2" count="1" selected="0">
            <x v="6"/>
          </reference>
          <reference field="3" count="1" selected="0">
            <x v="10"/>
          </reference>
          <reference field="4" count="1" selected="0">
            <x v="64"/>
          </reference>
          <reference field="5" count="1">
            <x v="103"/>
          </reference>
        </references>
      </pivotArea>
    </format>
    <format dxfId="1086">
      <pivotArea dataOnly="0" labelOnly="1" fieldPosition="0">
        <references count="4">
          <reference field="2" count="1" selected="0">
            <x v="6"/>
          </reference>
          <reference field="3" count="1" selected="0">
            <x v="10"/>
          </reference>
          <reference field="4" count="1" selected="0">
            <x v="65"/>
          </reference>
          <reference field="5" count="1">
            <x v="104"/>
          </reference>
        </references>
      </pivotArea>
    </format>
    <format dxfId="1085">
      <pivotArea dataOnly="0" labelOnly="1" fieldPosition="0">
        <references count="4">
          <reference field="2" count="1" selected="0">
            <x v="6"/>
          </reference>
          <reference field="3" count="1" selected="0">
            <x v="10"/>
          </reference>
          <reference field="4" count="1" selected="0">
            <x v="66"/>
          </reference>
          <reference field="5" count="1">
            <x v="41"/>
          </reference>
        </references>
      </pivotArea>
    </format>
    <format dxfId="1084">
      <pivotArea dataOnly="0" labelOnly="1" fieldPosition="0">
        <references count="4">
          <reference field="2" count="1" selected="0">
            <x v="6"/>
          </reference>
          <reference field="3" count="1" selected="0">
            <x v="14"/>
          </reference>
          <reference field="4" count="1" selected="0">
            <x v="48"/>
          </reference>
          <reference field="5" count="1">
            <x v="105"/>
          </reference>
        </references>
      </pivotArea>
    </format>
    <format dxfId="1083">
      <pivotArea dataOnly="0" labelOnly="1" fieldPosition="0">
        <references count="4">
          <reference field="2" count="1" selected="0">
            <x v="6"/>
          </reference>
          <reference field="3" count="1" selected="0">
            <x v="14"/>
          </reference>
          <reference field="4" count="1" selected="0">
            <x v="49"/>
          </reference>
          <reference field="5" count="1">
            <x v="106"/>
          </reference>
        </references>
      </pivotArea>
    </format>
    <format dxfId="1082">
      <pivotArea dataOnly="0" labelOnly="1" fieldPosition="0">
        <references count="4">
          <reference field="2" count="1" selected="0">
            <x v="6"/>
          </reference>
          <reference field="3" count="1" selected="0">
            <x v="14"/>
          </reference>
          <reference field="4" count="1" selected="0">
            <x v="51"/>
          </reference>
          <reference field="5" count="2">
            <x v="107"/>
            <x v="108"/>
          </reference>
        </references>
      </pivotArea>
    </format>
    <format dxfId="1081">
      <pivotArea dataOnly="0" labelOnly="1" fieldPosition="0">
        <references count="4">
          <reference field="2" count="1" selected="0">
            <x v="6"/>
          </reference>
          <reference field="3" count="1" selected="0">
            <x v="14"/>
          </reference>
          <reference field="4" count="1" selected="0">
            <x v="52"/>
          </reference>
          <reference field="5" count="1">
            <x v="109"/>
          </reference>
        </references>
      </pivotArea>
    </format>
    <format dxfId="1080">
      <pivotArea dataOnly="0" labelOnly="1" fieldPosition="0">
        <references count="4">
          <reference field="2" count="1" selected="0">
            <x v="6"/>
          </reference>
          <reference field="3" count="1" selected="0">
            <x v="15"/>
          </reference>
          <reference field="4" count="1" selected="0">
            <x v="53"/>
          </reference>
          <reference field="5" count="1">
            <x v="110"/>
          </reference>
        </references>
      </pivotArea>
    </format>
    <format dxfId="1079">
      <pivotArea dataOnly="0" labelOnly="1" fieldPosition="0">
        <references count="4">
          <reference field="2" count="1" selected="0">
            <x v="6"/>
          </reference>
          <reference field="3" count="1" selected="0">
            <x v="15"/>
          </reference>
          <reference field="4" count="1" selected="0">
            <x v="56"/>
          </reference>
          <reference field="5" count="1">
            <x v="115"/>
          </reference>
        </references>
      </pivotArea>
    </format>
    <format dxfId="1078">
      <pivotArea dataOnly="0" labelOnly="1" fieldPosition="0">
        <references count="4">
          <reference field="2" count="1" selected="0">
            <x v="6"/>
          </reference>
          <reference field="3" count="1" selected="0">
            <x v="15"/>
          </reference>
          <reference field="4" count="1" selected="0">
            <x v="55"/>
          </reference>
          <reference field="5" count="4">
            <x v="111"/>
            <x v="112"/>
            <x v="113"/>
            <x v="114"/>
          </reference>
        </references>
      </pivotArea>
    </format>
    <format dxfId="1077">
      <pivotArea dataOnly="0" labelOnly="1" fieldPosition="0">
        <references count="4">
          <reference field="2" count="1" selected="0">
            <x v="6"/>
          </reference>
          <reference field="3" count="1" selected="0">
            <x v="16"/>
          </reference>
          <reference field="4" count="1" selected="0">
            <x v="57"/>
          </reference>
          <reference field="5" count="1">
            <x v="116"/>
          </reference>
        </references>
      </pivotArea>
    </format>
    <format dxfId="1076">
      <pivotArea dataOnly="0" labelOnly="1" fieldPosition="0">
        <references count="4">
          <reference field="2" count="1" selected="0">
            <x v="6"/>
          </reference>
          <reference field="3" count="1" selected="0">
            <x v="16"/>
          </reference>
          <reference field="4" count="1" selected="0">
            <x v="58"/>
          </reference>
          <reference field="5" count="1">
            <x v="119"/>
          </reference>
        </references>
      </pivotArea>
    </format>
    <format dxfId="1075">
      <pivotArea dataOnly="0" labelOnly="1" fieldPosition="0">
        <references count="4">
          <reference field="2" count="1" selected="0">
            <x v="6"/>
          </reference>
          <reference field="3" count="1" selected="0">
            <x v="16"/>
          </reference>
          <reference field="4" count="1" selected="0">
            <x v="59"/>
          </reference>
          <reference field="5" count="1">
            <x v="120"/>
          </reference>
        </references>
      </pivotArea>
    </format>
    <format dxfId="1074">
      <pivotArea dataOnly="0" labelOnly="1" fieldPosition="0">
        <references count="4">
          <reference field="2" count="1" selected="0">
            <x v="6"/>
          </reference>
          <reference field="3" count="1" selected="0">
            <x v="17"/>
          </reference>
          <reference field="4" count="1" selected="0">
            <x v="60"/>
          </reference>
          <reference field="5" count="2">
            <x v="121"/>
            <x v="122"/>
          </reference>
        </references>
      </pivotArea>
    </format>
    <format dxfId="1073">
      <pivotArea dataOnly="0" labelOnly="1" fieldPosition="0">
        <references count="4">
          <reference field="2" count="1" selected="0">
            <x v="6"/>
          </reference>
          <reference field="3" count="1" selected="0">
            <x v="17"/>
          </reference>
          <reference field="4" count="1" selected="0">
            <x v="61"/>
          </reference>
          <reference field="5" count="1">
            <x v="123"/>
          </reference>
        </references>
      </pivotArea>
    </format>
    <format dxfId="1072">
      <pivotArea dataOnly="0" labelOnly="1" fieldPosition="0">
        <references count="4">
          <reference field="2" count="1" selected="0">
            <x v="6"/>
          </reference>
          <reference field="3" count="1" selected="0">
            <x v="17"/>
          </reference>
          <reference field="4" count="1" selected="0">
            <x v="62"/>
          </reference>
          <reference field="5" count="4">
            <x v="124"/>
            <x v="125"/>
            <x v="126"/>
            <x v="127"/>
          </reference>
        </references>
      </pivotArea>
    </format>
    <format dxfId="1071">
      <pivotArea outline="0" fieldPosition="0">
        <references count="1">
          <reference field="4294967294" count="1">
            <x v="5"/>
          </reference>
        </references>
      </pivotArea>
    </format>
    <format dxfId="1070">
      <pivotArea dataOnly="0" labelOnly="1" fieldPosition="0">
        <references count="4">
          <reference field="2" count="1" selected="0">
            <x v="5"/>
          </reference>
          <reference field="3" count="1" selected="0">
            <x v="13"/>
          </reference>
          <reference field="4" count="1" selected="0">
            <x v="42"/>
          </reference>
          <reference field="5" count="1">
            <x v="97"/>
          </reference>
        </references>
      </pivotArea>
    </format>
  </formats>
  <pivotTableStyleInfo name="Pivot_subinterventii"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purl.oclc.org/ooxml/spreadsheetml/main" xmlns:mc="http://schemas.openxmlformats.org/markup-compatibility/2006" xmlns:xr="http://schemas.microsoft.com/office/spreadsheetml/2014/revision" mc:Ignorable="xr" xr:uid="{00000000-0007-0000-0600-000000000000}" name="PivotTable1" cacheId="1" applyNumberFormats="0" applyBorderFormats="0" applyFontFormats="0" applyPatternFormats="0" applyAlignmentFormats="0" applyWidthHeightFormats="1" dataCaption="Values" updatedVersion="6" minRefreshableVersion="3" useAutoFormatting="1" itemPrintTitles="1" createdVersion="5" indent="0" outline="1" outlineData="1" multipleFieldFilters="0">
  <location ref="B3:H340" firstHeaderRow="0" firstDataRow="1" firstDataCol="1"/>
  <pivotFields count="55">
    <pivotField showAll="0" insertBlankRow="1"/>
    <pivotField showAll="0" insertBlankRow="1"/>
    <pivotField axis="axisRow" showAll="0" insertBlankRow="1">
      <items count="9">
        <item x="7"/>
        <item x="0"/>
        <item x="5"/>
        <item x="1"/>
        <item x="2"/>
        <item x="3"/>
        <item x="4"/>
        <item x="6"/>
        <item t="default"/>
      </items>
    </pivotField>
    <pivotField axis="axisRow" showAll="0" insertBlankRow="1">
      <items count="21">
        <item x="19"/>
        <item x="0"/>
        <item x="9"/>
        <item x="6"/>
        <item x="7"/>
        <item x="1"/>
        <item x="4"/>
        <item x="2"/>
        <item x="3"/>
        <item x="5"/>
        <item x="8"/>
        <item x="10"/>
        <item x="13"/>
        <item x="12"/>
        <item x="14"/>
        <item x="11"/>
        <item x="15"/>
        <item x="16"/>
        <item x="18"/>
        <item x="17"/>
        <item t="default"/>
      </items>
    </pivotField>
    <pivotField axis="axisRow" showAll="0" insertBlankRow="1">
      <items count="70">
        <item x="64"/>
        <item x="0"/>
        <item x="1"/>
        <item x="2"/>
        <item x="3"/>
        <item m="1" x="67"/>
        <item x="28"/>
        <item x="15"/>
        <item x="20"/>
        <item x="21"/>
        <item x="27"/>
        <item x="18"/>
        <item x="16"/>
        <item x="6"/>
        <item x="7"/>
        <item x="4"/>
        <item x="17"/>
        <item x="19"/>
        <item x="13"/>
        <item x="22"/>
        <item x="5"/>
        <item x="8"/>
        <item x="9"/>
        <item x="10"/>
        <item x="12"/>
        <item x="11"/>
        <item x="23"/>
        <item x="26"/>
        <item x="14"/>
        <item x="24"/>
        <item x="30"/>
        <item x="32"/>
        <item x="33"/>
        <item m="1" x="65"/>
        <item x="36"/>
        <item x="37"/>
        <item x="38"/>
        <item m="1" x="66"/>
        <item x="39"/>
        <item x="34"/>
        <item x="41"/>
        <item x="42"/>
        <item x="43"/>
        <item x="44"/>
        <item x="45"/>
        <item x="46"/>
        <item x="48"/>
        <item x="49"/>
        <item x="50"/>
        <item m="1" x="68"/>
        <item x="51"/>
        <item x="52"/>
        <item x="53"/>
        <item x="31"/>
        <item x="54"/>
        <item x="35"/>
        <item x="55"/>
        <item x="56"/>
        <item x="57"/>
        <item x="58"/>
        <item x="59"/>
        <item x="60"/>
        <item x="61"/>
        <item x="29"/>
        <item x="47"/>
        <item x="25"/>
        <item x="40"/>
        <item x="62"/>
        <item x="63"/>
        <item t="default"/>
      </items>
    </pivotField>
    <pivotField axis="axisRow" showAll="0" insertBlankRow="1">
      <items count="179">
        <item x="177"/>
        <item x="0"/>
        <item x="1"/>
        <item x="2"/>
        <item x="3"/>
        <item x="4"/>
        <item x="5"/>
        <item x="68"/>
        <item x="74"/>
        <item x="41"/>
        <item x="29"/>
        <item x="30"/>
        <item x="31"/>
        <item x="32"/>
        <item x="47"/>
        <item x="49"/>
        <item x="45"/>
        <item x="10"/>
        <item x="12"/>
        <item x="17"/>
        <item x="20"/>
        <item x="25"/>
        <item x="27"/>
        <item x="46"/>
        <item x="48"/>
        <item x="44"/>
        <item x="50"/>
        <item x="53"/>
        <item x="67"/>
        <item x="66"/>
        <item x="75"/>
        <item x="76"/>
        <item x="71"/>
        <item x="35"/>
        <item x="33"/>
        <item x="39"/>
        <item x="37"/>
        <item x="36"/>
        <item x="34"/>
        <item x="40"/>
        <item x="38"/>
        <item x="72"/>
        <item x="64"/>
        <item x="51"/>
        <item x="54"/>
        <item x="52"/>
        <item x="55"/>
        <item x="62"/>
        <item x="63"/>
        <item x="57"/>
        <item x="60"/>
        <item x="61"/>
        <item x="58"/>
        <item x="59"/>
        <item x="56"/>
        <item x="11"/>
        <item x="13"/>
        <item x="16"/>
        <item x="14"/>
        <item x="9"/>
        <item x="18"/>
        <item x="19"/>
        <item x="21"/>
        <item x="26"/>
        <item x="23"/>
        <item x="24"/>
        <item x="28"/>
        <item x="15"/>
        <item x="6"/>
        <item x="65"/>
        <item x="84"/>
        <item x="85"/>
        <item x="86"/>
        <item x="70"/>
        <item x="90"/>
        <item x="91"/>
        <item x="93"/>
        <item x="92"/>
        <item x="99"/>
        <item x="100"/>
        <item x="101"/>
        <item x="102"/>
        <item x="103"/>
        <item x="104"/>
        <item x="105"/>
        <item x="106"/>
        <item x="107"/>
        <item x="108"/>
        <item x="109"/>
        <item x="110"/>
        <item x="111"/>
        <item x="112"/>
        <item x="113"/>
        <item x="114"/>
        <item x="115"/>
        <item x="162"/>
        <item x="116"/>
        <item x="119"/>
        <item x="120"/>
        <item x="124"/>
        <item x="126"/>
        <item x="127"/>
        <item x="128"/>
        <item x="125"/>
        <item x="129"/>
        <item x="130"/>
        <item x="134"/>
        <item x="135"/>
        <item x="136"/>
        <item x="137"/>
        <item x="138"/>
        <item x="139"/>
        <item x="141"/>
        <item x="142"/>
        <item x="143"/>
        <item x="144"/>
        <item x="145"/>
        <item x="146"/>
        <item x="150"/>
        <item x="151"/>
        <item x="152"/>
        <item x="153"/>
        <item x="154"/>
        <item x="155"/>
        <item x="156"/>
        <item x="157"/>
        <item x="88"/>
        <item x="69"/>
        <item x="42"/>
        <item x="43"/>
        <item x="7"/>
        <item x="147"/>
        <item x="148"/>
        <item x="149"/>
        <item x="133"/>
        <item x="131"/>
        <item x="132"/>
        <item x="79"/>
        <item x="80"/>
        <item x="95"/>
        <item x="164"/>
        <item x="165"/>
        <item x="166"/>
        <item x="158"/>
        <item x="159"/>
        <item x="160"/>
        <item x="161"/>
        <item x="22"/>
        <item x="89"/>
        <item x="168"/>
        <item x="8"/>
        <item x="163"/>
        <item x="96"/>
        <item x="97"/>
        <item x="94"/>
        <item x="123"/>
        <item x="121"/>
        <item x="122"/>
        <item x="169"/>
        <item x="167"/>
        <item x="172"/>
        <item x="173"/>
        <item x="87"/>
        <item x="140"/>
        <item x="98"/>
        <item x="174"/>
        <item x="81"/>
        <item x="82"/>
        <item x="83"/>
        <item x="176"/>
        <item x="77"/>
        <item x="78"/>
        <item x="117"/>
        <item x="118"/>
        <item x="73"/>
        <item x="170"/>
        <item x="175"/>
        <item x="171"/>
        <item t="default"/>
      </items>
    </pivotField>
    <pivotField showAll="0" defaultSubtotal="0"/>
    <pivotField showAll="0" insertBlankRow="1"/>
    <pivotField showAll="0" insertBlankRow="1"/>
    <pivotField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dataField="1" numFmtId="4" showAll="0" insertBlankRow="1"/>
    <pivotField showAll="0" insertBlankRow="1"/>
    <pivotField numFmtId="4" showAll="0" insertBlankRow="1"/>
    <pivotField showAll="0" insertBlankRow="1"/>
    <pivotField numFmtId="4" showAll="0" insertBlankRow="1"/>
    <pivotField showAll="0" insertBlankRow="1"/>
    <pivotField numFmtId="4" showAll="0" insertBlankRow="1"/>
    <pivotField showAll="0" insertBlankRow="1"/>
    <pivotField dataField="1" numFmtId="4" showAll="0" insertBlankRow="1"/>
  </pivotFields>
  <rowFields count="4">
    <field x="2"/>
    <field x="3"/>
    <field x="4"/>
    <field x="5"/>
  </rowFields>
  <rowItems count="337">
    <i>
      <x/>
    </i>
    <i r="1">
      <x/>
    </i>
    <i r="2">
      <x/>
    </i>
    <i r="3">
      <x/>
    </i>
    <i t="blank" r="2">
      <x/>
    </i>
    <i>
      <x v="1"/>
    </i>
    <i r="1">
      <x v="1"/>
    </i>
    <i r="2">
      <x v="1"/>
    </i>
    <i r="3">
      <x v="1"/>
    </i>
    <i t="blank" r="2">
      <x v="1"/>
    </i>
    <i r="2">
      <x v="2"/>
    </i>
    <i r="3">
      <x v="2"/>
    </i>
    <i t="blank" r="2">
      <x v="2"/>
    </i>
    <i r="2">
      <x v="3"/>
    </i>
    <i r="3">
      <x v="3"/>
    </i>
    <i t="blank" r="2">
      <x v="3"/>
    </i>
    <i r="2">
      <x v="4"/>
    </i>
    <i r="3">
      <x v="4"/>
    </i>
    <i r="3">
      <x v="5"/>
    </i>
    <i r="3">
      <x v="6"/>
    </i>
    <i r="3">
      <x v="68"/>
    </i>
    <i r="3">
      <x v="130"/>
    </i>
    <i r="3">
      <x v="150"/>
    </i>
    <i r="3">
      <x v="151"/>
    </i>
    <i r="3">
      <x v="164"/>
    </i>
    <i t="blank" r="2">
      <x v="4"/>
    </i>
    <i>
      <x v="2"/>
    </i>
    <i r="1">
      <x v="2"/>
    </i>
    <i r="2">
      <x v="6"/>
    </i>
    <i r="3">
      <x v="170"/>
    </i>
    <i r="3">
      <x v="171"/>
    </i>
    <i r="3">
      <x v="172"/>
    </i>
    <i r="3">
      <x v="173"/>
    </i>
    <i t="blank" r="2">
      <x v="6"/>
    </i>
    <i r="1">
      <x v="3"/>
    </i>
    <i r="2">
      <x v="7"/>
    </i>
    <i r="3">
      <x v="26"/>
    </i>
    <i r="3">
      <x v="27"/>
    </i>
    <i r="3">
      <x v="43"/>
    </i>
    <i r="3">
      <x v="44"/>
    </i>
    <i r="3">
      <x v="45"/>
    </i>
    <i r="3">
      <x v="46"/>
    </i>
    <i t="blank" r="2">
      <x v="7"/>
    </i>
    <i r="2">
      <x v="8"/>
    </i>
    <i r="3">
      <x v="28"/>
    </i>
    <i r="3">
      <x v="29"/>
    </i>
    <i t="blank" r="2">
      <x v="8"/>
    </i>
    <i r="2">
      <x v="9"/>
    </i>
    <i r="3">
      <x v="7"/>
    </i>
    <i r="3">
      <x v="8"/>
    </i>
    <i t="blank" r="2">
      <x v="9"/>
    </i>
    <i r="1">
      <x v="4"/>
    </i>
    <i r="2">
      <x v="10"/>
    </i>
    <i r="3">
      <x v="30"/>
    </i>
    <i r="3">
      <x v="31"/>
    </i>
    <i t="blank" r="2">
      <x v="10"/>
    </i>
    <i r="2">
      <x v="11"/>
    </i>
    <i r="3">
      <x v="42"/>
    </i>
    <i t="blank" r="2">
      <x v="11"/>
    </i>
    <i r="2">
      <x v="12"/>
    </i>
    <i r="3">
      <x v="49"/>
    </i>
    <i r="3">
      <x v="50"/>
    </i>
    <i r="3">
      <x v="51"/>
    </i>
    <i r="3">
      <x v="54"/>
    </i>
    <i t="blank" r="2">
      <x v="12"/>
    </i>
    <i>
      <x v="3"/>
    </i>
    <i r="1">
      <x v="5"/>
    </i>
    <i r="2">
      <x v="13"/>
    </i>
    <i r="3">
      <x v="55"/>
    </i>
    <i r="3">
      <x v="56"/>
    </i>
    <i r="3">
      <x v="57"/>
    </i>
    <i r="3">
      <x v="63"/>
    </i>
    <i r="3">
      <x v="66"/>
    </i>
    <i t="blank" r="2">
      <x v="13"/>
    </i>
    <i r="2">
      <x v="14"/>
    </i>
    <i r="3">
      <x v="60"/>
    </i>
    <i r="3">
      <x v="62"/>
    </i>
    <i r="3">
      <x v="64"/>
    </i>
    <i r="3">
      <x v="165"/>
    </i>
    <i t="blank" r="2">
      <x v="14"/>
    </i>
    <i r="2">
      <x v="15"/>
    </i>
    <i r="3">
      <x v="58"/>
    </i>
    <i r="3">
      <x v="59"/>
    </i>
    <i r="3">
      <x v="61"/>
    </i>
    <i r="3">
      <x v="65"/>
    </i>
    <i t="blank" r="2">
      <x v="15"/>
    </i>
    <i r="2">
      <x v="16"/>
    </i>
    <i r="3">
      <x v="47"/>
    </i>
    <i r="3">
      <x v="48"/>
    </i>
    <i r="3">
      <x v="52"/>
    </i>
    <i r="3">
      <x v="53"/>
    </i>
    <i t="blank" r="2">
      <x v="16"/>
    </i>
    <i r="2">
      <x v="17"/>
    </i>
    <i r="3">
      <x v="69"/>
    </i>
    <i r="3">
      <x v="94"/>
    </i>
    <i t="blank" r="2">
      <x v="17"/>
    </i>
    <i r="1">
      <x v="6"/>
    </i>
    <i r="2">
      <x v="18"/>
    </i>
    <i r="3">
      <x v="9"/>
    </i>
    <i r="3">
      <x v="128"/>
    </i>
    <i r="3">
      <x v="129"/>
    </i>
    <i t="blank" r="2">
      <x v="18"/>
    </i>
    <i r="2">
      <x v="19"/>
    </i>
    <i r="3">
      <x v="127"/>
    </i>
    <i t="blank" r="2">
      <x v="19"/>
    </i>
    <i r="2">
      <x v="67"/>
    </i>
    <i r="3">
      <x v="140"/>
    </i>
    <i t="blank" r="2">
      <x v="67"/>
    </i>
    <i r="1">
      <x v="11"/>
    </i>
    <i r="2">
      <x v="30"/>
    </i>
    <i r="3">
      <x v="70"/>
    </i>
    <i r="3">
      <x v="71"/>
    </i>
    <i r="3">
      <x v="72"/>
    </i>
    <i r="3">
      <x v="126"/>
    </i>
    <i t="blank" r="2">
      <x v="30"/>
    </i>
    <i r="2">
      <x v="31"/>
    </i>
    <i r="3">
      <x v="148"/>
    </i>
    <i r="3">
      <x v="159"/>
    </i>
    <i t="blank" r="2">
      <x v="31"/>
    </i>
    <i r="2">
      <x v="32"/>
    </i>
    <i r="3">
      <x v="74"/>
    </i>
    <i r="3">
      <x v="75"/>
    </i>
    <i r="3">
      <x v="76"/>
    </i>
    <i r="3">
      <x v="77"/>
    </i>
    <i r="3">
      <x v="139"/>
    </i>
    <i t="blank" r="2">
      <x v="32"/>
    </i>
    <i>
      <x v="4"/>
    </i>
    <i r="1">
      <x v="7"/>
    </i>
    <i r="2">
      <x v="20"/>
    </i>
    <i r="3">
      <x v="17"/>
    </i>
    <i r="3">
      <x v="18"/>
    </i>
    <i r="3">
      <x v="19"/>
    </i>
    <i r="3">
      <x v="20"/>
    </i>
    <i r="3">
      <x v="21"/>
    </i>
    <i r="3">
      <x v="22"/>
    </i>
    <i r="3">
      <x v="67"/>
    </i>
    <i r="3">
      <x v="147"/>
    </i>
    <i t="blank" r="2">
      <x v="20"/>
    </i>
    <i r="2">
      <x v="34"/>
    </i>
    <i r="3">
      <x v="78"/>
    </i>
    <i r="3">
      <x v="79"/>
    </i>
    <i t="blank" r="2">
      <x v="34"/>
    </i>
    <i r="2">
      <x v="35"/>
    </i>
    <i r="3">
      <x v="80"/>
    </i>
    <i r="3">
      <x v="81"/>
    </i>
    <i t="blank" r="2">
      <x v="35"/>
    </i>
    <i r="1">
      <x v="12"/>
    </i>
    <i r="2">
      <x v="36"/>
    </i>
    <i r="3">
      <x v="82"/>
    </i>
    <i r="3">
      <x v="83"/>
    </i>
    <i t="blank" r="2">
      <x v="36"/>
    </i>
    <i r="2">
      <x v="38"/>
    </i>
    <i r="3">
      <x v="84"/>
    </i>
    <i r="3">
      <x v="85"/>
    </i>
    <i t="blank" r="2">
      <x v="38"/>
    </i>
    <i r="2">
      <x v="66"/>
    </i>
    <i r="3">
      <x v="86"/>
    </i>
    <i r="3">
      <x v="87"/>
    </i>
    <i r="3">
      <x v="88"/>
    </i>
    <i t="blank" r="2">
      <x v="66"/>
    </i>
    <i>
      <x v="5"/>
    </i>
    <i r="1">
      <x v="8"/>
    </i>
    <i r="2">
      <x v="21"/>
    </i>
    <i r="3">
      <x v="10"/>
    </i>
    <i r="3">
      <x v="11"/>
    </i>
    <i t="blank" r="2">
      <x v="21"/>
    </i>
    <i r="2">
      <x v="22"/>
    </i>
    <i r="3">
      <x v="12"/>
    </i>
    <i t="blank" r="2">
      <x v="22"/>
    </i>
    <i r="2">
      <x v="23"/>
    </i>
    <i r="3">
      <x v="13"/>
    </i>
    <i t="blank" r="2">
      <x v="23"/>
    </i>
    <i r="2">
      <x v="24"/>
    </i>
    <i r="3">
      <x v="35"/>
    </i>
    <i r="3">
      <x v="39"/>
    </i>
    <i t="blank" r="2">
      <x v="24"/>
    </i>
    <i r="2">
      <x v="25"/>
    </i>
    <i r="3">
      <x v="33"/>
    </i>
    <i r="3">
      <x v="34"/>
    </i>
    <i r="3">
      <x v="36"/>
    </i>
    <i r="3">
      <x v="37"/>
    </i>
    <i r="3">
      <x v="38"/>
    </i>
    <i r="3">
      <x v="40"/>
    </i>
    <i t="blank" r="2">
      <x v="25"/>
    </i>
    <i r="1">
      <x v="13"/>
    </i>
    <i r="2">
      <x v="39"/>
    </i>
    <i r="3">
      <x v="89"/>
    </i>
    <i r="3">
      <x v="90"/>
    </i>
    <i r="3">
      <x v="91"/>
    </i>
    <i r="3">
      <x v="92"/>
    </i>
    <i r="3">
      <x v="93"/>
    </i>
    <i r="3">
      <x v="154"/>
    </i>
    <i t="blank" r="2">
      <x v="39"/>
    </i>
    <i r="2">
      <x v="40"/>
    </i>
    <i r="3">
      <x v="95"/>
    </i>
    <i r="3">
      <x v="96"/>
    </i>
    <i t="blank" r="2">
      <x v="40"/>
    </i>
    <i r="2">
      <x v="41"/>
    </i>
    <i r="3">
      <x v="97"/>
    </i>
    <i r="3">
      <x v="98"/>
    </i>
    <i r="3">
      <x v="155"/>
    </i>
    <i t="blank" r="2">
      <x v="41"/>
    </i>
    <i>
      <x v="6"/>
    </i>
    <i r="1">
      <x v="9"/>
    </i>
    <i r="2">
      <x v="26"/>
    </i>
    <i r="3">
      <x v="73"/>
    </i>
    <i t="blank" r="2">
      <x v="26"/>
    </i>
    <i r="2">
      <x v="27"/>
    </i>
    <i r="3">
      <x v="174"/>
    </i>
    <i r="3">
      <x v="175"/>
    </i>
    <i r="3">
      <x v="176"/>
    </i>
    <i r="3">
      <x v="177"/>
    </i>
    <i t="blank" r="2">
      <x v="27"/>
    </i>
    <i r="2">
      <x v="28"/>
    </i>
    <i r="3">
      <x v="14"/>
    </i>
    <i r="3">
      <x v="15"/>
    </i>
    <i r="3">
      <x v="16"/>
    </i>
    <i r="3">
      <x v="23"/>
    </i>
    <i r="3">
      <x v="24"/>
    </i>
    <i r="3">
      <x v="25"/>
    </i>
    <i t="blank" r="2">
      <x v="28"/>
    </i>
    <i r="2">
      <x v="29"/>
    </i>
    <i r="3">
      <x v="32"/>
    </i>
    <i t="blank" r="2">
      <x v="29"/>
    </i>
    <i r="1">
      <x v="10"/>
    </i>
    <i r="2">
      <x v="42"/>
    </i>
    <i r="3">
      <x v="99"/>
    </i>
    <i t="blank" r="2">
      <x v="42"/>
    </i>
    <i r="2">
      <x v="43"/>
    </i>
    <i r="3">
      <x v="103"/>
    </i>
    <i t="blank" r="2">
      <x v="43"/>
    </i>
    <i r="2">
      <x v="44"/>
    </i>
    <i r="3">
      <x v="100"/>
    </i>
    <i t="blank" r="2">
      <x v="44"/>
    </i>
    <i r="2">
      <x v="45"/>
    </i>
    <i r="3">
      <x v="101"/>
    </i>
    <i r="3">
      <x v="102"/>
    </i>
    <i t="blank" r="2">
      <x v="45"/>
    </i>
    <i r="2">
      <x v="63"/>
    </i>
    <i r="3">
      <x v="104"/>
    </i>
    <i r="3">
      <x v="137"/>
    </i>
    <i r="3">
      <x v="138"/>
    </i>
    <i r="3">
      <x v="166"/>
    </i>
    <i r="3">
      <x v="167"/>
    </i>
    <i r="3">
      <x v="168"/>
    </i>
    <i r="3">
      <x v="169"/>
    </i>
    <i t="blank" r="2">
      <x v="63"/>
    </i>
    <i r="2">
      <x v="64"/>
    </i>
    <i r="3">
      <x v="105"/>
    </i>
    <i t="blank" r="2">
      <x v="64"/>
    </i>
    <i r="2">
      <x v="65"/>
    </i>
    <i r="3">
      <x v="41"/>
    </i>
    <i t="blank" r="2">
      <x v="65"/>
    </i>
    <i r="1">
      <x v="14"/>
    </i>
    <i r="2">
      <x v="46"/>
    </i>
    <i r="3">
      <x v="134"/>
    </i>
    <i r="3">
      <x v="135"/>
    </i>
    <i r="3">
      <x v="136"/>
    </i>
    <i t="blank" r="2">
      <x v="46"/>
    </i>
    <i r="2">
      <x v="47"/>
    </i>
    <i r="3">
      <x v="106"/>
    </i>
    <i t="blank" r="2">
      <x v="47"/>
    </i>
    <i r="2">
      <x v="48"/>
    </i>
    <i r="3">
      <x v="107"/>
    </i>
    <i t="blank" r="2">
      <x v="48"/>
    </i>
    <i r="2">
      <x v="50"/>
    </i>
    <i r="3">
      <x v="108"/>
    </i>
    <i r="3">
      <x v="109"/>
    </i>
    <i t="blank" r="2">
      <x v="50"/>
    </i>
    <i r="2">
      <x v="51"/>
    </i>
    <i r="3">
      <x v="110"/>
    </i>
    <i t="blank" r="2">
      <x v="51"/>
    </i>
    <i r="1">
      <x v="15"/>
    </i>
    <i r="2">
      <x v="52"/>
    </i>
    <i r="3">
      <x v="111"/>
    </i>
    <i t="blank" r="2">
      <x v="52"/>
    </i>
    <i r="2">
      <x v="53"/>
    </i>
    <i r="3">
      <x v="162"/>
    </i>
    <i r="3">
      <x v="163"/>
    </i>
    <i t="blank" r="2">
      <x v="53"/>
    </i>
    <i r="2">
      <x v="54"/>
    </i>
    <i r="3">
      <x v="112"/>
    </i>
    <i r="3">
      <x v="113"/>
    </i>
    <i r="3">
      <x v="114"/>
    </i>
    <i r="3">
      <x v="115"/>
    </i>
    <i t="blank" r="2">
      <x v="54"/>
    </i>
    <i r="2">
      <x v="55"/>
    </i>
    <i r="3">
      <x v="116"/>
    </i>
    <i r="3">
      <x v="152"/>
    </i>
    <i r="3">
      <x v="153"/>
    </i>
    <i r="3">
      <x v="156"/>
    </i>
    <i r="3">
      <x v="157"/>
    </i>
    <i r="3">
      <x v="158"/>
    </i>
    <i r="3">
      <x v="160"/>
    </i>
    <i r="3">
      <x v="161"/>
    </i>
    <i t="blank" r="2">
      <x v="55"/>
    </i>
    <i r="1">
      <x v="16"/>
    </i>
    <i r="2">
      <x v="56"/>
    </i>
    <i r="3">
      <x v="117"/>
    </i>
    <i t="blank" r="2">
      <x v="56"/>
    </i>
    <i r="2">
      <x v="57"/>
    </i>
    <i r="3">
      <x v="131"/>
    </i>
    <i r="3">
      <x v="132"/>
    </i>
    <i r="3">
      <x v="133"/>
    </i>
    <i t="blank" r="2">
      <x v="57"/>
    </i>
    <i r="2">
      <x v="58"/>
    </i>
    <i r="3">
      <x v="118"/>
    </i>
    <i t="blank" r="2">
      <x v="58"/>
    </i>
    <i r="1">
      <x v="17"/>
    </i>
    <i r="2">
      <x v="59"/>
    </i>
    <i r="3">
      <x v="119"/>
    </i>
    <i r="3">
      <x v="120"/>
    </i>
    <i t="blank" r="2">
      <x v="59"/>
    </i>
    <i r="2">
      <x v="60"/>
    </i>
    <i r="3">
      <x v="121"/>
    </i>
    <i t="blank" r="2">
      <x v="60"/>
    </i>
    <i r="2">
      <x v="61"/>
    </i>
    <i r="3">
      <x v="122"/>
    </i>
    <i r="3">
      <x v="123"/>
    </i>
    <i r="3">
      <x v="124"/>
    </i>
    <i r="3">
      <x v="125"/>
    </i>
    <i r="3">
      <x v="141"/>
    </i>
    <i r="3">
      <x v="142"/>
    </i>
    <i t="blank" r="2">
      <x v="61"/>
    </i>
    <i>
      <x v="7"/>
    </i>
    <i r="1">
      <x v="18"/>
    </i>
    <i r="2">
      <x v="68"/>
    </i>
    <i r="3">
      <x v="149"/>
    </i>
    <i t="blank" r="2">
      <x v="68"/>
    </i>
    <i r="1">
      <x v="19"/>
    </i>
    <i r="2">
      <x v="62"/>
    </i>
    <i r="3">
      <x v="143"/>
    </i>
    <i r="3">
      <x v="144"/>
    </i>
    <i r="3">
      <x v="145"/>
    </i>
    <i r="3">
      <x v="146"/>
    </i>
    <i t="blank" r="2">
      <x v="62"/>
    </i>
    <i t="grand">
      <x/>
    </i>
  </rowItems>
  <colFields count="1">
    <field x="-2"/>
  </colFields>
  <colItems count="6">
    <i>
      <x/>
    </i>
    <i i="1">
      <x v="1"/>
    </i>
    <i i="2">
      <x v="2"/>
    </i>
    <i i="3">
      <x v="3"/>
    </i>
    <i i="4">
      <x v="4"/>
    </i>
    <i i="5">
      <x v="5"/>
    </i>
  </colItems>
  <dataFields count="6">
    <dataField name="Sum of 2021" fld="10" baseField="5" baseItem="27" numFmtId="4"/>
    <dataField name="Sum of 2022" fld="19" baseField="5" baseItem="59" numFmtId="4"/>
    <dataField name="Sum of 2023" fld="28" baseField="5" baseItem="59" numFmtId="4"/>
    <dataField name="Sum of 2024" fld="37" baseField="5" baseItem="59" numFmtId="4"/>
    <dataField name="Sum of 2025" fld="46" baseField="5" baseItem="59" numFmtId="4"/>
    <dataField name="Sum of Cost sumar activitate 2021-2025" fld="54" baseField="5" baseItem="150" numFmtId="4"/>
  </dataFields>
  <formats count="476">
    <format dxfId="1068">
      <pivotArea type="all" dataOnly="0" outline="0" fieldPosition="0"/>
    </format>
    <format dxfId="1067">
      <pivotArea outline="0" collapsedLevelsAreSubtotals="1" fieldPosition="0"/>
    </format>
    <format dxfId="1066">
      <pivotArea field="2" type="button" dataOnly="0" labelOnly="1" outline="0" axis="axisRow" fieldPosition="0"/>
    </format>
    <format dxfId="1065">
      <pivotArea dataOnly="0" labelOnly="1" fieldPosition="0">
        <references count="1">
          <reference field="2" count="0"/>
        </references>
      </pivotArea>
    </format>
    <format dxfId="1064">
      <pivotArea dataOnly="0" labelOnly="1" grandRow="1" outline="0" fieldPosition="0"/>
    </format>
    <format dxfId="1063">
      <pivotArea dataOnly="0" labelOnly="1" fieldPosition="0">
        <references count="2">
          <reference field="2" count="1" selected="0">
            <x v="0"/>
          </reference>
          <reference field="3" count="0"/>
        </references>
      </pivotArea>
    </format>
    <format dxfId="1062">
      <pivotArea dataOnly="0" labelOnly="1" fieldPosition="0">
        <references count="3">
          <reference field="2" count="1" selected="0">
            <x v="0"/>
          </reference>
          <reference field="3" count="1" selected="0">
            <x v="0"/>
          </reference>
          <reference field="4" count="0"/>
        </references>
      </pivotArea>
    </format>
    <format dxfId="1061">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060">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57"/>
          </reference>
        </references>
      </pivotArea>
    </format>
    <format dxfId="1059">
      <pivotArea dataOnly="0" labelOnly="1" outline="0" fieldPosition="0">
        <references count="1">
          <reference field="4294967294" count="5">
            <x v="0"/>
            <x v="1"/>
            <x v="2"/>
            <x v="3"/>
            <x v="4"/>
          </reference>
        </references>
      </pivotArea>
    </format>
    <format dxfId="1058">
      <pivotArea dataOnly="0" outline="0" fieldPosition="0">
        <references count="1">
          <reference field="4294967294" count="1">
            <x v="4"/>
          </reference>
        </references>
      </pivotArea>
    </format>
    <format dxfId="1057">
      <pivotArea outline="0" collapsedLevelsAreSubtotals="1" fieldPosition="0"/>
    </format>
    <format dxfId="1056">
      <pivotArea dataOnly="0" labelOnly="1" outline="0" fieldPosition="0">
        <references count="1">
          <reference field="4294967294" count="5">
            <x v="0"/>
            <x v="1"/>
            <x v="2"/>
            <x v="3"/>
            <x v="4"/>
          </reference>
        </references>
      </pivotArea>
    </format>
    <format dxfId="1055">
      <pivotArea outline="0" collapsedLevelsAreSubtotals="1" fieldPosition="0"/>
    </format>
    <format dxfId="1054">
      <pivotArea dataOnly="0" labelOnly="1" outline="0" fieldPosition="0">
        <references count="1">
          <reference field="4294967294" count="5">
            <x v="0"/>
            <x v="1"/>
            <x v="2"/>
            <x v="3"/>
            <x v="4"/>
          </reference>
        </references>
      </pivotArea>
    </format>
    <format dxfId="1053">
      <pivotArea field="2" type="button" dataOnly="0" labelOnly="1" outline="0" axis="axisRow" fieldPosition="0"/>
    </format>
    <format dxfId="1052">
      <pivotArea dataOnly="0" labelOnly="1" fieldPosition="0">
        <references count="1">
          <reference field="2" count="0"/>
        </references>
      </pivotArea>
    </format>
    <format dxfId="1051">
      <pivotArea dataOnly="0" labelOnly="1" grandRow="1" outline="0" fieldPosition="0"/>
    </format>
    <format dxfId="1050">
      <pivotArea dataOnly="0" labelOnly="1" fieldPosition="0">
        <references count="2">
          <reference field="2" count="1" selected="0">
            <x v="0"/>
          </reference>
          <reference field="3" count="0"/>
        </references>
      </pivotArea>
    </format>
    <format dxfId="1049">
      <pivotArea dataOnly="0" labelOnly="1" fieldPosition="0">
        <references count="3">
          <reference field="2" count="1" selected="0">
            <x v="0"/>
          </reference>
          <reference field="3" count="1" selected="0">
            <x v="0"/>
          </reference>
          <reference field="4" count="0"/>
        </references>
      </pivotArea>
    </format>
    <format dxfId="1048">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047">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57"/>
          </reference>
        </references>
      </pivotArea>
    </format>
    <format dxfId="1046">
      <pivotArea type="all" dataOnly="0" outline="0" fieldPosition="0"/>
    </format>
    <format dxfId="1045">
      <pivotArea outline="0" collapsedLevelsAreSubtotals="1" fieldPosition="0"/>
    </format>
    <format dxfId="1044">
      <pivotArea field="2" type="button" dataOnly="0" labelOnly="1" outline="0" axis="axisRow" fieldPosition="0"/>
    </format>
    <format dxfId="1043">
      <pivotArea dataOnly="0" labelOnly="1" fieldPosition="0">
        <references count="1">
          <reference field="2" count="0"/>
        </references>
      </pivotArea>
    </format>
    <format dxfId="1042">
      <pivotArea dataOnly="0" labelOnly="1" grandRow="1" outline="0" fieldPosition="0"/>
    </format>
    <format dxfId="1041">
      <pivotArea dataOnly="0" labelOnly="1" fieldPosition="0">
        <references count="2">
          <reference field="2" count="1" selected="0">
            <x v="0"/>
          </reference>
          <reference field="3" count="0"/>
        </references>
      </pivotArea>
    </format>
    <format dxfId="1040">
      <pivotArea dataOnly="0" labelOnly="1" fieldPosition="0">
        <references count="3">
          <reference field="2" count="1" selected="0">
            <x v="0"/>
          </reference>
          <reference field="3" count="1" selected="0">
            <x v="0"/>
          </reference>
          <reference field="4" count="0"/>
        </references>
      </pivotArea>
    </format>
    <format dxfId="1039">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038">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037">
      <pivotArea dataOnly="0" labelOnly="1" outline="0" fieldPosition="0">
        <references count="1">
          <reference field="4294967294" count="5">
            <x v="0"/>
            <x v="1"/>
            <x v="2"/>
            <x v="3"/>
            <x v="4"/>
          </reference>
        </references>
      </pivotArea>
    </format>
    <format dxfId="1036">
      <pivotArea outline="0" collapsedLevelsAreSubtotals="1" fieldPosition="0">
        <references count="1">
          <reference field="4294967294" count="1" selected="0">
            <x v="4"/>
          </reference>
        </references>
      </pivotArea>
    </format>
    <format dxfId="1035">
      <pivotArea dataOnly="0" labelOnly="1" outline="0" fieldPosition="0">
        <references count="1">
          <reference field="4294967294" count="1">
            <x v="4"/>
          </reference>
        </references>
      </pivotArea>
    </format>
    <format dxfId="1034">
      <pivotArea outline="0" fieldPosition="0">
        <references count="1">
          <reference field="4294967294" count="1">
            <x v="0"/>
          </reference>
        </references>
      </pivotArea>
    </format>
    <format dxfId="1033">
      <pivotArea outline="0" fieldPosition="0">
        <references count="1">
          <reference field="4294967294" count="1">
            <x v="1"/>
          </reference>
        </references>
      </pivotArea>
    </format>
    <format dxfId="1032">
      <pivotArea outline="0" fieldPosition="0">
        <references count="1">
          <reference field="4294967294" count="1">
            <x v="2"/>
          </reference>
        </references>
      </pivotArea>
    </format>
    <format dxfId="1031">
      <pivotArea outline="0" fieldPosition="0">
        <references count="1">
          <reference field="4294967294" count="1">
            <x v="3"/>
          </reference>
        </references>
      </pivotArea>
    </format>
    <format dxfId="1030">
      <pivotArea outline="0" fieldPosition="0">
        <references count="1">
          <reference field="4294967294" count="1">
            <x v="4"/>
          </reference>
        </references>
      </pivotArea>
    </format>
    <format dxfId="1029">
      <pivotArea type="all" dataOnly="0" outline="0" fieldPosition="0"/>
    </format>
    <format dxfId="1028">
      <pivotArea outline="0" collapsedLevelsAreSubtotals="1" fieldPosition="0"/>
    </format>
    <format dxfId="1027">
      <pivotArea field="2" type="button" dataOnly="0" labelOnly="1" outline="0" axis="axisRow" fieldPosition="0"/>
    </format>
    <format dxfId="1026">
      <pivotArea dataOnly="0" labelOnly="1" fieldPosition="0">
        <references count="1">
          <reference field="2" count="0"/>
        </references>
      </pivotArea>
    </format>
    <format dxfId="1025">
      <pivotArea dataOnly="0" labelOnly="1" grandRow="1" outline="0" fieldPosition="0"/>
    </format>
    <format dxfId="1024">
      <pivotArea dataOnly="0" labelOnly="1" fieldPosition="0">
        <references count="2">
          <reference field="2" count="1" selected="0">
            <x v="0"/>
          </reference>
          <reference field="3" count="0"/>
        </references>
      </pivotArea>
    </format>
    <format dxfId="1023">
      <pivotArea dataOnly="0" labelOnly="1" fieldPosition="0">
        <references count="3">
          <reference field="2" count="1" selected="0">
            <x v="0"/>
          </reference>
          <reference field="3" count="1" selected="0">
            <x v="0"/>
          </reference>
          <reference field="4" count="0"/>
        </references>
      </pivotArea>
    </format>
    <format dxfId="1022">
      <pivotArea dataOnly="0" labelOnly="1" fieldPosition="0">
        <references count="4">
          <reference field="2" count="1" selected="0">
            <x v="0"/>
          </reference>
          <reference field="3" count="1" selected="0">
            <x v="0"/>
          </reference>
          <reference field="4" count="1" selected="0">
            <x v="0"/>
          </reference>
          <reference field="5" count="40">
            <x v="0"/>
            <x v="1"/>
            <x v="2"/>
            <x v="3"/>
            <x v="5"/>
            <x v="6"/>
            <x v="7"/>
            <x v="8"/>
            <x v="9"/>
            <x v="26"/>
            <x v="27"/>
            <x v="28"/>
            <x v="29"/>
            <x v="30"/>
            <x v="31"/>
            <x v="42"/>
            <x v="43"/>
            <x v="44"/>
            <x v="45"/>
            <x v="46"/>
            <x v="47"/>
            <x v="48"/>
            <x v="49"/>
            <x v="50"/>
            <x v="51"/>
            <x v="52"/>
            <x v="53"/>
            <x v="54"/>
            <x v="55"/>
            <x v="56"/>
            <x v="57"/>
            <x v="58"/>
            <x v="59"/>
            <x v="60"/>
            <x v="61"/>
            <x v="62"/>
            <x v="63"/>
            <x v="64"/>
            <x v="65"/>
            <x v="66"/>
          </reference>
        </references>
      </pivotArea>
    </format>
    <format dxfId="1021">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020">
      <pivotArea dataOnly="0" labelOnly="1" outline="0" fieldPosition="0">
        <references count="1">
          <reference field="4294967294" count="5">
            <x v="0"/>
            <x v="1"/>
            <x v="2"/>
            <x v="3"/>
            <x v="4"/>
          </reference>
        </references>
      </pivotArea>
    </format>
    <format dxfId="1019">
      <pivotArea outline="0" collapsedLevelsAreSubtotals="1" fieldPosition="0">
        <references count="1">
          <reference field="4294967294" count="1" selected="0">
            <x v="5"/>
          </reference>
        </references>
      </pivotArea>
    </format>
    <format dxfId="1018">
      <pivotArea dataOnly="0" labelOnly="1" outline="0" fieldPosition="0">
        <references count="1">
          <reference field="4294967294" count="1">
            <x v="5"/>
          </reference>
        </references>
      </pivotArea>
    </format>
    <format dxfId="1017">
      <pivotArea type="all" dataOnly="0" outline="0" fieldPosition="0"/>
    </format>
    <format dxfId="1016">
      <pivotArea dataOnly="0" labelOnly="1" fieldPosition="0">
        <references count="3">
          <reference field="2" count="1" selected="0">
            <x v="0"/>
          </reference>
          <reference field="3" count="1" selected="0">
            <x v="0"/>
          </reference>
          <reference field="4" count="0"/>
        </references>
      </pivotArea>
    </format>
    <format dxfId="1015">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014">
      <pivotArea dataOnly="0" labelOnly="1" fieldPosition="0">
        <references count="3">
          <reference field="2" count="1" selected="0">
            <x v="0"/>
          </reference>
          <reference field="3" count="1" selected="0">
            <x v="0"/>
          </reference>
          <reference field="4" count="0"/>
        </references>
      </pivotArea>
    </format>
    <format dxfId="1013">
      <pivotArea dataOnly="0" labelOnly="1" fieldPosition="0">
        <references count="4">
          <reference field="2" count="1" selected="0">
            <x v="3"/>
          </reference>
          <reference field="3" count="1" selected="0">
            <x v="6"/>
          </reference>
          <reference field="4" count="1" selected="0">
            <x v="19"/>
          </reference>
          <reference field="5" count="27">
            <x v="10"/>
            <x v="11"/>
            <x v="12"/>
            <x v="13"/>
            <x v="14"/>
            <x v="15"/>
            <x v="16"/>
            <x v="17"/>
            <x v="18"/>
            <x v="19"/>
            <x v="20"/>
            <x v="21"/>
            <x v="22"/>
            <x v="23"/>
            <x v="24"/>
            <x v="25"/>
            <x v="32"/>
            <x v="33"/>
            <x v="34"/>
            <x v="35"/>
            <x v="36"/>
            <x v="37"/>
            <x v="38"/>
            <x v="39"/>
            <x v="40"/>
            <x v="41"/>
            <x v="67"/>
          </reference>
        </references>
      </pivotArea>
    </format>
    <format dxfId="1012">
      <pivotArea dataOnly="0" labelOnly="1" fieldPosition="0">
        <references count="4">
          <reference field="2" count="1" selected="0">
            <x v="5"/>
          </reference>
          <reference field="3" count="1" selected="0">
            <x v="13"/>
          </reference>
          <reference field="4" count="1" selected="0">
            <x v="40"/>
          </reference>
          <reference field="5" count="36">
            <x v="14"/>
            <x v="15"/>
            <x v="16"/>
            <x v="23"/>
            <x v="24"/>
            <x v="25"/>
            <x v="32"/>
            <x v="41"/>
            <x v="73"/>
            <x v="96"/>
            <x v="99"/>
            <x v="100"/>
            <x v="101"/>
            <x v="102"/>
            <x v="103"/>
            <x v="104"/>
            <x v="105"/>
            <x v="106"/>
            <x v="107"/>
            <x v="108"/>
            <x v="109"/>
            <x v="110"/>
            <x v="111"/>
            <x v="112"/>
            <x v="113"/>
            <x v="114"/>
            <x v="115"/>
            <x v="116"/>
            <x v="117"/>
            <x v="118"/>
            <x v="119"/>
            <x v="120"/>
            <x v="121"/>
            <x v="122"/>
            <x v="123"/>
            <x v="133"/>
          </reference>
        </references>
      </pivotArea>
    </format>
    <format dxfId="1011">
      <pivotArea dataOnly="0" labelOnly="1" fieldPosition="0">
        <references count="3">
          <reference field="2" count="1" selected="0">
            <x v="0"/>
          </reference>
          <reference field="3" count="1" selected="0">
            <x v="0"/>
          </reference>
          <reference field="4" count="50">
            <x v="0"/>
            <x v="1"/>
            <x v="2"/>
            <x v="3"/>
            <x v="4"/>
            <x v="5"/>
            <x v="6"/>
            <x v="7"/>
            <x v="8"/>
            <x v="9"/>
            <x v="10"/>
            <x v="11"/>
            <x v="12"/>
            <x v="13"/>
            <x v="14"/>
            <x v="15"/>
            <x v="16"/>
            <x v="17"/>
            <x v="18"/>
            <x v="19"/>
            <x v="20"/>
            <x v="21"/>
            <x v="22"/>
            <x v="23"/>
            <x v="24"/>
            <x v="25"/>
            <x v="26"/>
            <x v="27"/>
            <x v="28"/>
            <x v="29"/>
            <x v="30"/>
            <x v="31"/>
            <x v="32"/>
            <x v="33"/>
            <x v="34"/>
            <x v="35"/>
            <x v="36"/>
            <x v="38"/>
            <x v="39"/>
            <x v="40"/>
            <x v="41"/>
            <x v="42"/>
            <x v="43"/>
            <x v="44"/>
            <x v="45"/>
            <x v="46"/>
            <x v="63"/>
            <x v="64"/>
            <x v="65"/>
            <x v="66"/>
          </reference>
        </references>
      </pivotArea>
    </format>
    <format dxfId="1010">
      <pivotArea dataOnly="0" labelOnly="1" fieldPosition="0">
        <references count="4">
          <reference field="2" count="1" selected="0">
            <x v="5"/>
          </reference>
          <reference field="3" count="1" selected="0">
            <x v="13"/>
          </reference>
          <reference field="4" count="1" selected="0">
            <x v="40"/>
          </reference>
          <reference field="5" count="36">
            <x v="14"/>
            <x v="15"/>
            <x v="16"/>
            <x v="23"/>
            <x v="24"/>
            <x v="25"/>
            <x v="32"/>
            <x v="41"/>
            <x v="73"/>
            <x v="99"/>
            <x v="100"/>
            <x v="101"/>
            <x v="102"/>
            <x v="103"/>
            <x v="104"/>
            <x v="105"/>
            <x v="106"/>
            <x v="107"/>
            <x v="108"/>
            <x v="109"/>
            <x v="110"/>
            <x v="111"/>
            <x v="112"/>
            <x v="113"/>
            <x v="114"/>
            <x v="115"/>
            <x v="116"/>
            <x v="117"/>
            <x v="118"/>
            <x v="119"/>
            <x v="120"/>
            <x v="121"/>
            <x v="122"/>
            <x v="123"/>
            <x v="124"/>
            <x v="133"/>
          </reference>
        </references>
      </pivotArea>
    </format>
    <format dxfId="1009">
      <pivotArea field="2" type="button" dataOnly="0" labelOnly="1" outline="0" axis="axisRow" fieldPosition="0"/>
    </format>
    <format dxfId="1008">
      <pivotArea dataOnly="0" labelOnly="1" fieldPosition="0">
        <references count="1">
          <reference field="2" count="0"/>
        </references>
      </pivotArea>
    </format>
    <format dxfId="1007">
      <pivotArea dataOnly="0" labelOnly="1" grandRow="1" outline="0" fieldPosition="0"/>
    </format>
    <format dxfId="1006">
      <pivotArea dataOnly="0" labelOnly="1" fieldPosition="0">
        <references count="2">
          <reference field="2" count="1" selected="0">
            <x v="0"/>
          </reference>
          <reference field="3" count="0"/>
        </references>
      </pivotArea>
    </format>
    <format dxfId="1005">
      <pivotArea dataOnly="0" labelOnly="1" fieldPosition="0">
        <references count="3">
          <reference field="2" count="1" selected="0">
            <x v="0"/>
          </reference>
          <reference field="3" count="1" selected="0">
            <x v="0"/>
          </reference>
          <reference field="4" count="25">
            <x v="0"/>
            <x v="1"/>
            <x v="2"/>
            <x v="3"/>
            <x v="4"/>
            <x v="5"/>
            <x v="6"/>
            <x v="7"/>
            <x v="8"/>
            <x v="9"/>
            <x v="10"/>
            <x v="11"/>
            <x v="12"/>
            <x v="13"/>
            <x v="14"/>
            <x v="15"/>
            <x v="16"/>
            <x v="17"/>
            <x v="18"/>
            <x v="19"/>
            <x v="20"/>
            <x v="30"/>
            <x v="31"/>
            <x v="32"/>
            <x v="33"/>
          </reference>
        </references>
      </pivotArea>
    </format>
    <format dxfId="1004">
      <pivotArea dataOnly="0" labelOnly="1" fieldPosition="0">
        <references count="3">
          <reference field="2" count="1" selected="0">
            <x v="4"/>
          </reference>
          <reference field="3" count="1" selected="0">
            <x v="7"/>
          </reference>
          <reference field="4" count="25">
            <x v="21"/>
            <x v="22"/>
            <x v="23"/>
            <x v="24"/>
            <x v="25"/>
            <x v="26"/>
            <x v="27"/>
            <x v="28"/>
            <x v="29"/>
            <x v="34"/>
            <x v="35"/>
            <x v="36"/>
            <x v="38"/>
            <x v="39"/>
            <x v="40"/>
            <x v="41"/>
            <x v="42"/>
            <x v="43"/>
            <x v="44"/>
            <x v="45"/>
            <x v="46"/>
            <x v="63"/>
            <x v="64"/>
            <x v="65"/>
            <x v="66"/>
          </reference>
        </references>
      </pivotArea>
    </format>
    <format dxfId="1003">
      <pivotArea dataOnly="0" labelOnly="1" fieldPosition="0">
        <references count="3">
          <reference field="2" count="1" selected="0">
            <x v="6"/>
          </reference>
          <reference field="3" count="1" selected="0">
            <x v="14"/>
          </reference>
          <reference field="4" count="15">
            <x v="47"/>
            <x v="48"/>
            <x v="50"/>
            <x v="51"/>
            <x v="52"/>
            <x v="53"/>
            <x v="54"/>
            <x v="55"/>
            <x v="56"/>
            <x v="57"/>
            <x v="58"/>
            <x v="59"/>
            <x v="60"/>
            <x v="61"/>
            <x v="62"/>
          </reference>
        </references>
      </pivotArea>
    </format>
    <format dxfId="1002">
      <pivotArea dataOnly="0" labelOnly="1" fieldPosition="0">
        <references count="4">
          <reference field="2" count="1" selected="0">
            <x v="0"/>
          </reference>
          <reference field="3" count="1" selected="0">
            <x v="0"/>
          </reference>
          <reference field="4" count="1" selected="0">
            <x v="0"/>
          </reference>
          <reference field="5" count="46">
            <x v="0"/>
            <x v="1"/>
            <x v="2"/>
            <x v="3"/>
            <x v="4"/>
            <x v="5"/>
            <x v="6"/>
            <x v="7"/>
            <x v="8"/>
            <x v="9"/>
            <x v="26"/>
            <x v="27"/>
            <x v="28"/>
            <x v="29"/>
            <x v="30"/>
            <x v="31"/>
            <x v="42"/>
            <x v="43"/>
            <x v="44"/>
            <x v="45"/>
            <x v="46"/>
            <x v="47"/>
            <x v="48"/>
            <x v="49"/>
            <x v="50"/>
            <x v="51"/>
            <x v="52"/>
            <x v="53"/>
            <x v="54"/>
            <x v="55"/>
            <x v="56"/>
            <x v="57"/>
            <x v="58"/>
            <x v="59"/>
            <x v="60"/>
            <x v="61"/>
            <x v="62"/>
            <x v="63"/>
            <x v="64"/>
            <x v="65"/>
            <x v="66"/>
            <x v="68"/>
            <x v="69"/>
            <x v="94"/>
            <x v="128"/>
            <x v="129"/>
          </reference>
        </references>
      </pivotArea>
    </format>
    <format dxfId="1001">
      <pivotArea dataOnly="0" labelOnly="1" fieldPosition="0">
        <references count="4">
          <reference field="2" count="1" selected="0">
            <x v="3"/>
          </reference>
          <reference field="3" count="1" selected="0">
            <x v="6"/>
          </reference>
          <reference field="4" count="1" selected="0">
            <x v="19"/>
          </reference>
          <reference field="5" count="45">
            <x v="10"/>
            <x v="11"/>
            <x v="12"/>
            <x v="13"/>
            <x v="17"/>
            <x v="18"/>
            <x v="19"/>
            <x v="20"/>
            <x v="21"/>
            <x v="22"/>
            <x v="33"/>
            <x v="34"/>
            <x v="35"/>
            <x v="36"/>
            <x v="37"/>
            <x v="38"/>
            <x v="39"/>
            <x v="40"/>
            <x v="67"/>
            <x v="70"/>
            <x v="71"/>
            <x v="72"/>
            <x v="74"/>
            <x v="75"/>
            <x v="76"/>
            <x v="77"/>
            <x v="78"/>
            <x v="79"/>
            <x v="80"/>
            <x v="81"/>
            <x v="82"/>
            <x v="83"/>
            <x v="84"/>
            <x v="85"/>
            <x v="86"/>
            <x v="87"/>
            <x v="88"/>
            <x v="89"/>
            <x v="90"/>
            <x v="91"/>
            <x v="92"/>
            <x v="93"/>
            <x v="96"/>
            <x v="126"/>
            <x v="127"/>
          </reference>
        </references>
      </pivotArea>
    </format>
    <format dxfId="1000">
      <pivotArea dataOnly="0" labelOnly="1" fieldPosition="0">
        <references count="4">
          <reference field="2" count="1" selected="0">
            <x v="5"/>
          </reference>
          <reference field="3" count="1" selected="0">
            <x v="13"/>
          </reference>
          <reference field="4" count="1" selected="0">
            <x v="40"/>
          </reference>
          <reference field="5" count="36">
            <x v="14"/>
            <x v="15"/>
            <x v="16"/>
            <x v="23"/>
            <x v="24"/>
            <x v="25"/>
            <x v="32"/>
            <x v="41"/>
            <x v="73"/>
            <x v="95"/>
            <x v="97"/>
            <x v="98"/>
            <x v="99"/>
            <x v="100"/>
            <x v="101"/>
            <x v="102"/>
            <x v="103"/>
            <x v="104"/>
            <x v="105"/>
            <x v="106"/>
            <x v="107"/>
            <x v="108"/>
            <x v="109"/>
            <x v="110"/>
            <x v="111"/>
            <x v="112"/>
            <x v="113"/>
            <x v="114"/>
            <x v="115"/>
            <x v="116"/>
            <x v="117"/>
            <x v="118"/>
            <x v="119"/>
            <x v="120"/>
            <x v="121"/>
            <x v="133"/>
          </reference>
        </references>
      </pivotArea>
    </format>
    <format dxfId="999">
      <pivotArea dataOnly="0" labelOnly="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998">
      <pivotArea dataOnly="0" labelOnly="1" fieldPosition="0">
        <references count="3">
          <reference field="2" count="1" selected="0">
            <x v="1"/>
          </reference>
          <reference field="3" count="1" selected="0">
            <x v="1"/>
          </reference>
          <reference field="4" count="5">
            <x v="1"/>
            <x v="2"/>
            <x v="3"/>
            <x v="4"/>
            <x v="5"/>
          </reference>
        </references>
      </pivotArea>
    </format>
    <format dxfId="997">
      <pivotArea collapsedLevelsAreSubtotals="1" fieldPosition="0">
        <references count="1">
          <reference field="2" count="1">
            <x v="1"/>
          </reference>
        </references>
      </pivotArea>
    </format>
    <format dxfId="996">
      <pivotArea collapsedLevelsAreSubtotals="1" fieldPosition="0">
        <references count="2">
          <reference field="2" count="1" selected="0">
            <x v="1"/>
          </reference>
          <reference field="3" count="1">
            <x v="1"/>
          </reference>
        </references>
      </pivotArea>
    </format>
    <format dxfId="995">
      <pivotArea collapsedLevelsAreSubtotals="1" fieldPosition="0">
        <references count="3">
          <reference field="2" count="1" selected="0">
            <x v="1"/>
          </reference>
          <reference field="3" count="1" selected="0">
            <x v="1"/>
          </reference>
          <reference field="4" count="1">
            <x v="1"/>
          </reference>
        </references>
      </pivotArea>
    </format>
    <format dxfId="994">
      <pivotArea collapsedLevelsAreSubtotals="1" fieldPosition="0">
        <references count="4">
          <reference field="2" count="1" selected="0">
            <x v="1"/>
          </reference>
          <reference field="3" count="1" selected="0">
            <x v="1"/>
          </reference>
          <reference field="4" count="1" selected="0">
            <x v="1"/>
          </reference>
          <reference field="5" count="1">
            <x v="1"/>
          </reference>
        </references>
      </pivotArea>
    </format>
    <format dxfId="993">
      <pivotArea collapsedLevelsAreSubtotals="1" fieldPosition="0">
        <references count="3">
          <reference field="2" count="1" selected="0">
            <x v="1"/>
          </reference>
          <reference field="3" count="1" selected="0">
            <x v="1"/>
          </reference>
          <reference field="4" count="1">
            <x v="1"/>
          </reference>
        </references>
      </pivotArea>
    </format>
    <format dxfId="992">
      <pivotArea collapsedLevelsAreSubtotals="1" fieldPosition="0">
        <references count="3">
          <reference field="2" count="1" selected="0">
            <x v="1"/>
          </reference>
          <reference field="3" count="1" selected="0">
            <x v="1"/>
          </reference>
          <reference field="4" count="1">
            <x v="2"/>
          </reference>
        </references>
      </pivotArea>
    </format>
    <format dxfId="991">
      <pivotArea collapsedLevelsAreSubtotals="1" fieldPosition="0">
        <references count="4">
          <reference field="2" count="1" selected="0">
            <x v="1"/>
          </reference>
          <reference field="3" count="1" selected="0">
            <x v="1"/>
          </reference>
          <reference field="4" count="1" selected="0">
            <x v="2"/>
          </reference>
          <reference field="5" count="1">
            <x v="2"/>
          </reference>
        </references>
      </pivotArea>
    </format>
    <format dxfId="990">
      <pivotArea collapsedLevelsAreSubtotals="1" fieldPosition="0">
        <references count="3">
          <reference field="2" count="1" selected="0">
            <x v="1"/>
          </reference>
          <reference field="3" count="1" selected="0">
            <x v="1"/>
          </reference>
          <reference field="4" count="1">
            <x v="2"/>
          </reference>
        </references>
      </pivotArea>
    </format>
    <format dxfId="989">
      <pivotArea collapsedLevelsAreSubtotals="1" fieldPosition="0">
        <references count="3">
          <reference field="2" count="1" selected="0">
            <x v="1"/>
          </reference>
          <reference field="3" count="1" selected="0">
            <x v="1"/>
          </reference>
          <reference field="4" count="1">
            <x v="3"/>
          </reference>
        </references>
      </pivotArea>
    </format>
    <format dxfId="988">
      <pivotArea collapsedLevelsAreSubtotals="1" fieldPosition="0">
        <references count="4">
          <reference field="2" count="1" selected="0">
            <x v="1"/>
          </reference>
          <reference field="3" count="1" selected="0">
            <x v="1"/>
          </reference>
          <reference field="4" count="1" selected="0">
            <x v="3"/>
          </reference>
          <reference field="5" count="1">
            <x v="3"/>
          </reference>
        </references>
      </pivotArea>
    </format>
    <format dxfId="987">
      <pivotArea collapsedLevelsAreSubtotals="1" fieldPosition="0">
        <references count="3">
          <reference field="2" count="1" selected="0">
            <x v="1"/>
          </reference>
          <reference field="3" count="1" selected="0">
            <x v="1"/>
          </reference>
          <reference field="4" count="1">
            <x v="3"/>
          </reference>
        </references>
      </pivotArea>
    </format>
    <format dxfId="986">
      <pivotArea collapsedLevelsAreSubtotals="1" fieldPosition="0">
        <references count="3">
          <reference field="2" count="1" selected="0">
            <x v="1"/>
          </reference>
          <reference field="3" count="1" selected="0">
            <x v="1"/>
          </reference>
          <reference field="4" count="1">
            <x v="4"/>
          </reference>
        </references>
      </pivotArea>
    </format>
    <format dxfId="985">
      <pivotArea collapsedLevelsAreSubtotals="1" fieldPosition="0">
        <references count="4">
          <reference field="2" count="1" selected="0">
            <x v="1"/>
          </reference>
          <reference field="3" count="1" selected="0">
            <x v="1"/>
          </reference>
          <reference field="4" count="1" selected="0">
            <x v="4"/>
          </reference>
          <reference field="5" count="4">
            <x v="4"/>
            <x v="5"/>
            <x v="6"/>
            <x v="68"/>
          </reference>
        </references>
      </pivotArea>
    </format>
    <format dxfId="984">
      <pivotArea collapsedLevelsAreSubtotals="1" fieldPosition="0">
        <references count="3">
          <reference field="2" count="1" selected="0">
            <x v="1"/>
          </reference>
          <reference field="3" count="1" selected="0">
            <x v="1"/>
          </reference>
          <reference field="4" count="1">
            <x v="4"/>
          </reference>
        </references>
      </pivotArea>
    </format>
    <format dxfId="983">
      <pivotArea collapsedLevelsAreSubtotals="1" fieldPosition="0">
        <references count="3">
          <reference field="2" count="1" selected="0">
            <x v="1"/>
          </reference>
          <reference field="3" count="1" selected="0">
            <x v="1"/>
          </reference>
          <reference field="4" count="1">
            <x v="5"/>
          </reference>
        </references>
      </pivotArea>
    </format>
    <format dxfId="982">
      <pivotArea collapsedLevelsAreSubtotals="1" fieldPosition="0">
        <references count="3">
          <reference field="2" count="1" selected="0">
            <x v="1"/>
          </reference>
          <reference field="3" count="1" selected="0">
            <x v="1"/>
          </reference>
          <reference field="4" count="1">
            <x v="5"/>
          </reference>
        </references>
      </pivotArea>
    </format>
    <format dxfId="981">
      <pivotArea collapsedLevelsAreSubtotals="1" fieldPosition="0">
        <references count="1">
          <reference field="2" count="1">
            <x v="2"/>
          </reference>
        </references>
      </pivotArea>
    </format>
    <format dxfId="980">
      <pivotArea collapsedLevelsAreSubtotals="1" fieldPosition="0">
        <references count="2">
          <reference field="2" count="1" selected="0">
            <x v="2"/>
          </reference>
          <reference field="3" count="1">
            <x v="2"/>
          </reference>
        </references>
      </pivotArea>
    </format>
    <format dxfId="979">
      <pivotArea collapsedLevelsAreSubtotals="1" fieldPosition="0">
        <references count="3">
          <reference field="2" count="1" selected="0">
            <x v="2"/>
          </reference>
          <reference field="3" count="1" selected="0">
            <x v="2"/>
          </reference>
          <reference field="4" count="1">
            <x v="6"/>
          </reference>
        </references>
      </pivotArea>
    </format>
    <format dxfId="978">
      <pivotArea collapsedLevelsAreSubtotals="1" fieldPosition="0">
        <references count="3">
          <reference field="2" count="1" selected="0">
            <x v="2"/>
          </reference>
          <reference field="3" count="1" selected="0">
            <x v="2"/>
          </reference>
          <reference field="4" count="1">
            <x v="6"/>
          </reference>
        </references>
      </pivotArea>
    </format>
    <format dxfId="977">
      <pivotArea collapsedLevelsAreSubtotals="1" fieldPosition="0">
        <references count="2">
          <reference field="2" count="1" selected="0">
            <x v="2"/>
          </reference>
          <reference field="3" count="1">
            <x v="3"/>
          </reference>
        </references>
      </pivotArea>
    </format>
    <format dxfId="976">
      <pivotArea collapsedLevelsAreSubtotals="1" fieldPosition="0">
        <references count="3">
          <reference field="2" count="1" selected="0">
            <x v="2"/>
          </reference>
          <reference field="3" count="1" selected="0">
            <x v="3"/>
          </reference>
          <reference field="4" count="1">
            <x v="7"/>
          </reference>
        </references>
      </pivotArea>
    </format>
    <format dxfId="975">
      <pivotArea collapsedLevelsAreSubtotals="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974">
      <pivotArea collapsedLevelsAreSubtotals="1" fieldPosition="0">
        <references count="3">
          <reference field="2" count="1" selected="0">
            <x v="2"/>
          </reference>
          <reference field="3" count="1" selected="0">
            <x v="3"/>
          </reference>
          <reference field="4" count="1">
            <x v="7"/>
          </reference>
        </references>
      </pivotArea>
    </format>
    <format dxfId="973">
      <pivotArea collapsedLevelsAreSubtotals="1" fieldPosition="0">
        <references count="3">
          <reference field="2" count="1" selected="0">
            <x v="2"/>
          </reference>
          <reference field="3" count="1" selected="0">
            <x v="3"/>
          </reference>
          <reference field="4" count="1">
            <x v="8"/>
          </reference>
        </references>
      </pivotArea>
    </format>
    <format dxfId="972">
      <pivotArea collapsedLevelsAreSubtotals="1" fieldPosition="0">
        <references count="4">
          <reference field="2" count="1" selected="0">
            <x v="2"/>
          </reference>
          <reference field="3" count="1" selected="0">
            <x v="3"/>
          </reference>
          <reference field="4" count="1" selected="0">
            <x v="8"/>
          </reference>
          <reference field="5" count="2">
            <x v="28"/>
            <x v="29"/>
          </reference>
        </references>
      </pivotArea>
    </format>
    <format dxfId="971">
      <pivotArea collapsedLevelsAreSubtotals="1" fieldPosition="0">
        <references count="3">
          <reference field="2" count="1" selected="0">
            <x v="2"/>
          </reference>
          <reference field="3" count="1" selected="0">
            <x v="3"/>
          </reference>
          <reference field="4" count="1">
            <x v="8"/>
          </reference>
        </references>
      </pivotArea>
    </format>
    <format dxfId="970">
      <pivotArea collapsedLevelsAreSubtotals="1" fieldPosition="0">
        <references count="3">
          <reference field="2" count="1" selected="0">
            <x v="2"/>
          </reference>
          <reference field="3" count="1" selected="0">
            <x v="3"/>
          </reference>
          <reference field="4" count="1">
            <x v="9"/>
          </reference>
        </references>
      </pivotArea>
    </format>
    <format dxfId="969">
      <pivotArea collapsedLevelsAreSubtotals="1" fieldPosition="0">
        <references count="4">
          <reference field="2" count="1" selected="0">
            <x v="2"/>
          </reference>
          <reference field="3" count="1" selected="0">
            <x v="3"/>
          </reference>
          <reference field="4" count="1" selected="0">
            <x v="9"/>
          </reference>
          <reference field="5" count="2">
            <x v="7"/>
            <x v="8"/>
          </reference>
        </references>
      </pivotArea>
    </format>
    <format dxfId="968">
      <pivotArea collapsedLevelsAreSubtotals="1" fieldPosition="0">
        <references count="3">
          <reference field="2" count="1" selected="0">
            <x v="2"/>
          </reference>
          <reference field="3" count="1" selected="0">
            <x v="3"/>
          </reference>
          <reference field="4" count="1">
            <x v="9"/>
          </reference>
        </references>
      </pivotArea>
    </format>
    <format dxfId="967">
      <pivotArea collapsedLevelsAreSubtotals="1" fieldPosition="0">
        <references count="2">
          <reference field="2" count="1" selected="0">
            <x v="2"/>
          </reference>
          <reference field="3" count="1">
            <x v="4"/>
          </reference>
        </references>
      </pivotArea>
    </format>
    <format dxfId="966">
      <pivotArea collapsedLevelsAreSubtotals="1" fieldPosition="0">
        <references count="3">
          <reference field="2" count="1" selected="0">
            <x v="2"/>
          </reference>
          <reference field="3" count="1" selected="0">
            <x v="4"/>
          </reference>
          <reference field="4" count="1">
            <x v="10"/>
          </reference>
        </references>
      </pivotArea>
    </format>
    <format dxfId="965">
      <pivotArea collapsedLevelsAreSubtotals="1" fieldPosition="0">
        <references count="4">
          <reference field="2" count="1" selected="0">
            <x v="2"/>
          </reference>
          <reference field="3" count="1" selected="0">
            <x v="4"/>
          </reference>
          <reference field="4" count="1" selected="0">
            <x v="10"/>
          </reference>
          <reference field="5" count="2">
            <x v="30"/>
            <x v="31"/>
          </reference>
        </references>
      </pivotArea>
    </format>
    <format dxfId="964">
      <pivotArea collapsedLevelsAreSubtotals="1" fieldPosition="0">
        <references count="3">
          <reference field="2" count="1" selected="0">
            <x v="2"/>
          </reference>
          <reference field="3" count="1" selected="0">
            <x v="4"/>
          </reference>
          <reference field="4" count="1">
            <x v="10"/>
          </reference>
        </references>
      </pivotArea>
    </format>
    <format dxfId="963">
      <pivotArea collapsedLevelsAreSubtotals="1" fieldPosition="0">
        <references count="3">
          <reference field="2" count="1" selected="0">
            <x v="2"/>
          </reference>
          <reference field="3" count="1" selected="0">
            <x v="4"/>
          </reference>
          <reference field="4" count="1">
            <x v="11"/>
          </reference>
        </references>
      </pivotArea>
    </format>
    <format dxfId="962">
      <pivotArea collapsedLevelsAreSubtotals="1" fieldPosition="0">
        <references count="4">
          <reference field="2" count="1" selected="0">
            <x v="2"/>
          </reference>
          <reference field="3" count="1" selected="0">
            <x v="4"/>
          </reference>
          <reference field="4" count="1" selected="0">
            <x v="11"/>
          </reference>
          <reference field="5" count="1">
            <x v="42"/>
          </reference>
        </references>
      </pivotArea>
    </format>
    <format dxfId="961">
      <pivotArea collapsedLevelsAreSubtotals="1" fieldPosition="0">
        <references count="3">
          <reference field="2" count="1" selected="0">
            <x v="2"/>
          </reference>
          <reference field="3" count="1" selected="0">
            <x v="4"/>
          </reference>
          <reference field="4" count="1">
            <x v="11"/>
          </reference>
        </references>
      </pivotArea>
    </format>
    <format dxfId="960">
      <pivotArea collapsedLevelsAreSubtotals="1" fieldPosition="0">
        <references count="3">
          <reference field="2" count="1" selected="0">
            <x v="2"/>
          </reference>
          <reference field="3" count="1" selected="0">
            <x v="4"/>
          </reference>
          <reference field="4" count="1">
            <x v="12"/>
          </reference>
        </references>
      </pivotArea>
    </format>
    <format dxfId="959">
      <pivotArea collapsedLevelsAreSubtotals="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958">
      <pivotArea collapsedLevelsAreSubtotals="1" fieldPosition="0">
        <references count="3">
          <reference field="2" count="1" selected="0">
            <x v="2"/>
          </reference>
          <reference field="3" count="1" selected="0">
            <x v="4"/>
          </reference>
          <reference field="4" count="1">
            <x v="12"/>
          </reference>
        </references>
      </pivotArea>
    </format>
    <format dxfId="957">
      <pivotArea collapsedLevelsAreSubtotals="1" fieldPosition="0">
        <references count="1">
          <reference field="2" count="1">
            <x v="3"/>
          </reference>
        </references>
      </pivotArea>
    </format>
    <format dxfId="956">
      <pivotArea collapsedLevelsAreSubtotals="1" fieldPosition="0">
        <references count="2">
          <reference field="2" count="1" selected="0">
            <x v="3"/>
          </reference>
          <reference field="3" count="1">
            <x v="5"/>
          </reference>
        </references>
      </pivotArea>
    </format>
    <format dxfId="955">
      <pivotArea collapsedLevelsAreSubtotals="1" fieldPosition="0">
        <references count="3">
          <reference field="2" count="1" selected="0">
            <x v="3"/>
          </reference>
          <reference field="3" count="1" selected="0">
            <x v="5"/>
          </reference>
          <reference field="4" count="1">
            <x v="13"/>
          </reference>
        </references>
      </pivotArea>
    </format>
    <format dxfId="954">
      <pivotArea collapsedLevelsAreSubtotals="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953">
      <pivotArea collapsedLevelsAreSubtotals="1" fieldPosition="0">
        <references count="3">
          <reference field="2" count="1" selected="0">
            <x v="3"/>
          </reference>
          <reference field="3" count="1" selected="0">
            <x v="5"/>
          </reference>
          <reference field="4" count="1">
            <x v="13"/>
          </reference>
        </references>
      </pivotArea>
    </format>
    <format dxfId="952">
      <pivotArea collapsedLevelsAreSubtotals="1" fieldPosition="0">
        <references count="3">
          <reference field="2" count="1" selected="0">
            <x v="3"/>
          </reference>
          <reference field="3" count="1" selected="0">
            <x v="5"/>
          </reference>
          <reference field="4" count="1">
            <x v="14"/>
          </reference>
        </references>
      </pivotArea>
    </format>
    <format dxfId="951">
      <pivotArea collapsedLevelsAreSubtotals="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950">
      <pivotArea collapsedLevelsAreSubtotals="1" fieldPosition="0">
        <references count="3">
          <reference field="2" count="1" selected="0">
            <x v="3"/>
          </reference>
          <reference field="3" count="1" selected="0">
            <x v="5"/>
          </reference>
          <reference field="4" count="1">
            <x v="14"/>
          </reference>
        </references>
      </pivotArea>
    </format>
    <format dxfId="949">
      <pivotArea collapsedLevelsAreSubtotals="1" fieldPosition="0">
        <references count="3">
          <reference field="2" count="1" selected="0">
            <x v="3"/>
          </reference>
          <reference field="3" count="1" selected="0">
            <x v="5"/>
          </reference>
          <reference field="4" count="1">
            <x v="15"/>
          </reference>
        </references>
      </pivotArea>
    </format>
    <format dxfId="948">
      <pivotArea collapsedLevelsAreSubtotals="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947">
      <pivotArea collapsedLevelsAreSubtotals="1" fieldPosition="0">
        <references count="3">
          <reference field="2" count="1" selected="0">
            <x v="3"/>
          </reference>
          <reference field="3" count="1" selected="0">
            <x v="5"/>
          </reference>
          <reference field="4" count="1">
            <x v="15"/>
          </reference>
        </references>
      </pivotArea>
    </format>
    <format dxfId="946">
      <pivotArea collapsedLevelsAreSubtotals="1" fieldPosition="0">
        <references count="3">
          <reference field="2" count="1" selected="0">
            <x v="3"/>
          </reference>
          <reference field="3" count="1" selected="0">
            <x v="5"/>
          </reference>
          <reference field="4" count="1">
            <x v="16"/>
          </reference>
        </references>
      </pivotArea>
    </format>
    <format dxfId="945">
      <pivotArea collapsedLevelsAreSubtotals="1" fieldPosition="0">
        <references count="4">
          <reference field="2" count="1" selected="0">
            <x v="3"/>
          </reference>
          <reference field="3" count="1" selected="0">
            <x v="5"/>
          </reference>
          <reference field="4" count="1" selected="0">
            <x v="16"/>
          </reference>
          <reference field="5" count="2">
            <x v="52"/>
            <x v="53"/>
          </reference>
        </references>
      </pivotArea>
    </format>
    <format dxfId="944">
      <pivotArea collapsedLevelsAreSubtotals="1" fieldPosition="0">
        <references count="3">
          <reference field="2" count="1" selected="0">
            <x v="3"/>
          </reference>
          <reference field="3" count="1" selected="0">
            <x v="5"/>
          </reference>
          <reference field="4" count="1">
            <x v="16"/>
          </reference>
        </references>
      </pivotArea>
    </format>
    <format dxfId="943">
      <pivotArea collapsedLevelsAreSubtotals="1" fieldPosition="0">
        <references count="3">
          <reference field="2" count="1" selected="0">
            <x v="3"/>
          </reference>
          <reference field="3" count="1" selected="0">
            <x v="5"/>
          </reference>
          <reference field="4" count="1">
            <x v="17"/>
          </reference>
        </references>
      </pivotArea>
    </format>
    <format dxfId="942">
      <pivotArea collapsedLevelsAreSubtotals="1" fieldPosition="0">
        <references count="4">
          <reference field="2" count="1" selected="0">
            <x v="3"/>
          </reference>
          <reference field="3" count="1" selected="0">
            <x v="5"/>
          </reference>
          <reference field="4" count="1" selected="0">
            <x v="17"/>
          </reference>
          <reference field="5" count="2">
            <x v="69"/>
            <x v="94"/>
          </reference>
        </references>
      </pivotArea>
    </format>
    <format dxfId="941">
      <pivotArea collapsedLevelsAreSubtotals="1" fieldPosition="0">
        <references count="3">
          <reference field="2" count="1" selected="0">
            <x v="3"/>
          </reference>
          <reference field="3" count="1" selected="0">
            <x v="5"/>
          </reference>
          <reference field="4" count="1">
            <x v="17"/>
          </reference>
        </references>
      </pivotArea>
    </format>
    <format dxfId="940">
      <pivotArea collapsedLevelsAreSubtotals="1" fieldPosition="0">
        <references count="2">
          <reference field="2" count="1" selected="0">
            <x v="3"/>
          </reference>
          <reference field="3" count="1">
            <x v="6"/>
          </reference>
        </references>
      </pivotArea>
    </format>
    <format dxfId="939">
      <pivotArea collapsedLevelsAreSubtotals="1" fieldPosition="0">
        <references count="3">
          <reference field="2" count="1" selected="0">
            <x v="3"/>
          </reference>
          <reference field="3" count="1" selected="0">
            <x v="6"/>
          </reference>
          <reference field="4" count="1">
            <x v="18"/>
          </reference>
        </references>
      </pivotArea>
    </format>
    <format dxfId="938">
      <pivotArea collapsedLevelsAreSubtotals="1" fieldPosition="0">
        <references count="4">
          <reference field="2" count="1" selected="0">
            <x v="3"/>
          </reference>
          <reference field="3" count="1" selected="0">
            <x v="6"/>
          </reference>
          <reference field="4" count="1" selected="0">
            <x v="18"/>
          </reference>
          <reference field="5" count="3">
            <x v="9"/>
            <x v="128"/>
            <x v="129"/>
          </reference>
        </references>
      </pivotArea>
    </format>
    <format dxfId="937">
      <pivotArea collapsedLevelsAreSubtotals="1" fieldPosition="0">
        <references count="3">
          <reference field="2" count="1" selected="0">
            <x v="3"/>
          </reference>
          <reference field="3" count="1" selected="0">
            <x v="6"/>
          </reference>
          <reference field="4" count="1">
            <x v="18"/>
          </reference>
        </references>
      </pivotArea>
    </format>
    <format dxfId="936">
      <pivotArea collapsedLevelsAreSubtotals="1" fieldPosition="0">
        <references count="3">
          <reference field="2" count="1" selected="0">
            <x v="3"/>
          </reference>
          <reference field="3" count="1" selected="0">
            <x v="6"/>
          </reference>
          <reference field="4" count="1">
            <x v="19"/>
          </reference>
        </references>
      </pivotArea>
    </format>
    <format dxfId="935">
      <pivotArea collapsedLevelsAreSubtotals="1" fieldPosition="0">
        <references count="4">
          <reference field="2" count="1" selected="0">
            <x v="3"/>
          </reference>
          <reference field="3" count="1" selected="0">
            <x v="6"/>
          </reference>
          <reference field="4" count="1" selected="0">
            <x v="19"/>
          </reference>
          <reference field="5" count="1">
            <x v="127"/>
          </reference>
        </references>
      </pivotArea>
    </format>
    <format dxfId="934">
      <pivotArea collapsedLevelsAreSubtotals="1" fieldPosition="0">
        <references count="3">
          <reference field="2" count="1" selected="0">
            <x v="3"/>
          </reference>
          <reference field="3" count="1" selected="0">
            <x v="6"/>
          </reference>
          <reference field="4" count="1">
            <x v="19"/>
          </reference>
        </references>
      </pivotArea>
    </format>
    <format dxfId="933">
      <pivotArea collapsedLevelsAreSubtotals="1" fieldPosition="0">
        <references count="2">
          <reference field="2" count="1" selected="0">
            <x v="3"/>
          </reference>
          <reference field="3" count="1">
            <x v="11"/>
          </reference>
        </references>
      </pivotArea>
    </format>
    <format dxfId="932">
      <pivotArea collapsedLevelsAreSubtotals="1" fieldPosition="0">
        <references count="3">
          <reference field="2" count="1" selected="0">
            <x v="3"/>
          </reference>
          <reference field="3" count="1" selected="0">
            <x v="11"/>
          </reference>
          <reference field="4" count="1">
            <x v="30"/>
          </reference>
        </references>
      </pivotArea>
    </format>
    <format dxfId="931">
      <pivotArea collapsedLevelsAreSubtotals="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930">
      <pivotArea collapsedLevelsAreSubtotals="1" fieldPosition="0">
        <references count="3">
          <reference field="2" count="1" selected="0">
            <x v="3"/>
          </reference>
          <reference field="3" count="1" selected="0">
            <x v="11"/>
          </reference>
          <reference field="4" count="1">
            <x v="30"/>
          </reference>
        </references>
      </pivotArea>
    </format>
    <format dxfId="929">
      <pivotArea collapsedLevelsAreSubtotals="1" fieldPosition="0">
        <references count="3">
          <reference field="2" count="1" selected="0">
            <x v="3"/>
          </reference>
          <reference field="3" count="1" selected="0">
            <x v="11"/>
          </reference>
          <reference field="4" count="1">
            <x v="31"/>
          </reference>
        </references>
      </pivotArea>
    </format>
    <format dxfId="928">
      <pivotArea collapsedLevelsAreSubtotals="1" fieldPosition="0">
        <references count="3">
          <reference field="2" count="1" selected="0">
            <x v="3"/>
          </reference>
          <reference field="3" count="1" selected="0">
            <x v="11"/>
          </reference>
          <reference field="4" count="1">
            <x v="31"/>
          </reference>
        </references>
      </pivotArea>
    </format>
    <format dxfId="927">
      <pivotArea collapsedLevelsAreSubtotals="1" fieldPosition="0">
        <references count="3">
          <reference field="2" count="1" selected="0">
            <x v="3"/>
          </reference>
          <reference field="3" count="1" selected="0">
            <x v="11"/>
          </reference>
          <reference field="4" count="1">
            <x v="32"/>
          </reference>
        </references>
      </pivotArea>
    </format>
    <format dxfId="926">
      <pivotArea collapsedLevelsAreSubtotals="1" fieldPosition="0">
        <references count="4">
          <reference field="2" count="1" selected="0">
            <x v="3"/>
          </reference>
          <reference field="3" count="1" selected="0">
            <x v="11"/>
          </reference>
          <reference field="4" count="1" selected="0">
            <x v="32"/>
          </reference>
          <reference field="5" count="4">
            <x v="74"/>
            <x v="75"/>
            <x v="76"/>
            <x v="77"/>
          </reference>
        </references>
      </pivotArea>
    </format>
    <format dxfId="925">
      <pivotArea collapsedLevelsAreSubtotals="1" fieldPosition="0">
        <references count="3">
          <reference field="2" count="1" selected="0">
            <x v="3"/>
          </reference>
          <reference field="3" count="1" selected="0">
            <x v="11"/>
          </reference>
          <reference field="4" count="1">
            <x v="32"/>
          </reference>
        </references>
      </pivotArea>
    </format>
    <format dxfId="924">
      <pivotArea collapsedLevelsAreSubtotals="1" fieldPosition="0">
        <references count="3">
          <reference field="2" count="1" selected="0">
            <x v="3"/>
          </reference>
          <reference field="3" count="1" selected="0">
            <x v="11"/>
          </reference>
          <reference field="4" count="1">
            <x v="33"/>
          </reference>
        </references>
      </pivotArea>
    </format>
    <format dxfId="923">
      <pivotArea collapsedLevelsAreSubtotals="1" fieldPosition="0">
        <references count="3">
          <reference field="2" count="1" selected="0">
            <x v="3"/>
          </reference>
          <reference field="3" count="1" selected="0">
            <x v="11"/>
          </reference>
          <reference field="4" count="1">
            <x v="33"/>
          </reference>
        </references>
      </pivotArea>
    </format>
    <format dxfId="922">
      <pivotArea collapsedLevelsAreSubtotals="1" fieldPosition="0">
        <references count="1">
          <reference field="2" count="1">
            <x v="4"/>
          </reference>
        </references>
      </pivotArea>
    </format>
    <format dxfId="921">
      <pivotArea collapsedLevelsAreSubtotals="1" fieldPosition="0">
        <references count="2">
          <reference field="2" count="1" selected="0">
            <x v="4"/>
          </reference>
          <reference field="3" count="1">
            <x v="7"/>
          </reference>
        </references>
      </pivotArea>
    </format>
    <format dxfId="920">
      <pivotArea collapsedLevelsAreSubtotals="1" fieldPosition="0">
        <references count="3">
          <reference field="2" count="1" selected="0">
            <x v="4"/>
          </reference>
          <reference field="3" count="1" selected="0">
            <x v="7"/>
          </reference>
          <reference field="4" count="1">
            <x v="20"/>
          </reference>
        </references>
      </pivotArea>
    </format>
    <format dxfId="919">
      <pivotArea collapsedLevelsAreSubtotals="1" fieldPosition="0">
        <references count="4">
          <reference field="2" count="1" selected="0">
            <x v="4"/>
          </reference>
          <reference field="3" count="1" selected="0">
            <x v="7"/>
          </reference>
          <reference field="4" count="1" selected="0">
            <x v="20"/>
          </reference>
          <reference field="5" count="7">
            <x v="17"/>
            <x v="18"/>
            <x v="19"/>
            <x v="20"/>
            <x v="21"/>
            <x v="22"/>
            <x v="67"/>
          </reference>
        </references>
      </pivotArea>
    </format>
    <format dxfId="918">
      <pivotArea collapsedLevelsAreSubtotals="1" fieldPosition="0">
        <references count="3">
          <reference field="2" count="1" selected="0">
            <x v="4"/>
          </reference>
          <reference field="3" count="1" selected="0">
            <x v="7"/>
          </reference>
          <reference field="4" count="1">
            <x v="20"/>
          </reference>
        </references>
      </pivotArea>
    </format>
    <format dxfId="917">
      <pivotArea collapsedLevelsAreSubtotals="1" fieldPosition="0">
        <references count="3">
          <reference field="2" count="1" selected="0">
            <x v="4"/>
          </reference>
          <reference field="3" count="1" selected="0">
            <x v="7"/>
          </reference>
          <reference field="4" count="1">
            <x v="34"/>
          </reference>
        </references>
      </pivotArea>
    </format>
    <format dxfId="916">
      <pivotArea collapsedLevelsAreSubtotals="1" fieldPosition="0">
        <references count="4">
          <reference field="2" count="1" selected="0">
            <x v="4"/>
          </reference>
          <reference field="3" count="1" selected="0">
            <x v="7"/>
          </reference>
          <reference field="4" count="1" selected="0">
            <x v="34"/>
          </reference>
          <reference field="5" count="2">
            <x v="78"/>
            <x v="79"/>
          </reference>
        </references>
      </pivotArea>
    </format>
    <format dxfId="915">
      <pivotArea collapsedLevelsAreSubtotals="1" fieldPosition="0">
        <references count="3">
          <reference field="2" count="1" selected="0">
            <x v="4"/>
          </reference>
          <reference field="3" count="1" selected="0">
            <x v="7"/>
          </reference>
          <reference field="4" count="1">
            <x v="34"/>
          </reference>
        </references>
      </pivotArea>
    </format>
    <format dxfId="914">
      <pivotArea collapsedLevelsAreSubtotals="1" fieldPosition="0">
        <references count="3">
          <reference field="2" count="1" selected="0">
            <x v="4"/>
          </reference>
          <reference field="3" count="1" selected="0">
            <x v="7"/>
          </reference>
          <reference field="4" count="1">
            <x v="35"/>
          </reference>
        </references>
      </pivotArea>
    </format>
    <format dxfId="913">
      <pivotArea collapsedLevelsAreSubtotals="1" fieldPosition="0">
        <references count="4">
          <reference field="2" count="1" selected="0">
            <x v="4"/>
          </reference>
          <reference field="3" count="1" selected="0">
            <x v="7"/>
          </reference>
          <reference field="4" count="1" selected="0">
            <x v="35"/>
          </reference>
          <reference field="5" count="2">
            <x v="80"/>
            <x v="81"/>
          </reference>
        </references>
      </pivotArea>
    </format>
    <format dxfId="912">
      <pivotArea collapsedLevelsAreSubtotals="1" fieldPosition="0">
        <references count="3">
          <reference field="2" count="1" selected="0">
            <x v="4"/>
          </reference>
          <reference field="3" count="1" selected="0">
            <x v="7"/>
          </reference>
          <reference field="4" count="1">
            <x v="35"/>
          </reference>
        </references>
      </pivotArea>
    </format>
    <format dxfId="911">
      <pivotArea collapsedLevelsAreSubtotals="1" fieldPosition="0">
        <references count="2">
          <reference field="2" count="1" selected="0">
            <x v="4"/>
          </reference>
          <reference field="3" count="1">
            <x v="12"/>
          </reference>
        </references>
      </pivotArea>
    </format>
    <format dxfId="910">
      <pivotArea collapsedLevelsAreSubtotals="1" fieldPosition="0">
        <references count="3">
          <reference field="2" count="1" selected="0">
            <x v="4"/>
          </reference>
          <reference field="3" count="1" selected="0">
            <x v="12"/>
          </reference>
          <reference field="4" count="1">
            <x v="36"/>
          </reference>
        </references>
      </pivotArea>
    </format>
    <format dxfId="909">
      <pivotArea collapsedLevelsAreSubtotals="1" fieldPosition="0">
        <references count="4">
          <reference field="2" count="1" selected="0">
            <x v="4"/>
          </reference>
          <reference field="3" count="1" selected="0">
            <x v="12"/>
          </reference>
          <reference field="4" count="1" selected="0">
            <x v="36"/>
          </reference>
          <reference field="5" count="2">
            <x v="82"/>
            <x v="83"/>
          </reference>
        </references>
      </pivotArea>
    </format>
    <format dxfId="908">
      <pivotArea collapsedLevelsAreSubtotals="1" fieldPosition="0">
        <references count="3">
          <reference field="2" count="1" selected="0">
            <x v="4"/>
          </reference>
          <reference field="3" count="1" selected="0">
            <x v="12"/>
          </reference>
          <reference field="4" count="1">
            <x v="36"/>
          </reference>
        </references>
      </pivotArea>
    </format>
    <format dxfId="907">
      <pivotArea collapsedLevelsAreSubtotals="1" fieldPosition="0">
        <references count="3">
          <reference field="2" count="1" selected="0">
            <x v="4"/>
          </reference>
          <reference field="3" count="1" selected="0">
            <x v="12"/>
          </reference>
          <reference field="4" count="1">
            <x v="66"/>
          </reference>
        </references>
      </pivotArea>
    </format>
    <format dxfId="906">
      <pivotArea collapsedLevelsAreSubtotals="1" fieldPosition="0">
        <references count="4">
          <reference field="2" count="1" selected="0">
            <x v="4"/>
          </reference>
          <reference field="3" count="1" selected="0">
            <x v="12"/>
          </reference>
          <reference field="4" count="1" selected="0">
            <x v="66"/>
          </reference>
          <reference field="5" count="3">
            <x v="86"/>
            <x v="87"/>
            <x v="88"/>
          </reference>
        </references>
      </pivotArea>
    </format>
    <format dxfId="905">
      <pivotArea collapsedLevelsAreSubtotals="1" fieldPosition="0">
        <references count="3">
          <reference field="2" count="1" selected="0">
            <x v="4"/>
          </reference>
          <reference field="3" count="1" selected="0">
            <x v="12"/>
          </reference>
          <reference field="4" count="1">
            <x v="66"/>
          </reference>
        </references>
      </pivotArea>
    </format>
    <format dxfId="904">
      <pivotArea collapsedLevelsAreSubtotals="1" fieldPosition="0">
        <references count="3">
          <reference field="2" count="1" selected="0">
            <x v="4"/>
          </reference>
          <reference field="3" count="1" selected="0">
            <x v="12"/>
          </reference>
          <reference field="4" count="1">
            <x v="38"/>
          </reference>
        </references>
      </pivotArea>
    </format>
    <format dxfId="903">
      <pivotArea collapsedLevelsAreSubtotals="1" fieldPosition="0">
        <references count="4">
          <reference field="2" count="1" selected="0">
            <x v="4"/>
          </reference>
          <reference field="3" count="1" selected="0">
            <x v="12"/>
          </reference>
          <reference field="4" count="1" selected="0">
            <x v="38"/>
          </reference>
          <reference field="5" count="2">
            <x v="84"/>
            <x v="85"/>
          </reference>
        </references>
      </pivotArea>
    </format>
    <format dxfId="902">
      <pivotArea collapsedLevelsAreSubtotals="1" fieldPosition="0">
        <references count="3">
          <reference field="2" count="1" selected="0">
            <x v="4"/>
          </reference>
          <reference field="3" count="1" selected="0">
            <x v="12"/>
          </reference>
          <reference field="4" count="1">
            <x v="38"/>
          </reference>
        </references>
      </pivotArea>
    </format>
    <format dxfId="901">
      <pivotArea collapsedLevelsAreSubtotals="1" fieldPosition="0">
        <references count="1">
          <reference field="2" count="1">
            <x v="5"/>
          </reference>
        </references>
      </pivotArea>
    </format>
    <format dxfId="900">
      <pivotArea collapsedLevelsAreSubtotals="1" fieldPosition="0">
        <references count="2">
          <reference field="2" count="1" selected="0">
            <x v="5"/>
          </reference>
          <reference field="3" count="1">
            <x v="8"/>
          </reference>
        </references>
      </pivotArea>
    </format>
    <format dxfId="899">
      <pivotArea collapsedLevelsAreSubtotals="1" fieldPosition="0">
        <references count="3">
          <reference field="2" count="1" selected="0">
            <x v="5"/>
          </reference>
          <reference field="3" count="1" selected="0">
            <x v="8"/>
          </reference>
          <reference field="4" count="1">
            <x v="21"/>
          </reference>
        </references>
      </pivotArea>
    </format>
    <format dxfId="898">
      <pivotArea collapsedLevelsAreSubtotals="1" fieldPosition="0">
        <references count="4">
          <reference field="2" count="1" selected="0">
            <x v="5"/>
          </reference>
          <reference field="3" count="1" selected="0">
            <x v="8"/>
          </reference>
          <reference field="4" count="1" selected="0">
            <x v="21"/>
          </reference>
          <reference field="5" count="2">
            <x v="10"/>
            <x v="11"/>
          </reference>
        </references>
      </pivotArea>
    </format>
    <format dxfId="897">
      <pivotArea collapsedLevelsAreSubtotals="1" fieldPosition="0">
        <references count="3">
          <reference field="2" count="1" selected="0">
            <x v="5"/>
          </reference>
          <reference field="3" count="1" selected="0">
            <x v="8"/>
          </reference>
          <reference field="4" count="1">
            <x v="21"/>
          </reference>
        </references>
      </pivotArea>
    </format>
    <format dxfId="896">
      <pivotArea collapsedLevelsAreSubtotals="1" fieldPosition="0">
        <references count="3">
          <reference field="2" count="1" selected="0">
            <x v="5"/>
          </reference>
          <reference field="3" count="1" selected="0">
            <x v="8"/>
          </reference>
          <reference field="4" count="1">
            <x v="22"/>
          </reference>
        </references>
      </pivotArea>
    </format>
    <format dxfId="895">
      <pivotArea collapsedLevelsAreSubtotals="1" fieldPosition="0">
        <references count="4">
          <reference field="2" count="1" selected="0">
            <x v="5"/>
          </reference>
          <reference field="3" count="1" selected="0">
            <x v="8"/>
          </reference>
          <reference field="4" count="1" selected="0">
            <x v="22"/>
          </reference>
          <reference field="5" count="1">
            <x v="12"/>
          </reference>
        </references>
      </pivotArea>
    </format>
    <format dxfId="894">
      <pivotArea collapsedLevelsAreSubtotals="1" fieldPosition="0">
        <references count="3">
          <reference field="2" count="1" selected="0">
            <x v="5"/>
          </reference>
          <reference field="3" count="1" selected="0">
            <x v="8"/>
          </reference>
          <reference field="4" count="1">
            <x v="22"/>
          </reference>
        </references>
      </pivotArea>
    </format>
    <format dxfId="893">
      <pivotArea collapsedLevelsAreSubtotals="1" fieldPosition="0">
        <references count="3">
          <reference field="2" count="1" selected="0">
            <x v="5"/>
          </reference>
          <reference field="3" count="1" selected="0">
            <x v="8"/>
          </reference>
          <reference field="4" count="1">
            <x v="23"/>
          </reference>
        </references>
      </pivotArea>
    </format>
    <format dxfId="892">
      <pivotArea collapsedLevelsAreSubtotals="1" fieldPosition="0">
        <references count="4">
          <reference field="2" count="1" selected="0">
            <x v="5"/>
          </reference>
          <reference field="3" count="1" selected="0">
            <x v="8"/>
          </reference>
          <reference field="4" count="1" selected="0">
            <x v="23"/>
          </reference>
          <reference field="5" count="1">
            <x v="13"/>
          </reference>
        </references>
      </pivotArea>
    </format>
    <format dxfId="891">
      <pivotArea collapsedLevelsAreSubtotals="1" fieldPosition="0">
        <references count="3">
          <reference field="2" count="1" selected="0">
            <x v="5"/>
          </reference>
          <reference field="3" count="1" selected="0">
            <x v="8"/>
          </reference>
          <reference field="4" count="1">
            <x v="23"/>
          </reference>
        </references>
      </pivotArea>
    </format>
    <format dxfId="890">
      <pivotArea collapsedLevelsAreSubtotals="1" fieldPosition="0">
        <references count="3">
          <reference field="2" count="1" selected="0">
            <x v="5"/>
          </reference>
          <reference field="3" count="1" selected="0">
            <x v="8"/>
          </reference>
          <reference field="4" count="1">
            <x v="24"/>
          </reference>
        </references>
      </pivotArea>
    </format>
    <format dxfId="889">
      <pivotArea collapsedLevelsAreSubtotals="1" fieldPosition="0">
        <references count="4">
          <reference field="2" count="1" selected="0">
            <x v="5"/>
          </reference>
          <reference field="3" count="1" selected="0">
            <x v="8"/>
          </reference>
          <reference field="4" count="1" selected="0">
            <x v="24"/>
          </reference>
          <reference field="5" count="2">
            <x v="35"/>
            <x v="39"/>
          </reference>
        </references>
      </pivotArea>
    </format>
    <format dxfId="888">
      <pivotArea collapsedLevelsAreSubtotals="1" fieldPosition="0">
        <references count="3">
          <reference field="2" count="1" selected="0">
            <x v="5"/>
          </reference>
          <reference field="3" count="1" selected="0">
            <x v="8"/>
          </reference>
          <reference field="4" count="1">
            <x v="24"/>
          </reference>
        </references>
      </pivotArea>
    </format>
    <format dxfId="887">
      <pivotArea collapsedLevelsAreSubtotals="1" fieldPosition="0">
        <references count="3">
          <reference field="2" count="1" selected="0">
            <x v="5"/>
          </reference>
          <reference field="3" count="1" selected="0">
            <x v="8"/>
          </reference>
          <reference field="4" count="1">
            <x v="25"/>
          </reference>
        </references>
      </pivotArea>
    </format>
    <format dxfId="886">
      <pivotArea collapsedLevelsAreSubtotals="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885">
      <pivotArea collapsedLevelsAreSubtotals="1" fieldPosition="0">
        <references count="3">
          <reference field="2" count="1" selected="0">
            <x v="5"/>
          </reference>
          <reference field="3" count="1" selected="0">
            <x v="8"/>
          </reference>
          <reference field="4" count="1">
            <x v="25"/>
          </reference>
        </references>
      </pivotArea>
    </format>
    <format dxfId="884">
      <pivotArea collapsedLevelsAreSubtotals="1" fieldPosition="0">
        <references count="2">
          <reference field="2" count="1" selected="0">
            <x v="5"/>
          </reference>
          <reference field="3" count="1">
            <x v="13"/>
          </reference>
        </references>
      </pivotArea>
    </format>
    <format dxfId="883">
      <pivotArea collapsedLevelsAreSubtotals="1" fieldPosition="0">
        <references count="3">
          <reference field="2" count="1" selected="0">
            <x v="5"/>
          </reference>
          <reference field="3" count="1" selected="0">
            <x v="13"/>
          </reference>
          <reference field="4" count="1">
            <x v="39"/>
          </reference>
        </references>
      </pivotArea>
    </format>
    <format dxfId="882">
      <pivotArea collapsedLevelsAreSubtotals="1" fieldPosition="0">
        <references count="4">
          <reference field="2" count="1" selected="0">
            <x v="5"/>
          </reference>
          <reference field="3" count="1" selected="0">
            <x v="13"/>
          </reference>
          <reference field="4" count="1" selected="0">
            <x v="39"/>
          </reference>
          <reference field="5" count="5">
            <x v="89"/>
            <x v="90"/>
            <x v="91"/>
            <x v="92"/>
            <x v="93"/>
          </reference>
        </references>
      </pivotArea>
    </format>
    <format dxfId="881">
      <pivotArea collapsedLevelsAreSubtotals="1" fieldPosition="0">
        <references count="3">
          <reference field="2" count="1" selected="0">
            <x v="5"/>
          </reference>
          <reference field="3" count="1" selected="0">
            <x v="13"/>
          </reference>
          <reference field="4" count="1">
            <x v="39"/>
          </reference>
        </references>
      </pivotArea>
    </format>
    <format dxfId="880">
      <pivotArea collapsedLevelsAreSubtotals="1" fieldPosition="0">
        <references count="3">
          <reference field="2" count="1" selected="0">
            <x v="5"/>
          </reference>
          <reference field="3" count="1" selected="0">
            <x v="13"/>
          </reference>
          <reference field="4" count="1">
            <x v="40"/>
          </reference>
        </references>
      </pivotArea>
    </format>
    <format dxfId="879">
      <pivotArea collapsedLevelsAreSubtotals="1" fieldPosition="0">
        <references count="4">
          <reference field="2" count="1" selected="0">
            <x v="5"/>
          </reference>
          <reference field="3" count="1" selected="0">
            <x v="13"/>
          </reference>
          <reference field="4" count="1" selected="0">
            <x v="40"/>
          </reference>
          <reference field="5" count="2">
            <x v="95"/>
            <x v="96"/>
          </reference>
        </references>
      </pivotArea>
    </format>
    <format dxfId="878">
      <pivotArea collapsedLevelsAreSubtotals="1" fieldPosition="0">
        <references count="3">
          <reference field="2" count="1" selected="0">
            <x v="5"/>
          </reference>
          <reference field="3" count="1" selected="0">
            <x v="13"/>
          </reference>
          <reference field="4" count="1">
            <x v="40"/>
          </reference>
        </references>
      </pivotArea>
    </format>
    <format dxfId="877">
      <pivotArea collapsedLevelsAreSubtotals="1" fieldPosition="0">
        <references count="3">
          <reference field="2" count="1" selected="0">
            <x v="5"/>
          </reference>
          <reference field="3" count="1" selected="0">
            <x v="13"/>
          </reference>
          <reference field="4" count="1">
            <x v="41"/>
          </reference>
        </references>
      </pivotArea>
    </format>
    <format dxfId="876">
      <pivotArea collapsedLevelsAreSubtotals="1" fieldPosition="0">
        <references count="4">
          <reference field="2" count="1" selected="0">
            <x v="5"/>
          </reference>
          <reference field="3" count="1" selected="0">
            <x v="13"/>
          </reference>
          <reference field="4" count="1" selected="0">
            <x v="41"/>
          </reference>
          <reference field="5" count="2">
            <x v="97"/>
            <x v="98"/>
          </reference>
        </references>
      </pivotArea>
    </format>
    <format dxfId="875">
      <pivotArea collapsedLevelsAreSubtotals="1" fieldPosition="0">
        <references count="3">
          <reference field="2" count="1" selected="0">
            <x v="5"/>
          </reference>
          <reference field="3" count="1" selected="0">
            <x v="13"/>
          </reference>
          <reference field="4" count="1">
            <x v="41"/>
          </reference>
        </references>
      </pivotArea>
    </format>
    <format dxfId="874">
      <pivotArea collapsedLevelsAreSubtotals="1" fieldPosition="0">
        <references count="1">
          <reference field="2" count="1">
            <x v="6"/>
          </reference>
        </references>
      </pivotArea>
    </format>
    <format dxfId="873">
      <pivotArea collapsedLevelsAreSubtotals="1" fieldPosition="0">
        <references count="2">
          <reference field="2" count="1" selected="0">
            <x v="6"/>
          </reference>
          <reference field="3" count="1">
            <x v="9"/>
          </reference>
        </references>
      </pivotArea>
    </format>
    <format dxfId="872">
      <pivotArea collapsedLevelsAreSubtotals="1" fieldPosition="0">
        <references count="3">
          <reference field="2" count="1" selected="0">
            <x v="6"/>
          </reference>
          <reference field="3" count="1" selected="0">
            <x v="9"/>
          </reference>
          <reference field="4" count="1">
            <x v="26"/>
          </reference>
        </references>
      </pivotArea>
    </format>
    <format dxfId="871">
      <pivotArea collapsedLevelsAreSubtotals="1" fieldPosition="0">
        <references count="4">
          <reference field="2" count="1" selected="0">
            <x v="6"/>
          </reference>
          <reference field="3" count="1" selected="0">
            <x v="9"/>
          </reference>
          <reference field="4" count="1" selected="0">
            <x v="26"/>
          </reference>
          <reference field="5" count="1">
            <x v="73"/>
          </reference>
        </references>
      </pivotArea>
    </format>
    <format dxfId="870">
      <pivotArea collapsedLevelsAreSubtotals="1" fieldPosition="0">
        <references count="3">
          <reference field="2" count="1" selected="0">
            <x v="6"/>
          </reference>
          <reference field="3" count="1" selected="0">
            <x v="9"/>
          </reference>
          <reference field="4" count="1">
            <x v="26"/>
          </reference>
        </references>
      </pivotArea>
    </format>
    <format dxfId="869">
      <pivotArea collapsedLevelsAreSubtotals="1" fieldPosition="0">
        <references count="3">
          <reference field="2" count="1" selected="0">
            <x v="6"/>
          </reference>
          <reference field="3" count="1" selected="0">
            <x v="9"/>
          </reference>
          <reference field="4" count="1">
            <x v="27"/>
          </reference>
        </references>
      </pivotArea>
    </format>
    <format dxfId="868">
      <pivotArea collapsedLevelsAreSubtotals="1" fieldPosition="0">
        <references count="3">
          <reference field="2" count="1" selected="0">
            <x v="6"/>
          </reference>
          <reference field="3" count="1" selected="0">
            <x v="9"/>
          </reference>
          <reference field="4" count="1">
            <x v="27"/>
          </reference>
        </references>
      </pivotArea>
    </format>
    <format dxfId="867">
      <pivotArea collapsedLevelsAreSubtotals="1" fieldPosition="0">
        <references count="3">
          <reference field="2" count="1" selected="0">
            <x v="6"/>
          </reference>
          <reference field="3" count="1" selected="0">
            <x v="9"/>
          </reference>
          <reference field="4" count="1">
            <x v="28"/>
          </reference>
        </references>
      </pivotArea>
    </format>
    <format dxfId="866">
      <pivotArea collapsedLevelsAreSubtotals="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865">
      <pivotArea collapsedLevelsAreSubtotals="1" fieldPosition="0">
        <references count="3">
          <reference field="2" count="1" selected="0">
            <x v="6"/>
          </reference>
          <reference field="3" count="1" selected="0">
            <x v="9"/>
          </reference>
          <reference field="4" count="1">
            <x v="28"/>
          </reference>
        </references>
      </pivotArea>
    </format>
    <format dxfId="864">
      <pivotArea collapsedLevelsAreSubtotals="1" fieldPosition="0">
        <references count="3">
          <reference field="2" count="1" selected="0">
            <x v="6"/>
          </reference>
          <reference field="3" count="1" selected="0">
            <x v="9"/>
          </reference>
          <reference field="4" count="1">
            <x v="29"/>
          </reference>
        </references>
      </pivotArea>
    </format>
    <format dxfId="863">
      <pivotArea collapsedLevelsAreSubtotals="1" fieldPosition="0">
        <references count="4">
          <reference field="2" count="1" selected="0">
            <x v="6"/>
          </reference>
          <reference field="3" count="1" selected="0">
            <x v="9"/>
          </reference>
          <reference field="4" count="1" selected="0">
            <x v="29"/>
          </reference>
          <reference field="5" count="1">
            <x v="32"/>
          </reference>
        </references>
      </pivotArea>
    </format>
    <format dxfId="862">
      <pivotArea collapsedLevelsAreSubtotals="1" fieldPosition="0">
        <references count="3">
          <reference field="2" count="1" selected="0">
            <x v="6"/>
          </reference>
          <reference field="3" count="1" selected="0">
            <x v="9"/>
          </reference>
          <reference field="4" count="1">
            <x v="29"/>
          </reference>
        </references>
      </pivotArea>
    </format>
    <format dxfId="861">
      <pivotArea collapsedLevelsAreSubtotals="1" fieldPosition="0">
        <references count="2">
          <reference field="2" count="1" selected="0">
            <x v="6"/>
          </reference>
          <reference field="3" count="1">
            <x v="10"/>
          </reference>
        </references>
      </pivotArea>
    </format>
    <format dxfId="860">
      <pivotArea collapsedLevelsAreSubtotals="1" fieldPosition="0">
        <references count="3">
          <reference field="2" count="1" selected="0">
            <x v="6"/>
          </reference>
          <reference field="3" count="1" selected="0">
            <x v="10"/>
          </reference>
          <reference field="4" count="1">
            <x v="42"/>
          </reference>
        </references>
      </pivotArea>
    </format>
    <format dxfId="859">
      <pivotArea collapsedLevelsAreSubtotals="1" fieldPosition="0">
        <references count="4">
          <reference field="2" count="1" selected="0">
            <x v="6"/>
          </reference>
          <reference field="3" count="1" selected="0">
            <x v="10"/>
          </reference>
          <reference field="4" count="1" selected="0">
            <x v="42"/>
          </reference>
          <reference field="5" count="1">
            <x v="99"/>
          </reference>
        </references>
      </pivotArea>
    </format>
    <format dxfId="858">
      <pivotArea collapsedLevelsAreSubtotals="1" fieldPosition="0">
        <references count="3">
          <reference field="2" count="1" selected="0">
            <x v="6"/>
          </reference>
          <reference field="3" count="1" selected="0">
            <x v="10"/>
          </reference>
          <reference field="4" count="1">
            <x v="42"/>
          </reference>
        </references>
      </pivotArea>
    </format>
    <format dxfId="857">
      <pivotArea collapsedLevelsAreSubtotals="1" fieldPosition="0">
        <references count="3">
          <reference field="2" count="1" selected="0">
            <x v="6"/>
          </reference>
          <reference field="3" count="1" selected="0">
            <x v="10"/>
          </reference>
          <reference field="4" count="1">
            <x v="43"/>
          </reference>
        </references>
      </pivotArea>
    </format>
    <format dxfId="856">
      <pivotArea collapsedLevelsAreSubtotals="1" fieldPosition="0">
        <references count="4">
          <reference field="2" count="1" selected="0">
            <x v="6"/>
          </reference>
          <reference field="3" count="1" selected="0">
            <x v="10"/>
          </reference>
          <reference field="4" count="1" selected="0">
            <x v="43"/>
          </reference>
          <reference field="5" count="1">
            <x v="103"/>
          </reference>
        </references>
      </pivotArea>
    </format>
    <format dxfId="855">
      <pivotArea collapsedLevelsAreSubtotals="1" fieldPosition="0">
        <references count="3">
          <reference field="2" count="1" selected="0">
            <x v="6"/>
          </reference>
          <reference field="3" count="1" selected="0">
            <x v="10"/>
          </reference>
          <reference field="4" count="1">
            <x v="43"/>
          </reference>
        </references>
      </pivotArea>
    </format>
    <format dxfId="854">
      <pivotArea collapsedLevelsAreSubtotals="1" fieldPosition="0">
        <references count="3">
          <reference field="2" count="1" selected="0">
            <x v="6"/>
          </reference>
          <reference field="3" count="1" selected="0">
            <x v="10"/>
          </reference>
          <reference field="4" count="1">
            <x v="44"/>
          </reference>
        </references>
      </pivotArea>
    </format>
    <format dxfId="853">
      <pivotArea collapsedLevelsAreSubtotals="1" fieldPosition="0">
        <references count="4">
          <reference field="2" count="1" selected="0">
            <x v="6"/>
          </reference>
          <reference field="3" count="1" selected="0">
            <x v="10"/>
          </reference>
          <reference field="4" count="1" selected="0">
            <x v="44"/>
          </reference>
          <reference field="5" count="1">
            <x v="100"/>
          </reference>
        </references>
      </pivotArea>
    </format>
    <format dxfId="852">
      <pivotArea collapsedLevelsAreSubtotals="1" fieldPosition="0">
        <references count="3">
          <reference field="2" count="1" selected="0">
            <x v="6"/>
          </reference>
          <reference field="3" count="1" selected="0">
            <x v="10"/>
          </reference>
          <reference field="4" count="1">
            <x v="44"/>
          </reference>
        </references>
      </pivotArea>
    </format>
    <format dxfId="851">
      <pivotArea collapsedLevelsAreSubtotals="1" fieldPosition="0">
        <references count="3">
          <reference field="2" count="1" selected="0">
            <x v="6"/>
          </reference>
          <reference field="3" count="1" selected="0">
            <x v="10"/>
          </reference>
          <reference field="4" count="1">
            <x v="45"/>
          </reference>
        </references>
      </pivotArea>
    </format>
    <format dxfId="850">
      <pivotArea collapsedLevelsAreSubtotals="1" fieldPosition="0">
        <references count="4">
          <reference field="2" count="1" selected="0">
            <x v="6"/>
          </reference>
          <reference field="3" count="1" selected="0">
            <x v="10"/>
          </reference>
          <reference field="4" count="1" selected="0">
            <x v="45"/>
          </reference>
          <reference field="5" count="2">
            <x v="101"/>
            <x v="102"/>
          </reference>
        </references>
      </pivotArea>
    </format>
    <format dxfId="849">
      <pivotArea collapsedLevelsAreSubtotals="1" fieldPosition="0">
        <references count="3">
          <reference field="2" count="1" selected="0">
            <x v="6"/>
          </reference>
          <reference field="3" count="1" selected="0">
            <x v="10"/>
          </reference>
          <reference field="4" count="1">
            <x v="45"/>
          </reference>
        </references>
      </pivotArea>
    </format>
    <format dxfId="848">
      <pivotArea collapsedLevelsAreSubtotals="1" fieldPosition="0">
        <references count="3">
          <reference field="2" count="1" selected="0">
            <x v="6"/>
          </reference>
          <reference field="3" count="1" selected="0">
            <x v="10"/>
          </reference>
          <reference field="4" count="1">
            <x v="63"/>
          </reference>
        </references>
      </pivotArea>
    </format>
    <format dxfId="847">
      <pivotArea collapsedLevelsAreSubtotals="1" fieldPosition="0">
        <references count="4">
          <reference field="2" count="1" selected="0">
            <x v="6"/>
          </reference>
          <reference field="3" count="1" selected="0">
            <x v="10"/>
          </reference>
          <reference field="4" count="1" selected="0">
            <x v="63"/>
          </reference>
          <reference field="5" count="1">
            <x v="104"/>
          </reference>
        </references>
      </pivotArea>
    </format>
    <format dxfId="846">
      <pivotArea collapsedLevelsAreSubtotals="1" fieldPosition="0">
        <references count="3">
          <reference field="2" count="1" selected="0">
            <x v="6"/>
          </reference>
          <reference field="3" count="1" selected="0">
            <x v="10"/>
          </reference>
          <reference field="4" count="1">
            <x v="63"/>
          </reference>
        </references>
      </pivotArea>
    </format>
    <format dxfId="845">
      <pivotArea collapsedLevelsAreSubtotals="1" fieldPosition="0">
        <references count="3">
          <reference field="2" count="1" selected="0">
            <x v="6"/>
          </reference>
          <reference field="3" count="1" selected="0">
            <x v="10"/>
          </reference>
          <reference field="4" count="1">
            <x v="64"/>
          </reference>
        </references>
      </pivotArea>
    </format>
    <format dxfId="844">
      <pivotArea collapsedLevelsAreSubtotals="1" fieldPosition="0">
        <references count="4">
          <reference field="2" count="1" selected="0">
            <x v="6"/>
          </reference>
          <reference field="3" count="1" selected="0">
            <x v="10"/>
          </reference>
          <reference field="4" count="1" selected="0">
            <x v="64"/>
          </reference>
          <reference field="5" count="1">
            <x v="105"/>
          </reference>
        </references>
      </pivotArea>
    </format>
    <format dxfId="843">
      <pivotArea collapsedLevelsAreSubtotals="1" fieldPosition="0">
        <references count="3">
          <reference field="2" count="1" selected="0">
            <x v="6"/>
          </reference>
          <reference field="3" count="1" selected="0">
            <x v="10"/>
          </reference>
          <reference field="4" count="1">
            <x v="64"/>
          </reference>
        </references>
      </pivotArea>
    </format>
    <format dxfId="842">
      <pivotArea collapsedLevelsAreSubtotals="1" fieldPosition="0">
        <references count="3">
          <reference field="2" count="1" selected="0">
            <x v="6"/>
          </reference>
          <reference field="3" count="1" selected="0">
            <x v="10"/>
          </reference>
          <reference field="4" count="1">
            <x v="65"/>
          </reference>
        </references>
      </pivotArea>
    </format>
    <format dxfId="841">
      <pivotArea collapsedLevelsAreSubtotals="1" fieldPosition="0">
        <references count="4">
          <reference field="2" count="1" selected="0">
            <x v="6"/>
          </reference>
          <reference field="3" count="1" selected="0">
            <x v="10"/>
          </reference>
          <reference field="4" count="1" selected="0">
            <x v="65"/>
          </reference>
          <reference field="5" count="1">
            <x v="41"/>
          </reference>
        </references>
      </pivotArea>
    </format>
    <format dxfId="840">
      <pivotArea collapsedLevelsAreSubtotals="1" fieldPosition="0">
        <references count="3">
          <reference field="2" count="1" selected="0">
            <x v="6"/>
          </reference>
          <reference field="3" count="1" selected="0">
            <x v="10"/>
          </reference>
          <reference field="4" count="1">
            <x v="65"/>
          </reference>
        </references>
      </pivotArea>
    </format>
    <format dxfId="839">
      <pivotArea collapsedLevelsAreSubtotals="1" fieldPosition="0">
        <references count="2">
          <reference field="2" count="1" selected="0">
            <x v="6"/>
          </reference>
          <reference field="3" count="1">
            <x v="14"/>
          </reference>
        </references>
      </pivotArea>
    </format>
    <format dxfId="838">
      <pivotArea collapsedLevelsAreSubtotals="1" fieldPosition="0">
        <references count="3">
          <reference field="2" count="1" selected="0">
            <x v="6"/>
          </reference>
          <reference field="3" count="1" selected="0">
            <x v="14"/>
          </reference>
          <reference field="4" count="1">
            <x v="46"/>
          </reference>
        </references>
      </pivotArea>
    </format>
    <format dxfId="837">
      <pivotArea collapsedLevelsAreSubtotals="1" fieldPosition="0">
        <references count="3">
          <reference field="2" count="1" selected="0">
            <x v="6"/>
          </reference>
          <reference field="3" count="1" selected="0">
            <x v="14"/>
          </reference>
          <reference field="4" count="1">
            <x v="46"/>
          </reference>
        </references>
      </pivotArea>
    </format>
    <format dxfId="836">
      <pivotArea collapsedLevelsAreSubtotals="1" fieldPosition="0">
        <references count="3">
          <reference field="2" count="1" selected="0">
            <x v="6"/>
          </reference>
          <reference field="3" count="1" selected="0">
            <x v="14"/>
          </reference>
          <reference field="4" count="1">
            <x v="47"/>
          </reference>
        </references>
      </pivotArea>
    </format>
    <format dxfId="835">
      <pivotArea collapsedLevelsAreSubtotals="1" fieldPosition="0">
        <references count="4">
          <reference field="2" count="1" selected="0">
            <x v="6"/>
          </reference>
          <reference field="3" count="1" selected="0">
            <x v="14"/>
          </reference>
          <reference field="4" count="1" selected="0">
            <x v="47"/>
          </reference>
          <reference field="5" count="1">
            <x v="106"/>
          </reference>
        </references>
      </pivotArea>
    </format>
    <format dxfId="834">
      <pivotArea collapsedLevelsAreSubtotals="1" fieldPosition="0">
        <references count="3">
          <reference field="2" count="1" selected="0">
            <x v="6"/>
          </reference>
          <reference field="3" count="1" selected="0">
            <x v="14"/>
          </reference>
          <reference field="4" count="1">
            <x v="47"/>
          </reference>
        </references>
      </pivotArea>
    </format>
    <format dxfId="833">
      <pivotArea collapsedLevelsAreSubtotals="1" fieldPosition="0">
        <references count="3">
          <reference field="2" count="1" selected="0">
            <x v="6"/>
          </reference>
          <reference field="3" count="1" selected="0">
            <x v="14"/>
          </reference>
          <reference field="4" count="1">
            <x v="48"/>
          </reference>
        </references>
      </pivotArea>
    </format>
    <format dxfId="832">
      <pivotArea collapsedLevelsAreSubtotals="1" fieldPosition="0">
        <references count="4">
          <reference field="2" count="1" selected="0">
            <x v="6"/>
          </reference>
          <reference field="3" count="1" selected="0">
            <x v="14"/>
          </reference>
          <reference field="4" count="1" selected="0">
            <x v="48"/>
          </reference>
          <reference field="5" count="1">
            <x v="107"/>
          </reference>
        </references>
      </pivotArea>
    </format>
    <format dxfId="831">
      <pivotArea collapsedLevelsAreSubtotals="1" fieldPosition="0">
        <references count="3">
          <reference field="2" count="1" selected="0">
            <x v="6"/>
          </reference>
          <reference field="3" count="1" selected="0">
            <x v="14"/>
          </reference>
          <reference field="4" count="1">
            <x v="48"/>
          </reference>
        </references>
      </pivotArea>
    </format>
    <format dxfId="830">
      <pivotArea collapsedLevelsAreSubtotals="1" fieldPosition="0">
        <references count="3">
          <reference field="2" count="1" selected="0">
            <x v="6"/>
          </reference>
          <reference field="3" count="1" selected="0">
            <x v="14"/>
          </reference>
          <reference field="4" count="1">
            <x v="50"/>
          </reference>
        </references>
      </pivotArea>
    </format>
    <format dxfId="829">
      <pivotArea collapsedLevelsAreSubtotals="1" fieldPosition="0">
        <references count="4">
          <reference field="2" count="1" selected="0">
            <x v="6"/>
          </reference>
          <reference field="3" count="1" selected="0">
            <x v="14"/>
          </reference>
          <reference field="4" count="1" selected="0">
            <x v="50"/>
          </reference>
          <reference field="5" count="2">
            <x v="108"/>
            <x v="109"/>
          </reference>
        </references>
      </pivotArea>
    </format>
    <format dxfId="828">
      <pivotArea collapsedLevelsAreSubtotals="1" fieldPosition="0">
        <references count="3">
          <reference field="2" count="1" selected="0">
            <x v="6"/>
          </reference>
          <reference field="3" count="1" selected="0">
            <x v="14"/>
          </reference>
          <reference field="4" count="1">
            <x v="50"/>
          </reference>
        </references>
      </pivotArea>
    </format>
    <format dxfId="827">
      <pivotArea collapsedLevelsAreSubtotals="1" fieldPosition="0">
        <references count="3">
          <reference field="2" count="1" selected="0">
            <x v="6"/>
          </reference>
          <reference field="3" count="1" selected="0">
            <x v="14"/>
          </reference>
          <reference field="4" count="1">
            <x v="51"/>
          </reference>
        </references>
      </pivotArea>
    </format>
    <format dxfId="826">
      <pivotArea collapsedLevelsAreSubtotals="1" fieldPosition="0">
        <references count="4">
          <reference field="2" count="1" selected="0">
            <x v="6"/>
          </reference>
          <reference field="3" count="1" selected="0">
            <x v="14"/>
          </reference>
          <reference field="4" count="1" selected="0">
            <x v="51"/>
          </reference>
          <reference field="5" count="1">
            <x v="110"/>
          </reference>
        </references>
      </pivotArea>
    </format>
    <format dxfId="825">
      <pivotArea collapsedLevelsAreSubtotals="1" fieldPosition="0">
        <references count="3">
          <reference field="2" count="1" selected="0">
            <x v="6"/>
          </reference>
          <reference field="3" count="1" selected="0">
            <x v="14"/>
          </reference>
          <reference field="4" count="1">
            <x v="51"/>
          </reference>
        </references>
      </pivotArea>
    </format>
    <format dxfId="824">
      <pivotArea collapsedLevelsAreSubtotals="1" fieldPosition="0">
        <references count="2">
          <reference field="2" count="1" selected="0">
            <x v="6"/>
          </reference>
          <reference field="3" count="1">
            <x v="15"/>
          </reference>
        </references>
      </pivotArea>
    </format>
    <format dxfId="823">
      <pivotArea collapsedLevelsAreSubtotals="1" fieldPosition="0">
        <references count="3">
          <reference field="2" count="1" selected="0">
            <x v="6"/>
          </reference>
          <reference field="3" count="1" selected="0">
            <x v="15"/>
          </reference>
          <reference field="4" count="1">
            <x v="52"/>
          </reference>
        </references>
      </pivotArea>
    </format>
    <format dxfId="822">
      <pivotArea collapsedLevelsAreSubtotals="1" fieldPosition="0">
        <references count="4">
          <reference field="2" count="1" selected="0">
            <x v="6"/>
          </reference>
          <reference field="3" count="1" selected="0">
            <x v="15"/>
          </reference>
          <reference field="4" count="1" selected="0">
            <x v="52"/>
          </reference>
          <reference field="5" count="1">
            <x v="111"/>
          </reference>
        </references>
      </pivotArea>
    </format>
    <format dxfId="821">
      <pivotArea collapsedLevelsAreSubtotals="1" fieldPosition="0">
        <references count="3">
          <reference field="2" count="1" selected="0">
            <x v="6"/>
          </reference>
          <reference field="3" count="1" selected="0">
            <x v="15"/>
          </reference>
          <reference field="4" count="1">
            <x v="52"/>
          </reference>
        </references>
      </pivotArea>
    </format>
    <format dxfId="820">
      <pivotArea collapsedLevelsAreSubtotals="1" fieldPosition="0">
        <references count="3">
          <reference field="2" count="1" selected="0">
            <x v="6"/>
          </reference>
          <reference field="3" count="1" selected="0">
            <x v="15"/>
          </reference>
          <reference field="4" count="1">
            <x v="53"/>
          </reference>
        </references>
      </pivotArea>
    </format>
    <format dxfId="819">
      <pivotArea collapsedLevelsAreSubtotals="1" fieldPosition="0">
        <references count="3">
          <reference field="2" count="1" selected="0">
            <x v="6"/>
          </reference>
          <reference field="3" count="1" selected="0">
            <x v="15"/>
          </reference>
          <reference field="4" count="1">
            <x v="53"/>
          </reference>
        </references>
      </pivotArea>
    </format>
    <format dxfId="818">
      <pivotArea collapsedLevelsAreSubtotals="1" fieldPosition="0">
        <references count="3">
          <reference field="2" count="1" selected="0">
            <x v="6"/>
          </reference>
          <reference field="3" count="1" selected="0">
            <x v="15"/>
          </reference>
          <reference field="4" count="1">
            <x v="55"/>
          </reference>
        </references>
      </pivotArea>
    </format>
    <format dxfId="817">
      <pivotArea collapsedLevelsAreSubtotals="1" fieldPosition="0">
        <references count="4">
          <reference field="2" count="1" selected="0">
            <x v="6"/>
          </reference>
          <reference field="3" count="1" selected="0">
            <x v="15"/>
          </reference>
          <reference field="4" count="1" selected="0">
            <x v="55"/>
          </reference>
          <reference field="5" count="1">
            <x v="116"/>
          </reference>
        </references>
      </pivotArea>
    </format>
    <format dxfId="816">
      <pivotArea collapsedLevelsAreSubtotals="1" fieldPosition="0">
        <references count="3">
          <reference field="2" count="1" selected="0">
            <x v="6"/>
          </reference>
          <reference field="3" count="1" selected="0">
            <x v="15"/>
          </reference>
          <reference field="4" count="1">
            <x v="55"/>
          </reference>
        </references>
      </pivotArea>
    </format>
    <format dxfId="815">
      <pivotArea collapsedLevelsAreSubtotals="1" fieldPosition="0">
        <references count="3">
          <reference field="2" count="1" selected="0">
            <x v="6"/>
          </reference>
          <reference field="3" count="1" selected="0">
            <x v="15"/>
          </reference>
          <reference field="4" count="1">
            <x v="54"/>
          </reference>
        </references>
      </pivotArea>
    </format>
    <format dxfId="814">
      <pivotArea collapsedLevelsAreSubtotals="1" fieldPosition="0">
        <references count="4">
          <reference field="2" count="1" selected="0">
            <x v="6"/>
          </reference>
          <reference field="3" count="1" selected="0">
            <x v="15"/>
          </reference>
          <reference field="4" count="1" selected="0">
            <x v="54"/>
          </reference>
          <reference field="5" count="4">
            <x v="112"/>
            <x v="113"/>
            <x v="114"/>
            <x v="115"/>
          </reference>
        </references>
      </pivotArea>
    </format>
    <format dxfId="813">
      <pivotArea collapsedLevelsAreSubtotals="1" fieldPosition="0">
        <references count="3">
          <reference field="2" count="1" selected="0">
            <x v="6"/>
          </reference>
          <reference field="3" count="1" selected="0">
            <x v="15"/>
          </reference>
          <reference field="4" count="1">
            <x v="54"/>
          </reference>
        </references>
      </pivotArea>
    </format>
    <format dxfId="812">
      <pivotArea collapsedLevelsAreSubtotals="1" fieldPosition="0">
        <references count="2">
          <reference field="2" count="1" selected="0">
            <x v="6"/>
          </reference>
          <reference field="3" count="1">
            <x v="16"/>
          </reference>
        </references>
      </pivotArea>
    </format>
    <format dxfId="811">
      <pivotArea collapsedLevelsAreSubtotals="1" fieldPosition="0">
        <references count="3">
          <reference field="2" count="1" selected="0">
            <x v="6"/>
          </reference>
          <reference field="3" count="1" selected="0">
            <x v="16"/>
          </reference>
          <reference field="4" count="1">
            <x v="56"/>
          </reference>
        </references>
      </pivotArea>
    </format>
    <format dxfId="810">
      <pivotArea collapsedLevelsAreSubtotals="1" fieldPosition="0">
        <references count="4">
          <reference field="2" count="1" selected="0">
            <x v="6"/>
          </reference>
          <reference field="3" count="1" selected="0">
            <x v="16"/>
          </reference>
          <reference field="4" count="1" selected="0">
            <x v="56"/>
          </reference>
          <reference field="5" count="1">
            <x v="117"/>
          </reference>
        </references>
      </pivotArea>
    </format>
    <format dxfId="809">
      <pivotArea collapsedLevelsAreSubtotals="1" fieldPosition="0">
        <references count="3">
          <reference field="2" count="1" selected="0">
            <x v="6"/>
          </reference>
          <reference field="3" count="1" selected="0">
            <x v="16"/>
          </reference>
          <reference field="4" count="1">
            <x v="56"/>
          </reference>
        </references>
      </pivotArea>
    </format>
    <format dxfId="808">
      <pivotArea collapsedLevelsAreSubtotals="1" fieldPosition="0">
        <references count="3">
          <reference field="2" count="1" selected="0">
            <x v="6"/>
          </reference>
          <reference field="3" count="1" selected="0">
            <x v="16"/>
          </reference>
          <reference field="4" count="1">
            <x v="57"/>
          </reference>
        </references>
      </pivotArea>
    </format>
    <format dxfId="807">
      <pivotArea collapsedLevelsAreSubtotals="1" fieldPosition="0">
        <references count="4">
          <reference field="2" count="1" selected="0">
            <x v="6"/>
          </reference>
          <reference field="3" count="1" selected="0">
            <x v="16"/>
          </reference>
          <reference field="4" count="1" selected="0">
            <x v="57"/>
          </reference>
          <reference field="5" count="1">
            <x v="133"/>
          </reference>
        </references>
      </pivotArea>
    </format>
    <format dxfId="806">
      <pivotArea collapsedLevelsAreSubtotals="1" fieldPosition="0">
        <references count="3">
          <reference field="2" count="1" selected="0">
            <x v="6"/>
          </reference>
          <reference field="3" count="1" selected="0">
            <x v="16"/>
          </reference>
          <reference field="4" count="1">
            <x v="57"/>
          </reference>
        </references>
      </pivotArea>
    </format>
    <format dxfId="805">
      <pivotArea collapsedLevelsAreSubtotals="1" fieldPosition="0">
        <references count="3">
          <reference field="2" count="1" selected="0">
            <x v="6"/>
          </reference>
          <reference field="3" count="1" selected="0">
            <x v="16"/>
          </reference>
          <reference field="4" count="1">
            <x v="58"/>
          </reference>
        </references>
      </pivotArea>
    </format>
    <format dxfId="804">
      <pivotArea collapsedLevelsAreSubtotals="1" fieldPosition="0">
        <references count="4">
          <reference field="2" count="1" selected="0">
            <x v="6"/>
          </reference>
          <reference field="3" count="1" selected="0">
            <x v="16"/>
          </reference>
          <reference field="4" count="1" selected="0">
            <x v="58"/>
          </reference>
          <reference field="5" count="1">
            <x v="118"/>
          </reference>
        </references>
      </pivotArea>
    </format>
    <format dxfId="803">
      <pivotArea collapsedLevelsAreSubtotals="1" fieldPosition="0">
        <references count="3">
          <reference field="2" count="1" selected="0">
            <x v="6"/>
          </reference>
          <reference field="3" count="1" selected="0">
            <x v="16"/>
          </reference>
          <reference field="4" count="1">
            <x v="58"/>
          </reference>
        </references>
      </pivotArea>
    </format>
    <format dxfId="802">
      <pivotArea collapsedLevelsAreSubtotals="1" fieldPosition="0">
        <references count="2">
          <reference field="2" count="1" selected="0">
            <x v="6"/>
          </reference>
          <reference field="3" count="1">
            <x v="17"/>
          </reference>
        </references>
      </pivotArea>
    </format>
    <format dxfId="801">
      <pivotArea collapsedLevelsAreSubtotals="1" fieldPosition="0">
        <references count="3">
          <reference field="2" count="1" selected="0">
            <x v="6"/>
          </reference>
          <reference field="3" count="1" selected="0">
            <x v="17"/>
          </reference>
          <reference field="4" count="1">
            <x v="59"/>
          </reference>
        </references>
      </pivotArea>
    </format>
    <format dxfId="800">
      <pivotArea collapsedLevelsAreSubtotals="1" fieldPosition="0">
        <references count="4">
          <reference field="2" count="1" selected="0">
            <x v="6"/>
          </reference>
          <reference field="3" count="1" selected="0">
            <x v="17"/>
          </reference>
          <reference field="4" count="1" selected="0">
            <x v="59"/>
          </reference>
          <reference field="5" count="2">
            <x v="119"/>
            <x v="120"/>
          </reference>
        </references>
      </pivotArea>
    </format>
    <format dxfId="799">
      <pivotArea collapsedLevelsAreSubtotals="1" fieldPosition="0">
        <references count="3">
          <reference field="2" count="1" selected="0">
            <x v="6"/>
          </reference>
          <reference field="3" count="1" selected="0">
            <x v="17"/>
          </reference>
          <reference field="4" count="1">
            <x v="59"/>
          </reference>
        </references>
      </pivotArea>
    </format>
    <format dxfId="798">
      <pivotArea collapsedLevelsAreSubtotals="1" fieldPosition="0">
        <references count="3">
          <reference field="2" count="1" selected="0">
            <x v="6"/>
          </reference>
          <reference field="3" count="1" selected="0">
            <x v="17"/>
          </reference>
          <reference field="4" count="1">
            <x v="60"/>
          </reference>
        </references>
      </pivotArea>
    </format>
    <format dxfId="797">
      <pivotArea collapsedLevelsAreSubtotals="1" fieldPosition="0">
        <references count="4">
          <reference field="2" count="1" selected="0">
            <x v="6"/>
          </reference>
          <reference field="3" count="1" selected="0">
            <x v="17"/>
          </reference>
          <reference field="4" count="1" selected="0">
            <x v="60"/>
          </reference>
          <reference field="5" count="1">
            <x v="121"/>
          </reference>
        </references>
      </pivotArea>
    </format>
    <format dxfId="796">
      <pivotArea collapsedLevelsAreSubtotals="1" fieldPosition="0">
        <references count="3">
          <reference field="2" count="1" selected="0">
            <x v="6"/>
          </reference>
          <reference field="3" count="1" selected="0">
            <x v="17"/>
          </reference>
          <reference field="4" count="1">
            <x v="60"/>
          </reference>
        </references>
      </pivotArea>
    </format>
    <format dxfId="795">
      <pivotArea collapsedLevelsAreSubtotals="1" fieldPosition="0">
        <references count="3">
          <reference field="2" count="1" selected="0">
            <x v="6"/>
          </reference>
          <reference field="3" count="1" selected="0">
            <x v="17"/>
          </reference>
          <reference field="4" count="1">
            <x v="61"/>
          </reference>
        </references>
      </pivotArea>
    </format>
    <format dxfId="794">
      <pivotArea collapsedLevelsAreSubtotals="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793">
      <pivotArea collapsedLevelsAreSubtotals="1" fieldPosition="0">
        <references count="3">
          <reference field="2" count="1" selected="0">
            <x v="6"/>
          </reference>
          <reference field="3" count="1" selected="0">
            <x v="17"/>
          </reference>
          <reference field="4" count="1">
            <x v="61"/>
          </reference>
        </references>
      </pivotArea>
    </format>
    <format dxfId="792">
      <pivotArea collapsedLevelsAreSubtotals="1" fieldPosition="0">
        <references count="1">
          <reference field="2" count="1">
            <x v="7"/>
          </reference>
        </references>
      </pivotArea>
    </format>
    <format dxfId="791">
      <pivotArea collapsedLevelsAreSubtotals="1" fieldPosition="0">
        <references count="2">
          <reference field="2" count="1" selected="0">
            <x v="7"/>
          </reference>
          <reference field="3" count="1">
            <x v="19"/>
          </reference>
        </references>
      </pivotArea>
    </format>
    <format dxfId="790">
      <pivotArea collapsedLevelsAreSubtotals="1" fieldPosition="0">
        <references count="3">
          <reference field="2" count="1" selected="0">
            <x v="7"/>
          </reference>
          <reference field="3" count="1" selected="0">
            <x v="19"/>
          </reference>
          <reference field="4" count="1">
            <x v="62"/>
          </reference>
        </references>
      </pivotArea>
    </format>
    <format dxfId="789">
      <pivotArea collapsedLevelsAreSubtotals="1" fieldPosition="0">
        <references count="3">
          <reference field="2" count="1" selected="0">
            <x v="7"/>
          </reference>
          <reference field="3" count="1" selected="0">
            <x v="19"/>
          </reference>
          <reference field="4" count="1">
            <x v="62"/>
          </reference>
        </references>
      </pivotArea>
    </format>
    <format dxfId="788">
      <pivotArea grandRow="1" outline="0" collapsedLevelsAreSubtotals="1" fieldPosition="0"/>
    </format>
    <format dxfId="787">
      <pivotArea collapsedLevelsAreSubtotals="1" fieldPosition="0">
        <references count="4">
          <reference field="2" count="1" selected="0">
            <x v="4"/>
          </reference>
          <reference field="3" count="1" selected="0">
            <x v="12"/>
          </reference>
          <reference field="4" count="1" selected="0">
            <x v="38"/>
          </reference>
          <reference field="5" count="2">
            <x v="84"/>
            <x v="85"/>
          </reference>
        </references>
      </pivotArea>
    </format>
    <format dxfId="786">
      <pivotArea collapsedLevelsAreSubtotals="1" fieldPosition="0">
        <references count="4">
          <reference field="2" count="1" selected="0">
            <x v="4"/>
          </reference>
          <reference field="3" count="1" selected="0">
            <x v="12"/>
          </reference>
          <reference field="4" count="1" selected="0">
            <x v="66"/>
          </reference>
          <reference field="5" count="3">
            <x v="86"/>
            <x v="87"/>
            <x v="88"/>
          </reference>
        </references>
      </pivotArea>
    </format>
    <format dxfId="785">
      <pivotArea dataOnly="0" labelOnly="1" fieldPosition="0">
        <references count="2">
          <reference field="2" count="1" selected="0">
            <x v="1"/>
          </reference>
          <reference field="3" count="1">
            <x v="1"/>
          </reference>
        </references>
      </pivotArea>
    </format>
    <format dxfId="784">
      <pivotArea dataOnly="0" labelOnly="1" fieldPosition="0">
        <references count="2">
          <reference field="2" count="1" selected="0">
            <x v="2"/>
          </reference>
          <reference field="3" count="3">
            <x v="2"/>
            <x v="3"/>
            <x v="4"/>
          </reference>
        </references>
      </pivotArea>
    </format>
    <format dxfId="783">
      <pivotArea dataOnly="0" labelOnly="1" fieldPosition="0">
        <references count="2">
          <reference field="2" count="1" selected="0">
            <x v="3"/>
          </reference>
          <reference field="3" count="3">
            <x v="5"/>
            <x v="6"/>
            <x v="11"/>
          </reference>
        </references>
      </pivotArea>
    </format>
    <format dxfId="782">
      <pivotArea dataOnly="0" labelOnly="1" fieldPosition="0">
        <references count="2">
          <reference field="2" count="1" selected="0">
            <x v="4"/>
          </reference>
          <reference field="3" count="2">
            <x v="7"/>
            <x v="12"/>
          </reference>
        </references>
      </pivotArea>
    </format>
    <format dxfId="781">
      <pivotArea dataOnly="0" labelOnly="1" fieldPosition="0">
        <references count="2">
          <reference field="2" count="1" selected="0">
            <x v="5"/>
          </reference>
          <reference field="3" count="2">
            <x v="8"/>
            <x v="13"/>
          </reference>
        </references>
      </pivotArea>
    </format>
    <format dxfId="780">
      <pivotArea dataOnly="0" labelOnly="1" fieldPosition="0">
        <references count="2">
          <reference field="2" count="1" selected="0">
            <x v="6"/>
          </reference>
          <reference field="3" count="6">
            <x v="9"/>
            <x v="10"/>
            <x v="14"/>
            <x v="15"/>
            <x v="16"/>
            <x v="17"/>
          </reference>
        </references>
      </pivotArea>
    </format>
    <format dxfId="779">
      <pivotArea dataOnly="0" labelOnly="1" fieldPosition="0">
        <references count="2">
          <reference field="2" count="1" selected="0">
            <x v="7"/>
          </reference>
          <reference field="3" count="1">
            <x v="19"/>
          </reference>
        </references>
      </pivotArea>
    </format>
    <format dxfId="778">
      <pivotArea dataOnly="0" labelOnly="1" fieldPosition="0">
        <references count="3">
          <reference field="2" count="1" selected="0">
            <x v="1"/>
          </reference>
          <reference field="3" count="1" selected="0">
            <x v="1"/>
          </reference>
          <reference field="4" count="4">
            <x v="1"/>
            <x v="2"/>
            <x v="3"/>
            <x v="4"/>
          </reference>
        </references>
      </pivotArea>
    </format>
    <format dxfId="777">
      <pivotArea dataOnly="0" labelOnly="1" fieldPosition="0">
        <references count="3">
          <reference field="2" count="1" selected="0">
            <x v="2"/>
          </reference>
          <reference field="3" count="1" selected="0">
            <x v="2"/>
          </reference>
          <reference field="4" count="1">
            <x v="6"/>
          </reference>
        </references>
      </pivotArea>
    </format>
    <format dxfId="776">
      <pivotArea dataOnly="0" labelOnly="1" fieldPosition="0">
        <references count="3">
          <reference field="2" count="1" selected="0">
            <x v="2"/>
          </reference>
          <reference field="3" count="1" selected="0">
            <x v="3"/>
          </reference>
          <reference field="4" count="3">
            <x v="7"/>
            <x v="8"/>
            <x v="9"/>
          </reference>
        </references>
      </pivotArea>
    </format>
    <format dxfId="775">
      <pivotArea dataOnly="0" labelOnly="1" fieldPosition="0">
        <references count="3">
          <reference field="2" count="1" selected="0">
            <x v="2"/>
          </reference>
          <reference field="3" count="1" selected="0">
            <x v="4"/>
          </reference>
          <reference field="4" count="3">
            <x v="10"/>
            <x v="11"/>
            <x v="12"/>
          </reference>
        </references>
      </pivotArea>
    </format>
    <format dxfId="774">
      <pivotArea dataOnly="0" labelOnly="1" fieldPosition="0">
        <references count="3">
          <reference field="2" count="1" selected="0">
            <x v="3"/>
          </reference>
          <reference field="3" count="1" selected="0">
            <x v="5"/>
          </reference>
          <reference field="4" count="5">
            <x v="13"/>
            <x v="14"/>
            <x v="15"/>
            <x v="16"/>
            <x v="17"/>
          </reference>
        </references>
      </pivotArea>
    </format>
    <format dxfId="773">
      <pivotArea dataOnly="0" labelOnly="1" fieldPosition="0">
        <references count="3">
          <reference field="2" count="1" selected="0">
            <x v="3"/>
          </reference>
          <reference field="3" count="1" selected="0">
            <x v="6"/>
          </reference>
          <reference field="4" count="2">
            <x v="18"/>
            <x v="19"/>
          </reference>
        </references>
      </pivotArea>
    </format>
    <format dxfId="772">
      <pivotArea dataOnly="0" labelOnly="1" fieldPosition="0">
        <references count="3">
          <reference field="2" count="1" selected="0">
            <x v="3"/>
          </reference>
          <reference field="3" count="1" selected="0">
            <x v="11"/>
          </reference>
          <reference field="4" count="4">
            <x v="30"/>
            <x v="31"/>
            <x v="32"/>
            <x v="33"/>
          </reference>
        </references>
      </pivotArea>
    </format>
    <format dxfId="771">
      <pivotArea dataOnly="0" labelOnly="1" fieldPosition="0">
        <references count="3">
          <reference field="2" count="1" selected="0">
            <x v="4"/>
          </reference>
          <reference field="3" count="1" selected="0">
            <x v="7"/>
          </reference>
          <reference field="4" count="3">
            <x v="20"/>
            <x v="34"/>
            <x v="35"/>
          </reference>
        </references>
      </pivotArea>
    </format>
    <format dxfId="770">
      <pivotArea dataOnly="0" labelOnly="1" fieldPosition="0">
        <references count="3">
          <reference field="2" count="1" selected="0">
            <x v="4"/>
          </reference>
          <reference field="3" count="1" selected="0">
            <x v="12"/>
          </reference>
          <reference field="4" count="3">
            <x v="36"/>
            <x v="38"/>
            <x v="66"/>
          </reference>
        </references>
      </pivotArea>
    </format>
    <format dxfId="769">
      <pivotArea dataOnly="0" labelOnly="1" fieldPosition="0">
        <references count="3">
          <reference field="2" count="1" selected="0">
            <x v="5"/>
          </reference>
          <reference field="3" count="1" selected="0">
            <x v="8"/>
          </reference>
          <reference field="4" count="5">
            <x v="21"/>
            <x v="22"/>
            <x v="23"/>
            <x v="24"/>
            <x v="25"/>
          </reference>
        </references>
      </pivotArea>
    </format>
    <format dxfId="768">
      <pivotArea dataOnly="0" labelOnly="1" fieldPosition="0">
        <references count="3">
          <reference field="2" count="1" selected="0">
            <x v="5"/>
          </reference>
          <reference field="3" count="1" selected="0">
            <x v="13"/>
          </reference>
          <reference field="4" count="3">
            <x v="39"/>
            <x v="40"/>
            <x v="41"/>
          </reference>
        </references>
      </pivotArea>
    </format>
    <format dxfId="767">
      <pivotArea dataOnly="0" labelOnly="1" fieldPosition="0">
        <references count="3">
          <reference field="2" count="1" selected="0">
            <x v="6"/>
          </reference>
          <reference field="3" count="1" selected="0">
            <x v="9"/>
          </reference>
          <reference field="4" count="4">
            <x v="26"/>
            <x v="27"/>
            <x v="28"/>
            <x v="29"/>
          </reference>
        </references>
      </pivotArea>
    </format>
    <format dxfId="766">
      <pivotArea dataOnly="0" labelOnly="1" fieldPosition="0">
        <references count="3">
          <reference field="2" count="1" selected="0">
            <x v="6"/>
          </reference>
          <reference field="3" count="1" selected="0">
            <x v="10"/>
          </reference>
          <reference field="4" count="7">
            <x v="42"/>
            <x v="43"/>
            <x v="44"/>
            <x v="45"/>
            <x v="63"/>
            <x v="64"/>
            <x v="65"/>
          </reference>
        </references>
      </pivotArea>
    </format>
    <format dxfId="765">
      <pivotArea dataOnly="0" labelOnly="1" fieldPosition="0">
        <references count="3">
          <reference field="2" count="1" selected="0">
            <x v="6"/>
          </reference>
          <reference field="3" count="1" selected="0">
            <x v="14"/>
          </reference>
          <reference field="4" count="5">
            <x v="46"/>
            <x v="47"/>
            <x v="48"/>
            <x v="50"/>
            <x v="51"/>
          </reference>
        </references>
      </pivotArea>
    </format>
    <format dxfId="764">
      <pivotArea dataOnly="0" labelOnly="1" fieldPosition="0">
        <references count="3">
          <reference field="2" count="1" selected="0">
            <x v="6"/>
          </reference>
          <reference field="3" count="1" selected="0">
            <x v="15"/>
          </reference>
          <reference field="4" count="4">
            <x v="52"/>
            <x v="53"/>
            <x v="54"/>
            <x v="55"/>
          </reference>
        </references>
      </pivotArea>
    </format>
    <format dxfId="763">
      <pivotArea dataOnly="0" labelOnly="1" fieldPosition="0">
        <references count="3">
          <reference field="2" count="1" selected="0">
            <x v="6"/>
          </reference>
          <reference field="3" count="1" selected="0">
            <x v="16"/>
          </reference>
          <reference field="4" count="3">
            <x v="56"/>
            <x v="57"/>
            <x v="58"/>
          </reference>
        </references>
      </pivotArea>
    </format>
    <format dxfId="762">
      <pivotArea dataOnly="0" labelOnly="1" fieldPosition="0">
        <references count="3">
          <reference field="2" count="1" selected="0">
            <x v="6"/>
          </reference>
          <reference field="3" count="1" selected="0">
            <x v="17"/>
          </reference>
          <reference field="4" count="3">
            <x v="59"/>
            <x v="60"/>
            <x v="61"/>
          </reference>
        </references>
      </pivotArea>
    </format>
    <format dxfId="761">
      <pivotArea dataOnly="0" labelOnly="1" fieldPosition="0">
        <references count="3">
          <reference field="2" count="1" selected="0">
            <x v="7"/>
          </reference>
          <reference field="3" count="1" selected="0">
            <x v="19"/>
          </reference>
          <reference field="4" count="1">
            <x v="62"/>
          </reference>
        </references>
      </pivotArea>
    </format>
    <format dxfId="760">
      <pivotArea dataOnly="0" labelOnly="1" fieldPosition="0">
        <references count="4">
          <reference field="2" count="1" selected="0">
            <x v="1"/>
          </reference>
          <reference field="3" count="1" selected="0">
            <x v="1"/>
          </reference>
          <reference field="4" count="1" selected="0">
            <x v="1"/>
          </reference>
          <reference field="5" count="1">
            <x v="1"/>
          </reference>
        </references>
      </pivotArea>
    </format>
    <format dxfId="759">
      <pivotArea dataOnly="0" labelOnly="1" fieldPosition="0">
        <references count="4">
          <reference field="2" count="1" selected="0">
            <x v="1"/>
          </reference>
          <reference field="3" count="1" selected="0">
            <x v="1"/>
          </reference>
          <reference field="4" count="1" selected="0">
            <x v="2"/>
          </reference>
          <reference field="5" count="1">
            <x v="2"/>
          </reference>
        </references>
      </pivotArea>
    </format>
    <format dxfId="758">
      <pivotArea dataOnly="0" labelOnly="1" fieldPosition="0">
        <references count="4">
          <reference field="2" count="1" selected="0">
            <x v="1"/>
          </reference>
          <reference field="3" count="1" selected="0">
            <x v="1"/>
          </reference>
          <reference field="4" count="1" selected="0">
            <x v="3"/>
          </reference>
          <reference field="5" count="1">
            <x v="3"/>
          </reference>
        </references>
      </pivotArea>
    </format>
    <format dxfId="757">
      <pivotArea dataOnly="0" labelOnly="1" fieldPosition="0">
        <references count="4">
          <reference field="2" count="1" selected="0">
            <x v="1"/>
          </reference>
          <reference field="3" count="1" selected="0">
            <x v="1"/>
          </reference>
          <reference field="4" count="1" selected="0">
            <x v="4"/>
          </reference>
          <reference field="5" count="4">
            <x v="4"/>
            <x v="5"/>
            <x v="6"/>
            <x v="68"/>
          </reference>
        </references>
      </pivotArea>
    </format>
    <format dxfId="756">
      <pivotArea dataOnly="0" labelOnly="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755">
      <pivotArea dataOnly="0" labelOnly="1" fieldPosition="0">
        <references count="4">
          <reference field="2" count="1" selected="0">
            <x v="2"/>
          </reference>
          <reference field="3" count="1" selected="0">
            <x v="3"/>
          </reference>
          <reference field="4" count="1" selected="0">
            <x v="8"/>
          </reference>
          <reference field="5" count="2">
            <x v="28"/>
            <x v="29"/>
          </reference>
        </references>
      </pivotArea>
    </format>
    <format dxfId="754">
      <pivotArea dataOnly="0" labelOnly="1" fieldPosition="0">
        <references count="4">
          <reference field="2" count="1" selected="0">
            <x v="2"/>
          </reference>
          <reference field="3" count="1" selected="0">
            <x v="3"/>
          </reference>
          <reference field="4" count="1" selected="0">
            <x v="9"/>
          </reference>
          <reference field="5" count="2">
            <x v="7"/>
            <x v="8"/>
          </reference>
        </references>
      </pivotArea>
    </format>
    <format dxfId="753">
      <pivotArea dataOnly="0" labelOnly="1" fieldPosition="0">
        <references count="4">
          <reference field="2" count="1" selected="0">
            <x v="2"/>
          </reference>
          <reference field="3" count="1" selected="0">
            <x v="4"/>
          </reference>
          <reference field="4" count="1" selected="0">
            <x v="10"/>
          </reference>
          <reference field="5" count="2">
            <x v="30"/>
            <x v="31"/>
          </reference>
        </references>
      </pivotArea>
    </format>
    <format dxfId="752">
      <pivotArea dataOnly="0" labelOnly="1" fieldPosition="0">
        <references count="4">
          <reference field="2" count="1" selected="0">
            <x v="2"/>
          </reference>
          <reference field="3" count="1" selected="0">
            <x v="4"/>
          </reference>
          <reference field="4" count="1" selected="0">
            <x v="11"/>
          </reference>
          <reference field="5" count="1">
            <x v="42"/>
          </reference>
        </references>
      </pivotArea>
    </format>
    <format dxfId="751">
      <pivotArea dataOnly="0" labelOnly="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750">
      <pivotArea dataOnly="0" labelOnly="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749">
      <pivotArea dataOnly="0" labelOnly="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748">
      <pivotArea dataOnly="0" labelOnly="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747">
      <pivotArea dataOnly="0" labelOnly="1" fieldPosition="0">
        <references count="4">
          <reference field="2" count="1" selected="0">
            <x v="3"/>
          </reference>
          <reference field="3" count="1" selected="0">
            <x v="5"/>
          </reference>
          <reference field="4" count="1" selected="0">
            <x v="16"/>
          </reference>
          <reference field="5" count="2">
            <x v="52"/>
            <x v="53"/>
          </reference>
        </references>
      </pivotArea>
    </format>
    <format dxfId="746">
      <pivotArea dataOnly="0" labelOnly="1" fieldPosition="0">
        <references count="4">
          <reference field="2" count="1" selected="0">
            <x v="3"/>
          </reference>
          <reference field="3" count="1" selected="0">
            <x v="5"/>
          </reference>
          <reference field="4" count="1" selected="0">
            <x v="17"/>
          </reference>
          <reference field="5" count="2">
            <x v="69"/>
            <x v="94"/>
          </reference>
        </references>
      </pivotArea>
    </format>
    <format dxfId="745">
      <pivotArea dataOnly="0" labelOnly="1" fieldPosition="0">
        <references count="4">
          <reference field="2" count="1" selected="0">
            <x v="3"/>
          </reference>
          <reference field="3" count="1" selected="0">
            <x v="6"/>
          </reference>
          <reference field="4" count="1" selected="0">
            <x v="18"/>
          </reference>
          <reference field="5" count="3">
            <x v="9"/>
            <x v="128"/>
            <x v="129"/>
          </reference>
        </references>
      </pivotArea>
    </format>
    <format dxfId="744">
      <pivotArea dataOnly="0" labelOnly="1" fieldPosition="0">
        <references count="4">
          <reference field="2" count="1" selected="0">
            <x v="3"/>
          </reference>
          <reference field="3" count="1" selected="0">
            <x v="6"/>
          </reference>
          <reference field="4" count="1" selected="0">
            <x v="19"/>
          </reference>
          <reference field="5" count="1">
            <x v="127"/>
          </reference>
        </references>
      </pivotArea>
    </format>
    <format dxfId="743">
      <pivotArea dataOnly="0" labelOnly="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742">
      <pivotArea dataOnly="0" labelOnly="1" fieldPosition="0">
        <references count="4">
          <reference field="2" count="1" selected="0">
            <x v="3"/>
          </reference>
          <reference field="3" count="1" selected="0">
            <x v="11"/>
          </reference>
          <reference field="4" count="1" selected="0">
            <x v="32"/>
          </reference>
          <reference field="5" count="4">
            <x v="74"/>
            <x v="75"/>
            <x v="76"/>
            <x v="77"/>
          </reference>
        </references>
      </pivotArea>
    </format>
    <format dxfId="741">
      <pivotArea dataOnly="0" labelOnly="1" fieldPosition="0">
        <references count="4">
          <reference field="2" count="1" selected="0">
            <x v="4"/>
          </reference>
          <reference field="3" count="1" selected="0">
            <x v="7"/>
          </reference>
          <reference field="4" count="1" selected="0">
            <x v="20"/>
          </reference>
          <reference field="5" count="7">
            <x v="17"/>
            <x v="18"/>
            <x v="19"/>
            <x v="20"/>
            <x v="21"/>
            <x v="22"/>
            <x v="67"/>
          </reference>
        </references>
      </pivotArea>
    </format>
    <format dxfId="740">
      <pivotArea dataOnly="0" labelOnly="1" fieldPosition="0">
        <references count="4">
          <reference field="2" count="1" selected="0">
            <x v="4"/>
          </reference>
          <reference field="3" count="1" selected="0">
            <x v="7"/>
          </reference>
          <reference field="4" count="1" selected="0">
            <x v="34"/>
          </reference>
          <reference field="5" count="2">
            <x v="78"/>
            <x v="79"/>
          </reference>
        </references>
      </pivotArea>
    </format>
    <format dxfId="739">
      <pivotArea dataOnly="0" labelOnly="1" fieldPosition="0">
        <references count="4">
          <reference field="2" count="1" selected="0">
            <x v="4"/>
          </reference>
          <reference field="3" count="1" selected="0">
            <x v="7"/>
          </reference>
          <reference field="4" count="1" selected="0">
            <x v="35"/>
          </reference>
          <reference field="5" count="2">
            <x v="80"/>
            <x v="81"/>
          </reference>
        </references>
      </pivotArea>
    </format>
    <format dxfId="738">
      <pivotArea dataOnly="0" labelOnly="1" fieldPosition="0">
        <references count="4">
          <reference field="2" count="1" selected="0">
            <x v="4"/>
          </reference>
          <reference field="3" count="1" selected="0">
            <x v="12"/>
          </reference>
          <reference field="4" count="1" selected="0">
            <x v="36"/>
          </reference>
          <reference field="5" count="2">
            <x v="82"/>
            <x v="83"/>
          </reference>
        </references>
      </pivotArea>
    </format>
    <format dxfId="737">
      <pivotArea dataOnly="0" labelOnly="1" fieldPosition="0">
        <references count="4">
          <reference field="2" count="1" selected="0">
            <x v="4"/>
          </reference>
          <reference field="3" count="1" selected="0">
            <x v="12"/>
          </reference>
          <reference field="4" count="1" selected="0">
            <x v="38"/>
          </reference>
          <reference field="5" count="2">
            <x v="84"/>
            <x v="85"/>
          </reference>
        </references>
      </pivotArea>
    </format>
    <format dxfId="736">
      <pivotArea dataOnly="0" labelOnly="1" fieldPosition="0">
        <references count="4">
          <reference field="2" count="1" selected="0">
            <x v="4"/>
          </reference>
          <reference field="3" count="1" selected="0">
            <x v="12"/>
          </reference>
          <reference field="4" count="1" selected="0">
            <x v="66"/>
          </reference>
          <reference field="5" count="3">
            <x v="86"/>
            <x v="87"/>
            <x v="88"/>
          </reference>
        </references>
      </pivotArea>
    </format>
    <format dxfId="735">
      <pivotArea dataOnly="0" labelOnly="1" fieldPosition="0">
        <references count="4">
          <reference field="2" count="1" selected="0">
            <x v="5"/>
          </reference>
          <reference field="3" count="1" selected="0">
            <x v="8"/>
          </reference>
          <reference field="4" count="1" selected="0">
            <x v="21"/>
          </reference>
          <reference field="5" count="2">
            <x v="10"/>
            <x v="11"/>
          </reference>
        </references>
      </pivotArea>
    </format>
    <format dxfId="734">
      <pivotArea dataOnly="0" labelOnly="1" fieldPosition="0">
        <references count="4">
          <reference field="2" count="1" selected="0">
            <x v="5"/>
          </reference>
          <reference field="3" count="1" selected="0">
            <x v="8"/>
          </reference>
          <reference field="4" count="1" selected="0">
            <x v="22"/>
          </reference>
          <reference field="5" count="1">
            <x v="12"/>
          </reference>
        </references>
      </pivotArea>
    </format>
    <format dxfId="733">
      <pivotArea dataOnly="0" labelOnly="1" fieldPosition="0">
        <references count="4">
          <reference field="2" count="1" selected="0">
            <x v="5"/>
          </reference>
          <reference field="3" count="1" selected="0">
            <x v="8"/>
          </reference>
          <reference field="4" count="1" selected="0">
            <x v="23"/>
          </reference>
          <reference field="5" count="1">
            <x v="13"/>
          </reference>
        </references>
      </pivotArea>
    </format>
    <format dxfId="732">
      <pivotArea dataOnly="0" labelOnly="1" fieldPosition="0">
        <references count="4">
          <reference field="2" count="1" selected="0">
            <x v="5"/>
          </reference>
          <reference field="3" count="1" selected="0">
            <x v="8"/>
          </reference>
          <reference field="4" count="1" selected="0">
            <x v="24"/>
          </reference>
          <reference field="5" count="2">
            <x v="35"/>
            <x v="39"/>
          </reference>
        </references>
      </pivotArea>
    </format>
    <format dxfId="731">
      <pivotArea dataOnly="0" labelOnly="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730">
      <pivotArea dataOnly="0" labelOnly="1" fieldPosition="0">
        <references count="4">
          <reference field="2" count="1" selected="0">
            <x v="5"/>
          </reference>
          <reference field="3" count="1" selected="0">
            <x v="13"/>
          </reference>
          <reference field="4" count="1" selected="0">
            <x v="39"/>
          </reference>
          <reference field="5" count="5">
            <x v="89"/>
            <x v="90"/>
            <x v="91"/>
            <x v="92"/>
            <x v="93"/>
          </reference>
        </references>
      </pivotArea>
    </format>
    <format dxfId="729">
      <pivotArea dataOnly="0" labelOnly="1" fieldPosition="0">
        <references count="4">
          <reference field="2" count="1" selected="0">
            <x v="5"/>
          </reference>
          <reference field="3" count="1" selected="0">
            <x v="13"/>
          </reference>
          <reference field="4" count="1" selected="0">
            <x v="40"/>
          </reference>
          <reference field="5" count="2">
            <x v="95"/>
            <x v="96"/>
          </reference>
        </references>
      </pivotArea>
    </format>
    <format dxfId="728">
      <pivotArea dataOnly="0" labelOnly="1" fieldPosition="0">
        <references count="4">
          <reference field="2" count="1" selected="0">
            <x v="5"/>
          </reference>
          <reference field="3" count="1" selected="0">
            <x v="13"/>
          </reference>
          <reference field="4" count="1" selected="0">
            <x v="41"/>
          </reference>
          <reference field="5" count="2">
            <x v="97"/>
            <x v="98"/>
          </reference>
        </references>
      </pivotArea>
    </format>
    <format dxfId="727">
      <pivotArea dataOnly="0" labelOnly="1" fieldPosition="0">
        <references count="4">
          <reference field="2" count="1" selected="0">
            <x v="6"/>
          </reference>
          <reference field="3" count="1" selected="0">
            <x v="9"/>
          </reference>
          <reference field="4" count="1" selected="0">
            <x v="26"/>
          </reference>
          <reference field="5" count="1">
            <x v="73"/>
          </reference>
        </references>
      </pivotArea>
    </format>
    <format dxfId="726">
      <pivotArea dataOnly="0" labelOnly="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725">
      <pivotArea dataOnly="0" labelOnly="1" fieldPosition="0">
        <references count="4">
          <reference field="2" count="1" selected="0">
            <x v="6"/>
          </reference>
          <reference field="3" count="1" selected="0">
            <x v="9"/>
          </reference>
          <reference field="4" count="1" selected="0">
            <x v="29"/>
          </reference>
          <reference field="5" count="1">
            <x v="32"/>
          </reference>
        </references>
      </pivotArea>
    </format>
    <format dxfId="724">
      <pivotArea dataOnly="0" labelOnly="1" fieldPosition="0">
        <references count="4">
          <reference field="2" count="1" selected="0">
            <x v="6"/>
          </reference>
          <reference field="3" count="1" selected="0">
            <x v="10"/>
          </reference>
          <reference field="4" count="1" selected="0">
            <x v="42"/>
          </reference>
          <reference field="5" count="1">
            <x v="99"/>
          </reference>
        </references>
      </pivotArea>
    </format>
    <format dxfId="723">
      <pivotArea dataOnly="0" labelOnly="1" fieldPosition="0">
        <references count="4">
          <reference field="2" count="1" selected="0">
            <x v="6"/>
          </reference>
          <reference field="3" count="1" selected="0">
            <x v="10"/>
          </reference>
          <reference field="4" count="1" selected="0">
            <x v="43"/>
          </reference>
          <reference field="5" count="1">
            <x v="103"/>
          </reference>
        </references>
      </pivotArea>
    </format>
    <format dxfId="722">
      <pivotArea dataOnly="0" labelOnly="1" fieldPosition="0">
        <references count="4">
          <reference field="2" count="1" selected="0">
            <x v="6"/>
          </reference>
          <reference field="3" count="1" selected="0">
            <x v="10"/>
          </reference>
          <reference field="4" count="1" selected="0">
            <x v="44"/>
          </reference>
          <reference field="5" count="1">
            <x v="100"/>
          </reference>
        </references>
      </pivotArea>
    </format>
    <format dxfId="721">
      <pivotArea dataOnly="0" labelOnly="1" fieldPosition="0">
        <references count="4">
          <reference field="2" count="1" selected="0">
            <x v="6"/>
          </reference>
          <reference field="3" count="1" selected="0">
            <x v="10"/>
          </reference>
          <reference field="4" count="1" selected="0">
            <x v="45"/>
          </reference>
          <reference field="5" count="2">
            <x v="101"/>
            <x v="102"/>
          </reference>
        </references>
      </pivotArea>
    </format>
    <format dxfId="720">
      <pivotArea dataOnly="0" labelOnly="1" fieldPosition="0">
        <references count="4">
          <reference field="2" count="1" selected="0">
            <x v="6"/>
          </reference>
          <reference field="3" count="1" selected="0">
            <x v="10"/>
          </reference>
          <reference field="4" count="1" selected="0">
            <x v="63"/>
          </reference>
          <reference field="5" count="1">
            <x v="104"/>
          </reference>
        </references>
      </pivotArea>
    </format>
    <format dxfId="719">
      <pivotArea dataOnly="0" labelOnly="1" fieldPosition="0">
        <references count="4">
          <reference field="2" count="1" selected="0">
            <x v="6"/>
          </reference>
          <reference field="3" count="1" selected="0">
            <x v="10"/>
          </reference>
          <reference field="4" count="1" selected="0">
            <x v="64"/>
          </reference>
          <reference field="5" count="1">
            <x v="105"/>
          </reference>
        </references>
      </pivotArea>
    </format>
    <format dxfId="718">
      <pivotArea dataOnly="0" labelOnly="1" fieldPosition="0">
        <references count="4">
          <reference field="2" count="1" selected="0">
            <x v="6"/>
          </reference>
          <reference field="3" count="1" selected="0">
            <x v="10"/>
          </reference>
          <reference field="4" count="1" selected="0">
            <x v="65"/>
          </reference>
          <reference field="5" count="1">
            <x v="41"/>
          </reference>
        </references>
      </pivotArea>
    </format>
    <format dxfId="717">
      <pivotArea dataOnly="0" labelOnly="1" fieldPosition="0">
        <references count="4">
          <reference field="2" count="1" selected="0">
            <x v="6"/>
          </reference>
          <reference field="3" count="1" selected="0">
            <x v="14"/>
          </reference>
          <reference field="4" count="1" selected="0">
            <x v="47"/>
          </reference>
          <reference field="5" count="1">
            <x v="106"/>
          </reference>
        </references>
      </pivotArea>
    </format>
    <format dxfId="716">
      <pivotArea dataOnly="0" labelOnly="1" fieldPosition="0">
        <references count="4">
          <reference field="2" count="1" selected="0">
            <x v="6"/>
          </reference>
          <reference field="3" count="1" selected="0">
            <x v="14"/>
          </reference>
          <reference field="4" count="1" selected="0">
            <x v="48"/>
          </reference>
          <reference field="5" count="1">
            <x v="107"/>
          </reference>
        </references>
      </pivotArea>
    </format>
    <format dxfId="715">
      <pivotArea dataOnly="0" labelOnly="1" fieldPosition="0">
        <references count="4">
          <reference field="2" count="1" selected="0">
            <x v="6"/>
          </reference>
          <reference field="3" count="1" selected="0">
            <x v="14"/>
          </reference>
          <reference field="4" count="1" selected="0">
            <x v="50"/>
          </reference>
          <reference field="5" count="2">
            <x v="108"/>
            <x v="109"/>
          </reference>
        </references>
      </pivotArea>
    </format>
    <format dxfId="714">
      <pivotArea dataOnly="0" labelOnly="1" fieldPosition="0">
        <references count="4">
          <reference field="2" count="1" selected="0">
            <x v="6"/>
          </reference>
          <reference field="3" count="1" selected="0">
            <x v="14"/>
          </reference>
          <reference field="4" count="1" selected="0">
            <x v="51"/>
          </reference>
          <reference field="5" count="1">
            <x v="110"/>
          </reference>
        </references>
      </pivotArea>
    </format>
    <format dxfId="713">
      <pivotArea dataOnly="0" labelOnly="1" fieldPosition="0">
        <references count="4">
          <reference field="2" count="1" selected="0">
            <x v="6"/>
          </reference>
          <reference field="3" count="1" selected="0">
            <x v="15"/>
          </reference>
          <reference field="4" count="1" selected="0">
            <x v="52"/>
          </reference>
          <reference field="5" count="1">
            <x v="111"/>
          </reference>
        </references>
      </pivotArea>
    </format>
    <format dxfId="712">
      <pivotArea dataOnly="0" labelOnly="1" fieldPosition="0">
        <references count="4">
          <reference field="2" count="1" selected="0">
            <x v="6"/>
          </reference>
          <reference field="3" count="1" selected="0">
            <x v="15"/>
          </reference>
          <reference field="4" count="1" selected="0">
            <x v="55"/>
          </reference>
          <reference field="5" count="1">
            <x v="116"/>
          </reference>
        </references>
      </pivotArea>
    </format>
    <format dxfId="711">
      <pivotArea dataOnly="0" labelOnly="1" fieldPosition="0">
        <references count="4">
          <reference field="2" count="1" selected="0">
            <x v="6"/>
          </reference>
          <reference field="3" count="1" selected="0">
            <x v="15"/>
          </reference>
          <reference field="4" count="1" selected="0">
            <x v="54"/>
          </reference>
          <reference field="5" count="4">
            <x v="112"/>
            <x v="113"/>
            <x v="114"/>
            <x v="115"/>
          </reference>
        </references>
      </pivotArea>
    </format>
    <format dxfId="710">
      <pivotArea dataOnly="0" labelOnly="1" fieldPosition="0">
        <references count="4">
          <reference field="2" count="1" selected="0">
            <x v="6"/>
          </reference>
          <reference field="3" count="1" selected="0">
            <x v="16"/>
          </reference>
          <reference field="4" count="1" selected="0">
            <x v="56"/>
          </reference>
          <reference field="5" count="1">
            <x v="117"/>
          </reference>
        </references>
      </pivotArea>
    </format>
    <format dxfId="709">
      <pivotArea dataOnly="0" labelOnly="1" fieldPosition="0">
        <references count="4">
          <reference field="2" count="1" selected="0">
            <x v="6"/>
          </reference>
          <reference field="3" count="1" selected="0">
            <x v="16"/>
          </reference>
          <reference field="4" count="1" selected="0">
            <x v="57"/>
          </reference>
          <reference field="5" count="1">
            <x v="133"/>
          </reference>
        </references>
      </pivotArea>
    </format>
    <format dxfId="708">
      <pivotArea dataOnly="0" labelOnly="1" fieldPosition="0">
        <references count="4">
          <reference field="2" count="1" selected="0">
            <x v="6"/>
          </reference>
          <reference field="3" count="1" selected="0">
            <x v="16"/>
          </reference>
          <reference field="4" count="1" selected="0">
            <x v="58"/>
          </reference>
          <reference field="5" count="1">
            <x v="118"/>
          </reference>
        </references>
      </pivotArea>
    </format>
    <format dxfId="707">
      <pivotArea dataOnly="0" labelOnly="1" fieldPosition="0">
        <references count="4">
          <reference field="2" count="1" selected="0">
            <x v="6"/>
          </reference>
          <reference field="3" count="1" selected="0">
            <x v="17"/>
          </reference>
          <reference field="4" count="1" selected="0">
            <x v="59"/>
          </reference>
          <reference field="5" count="2">
            <x v="119"/>
            <x v="120"/>
          </reference>
        </references>
      </pivotArea>
    </format>
    <format dxfId="706">
      <pivotArea dataOnly="0" labelOnly="1" fieldPosition="0">
        <references count="4">
          <reference field="2" count="1" selected="0">
            <x v="6"/>
          </reference>
          <reference field="3" count="1" selected="0">
            <x v="17"/>
          </reference>
          <reference field="4" count="1" selected="0">
            <x v="61"/>
          </reference>
          <reference field="5" count="4">
            <x v="122"/>
            <x v="123"/>
            <x v="124"/>
            <x v="125"/>
          </reference>
        </references>
      </pivotArea>
    </format>
    <format dxfId="705">
      <pivotArea dataOnly="0" labelOnly="1" fieldPosition="0">
        <references count="4">
          <reference field="2" count="1" selected="0">
            <x v="3"/>
          </reference>
          <reference field="3" count="1" selected="0">
            <x v="5"/>
          </reference>
          <reference field="4" count="1" selected="0">
            <x v="14"/>
          </reference>
          <reference field="5" count="4">
            <x v="60"/>
            <x v="61"/>
            <x v="62"/>
            <x v="64"/>
          </reference>
        </references>
      </pivotArea>
    </format>
    <format dxfId="704">
      <pivotArea dataOnly="0" labelOnly="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703">
      <pivotArea dataOnly="0" labelOnly="1" fieldPosition="0">
        <references count="4">
          <reference field="2" count="1" selected="0">
            <x v="3"/>
          </reference>
          <reference field="3" count="1" selected="0">
            <x v="11"/>
          </reference>
          <reference field="4" count="1" selected="0">
            <x v="30"/>
          </reference>
          <reference field="5" count="1">
            <x v="71"/>
          </reference>
        </references>
      </pivotArea>
    </format>
    <format dxfId="702">
      <pivotArea type="all" dataOnly="0" outline="0" fieldPosition="0"/>
    </format>
    <format dxfId="701">
      <pivotArea outline="0" collapsedLevelsAreSubtotals="1" fieldPosition="0"/>
    </format>
    <format dxfId="700">
      <pivotArea field="2" type="button" dataOnly="0" labelOnly="1" outline="0" axis="axisRow" fieldPosition="0"/>
    </format>
    <format dxfId="699">
      <pivotArea dataOnly="0" labelOnly="1" fieldPosition="0">
        <references count="1">
          <reference field="2" count="0"/>
        </references>
      </pivotArea>
    </format>
    <format dxfId="698">
      <pivotArea dataOnly="0" labelOnly="1" grandRow="1" outline="0" fieldPosition="0"/>
    </format>
    <format dxfId="697">
      <pivotArea dataOnly="0" labelOnly="1" fieldPosition="0">
        <references count="2">
          <reference field="2" count="1" selected="0">
            <x v="0"/>
          </reference>
          <reference field="3" count="0"/>
        </references>
      </pivotArea>
    </format>
    <format dxfId="696">
      <pivotArea dataOnly="0" labelOnly="1" fieldPosition="0">
        <references count="3">
          <reference field="2" count="1" selected="0">
            <x v="0"/>
          </reference>
          <reference field="3" count="1" selected="0">
            <x v="0"/>
          </reference>
          <reference field="4" count="25">
            <x v="0"/>
            <x v="1"/>
            <x v="2"/>
            <x v="3"/>
            <x v="4"/>
            <x v="6"/>
            <x v="7"/>
            <x v="8"/>
            <x v="9"/>
            <x v="10"/>
            <x v="11"/>
            <x v="12"/>
            <x v="13"/>
            <x v="14"/>
            <x v="15"/>
            <x v="16"/>
            <x v="17"/>
            <x v="18"/>
            <x v="19"/>
            <x v="20"/>
            <x v="30"/>
            <x v="31"/>
            <x v="32"/>
            <x v="33"/>
            <x v="34"/>
          </reference>
        </references>
      </pivotArea>
    </format>
    <format dxfId="695">
      <pivotArea dataOnly="0" labelOnly="1" fieldPosition="0">
        <references count="3">
          <reference field="2" count="1" selected="0">
            <x v="4"/>
          </reference>
          <reference field="3" count="1" selected="0">
            <x v="7"/>
          </reference>
          <reference field="4" count="25">
            <x v="21"/>
            <x v="22"/>
            <x v="23"/>
            <x v="24"/>
            <x v="25"/>
            <x v="26"/>
            <x v="27"/>
            <x v="28"/>
            <x v="29"/>
            <x v="35"/>
            <x v="36"/>
            <x v="38"/>
            <x v="39"/>
            <x v="40"/>
            <x v="41"/>
            <x v="42"/>
            <x v="43"/>
            <x v="44"/>
            <x v="45"/>
            <x v="46"/>
            <x v="47"/>
            <x v="63"/>
            <x v="64"/>
            <x v="65"/>
            <x v="66"/>
          </reference>
        </references>
      </pivotArea>
    </format>
    <format dxfId="694">
      <pivotArea dataOnly="0" labelOnly="1" fieldPosition="0">
        <references count="3">
          <reference field="2" count="1" selected="0">
            <x v="6"/>
          </reference>
          <reference field="3" count="1" selected="0">
            <x v="14"/>
          </reference>
          <reference field="4" count="14">
            <x v="48"/>
            <x v="50"/>
            <x v="51"/>
            <x v="52"/>
            <x v="53"/>
            <x v="54"/>
            <x v="55"/>
            <x v="56"/>
            <x v="57"/>
            <x v="58"/>
            <x v="59"/>
            <x v="60"/>
            <x v="61"/>
            <x v="62"/>
          </reference>
        </references>
      </pivotArea>
    </format>
    <format dxfId="693">
      <pivotArea dataOnly="0" labelOnly="1" fieldPosition="0">
        <references count="4">
          <reference field="2" count="1" selected="0">
            <x v="0"/>
          </reference>
          <reference field="3" count="1" selected="0">
            <x v="0"/>
          </reference>
          <reference field="4" count="1" selected="0">
            <x v="0"/>
          </reference>
          <reference field="5" count="46">
            <x v="0"/>
            <x v="1"/>
            <x v="2"/>
            <x v="3"/>
            <x v="4"/>
            <x v="5"/>
            <x v="6"/>
            <x v="7"/>
            <x v="8"/>
            <x v="9"/>
            <x v="26"/>
            <x v="27"/>
            <x v="28"/>
            <x v="29"/>
            <x v="30"/>
            <x v="31"/>
            <x v="42"/>
            <x v="43"/>
            <x v="44"/>
            <x v="45"/>
            <x v="46"/>
            <x v="47"/>
            <x v="48"/>
            <x v="49"/>
            <x v="50"/>
            <x v="51"/>
            <x v="52"/>
            <x v="53"/>
            <x v="54"/>
            <x v="55"/>
            <x v="56"/>
            <x v="57"/>
            <x v="58"/>
            <x v="59"/>
            <x v="60"/>
            <x v="61"/>
            <x v="62"/>
            <x v="63"/>
            <x v="64"/>
            <x v="65"/>
            <x v="66"/>
            <x v="68"/>
            <x v="69"/>
            <x v="94"/>
            <x v="128"/>
            <x v="130"/>
          </reference>
        </references>
      </pivotArea>
    </format>
    <format dxfId="692">
      <pivotArea dataOnly="0" labelOnly="1" fieldPosition="0">
        <references count="4">
          <reference field="2" count="1" selected="0">
            <x v="3"/>
          </reference>
          <reference field="3" count="1" selected="0">
            <x v="6"/>
          </reference>
          <reference field="4" count="1" selected="0">
            <x v="18"/>
          </reference>
          <reference field="5" count="45">
            <x v="10"/>
            <x v="11"/>
            <x v="12"/>
            <x v="13"/>
            <x v="17"/>
            <x v="18"/>
            <x v="19"/>
            <x v="20"/>
            <x v="21"/>
            <x v="22"/>
            <x v="33"/>
            <x v="34"/>
            <x v="35"/>
            <x v="36"/>
            <x v="37"/>
            <x v="38"/>
            <x v="39"/>
            <x v="40"/>
            <x v="67"/>
            <x v="70"/>
            <x v="71"/>
            <x v="72"/>
            <x v="74"/>
            <x v="75"/>
            <x v="76"/>
            <x v="77"/>
            <x v="78"/>
            <x v="79"/>
            <x v="80"/>
            <x v="81"/>
            <x v="82"/>
            <x v="83"/>
            <x v="84"/>
            <x v="85"/>
            <x v="86"/>
            <x v="87"/>
            <x v="88"/>
            <x v="89"/>
            <x v="90"/>
            <x v="91"/>
            <x v="92"/>
            <x v="93"/>
            <x v="126"/>
            <x v="127"/>
            <x v="129"/>
          </reference>
        </references>
      </pivotArea>
    </format>
    <format dxfId="691">
      <pivotArea dataOnly="0" labelOnly="1" fieldPosition="0">
        <references count="4">
          <reference field="2" count="1" selected="0">
            <x v="5"/>
          </reference>
          <reference field="3" count="1" selected="0">
            <x v="13"/>
          </reference>
          <reference field="4" count="1" selected="0">
            <x v="40"/>
          </reference>
          <reference field="5" count="41">
            <x v="14"/>
            <x v="15"/>
            <x v="16"/>
            <x v="23"/>
            <x v="24"/>
            <x v="25"/>
            <x v="32"/>
            <x v="41"/>
            <x v="73"/>
            <x v="95"/>
            <x v="96"/>
            <x v="97"/>
            <x v="98"/>
            <x v="99"/>
            <x v="100"/>
            <x v="101"/>
            <x v="102"/>
            <x v="103"/>
            <x v="104"/>
            <x v="105"/>
            <x v="106"/>
            <x v="107"/>
            <x v="108"/>
            <x v="109"/>
            <x v="110"/>
            <x v="111"/>
            <x v="112"/>
            <x v="113"/>
            <x v="114"/>
            <x v="115"/>
            <x v="116"/>
            <x v="117"/>
            <x v="118"/>
            <x v="119"/>
            <x v="120"/>
            <x v="131"/>
            <x v="132"/>
            <x v="133"/>
            <x v="134"/>
            <x v="135"/>
            <x v="136"/>
          </reference>
        </references>
      </pivotArea>
    </format>
    <format dxfId="690">
      <pivotArea dataOnly="0" labelOnly="1" fieldPosition="0">
        <references count="4">
          <reference field="2" count="1" selected="0">
            <x v="6"/>
          </reference>
          <reference field="3" count="1" selected="0">
            <x v="17"/>
          </reference>
          <reference field="4" count="1" selected="0">
            <x v="60"/>
          </reference>
          <reference field="5" count="5">
            <x v="121"/>
            <x v="122"/>
            <x v="123"/>
            <x v="124"/>
            <x v="125"/>
          </reference>
        </references>
      </pivotArea>
    </format>
    <format dxfId="689">
      <pivotArea dataOnly="0" labelOnly="1" outline="0" fieldPosition="0">
        <references count="1">
          <reference field="4294967294" count="6">
            <x v="0"/>
            <x v="1"/>
            <x v="2"/>
            <x v="3"/>
            <x v="4"/>
            <x v="5"/>
          </reference>
        </references>
      </pivotArea>
    </format>
    <format dxfId="688">
      <pivotArea dataOnly="0" labelOnly="1" fieldPosition="0">
        <references count="4">
          <reference field="2" count="1" selected="0">
            <x v="1"/>
          </reference>
          <reference field="3" count="1" selected="0">
            <x v="1"/>
          </reference>
          <reference field="4" count="1" selected="0">
            <x v="4"/>
          </reference>
          <reference field="5" count="1">
            <x v="130"/>
          </reference>
        </references>
      </pivotArea>
    </format>
    <format dxfId="687">
      <pivotArea outline="0" fieldPosition="0">
        <references count="1">
          <reference field="4294967294" count="1">
            <x v="5"/>
          </reference>
        </references>
      </pivotArea>
    </format>
    <format dxfId="686">
      <pivotArea dataOnly="0" labelOnly="1" fieldPosition="0">
        <references count="3">
          <reference field="2" count="1" selected="0">
            <x v="3"/>
          </reference>
          <reference field="3" count="1" selected="0">
            <x v="11"/>
          </reference>
          <reference field="4" count="4">
            <x v="30"/>
            <x v="31"/>
            <x v="32"/>
            <x v="33"/>
          </reference>
        </references>
      </pivotArea>
    </format>
    <format dxfId="685">
      <pivotArea field="2" type="button" dataOnly="0" labelOnly="1" outline="0" axis="axisRow" fieldPosition="0"/>
    </format>
    <format dxfId="684">
      <pivotArea dataOnly="0" labelOnly="1" fieldPosition="0">
        <references count="1">
          <reference field="2" count="0"/>
        </references>
      </pivotArea>
    </format>
    <format dxfId="683">
      <pivotArea dataOnly="0" labelOnly="1" grandRow="1" outline="0" fieldPosition="0"/>
    </format>
    <format dxfId="682">
      <pivotArea dataOnly="0" labelOnly="1" fieldPosition="0">
        <references count="2">
          <reference field="2" count="1" selected="0">
            <x v="0"/>
          </reference>
          <reference field="3" count="1">
            <x v="0"/>
          </reference>
        </references>
      </pivotArea>
    </format>
    <format dxfId="681">
      <pivotArea dataOnly="0" labelOnly="1" fieldPosition="0">
        <references count="2">
          <reference field="2" count="1" selected="0">
            <x v="1"/>
          </reference>
          <reference field="3" count="1">
            <x v="1"/>
          </reference>
        </references>
      </pivotArea>
    </format>
    <format dxfId="680">
      <pivotArea dataOnly="0" labelOnly="1" fieldPosition="0">
        <references count="2">
          <reference field="2" count="1" selected="0">
            <x v="2"/>
          </reference>
          <reference field="3" count="3">
            <x v="2"/>
            <x v="3"/>
            <x v="4"/>
          </reference>
        </references>
      </pivotArea>
    </format>
    <format dxfId="679">
      <pivotArea dataOnly="0" labelOnly="1" fieldPosition="0">
        <references count="2">
          <reference field="2" count="1" selected="0">
            <x v="3"/>
          </reference>
          <reference field="3" count="3">
            <x v="5"/>
            <x v="6"/>
            <x v="11"/>
          </reference>
        </references>
      </pivotArea>
    </format>
    <format dxfId="678">
      <pivotArea dataOnly="0" labelOnly="1" fieldPosition="0">
        <references count="2">
          <reference field="2" count="1" selected="0">
            <x v="4"/>
          </reference>
          <reference field="3" count="2">
            <x v="7"/>
            <x v="12"/>
          </reference>
        </references>
      </pivotArea>
    </format>
    <format dxfId="677">
      <pivotArea dataOnly="0" labelOnly="1" fieldPosition="0">
        <references count="2">
          <reference field="2" count="1" selected="0">
            <x v="5"/>
          </reference>
          <reference field="3" count="2">
            <x v="8"/>
            <x v="13"/>
          </reference>
        </references>
      </pivotArea>
    </format>
    <format dxfId="676">
      <pivotArea dataOnly="0" labelOnly="1" fieldPosition="0">
        <references count="2">
          <reference field="2" count="1" selected="0">
            <x v="6"/>
          </reference>
          <reference field="3" count="6">
            <x v="9"/>
            <x v="10"/>
            <x v="14"/>
            <x v="15"/>
            <x v="16"/>
            <x v="17"/>
          </reference>
        </references>
      </pivotArea>
    </format>
    <format dxfId="675">
      <pivotArea dataOnly="0" labelOnly="1" fieldPosition="0">
        <references count="2">
          <reference field="2" count="1" selected="0">
            <x v="7"/>
          </reference>
          <reference field="3" count="2">
            <x v="18"/>
            <x v="19"/>
          </reference>
        </references>
      </pivotArea>
    </format>
    <format dxfId="674">
      <pivotArea dataOnly="0" labelOnly="1" fieldPosition="0">
        <references count="3">
          <reference field="2" count="1" selected="0">
            <x v="0"/>
          </reference>
          <reference field="3" count="1" selected="0">
            <x v="0"/>
          </reference>
          <reference field="4" count="1">
            <x v="0"/>
          </reference>
        </references>
      </pivotArea>
    </format>
    <format dxfId="673">
      <pivotArea dataOnly="0" labelOnly="1" fieldPosition="0">
        <references count="3">
          <reference field="2" count="1" selected="0">
            <x v="1"/>
          </reference>
          <reference field="3" count="1" selected="0">
            <x v="1"/>
          </reference>
          <reference field="4" count="4">
            <x v="1"/>
            <x v="2"/>
            <x v="3"/>
            <x v="4"/>
          </reference>
        </references>
      </pivotArea>
    </format>
    <format dxfId="672">
      <pivotArea dataOnly="0" labelOnly="1" fieldPosition="0">
        <references count="3">
          <reference field="2" count="1" selected="0">
            <x v="2"/>
          </reference>
          <reference field="3" count="1" selected="0">
            <x v="2"/>
          </reference>
          <reference field="4" count="1">
            <x v="6"/>
          </reference>
        </references>
      </pivotArea>
    </format>
    <format dxfId="671">
      <pivotArea dataOnly="0" labelOnly="1" fieldPosition="0">
        <references count="3">
          <reference field="2" count="1" selected="0">
            <x v="2"/>
          </reference>
          <reference field="3" count="1" selected="0">
            <x v="3"/>
          </reference>
          <reference field="4" count="3">
            <x v="7"/>
            <x v="8"/>
            <x v="9"/>
          </reference>
        </references>
      </pivotArea>
    </format>
    <format dxfId="670">
      <pivotArea dataOnly="0" labelOnly="1" fieldPosition="0">
        <references count="3">
          <reference field="2" count="1" selected="0">
            <x v="2"/>
          </reference>
          <reference field="3" count="1" selected="0">
            <x v="4"/>
          </reference>
          <reference field="4" count="3">
            <x v="10"/>
            <x v="11"/>
            <x v="12"/>
          </reference>
        </references>
      </pivotArea>
    </format>
    <format dxfId="669">
      <pivotArea dataOnly="0" labelOnly="1" fieldPosition="0">
        <references count="3">
          <reference field="2" count="1" selected="0">
            <x v="3"/>
          </reference>
          <reference field="3" count="1" selected="0">
            <x v="5"/>
          </reference>
          <reference field="4" count="5">
            <x v="13"/>
            <x v="14"/>
            <x v="15"/>
            <x v="16"/>
            <x v="17"/>
          </reference>
        </references>
      </pivotArea>
    </format>
    <format dxfId="668">
      <pivotArea dataOnly="0" labelOnly="1" fieldPosition="0">
        <references count="3">
          <reference field="2" count="1" selected="0">
            <x v="3"/>
          </reference>
          <reference field="3" count="1" selected="0">
            <x v="6"/>
          </reference>
          <reference field="4" count="3">
            <x v="18"/>
            <x v="19"/>
            <x v="67"/>
          </reference>
        </references>
      </pivotArea>
    </format>
    <format dxfId="667">
      <pivotArea dataOnly="0" labelOnly="1" fieldPosition="0">
        <references count="3">
          <reference field="2" count="1" selected="0">
            <x v="3"/>
          </reference>
          <reference field="3" count="1" selected="0">
            <x v="11"/>
          </reference>
          <reference field="4" count="3">
            <x v="30"/>
            <x v="31"/>
            <x v="32"/>
          </reference>
        </references>
      </pivotArea>
    </format>
    <format dxfId="666">
      <pivotArea dataOnly="0" labelOnly="1" fieldPosition="0">
        <references count="3">
          <reference field="2" count="1" selected="0">
            <x v="4"/>
          </reference>
          <reference field="3" count="1" selected="0">
            <x v="7"/>
          </reference>
          <reference field="4" count="3">
            <x v="20"/>
            <x v="34"/>
            <x v="35"/>
          </reference>
        </references>
      </pivotArea>
    </format>
    <format dxfId="665">
      <pivotArea dataOnly="0" labelOnly="1" fieldPosition="0">
        <references count="3">
          <reference field="2" count="1" selected="0">
            <x v="4"/>
          </reference>
          <reference field="3" count="1" selected="0">
            <x v="12"/>
          </reference>
          <reference field="4" count="3">
            <x v="36"/>
            <x v="38"/>
            <x v="66"/>
          </reference>
        </references>
      </pivotArea>
    </format>
    <format dxfId="664">
      <pivotArea dataOnly="0" labelOnly="1" fieldPosition="0">
        <references count="3">
          <reference field="2" count="1" selected="0">
            <x v="5"/>
          </reference>
          <reference field="3" count="1" selected="0">
            <x v="8"/>
          </reference>
          <reference field="4" count="5">
            <x v="21"/>
            <x v="22"/>
            <x v="23"/>
            <x v="24"/>
            <x v="25"/>
          </reference>
        </references>
      </pivotArea>
    </format>
    <format dxfId="663">
      <pivotArea dataOnly="0" labelOnly="1" fieldPosition="0">
        <references count="3">
          <reference field="2" count="1" selected="0">
            <x v="5"/>
          </reference>
          <reference field="3" count="1" selected="0">
            <x v="13"/>
          </reference>
          <reference field="4" count="3">
            <x v="39"/>
            <x v="40"/>
            <x v="41"/>
          </reference>
        </references>
      </pivotArea>
    </format>
    <format dxfId="662">
      <pivotArea dataOnly="0" labelOnly="1" fieldPosition="0">
        <references count="3">
          <reference field="2" count="1" selected="0">
            <x v="6"/>
          </reference>
          <reference field="3" count="1" selected="0">
            <x v="9"/>
          </reference>
          <reference field="4" count="4">
            <x v="26"/>
            <x v="27"/>
            <x v="28"/>
            <x v="29"/>
          </reference>
        </references>
      </pivotArea>
    </format>
    <format dxfId="661">
      <pivotArea dataOnly="0" labelOnly="1" fieldPosition="0">
        <references count="3">
          <reference field="2" count="1" selected="0">
            <x v="6"/>
          </reference>
          <reference field="3" count="1" selected="0">
            <x v="10"/>
          </reference>
          <reference field="4" count="7">
            <x v="42"/>
            <x v="43"/>
            <x v="44"/>
            <x v="45"/>
            <x v="63"/>
            <x v="64"/>
            <x v="65"/>
          </reference>
        </references>
      </pivotArea>
    </format>
    <format dxfId="660">
      <pivotArea dataOnly="0" labelOnly="1" fieldPosition="0">
        <references count="3">
          <reference field="2" count="1" selected="0">
            <x v="6"/>
          </reference>
          <reference field="3" count="1" selected="0">
            <x v="14"/>
          </reference>
          <reference field="4" count="5">
            <x v="46"/>
            <x v="47"/>
            <x v="48"/>
            <x v="50"/>
            <x v="51"/>
          </reference>
        </references>
      </pivotArea>
    </format>
    <format dxfId="659">
      <pivotArea dataOnly="0" labelOnly="1" fieldPosition="0">
        <references count="3">
          <reference field="2" count="1" selected="0">
            <x v="6"/>
          </reference>
          <reference field="3" count="1" selected="0">
            <x v="15"/>
          </reference>
          <reference field="4" count="4">
            <x v="52"/>
            <x v="53"/>
            <x v="54"/>
            <x v="55"/>
          </reference>
        </references>
      </pivotArea>
    </format>
    <format dxfId="658">
      <pivotArea dataOnly="0" labelOnly="1" fieldPosition="0">
        <references count="3">
          <reference field="2" count="1" selected="0">
            <x v="6"/>
          </reference>
          <reference field="3" count="1" selected="0">
            <x v="16"/>
          </reference>
          <reference field="4" count="3">
            <x v="56"/>
            <x v="57"/>
            <x v="58"/>
          </reference>
        </references>
      </pivotArea>
    </format>
    <format dxfId="657">
      <pivotArea dataOnly="0" labelOnly="1" fieldPosition="0">
        <references count="3">
          <reference field="2" count="1" selected="0">
            <x v="6"/>
          </reference>
          <reference field="3" count="1" selected="0">
            <x v="17"/>
          </reference>
          <reference field="4" count="3">
            <x v="59"/>
            <x v="60"/>
            <x v="61"/>
          </reference>
        </references>
      </pivotArea>
    </format>
    <format dxfId="656">
      <pivotArea dataOnly="0" labelOnly="1" fieldPosition="0">
        <references count="3">
          <reference field="2" count="1" selected="0">
            <x v="7"/>
          </reference>
          <reference field="3" count="1" selected="0">
            <x v="18"/>
          </reference>
          <reference field="4" count="1">
            <x v="68"/>
          </reference>
        </references>
      </pivotArea>
    </format>
    <format dxfId="655">
      <pivotArea dataOnly="0" labelOnly="1" fieldPosition="0">
        <references count="3">
          <reference field="2" count="1" selected="0">
            <x v="7"/>
          </reference>
          <reference field="3" count="1" selected="0">
            <x v="19"/>
          </reference>
          <reference field="4" count="1">
            <x v="62"/>
          </reference>
        </references>
      </pivotArea>
    </format>
    <format dxfId="654">
      <pivotArea dataOnly="0" labelOnly="1" fieldPosition="0">
        <references count="4">
          <reference field="2" count="1" selected="0">
            <x v="0"/>
          </reference>
          <reference field="3" count="1" selected="0">
            <x v="0"/>
          </reference>
          <reference field="4" count="1" selected="0">
            <x v="0"/>
          </reference>
          <reference field="5" count="1">
            <x v="0"/>
          </reference>
        </references>
      </pivotArea>
    </format>
    <format dxfId="653">
      <pivotArea dataOnly="0" labelOnly="1" fieldPosition="0">
        <references count="4">
          <reference field="2" count="1" selected="0">
            <x v="1"/>
          </reference>
          <reference field="3" count="1" selected="0">
            <x v="1"/>
          </reference>
          <reference field="4" count="1" selected="0">
            <x v="1"/>
          </reference>
          <reference field="5" count="1">
            <x v="1"/>
          </reference>
        </references>
      </pivotArea>
    </format>
    <format dxfId="652">
      <pivotArea dataOnly="0" labelOnly="1" fieldPosition="0">
        <references count="4">
          <reference field="2" count="1" selected="0">
            <x v="1"/>
          </reference>
          <reference field="3" count="1" selected="0">
            <x v="1"/>
          </reference>
          <reference field="4" count="1" selected="0">
            <x v="2"/>
          </reference>
          <reference field="5" count="1">
            <x v="2"/>
          </reference>
        </references>
      </pivotArea>
    </format>
    <format dxfId="651">
      <pivotArea dataOnly="0" labelOnly="1" fieldPosition="0">
        <references count="4">
          <reference field="2" count="1" selected="0">
            <x v="1"/>
          </reference>
          <reference field="3" count="1" selected="0">
            <x v="1"/>
          </reference>
          <reference field="4" count="1" selected="0">
            <x v="3"/>
          </reference>
          <reference field="5" count="1">
            <x v="3"/>
          </reference>
        </references>
      </pivotArea>
    </format>
    <format dxfId="650">
      <pivotArea dataOnly="0" labelOnly="1" fieldPosition="0">
        <references count="4">
          <reference field="2" count="1" selected="0">
            <x v="1"/>
          </reference>
          <reference field="3" count="1" selected="0">
            <x v="1"/>
          </reference>
          <reference field="4" count="1" selected="0">
            <x v="4"/>
          </reference>
          <reference field="5" count="7">
            <x v="4"/>
            <x v="5"/>
            <x v="6"/>
            <x v="68"/>
            <x v="130"/>
            <x v="150"/>
            <x v="151"/>
          </reference>
        </references>
      </pivotArea>
    </format>
    <format dxfId="649">
      <pivotArea dataOnly="0" labelOnly="1" fieldPosition="0">
        <references count="4">
          <reference field="2" count="1" selected="0">
            <x v="2"/>
          </reference>
          <reference field="3" count="1" selected="0">
            <x v="3"/>
          </reference>
          <reference field="4" count="1" selected="0">
            <x v="7"/>
          </reference>
          <reference field="5" count="6">
            <x v="26"/>
            <x v="27"/>
            <x v="43"/>
            <x v="44"/>
            <x v="45"/>
            <x v="46"/>
          </reference>
        </references>
      </pivotArea>
    </format>
    <format dxfId="648">
      <pivotArea dataOnly="0" labelOnly="1" fieldPosition="0">
        <references count="4">
          <reference field="2" count="1" selected="0">
            <x v="2"/>
          </reference>
          <reference field="3" count="1" selected="0">
            <x v="3"/>
          </reference>
          <reference field="4" count="1" selected="0">
            <x v="8"/>
          </reference>
          <reference field="5" count="2">
            <x v="28"/>
            <x v="29"/>
          </reference>
        </references>
      </pivotArea>
    </format>
    <format dxfId="647">
      <pivotArea dataOnly="0" labelOnly="1" fieldPosition="0">
        <references count="4">
          <reference field="2" count="1" selected="0">
            <x v="2"/>
          </reference>
          <reference field="3" count="1" selected="0">
            <x v="3"/>
          </reference>
          <reference field="4" count="1" selected="0">
            <x v="9"/>
          </reference>
          <reference field="5" count="2">
            <x v="7"/>
            <x v="8"/>
          </reference>
        </references>
      </pivotArea>
    </format>
    <format dxfId="646">
      <pivotArea dataOnly="0" labelOnly="1" fieldPosition="0">
        <references count="4">
          <reference field="2" count="1" selected="0">
            <x v="2"/>
          </reference>
          <reference field="3" count="1" selected="0">
            <x v="4"/>
          </reference>
          <reference field="4" count="1" selected="0">
            <x v="10"/>
          </reference>
          <reference field="5" count="2">
            <x v="30"/>
            <x v="31"/>
          </reference>
        </references>
      </pivotArea>
    </format>
    <format dxfId="645">
      <pivotArea dataOnly="0" labelOnly="1" fieldPosition="0">
        <references count="4">
          <reference field="2" count="1" selected="0">
            <x v="2"/>
          </reference>
          <reference field="3" count="1" selected="0">
            <x v="4"/>
          </reference>
          <reference field="4" count="1" selected="0">
            <x v="11"/>
          </reference>
          <reference field="5" count="1">
            <x v="42"/>
          </reference>
        </references>
      </pivotArea>
    </format>
    <format dxfId="644">
      <pivotArea dataOnly="0" labelOnly="1" fieldPosition="0">
        <references count="4">
          <reference field="2" count="1" selected="0">
            <x v="2"/>
          </reference>
          <reference field="3" count="1" selected="0">
            <x v="4"/>
          </reference>
          <reference field="4" count="1" selected="0">
            <x v="12"/>
          </reference>
          <reference field="5" count="6">
            <x v="47"/>
            <x v="48"/>
            <x v="49"/>
            <x v="50"/>
            <x v="51"/>
            <x v="54"/>
          </reference>
        </references>
      </pivotArea>
    </format>
    <format dxfId="643">
      <pivotArea dataOnly="0" labelOnly="1" fieldPosition="0">
        <references count="4">
          <reference field="2" count="1" selected="0">
            <x v="3"/>
          </reference>
          <reference field="3" count="1" selected="0">
            <x v="5"/>
          </reference>
          <reference field="4" count="1" selected="0">
            <x v="13"/>
          </reference>
          <reference field="5" count="5">
            <x v="55"/>
            <x v="56"/>
            <x v="57"/>
            <x v="63"/>
            <x v="66"/>
          </reference>
        </references>
      </pivotArea>
    </format>
    <format dxfId="642">
      <pivotArea dataOnly="0" labelOnly="1" fieldPosition="0">
        <references count="4">
          <reference field="2" count="1" selected="0">
            <x v="3"/>
          </reference>
          <reference field="3" count="1" selected="0">
            <x v="5"/>
          </reference>
          <reference field="4" count="1" selected="0">
            <x v="14"/>
          </reference>
          <reference field="5" count="3">
            <x v="60"/>
            <x v="62"/>
            <x v="64"/>
          </reference>
        </references>
      </pivotArea>
    </format>
    <format dxfId="641">
      <pivotArea dataOnly="0" labelOnly="1" fieldPosition="0">
        <references count="4">
          <reference field="2" count="1" selected="0">
            <x v="3"/>
          </reference>
          <reference field="3" count="1" selected="0">
            <x v="5"/>
          </reference>
          <reference field="4" count="1" selected="0">
            <x v="15"/>
          </reference>
          <reference field="5" count="4">
            <x v="58"/>
            <x v="59"/>
            <x v="61"/>
            <x v="65"/>
          </reference>
        </references>
      </pivotArea>
    </format>
    <format dxfId="640">
      <pivotArea dataOnly="0" labelOnly="1" fieldPosition="0">
        <references count="4">
          <reference field="2" count="1" selected="0">
            <x v="3"/>
          </reference>
          <reference field="3" count="1" selected="0">
            <x v="5"/>
          </reference>
          <reference field="4" count="1" selected="0">
            <x v="16"/>
          </reference>
          <reference field="5" count="2">
            <x v="52"/>
            <x v="53"/>
          </reference>
        </references>
      </pivotArea>
    </format>
    <format dxfId="639">
      <pivotArea dataOnly="0" labelOnly="1" fieldPosition="0">
        <references count="4">
          <reference field="2" count="1" selected="0">
            <x v="3"/>
          </reference>
          <reference field="3" count="1" selected="0">
            <x v="5"/>
          </reference>
          <reference field="4" count="1" selected="0">
            <x v="17"/>
          </reference>
          <reference field="5" count="2">
            <x v="69"/>
            <x v="94"/>
          </reference>
        </references>
      </pivotArea>
    </format>
    <format dxfId="638">
      <pivotArea dataOnly="0" labelOnly="1" fieldPosition="0">
        <references count="4">
          <reference field="2" count="1" selected="0">
            <x v="3"/>
          </reference>
          <reference field="3" count="1" selected="0">
            <x v="6"/>
          </reference>
          <reference field="4" count="1" selected="0">
            <x v="18"/>
          </reference>
          <reference field="5" count="3">
            <x v="9"/>
            <x v="128"/>
            <x v="129"/>
          </reference>
        </references>
      </pivotArea>
    </format>
    <format dxfId="637">
      <pivotArea dataOnly="0" labelOnly="1" fieldPosition="0">
        <references count="4">
          <reference field="2" count="1" selected="0">
            <x v="3"/>
          </reference>
          <reference field="3" count="1" selected="0">
            <x v="6"/>
          </reference>
          <reference field="4" count="1" selected="0">
            <x v="19"/>
          </reference>
          <reference field="5" count="1">
            <x v="127"/>
          </reference>
        </references>
      </pivotArea>
    </format>
    <format dxfId="636">
      <pivotArea dataOnly="0" labelOnly="1" fieldPosition="0">
        <references count="4">
          <reference field="2" count="1" selected="0">
            <x v="3"/>
          </reference>
          <reference field="3" count="1" selected="0">
            <x v="6"/>
          </reference>
          <reference field="4" count="1" selected="0">
            <x v="67"/>
          </reference>
          <reference field="5" count="1">
            <x v="140"/>
          </reference>
        </references>
      </pivotArea>
    </format>
    <format dxfId="635">
      <pivotArea dataOnly="0" labelOnly="1" fieldPosition="0">
        <references count="4">
          <reference field="2" count="1" selected="0">
            <x v="3"/>
          </reference>
          <reference field="3" count="1" selected="0">
            <x v="11"/>
          </reference>
          <reference field="4" count="1" selected="0">
            <x v="30"/>
          </reference>
          <reference field="5" count="4">
            <x v="70"/>
            <x v="71"/>
            <x v="72"/>
            <x v="126"/>
          </reference>
        </references>
      </pivotArea>
    </format>
    <format dxfId="634">
      <pivotArea dataOnly="0" labelOnly="1" fieldPosition="0">
        <references count="4">
          <reference field="2" count="1" selected="0">
            <x v="3"/>
          </reference>
          <reference field="3" count="1" selected="0">
            <x v="11"/>
          </reference>
          <reference field="4" count="1" selected="0">
            <x v="31"/>
          </reference>
          <reference field="5" count="1">
            <x v="148"/>
          </reference>
        </references>
      </pivotArea>
    </format>
    <format dxfId="633">
      <pivotArea dataOnly="0" labelOnly="1" fieldPosition="0">
        <references count="4">
          <reference field="2" count="1" selected="0">
            <x v="3"/>
          </reference>
          <reference field="3" count="1" selected="0">
            <x v="11"/>
          </reference>
          <reference field="4" count="1" selected="0">
            <x v="32"/>
          </reference>
          <reference field="5" count="5">
            <x v="74"/>
            <x v="75"/>
            <x v="76"/>
            <x v="77"/>
            <x v="139"/>
          </reference>
        </references>
      </pivotArea>
    </format>
    <format dxfId="632">
      <pivotArea dataOnly="0" labelOnly="1" fieldPosition="0">
        <references count="4">
          <reference field="2" count="1" selected="0">
            <x v="4"/>
          </reference>
          <reference field="3" count="1" selected="0">
            <x v="7"/>
          </reference>
          <reference field="4" count="1" selected="0">
            <x v="20"/>
          </reference>
          <reference field="5" count="8">
            <x v="17"/>
            <x v="18"/>
            <x v="19"/>
            <x v="20"/>
            <x v="21"/>
            <x v="22"/>
            <x v="67"/>
            <x v="147"/>
          </reference>
        </references>
      </pivotArea>
    </format>
    <format dxfId="631">
      <pivotArea dataOnly="0" labelOnly="1" fieldPosition="0">
        <references count="4">
          <reference field="2" count="1" selected="0">
            <x v="4"/>
          </reference>
          <reference field="3" count="1" selected="0">
            <x v="7"/>
          </reference>
          <reference field="4" count="1" selected="0">
            <x v="34"/>
          </reference>
          <reference field="5" count="2">
            <x v="78"/>
            <x v="79"/>
          </reference>
        </references>
      </pivotArea>
    </format>
    <format dxfId="630">
      <pivotArea dataOnly="0" labelOnly="1" fieldPosition="0">
        <references count="4">
          <reference field="2" count="1" selected="0">
            <x v="4"/>
          </reference>
          <reference field="3" count="1" selected="0">
            <x v="7"/>
          </reference>
          <reference field="4" count="1" selected="0">
            <x v="35"/>
          </reference>
          <reference field="5" count="2">
            <x v="80"/>
            <x v="81"/>
          </reference>
        </references>
      </pivotArea>
    </format>
    <format dxfId="629">
      <pivotArea dataOnly="0" labelOnly="1" fieldPosition="0">
        <references count="4">
          <reference field="2" count="1" selected="0">
            <x v="4"/>
          </reference>
          <reference field="3" count="1" selected="0">
            <x v="12"/>
          </reference>
          <reference field="4" count="1" selected="0">
            <x v="36"/>
          </reference>
          <reference field="5" count="2">
            <x v="82"/>
            <x v="83"/>
          </reference>
        </references>
      </pivotArea>
    </format>
    <format dxfId="628">
      <pivotArea dataOnly="0" labelOnly="1" fieldPosition="0">
        <references count="4">
          <reference field="2" count="1" selected="0">
            <x v="4"/>
          </reference>
          <reference field="3" count="1" selected="0">
            <x v="12"/>
          </reference>
          <reference field="4" count="1" selected="0">
            <x v="38"/>
          </reference>
          <reference field="5" count="2">
            <x v="84"/>
            <x v="85"/>
          </reference>
        </references>
      </pivotArea>
    </format>
    <format dxfId="627">
      <pivotArea dataOnly="0" labelOnly="1" fieldPosition="0">
        <references count="4">
          <reference field="2" count="1" selected="0">
            <x v="4"/>
          </reference>
          <reference field="3" count="1" selected="0">
            <x v="12"/>
          </reference>
          <reference field="4" count="1" selected="0">
            <x v="66"/>
          </reference>
          <reference field="5" count="3">
            <x v="86"/>
            <x v="87"/>
            <x v="88"/>
          </reference>
        </references>
      </pivotArea>
    </format>
    <format dxfId="626">
      <pivotArea dataOnly="0" labelOnly="1" fieldPosition="0">
        <references count="4">
          <reference field="2" count="1" selected="0">
            <x v="5"/>
          </reference>
          <reference field="3" count="1" selected="0">
            <x v="8"/>
          </reference>
          <reference field="4" count="1" selected="0">
            <x v="21"/>
          </reference>
          <reference field="5" count="2">
            <x v="10"/>
            <x v="11"/>
          </reference>
        </references>
      </pivotArea>
    </format>
    <format dxfId="625">
      <pivotArea dataOnly="0" labelOnly="1" fieldPosition="0">
        <references count="4">
          <reference field="2" count="1" selected="0">
            <x v="5"/>
          </reference>
          <reference field="3" count="1" selected="0">
            <x v="8"/>
          </reference>
          <reference field="4" count="1" selected="0">
            <x v="22"/>
          </reference>
          <reference field="5" count="1">
            <x v="12"/>
          </reference>
        </references>
      </pivotArea>
    </format>
    <format dxfId="624">
      <pivotArea dataOnly="0" labelOnly="1" fieldPosition="0">
        <references count="4">
          <reference field="2" count="1" selected="0">
            <x v="5"/>
          </reference>
          <reference field="3" count="1" selected="0">
            <x v="8"/>
          </reference>
          <reference field="4" count="1" selected="0">
            <x v="23"/>
          </reference>
          <reference field="5" count="1">
            <x v="13"/>
          </reference>
        </references>
      </pivotArea>
    </format>
    <format dxfId="623">
      <pivotArea dataOnly="0" labelOnly="1" fieldPosition="0">
        <references count="4">
          <reference field="2" count="1" selected="0">
            <x v="5"/>
          </reference>
          <reference field="3" count="1" selected="0">
            <x v="8"/>
          </reference>
          <reference field="4" count="1" selected="0">
            <x v="24"/>
          </reference>
          <reference field="5" count="2">
            <x v="35"/>
            <x v="39"/>
          </reference>
        </references>
      </pivotArea>
    </format>
    <format dxfId="622">
      <pivotArea dataOnly="0" labelOnly="1" fieldPosition="0">
        <references count="4">
          <reference field="2" count="1" selected="0">
            <x v="5"/>
          </reference>
          <reference field="3" count="1" selected="0">
            <x v="8"/>
          </reference>
          <reference field="4" count="1" selected="0">
            <x v="25"/>
          </reference>
          <reference field="5" count="6">
            <x v="33"/>
            <x v="34"/>
            <x v="36"/>
            <x v="37"/>
            <x v="38"/>
            <x v="40"/>
          </reference>
        </references>
      </pivotArea>
    </format>
    <format dxfId="621">
      <pivotArea dataOnly="0" labelOnly="1" fieldPosition="0">
        <references count="4">
          <reference field="2" count="1" selected="0">
            <x v="5"/>
          </reference>
          <reference field="3" count="1" selected="0">
            <x v="13"/>
          </reference>
          <reference field="4" count="1" selected="0">
            <x v="39"/>
          </reference>
          <reference field="5" count="6">
            <x v="89"/>
            <x v="90"/>
            <x v="91"/>
            <x v="92"/>
            <x v="93"/>
            <x v="154"/>
          </reference>
        </references>
      </pivotArea>
    </format>
    <format dxfId="620">
      <pivotArea dataOnly="0" labelOnly="1" fieldPosition="0">
        <references count="4">
          <reference field="2" count="1" selected="0">
            <x v="5"/>
          </reference>
          <reference field="3" count="1" selected="0">
            <x v="13"/>
          </reference>
          <reference field="4" count="1" selected="0">
            <x v="40"/>
          </reference>
          <reference field="5" count="2">
            <x v="95"/>
            <x v="96"/>
          </reference>
        </references>
      </pivotArea>
    </format>
    <format dxfId="619">
      <pivotArea dataOnly="0" labelOnly="1" fieldPosition="0">
        <references count="4">
          <reference field="2" count="1" selected="0">
            <x v="5"/>
          </reference>
          <reference field="3" count="1" selected="0">
            <x v="13"/>
          </reference>
          <reference field="4" count="1" selected="0">
            <x v="41"/>
          </reference>
          <reference field="5" count="3">
            <x v="97"/>
            <x v="98"/>
            <x v="155"/>
          </reference>
        </references>
      </pivotArea>
    </format>
    <format dxfId="618">
      <pivotArea dataOnly="0" labelOnly="1" fieldPosition="0">
        <references count="4">
          <reference field="2" count="1" selected="0">
            <x v="6"/>
          </reference>
          <reference field="3" count="1" selected="0">
            <x v="9"/>
          </reference>
          <reference field="4" count="1" selected="0">
            <x v="26"/>
          </reference>
          <reference field="5" count="1">
            <x v="73"/>
          </reference>
        </references>
      </pivotArea>
    </format>
    <format dxfId="617">
      <pivotArea dataOnly="0" labelOnly="1" fieldPosition="0">
        <references count="4">
          <reference field="2" count="1" selected="0">
            <x v="6"/>
          </reference>
          <reference field="3" count="1" selected="0">
            <x v="9"/>
          </reference>
          <reference field="4" count="1" selected="0">
            <x v="28"/>
          </reference>
          <reference field="5" count="6">
            <x v="14"/>
            <x v="15"/>
            <x v="16"/>
            <x v="23"/>
            <x v="24"/>
            <x v="25"/>
          </reference>
        </references>
      </pivotArea>
    </format>
    <format dxfId="616">
      <pivotArea dataOnly="0" labelOnly="1" fieldPosition="0">
        <references count="4">
          <reference field="2" count="1" selected="0">
            <x v="6"/>
          </reference>
          <reference field="3" count="1" selected="0">
            <x v="9"/>
          </reference>
          <reference field="4" count="1" selected="0">
            <x v="29"/>
          </reference>
          <reference field="5" count="1">
            <x v="32"/>
          </reference>
        </references>
      </pivotArea>
    </format>
    <format dxfId="615">
      <pivotArea dataOnly="0" labelOnly="1" fieldPosition="0">
        <references count="4">
          <reference field="2" count="1" selected="0">
            <x v="6"/>
          </reference>
          <reference field="3" count="1" selected="0">
            <x v="10"/>
          </reference>
          <reference field="4" count="1" selected="0">
            <x v="42"/>
          </reference>
          <reference field="5" count="1">
            <x v="99"/>
          </reference>
        </references>
      </pivotArea>
    </format>
    <format dxfId="614">
      <pivotArea dataOnly="0" labelOnly="1" fieldPosition="0">
        <references count="4">
          <reference field="2" count="1" selected="0">
            <x v="6"/>
          </reference>
          <reference field="3" count="1" selected="0">
            <x v="10"/>
          </reference>
          <reference field="4" count="1" selected="0">
            <x v="43"/>
          </reference>
          <reference field="5" count="1">
            <x v="103"/>
          </reference>
        </references>
      </pivotArea>
    </format>
    <format dxfId="613">
      <pivotArea dataOnly="0" labelOnly="1" fieldPosition="0">
        <references count="4">
          <reference field="2" count="1" selected="0">
            <x v="6"/>
          </reference>
          <reference field="3" count="1" selected="0">
            <x v="10"/>
          </reference>
          <reference field="4" count="1" selected="0">
            <x v="44"/>
          </reference>
          <reference field="5" count="1">
            <x v="100"/>
          </reference>
        </references>
      </pivotArea>
    </format>
    <format dxfId="612">
      <pivotArea dataOnly="0" labelOnly="1" fieldPosition="0">
        <references count="4">
          <reference field="2" count="1" selected="0">
            <x v="6"/>
          </reference>
          <reference field="3" count="1" selected="0">
            <x v="10"/>
          </reference>
          <reference field="4" count="1" selected="0">
            <x v="45"/>
          </reference>
          <reference field="5" count="2">
            <x v="101"/>
            <x v="102"/>
          </reference>
        </references>
      </pivotArea>
    </format>
    <format dxfId="611">
      <pivotArea dataOnly="0" labelOnly="1" fieldPosition="0">
        <references count="4">
          <reference field="2" count="1" selected="0">
            <x v="6"/>
          </reference>
          <reference field="3" count="1" selected="0">
            <x v="10"/>
          </reference>
          <reference field="4" count="1" selected="0">
            <x v="63"/>
          </reference>
          <reference field="5" count="3">
            <x v="104"/>
            <x v="137"/>
            <x v="138"/>
          </reference>
        </references>
      </pivotArea>
    </format>
    <format dxfId="610">
      <pivotArea dataOnly="0" labelOnly="1" fieldPosition="0">
        <references count="4">
          <reference field="2" count="1" selected="0">
            <x v="6"/>
          </reference>
          <reference field="3" count="1" selected="0">
            <x v="10"/>
          </reference>
          <reference field="4" count="1" selected="0">
            <x v="64"/>
          </reference>
          <reference field="5" count="1">
            <x v="105"/>
          </reference>
        </references>
      </pivotArea>
    </format>
    <format dxfId="609">
      <pivotArea dataOnly="0" labelOnly="1" fieldPosition="0">
        <references count="4">
          <reference field="2" count="1" selected="0">
            <x v="6"/>
          </reference>
          <reference field="3" count="1" selected="0">
            <x v="10"/>
          </reference>
          <reference field="4" count="1" selected="0">
            <x v="65"/>
          </reference>
          <reference field="5" count="1">
            <x v="41"/>
          </reference>
        </references>
      </pivotArea>
    </format>
    <format dxfId="608">
      <pivotArea dataOnly="0" labelOnly="1" fieldPosition="0">
        <references count="4">
          <reference field="2" count="1" selected="0">
            <x v="6"/>
          </reference>
          <reference field="3" count="1" selected="0">
            <x v="14"/>
          </reference>
          <reference field="4" count="1" selected="0">
            <x v="46"/>
          </reference>
          <reference field="5" count="3">
            <x v="134"/>
            <x v="135"/>
            <x v="136"/>
          </reference>
        </references>
      </pivotArea>
    </format>
    <format dxfId="607">
      <pivotArea dataOnly="0" labelOnly="1" fieldPosition="0">
        <references count="4">
          <reference field="2" count="1" selected="0">
            <x v="6"/>
          </reference>
          <reference field="3" count="1" selected="0">
            <x v="14"/>
          </reference>
          <reference field="4" count="1" selected="0">
            <x v="47"/>
          </reference>
          <reference field="5" count="1">
            <x v="106"/>
          </reference>
        </references>
      </pivotArea>
    </format>
    <format dxfId="606">
      <pivotArea dataOnly="0" labelOnly="1" fieldPosition="0">
        <references count="4">
          <reference field="2" count="1" selected="0">
            <x v="6"/>
          </reference>
          <reference field="3" count="1" selected="0">
            <x v="14"/>
          </reference>
          <reference field="4" count="1" selected="0">
            <x v="48"/>
          </reference>
          <reference field="5" count="1">
            <x v="107"/>
          </reference>
        </references>
      </pivotArea>
    </format>
    <format dxfId="605">
      <pivotArea dataOnly="0" labelOnly="1" fieldPosition="0">
        <references count="4">
          <reference field="2" count="1" selected="0">
            <x v="6"/>
          </reference>
          <reference field="3" count="1" selected="0">
            <x v="14"/>
          </reference>
          <reference field="4" count="1" selected="0">
            <x v="50"/>
          </reference>
          <reference field="5" count="2">
            <x v="108"/>
            <x v="109"/>
          </reference>
        </references>
      </pivotArea>
    </format>
    <format dxfId="604">
      <pivotArea dataOnly="0" labelOnly="1" fieldPosition="0">
        <references count="4">
          <reference field="2" count="1" selected="0">
            <x v="6"/>
          </reference>
          <reference field="3" count="1" selected="0">
            <x v="14"/>
          </reference>
          <reference field="4" count="1" selected="0">
            <x v="51"/>
          </reference>
          <reference field="5" count="1">
            <x v="110"/>
          </reference>
        </references>
      </pivotArea>
    </format>
    <format dxfId="603">
      <pivotArea dataOnly="0" labelOnly="1" fieldPosition="0">
        <references count="4">
          <reference field="2" count="1" selected="0">
            <x v="6"/>
          </reference>
          <reference field="3" count="1" selected="0">
            <x v="15"/>
          </reference>
          <reference field="4" count="1" selected="0">
            <x v="52"/>
          </reference>
          <reference field="5" count="1">
            <x v="111"/>
          </reference>
        </references>
      </pivotArea>
    </format>
    <format dxfId="602">
      <pivotArea dataOnly="0" labelOnly="1" fieldPosition="0">
        <references count="4">
          <reference field="2" count="1" selected="0">
            <x v="6"/>
          </reference>
          <reference field="3" count="1" selected="0">
            <x v="15"/>
          </reference>
          <reference field="4" count="1" selected="0">
            <x v="54"/>
          </reference>
          <reference field="5" count="4">
            <x v="112"/>
            <x v="113"/>
            <x v="114"/>
            <x v="115"/>
          </reference>
        </references>
      </pivotArea>
    </format>
    <format dxfId="601">
      <pivotArea dataOnly="0" labelOnly="1" fieldPosition="0">
        <references count="4">
          <reference field="2" count="1" selected="0">
            <x v="6"/>
          </reference>
          <reference field="3" count="1" selected="0">
            <x v="15"/>
          </reference>
          <reference field="4" count="1" selected="0">
            <x v="55"/>
          </reference>
          <reference field="5" count="5">
            <x v="116"/>
            <x v="152"/>
            <x v="153"/>
            <x v="156"/>
            <x v="157"/>
          </reference>
        </references>
      </pivotArea>
    </format>
    <format dxfId="600">
      <pivotArea dataOnly="0" labelOnly="1" fieldPosition="0">
        <references count="4">
          <reference field="2" count="1" selected="0">
            <x v="6"/>
          </reference>
          <reference field="3" count="1" selected="0">
            <x v="16"/>
          </reference>
          <reference field="4" count="1" selected="0">
            <x v="56"/>
          </reference>
          <reference field="5" count="1">
            <x v="117"/>
          </reference>
        </references>
      </pivotArea>
    </format>
    <format dxfId="599">
      <pivotArea dataOnly="0" labelOnly="1" fieldPosition="0">
        <references count="4">
          <reference field="2" count="1" selected="0">
            <x v="6"/>
          </reference>
          <reference field="3" count="1" selected="0">
            <x v="16"/>
          </reference>
          <reference field="4" count="1" selected="0">
            <x v="57"/>
          </reference>
          <reference field="5" count="3">
            <x v="131"/>
            <x v="132"/>
            <x v="133"/>
          </reference>
        </references>
      </pivotArea>
    </format>
    <format dxfId="598">
      <pivotArea dataOnly="0" labelOnly="1" fieldPosition="0">
        <references count="4">
          <reference field="2" count="1" selected="0">
            <x v="6"/>
          </reference>
          <reference field="3" count="1" selected="0">
            <x v="16"/>
          </reference>
          <reference field="4" count="1" selected="0">
            <x v="58"/>
          </reference>
          <reference field="5" count="1">
            <x v="118"/>
          </reference>
        </references>
      </pivotArea>
    </format>
    <format dxfId="597">
      <pivotArea dataOnly="0" labelOnly="1" fieldPosition="0">
        <references count="4">
          <reference field="2" count="1" selected="0">
            <x v="6"/>
          </reference>
          <reference field="3" count="1" selected="0">
            <x v="17"/>
          </reference>
          <reference field="4" count="1" selected="0">
            <x v="59"/>
          </reference>
          <reference field="5" count="2">
            <x v="119"/>
            <x v="120"/>
          </reference>
        </references>
      </pivotArea>
    </format>
    <format dxfId="596">
      <pivotArea dataOnly="0" labelOnly="1" fieldPosition="0">
        <references count="4">
          <reference field="2" count="1" selected="0">
            <x v="6"/>
          </reference>
          <reference field="3" count="1" selected="0">
            <x v="17"/>
          </reference>
          <reference field="4" count="1" selected="0">
            <x v="60"/>
          </reference>
          <reference field="5" count="1">
            <x v="121"/>
          </reference>
        </references>
      </pivotArea>
    </format>
    <format dxfId="595">
      <pivotArea dataOnly="0" labelOnly="1" fieldPosition="0">
        <references count="4">
          <reference field="2" count="1" selected="0">
            <x v="6"/>
          </reference>
          <reference field="3" count="1" selected="0">
            <x v="17"/>
          </reference>
          <reference field="4" count="1" selected="0">
            <x v="61"/>
          </reference>
          <reference field="5" count="6">
            <x v="122"/>
            <x v="123"/>
            <x v="124"/>
            <x v="125"/>
            <x v="141"/>
            <x v="142"/>
          </reference>
        </references>
      </pivotArea>
    </format>
    <format dxfId="594">
      <pivotArea dataOnly="0" labelOnly="1" fieldPosition="0">
        <references count="4">
          <reference field="2" count="1" selected="0">
            <x v="7"/>
          </reference>
          <reference field="3" count="1" selected="0">
            <x v="18"/>
          </reference>
          <reference field="4" count="1" selected="0">
            <x v="68"/>
          </reference>
          <reference field="5" count="1">
            <x v="149"/>
          </reference>
        </references>
      </pivotArea>
    </format>
    <format dxfId="593">
      <pivotArea dataOnly="0" labelOnly="1" fieldPosition="0">
        <references count="4">
          <reference field="2" count="1" selected="0">
            <x v="7"/>
          </reference>
          <reference field="3" count="1" selected="0">
            <x v="19"/>
          </reference>
          <reference field="4" count="1" selected="0">
            <x v="62"/>
          </reference>
          <reference field="5" count="4">
            <x v="143"/>
            <x v="144"/>
            <x v="145"/>
            <x v="146"/>
          </reference>
        </references>
      </pivotArea>
    </format>
  </formats>
  <pivotTableStyleInfo name="Pivot_subinterventii"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0000000}" name="Price" displayName="Price" ref="B1:I55" totalsRowShown="0" headerRowDxfId="56" tableBorderDxfId="55">
  <autoFilter ref="B1:I55" xr:uid="{00000000-0009-0000-0100-000003000000}"/>
  <tableColumns count="8">
    <tableColumn id="2" xr3:uid="{00000000-0010-0000-0000-000002000000}" name="Denumire produs/serviciu_ro" dataDxfId="54" dataCellStyle="Normal 4"/>
    <tableColumn id="3" xr3:uid="{00000000-0010-0000-0000-000003000000}" name="Denumire produs/serviciu_eng" dataCellStyle="Normal 13"/>
    <tableColumn id="4" xr3:uid="{00000000-0010-0000-0000-000004000000}" name="Unitate" dataCellStyle="Normal 13"/>
    <tableColumn id="5" xr3:uid="{00000000-0010-0000-0000-000005000000}" name="pret unitate" dataDxfId="53" dataCellStyle="Normal 4"/>
    <tableColumn id="6" xr3:uid="{00000000-0010-0000-0000-000006000000}" name="Valuta_pret" dataDxfId="52" dataCellStyle="Normal 4"/>
    <tableColumn id="7" xr3:uid="{00000000-0010-0000-0000-000007000000}" name="Column2" dataCellStyle="Normal 13"/>
    <tableColumn id="8" xr3:uid="{00000000-0010-0000-0000-000008000000}" name="Sursa pret" dataCellStyle="Normal 13"/>
    <tableColumn id="9" xr3:uid="{00000000-0010-0000-0000-000009000000}" name="Column12" dataCellStyle="Normal 13"/>
  </tableColumns>
  <tableStyleInfo name="TableStyleLight9" showFirstColumn="0"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1000000}" name="Bunuri_lab_nomenc" displayName="Bunuri_lab_nomenc" ref="L1:T599" totalsRowShown="0" tableBorderDxfId="28">
  <tableColumns count="9">
    <tableColumn id="1" xr3:uid="{00000000-0010-0000-0100-000001000000}" name="Denumire" dataDxfId="27"/>
    <tableColumn id="2" xr3:uid="{00000000-0010-0000-0100-000002000000}" name="Unitate de masură" dataDxfId="26"/>
    <tableColumn id="3" xr3:uid="{00000000-0010-0000-0100-000003000000}" name="tip_bun" dataDxfId="25"/>
    <tableColumn id="4" xr3:uid="{00000000-0010-0000-0100-000004000000}" name="Denumire catalog GDF" dataDxfId="24"/>
    <tableColumn id="5" xr3:uid="{00000000-0010-0000-0100-000005000000}" name="Cost unitate_CNAM" dataDxfId="23"/>
    <tableColumn id="8" xr3:uid="{00000000-0010-0000-0100-000008000000}" name="Cost unitate MMPSF" dataDxfId="22"/>
    <tableColumn id="6" xr3:uid="{00000000-0010-0000-0100-000006000000}" name="Cost unitate_GFATM_MDL" dataDxfId="21">
      <calculatedColumnFormula>IFERROR(ROUND(Bunuri_lab_nomenc[[#This Row],[Cost unitate GFATM_valuta]]*VLOOKUP(Bunuri_lab_nomenc[[#This Row],[Valuta cost GFATM]],$B$58:$D$59,2,0),2),0)</calculatedColumnFormula>
    </tableColumn>
    <tableColumn id="7" xr3:uid="{00000000-0010-0000-0100-000007000000}" name="Cost unitate GFATM_valuta" dataDxfId="20">
      <calculatedColumnFormula>IFERROR(VLOOKUP(Bunuri_lab_nomenc[[#This Row],[Denumire catalog GDF]],GDF_price_list[[Product Name]:[Column1]],8,0),"")</calculatedColumnFormula>
    </tableColumn>
    <tableColumn id="9" xr3:uid="{00000000-0010-0000-0100-000009000000}" name="Valuta cost GFATM" dataDxfId="19">
      <calculatedColumnFormula>VLOOKUP(Bunuri_lab_nomenc[[#This Row],[Denumire catalog GDF]],GDF_price_list[[Product Name]:[Column1]],7,0)</calculatedColumnFormula>
    </tableColumn>
  </tableColumns>
  <tableStyleInfo name="TableStyleLight9" showFirstColumn="0"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2000000}" name="GDF_price_list" displayName="GDF_price_list" ref="V1:AF560" totalsRowShown="0" headerRowDxfId="18" headerRowBorderDxfId="17" tableBorderDxfId="16" totalsRowBorderDxfId="15">
  <autoFilter ref="V1:AF560" xr:uid="{00000000-0009-0000-0100-000005000000}"/>
  <sortState ref="V2:AF560">
    <sortCondition ref="AB1:AB560"/>
  </sortState>
  <tableColumns count="11">
    <tableColumn id="1" xr3:uid="{00000000-0010-0000-0200-000001000000}" name="1" dataDxfId="14"/>
    <tableColumn id="2" xr3:uid="{00000000-0010-0000-0200-000002000000}" name="2" dataDxfId="13"/>
    <tableColumn id="3" xr3:uid="{00000000-0010-0000-0200-000003000000}" name="GDF_x000a_code" dataDxfId="12" dataCellStyle="Normal 2 6"/>
    <tableColumn id="4" xr3:uid="{00000000-0010-0000-0200-000004000000}" name="Product Name" dataDxfId="11" dataCellStyle="Normal 2 6"/>
    <tableColumn id="5" xr3:uid="{00000000-0010-0000-0200-000005000000}" name="Supplier" dataDxfId="10" dataCellStyle="Normal 2 6"/>
    <tableColumn id="11" xr3:uid="{00000000-0010-0000-0200-00000B000000}" name="Unitate masura" dataDxfId="9" dataCellStyle="Normal 2 6"/>
    <tableColumn id="6" xr3:uid="{00000000-0010-0000-0200-000006000000}" name="Unit" dataDxfId="8" dataCellStyle="Normal 2 6"/>
    <tableColumn id="7" xr3:uid="{00000000-0010-0000-0200-000007000000}" name="Supplier technical specifications" dataDxfId="7" dataCellStyle="Normal 2 6"/>
    <tableColumn id="8" xr3:uid="{00000000-0010-0000-0200-000008000000}" name="Indicative _x000a_FCA Price" dataDxfId="6" dataCellStyle="Normal 2 6"/>
    <tableColumn id="9" xr3:uid="{00000000-0010-0000-0200-000009000000}" name="Currency" dataDxfId="5" dataCellStyle="Normal 2 6"/>
    <tableColumn id="10" xr3:uid="{00000000-0010-0000-0200-00000A000000}" name="Column1" dataDxfId="4">
      <calculatedColumnFormula>GDF_price_list[[#This Row],[Indicative 
FCA Price]]/GDF_price_list[[#This Row],[Unit]]</calculatedColumnFormula>
    </tableColumn>
  </tableColumns>
  <tableStyleInfo name="TableStyleLight9" showFirstColumn="0"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purl.oclc.org/ooxml/officeDocument/relationships/drawing" Target="../drawings/drawing3.xml"/><Relationship Id="rId1" Type="http://purl.oclc.org/ooxml/officeDocument/relationships/printerSettings" Target="../printerSettings/printerSettings10.bin"/><Relationship Id="rId4" Type="http://purl.oclc.org/ooxml/officeDocument/relationships/comments" Target="../comments2.xml"/></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purl.oclc.org/ooxml/officeDocument/relationships/drawing" Target="../drawings/drawing4.xml"/><Relationship Id="rId1" Type="http://purl.oclc.org/ooxml/officeDocument/relationships/printerSettings" Target="../printerSettings/printerSettings12.bin"/><Relationship Id="rId4" Type="http://purl.oclc.org/ooxml/officeDocument/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purl.oclc.org/ooxml/officeDocument/relationships/drawing" Target="../drawings/drawing5.xml"/><Relationship Id="rId1" Type="http://purl.oclc.org/ooxml/officeDocument/relationships/printerSettings" Target="../printerSettings/printerSettings13.bin"/><Relationship Id="rId4" Type="http://purl.oclc.org/ooxml/officeDocument/relationships/comments" Target="../comments4.xml"/></Relationships>
</file>

<file path=xl/worksheets/_rels/sheet2.xml.rels><?xml version="1.0" encoding="UTF-8" standalone="yes"?>
<Relationships xmlns="http://schemas.openxmlformats.org/package/2006/relationships"><Relationship Id="rId2" Type="http://purl.oclc.org/ooxml/officeDocument/relationships/printerSettings" Target="../printerSettings/printerSettings1.bin"/><Relationship Id="rId1" Type="http://purl.oclc.org/ooxml/officeDocument/relationships/pivotTable" Target="../pivotTables/pivotTable1.xml"/></Relationships>
</file>

<file path=xl/worksheets/_rels/sheet21.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22.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4.xml.rels><?xml version="1.0" encoding="UTF-8" standalone="yes"?>
<Relationships xmlns="http://schemas.openxmlformats.org/package/2006/relationships"><Relationship Id="rId1" Type="http://purl.oclc.org/ooxml/officeDocument/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vml"/><Relationship Id="rId2" Type="http://purl.oclc.org/ooxml/officeDocument/relationships/drawing" Target="../drawings/drawing6.xml"/><Relationship Id="rId1" Type="http://purl.oclc.org/ooxml/officeDocument/relationships/printerSettings" Target="../printerSettings/printerSettings17.bin"/><Relationship Id="rId4" Type="http://purl.oclc.org/ooxml/officeDocument/relationships/comments" Target="../comments5.xml"/></Relationships>
</file>

<file path=xl/worksheets/_rels/sheet28.xml.rels><?xml version="1.0" encoding="UTF-8" standalone="yes"?>
<Relationships xmlns="http://schemas.openxmlformats.org/package/2006/relationships"><Relationship Id="rId1" Type="http://purl.oclc.org/ooxml/officeDocument/relationships/printerSettings" Target="../printerSettings/printerSettings18.bin"/></Relationships>
</file>

<file path=xl/worksheets/_rels/sheet29.xml.rels><?xml version="1.0" encoding="UTF-8" standalone="yes"?>
<Relationships xmlns="http://schemas.openxmlformats.org/package/2006/relationships"><Relationship Id="rId1" Type="http://purl.oclc.org/ooxml/officeDocument/relationships/table" Target="../tables/table1.xml"/></Relationships>
</file>

<file path=xl/worksheets/_rels/sheet3.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33.xml.rels><?xml version="1.0" encoding="UTF-8" standalone="yes"?>
<Relationships xmlns="http://schemas.openxmlformats.org/package/2006/relationships"><Relationship Id="rId3" Type="http://purl.oclc.org/ooxml/officeDocument/relationships/table" Target="../tables/table3.xml"/><Relationship Id="rId2" Type="http://purl.oclc.org/ooxml/officeDocument/relationships/table" Target="../tables/table2.xml"/><Relationship Id="rId1" Type="http://purl.oclc.org/ooxml/officeDocument/relationships/printerSettings" Target="../printerSettings/printerSettings19.bin"/></Relationships>
</file>

<file path=xl/worksheets/_rels/sheet36.xml.rels><?xml version="1.0" encoding="UTF-8" standalone="yes"?>
<Relationships xmlns="http://schemas.openxmlformats.org/package/2006/relationships"><Relationship Id="rId1" Type="http://purl.oclc.org/ooxml/officeDocument/relationships/printerSettings" Target="../printerSettings/printerSettings20.bin"/></Relationships>
</file>

<file path=xl/worksheets/_rels/sheet5.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pivotTable" Target="../pivotTables/pivotTable2.xml"/></Relationships>
</file>

<file path=xl/worksheets/_rels/sheet6.xml.rels><?xml version="1.0" encoding="UTF-8" standalone="yes"?>
<Relationships xmlns="http://schemas.openxmlformats.org/package/2006/relationships"><Relationship Id="rId3" Type="http://purl.oclc.org/ooxml/officeDocument/relationships/drawing" Target="../drawings/drawing1.xml"/><Relationship Id="rId2" Type="http://purl.oclc.org/ooxml/officeDocument/relationships/printerSettings" Target="../printerSettings/printerSettings4.bin"/><Relationship Id="rId1" Type="http://purl.oclc.org/ooxml/officeDocument/relationships/pivotTable" Target="../pivotTables/pivotTable3.xml"/><Relationship Id="rId5" Type="http://purl.oclc.org/ooxml/officeDocument/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purl.oclc.org/ooxml/officeDocument/relationships/printerSettings" Target="../printerSettings/printerSettings5.bin"/><Relationship Id="rId1" Type="http://purl.oclc.org/ooxml/officeDocument/relationships/pivotTable" Target="../pivotTables/pivotTable4.xml"/></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9.xml.rels><?xml version="1.0" encoding="UTF-8" standalone="yes"?>
<Relationships xmlns="http://schemas.openxmlformats.org/package/2006/relationships"><Relationship Id="rId1" Type="http://purl.oclc.org/ooxml/officeDocument/relationships/drawing" Target="../drawings/drawing2.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D594"/>
  <sheetViews>
    <sheetView zoomScale="70" zoomScaleNormal="70" workbookViewId="0">
      <selection activeCell="I18" sqref="I18"/>
    </sheetView>
  </sheetViews>
  <sheetFormatPr baseColWidth="10" defaultColWidth="8.83203125" defaultRowHeight="14"/>
  <cols>
    <col min="1" max="8" width="8.83203125" style="1589"/>
    <col min="9" max="9" width="33.83203125" style="1589" customWidth="1"/>
    <col min="10" max="10" width="78.83203125" style="1589" customWidth="1"/>
    <col min="11" max="11" width="4.5" style="1589" customWidth="1"/>
    <col min="12" max="12" width="9.6640625" style="1596" customWidth="1"/>
    <col min="13" max="13" width="47.6640625" style="1591" customWidth="1"/>
    <col min="14" max="14" width="109.5" style="1589" customWidth="1"/>
    <col min="15" max="15" width="89.83203125" style="1589" customWidth="1"/>
    <col min="16" max="16" width="33.5" style="1589" customWidth="1"/>
    <col min="17" max="17" width="16.5" style="1603" customWidth="1"/>
    <col min="18" max="22" width="19" style="1596" customWidth="1"/>
    <col min="23" max="23" width="28.1640625" style="1597" customWidth="1"/>
    <col min="24" max="27" width="8.83203125" style="1589"/>
    <col min="28" max="28" width="17.5" style="1589" customWidth="1"/>
    <col min="29" max="29" width="8.83203125" style="1589"/>
    <col min="30" max="30" width="12.6640625" style="1589" bestFit="1" customWidth="1"/>
    <col min="31" max="16384" width="8.83203125" style="1589"/>
  </cols>
  <sheetData>
    <row r="1" spans="1:30" ht="61.25" customHeight="1">
      <c r="A1" s="1682" t="s">
        <v>345</v>
      </c>
      <c r="B1" s="1683">
        <v>2021</v>
      </c>
      <c r="C1" s="1683">
        <v>2022</v>
      </c>
      <c r="D1" s="1683">
        <v>2023</v>
      </c>
      <c r="E1" s="1683">
        <v>2024</v>
      </c>
      <c r="F1" s="1683">
        <v>2025</v>
      </c>
      <c r="G1" s="1683" t="s">
        <v>484</v>
      </c>
      <c r="H1" s="1683" t="s">
        <v>515</v>
      </c>
      <c r="I1" s="1684" t="s">
        <v>1834</v>
      </c>
      <c r="J1" s="859"/>
      <c r="K1" s="1675"/>
      <c r="L1" s="2534" t="s">
        <v>2460</v>
      </c>
      <c r="M1" s="2534"/>
      <c r="N1" s="2534"/>
      <c r="O1" s="2534"/>
      <c r="P1" s="2534"/>
      <c r="Q1" s="2534"/>
      <c r="R1" s="2534"/>
      <c r="S1" s="2534"/>
      <c r="T1" s="2534"/>
      <c r="U1" s="2534"/>
      <c r="V1" s="2534"/>
      <c r="W1" s="2534"/>
    </row>
    <row r="2" spans="1:30">
      <c r="A2" s="1685" t="str">
        <f>IF(J2="","",LEFT(J2,6))</f>
        <v/>
      </c>
      <c r="B2" s="1685"/>
      <c r="C2" s="1685"/>
      <c r="D2" s="1685"/>
      <c r="E2" s="1685"/>
      <c r="F2" s="1685"/>
      <c r="G2" s="1685"/>
      <c r="H2" s="1685"/>
      <c r="I2" s="1685"/>
      <c r="J2" s="1685"/>
      <c r="K2" s="1676"/>
    </row>
    <row r="3" spans="1:30" ht="16">
      <c r="A3" s="1685" t="str">
        <f t="shared" ref="A3:A66" si="0">IF(J3="","",LEFT(J3,6))</f>
        <v/>
      </c>
      <c r="B3" s="1685"/>
      <c r="C3" s="1685"/>
      <c r="D3" s="1685"/>
      <c r="E3" s="1685"/>
      <c r="F3" s="1685"/>
      <c r="G3" s="1685"/>
      <c r="H3" s="1685"/>
      <c r="I3" s="1685"/>
      <c r="J3" s="1685"/>
      <c r="K3" s="1676"/>
      <c r="L3" s="1590"/>
      <c r="N3" s="1592"/>
      <c r="O3" s="1593"/>
      <c r="P3" s="1593"/>
      <c r="Q3" s="1594" t="s">
        <v>2461</v>
      </c>
      <c r="R3" s="1595">
        <v>5.5873413195065259E-2</v>
      </c>
      <c r="T3" s="1595"/>
    </row>
    <row r="4" spans="1:30" ht="16">
      <c r="A4" s="1685" t="str">
        <f t="shared" si="0"/>
        <v/>
      </c>
      <c r="B4" s="1685"/>
      <c r="C4" s="1685"/>
      <c r="D4" s="1685"/>
      <c r="E4" s="1685"/>
      <c r="F4" s="1685"/>
      <c r="G4" s="1685"/>
      <c r="H4" s="1685"/>
      <c r="I4" s="1685"/>
      <c r="J4" s="1685"/>
      <c r="K4" s="1676"/>
      <c r="L4" s="1590"/>
      <c r="O4" s="1593"/>
      <c r="P4" s="1593"/>
      <c r="Q4" s="1594" t="s">
        <v>2462</v>
      </c>
      <c r="R4" s="1598">
        <v>1</v>
      </c>
      <c r="S4" s="1599"/>
      <c r="T4" s="1595"/>
      <c r="U4" s="1599"/>
      <c r="V4" s="1593"/>
      <c r="W4" s="1600" t="s">
        <v>2463</v>
      </c>
    </row>
    <row r="5" spans="1:30" ht="16">
      <c r="A5" s="1685" t="str">
        <f t="shared" si="0"/>
        <v/>
      </c>
      <c r="B5" s="1685"/>
      <c r="C5" s="1685"/>
      <c r="D5" s="1685"/>
      <c r="E5" s="1685"/>
      <c r="F5" s="1685"/>
      <c r="G5" s="1685"/>
      <c r="H5" s="1685"/>
      <c r="I5" s="1685"/>
      <c r="J5" s="1685"/>
      <c r="K5" s="1676"/>
      <c r="L5" s="1590"/>
      <c r="O5" s="1593"/>
      <c r="P5" s="1593"/>
      <c r="Q5" s="1594" t="s">
        <v>2464</v>
      </c>
      <c r="R5" s="1595">
        <v>17.897600000000001</v>
      </c>
      <c r="S5" s="1599"/>
      <c r="T5" s="1595"/>
      <c r="U5" s="1599"/>
      <c r="V5" s="1593"/>
      <c r="W5" s="1600"/>
    </row>
    <row r="6" spans="1:30" ht="19">
      <c r="A6" s="1685" t="str">
        <f t="shared" si="0"/>
        <v/>
      </c>
      <c r="B6" s="1685"/>
      <c r="C6" s="1685"/>
      <c r="D6" s="1685"/>
      <c r="E6" s="1685"/>
      <c r="F6" s="1685"/>
      <c r="G6" s="1685"/>
      <c r="H6" s="1685"/>
      <c r="I6" s="1685"/>
      <c r="J6" s="1685"/>
      <c r="K6" s="1676"/>
      <c r="L6" s="1601"/>
      <c r="O6" s="1593"/>
      <c r="P6" s="1593"/>
      <c r="Q6" s="1599"/>
      <c r="V6" s="1593"/>
      <c r="W6" s="1600"/>
    </row>
    <row r="7" spans="1:30" s="1603" customFormat="1" ht="19.25" customHeight="1">
      <c r="A7" s="1685" t="str">
        <f t="shared" si="0"/>
        <v/>
      </c>
      <c r="B7" s="1686"/>
      <c r="C7" s="1686"/>
      <c r="D7" s="1686"/>
      <c r="E7" s="1686"/>
      <c r="F7" s="1686"/>
      <c r="G7" s="1686"/>
      <c r="H7" s="1686"/>
      <c r="I7" s="1686"/>
      <c r="J7" s="1686"/>
      <c r="K7" s="1677"/>
      <c r="L7" s="2535" t="s">
        <v>2465</v>
      </c>
      <c r="M7" s="2536" t="s">
        <v>2466</v>
      </c>
      <c r="N7" s="2536" t="s">
        <v>2467</v>
      </c>
      <c r="O7" s="2536" t="s">
        <v>2468</v>
      </c>
      <c r="P7" s="2538" t="s">
        <v>2469</v>
      </c>
      <c r="Q7" s="2536"/>
      <c r="R7" s="1602" t="s">
        <v>2470</v>
      </c>
      <c r="S7" s="1602" t="s">
        <v>2471</v>
      </c>
      <c r="T7" s="1602" t="s">
        <v>2472</v>
      </c>
      <c r="U7" s="1602" t="s">
        <v>2473</v>
      </c>
      <c r="V7" s="1602" t="s">
        <v>2474</v>
      </c>
      <c r="W7" s="2536" t="s">
        <v>2475</v>
      </c>
    </row>
    <row r="8" spans="1:30" s="1603" customFormat="1" ht="19">
      <c r="A8" s="1685" t="str">
        <f t="shared" si="0"/>
        <v/>
      </c>
      <c r="B8" s="1686"/>
      <c r="C8" s="1686"/>
      <c r="D8" s="1686"/>
      <c r="E8" s="1686"/>
      <c r="F8" s="1686"/>
      <c r="G8" s="1686"/>
      <c r="H8" s="1686"/>
      <c r="I8" s="1686"/>
      <c r="J8" s="1686"/>
      <c r="K8" s="1677"/>
      <c r="L8" s="2535"/>
      <c r="M8" s="2537"/>
      <c r="N8" s="2537"/>
      <c r="O8" s="2537"/>
      <c r="P8" s="2539"/>
      <c r="Q8" s="2537"/>
      <c r="R8" s="1602">
        <v>2021</v>
      </c>
      <c r="S8" s="1602">
        <v>2022</v>
      </c>
      <c r="T8" s="1602">
        <v>2023</v>
      </c>
      <c r="U8" s="1602">
        <v>2024</v>
      </c>
      <c r="V8" s="1602">
        <v>2025</v>
      </c>
      <c r="W8" s="2537"/>
    </row>
    <row r="9" spans="1:30" ht="59.75" customHeight="1">
      <c r="A9" s="1685" t="str">
        <f t="shared" si="0"/>
        <v/>
      </c>
      <c r="B9" s="1685"/>
      <c r="C9" s="1685"/>
      <c r="D9" s="1685"/>
      <c r="E9" s="1685"/>
      <c r="F9" s="1685"/>
      <c r="G9" s="1685"/>
      <c r="H9" s="1685"/>
      <c r="I9" s="1685"/>
      <c r="J9" s="1685"/>
      <c r="K9" s="1676"/>
      <c r="L9" s="1604">
        <v>1</v>
      </c>
      <c r="M9" s="2545" t="s">
        <v>2476</v>
      </c>
      <c r="N9" s="2546"/>
      <c r="O9" s="2547"/>
      <c r="P9" s="1605"/>
      <c r="Q9" s="1606"/>
      <c r="R9" s="1607">
        <v>5192852.1199999992</v>
      </c>
      <c r="S9" s="1607">
        <v>1743024.02</v>
      </c>
      <c r="T9" s="1607">
        <v>1544694.52</v>
      </c>
      <c r="U9" s="1607">
        <v>1351200</v>
      </c>
      <c r="V9" s="1607">
        <v>1351200</v>
      </c>
      <c r="W9" s="1607">
        <v>11182970.66</v>
      </c>
      <c r="AD9" s="1608"/>
    </row>
    <row r="10" spans="1:30" ht="19.25" customHeight="1">
      <c r="A10" s="1685" t="str">
        <f t="shared" si="0"/>
        <v/>
      </c>
      <c r="B10" s="1081"/>
      <c r="C10" s="1081"/>
      <c r="D10" s="1081"/>
      <c r="E10" s="1081"/>
      <c r="F10" s="1081"/>
      <c r="G10" s="1081"/>
      <c r="H10" s="1081"/>
      <c r="I10" s="1081"/>
      <c r="J10" s="1081"/>
      <c r="K10" s="1678"/>
      <c r="L10" s="2548" t="s">
        <v>2392</v>
      </c>
      <c r="M10" s="2542" t="s">
        <v>2477</v>
      </c>
      <c r="N10" s="2543"/>
      <c r="O10" s="2544"/>
      <c r="P10" s="2550"/>
      <c r="Q10" s="2552"/>
      <c r="R10" s="2540">
        <v>5192852.1199999992</v>
      </c>
      <c r="S10" s="2540">
        <v>1544694.52</v>
      </c>
      <c r="T10" s="2540">
        <v>1544694.52</v>
      </c>
      <c r="U10" s="2540">
        <v>1351200</v>
      </c>
      <c r="V10" s="2540">
        <v>1351200</v>
      </c>
      <c r="W10" s="2540">
        <v>10984641.16</v>
      </c>
      <c r="AD10" s="1608"/>
    </row>
    <row r="11" spans="1:30" ht="19.25" customHeight="1">
      <c r="A11" s="1685" t="str">
        <f t="shared" si="0"/>
        <v/>
      </c>
      <c r="B11" s="1081"/>
      <c r="C11" s="1081"/>
      <c r="D11" s="1081"/>
      <c r="E11" s="1081"/>
      <c r="F11" s="1081"/>
      <c r="G11" s="1081"/>
      <c r="H11" s="1081"/>
      <c r="I11" s="1081"/>
      <c r="J11" s="1081"/>
      <c r="K11" s="1678"/>
      <c r="L11" s="2549"/>
      <c r="M11" s="2542" t="s">
        <v>2478</v>
      </c>
      <c r="N11" s="2543"/>
      <c r="O11" s="2544"/>
      <c r="P11" s="2551"/>
      <c r="Q11" s="2553"/>
      <c r="R11" s="2541"/>
      <c r="S11" s="2541"/>
      <c r="T11" s="2541"/>
      <c r="U11" s="2541"/>
      <c r="V11" s="2541"/>
      <c r="W11" s="2541"/>
      <c r="AD11" s="1608"/>
    </row>
    <row r="12" spans="1:30" ht="15">
      <c r="A12" s="1685" t="str">
        <f t="shared" si="0"/>
        <v/>
      </c>
      <c r="B12" s="1081" t="str">
        <f>IF($Q12="sub-total",R12,"")</f>
        <v/>
      </c>
      <c r="C12" s="1081" t="str">
        <f t="shared" ref="C12:F12" si="1">IF($Q12="sub-total",S12,"")</f>
        <v/>
      </c>
      <c r="D12" s="1081" t="str">
        <f t="shared" si="1"/>
        <v/>
      </c>
      <c r="E12" s="1081" t="str">
        <f t="shared" si="1"/>
        <v/>
      </c>
      <c r="F12" s="1081" t="str">
        <f t="shared" si="1"/>
        <v/>
      </c>
      <c r="G12" s="1681"/>
      <c r="H12" s="1681"/>
      <c r="I12" s="1681"/>
      <c r="J12" s="1681"/>
      <c r="K12" s="1678"/>
      <c r="L12" s="2567" t="s">
        <v>2479</v>
      </c>
      <c r="M12" s="2568" t="s">
        <v>2480</v>
      </c>
      <c r="N12" s="2568"/>
      <c r="O12" s="2555"/>
      <c r="P12" s="2548"/>
      <c r="Q12" s="1609" t="s">
        <v>604</v>
      </c>
      <c r="R12" s="1610"/>
      <c r="S12" s="1610"/>
      <c r="T12" s="1610"/>
      <c r="U12" s="1610"/>
      <c r="V12" s="1610"/>
      <c r="W12" s="2563">
        <v>0</v>
      </c>
      <c r="AD12" s="1608"/>
    </row>
    <row r="13" spans="1:30" ht="15">
      <c r="A13" s="1685" t="str">
        <f t="shared" si="0"/>
        <v/>
      </c>
      <c r="B13" s="1081" t="str">
        <f t="shared" ref="B13:B76" si="2">IF($Q13="sub-total",R13,"")</f>
        <v/>
      </c>
      <c r="C13" s="1081" t="str">
        <f t="shared" ref="C13:C76" si="3">IF($Q13="sub-total",S13,"")</f>
        <v/>
      </c>
      <c r="D13" s="1081" t="str">
        <f t="shared" ref="D13:D76" si="4">IF($Q13="sub-total",T13,"")</f>
        <v/>
      </c>
      <c r="E13" s="1081" t="str">
        <f t="shared" ref="E13:E76" si="5">IF($Q13="sub-total",U13,"")</f>
        <v/>
      </c>
      <c r="F13" s="1081" t="str">
        <f t="shared" ref="F13:F76" si="6">IF($Q13="sub-total",V13,"")</f>
        <v/>
      </c>
      <c r="G13" s="1681"/>
      <c r="H13" s="1681"/>
      <c r="I13" s="1681"/>
      <c r="J13" s="1681"/>
      <c r="K13" s="1676"/>
      <c r="L13" s="2567"/>
      <c r="M13" s="2569"/>
      <c r="N13" s="2569"/>
      <c r="O13" s="2556"/>
      <c r="P13" s="2566"/>
      <c r="Q13" s="1611" t="s">
        <v>2481</v>
      </c>
      <c r="R13" s="1612"/>
      <c r="S13" s="1613"/>
      <c r="T13" s="1612"/>
      <c r="U13" s="1613"/>
      <c r="V13" s="1613"/>
      <c r="W13" s="2564"/>
      <c r="AD13" s="1608"/>
    </row>
    <row r="14" spans="1:30" ht="15">
      <c r="A14" s="1685" t="str">
        <f t="shared" si="0"/>
        <v/>
      </c>
      <c r="B14" s="1081" t="str">
        <f t="shared" si="2"/>
        <v/>
      </c>
      <c r="C14" s="1081" t="str">
        <f t="shared" si="3"/>
        <v/>
      </c>
      <c r="D14" s="1081" t="str">
        <f t="shared" si="4"/>
        <v/>
      </c>
      <c r="E14" s="1081" t="str">
        <f t="shared" si="5"/>
        <v/>
      </c>
      <c r="F14" s="1081" t="str">
        <f t="shared" si="6"/>
        <v/>
      </c>
      <c r="G14" s="1681"/>
      <c r="H14" s="1681"/>
      <c r="I14" s="1681"/>
      <c r="J14" s="1681"/>
      <c r="K14" s="1676"/>
      <c r="L14" s="2567"/>
      <c r="M14" s="2569"/>
      <c r="N14" s="2569"/>
      <c r="O14" s="2556"/>
      <c r="P14" s="2566"/>
      <c r="Q14" s="1611" t="s">
        <v>2482</v>
      </c>
      <c r="R14" s="1612"/>
      <c r="S14" s="1613"/>
      <c r="T14" s="1612"/>
      <c r="U14" s="1613"/>
      <c r="V14" s="1613"/>
      <c r="W14" s="2564"/>
      <c r="AD14" s="1608"/>
    </row>
    <row r="15" spans="1:30" ht="15">
      <c r="A15" s="1685" t="str">
        <f t="shared" si="0"/>
        <v/>
      </c>
      <c r="B15" s="1081">
        <f t="shared" si="2"/>
        <v>0</v>
      </c>
      <c r="C15" s="1081">
        <f t="shared" si="3"/>
        <v>0</v>
      </c>
      <c r="D15" s="1081">
        <f t="shared" si="4"/>
        <v>0</v>
      </c>
      <c r="E15" s="1081">
        <f t="shared" si="5"/>
        <v>0</v>
      </c>
      <c r="F15" s="1081">
        <f t="shared" si="6"/>
        <v>0</v>
      </c>
      <c r="G15" s="1681"/>
      <c r="H15" s="1681"/>
      <c r="I15" s="1681"/>
      <c r="J15" s="1681"/>
      <c r="K15" s="1676"/>
      <c r="L15" s="2567"/>
      <c r="M15" s="2570"/>
      <c r="N15" s="2570"/>
      <c r="O15" s="2557"/>
      <c r="P15" s="2549"/>
      <c r="Q15" s="1611" t="s">
        <v>2483</v>
      </c>
      <c r="R15" s="1612"/>
      <c r="S15" s="1612"/>
      <c r="T15" s="1612"/>
      <c r="U15" s="1612"/>
      <c r="V15" s="1612"/>
      <c r="W15" s="2565"/>
      <c r="AD15" s="1608"/>
    </row>
    <row r="16" spans="1:30" ht="15">
      <c r="A16" s="1685" t="str">
        <f t="shared" si="0"/>
        <v/>
      </c>
      <c r="B16" s="1081" t="str">
        <f t="shared" si="2"/>
        <v/>
      </c>
      <c r="C16" s="1081" t="str">
        <f t="shared" si="3"/>
        <v/>
      </c>
      <c r="D16" s="1081" t="str">
        <f t="shared" si="4"/>
        <v/>
      </c>
      <c r="E16" s="1081" t="str">
        <f t="shared" si="5"/>
        <v/>
      </c>
      <c r="F16" s="1081" t="str">
        <f t="shared" si="6"/>
        <v/>
      </c>
      <c r="G16" s="1681"/>
      <c r="H16" s="1681"/>
      <c r="I16" s="1681"/>
      <c r="J16" s="1681"/>
      <c r="K16" s="1676"/>
      <c r="L16" s="2554" t="s">
        <v>2484</v>
      </c>
      <c r="M16" s="2555" t="s">
        <v>2485</v>
      </c>
      <c r="N16" s="2558"/>
      <c r="O16" s="2560"/>
      <c r="P16" s="1614"/>
      <c r="Q16" s="1609" t="s">
        <v>604</v>
      </c>
      <c r="R16" s="1610"/>
      <c r="S16" s="1610"/>
      <c r="T16" s="1610"/>
      <c r="U16" s="1610"/>
      <c r="V16" s="1610"/>
      <c r="W16" s="2563">
        <v>0</v>
      </c>
      <c r="AD16" s="1608"/>
    </row>
    <row r="17" spans="1:30" ht="15">
      <c r="A17" s="1685" t="str">
        <f t="shared" si="0"/>
        <v/>
      </c>
      <c r="B17" s="1081" t="str">
        <f t="shared" si="2"/>
        <v/>
      </c>
      <c r="C17" s="1081" t="str">
        <f t="shared" si="3"/>
        <v/>
      </c>
      <c r="D17" s="1081" t="str">
        <f t="shared" si="4"/>
        <v/>
      </c>
      <c r="E17" s="1081" t="str">
        <f t="shared" si="5"/>
        <v/>
      </c>
      <c r="F17" s="1081" t="str">
        <f t="shared" si="6"/>
        <v/>
      </c>
      <c r="G17" s="1681"/>
      <c r="H17" s="1681"/>
      <c r="I17" s="1681"/>
      <c r="J17" s="1681"/>
      <c r="K17" s="1676"/>
      <c r="L17" s="2554"/>
      <c r="M17" s="2556"/>
      <c r="N17" s="2559"/>
      <c r="O17" s="2561"/>
      <c r="P17" s="2566"/>
      <c r="Q17" s="1611" t="s">
        <v>2481</v>
      </c>
      <c r="R17" s="1613"/>
      <c r="S17" s="1613"/>
      <c r="T17" s="1613"/>
      <c r="U17" s="1613"/>
      <c r="V17" s="1613"/>
      <c r="W17" s="2564"/>
      <c r="AD17" s="1608"/>
    </row>
    <row r="18" spans="1:30" ht="15">
      <c r="A18" s="1685" t="str">
        <f t="shared" si="0"/>
        <v/>
      </c>
      <c r="B18" s="1081" t="str">
        <f t="shared" si="2"/>
        <v/>
      </c>
      <c r="C18" s="1081" t="str">
        <f t="shared" si="3"/>
        <v/>
      </c>
      <c r="D18" s="1081" t="str">
        <f t="shared" si="4"/>
        <v/>
      </c>
      <c r="E18" s="1081" t="str">
        <f t="shared" si="5"/>
        <v/>
      </c>
      <c r="F18" s="1081" t="str">
        <f t="shared" si="6"/>
        <v/>
      </c>
      <c r="G18" s="1681"/>
      <c r="H18" s="1681"/>
      <c r="I18" s="1681"/>
      <c r="J18" s="1681"/>
      <c r="K18" s="1676"/>
      <c r="L18" s="2554"/>
      <c r="M18" s="2556"/>
      <c r="N18" s="2559"/>
      <c r="O18" s="2561"/>
      <c r="P18" s="2566"/>
      <c r="Q18" s="1611" t="s">
        <v>2482</v>
      </c>
      <c r="R18" s="1612"/>
      <c r="S18" s="1613"/>
      <c r="T18" s="1612"/>
      <c r="U18" s="1613"/>
      <c r="V18" s="1613"/>
      <c r="W18" s="2564"/>
      <c r="AD18" s="1608"/>
    </row>
    <row r="19" spans="1:30" ht="15">
      <c r="A19" s="1685" t="str">
        <f t="shared" si="0"/>
        <v/>
      </c>
      <c r="B19" s="1081">
        <f t="shared" si="2"/>
        <v>0</v>
      </c>
      <c r="C19" s="1081">
        <f t="shared" si="3"/>
        <v>0</v>
      </c>
      <c r="D19" s="1081">
        <f t="shared" si="4"/>
        <v>0</v>
      </c>
      <c r="E19" s="1081">
        <f t="shared" si="5"/>
        <v>0</v>
      </c>
      <c r="F19" s="1081">
        <f t="shared" si="6"/>
        <v>0</v>
      </c>
      <c r="G19" s="1681"/>
      <c r="H19" s="1681"/>
      <c r="I19" s="1681"/>
      <c r="J19" s="1681"/>
      <c r="K19" s="1676"/>
      <c r="L19" s="2554"/>
      <c r="M19" s="2557"/>
      <c r="N19" s="2559"/>
      <c r="O19" s="2562"/>
      <c r="P19" s="2549"/>
      <c r="Q19" s="1611" t="s">
        <v>2483</v>
      </c>
      <c r="R19" s="1612"/>
      <c r="S19" s="1612"/>
      <c r="T19" s="1612"/>
      <c r="U19" s="1612"/>
      <c r="V19" s="1612"/>
      <c r="W19" s="2565"/>
      <c r="AD19" s="1608"/>
    </row>
    <row r="20" spans="1:30" ht="12.75" customHeight="1">
      <c r="A20" s="1685" t="str">
        <f t="shared" si="0"/>
        <v/>
      </c>
      <c r="B20" s="1081" t="str">
        <f t="shared" si="2"/>
        <v/>
      </c>
      <c r="C20" s="1081" t="str">
        <f t="shared" si="3"/>
        <v/>
      </c>
      <c r="D20" s="1081" t="str">
        <f t="shared" si="4"/>
        <v/>
      </c>
      <c r="E20" s="1081" t="str">
        <f t="shared" si="5"/>
        <v/>
      </c>
      <c r="F20" s="1081" t="str">
        <f t="shared" si="6"/>
        <v/>
      </c>
      <c r="G20" s="1681"/>
      <c r="H20" s="1681"/>
      <c r="I20" s="1681"/>
      <c r="J20" s="1681"/>
      <c r="K20" s="1676"/>
      <c r="L20" s="2577" t="s">
        <v>2486</v>
      </c>
      <c r="M20" s="2577" t="s">
        <v>2487</v>
      </c>
      <c r="N20" s="2577"/>
      <c r="O20" s="2577"/>
      <c r="P20" s="1614"/>
      <c r="Q20" s="1614"/>
      <c r="R20" s="1614"/>
      <c r="S20" s="1614"/>
      <c r="T20" s="1614"/>
      <c r="U20" s="1614"/>
      <c r="V20" s="1614"/>
      <c r="W20" s="1614"/>
      <c r="AD20" s="1608"/>
    </row>
    <row r="21" spans="1:30" ht="15">
      <c r="A21" s="1685" t="str">
        <f t="shared" si="0"/>
        <v/>
      </c>
      <c r="B21" s="1081" t="str">
        <f t="shared" si="2"/>
        <v/>
      </c>
      <c r="C21" s="1081" t="str">
        <f t="shared" si="3"/>
        <v/>
      </c>
      <c r="D21" s="1081" t="str">
        <f t="shared" si="4"/>
        <v/>
      </c>
      <c r="E21" s="1081" t="str">
        <f t="shared" si="5"/>
        <v/>
      </c>
      <c r="F21" s="1081" t="str">
        <f t="shared" si="6"/>
        <v/>
      </c>
      <c r="G21" s="1681"/>
      <c r="H21" s="1681"/>
      <c r="I21" s="1681"/>
      <c r="J21" s="1681"/>
      <c r="K21" s="1676"/>
      <c r="L21" s="2578"/>
      <c r="M21" s="2578"/>
      <c r="N21" s="2578"/>
      <c r="O21" s="2578"/>
      <c r="P21" s="1614"/>
      <c r="Q21" s="1614"/>
      <c r="R21" s="1614"/>
      <c r="S21" s="1614"/>
      <c r="T21" s="1614"/>
      <c r="U21" s="1614"/>
      <c r="V21" s="1614"/>
      <c r="W21" s="1614"/>
      <c r="AD21" s="1608"/>
    </row>
    <row r="22" spans="1:30" ht="15">
      <c r="A22" s="1685" t="str">
        <f t="shared" si="0"/>
        <v/>
      </c>
      <c r="B22" s="1081" t="str">
        <f t="shared" si="2"/>
        <v/>
      </c>
      <c r="C22" s="1081" t="str">
        <f t="shared" si="3"/>
        <v/>
      </c>
      <c r="D22" s="1081" t="str">
        <f t="shared" si="4"/>
        <v/>
      </c>
      <c r="E22" s="1081" t="str">
        <f t="shared" si="5"/>
        <v/>
      </c>
      <c r="F22" s="1081" t="str">
        <f t="shared" si="6"/>
        <v/>
      </c>
      <c r="G22" s="1681"/>
      <c r="H22" s="1681"/>
      <c r="I22" s="1681"/>
      <c r="J22" s="1681"/>
      <c r="K22" s="1676"/>
      <c r="L22" s="2578"/>
      <c r="M22" s="2578"/>
      <c r="N22" s="2578"/>
      <c r="O22" s="2578"/>
      <c r="P22" s="1614"/>
      <c r="Q22" s="1614"/>
      <c r="R22" s="1614"/>
      <c r="S22" s="1614"/>
      <c r="T22" s="1614"/>
      <c r="U22" s="1614"/>
      <c r="V22" s="1614"/>
      <c r="W22" s="1614"/>
      <c r="AD22" s="1608"/>
    </row>
    <row r="23" spans="1:30" ht="15">
      <c r="A23" s="1685" t="str">
        <f t="shared" si="0"/>
        <v/>
      </c>
      <c r="B23" s="1081" t="str">
        <f t="shared" si="2"/>
        <v/>
      </c>
      <c r="C23" s="1081" t="str">
        <f t="shared" si="3"/>
        <v/>
      </c>
      <c r="D23" s="1081" t="str">
        <f t="shared" si="4"/>
        <v/>
      </c>
      <c r="E23" s="1081" t="str">
        <f t="shared" si="5"/>
        <v/>
      </c>
      <c r="F23" s="1081" t="str">
        <f t="shared" si="6"/>
        <v/>
      </c>
      <c r="G23" s="1681"/>
      <c r="H23" s="1681"/>
      <c r="I23" s="1681"/>
      <c r="J23" s="1681"/>
      <c r="K23" s="1676"/>
      <c r="L23" s="2579"/>
      <c r="M23" s="2579"/>
      <c r="N23" s="2579"/>
      <c r="O23" s="2579"/>
      <c r="P23" s="1614"/>
      <c r="Q23" s="1614"/>
      <c r="R23" s="1614"/>
      <c r="S23" s="1614"/>
      <c r="T23" s="1614"/>
      <c r="U23" s="1614"/>
      <c r="V23" s="1614"/>
      <c r="W23" s="1614"/>
      <c r="AD23" s="1608"/>
    </row>
    <row r="24" spans="1:30" ht="12.75" customHeight="1">
      <c r="A24" s="1685" t="str">
        <f t="shared" si="0"/>
        <v/>
      </c>
      <c r="B24" s="1081" t="str">
        <f t="shared" si="2"/>
        <v/>
      </c>
      <c r="C24" s="1081" t="str">
        <f t="shared" si="3"/>
        <v/>
      </c>
      <c r="D24" s="1081" t="str">
        <f t="shared" si="4"/>
        <v/>
      </c>
      <c r="E24" s="1081" t="str">
        <f t="shared" si="5"/>
        <v/>
      </c>
      <c r="F24" s="1081" t="str">
        <f t="shared" si="6"/>
        <v/>
      </c>
      <c r="G24" s="1681"/>
      <c r="H24" s="1681"/>
      <c r="I24" s="1681"/>
      <c r="J24" s="1681"/>
      <c r="K24" s="1676"/>
      <c r="L24" s="2554" t="s">
        <v>2488</v>
      </c>
      <c r="M24" s="2574"/>
      <c r="N24" s="2574" t="s">
        <v>2489</v>
      </c>
      <c r="O24" s="2574" t="s">
        <v>2490</v>
      </c>
      <c r="P24" s="2571"/>
      <c r="Q24" s="1609" t="s">
        <v>604</v>
      </c>
      <c r="R24" s="1615"/>
      <c r="S24" s="1615"/>
      <c r="T24" s="1615"/>
      <c r="U24" s="1615"/>
      <c r="V24" s="1615"/>
      <c r="W24" s="2563">
        <v>4356357.5999999996</v>
      </c>
      <c r="X24" s="1616"/>
      <c r="AA24" s="1589">
        <v>6000</v>
      </c>
      <c r="AB24" s="1589">
        <v>1</v>
      </c>
      <c r="AC24" s="1589">
        <v>6000</v>
      </c>
      <c r="AD24" s="1608"/>
    </row>
    <row r="25" spans="1:30" ht="15">
      <c r="A25" s="1685" t="str">
        <f t="shared" si="0"/>
        <v/>
      </c>
      <c r="B25" s="1081" t="str">
        <f t="shared" si="2"/>
        <v/>
      </c>
      <c r="C25" s="1081" t="str">
        <f t="shared" si="3"/>
        <v/>
      </c>
      <c r="D25" s="1081" t="str">
        <f t="shared" si="4"/>
        <v/>
      </c>
      <c r="E25" s="1081" t="str">
        <f t="shared" si="5"/>
        <v/>
      </c>
      <c r="F25" s="1081" t="str">
        <f t="shared" si="6"/>
        <v/>
      </c>
      <c r="G25" s="1681"/>
      <c r="H25" s="1681"/>
      <c r="I25" s="1681"/>
      <c r="J25" s="1681"/>
      <c r="K25" s="1676"/>
      <c r="L25" s="2554"/>
      <c r="M25" s="2575"/>
      <c r="N25" s="2575"/>
      <c r="O25" s="2575"/>
      <c r="P25" s="2572"/>
      <c r="Q25" s="1611" t="s">
        <v>2481</v>
      </c>
      <c r="R25" s="1617">
        <v>7</v>
      </c>
      <c r="S25" s="1617">
        <v>7</v>
      </c>
      <c r="T25" s="1617">
        <v>7</v>
      </c>
      <c r="U25" s="1617">
        <v>7</v>
      </c>
      <c r="V25" s="1617">
        <v>7</v>
      </c>
      <c r="W25" s="2564"/>
      <c r="X25" s="1616"/>
      <c r="AA25" s="1589">
        <v>120</v>
      </c>
      <c r="AB25" s="1589" t="s">
        <v>2491</v>
      </c>
      <c r="AC25" s="1589">
        <v>21600</v>
      </c>
      <c r="AD25" s="1608">
        <v>32000</v>
      </c>
    </row>
    <row r="26" spans="1:30" ht="15">
      <c r="A26" s="1685" t="str">
        <f t="shared" si="0"/>
        <v/>
      </c>
      <c r="B26" s="1081" t="str">
        <f t="shared" si="2"/>
        <v/>
      </c>
      <c r="C26" s="1081" t="str">
        <f t="shared" si="3"/>
        <v/>
      </c>
      <c r="D26" s="1081" t="str">
        <f t="shared" si="4"/>
        <v/>
      </c>
      <c r="E26" s="1081" t="str">
        <f t="shared" si="5"/>
        <v/>
      </c>
      <c r="F26" s="1081" t="str">
        <f t="shared" si="6"/>
        <v/>
      </c>
      <c r="G26" s="1681"/>
      <c r="H26" s="1681"/>
      <c r="I26" s="1681"/>
      <c r="J26" s="1681"/>
      <c r="K26" s="1676"/>
      <c r="L26" s="2554"/>
      <c r="M26" s="2575"/>
      <c r="N26" s="2575"/>
      <c r="O26" s="2575"/>
      <c r="P26" s="2573"/>
      <c r="Q26" s="1611" t="s">
        <v>2482</v>
      </c>
      <c r="R26" s="1617">
        <v>535936.79999999993</v>
      </c>
      <c r="S26" s="1617">
        <v>21600</v>
      </c>
      <c r="T26" s="1617">
        <v>21600</v>
      </c>
      <c r="U26" s="1617">
        <v>21600</v>
      </c>
      <c r="V26" s="1617">
        <v>21600</v>
      </c>
      <c r="W26" s="2564"/>
      <c r="AC26" s="1589">
        <v>27600</v>
      </c>
      <c r="AD26" s="1608">
        <v>535936.79999999993</v>
      </c>
    </row>
    <row r="27" spans="1:30" ht="16.5" customHeight="1">
      <c r="A27" s="1685" t="str">
        <f t="shared" si="0"/>
        <v>1.1.4.</v>
      </c>
      <c r="B27" s="1081">
        <f t="shared" si="2"/>
        <v>3751557.5999999996</v>
      </c>
      <c r="C27" s="1081">
        <f t="shared" si="3"/>
        <v>151200</v>
      </c>
      <c r="D27" s="1081">
        <f t="shared" si="4"/>
        <v>151200</v>
      </c>
      <c r="E27" s="1081">
        <f t="shared" si="5"/>
        <v>151200</v>
      </c>
      <c r="F27" s="1081">
        <f t="shared" si="6"/>
        <v>151200</v>
      </c>
      <c r="G27" s="1681"/>
      <c r="H27" s="1681"/>
      <c r="I27" s="1681"/>
      <c r="J27" s="1681" t="s">
        <v>2218</v>
      </c>
      <c r="K27" s="1676"/>
      <c r="L27" s="2554"/>
      <c r="M27" s="2576"/>
      <c r="N27" s="2576"/>
      <c r="O27" s="2576"/>
      <c r="P27" s="1614"/>
      <c r="Q27" s="1611" t="s">
        <v>2483</v>
      </c>
      <c r="R27" s="1617">
        <v>3751557.5999999996</v>
      </c>
      <c r="S27" s="1617">
        <v>151200</v>
      </c>
      <c r="T27" s="1617">
        <v>151200</v>
      </c>
      <c r="U27" s="1617">
        <v>151200</v>
      </c>
      <c r="V27" s="1617">
        <v>151200</v>
      </c>
      <c r="W27" s="2565"/>
      <c r="AD27" s="1608"/>
    </row>
    <row r="28" spans="1:30" ht="15">
      <c r="A28" s="1685" t="str">
        <f t="shared" si="0"/>
        <v/>
      </c>
      <c r="B28" s="1081" t="str">
        <f t="shared" si="2"/>
        <v/>
      </c>
      <c r="C28" s="1081" t="str">
        <f t="shared" si="3"/>
        <v/>
      </c>
      <c r="D28" s="1081" t="str">
        <f t="shared" si="4"/>
        <v/>
      </c>
      <c r="E28" s="1081" t="str">
        <f t="shared" si="5"/>
        <v/>
      </c>
      <c r="F28" s="1081" t="str">
        <f t="shared" si="6"/>
        <v/>
      </c>
      <c r="G28" s="1681"/>
      <c r="H28" s="1681"/>
      <c r="I28" s="1681"/>
      <c r="J28" s="1681"/>
      <c r="K28" s="1676"/>
      <c r="L28" s="2554" t="s">
        <v>2492</v>
      </c>
      <c r="M28" s="2574"/>
      <c r="N28" s="2574" t="s">
        <v>2493</v>
      </c>
      <c r="O28" s="2574" t="s">
        <v>2494</v>
      </c>
      <c r="P28" s="1618"/>
      <c r="Q28" s="1609" t="s">
        <v>604</v>
      </c>
      <c r="R28" s="1619" t="s">
        <v>2495</v>
      </c>
      <c r="S28" s="1619" t="s">
        <v>2495</v>
      </c>
      <c r="T28" s="1619" t="s">
        <v>2495</v>
      </c>
      <c r="U28" s="1620"/>
      <c r="V28" s="1620"/>
      <c r="W28" s="2563">
        <v>580483.55999999994</v>
      </c>
      <c r="AD28" s="1608"/>
    </row>
    <row r="29" spans="1:30" ht="15">
      <c r="A29" s="1685" t="str">
        <f t="shared" si="0"/>
        <v/>
      </c>
      <c r="B29" s="1081" t="str">
        <f t="shared" si="2"/>
        <v/>
      </c>
      <c r="C29" s="1081" t="str">
        <f t="shared" si="3"/>
        <v/>
      </c>
      <c r="D29" s="1081" t="str">
        <f t="shared" si="4"/>
        <v/>
      </c>
      <c r="E29" s="1081" t="str">
        <f t="shared" si="5"/>
        <v/>
      </c>
      <c r="F29" s="1081" t="str">
        <f t="shared" si="6"/>
        <v/>
      </c>
      <c r="G29" s="1681"/>
      <c r="H29" s="1681"/>
      <c r="I29" s="1681"/>
      <c r="J29" s="1681"/>
      <c r="K29" s="1676"/>
      <c r="L29" s="2554"/>
      <c r="M29" s="2575"/>
      <c r="N29" s="2575"/>
      <c r="O29" s="2575"/>
      <c r="P29" s="2566"/>
      <c r="Q29" s="1611" t="s">
        <v>2481</v>
      </c>
      <c r="R29" s="1617">
        <v>1</v>
      </c>
      <c r="S29" s="1617">
        <v>1</v>
      </c>
      <c r="T29" s="1617">
        <v>1</v>
      </c>
      <c r="U29" s="1613"/>
      <c r="V29" s="1613"/>
      <c r="W29" s="2564"/>
      <c r="AD29" s="1608"/>
    </row>
    <row r="30" spans="1:30" ht="15">
      <c r="A30" s="1685" t="str">
        <f t="shared" si="0"/>
        <v/>
      </c>
      <c r="B30" s="1081" t="str">
        <f t="shared" si="2"/>
        <v/>
      </c>
      <c r="C30" s="1081" t="str">
        <f t="shared" si="3"/>
        <v/>
      </c>
      <c r="D30" s="1081" t="str">
        <f t="shared" si="4"/>
        <v/>
      </c>
      <c r="E30" s="1081" t="str">
        <f t="shared" si="5"/>
        <v/>
      </c>
      <c r="F30" s="1081" t="str">
        <f t="shared" si="6"/>
        <v/>
      </c>
      <c r="G30" s="1681"/>
      <c r="H30" s="1681"/>
      <c r="I30" s="1681"/>
      <c r="J30" s="1681"/>
      <c r="K30" s="1676"/>
      <c r="L30" s="2554"/>
      <c r="M30" s="2575"/>
      <c r="N30" s="2575"/>
      <c r="O30" s="2575"/>
      <c r="P30" s="2566"/>
      <c r="Q30" s="1611" t="s">
        <v>2482</v>
      </c>
      <c r="R30" s="1617">
        <v>193494.52</v>
      </c>
      <c r="S30" s="1617">
        <v>193494.52</v>
      </c>
      <c r="T30" s="1617">
        <v>193494.52</v>
      </c>
      <c r="U30" s="1613"/>
      <c r="V30" s="1613"/>
      <c r="W30" s="2564"/>
      <c r="AD30" s="1608"/>
    </row>
    <row r="31" spans="1:30" ht="22.75" customHeight="1">
      <c r="A31" s="1685" t="str">
        <f t="shared" si="0"/>
        <v>1.1.4.</v>
      </c>
      <c r="B31" s="1081">
        <f t="shared" si="2"/>
        <v>193494.52</v>
      </c>
      <c r="C31" s="1081">
        <f t="shared" si="3"/>
        <v>193494.52</v>
      </c>
      <c r="D31" s="1081">
        <f t="shared" si="4"/>
        <v>193494.52</v>
      </c>
      <c r="E31" s="1081">
        <f t="shared" si="5"/>
        <v>0</v>
      </c>
      <c r="F31" s="1081">
        <f t="shared" si="6"/>
        <v>0</v>
      </c>
      <c r="G31" s="1681"/>
      <c r="H31" s="1681"/>
      <c r="I31" s="1681"/>
      <c r="J31" s="1681" t="s">
        <v>2218</v>
      </c>
      <c r="K31" s="1676"/>
      <c r="L31" s="2554"/>
      <c r="M31" s="2576"/>
      <c r="N31" s="2576"/>
      <c r="O31" s="2576"/>
      <c r="P31" s="2549"/>
      <c r="Q31" s="1611" t="s">
        <v>2483</v>
      </c>
      <c r="R31" s="1617">
        <v>193494.52</v>
      </c>
      <c r="S31" s="1617">
        <v>193494.52</v>
      </c>
      <c r="T31" s="1617">
        <v>193494.52</v>
      </c>
      <c r="U31" s="1613"/>
      <c r="V31" s="1613"/>
      <c r="W31" s="2565"/>
      <c r="AD31" s="1608"/>
    </row>
    <row r="32" spans="1:30" ht="15">
      <c r="A32" s="1685" t="str">
        <f t="shared" si="0"/>
        <v/>
      </c>
      <c r="B32" s="1081" t="str">
        <f t="shared" si="2"/>
        <v/>
      </c>
      <c r="C32" s="1081" t="str">
        <f t="shared" si="3"/>
        <v/>
      </c>
      <c r="D32" s="1081" t="str">
        <f t="shared" si="4"/>
        <v/>
      </c>
      <c r="E32" s="1081" t="str">
        <f t="shared" si="5"/>
        <v/>
      </c>
      <c r="F32" s="1081" t="str">
        <f t="shared" si="6"/>
        <v/>
      </c>
      <c r="G32" s="1681"/>
      <c r="H32" s="1681"/>
      <c r="I32" s="1681"/>
      <c r="J32" s="1681"/>
      <c r="K32" s="1676"/>
      <c r="L32" s="2554" t="s">
        <v>2496</v>
      </c>
      <c r="M32" s="2574"/>
      <c r="N32" s="2574" t="s">
        <v>2497</v>
      </c>
      <c r="O32" s="2574" t="s">
        <v>2498</v>
      </c>
      <c r="P32" s="1618"/>
      <c r="Q32" s="1609" t="s">
        <v>604</v>
      </c>
      <c r="R32" s="1619" t="s">
        <v>2499</v>
      </c>
      <c r="S32" s="1620"/>
      <c r="T32" s="1620"/>
      <c r="U32" s="1620"/>
      <c r="V32" s="1620"/>
      <c r="W32" s="2563">
        <v>47800</v>
      </c>
      <c r="AD32" s="1608"/>
    </row>
    <row r="33" spans="1:30" ht="15">
      <c r="A33" s="1685" t="str">
        <f t="shared" si="0"/>
        <v/>
      </c>
      <c r="B33" s="1081" t="str">
        <f t="shared" si="2"/>
        <v/>
      </c>
      <c r="C33" s="1081" t="str">
        <f t="shared" si="3"/>
        <v/>
      </c>
      <c r="D33" s="1081" t="str">
        <f t="shared" si="4"/>
        <v/>
      </c>
      <c r="E33" s="1081" t="str">
        <f t="shared" si="5"/>
        <v/>
      </c>
      <c r="F33" s="1081" t="str">
        <f t="shared" si="6"/>
        <v/>
      </c>
      <c r="G33" s="1681"/>
      <c r="H33" s="1681"/>
      <c r="I33" s="1681"/>
      <c r="J33" s="1681"/>
      <c r="K33" s="1676"/>
      <c r="L33" s="2554"/>
      <c r="M33" s="2575"/>
      <c r="N33" s="2575"/>
      <c r="O33" s="2575"/>
      <c r="P33" s="2566"/>
      <c r="Q33" s="1611" t="s">
        <v>2481</v>
      </c>
      <c r="R33" s="1617">
        <v>2</v>
      </c>
      <c r="S33" s="1613"/>
      <c r="T33" s="1613"/>
      <c r="U33" s="1613"/>
      <c r="V33" s="1613"/>
      <c r="W33" s="2564"/>
      <c r="AD33" s="1608"/>
    </row>
    <row r="34" spans="1:30" ht="15">
      <c r="A34" s="1685" t="str">
        <f t="shared" si="0"/>
        <v/>
      </c>
      <c r="B34" s="1081" t="str">
        <f t="shared" si="2"/>
        <v/>
      </c>
      <c r="C34" s="1081" t="str">
        <f t="shared" si="3"/>
        <v/>
      </c>
      <c r="D34" s="1081" t="str">
        <f t="shared" si="4"/>
        <v/>
      </c>
      <c r="E34" s="1081" t="str">
        <f t="shared" si="5"/>
        <v/>
      </c>
      <c r="F34" s="1081" t="str">
        <f t="shared" si="6"/>
        <v/>
      </c>
      <c r="G34" s="1681"/>
      <c r="H34" s="1681"/>
      <c r="I34" s="1681"/>
      <c r="J34" s="1681"/>
      <c r="K34" s="1676"/>
      <c r="L34" s="2554"/>
      <c r="M34" s="2575"/>
      <c r="N34" s="2575"/>
      <c r="O34" s="2575"/>
      <c r="P34" s="2566"/>
      <c r="Q34" s="1611" t="s">
        <v>2482</v>
      </c>
      <c r="R34" s="1617">
        <v>23900</v>
      </c>
      <c r="S34" s="1613"/>
      <c r="T34" s="1613"/>
      <c r="U34" s="1613"/>
      <c r="V34" s="1613"/>
      <c r="W34" s="2564"/>
      <c r="AD34" s="1608"/>
    </row>
    <row r="35" spans="1:30" ht="15">
      <c r="A35" s="1685" t="str">
        <f t="shared" si="0"/>
        <v>1.1.4.</v>
      </c>
      <c r="B35" s="1081">
        <f t="shared" si="2"/>
        <v>47800</v>
      </c>
      <c r="C35" s="1081">
        <f t="shared" si="3"/>
        <v>0</v>
      </c>
      <c r="D35" s="1081">
        <f t="shared" si="4"/>
        <v>0</v>
      </c>
      <c r="E35" s="1081">
        <f t="shared" si="5"/>
        <v>0</v>
      </c>
      <c r="F35" s="1081">
        <f t="shared" si="6"/>
        <v>0</v>
      </c>
      <c r="G35" s="1681"/>
      <c r="H35" s="1681"/>
      <c r="I35" s="1681"/>
      <c r="J35" s="1681" t="s">
        <v>2218</v>
      </c>
      <c r="K35" s="1676"/>
      <c r="L35" s="2554"/>
      <c r="M35" s="2576"/>
      <c r="N35" s="2576"/>
      <c r="O35" s="2576"/>
      <c r="P35" s="2549"/>
      <c r="Q35" s="1611" t="s">
        <v>2483</v>
      </c>
      <c r="R35" s="1617">
        <v>47800</v>
      </c>
      <c r="S35" s="1613"/>
      <c r="T35" s="1613"/>
      <c r="U35" s="1613"/>
      <c r="V35" s="1613"/>
      <c r="W35" s="2565"/>
      <c r="AD35" s="1608"/>
    </row>
    <row r="36" spans="1:30" ht="13.75" customHeight="1">
      <c r="A36" s="1685" t="str">
        <f t="shared" si="0"/>
        <v/>
      </c>
      <c r="B36" s="1081" t="str">
        <f t="shared" si="2"/>
        <v/>
      </c>
      <c r="C36" s="1081" t="str">
        <f t="shared" si="3"/>
        <v/>
      </c>
      <c r="D36" s="1081" t="str">
        <f t="shared" si="4"/>
        <v/>
      </c>
      <c r="E36" s="1081" t="str">
        <f t="shared" si="5"/>
        <v/>
      </c>
      <c r="F36" s="1081" t="str">
        <f t="shared" si="6"/>
        <v/>
      </c>
      <c r="G36" s="1681"/>
      <c r="H36" s="1681"/>
      <c r="I36" s="1681"/>
      <c r="J36" s="1681"/>
      <c r="K36" s="1676"/>
      <c r="L36" s="2577" t="s">
        <v>2500</v>
      </c>
      <c r="M36" s="2577" t="s">
        <v>2501</v>
      </c>
      <c r="N36" s="2577" t="s">
        <v>2502</v>
      </c>
      <c r="O36" s="2577" t="s">
        <v>2503</v>
      </c>
      <c r="P36" s="1618"/>
      <c r="Q36" s="1609" t="s">
        <v>604</v>
      </c>
      <c r="R36" s="1620" t="s">
        <v>2504</v>
      </c>
      <c r="S36" s="1620" t="s">
        <v>2504</v>
      </c>
      <c r="T36" s="1620" t="s">
        <v>2504</v>
      </c>
      <c r="U36" s="1620" t="s">
        <v>2504</v>
      </c>
      <c r="V36" s="1620" t="s">
        <v>2504</v>
      </c>
      <c r="W36" s="2563">
        <v>6000000</v>
      </c>
      <c r="AD36" s="1608"/>
    </row>
    <row r="37" spans="1:30" ht="15">
      <c r="A37" s="1685" t="str">
        <f t="shared" si="0"/>
        <v/>
      </c>
      <c r="B37" s="1081" t="str">
        <f t="shared" si="2"/>
        <v/>
      </c>
      <c r="C37" s="1081" t="str">
        <f t="shared" si="3"/>
        <v/>
      </c>
      <c r="D37" s="1081" t="str">
        <f t="shared" si="4"/>
        <v/>
      </c>
      <c r="E37" s="1081" t="str">
        <f t="shared" si="5"/>
        <v/>
      </c>
      <c r="F37" s="1081" t="str">
        <f t="shared" si="6"/>
        <v/>
      </c>
      <c r="G37" s="1681"/>
      <c r="H37" s="1681"/>
      <c r="I37" s="1681"/>
      <c r="J37" s="1681"/>
      <c r="K37" s="1676"/>
      <c r="L37" s="2578"/>
      <c r="M37" s="2578"/>
      <c r="N37" s="2578"/>
      <c r="O37" s="2578"/>
      <c r="P37" s="2566"/>
      <c r="Q37" s="1611" t="s">
        <v>2481</v>
      </c>
      <c r="R37" s="1613">
        <v>4</v>
      </c>
      <c r="S37" s="1613">
        <v>4</v>
      </c>
      <c r="T37" s="1613">
        <v>4</v>
      </c>
      <c r="U37" s="1613">
        <v>4</v>
      </c>
      <c r="V37" s="1613">
        <v>4</v>
      </c>
      <c r="W37" s="2564"/>
      <c r="AD37" s="1608"/>
    </row>
    <row r="38" spans="1:30" ht="15">
      <c r="A38" s="1685" t="str">
        <f t="shared" si="0"/>
        <v/>
      </c>
      <c r="B38" s="1081" t="str">
        <f t="shared" si="2"/>
        <v/>
      </c>
      <c r="C38" s="1081" t="str">
        <f t="shared" si="3"/>
        <v/>
      </c>
      <c r="D38" s="1081" t="str">
        <f t="shared" si="4"/>
        <v/>
      </c>
      <c r="E38" s="1081" t="str">
        <f t="shared" si="5"/>
        <v/>
      </c>
      <c r="F38" s="1081" t="str">
        <f t="shared" si="6"/>
        <v/>
      </c>
      <c r="G38" s="1681"/>
      <c r="H38" s="1681"/>
      <c r="I38" s="1681"/>
      <c r="J38" s="1681"/>
      <c r="K38" s="1676"/>
      <c r="L38" s="2578"/>
      <c r="M38" s="2578"/>
      <c r="N38" s="2578"/>
      <c r="O38" s="2578"/>
      <c r="P38" s="2566"/>
      <c r="Q38" s="1611" t="s">
        <v>2482</v>
      </c>
      <c r="R38" s="1613">
        <v>300000</v>
      </c>
      <c r="S38" s="1613">
        <v>300000</v>
      </c>
      <c r="T38" s="1613">
        <v>300000</v>
      </c>
      <c r="U38" s="1613">
        <v>300000</v>
      </c>
      <c r="V38" s="1613">
        <v>300000</v>
      </c>
      <c r="W38" s="2564"/>
      <c r="AD38" s="1608"/>
    </row>
    <row r="39" spans="1:30" ht="15">
      <c r="A39" s="1685" t="str">
        <f t="shared" si="0"/>
        <v>1.1.5.</v>
      </c>
      <c r="B39" s="1081">
        <f t="shared" si="2"/>
        <v>1200000</v>
      </c>
      <c r="C39" s="1081">
        <f t="shared" si="3"/>
        <v>1200000</v>
      </c>
      <c r="D39" s="1081">
        <f t="shared" si="4"/>
        <v>1200000</v>
      </c>
      <c r="E39" s="1081">
        <f t="shared" si="5"/>
        <v>1200000</v>
      </c>
      <c r="F39" s="1081">
        <f t="shared" si="6"/>
        <v>1200000</v>
      </c>
      <c r="G39" s="1681"/>
      <c r="H39" s="1681"/>
      <c r="I39" s="1681"/>
      <c r="J39" s="1681" t="s">
        <v>2219</v>
      </c>
      <c r="K39" s="1676"/>
      <c r="L39" s="2579"/>
      <c r="M39" s="2579"/>
      <c r="N39" s="2579"/>
      <c r="O39" s="2579"/>
      <c r="P39" s="2549"/>
      <c r="Q39" s="1611" t="s">
        <v>2483</v>
      </c>
      <c r="R39" s="1613">
        <v>1200000</v>
      </c>
      <c r="S39" s="1613">
        <v>1200000</v>
      </c>
      <c r="T39" s="1613">
        <v>1200000</v>
      </c>
      <c r="U39" s="1613">
        <v>1200000</v>
      </c>
      <c r="V39" s="1613">
        <v>1200000</v>
      </c>
      <c r="W39" s="2565"/>
      <c r="AD39" s="1608"/>
    </row>
    <row r="40" spans="1:30" ht="19.25" customHeight="1">
      <c r="A40" s="1685" t="str">
        <f t="shared" si="0"/>
        <v/>
      </c>
      <c r="B40" s="1081" t="str">
        <f t="shared" si="2"/>
        <v/>
      </c>
      <c r="C40" s="1081" t="str">
        <f t="shared" si="3"/>
        <v/>
      </c>
      <c r="D40" s="1081" t="str">
        <f t="shared" si="4"/>
        <v/>
      </c>
      <c r="E40" s="1081" t="str">
        <f t="shared" si="5"/>
        <v/>
      </c>
      <c r="F40" s="1081" t="str">
        <f t="shared" si="6"/>
        <v/>
      </c>
      <c r="G40" s="1681"/>
      <c r="H40" s="1681"/>
      <c r="I40" s="1681"/>
      <c r="J40" s="1681"/>
      <c r="K40" s="1676"/>
      <c r="L40" s="2548" t="s">
        <v>2393</v>
      </c>
      <c r="M40" s="2542" t="s">
        <v>2505</v>
      </c>
      <c r="N40" s="2543"/>
      <c r="O40" s="2544"/>
      <c r="P40" s="2550"/>
      <c r="Q40" s="2552"/>
      <c r="R40" s="2540">
        <v>0</v>
      </c>
      <c r="S40" s="2540">
        <v>198329.5</v>
      </c>
      <c r="T40" s="2540">
        <v>0</v>
      </c>
      <c r="U40" s="2540">
        <v>0</v>
      </c>
      <c r="V40" s="2540">
        <v>0</v>
      </c>
      <c r="W40" s="2540">
        <v>198329.5</v>
      </c>
      <c r="AD40" s="1608"/>
    </row>
    <row r="41" spans="1:30" ht="19.25" customHeight="1">
      <c r="A41" s="1685" t="str">
        <f t="shared" si="0"/>
        <v/>
      </c>
      <c r="B41" s="1081" t="str">
        <f t="shared" si="2"/>
        <v/>
      </c>
      <c r="C41" s="1081" t="str">
        <f t="shared" si="3"/>
        <v/>
      </c>
      <c r="D41" s="1081" t="str">
        <f t="shared" si="4"/>
        <v/>
      </c>
      <c r="E41" s="1081" t="str">
        <f t="shared" si="5"/>
        <v/>
      </c>
      <c r="F41" s="1081" t="str">
        <f t="shared" si="6"/>
        <v/>
      </c>
      <c r="G41" s="1681"/>
      <c r="H41" s="1681"/>
      <c r="I41" s="1681"/>
      <c r="J41" s="1681"/>
      <c r="K41" s="1676"/>
      <c r="L41" s="2549"/>
      <c r="M41" s="2542" t="s">
        <v>2478</v>
      </c>
      <c r="N41" s="2543"/>
      <c r="O41" s="2544"/>
      <c r="P41" s="2551"/>
      <c r="Q41" s="2553"/>
      <c r="R41" s="2541"/>
      <c r="S41" s="2541"/>
      <c r="T41" s="2541"/>
      <c r="U41" s="2541"/>
      <c r="V41" s="2541"/>
      <c r="W41" s="2541"/>
      <c r="AD41" s="1608"/>
    </row>
    <row r="42" spans="1:30" ht="12.75" customHeight="1">
      <c r="A42" s="1685" t="str">
        <f t="shared" si="0"/>
        <v/>
      </c>
      <c r="B42" s="1081" t="str">
        <f t="shared" si="2"/>
        <v/>
      </c>
      <c r="C42" s="1081" t="str">
        <f t="shared" si="3"/>
        <v/>
      </c>
      <c r="D42" s="1081" t="str">
        <f t="shared" si="4"/>
        <v/>
      </c>
      <c r="E42" s="1081" t="str">
        <f t="shared" si="5"/>
        <v/>
      </c>
      <c r="F42" s="1081" t="str">
        <f t="shared" si="6"/>
        <v/>
      </c>
      <c r="G42" s="1681"/>
      <c r="H42" s="1681"/>
      <c r="I42" s="1681"/>
      <c r="J42" s="1681"/>
      <c r="K42" s="1676"/>
      <c r="L42" s="2580" t="s">
        <v>305</v>
      </c>
      <c r="M42" s="2583" t="s">
        <v>2506</v>
      </c>
      <c r="N42" s="2583" t="s">
        <v>2507</v>
      </c>
      <c r="O42" s="2583" t="s">
        <v>2508</v>
      </c>
      <c r="P42" s="2548"/>
      <c r="Q42" s="1609" t="s">
        <v>604</v>
      </c>
      <c r="R42" s="1610"/>
      <c r="S42" s="1619" t="s">
        <v>2509</v>
      </c>
      <c r="T42" s="1610"/>
      <c r="U42" s="1610"/>
      <c r="V42" s="1610"/>
      <c r="W42" s="2563">
        <v>198329.5</v>
      </c>
      <c r="AD42" s="1608"/>
    </row>
    <row r="43" spans="1:30" ht="15">
      <c r="A43" s="1685" t="str">
        <f t="shared" si="0"/>
        <v/>
      </c>
      <c r="B43" s="1081" t="str">
        <f t="shared" si="2"/>
        <v/>
      </c>
      <c r="C43" s="1081" t="str">
        <f t="shared" si="3"/>
        <v/>
      </c>
      <c r="D43" s="1081" t="str">
        <f t="shared" si="4"/>
        <v/>
      </c>
      <c r="E43" s="1081" t="str">
        <f t="shared" si="5"/>
        <v/>
      </c>
      <c r="F43" s="1081" t="str">
        <f t="shared" si="6"/>
        <v/>
      </c>
      <c r="G43" s="1681"/>
      <c r="H43" s="1681"/>
      <c r="I43" s="1681"/>
      <c r="J43" s="1681"/>
      <c r="K43" s="1676"/>
      <c r="L43" s="2581"/>
      <c r="M43" s="2583"/>
      <c r="N43" s="2583"/>
      <c r="O43" s="2583"/>
      <c r="P43" s="2566"/>
      <c r="Q43" s="1611" t="s">
        <v>2481</v>
      </c>
      <c r="R43" s="1612"/>
      <c r="S43" s="1617">
        <v>4</v>
      </c>
      <c r="T43" s="1612"/>
      <c r="U43" s="1613"/>
      <c r="V43" s="1613"/>
      <c r="W43" s="2564"/>
      <c r="X43" s="1621"/>
      <c r="AD43" s="1608"/>
    </row>
    <row r="44" spans="1:30" ht="15">
      <c r="A44" s="1685" t="str">
        <f t="shared" si="0"/>
        <v/>
      </c>
      <c r="B44" s="1081" t="str">
        <f t="shared" si="2"/>
        <v/>
      </c>
      <c r="C44" s="1081" t="str">
        <f t="shared" si="3"/>
        <v/>
      </c>
      <c r="D44" s="1081" t="str">
        <f t="shared" si="4"/>
        <v/>
      </c>
      <c r="E44" s="1081" t="str">
        <f t="shared" si="5"/>
        <v/>
      </c>
      <c r="F44" s="1081" t="str">
        <f t="shared" si="6"/>
        <v/>
      </c>
      <c r="G44" s="1681"/>
      <c r="H44" s="1681"/>
      <c r="I44" s="1681"/>
      <c r="J44" s="1681"/>
      <c r="K44" s="1676"/>
      <c r="L44" s="2581"/>
      <c r="M44" s="2583"/>
      <c r="N44" s="2583"/>
      <c r="O44" s="2583"/>
      <c r="P44" s="2566"/>
      <c r="Q44" s="1611" t="s">
        <v>2482</v>
      </c>
      <c r="R44" s="1612"/>
      <c r="S44" s="1617">
        <v>49582.375</v>
      </c>
      <c r="T44" s="1612"/>
      <c r="U44" s="1613"/>
      <c r="V44" s="1613"/>
      <c r="W44" s="2564"/>
      <c r="AD44" s="1608"/>
    </row>
    <row r="45" spans="1:30" ht="10.5" customHeight="1">
      <c r="A45" s="1685" t="str">
        <f t="shared" si="0"/>
        <v>5.1.2.</v>
      </c>
      <c r="B45" s="1081">
        <f t="shared" si="2"/>
        <v>0</v>
      </c>
      <c r="C45" s="1081">
        <f t="shared" si="3"/>
        <v>198329.5</v>
      </c>
      <c r="D45" s="1081">
        <f t="shared" si="4"/>
        <v>0</v>
      </c>
      <c r="E45" s="1081">
        <f t="shared" si="5"/>
        <v>0</v>
      </c>
      <c r="F45" s="1081">
        <f t="shared" si="6"/>
        <v>0</v>
      </c>
      <c r="G45" s="1681"/>
      <c r="H45" s="1681"/>
      <c r="I45" s="1681"/>
      <c r="J45" s="1681" t="s">
        <v>2225</v>
      </c>
      <c r="K45" s="1676"/>
      <c r="L45" s="2582"/>
      <c r="M45" s="2583"/>
      <c r="N45" s="2583"/>
      <c r="O45" s="2583"/>
      <c r="P45" s="2549"/>
      <c r="Q45" s="1611" t="s">
        <v>2483</v>
      </c>
      <c r="R45" s="1612"/>
      <c r="S45" s="1617">
        <v>198329.5</v>
      </c>
      <c r="T45" s="1612"/>
      <c r="U45" s="1612"/>
      <c r="V45" s="1612"/>
      <c r="W45" s="2565"/>
      <c r="AD45" s="1608"/>
    </row>
    <row r="46" spans="1:30" ht="15">
      <c r="A46" s="1685" t="str">
        <f t="shared" si="0"/>
        <v/>
      </c>
      <c r="B46" s="1081" t="str">
        <f t="shared" si="2"/>
        <v/>
      </c>
      <c r="C46" s="1081" t="str">
        <f t="shared" si="3"/>
        <v/>
      </c>
      <c r="D46" s="1081" t="str">
        <f t="shared" si="4"/>
        <v/>
      </c>
      <c r="E46" s="1081" t="str">
        <f t="shared" si="5"/>
        <v/>
      </c>
      <c r="F46" s="1081" t="str">
        <f t="shared" si="6"/>
        <v/>
      </c>
      <c r="G46" s="1681"/>
      <c r="H46" s="1681"/>
      <c r="I46" s="1681"/>
      <c r="J46" s="1681"/>
      <c r="K46" s="1676"/>
      <c r="L46" s="2584" t="s">
        <v>448</v>
      </c>
      <c r="M46" s="2555" t="s">
        <v>2510</v>
      </c>
      <c r="N46" s="2555"/>
      <c r="O46" s="2560"/>
      <c r="P46" s="1614"/>
      <c r="Q46" s="1609" t="s">
        <v>604</v>
      </c>
      <c r="R46" s="1610"/>
      <c r="S46" s="1610"/>
      <c r="T46" s="1610"/>
      <c r="U46" s="1610"/>
      <c r="V46" s="1610"/>
      <c r="W46" s="2563">
        <v>0</v>
      </c>
      <c r="AD46" s="1608"/>
    </row>
    <row r="47" spans="1:30" ht="15">
      <c r="A47" s="1685" t="str">
        <f t="shared" si="0"/>
        <v/>
      </c>
      <c r="B47" s="1081" t="str">
        <f t="shared" si="2"/>
        <v/>
      </c>
      <c r="C47" s="1081" t="str">
        <f t="shared" si="3"/>
        <v/>
      </c>
      <c r="D47" s="1081" t="str">
        <f t="shared" si="4"/>
        <v/>
      </c>
      <c r="E47" s="1081" t="str">
        <f t="shared" si="5"/>
        <v/>
      </c>
      <c r="F47" s="1081" t="str">
        <f t="shared" si="6"/>
        <v/>
      </c>
      <c r="G47" s="1681"/>
      <c r="H47" s="1681"/>
      <c r="I47" s="1681"/>
      <c r="J47" s="1681"/>
      <c r="K47" s="1676"/>
      <c r="L47" s="2585"/>
      <c r="M47" s="2556"/>
      <c r="N47" s="2556"/>
      <c r="O47" s="2561"/>
      <c r="P47" s="2566"/>
      <c r="Q47" s="1611" t="s">
        <v>2481</v>
      </c>
      <c r="R47" s="1613"/>
      <c r="S47" s="1613"/>
      <c r="T47" s="1613"/>
      <c r="U47" s="1613"/>
      <c r="V47" s="1613"/>
      <c r="W47" s="2564"/>
      <c r="AD47" s="1608"/>
    </row>
    <row r="48" spans="1:30" ht="15">
      <c r="A48" s="1685" t="str">
        <f t="shared" si="0"/>
        <v/>
      </c>
      <c r="B48" s="1081" t="str">
        <f t="shared" si="2"/>
        <v/>
      </c>
      <c r="C48" s="1081" t="str">
        <f t="shared" si="3"/>
        <v/>
      </c>
      <c r="D48" s="1081" t="str">
        <f t="shared" si="4"/>
        <v/>
      </c>
      <c r="E48" s="1081" t="str">
        <f t="shared" si="5"/>
        <v/>
      </c>
      <c r="F48" s="1081" t="str">
        <f t="shared" si="6"/>
        <v/>
      </c>
      <c r="G48" s="1681"/>
      <c r="H48" s="1681"/>
      <c r="I48" s="1681"/>
      <c r="J48" s="1681"/>
      <c r="K48" s="1676"/>
      <c r="L48" s="2585"/>
      <c r="M48" s="2556"/>
      <c r="N48" s="2556"/>
      <c r="O48" s="2561"/>
      <c r="P48" s="2566"/>
      <c r="Q48" s="1611" t="s">
        <v>2482</v>
      </c>
      <c r="R48" s="1612"/>
      <c r="S48" s="1613"/>
      <c r="T48" s="1612"/>
      <c r="U48" s="1613"/>
      <c r="V48" s="1613"/>
      <c r="W48" s="2564"/>
      <c r="AD48" s="1608"/>
    </row>
    <row r="49" spans="1:30" ht="15">
      <c r="A49" s="1685" t="str">
        <f t="shared" si="0"/>
        <v/>
      </c>
      <c r="B49" s="1081">
        <f t="shared" si="2"/>
        <v>0</v>
      </c>
      <c r="C49" s="1081">
        <f t="shared" si="3"/>
        <v>0</v>
      </c>
      <c r="D49" s="1081">
        <f t="shared" si="4"/>
        <v>0</v>
      </c>
      <c r="E49" s="1081">
        <f t="shared" si="5"/>
        <v>0</v>
      </c>
      <c r="F49" s="1081">
        <f t="shared" si="6"/>
        <v>0</v>
      </c>
      <c r="G49" s="1681"/>
      <c r="H49" s="1681"/>
      <c r="I49" s="1681"/>
      <c r="J49" s="1681"/>
      <c r="K49" s="1676"/>
      <c r="L49" s="2586"/>
      <c r="M49" s="2557"/>
      <c r="N49" s="2557"/>
      <c r="O49" s="2562"/>
      <c r="P49" s="2549"/>
      <c r="Q49" s="1611" t="s">
        <v>2483</v>
      </c>
      <c r="R49" s="1612"/>
      <c r="S49" s="1612"/>
      <c r="T49" s="1612"/>
      <c r="U49" s="1612"/>
      <c r="V49" s="1612"/>
      <c r="W49" s="2565"/>
      <c r="AD49" s="1608"/>
    </row>
    <row r="50" spans="1:30" ht="15">
      <c r="A50" s="1685" t="str">
        <f t="shared" si="0"/>
        <v/>
      </c>
      <c r="B50" s="1081" t="str">
        <f t="shared" si="2"/>
        <v/>
      </c>
      <c r="C50" s="1081" t="str">
        <f t="shared" si="3"/>
        <v/>
      </c>
      <c r="D50" s="1081" t="str">
        <f t="shared" si="4"/>
        <v/>
      </c>
      <c r="E50" s="1081" t="str">
        <f t="shared" si="5"/>
        <v/>
      </c>
      <c r="F50" s="1081" t="str">
        <f t="shared" si="6"/>
        <v/>
      </c>
      <c r="G50" s="1681"/>
      <c r="H50" s="1681"/>
      <c r="I50" s="1681"/>
      <c r="J50" s="1681"/>
      <c r="K50" s="1676"/>
      <c r="L50" s="2584" t="s">
        <v>449</v>
      </c>
      <c r="M50" s="2555" t="s">
        <v>2511</v>
      </c>
      <c r="N50" s="2555"/>
      <c r="O50" s="2555"/>
      <c r="P50" s="1618"/>
      <c r="Q50" s="1609" t="s">
        <v>604</v>
      </c>
      <c r="R50" s="1620"/>
      <c r="S50" s="1620"/>
      <c r="T50" s="1620"/>
      <c r="U50" s="1620"/>
      <c r="V50" s="1620"/>
      <c r="W50" s="2563">
        <v>0</v>
      </c>
      <c r="AD50" s="1608"/>
    </row>
    <row r="51" spans="1:30" ht="15">
      <c r="A51" s="1685" t="str">
        <f t="shared" si="0"/>
        <v/>
      </c>
      <c r="B51" s="1081" t="str">
        <f t="shared" si="2"/>
        <v/>
      </c>
      <c r="C51" s="1081" t="str">
        <f t="shared" si="3"/>
        <v/>
      </c>
      <c r="D51" s="1081" t="str">
        <f t="shared" si="4"/>
        <v/>
      </c>
      <c r="E51" s="1081" t="str">
        <f t="shared" si="5"/>
        <v/>
      </c>
      <c r="F51" s="1081" t="str">
        <f t="shared" si="6"/>
        <v/>
      </c>
      <c r="G51" s="1681"/>
      <c r="H51" s="1681"/>
      <c r="I51" s="1681"/>
      <c r="J51" s="1681"/>
      <c r="K51" s="1676"/>
      <c r="L51" s="2585"/>
      <c r="M51" s="2556"/>
      <c r="N51" s="2556"/>
      <c r="O51" s="2556"/>
      <c r="P51" s="2566"/>
      <c r="Q51" s="1611" t="s">
        <v>2481</v>
      </c>
      <c r="R51" s="1613"/>
      <c r="S51" s="1613"/>
      <c r="T51" s="1613"/>
      <c r="U51" s="1613"/>
      <c r="V51" s="1613"/>
      <c r="W51" s="2564"/>
      <c r="AD51" s="1608"/>
    </row>
    <row r="52" spans="1:30" ht="15">
      <c r="A52" s="1685" t="str">
        <f t="shared" si="0"/>
        <v/>
      </c>
      <c r="B52" s="1081" t="str">
        <f t="shared" si="2"/>
        <v/>
      </c>
      <c r="C52" s="1081" t="str">
        <f t="shared" si="3"/>
        <v/>
      </c>
      <c r="D52" s="1081" t="str">
        <f t="shared" si="4"/>
        <v/>
      </c>
      <c r="E52" s="1081" t="str">
        <f t="shared" si="5"/>
        <v/>
      </c>
      <c r="F52" s="1081" t="str">
        <f t="shared" si="6"/>
        <v/>
      </c>
      <c r="G52" s="1681"/>
      <c r="H52" s="1681"/>
      <c r="I52" s="1681"/>
      <c r="J52" s="1681"/>
      <c r="K52" s="1676"/>
      <c r="L52" s="2585"/>
      <c r="M52" s="2556"/>
      <c r="N52" s="2556"/>
      <c r="O52" s="2556"/>
      <c r="P52" s="2566"/>
      <c r="Q52" s="1611" t="s">
        <v>2482</v>
      </c>
      <c r="R52" s="1613"/>
      <c r="S52" s="1613"/>
      <c r="T52" s="1613"/>
      <c r="U52" s="1613"/>
      <c r="V52" s="1613"/>
      <c r="W52" s="2564"/>
      <c r="AD52" s="1608"/>
    </row>
    <row r="53" spans="1:30" ht="15">
      <c r="A53" s="1685" t="str">
        <f t="shared" si="0"/>
        <v/>
      </c>
      <c r="B53" s="1081">
        <f t="shared" si="2"/>
        <v>0</v>
      </c>
      <c r="C53" s="1081">
        <f t="shared" si="3"/>
        <v>0</v>
      </c>
      <c r="D53" s="1081">
        <f t="shared" si="4"/>
        <v>0</v>
      </c>
      <c r="E53" s="1081">
        <f t="shared" si="5"/>
        <v>0</v>
      </c>
      <c r="F53" s="1081">
        <f t="shared" si="6"/>
        <v>0</v>
      </c>
      <c r="G53" s="1681"/>
      <c r="H53" s="1681"/>
      <c r="I53" s="1681"/>
      <c r="J53" s="1681"/>
      <c r="K53" s="1676"/>
      <c r="L53" s="2586"/>
      <c r="M53" s="2557"/>
      <c r="N53" s="2557"/>
      <c r="O53" s="2557"/>
      <c r="P53" s="2549"/>
      <c r="Q53" s="1611" t="s">
        <v>2483</v>
      </c>
      <c r="R53" s="1613"/>
      <c r="S53" s="1613"/>
      <c r="T53" s="1613"/>
      <c r="U53" s="1613"/>
      <c r="V53" s="1613"/>
      <c r="W53" s="2565"/>
      <c r="AD53" s="1608"/>
    </row>
    <row r="54" spans="1:30" ht="59.75" customHeight="1">
      <c r="A54" s="1685" t="str">
        <f t="shared" si="0"/>
        <v/>
      </c>
      <c r="B54" s="1081" t="str">
        <f t="shared" si="2"/>
        <v/>
      </c>
      <c r="C54" s="1081" t="str">
        <f t="shared" si="3"/>
        <v/>
      </c>
      <c r="D54" s="1081" t="str">
        <f t="shared" si="4"/>
        <v/>
      </c>
      <c r="E54" s="1081" t="str">
        <f t="shared" si="5"/>
        <v/>
      </c>
      <c r="F54" s="1081" t="str">
        <f t="shared" si="6"/>
        <v/>
      </c>
      <c r="G54" s="1681"/>
      <c r="H54" s="1681"/>
      <c r="I54" s="1681"/>
      <c r="J54" s="1681"/>
      <c r="K54" s="1676"/>
      <c r="L54" s="1604">
        <v>2</v>
      </c>
      <c r="M54" s="2545" t="s">
        <v>2512</v>
      </c>
      <c r="N54" s="2546"/>
      <c r="O54" s="2547"/>
      <c r="P54" s="1605"/>
      <c r="Q54" s="1606"/>
      <c r="R54" s="1607">
        <v>1278000</v>
      </c>
      <c r="S54" s="1607">
        <v>1278000</v>
      </c>
      <c r="T54" s="1607">
        <v>1278000</v>
      </c>
      <c r="U54" s="1607">
        <v>1278000</v>
      </c>
      <c r="V54" s="1607">
        <v>1278000</v>
      </c>
      <c r="W54" s="1607">
        <v>6390000</v>
      </c>
      <c r="AD54" s="1608"/>
    </row>
    <row r="55" spans="1:30" ht="19.25" customHeight="1">
      <c r="A55" s="1685" t="str">
        <f t="shared" si="0"/>
        <v/>
      </c>
      <c r="B55" s="1081" t="str">
        <f t="shared" si="2"/>
        <v/>
      </c>
      <c r="C55" s="1081" t="str">
        <f t="shared" si="3"/>
        <v/>
      </c>
      <c r="D55" s="1081" t="str">
        <f t="shared" si="4"/>
        <v/>
      </c>
      <c r="E55" s="1081" t="str">
        <f t="shared" si="5"/>
        <v/>
      </c>
      <c r="F55" s="1081" t="str">
        <f t="shared" si="6"/>
        <v/>
      </c>
      <c r="G55" s="1681"/>
      <c r="H55" s="1681"/>
      <c r="I55" s="1681"/>
      <c r="J55" s="1681"/>
      <c r="K55" s="1676"/>
      <c r="L55" s="2548" t="s">
        <v>2513</v>
      </c>
      <c r="M55" s="2542" t="s">
        <v>2514</v>
      </c>
      <c r="N55" s="2543"/>
      <c r="O55" s="2544"/>
      <c r="P55" s="2550"/>
      <c r="Q55" s="2552"/>
      <c r="R55" s="2540">
        <v>1278000</v>
      </c>
      <c r="S55" s="2540">
        <v>1278000</v>
      </c>
      <c r="T55" s="2540">
        <v>1278000</v>
      </c>
      <c r="U55" s="2540">
        <v>1278000</v>
      </c>
      <c r="V55" s="2540">
        <v>1278000</v>
      </c>
      <c r="W55" s="2540">
        <v>6390000</v>
      </c>
      <c r="AD55" s="1608"/>
    </row>
    <row r="56" spans="1:30" ht="19.25" customHeight="1">
      <c r="A56" s="1685" t="str">
        <f t="shared" si="0"/>
        <v/>
      </c>
      <c r="B56" s="1081" t="str">
        <f t="shared" si="2"/>
        <v/>
      </c>
      <c r="C56" s="1081" t="str">
        <f t="shared" si="3"/>
        <v/>
      </c>
      <c r="D56" s="1081" t="str">
        <f t="shared" si="4"/>
        <v/>
      </c>
      <c r="E56" s="1081" t="str">
        <f t="shared" si="5"/>
        <v/>
      </c>
      <c r="F56" s="1081" t="str">
        <f t="shared" si="6"/>
        <v/>
      </c>
      <c r="G56" s="1681"/>
      <c r="H56" s="1681"/>
      <c r="I56" s="1681"/>
      <c r="J56" s="1681"/>
      <c r="K56" s="1676"/>
      <c r="L56" s="2549"/>
      <c r="M56" s="2542" t="s">
        <v>2478</v>
      </c>
      <c r="N56" s="2543"/>
      <c r="O56" s="2544"/>
      <c r="P56" s="2551"/>
      <c r="Q56" s="2553"/>
      <c r="R56" s="2541"/>
      <c r="S56" s="2541"/>
      <c r="T56" s="2541"/>
      <c r="U56" s="2541"/>
      <c r="V56" s="2541"/>
      <c r="W56" s="2541"/>
      <c r="AD56" s="1608"/>
    </row>
    <row r="57" spans="1:30" ht="45">
      <c r="A57" s="1685" t="str">
        <f t="shared" si="0"/>
        <v/>
      </c>
      <c r="B57" s="1081" t="str">
        <f t="shared" si="2"/>
        <v/>
      </c>
      <c r="C57" s="1081" t="str">
        <f t="shared" si="3"/>
        <v/>
      </c>
      <c r="D57" s="1081" t="str">
        <f t="shared" si="4"/>
        <v/>
      </c>
      <c r="E57" s="1081" t="str">
        <f t="shared" si="5"/>
        <v/>
      </c>
      <c r="F57" s="1081" t="str">
        <f t="shared" si="6"/>
        <v/>
      </c>
      <c r="G57" s="1681"/>
      <c r="H57" s="1681"/>
      <c r="I57" s="1681"/>
      <c r="J57" s="1681"/>
      <c r="K57" s="1676"/>
      <c r="L57" s="1622" t="s">
        <v>2515</v>
      </c>
      <c r="M57" s="1623" t="s">
        <v>2516</v>
      </c>
      <c r="N57" s="1623" t="s">
        <v>2517</v>
      </c>
      <c r="O57" s="1623"/>
      <c r="P57" s="2591"/>
      <c r="Q57" s="2592"/>
      <c r="R57" s="2592"/>
      <c r="S57" s="2592"/>
      <c r="T57" s="2592"/>
      <c r="U57" s="2592"/>
      <c r="V57" s="2592"/>
      <c r="W57" s="2593"/>
      <c r="AD57" s="1608"/>
    </row>
    <row r="58" spans="1:30" ht="12.75" customHeight="1">
      <c r="A58" s="1685" t="str">
        <f t="shared" si="0"/>
        <v/>
      </c>
      <c r="B58" s="1081" t="str">
        <f t="shared" si="2"/>
        <v/>
      </c>
      <c r="C58" s="1081" t="str">
        <f t="shared" si="3"/>
        <v/>
      </c>
      <c r="D58" s="1081" t="str">
        <f t="shared" si="4"/>
        <v/>
      </c>
      <c r="E58" s="1081" t="str">
        <f t="shared" si="5"/>
        <v/>
      </c>
      <c r="F58" s="1081" t="str">
        <f t="shared" si="6"/>
        <v/>
      </c>
      <c r="G58" s="1681"/>
      <c r="H58" s="1681"/>
      <c r="I58" s="1681"/>
      <c r="J58" s="1681"/>
      <c r="K58" s="1676"/>
      <c r="L58" s="2554" t="s">
        <v>2518</v>
      </c>
      <c r="M58" s="2594" t="s">
        <v>2519</v>
      </c>
      <c r="N58" s="2594"/>
      <c r="O58" s="2594"/>
      <c r="P58" s="2548"/>
      <c r="Q58" s="1609" t="s">
        <v>604</v>
      </c>
      <c r="R58" s="1624" t="s">
        <v>2520</v>
      </c>
      <c r="S58" s="1624" t="s">
        <v>2520</v>
      </c>
      <c r="T58" s="1624" t="s">
        <v>2520</v>
      </c>
      <c r="U58" s="1624" t="s">
        <v>2520</v>
      </c>
      <c r="V58" s="1624" t="s">
        <v>2520</v>
      </c>
      <c r="W58" s="2590">
        <v>0</v>
      </c>
      <c r="AD58" s="1608"/>
    </row>
    <row r="59" spans="1:30" ht="15">
      <c r="A59" s="1685" t="str">
        <f t="shared" si="0"/>
        <v/>
      </c>
      <c r="B59" s="1081" t="str">
        <f t="shared" si="2"/>
        <v/>
      </c>
      <c r="C59" s="1081" t="str">
        <f t="shared" si="3"/>
        <v/>
      </c>
      <c r="D59" s="1081" t="str">
        <f t="shared" si="4"/>
        <v/>
      </c>
      <c r="E59" s="1081" t="str">
        <f t="shared" si="5"/>
        <v/>
      </c>
      <c r="F59" s="1081" t="str">
        <f t="shared" si="6"/>
        <v/>
      </c>
      <c r="G59" s="1681"/>
      <c r="H59" s="1681"/>
      <c r="I59" s="1681"/>
      <c r="J59" s="1681"/>
      <c r="K59" s="1676"/>
      <c r="L59" s="2554"/>
      <c r="M59" s="2595"/>
      <c r="N59" s="2595"/>
      <c r="O59" s="2595"/>
      <c r="P59" s="2566"/>
      <c r="Q59" s="1611" t="s">
        <v>2481</v>
      </c>
      <c r="R59" s="1625"/>
      <c r="S59" s="1625"/>
      <c r="T59" s="1625"/>
      <c r="U59" s="1625"/>
      <c r="V59" s="1625"/>
      <c r="W59" s="2590"/>
      <c r="AD59" s="1608"/>
    </row>
    <row r="60" spans="1:30" ht="15">
      <c r="A60" s="1685" t="str">
        <f t="shared" si="0"/>
        <v/>
      </c>
      <c r="B60" s="1081" t="str">
        <f t="shared" si="2"/>
        <v/>
      </c>
      <c r="C60" s="1081" t="str">
        <f t="shared" si="3"/>
        <v/>
      </c>
      <c r="D60" s="1081" t="str">
        <f t="shared" si="4"/>
        <v/>
      </c>
      <c r="E60" s="1081" t="str">
        <f t="shared" si="5"/>
        <v/>
      </c>
      <c r="F60" s="1081" t="str">
        <f t="shared" si="6"/>
        <v/>
      </c>
      <c r="G60" s="1681"/>
      <c r="H60" s="1681"/>
      <c r="I60" s="1681"/>
      <c r="J60" s="1681"/>
      <c r="K60" s="1676"/>
      <c r="L60" s="2554"/>
      <c r="M60" s="2595"/>
      <c r="N60" s="2595"/>
      <c r="O60" s="2595"/>
      <c r="P60" s="2566"/>
      <c r="Q60" s="1611" t="s">
        <v>2482</v>
      </c>
      <c r="R60" s="1626"/>
      <c r="S60" s="1626"/>
      <c r="T60" s="1626"/>
      <c r="U60" s="1626"/>
      <c r="V60" s="1626"/>
      <c r="W60" s="2590"/>
      <c r="AD60" s="1608"/>
    </row>
    <row r="61" spans="1:30" ht="29.25" customHeight="1">
      <c r="A61" s="1685" t="str">
        <f t="shared" si="0"/>
        <v/>
      </c>
      <c r="B61" s="1081">
        <f t="shared" si="2"/>
        <v>0</v>
      </c>
      <c r="C61" s="1081">
        <f t="shared" si="3"/>
        <v>0</v>
      </c>
      <c r="D61" s="1081">
        <f t="shared" si="4"/>
        <v>0</v>
      </c>
      <c r="E61" s="1081">
        <f t="shared" si="5"/>
        <v>0</v>
      </c>
      <c r="F61" s="1081">
        <f t="shared" si="6"/>
        <v>0</v>
      </c>
      <c r="G61" s="1681"/>
      <c r="H61" s="1681"/>
      <c r="I61" s="1681"/>
      <c r="J61" s="1681"/>
      <c r="K61" s="1676"/>
      <c r="L61" s="2554"/>
      <c r="M61" s="2596"/>
      <c r="N61" s="2596"/>
      <c r="O61" s="2596"/>
      <c r="P61" s="2549"/>
      <c r="Q61" s="1611" t="s">
        <v>2483</v>
      </c>
      <c r="R61" s="1625"/>
      <c r="S61" s="1625"/>
      <c r="T61" s="1625"/>
      <c r="U61" s="1625"/>
      <c r="V61" s="1625"/>
      <c r="W61" s="2590"/>
      <c r="AD61" s="1608"/>
    </row>
    <row r="62" spans="1:30" ht="12.75" customHeight="1">
      <c r="A62" s="1685" t="str">
        <f t="shared" si="0"/>
        <v/>
      </c>
      <c r="B62" s="1081" t="str">
        <f t="shared" si="2"/>
        <v/>
      </c>
      <c r="C62" s="1081" t="str">
        <f t="shared" si="3"/>
        <v/>
      </c>
      <c r="D62" s="1081" t="str">
        <f t="shared" si="4"/>
        <v/>
      </c>
      <c r="E62" s="1081" t="str">
        <f t="shared" si="5"/>
        <v/>
      </c>
      <c r="F62" s="1081" t="str">
        <f t="shared" si="6"/>
        <v/>
      </c>
      <c r="G62" s="1681"/>
      <c r="H62" s="1681"/>
      <c r="I62" s="1681"/>
      <c r="J62" s="1681"/>
      <c r="K62" s="1676"/>
      <c r="L62" s="2554" t="s">
        <v>2521</v>
      </c>
      <c r="M62" s="2574" t="s">
        <v>2522</v>
      </c>
      <c r="N62" s="2574" t="s">
        <v>2523</v>
      </c>
      <c r="O62" s="2574" t="s">
        <v>2524</v>
      </c>
      <c r="P62" s="2587" t="s">
        <v>2525</v>
      </c>
      <c r="Q62" s="1609" t="s">
        <v>604</v>
      </c>
      <c r="R62" s="1627" t="s">
        <v>92</v>
      </c>
      <c r="S62" s="1627" t="s">
        <v>92</v>
      </c>
      <c r="T62" s="1627" t="s">
        <v>92</v>
      </c>
      <c r="U62" s="1627" t="s">
        <v>92</v>
      </c>
      <c r="V62" s="1627" t="s">
        <v>92</v>
      </c>
      <c r="W62" s="2590">
        <v>6390000</v>
      </c>
      <c r="X62" s="1616" t="s">
        <v>2526</v>
      </c>
      <c r="AD62" s="1608"/>
    </row>
    <row r="63" spans="1:30" ht="15">
      <c r="A63" s="1685" t="str">
        <f t="shared" si="0"/>
        <v/>
      </c>
      <c r="B63" s="1081" t="str">
        <f t="shared" si="2"/>
        <v/>
      </c>
      <c r="C63" s="1081" t="str">
        <f t="shared" si="3"/>
        <v/>
      </c>
      <c r="D63" s="1081" t="str">
        <f t="shared" si="4"/>
        <v/>
      </c>
      <c r="E63" s="1081" t="str">
        <f t="shared" si="5"/>
        <v/>
      </c>
      <c r="F63" s="1081" t="str">
        <f t="shared" si="6"/>
        <v/>
      </c>
      <c r="G63" s="1681"/>
      <c r="H63" s="1681"/>
      <c r="I63" s="1681"/>
      <c r="J63" s="1681"/>
      <c r="K63" s="1676"/>
      <c r="L63" s="2554"/>
      <c r="M63" s="2575"/>
      <c r="N63" s="2575"/>
      <c r="O63" s="2575"/>
      <c r="P63" s="2588"/>
      <c r="Q63" s="1611" t="s">
        <v>2481</v>
      </c>
      <c r="R63" s="1628">
        <v>138</v>
      </c>
      <c r="S63" s="1628">
        <v>138</v>
      </c>
      <c r="T63" s="1628">
        <v>138</v>
      </c>
      <c r="U63" s="1628">
        <v>138</v>
      </c>
      <c r="V63" s="1628">
        <v>138</v>
      </c>
      <c r="W63" s="2590"/>
      <c r="AD63" s="1608"/>
    </row>
    <row r="64" spans="1:30" ht="15">
      <c r="A64" s="1685" t="str">
        <f t="shared" si="0"/>
        <v/>
      </c>
      <c r="B64" s="1081" t="str">
        <f t="shared" si="2"/>
        <v/>
      </c>
      <c r="C64" s="1081" t="str">
        <f t="shared" si="3"/>
        <v/>
      </c>
      <c r="D64" s="1081" t="str">
        <f t="shared" si="4"/>
        <v/>
      </c>
      <c r="E64" s="1081" t="str">
        <f t="shared" si="5"/>
        <v/>
      </c>
      <c r="F64" s="1081" t="str">
        <f t="shared" si="6"/>
        <v/>
      </c>
      <c r="G64" s="1681"/>
      <c r="H64" s="1681"/>
      <c r="I64" s="1681"/>
      <c r="J64" s="1681"/>
      <c r="K64" s="1676"/>
      <c r="L64" s="2554"/>
      <c r="M64" s="2575"/>
      <c r="N64" s="2575"/>
      <c r="O64" s="2575"/>
      <c r="P64" s="2588"/>
      <c r="Q64" s="1611" t="s">
        <v>2482</v>
      </c>
      <c r="R64" s="1629">
        <v>9260.8695652173919</v>
      </c>
      <c r="S64" s="1629">
        <v>9260.8695652173919</v>
      </c>
      <c r="T64" s="1629">
        <v>9260.8695652173919</v>
      </c>
      <c r="U64" s="1629">
        <v>9260.8695652173919</v>
      </c>
      <c r="V64" s="1629">
        <v>9260.8695652173919</v>
      </c>
      <c r="W64" s="2590"/>
      <c r="AD64" s="1608"/>
    </row>
    <row r="65" spans="1:30" ht="27" customHeight="1">
      <c r="A65" s="1685" t="str">
        <f t="shared" si="0"/>
        <v>2.1.1.</v>
      </c>
      <c r="B65" s="1081">
        <f t="shared" si="2"/>
        <v>1278000</v>
      </c>
      <c r="C65" s="1081">
        <f t="shared" si="3"/>
        <v>1278000</v>
      </c>
      <c r="D65" s="1081">
        <f t="shared" si="4"/>
        <v>1278000</v>
      </c>
      <c r="E65" s="1081">
        <f t="shared" si="5"/>
        <v>1278000</v>
      </c>
      <c r="F65" s="1081">
        <f t="shared" si="6"/>
        <v>1278000</v>
      </c>
      <c r="G65" s="1681"/>
      <c r="H65" s="1681"/>
      <c r="I65" s="1681"/>
      <c r="J65" s="1681" t="s">
        <v>1857</v>
      </c>
      <c r="K65" s="1676"/>
      <c r="L65" s="2554"/>
      <c r="M65" s="2576"/>
      <c r="N65" s="2576"/>
      <c r="O65" s="2576"/>
      <c r="P65" s="2589"/>
      <c r="Q65" s="1611" t="s">
        <v>2483</v>
      </c>
      <c r="R65" s="1628">
        <v>1278000</v>
      </c>
      <c r="S65" s="1628">
        <v>1278000</v>
      </c>
      <c r="T65" s="1628">
        <v>1278000</v>
      </c>
      <c r="U65" s="1628">
        <v>1278000</v>
      </c>
      <c r="V65" s="1628">
        <v>1278000</v>
      </c>
      <c r="W65" s="2590"/>
      <c r="AD65" s="1608"/>
    </row>
    <row r="66" spans="1:30" ht="32" customHeight="1">
      <c r="A66" s="1685" t="str">
        <f t="shared" si="0"/>
        <v/>
      </c>
      <c r="B66" s="1081" t="str">
        <f t="shared" si="2"/>
        <v/>
      </c>
      <c r="C66" s="1081" t="str">
        <f t="shared" si="3"/>
        <v/>
      </c>
      <c r="D66" s="1081" t="str">
        <f t="shared" si="4"/>
        <v/>
      </c>
      <c r="E66" s="1081" t="str">
        <f t="shared" si="5"/>
        <v/>
      </c>
      <c r="F66" s="1081" t="str">
        <f t="shared" si="6"/>
        <v/>
      </c>
      <c r="G66" s="1681"/>
      <c r="H66" s="1681"/>
      <c r="I66" s="1681"/>
      <c r="J66" s="1681"/>
      <c r="K66" s="1676"/>
      <c r="L66" s="2548" t="s">
        <v>2527</v>
      </c>
      <c r="M66" s="2542" t="s">
        <v>2528</v>
      </c>
      <c r="N66" s="2543"/>
      <c r="O66" s="2544"/>
      <c r="P66" s="2550"/>
      <c r="Q66" s="2552"/>
      <c r="R66" s="2540">
        <v>0</v>
      </c>
      <c r="S66" s="2540">
        <v>0</v>
      </c>
      <c r="T66" s="2540">
        <v>0</v>
      </c>
      <c r="U66" s="2540">
        <v>0</v>
      </c>
      <c r="V66" s="2540">
        <v>0</v>
      </c>
      <c r="W66" s="2540">
        <v>0</v>
      </c>
      <c r="AD66" s="1608"/>
    </row>
    <row r="67" spans="1:30" ht="19.25" customHeight="1">
      <c r="A67" s="1685" t="str">
        <f t="shared" ref="A67:A130" si="7">IF(J67="","",LEFT(J67,6))</f>
        <v/>
      </c>
      <c r="B67" s="1081" t="str">
        <f t="shared" si="2"/>
        <v/>
      </c>
      <c r="C67" s="1081" t="str">
        <f t="shared" si="3"/>
        <v/>
      </c>
      <c r="D67" s="1081" t="str">
        <f t="shared" si="4"/>
        <v/>
      </c>
      <c r="E67" s="1081" t="str">
        <f t="shared" si="5"/>
        <v/>
      </c>
      <c r="F67" s="1081" t="str">
        <f t="shared" si="6"/>
        <v/>
      </c>
      <c r="G67" s="1681"/>
      <c r="H67" s="1681"/>
      <c r="I67" s="1681"/>
      <c r="J67" s="1681"/>
      <c r="K67" s="1676"/>
      <c r="L67" s="2549"/>
      <c r="M67" s="2542" t="s">
        <v>2529</v>
      </c>
      <c r="N67" s="2543"/>
      <c r="O67" s="2544"/>
      <c r="P67" s="2551"/>
      <c r="Q67" s="2553"/>
      <c r="R67" s="2541"/>
      <c r="S67" s="2541"/>
      <c r="T67" s="2541"/>
      <c r="U67" s="2541"/>
      <c r="V67" s="2541"/>
      <c r="W67" s="2541"/>
      <c r="AD67" s="1608"/>
    </row>
    <row r="68" spans="1:30" ht="15">
      <c r="A68" s="1685" t="str">
        <f t="shared" si="7"/>
        <v/>
      </c>
      <c r="B68" s="1081" t="str">
        <f t="shared" si="2"/>
        <v/>
      </c>
      <c r="C68" s="1081" t="str">
        <f t="shared" si="3"/>
        <v/>
      </c>
      <c r="D68" s="1081" t="str">
        <f t="shared" si="4"/>
        <v/>
      </c>
      <c r="E68" s="1081" t="str">
        <f t="shared" si="5"/>
        <v/>
      </c>
      <c r="F68" s="1081" t="str">
        <f t="shared" si="6"/>
        <v/>
      </c>
      <c r="G68" s="1681"/>
      <c r="H68" s="1681"/>
      <c r="I68" s="1681"/>
      <c r="J68" s="1681"/>
      <c r="K68" s="1676"/>
      <c r="L68" s="2554" t="s">
        <v>2530</v>
      </c>
      <c r="M68" s="2597" t="s">
        <v>2531</v>
      </c>
      <c r="N68" s="2597"/>
      <c r="O68" s="2555"/>
      <c r="P68" s="1614"/>
      <c r="Q68" s="1609" t="s">
        <v>604</v>
      </c>
      <c r="R68" s="1610"/>
      <c r="S68" s="1610"/>
      <c r="T68" s="1610"/>
      <c r="U68" s="1610"/>
      <c r="V68" s="1610"/>
      <c r="W68" s="2563">
        <v>0</v>
      </c>
      <c r="AD68" s="1608"/>
    </row>
    <row r="69" spans="1:30" ht="15">
      <c r="A69" s="1685" t="str">
        <f t="shared" si="7"/>
        <v/>
      </c>
      <c r="B69" s="1081" t="str">
        <f t="shared" si="2"/>
        <v/>
      </c>
      <c r="C69" s="1081" t="str">
        <f t="shared" si="3"/>
        <v/>
      </c>
      <c r="D69" s="1081" t="str">
        <f t="shared" si="4"/>
        <v/>
      </c>
      <c r="E69" s="1081" t="str">
        <f t="shared" si="5"/>
        <v/>
      </c>
      <c r="F69" s="1081" t="str">
        <f t="shared" si="6"/>
        <v/>
      </c>
      <c r="G69" s="1681"/>
      <c r="H69" s="1681"/>
      <c r="I69" s="1681"/>
      <c r="J69" s="1681"/>
      <c r="K69" s="1676"/>
      <c r="L69" s="2554"/>
      <c r="M69" s="2598"/>
      <c r="N69" s="2598"/>
      <c r="O69" s="2556"/>
      <c r="P69" s="1630"/>
      <c r="Q69" s="1611" t="s">
        <v>2481</v>
      </c>
      <c r="R69" s="1613"/>
      <c r="S69" s="1613"/>
      <c r="T69" s="1613"/>
      <c r="U69" s="1613"/>
      <c r="V69" s="1613"/>
      <c r="W69" s="2564"/>
      <c r="AD69" s="1608"/>
    </row>
    <row r="70" spans="1:30" ht="15">
      <c r="A70" s="1685" t="str">
        <f t="shared" si="7"/>
        <v/>
      </c>
      <c r="B70" s="1081" t="str">
        <f t="shared" si="2"/>
        <v/>
      </c>
      <c r="C70" s="1081" t="str">
        <f t="shared" si="3"/>
        <v/>
      </c>
      <c r="D70" s="1081" t="str">
        <f t="shared" si="4"/>
        <v/>
      </c>
      <c r="E70" s="1081" t="str">
        <f t="shared" si="5"/>
        <v/>
      </c>
      <c r="F70" s="1081" t="str">
        <f t="shared" si="6"/>
        <v/>
      </c>
      <c r="G70" s="1681"/>
      <c r="H70" s="1681"/>
      <c r="I70" s="1681"/>
      <c r="J70" s="1681"/>
      <c r="K70" s="1676"/>
      <c r="L70" s="2554"/>
      <c r="M70" s="2598"/>
      <c r="N70" s="2598"/>
      <c r="O70" s="2556"/>
      <c r="P70" s="1631"/>
      <c r="Q70" s="1611" t="s">
        <v>2482</v>
      </c>
      <c r="R70" s="1613"/>
      <c r="S70" s="1613"/>
      <c r="T70" s="1613"/>
      <c r="U70" s="1613"/>
      <c r="V70" s="1613"/>
      <c r="W70" s="2564"/>
      <c r="AD70" s="1608"/>
    </row>
    <row r="71" spans="1:30" ht="15">
      <c r="A71" s="1685" t="str">
        <f t="shared" si="7"/>
        <v/>
      </c>
      <c r="B71" s="1081">
        <f t="shared" si="2"/>
        <v>0</v>
      </c>
      <c r="C71" s="1081">
        <f t="shared" si="3"/>
        <v>0</v>
      </c>
      <c r="D71" s="1081">
        <f t="shared" si="4"/>
        <v>0</v>
      </c>
      <c r="E71" s="1081">
        <f t="shared" si="5"/>
        <v>0</v>
      </c>
      <c r="F71" s="1081">
        <f t="shared" si="6"/>
        <v>0</v>
      </c>
      <c r="G71" s="1681"/>
      <c r="H71" s="1681"/>
      <c r="I71" s="1681"/>
      <c r="J71" s="1681"/>
      <c r="K71" s="1676"/>
      <c r="L71" s="2554"/>
      <c r="M71" s="2599"/>
      <c r="N71" s="2599"/>
      <c r="O71" s="2557"/>
      <c r="P71" s="1632"/>
      <c r="Q71" s="1611" t="s">
        <v>2483</v>
      </c>
      <c r="R71" s="1613"/>
      <c r="S71" s="1613"/>
      <c r="T71" s="1613"/>
      <c r="U71" s="1613"/>
      <c r="V71" s="1613"/>
      <c r="W71" s="2565"/>
      <c r="AD71" s="1608"/>
    </row>
    <row r="72" spans="1:30" ht="15">
      <c r="A72" s="1685" t="str">
        <f t="shared" si="7"/>
        <v/>
      </c>
      <c r="B72" s="1081" t="str">
        <f t="shared" si="2"/>
        <v/>
      </c>
      <c r="C72" s="1081" t="str">
        <f t="shared" si="3"/>
        <v/>
      </c>
      <c r="D72" s="1081" t="str">
        <f t="shared" si="4"/>
        <v/>
      </c>
      <c r="E72" s="1081" t="str">
        <f t="shared" si="5"/>
        <v/>
      </c>
      <c r="F72" s="1081" t="str">
        <f t="shared" si="6"/>
        <v/>
      </c>
      <c r="G72" s="1681"/>
      <c r="H72" s="1681"/>
      <c r="I72" s="1681"/>
      <c r="J72" s="1681"/>
      <c r="K72" s="1676"/>
      <c r="L72" s="2554" t="s">
        <v>2532</v>
      </c>
      <c r="M72" s="2597" t="s">
        <v>2533</v>
      </c>
      <c r="N72" s="2597"/>
      <c r="O72" s="2560"/>
      <c r="P72" s="1614"/>
      <c r="Q72" s="1611" t="s">
        <v>604</v>
      </c>
      <c r="R72" s="1620"/>
      <c r="S72" s="1620"/>
      <c r="T72" s="1620"/>
      <c r="U72" s="1620"/>
      <c r="V72" s="1620"/>
      <c r="W72" s="2563">
        <v>0</v>
      </c>
      <c r="AD72" s="1608"/>
    </row>
    <row r="73" spans="1:30" ht="15">
      <c r="A73" s="1685" t="str">
        <f t="shared" si="7"/>
        <v/>
      </c>
      <c r="B73" s="1081" t="str">
        <f t="shared" si="2"/>
        <v/>
      </c>
      <c r="C73" s="1081" t="str">
        <f t="shared" si="3"/>
        <v/>
      </c>
      <c r="D73" s="1081" t="str">
        <f t="shared" si="4"/>
        <v/>
      </c>
      <c r="E73" s="1081" t="str">
        <f t="shared" si="5"/>
        <v/>
      </c>
      <c r="F73" s="1081" t="str">
        <f t="shared" si="6"/>
        <v/>
      </c>
      <c r="G73" s="1681"/>
      <c r="H73" s="1681"/>
      <c r="I73" s="1681"/>
      <c r="J73" s="1681"/>
      <c r="K73" s="1676"/>
      <c r="L73" s="2554"/>
      <c r="M73" s="2598"/>
      <c r="N73" s="2598"/>
      <c r="O73" s="2561"/>
      <c r="P73" s="1631"/>
      <c r="Q73" s="1611" t="s">
        <v>2481</v>
      </c>
      <c r="R73" s="1613"/>
      <c r="S73" s="1613"/>
      <c r="T73" s="1613"/>
      <c r="U73" s="1613"/>
      <c r="V73" s="1613"/>
      <c r="W73" s="2564"/>
      <c r="AD73" s="1608"/>
    </row>
    <row r="74" spans="1:30" ht="15">
      <c r="A74" s="1685" t="str">
        <f t="shared" si="7"/>
        <v/>
      </c>
      <c r="B74" s="1081" t="str">
        <f t="shared" si="2"/>
        <v/>
      </c>
      <c r="C74" s="1081" t="str">
        <f t="shared" si="3"/>
        <v/>
      </c>
      <c r="D74" s="1081" t="str">
        <f t="shared" si="4"/>
        <v/>
      </c>
      <c r="E74" s="1081" t="str">
        <f t="shared" si="5"/>
        <v/>
      </c>
      <c r="F74" s="1081" t="str">
        <f t="shared" si="6"/>
        <v/>
      </c>
      <c r="G74" s="1681"/>
      <c r="H74" s="1681"/>
      <c r="I74" s="1681"/>
      <c r="J74" s="1681"/>
      <c r="K74" s="1676"/>
      <c r="L74" s="2554"/>
      <c r="M74" s="2598"/>
      <c r="N74" s="2598"/>
      <c r="O74" s="2561"/>
      <c r="P74" s="1630"/>
      <c r="Q74" s="1611" t="s">
        <v>2482</v>
      </c>
      <c r="R74" s="1613"/>
      <c r="S74" s="1613"/>
      <c r="T74" s="1613"/>
      <c r="U74" s="1613"/>
      <c r="V74" s="1613"/>
      <c r="W74" s="2564"/>
      <c r="AD74" s="1608"/>
    </row>
    <row r="75" spans="1:30" ht="15">
      <c r="A75" s="1685" t="str">
        <f t="shared" si="7"/>
        <v/>
      </c>
      <c r="B75" s="1081">
        <f t="shared" si="2"/>
        <v>0</v>
      </c>
      <c r="C75" s="1081">
        <f t="shared" si="3"/>
        <v>0</v>
      </c>
      <c r="D75" s="1081">
        <f t="shared" si="4"/>
        <v>0</v>
      </c>
      <c r="E75" s="1081">
        <f t="shared" si="5"/>
        <v>0</v>
      </c>
      <c r="F75" s="1081">
        <f t="shared" si="6"/>
        <v>0</v>
      </c>
      <c r="G75" s="1681"/>
      <c r="H75" s="1681"/>
      <c r="I75" s="1681"/>
      <c r="J75" s="1681"/>
      <c r="K75" s="1676"/>
      <c r="L75" s="2554"/>
      <c r="M75" s="2599"/>
      <c r="N75" s="2599"/>
      <c r="O75" s="2562"/>
      <c r="P75" s="1632"/>
      <c r="Q75" s="1611" t="s">
        <v>2483</v>
      </c>
      <c r="R75" s="1613"/>
      <c r="S75" s="1613"/>
      <c r="T75" s="1613"/>
      <c r="U75" s="1613"/>
      <c r="V75" s="1613"/>
      <c r="W75" s="2565"/>
      <c r="AD75" s="1608"/>
    </row>
    <row r="76" spans="1:30" ht="15">
      <c r="A76" s="1685" t="str">
        <f t="shared" si="7"/>
        <v/>
      </c>
      <c r="B76" s="1081" t="str">
        <f t="shared" si="2"/>
        <v/>
      </c>
      <c r="C76" s="1081" t="str">
        <f t="shared" si="3"/>
        <v/>
      </c>
      <c r="D76" s="1081" t="str">
        <f t="shared" si="4"/>
        <v/>
      </c>
      <c r="E76" s="1081" t="str">
        <f t="shared" si="5"/>
        <v/>
      </c>
      <c r="F76" s="1081" t="str">
        <f t="shared" si="6"/>
        <v/>
      </c>
      <c r="G76" s="1681"/>
      <c r="H76" s="1681"/>
      <c r="I76" s="1681"/>
      <c r="J76" s="1681"/>
      <c r="K76" s="1676"/>
      <c r="L76" s="2600" t="s">
        <v>2534</v>
      </c>
      <c r="M76" s="2603" t="s">
        <v>2535</v>
      </c>
      <c r="N76" s="2603"/>
      <c r="O76" s="2603"/>
      <c r="P76" s="1614"/>
      <c r="Q76" s="1611" t="s">
        <v>604</v>
      </c>
      <c r="R76" s="1620"/>
      <c r="S76" s="1620"/>
      <c r="T76" s="1620"/>
      <c r="U76" s="1620"/>
      <c r="V76" s="1620"/>
      <c r="W76" s="2563">
        <v>0</v>
      </c>
      <c r="AD76" s="1608"/>
    </row>
    <row r="77" spans="1:30" ht="15">
      <c r="A77" s="1685" t="str">
        <f t="shared" si="7"/>
        <v/>
      </c>
      <c r="B77" s="1081" t="str">
        <f t="shared" ref="B77:B140" si="8">IF($Q77="sub-total",R77,"")</f>
        <v/>
      </c>
      <c r="C77" s="1081" t="str">
        <f t="shared" ref="C77:C140" si="9">IF($Q77="sub-total",S77,"")</f>
        <v/>
      </c>
      <c r="D77" s="1081" t="str">
        <f t="shared" ref="D77:D140" si="10">IF($Q77="sub-total",T77,"")</f>
        <v/>
      </c>
      <c r="E77" s="1081" t="str">
        <f t="shared" ref="E77:E140" si="11">IF($Q77="sub-total",U77,"")</f>
        <v/>
      </c>
      <c r="F77" s="1081" t="str">
        <f t="shared" ref="F77:F140" si="12">IF($Q77="sub-total",V77,"")</f>
        <v/>
      </c>
      <c r="G77" s="1681"/>
      <c r="H77" s="1681"/>
      <c r="I77" s="1681"/>
      <c r="J77" s="1681"/>
      <c r="K77" s="1676"/>
      <c r="L77" s="2601"/>
      <c r="M77" s="2604"/>
      <c r="N77" s="2604"/>
      <c r="O77" s="2604"/>
      <c r="P77" s="1631"/>
      <c r="Q77" s="1611" t="s">
        <v>2481</v>
      </c>
      <c r="R77" s="1613"/>
      <c r="S77" s="1613"/>
      <c r="T77" s="1613"/>
      <c r="U77" s="1613"/>
      <c r="V77" s="1613"/>
      <c r="W77" s="2564"/>
      <c r="AD77" s="1608"/>
    </row>
    <row r="78" spans="1:30" ht="15">
      <c r="A78" s="1685" t="str">
        <f t="shared" si="7"/>
        <v/>
      </c>
      <c r="B78" s="1081" t="str">
        <f t="shared" si="8"/>
        <v/>
      </c>
      <c r="C78" s="1081" t="str">
        <f t="shared" si="9"/>
        <v/>
      </c>
      <c r="D78" s="1081" t="str">
        <f t="shared" si="10"/>
        <v/>
      </c>
      <c r="E78" s="1081" t="str">
        <f t="shared" si="11"/>
        <v/>
      </c>
      <c r="F78" s="1081" t="str">
        <f t="shared" si="12"/>
        <v/>
      </c>
      <c r="G78" s="1681"/>
      <c r="H78" s="1681"/>
      <c r="I78" s="1681"/>
      <c r="J78" s="1681"/>
      <c r="K78" s="1676"/>
      <c r="L78" s="2601"/>
      <c r="M78" s="2604"/>
      <c r="N78" s="2604"/>
      <c r="O78" s="2604"/>
      <c r="P78" s="1630"/>
      <c r="Q78" s="1611" t="s">
        <v>2482</v>
      </c>
      <c r="R78" s="1613"/>
      <c r="S78" s="1613"/>
      <c r="T78" s="1613"/>
      <c r="U78" s="1613"/>
      <c r="V78" s="1613"/>
      <c r="W78" s="2564"/>
      <c r="AD78" s="1608"/>
    </row>
    <row r="79" spans="1:30" ht="15">
      <c r="A79" s="1685" t="str">
        <f t="shared" si="7"/>
        <v/>
      </c>
      <c r="B79" s="1081">
        <f t="shared" si="8"/>
        <v>0</v>
      </c>
      <c r="C79" s="1081">
        <f t="shared" si="9"/>
        <v>0</v>
      </c>
      <c r="D79" s="1081">
        <f t="shared" si="10"/>
        <v>0</v>
      </c>
      <c r="E79" s="1081">
        <f t="shared" si="11"/>
        <v>0</v>
      </c>
      <c r="F79" s="1081">
        <f t="shared" si="12"/>
        <v>0</v>
      </c>
      <c r="G79" s="1681"/>
      <c r="H79" s="1681"/>
      <c r="I79" s="1681"/>
      <c r="J79" s="1681"/>
      <c r="K79" s="1676"/>
      <c r="L79" s="2602"/>
      <c r="M79" s="2605"/>
      <c r="N79" s="2605"/>
      <c r="O79" s="2605"/>
      <c r="P79" s="1632"/>
      <c r="Q79" s="1611" t="s">
        <v>2483</v>
      </c>
      <c r="R79" s="1633"/>
      <c r="S79" s="1633"/>
      <c r="T79" s="1633"/>
      <c r="U79" s="1633"/>
      <c r="V79" s="1633"/>
      <c r="W79" s="2565"/>
      <c r="AD79" s="1608"/>
    </row>
    <row r="80" spans="1:30" ht="19.25" customHeight="1">
      <c r="A80" s="1685" t="str">
        <f t="shared" si="7"/>
        <v/>
      </c>
      <c r="B80" s="1081" t="str">
        <f t="shared" si="8"/>
        <v/>
      </c>
      <c r="C80" s="1081" t="str">
        <f t="shared" si="9"/>
        <v/>
      </c>
      <c r="D80" s="1081" t="str">
        <f t="shared" si="10"/>
        <v/>
      </c>
      <c r="E80" s="1081" t="str">
        <f t="shared" si="11"/>
        <v/>
      </c>
      <c r="F80" s="1081" t="str">
        <f t="shared" si="12"/>
        <v/>
      </c>
      <c r="G80" s="1681"/>
      <c r="H80" s="1681"/>
      <c r="I80" s="1681"/>
      <c r="J80" s="1681"/>
      <c r="K80" s="1676"/>
      <c r="L80" s="2548" t="s">
        <v>2536</v>
      </c>
      <c r="M80" s="2542" t="s">
        <v>2537</v>
      </c>
      <c r="N80" s="2543"/>
      <c r="O80" s="2544"/>
      <c r="P80" s="2550"/>
      <c r="Q80" s="2552"/>
      <c r="R80" s="2540">
        <v>0</v>
      </c>
      <c r="S80" s="2540">
        <v>0</v>
      </c>
      <c r="T80" s="2540">
        <v>0</v>
      </c>
      <c r="U80" s="2540">
        <v>0</v>
      </c>
      <c r="V80" s="2540">
        <v>0</v>
      </c>
      <c r="W80" s="2540">
        <v>0</v>
      </c>
      <c r="AD80" s="1608"/>
    </row>
    <row r="81" spans="1:30" ht="19.25" customHeight="1">
      <c r="A81" s="1685" t="str">
        <f t="shared" si="7"/>
        <v/>
      </c>
      <c r="B81" s="1081" t="str">
        <f t="shared" si="8"/>
        <v/>
      </c>
      <c r="C81" s="1081" t="str">
        <f t="shared" si="9"/>
        <v/>
      </c>
      <c r="D81" s="1081" t="str">
        <f t="shared" si="10"/>
        <v/>
      </c>
      <c r="E81" s="1081" t="str">
        <f t="shared" si="11"/>
        <v/>
      </c>
      <c r="F81" s="1081" t="str">
        <f t="shared" si="12"/>
        <v/>
      </c>
      <c r="G81" s="1681"/>
      <c r="H81" s="1681"/>
      <c r="I81" s="1681"/>
      <c r="J81" s="1681"/>
      <c r="K81" s="1676"/>
      <c r="L81" s="2549"/>
      <c r="M81" s="2542" t="s">
        <v>2478</v>
      </c>
      <c r="N81" s="2543"/>
      <c r="O81" s="2544"/>
      <c r="P81" s="2551"/>
      <c r="Q81" s="2553"/>
      <c r="R81" s="2541"/>
      <c r="S81" s="2541"/>
      <c r="T81" s="2541"/>
      <c r="U81" s="2541"/>
      <c r="V81" s="2541"/>
      <c r="W81" s="2541"/>
      <c r="AD81" s="1608"/>
    </row>
    <row r="82" spans="1:30" ht="15">
      <c r="A82" s="1685" t="str">
        <f t="shared" si="7"/>
        <v/>
      </c>
      <c r="B82" s="1081" t="str">
        <f t="shared" si="8"/>
        <v/>
      </c>
      <c r="C82" s="1081" t="str">
        <f t="shared" si="9"/>
        <v/>
      </c>
      <c r="D82" s="1081" t="str">
        <f t="shared" si="10"/>
        <v/>
      </c>
      <c r="E82" s="1081" t="str">
        <f t="shared" si="11"/>
        <v/>
      </c>
      <c r="F82" s="1081" t="str">
        <f t="shared" si="12"/>
        <v/>
      </c>
      <c r="G82" s="1681"/>
      <c r="H82" s="1681"/>
      <c r="I82" s="1681"/>
      <c r="J82" s="1681"/>
      <c r="K82" s="1676"/>
      <c r="L82" s="2554" t="s">
        <v>2538</v>
      </c>
      <c r="M82" s="2597" t="s">
        <v>2539</v>
      </c>
      <c r="N82" s="2597"/>
      <c r="O82" s="2597"/>
      <c r="P82" s="1614"/>
      <c r="Q82" s="1611" t="s">
        <v>604</v>
      </c>
      <c r="R82" s="1610"/>
      <c r="S82" s="1610"/>
      <c r="T82" s="1610"/>
      <c r="U82" s="1610"/>
      <c r="V82" s="1610"/>
      <c r="W82" s="2590">
        <v>0</v>
      </c>
      <c r="AD82" s="1608"/>
    </row>
    <row r="83" spans="1:30" ht="15">
      <c r="A83" s="1685" t="str">
        <f t="shared" si="7"/>
        <v/>
      </c>
      <c r="B83" s="1081" t="str">
        <f t="shared" si="8"/>
        <v/>
      </c>
      <c r="C83" s="1081" t="str">
        <f t="shared" si="9"/>
        <v/>
      </c>
      <c r="D83" s="1081" t="str">
        <f t="shared" si="10"/>
        <v/>
      </c>
      <c r="E83" s="1081" t="str">
        <f t="shared" si="11"/>
        <v/>
      </c>
      <c r="F83" s="1081" t="str">
        <f t="shared" si="12"/>
        <v/>
      </c>
      <c r="G83" s="1681"/>
      <c r="H83" s="1681"/>
      <c r="I83" s="1681"/>
      <c r="J83" s="1681"/>
      <c r="K83" s="1676"/>
      <c r="L83" s="2554"/>
      <c r="M83" s="2598"/>
      <c r="N83" s="2598"/>
      <c r="O83" s="2598"/>
      <c r="P83" s="1630"/>
      <c r="Q83" s="1611" t="s">
        <v>2481</v>
      </c>
      <c r="R83" s="1613"/>
      <c r="S83" s="1613"/>
      <c r="T83" s="1613"/>
      <c r="U83" s="1613"/>
      <c r="V83" s="1613"/>
      <c r="W83" s="2590"/>
      <c r="AD83" s="1608"/>
    </row>
    <row r="84" spans="1:30" ht="15">
      <c r="A84" s="1685" t="str">
        <f t="shared" si="7"/>
        <v/>
      </c>
      <c r="B84" s="1081" t="str">
        <f t="shared" si="8"/>
        <v/>
      </c>
      <c r="C84" s="1081" t="str">
        <f t="shared" si="9"/>
        <v/>
      </c>
      <c r="D84" s="1081" t="str">
        <f t="shared" si="10"/>
        <v/>
      </c>
      <c r="E84" s="1081" t="str">
        <f t="shared" si="11"/>
        <v/>
      </c>
      <c r="F84" s="1081" t="str">
        <f t="shared" si="12"/>
        <v/>
      </c>
      <c r="G84" s="1681"/>
      <c r="H84" s="1681"/>
      <c r="I84" s="1681"/>
      <c r="J84" s="1681"/>
      <c r="K84" s="1676"/>
      <c r="L84" s="2554"/>
      <c r="M84" s="2598"/>
      <c r="N84" s="2598"/>
      <c r="O84" s="2598"/>
      <c r="P84" s="1630"/>
      <c r="Q84" s="1611" t="s">
        <v>2482</v>
      </c>
      <c r="R84" s="1613"/>
      <c r="S84" s="1613"/>
      <c r="T84" s="1613"/>
      <c r="U84" s="1613"/>
      <c r="V84" s="1613"/>
      <c r="W84" s="2590"/>
      <c r="AD84" s="1608"/>
    </row>
    <row r="85" spans="1:30" ht="15">
      <c r="A85" s="1685" t="str">
        <f t="shared" si="7"/>
        <v/>
      </c>
      <c r="B85" s="1081">
        <f t="shared" si="8"/>
        <v>0</v>
      </c>
      <c r="C85" s="1081">
        <f t="shared" si="9"/>
        <v>0</v>
      </c>
      <c r="D85" s="1081">
        <f t="shared" si="10"/>
        <v>0</v>
      </c>
      <c r="E85" s="1081">
        <f t="shared" si="11"/>
        <v>0</v>
      </c>
      <c r="F85" s="1081">
        <f t="shared" si="12"/>
        <v>0</v>
      </c>
      <c r="G85" s="1681"/>
      <c r="H85" s="1681"/>
      <c r="I85" s="1681"/>
      <c r="J85" s="1681"/>
      <c r="K85" s="1676"/>
      <c r="L85" s="2554"/>
      <c r="M85" s="2599"/>
      <c r="N85" s="2599"/>
      <c r="O85" s="2599"/>
      <c r="P85" s="1634"/>
      <c r="Q85" s="1611" t="s">
        <v>2483</v>
      </c>
      <c r="R85" s="1613"/>
      <c r="S85" s="1613"/>
      <c r="T85" s="1613"/>
      <c r="U85" s="1613"/>
      <c r="V85" s="1613"/>
      <c r="W85" s="2590"/>
      <c r="AD85" s="1608"/>
    </row>
    <row r="86" spans="1:30" ht="15">
      <c r="A86" s="1685" t="str">
        <f t="shared" si="7"/>
        <v/>
      </c>
      <c r="B86" s="1081" t="str">
        <f t="shared" si="8"/>
        <v/>
      </c>
      <c r="C86" s="1081" t="str">
        <f t="shared" si="9"/>
        <v/>
      </c>
      <c r="D86" s="1081" t="str">
        <f t="shared" si="10"/>
        <v/>
      </c>
      <c r="E86" s="1081" t="str">
        <f t="shared" si="11"/>
        <v/>
      </c>
      <c r="F86" s="1081" t="str">
        <f t="shared" si="12"/>
        <v/>
      </c>
      <c r="G86" s="1681"/>
      <c r="H86" s="1681"/>
      <c r="I86" s="1681"/>
      <c r="J86" s="1681"/>
      <c r="K86" s="1676"/>
      <c r="L86" s="2554" t="s">
        <v>2540</v>
      </c>
      <c r="M86" s="2597" t="s">
        <v>2541</v>
      </c>
      <c r="N86" s="2597"/>
      <c r="O86" s="2597"/>
      <c r="P86" s="1614"/>
      <c r="Q86" s="1611" t="s">
        <v>604</v>
      </c>
      <c r="R86" s="1620"/>
      <c r="S86" s="1620"/>
      <c r="T86" s="1620"/>
      <c r="U86" s="1620"/>
      <c r="V86" s="1620"/>
      <c r="W86" s="2590">
        <v>0</v>
      </c>
      <c r="AD86" s="1608"/>
    </row>
    <row r="87" spans="1:30" ht="15">
      <c r="A87" s="1685" t="str">
        <f t="shared" si="7"/>
        <v/>
      </c>
      <c r="B87" s="1081" t="str">
        <f t="shared" si="8"/>
        <v/>
      </c>
      <c r="C87" s="1081" t="str">
        <f t="shared" si="9"/>
        <v/>
      </c>
      <c r="D87" s="1081" t="str">
        <f t="shared" si="10"/>
        <v/>
      </c>
      <c r="E87" s="1081" t="str">
        <f t="shared" si="11"/>
        <v/>
      </c>
      <c r="F87" s="1081" t="str">
        <f t="shared" si="12"/>
        <v/>
      </c>
      <c r="G87" s="1681"/>
      <c r="H87" s="1681"/>
      <c r="I87" s="1681"/>
      <c r="J87" s="1681"/>
      <c r="K87" s="1676"/>
      <c r="L87" s="2554"/>
      <c r="M87" s="2598"/>
      <c r="N87" s="2598"/>
      <c r="O87" s="2598"/>
      <c r="P87" s="1630"/>
      <c r="Q87" s="1611" t="s">
        <v>2481</v>
      </c>
      <c r="R87" s="1613"/>
      <c r="S87" s="1613"/>
      <c r="T87" s="1613"/>
      <c r="U87" s="1613"/>
      <c r="V87" s="1613"/>
      <c r="W87" s="2590"/>
      <c r="AD87" s="1608"/>
    </row>
    <row r="88" spans="1:30" ht="15">
      <c r="A88" s="1685" t="str">
        <f t="shared" si="7"/>
        <v/>
      </c>
      <c r="B88" s="1081" t="str">
        <f t="shared" si="8"/>
        <v/>
      </c>
      <c r="C88" s="1081" t="str">
        <f t="shared" si="9"/>
        <v/>
      </c>
      <c r="D88" s="1081" t="str">
        <f t="shared" si="10"/>
        <v/>
      </c>
      <c r="E88" s="1081" t="str">
        <f t="shared" si="11"/>
        <v/>
      </c>
      <c r="F88" s="1081" t="str">
        <f t="shared" si="12"/>
        <v/>
      </c>
      <c r="G88" s="1681"/>
      <c r="H88" s="1681"/>
      <c r="I88" s="1681"/>
      <c r="J88" s="1681"/>
      <c r="K88" s="1676"/>
      <c r="L88" s="2554"/>
      <c r="M88" s="2598"/>
      <c r="N88" s="2598"/>
      <c r="O88" s="2598"/>
      <c r="P88" s="1630"/>
      <c r="Q88" s="1611" t="s">
        <v>2482</v>
      </c>
      <c r="R88" s="1613"/>
      <c r="S88" s="1613"/>
      <c r="T88" s="1613"/>
      <c r="U88" s="1613"/>
      <c r="V88" s="1613"/>
      <c r="W88" s="2590"/>
      <c r="AD88" s="1608"/>
    </row>
    <row r="89" spans="1:30" ht="15">
      <c r="A89" s="1685" t="str">
        <f t="shared" si="7"/>
        <v/>
      </c>
      <c r="B89" s="1081">
        <f t="shared" si="8"/>
        <v>0</v>
      </c>
      <c r="C89" s="1081">
        <f t="shared" si="9"/>
        <v>0</v>
      </c>
      <c r="D89" s="1081">
        <f t="shared" si="10"/>
        <v>0</v>
      </c>
      <c r="E89" s="1081">
        <f t="shared" si="11"/>
        <v>0</v>
      </c>
      <c r="F89" s="1081">
        <f t="shared" si="12"/>
        <v>0</v>
      </c>
      <c r="G89" s="1681"/>
      <c r="H89" s="1681"/>
      <c r="I89" s="1681"/>
      <c r="J89" s="1681"/>
      <c r="K89" s="1676"/>
      <c r="L89" s="2554"/>
      <c r="M89" s="2599"/>
      <c r="N89" s="2599"/>
      <c r="O89" s="2599"/>
      <c r="P89" s="1634"/>
      <c r="Q89" s="1611" t="s">
        <v>2483</v>
      </c>
      <c r="R89" s="1613"/>
      <c r="S89" s="1613"/>
      <c r="T89" s="1613"/>
      <c r="U89" s="1613"/>
      <c r="V89" s="1613"/>
      <c r="W89" s="2590"/>
      <c r="AD89" s="1608"/>
    </row>
    <row r="90" spans="1:30" ht="15">
      <c r="A90" s="1685" t="str">
        <f t="shared" si="7"/>
        <v/>
      </c>
      <c r="B90" s="1081" t="str">
        <f t="shared" si="8"/>
        <v/>
      </c>
      <c r="C90" s="1081" t="str">
        <f t="shared" si="9"/>
        <v/>
      </c>
      <c r="D90" s="1081" t="str">
        <f t="shared" si="10"/>
        <v/>
      </c>
      <c r="E90" s="1081" t="str">
        <f t="shared" si="11"/>
        <v/>
      </c>
      <c r="F90" s="1081" t="str">
        <f t="shared" si="12"/>
        <v/>
      </c>
      <c r="G90" s="1681"/>
      <c r="H90" s="1681"/>
      <c r="I90" s="1681"/>
      <c r="J90" s="1681"/>
      <c r="K90" s="1676"/>
      <c r="L90" s="2554" t="s">
        <v>2542</v>
      </c>
      <c r="M90" s="2597" t="s">
        <v>2543</v>
      </c>
      <c r="N90" s="2597"/>
      <c r="O90" s="2597"/>
      <c r="P90" s="1614"/>
      <c r="Q90" s="1611" t="s">
        <v>604</v>
      </c>
      <c r="R90" s="1620"/>
      <c r="S90" s="1620"/>
      <c r="T90" s="1620"/>
      <c r="U90" s="1620"/>
      <c r="V90" s="1620"/>
      <c r="W90" s="2590">
        <v>0</v>
      </c>
      <c r="AD90" s="1608"/>
    </row>
    <row r="91" spans="1:30" ht="15">
      <c r="A91" s="1685" t="str">
        <f t="shared" si="7"/>
        <v/>
      </c>
      <c r="B91" s="1081" t="str">
        <f t="shared" si="8"/>
        <v/>
      </c>
      <c r="C91" s="1081" t="str">
        <f t="shared" si="9"/>
        <v/>
      </c>
      <c r="D91" s="1081" t="str">
        <f t="shared" si="10"/>
        <v/>
      </c>
      <c r="E91" s="1081" t="str">
        <f t="shared" si="11"/>
        <v/>
      </c>
      <c r="F91" s="1081" t="str">
        <f t="shared" si="12"/>
        <v/>
      </c>
      <c r="G91" s="1681"/>
      <c r="H91" s="1681"/>
      <c r="I91" s="1681"/>
      <c r="J91" s="1681"/>
      <c r="K91" s="1676"/>
      <c r="L91" s="2554"/>
      <c r="M91" s="2598"/>
      <c r="N91" s="2598"/>
      <c r="O91" s="2598"/>
      <c r="P91" s="1630"/>
      <c r="Q91" s="1611" t="s">
        <v>2481</v>
      </c>
      <c r="R91" s="1613"/>
      <c r="S91" s="1613"/>
      <c r="T91" s="1613"/>
      <c r="U91" s="1613"/>
      <c r="V91" s="1613"/>
      <c r="W91" s="2590"/>
      <c r="AD91" s="1608"/>
    </row>
    <row r="92" spans="1:30" ht="15">
      <c r="A92" s="1685" t="str">
        <f t="shared" si="7"/>
        <v/>
      </c>
      <c r="B92" s="1081" t="str">
        <f t="shared" si="8"/>
        <v/>
      </c>
      <c r="C92" s="1081" t="str">
        <f t="shared" si="9"/>
        <v/>
      </c>
      <c r="D92" s="1081" t="str">
        <f t="shared" si="10"/>
        <v/>
      </c>
      <c r="E92" s="1081" t="str">
        <f t="shared" si="11"/>
        <v/>
      </c>
      <c r="F92" s="1081" t="str">
        <f t="shared" si="12"/>
        <v/>
      </c>
      <c r="G92" s="1681"/>
      <c r="H92" s="1681"/>
      <c r="I92" s="1681"/>
      <c r="J92" s="1681"/>
      <c r="K92" s="1676"/>
      <c r="L92" s="2554"/>
      <c r="M92" s="2598"/>
      <c r="N92" s="2598"/>
      <c r="O92" s="2598"/>
      <c r="P92" s="1630"/>
      <c r="Q92" s="1611" t="s">
        <v>2482</v>
      </c>
      <c r="R92" s="1613"/>
      <c r="S92" s="1613"/>
      <c r="T92" s="1613"/>
      <c r="U92" s="1613"/>
      <c r="V92" s="1613"/>
      <c r="W92" s="2590"/>
      <c r="AD92" s="1608"/>
    </row>
    <row r="93" spans="1:30" ht="15">
      <c r="A93" s="1685" t="str">
        <f t="shared" si="7"/>
        <v/>
      </c>
      <c r="B93" s="1081">
        <f t="shared" si="8"/>
        <v>0</v>
      </c>
      <c r="C93" s="1081">
        <f t="shared" si="9"/>
        <v>0</v>
      </c>
      <c r="D93" s="1081">
        <f t="shared" si="10"/>
        <v>0</v>
      </c>
      <c r="E93" s="1081">
        <f t="shared" si="11"/>
        <v>0</v>
      </c>
      <c r="F93" s="1081">
        <f t="shared" si="12"/>
        <v>0</v>
      </c>
      <c r="G93" s="1681"/>
      <c r="H93" s="1681"/>
      <c r="I93" s="1681"/>
      <c r="J93" s="1681"/>
      <c r="K93" s="1676"/>
      <c r="L93" s="2554"/>
      <c r="M93" s="2599"/>
      <c r="N93" s="2599"/>
      <c r="O93" s="2599"/>
      <c r="P93" s="1632"/>
      <c r="Q93" s="1611" t="s">
        <v>2483</v>
      </c>
      <c r="R93" s="1613"/>
      <c r="S93" s="1613"/>
      <c r="T93" s="1613"/>
      <c r="U93" s="1613"/>
      <c r="V93" s="1613"/>
      <c r="W93" s="2590"/>
      <c r="AD93" s="1608"/>
    </row>
    <row r="94" spans="1:30" ht="19.25" customHeight="1">
      <c r="A94" s="1685" t="str">
        <f t="shared" si="7"/>
        <v/>
      </c>
      <c r="B94" s="1081" t="str">
        <f t="shared" si="8"/>
        <v/>
      </c>
      <c r="C94" s="1081" t="str">
        <f t="shared" si="9"/>
        <v/>
      </c>
      <c r="D94" s="1081" t="str">
        <f t="shared" si="10"/>
        <v/>
      </c>
      <c r="E94" s="1081" t="str">
        <f t="shared" si="11"/>
        <v/>
      </c>
      <c r="F94" s="1081" t="str">
        <f t="shared" si="12"/>
        <v/>
      </c>
      <c r="G94" s="1681"/>
      <c r="H94" s="1681"/>
      <c r="I94" s="1681"/>
      <c r="J94" s="1681"/>
      <c r="K94" s="1676"/>
      <c r="L94" s="2548" t="s">
        <v>2544</v>
      </c>
      <c r="M94" s="2542" t="s">
        <v>2545</v>
      </c>
      <c r="N94" s="2543"/>
      <c r="O94" s="2544"/>
      <c r="P94" s="2550"/>
      <c r="Q94" s="2552"/>
      <c r="R94" s="2540">
        <v>0</v>
      </c>
      <c r="S94" s="2540">
        <v>0</v>
      </c>
      <c r="T94" s="2540">
        <v>0</v>
      </c>
      <c r="U94" s="2540">
        <v>0</v>
      </c>
      <c r="V94" s="2540">
        <v>0</v>
      </c>
      <c r="W94" s="2540">
        <v>0</v>
      </c>
      <c r="AD94" s="1608"/>
    </row>
    <row r="95" spans="1:30" ht="19.25" customHeight="1">
      <c r="A95" s="1685" t="str">
        <f t="shared" si="7"/>
        <v/>
      </c>
      <c r="B95" s="1081" t="str">
        <f t="shared" si="8"/>
        <v/>
      </c>
      <c r="C95" s="1081" t="str">
        <f t="shared" si="9"/>
        <v/>
      </c>
      <c r="D95" s="1081" t="str">
        <f t="shared" si="10"/>
        <v/>
      </c>
      <c r="E95" s="1081" t="str">
        <f t="shared" si="11"/>
        <v/>
      </c>
      <c r="F95" s="1081" t="str">
        <f t="shared" si="12"/>
        <v/>
      </c>
      <c r="G95" s="1681"/>
      <c r="H95" s="1681"/>
      <c r="I95" s="1681"/>
      <c r="J95" s="1681"/>
      <c r="K95" s="1676"/>
      <c r="L95" s="2549"/>
      <c r="M95" s="2542" t="s">
        <v>2529</v>
      </c>
      <c r="N95" s="2543"/>
      <c r="O95" s="2544"/>
      <c r="P95" s="2551"/>
      <c r="Q95" s="2553"/>
      <c r="R95" s="2541"/>
      <c r="S95" s="2541"/>
      <c r="T95" s="2541"/>
      <c r="U95" s="2541"/>
      <c r="V95" s="2541"/>
      <c r="W95" s="2541"/>
      <c r="AD95" s="1608"/>
    </row>
    <row r="96" spans="1:30" ht="15">
      <c r="A96" s="1685" t="str">
        <f t="shared" si="7"/>
        <v/>
      </c>
      <c r="B96" s="1081" t="str">
        <f t="shared" si="8"/>
        <v/>
      </c>
      <c r="C96" s="1081" t="str">
        <f t="shared" si="9"/>
        <v/>
      </c>
      <c r="D96" s="1081" t="str">
        <f t="shared" si="10"/>
        <v/>
      </c>
      <c r="E96" s="1081" t="str">
        <f t="shared" si="11"/>
        <v/>
      </c>
      <c r="F96" s="1081" t="str">
        <f t="shared" si="12"/>
        <v/>
      </c>
      <c r="G96" s="1681"/>
      <c r="H96" s="1681"/>
      <c r="I96" s="1681"/>
      <c r="J96" s="1681"/>
      <c r="K96" s="1676"/>
      <c r="L96" s="2584" t="s">
        <v>2546</v>
      </c>
      <c r="M96" s="2597" t="s">
        <v>2547</v>
      </c>
      <c r="N96" s="2597"/>
      <c r="O96" s="2597"/>
      <c r="P96" s="1614"/>
      <c r="Q96" s="1611" t="s">
        <v>604</v>
      </c>
      <c r="R96" s="1610"/>
      <c r="S96" s="1610"/>
      <c r="T96" s="1610"/>
      <c r="U96" s="1610"/>
      <c r="V96" s="1610"/>
      <c r="W96" s="2590">
        <v>0</v>
      </c>
      <c r="AD96" s="1608"/>
    </row>
    <row r="97" spans="1:30" ht="15">
      <c r="A97" s="1685" t="str">
        <f t="shared" si="7"/>
        <v/>
      </c>
      <c r="B97" s="1081" t="str">
        <f t="shared" si="8"/>
        <v/>
      </c>
      <c r="C97" s="1081" t="str">
        <f t="shared" si="9"/>
        <v/>
      </c>
      <c r="D97" s="1081" t="str">
        <f t="shared" si="10"/>
        <v/>
      </c>
      <c r="E97" s="1081" t="str">
        <f t="shared" si="11"/>
        <v/>
      </c>
      <c r="F97" s="1081" t="str">
        <f t="shared" si="12"/>
        <v/>
      </c>
      <c r="G97" s="1681"/>
      <c r="H97" s="1681"/>
      <c r="I97" s="1681"/>
      <c r="J97" s="1681"/>
      <c r="K97" s="1676"/>
      <c r="L97" s="2585"/>
      <c r="M97" s="2598"/>
      <c r="N97" s="2598"/>
      <c r="O97" s="2598"/>
      <c r="P97" s="1630"/>
      <c r="Q97" s="1611" t="s">
        <v>2481</v>
      </c>
      <c r="R97" s="1613"/>
      <c r="S97" s="1613"/>
      <c r="T97" s="1613"/>
      <c r="U97" s="1613"/>
      <c r="V97" s="1613"/>
      <c r="W97" s="2590"/>
      <c r="AD97" s="1608"/>
    </row>
    <row r="98" spans="1:30" ht="15">
      <c r="A98" s="1685" t="str">
        <f t="shared" si="7"/>
        <v/>
      </c>
      <c r="B98" s="1081" t="str">
        <f t="shared" si="8"/>
        <v/>
      </c>
      <c r="C98" s="1081" t="str">
        <f t="shared" si="9"/>
        <v/>
      </c>
      <c r="D98" s="1081" t="str">
        <f t="shared" si="10"/>
        <v/>
      </c>
      <c r="E98" s="1081" t="str">
        <f t="shared" si="11"/>
        <v/>
      </c>
      <c r="F98" s="1081" t="str">
        <f t="shared" si="12"/>
        <v/>
      </c>
      <c r="G98" s="1681"/>
      <c r="H98" s="1681"/>
      <c r="I98" s="1681"/>
      <c r="J98" s="1681"/>
      <c r="K98" s="1676"/>
      <c r="L98" s="2585"/>
      <c r="M98" s="2598"/>
      <c r="N98" s="2598"/>
      <c r="O98" s="2598"/>
      <c r="P98" s="1630"/>
      <c r="Q98" s="1611" t="s">
        <v>2482</v>
      </c>
      <c r="R98" s="1613"/>
      <c r="S98" s="1613"/>
      <c r="T98" s="1613"/>
      <c r="U98" s="1613"/>
      <c r="V98" s="1613"/>
      <c r="W98" s="2590"/>
      <c r="AD98" s="1608"/>
    </row>
    <row r="99" spans="1:30" ht="15">
      <c r="A99" s="1685" t="str">
        <f t="shared" si="7"/>
        <v/>
      </c>
      <c r="B99" s="1081">
        <f t="shared" si="8"/>
        <v>0</v>
      </c>
      <c r="C99" s="1081">
        <f t="shared" si="9"/>
        <v>0</v>
      </c>
      <c r="D99" s="1081">
        <f t="shared" si="10"/>
        <v>0</v>
      </c>
      <c r="E99" s="1081">
        <f t="shared" si="11"/>
        <v>0</v>
      </c>
      <c r="F99" s="1081">
        <f t="shared" si="12"/>
        <v>0</v>
      </c>
      <c r="G99" s="1681"/>
      <c r="H99" s="1681"/>
      <c r="I99" s="1681"/>
      <c r="J99" s="1681"/>
      <c r="K99" s="1676"/>
      <c r="L99" s="2586"/>
      <c r="M99" s="2599"/>
      <c r="N99" s="2599"/>
      <c r="O99" s="2599"/>
      <c r="P99" s="1635"/>
      <c r="Q99" s="1611" t="s">
        <v>2483</v>
      </c>
      <c r="R99" s="1613"/>
      <c r="S99" s="1613"/>
      <c r="T99" s="1613"/>
      <c r="U99" s="1613"/>
      <c r="V99" s="1613"/>
      <c r="W99" s="2590"/>
      <c r="AD99" s="1608"/>
    </row>
    <row r="100" spans="1:30" ht="15">
      <c r="A100" s="1685" t="str">
        <f t="shared" si="7"/>
        <v/>
      </c>
      <c r="B100" s="1081" t="str">
        <f t="shared" si="8"/>
        <v/>
      </c>
      <c r="C100" s="1081" t="str">
        <f t="shared" si="9"/>
        <v/>
      </c>
      <c r="D100" s="1081" t="str">
        <f t="shared" si="10"/>
        <v/>
      </c>
      <c r="E100" s="1081" t="str">
        <f t="shared" si="11"/>
        <v/>
      </c>
      <c r="F100" s="1081" t="str">
        <f t="shared" si="12"/>
        <v/>
      </c>
      <c r="G100" s="1681"/>
      <c r="H100" s="1681"/>
      <c r="I100" s="1681"/>
      <c r="J100" s="1681"/>
      <c r="K100" s="1676"/>
      <c r="L100" s="2584" t="s">
        <v>2548</v>
      </c>
      <c r="M100" s="2560" t="s">
        <v>2549</v>
      </c>
      <c r="N100" s="2568"/>
      <c r="O100" s="2558"/>
      <c r="P100" s="2548"/>
      <c r="Q100" s="1611" t="s">
        <v>604</v>
      </c>
      <c r="R100" s="1620"/>
      <c r="S100" s="1620"/>
      <c r="T100" s="1620"/>
      <c r="U100" s="1620"/>
      <c r="V100" s="1620"/>
      <c r="W100" s="2590">
        <v>0</v>
      </c>
      <c r="AD100" s="1608"/>
    </row>
    <row r="101" spans="1:30" ht="15">
      <c r="A101" s="1685" t="str">
        <f t="shared" si="7"/>
        <v/>
      </c>
      <c r="B101" s="1081" t="str">
        <f t="shared" si="8"/>
        <v/>
      </c>
      <c r="C101" s="1081" t="str">
        <f t="shared" si="9"/>
        <v/>
      </c>
      <c r="D101" s="1081" t="str">
        <f t="shared" si="10"/>
        <v/>
      </c>
      <c r="E101" s="1081" t="str">
        <f t="shared" si="11"/>
        <v/>
      </c>
      <c r="F101" s="1081" t="str">
        <f t="shared" si="12"/>
        <v/>
      </c>
      <c r="G101" s="1681"/>
      <c r="H101" s="1681"/>
      <c r="I101" s="1681"/>
      <c r="J101" s="1681"/>
      <c r="K101" s="1676"/>
      <c r="L101" s="2585"/>
      <c r="M101" s="2561"/>
      <c r="N101" s="2569"/>
      <c r="O101" s="2558"/>
      <c r="P101" s="2549"/>
      <c r="Q101" s="1611" t="s">
        <v>2481</v>
      </c>
      <c r="R101" s="1613"/>
      <c r="S101" s="1613"/>
      <c r="T101" s="1613"/>
      <c r="U101" s="1613"/>
      <c r="V101" s="1613"/>
      <c r="W101" s="2590"/>
      <c r="AD101" s="1608"/>
    </row>
    <row r="102" spans="1:30" ht="15">
      <c r="A102" s="1685" t="str">
        <f t="shared" si="7"/>
        <v/>
      </c>
      <c r="B102" s="1081" t="str">
        <f t="shared" si="8"/>
        <v/>
      </c>
      <c r="C102" s="1081" t="str">
        <f t="shared" si="9"/>
        <v/>
      </c>
      <c r="D102" s="1081" t="str">
        <f t="shared" si="10"/>
        <v/>
      </c>
      <c r="E102" s="1081" t="str">
        <f t="shared" si="11"/>
        <v/>
      </c>
      <c r="F102" s="1081" t="str">
        <f t="shared" si="12"/>
        <v/>
      </c>
      <c r="G102" s="1681"/>
      <c r="H102" s="1681"/>
      <c r="I102" s="1681"/>
      <c r="J102" s="1681"/>
      <c r="K102" s="1676"/>
      <c r="L102" s="2585"/>
      <c r="M102" s="2561"/>
      <c r="N102" s="2569"/>
      <c r="O102" s="2558"/>
      <c r="P102" s="1630"/>
      <c r="Q102" s="1611" t="s">
        <v>2482</v>
      </c>
      <c r="R102" s="1613"/>
      <c r="S102" s="1613"/>
      <c r="T102" s="1613"/>
      <c r="U102" s="1613"/>
      <c r="V102" s="1613"/>
      <c r="W102" s="2590"/>
      <c r="AD102" s="1608"/>
    </row>
    <row r="103" spans="1:30" ht="15">
      <c r="A103" s="1685" t="str">
        <f t="shared" si="7"/>
        <v/>
      </c>
      <c r="B103" s="1081">
        <f t="shared" si="8"/>
        <v>0</v>
      </c>
      <c r="C103" s="1081">
        <f t="shared" si="9"/>
        <v>0</v>
      </c>
      <c r="D103" s="1081">
        <f t="shared" si="10"/>
        <v>0</v>
      </c>
      <c r="E103" s="1081">
        <f t="shared" si="11"/>
        <v>0</v>
      </c>
      <c r="F103" s="1081">
        <f t="shared" si="12"/>
        <v>0</v>
      </c>
      <c r="G103" s="1681"/>
      <c r="H103" s="1681"/>
      <c r="I103" s="1681"/>
      <c r="J103" s="1681"/>
      <c r="K103" s="1676"/>
      <c r="L103" s="2586"/>
      <c r="M103" s="2562"/>
      <c r="N103" s="2570"/>
      <c r="O103" s="2558"/>
      <c r="P103" s="1635"/>
      <c r="Q103" s="1611" t="s">
        <v>2483</v>
      </c>
      <c r="R103" s="1613"/>
      <c r="S103" s="1613"/>
      <c r="T103" s="1613"/>
      <c r="U103" s="1613"/>
      <c r="V103" s="1613"/>
      <c r="W103" s="2590"/>
      <c r="AD103" s="1608"/>
    </row>
    <row r="104" spans="1:30" ht="59.75" customHeight="1">
      <c r="A104" s="1685" t="str">
        <f t="shared" si="7"/>
        <v/>
      </c>
      <c r="B104" s="1081" t="str">
        <f t="shared" si="8"/>
        <v/>
      </c>
      <c r="C104" s="1081" t="str">
        <f t="shared" si="9"/>
        <v/>
      </c>
      <c r="D104" s="1081" t="str">
        <f t="shared" si="10"/>
        <v/>
      </c>
      <c r="E104" s="1081" t="str">
        <f t="shared" si="11"/>
        <v/>
      </c>
      <c r="F104" s="1081" t="str">
        <f t="shared" si="12"/>
        <v/>
      </c>
      <c r="G104" s="1681"/>
      <c r="H104" s="1681"/>
      <c r="I104" s="1681"/>
      <c r="J104" s="1681"/>
      <c r="K104" s="1676"/>
      <c r="L104" s="1604">
        <v>3</v>
      </c>
      <c r="M104" s="2545" t="s">
        <v>2550</v>
      </c>
      <c r="N104" s="2546"/>
      <c r="O104" s="2547"/>
      <c r="P104" s="1605"/>
      <c r="Q104" s="1606"/>
      <c r="R104" s="1607">
        <v>5758324.0110767335</v>
      </c>
      <c r="S104" s="1607">
        <v>3558501.8675571331</v>
      </c>
      <c r="T104" s="1607">
        <v>4183720.2972349334</v>
      </c>
      <c r="U104" s="1607">
        <v>2006681.7123883667</v>
      </c>
      <c r="V104" s="1607">
        <v>3048248.0892881332</v>
      </c>
      <c r="W104" s="1607">
        <v>18555475.977545302</v>
      </c>
      <c r="AD104" s="1608"/>
    </row>
    <row r="105" spans="1:30" ht="19.25" customHeight="1">
      <c r="A105" s="1685" t="str">
        <f t="shared" si="7"/>
        <v/>
      </c>
      <c r="B105" s="1081" t="str">
        <f t="shared" si="8"/>
        <v/>
      </c>
      <c r="C105" s="1081" t="str">
        <f t="shared" si="9"/>
        <v/>
      </c>
      <c r="D105" s="1081" t="str">
        <f t="shared" si="10"/>
        <v/>
      </c>
      <c r="E105" s="1081" t="str">
        <f t="shared" si="11"/>
        <v/>
      </c>
      <c r="F105" s="1081" t="str">
        <f t="shared" si="12"/>
        <v/>
      </c>
      <c r="G105" s="1681"/>
      <c r="H105" s="1681"/>
      <c r="I105" s="1681"/>
      <c r="J105" s="1681"/>
      <c r="K105" s="1676"/>
      <c r="L105" s="2548" t="s">
        <v>2551</v>
      </c>
      <c r="M105" s="2542" t="s">
        <v>2552</v>
      </c>
      <c r="N105" s="2543"/>
      <c r="O105" s="2544"/>
      <c r="P105" s="2550"/>
      <c r="Q105" s="2552"/>
      <c r="R105" s="2540">
        <v>0</v>
      </c>
      <c r="S105" s="2540">
        <v>0</v>
      </c>
      <c r="T105" s="2540">
        <v>459671.52924279997</v>
      </c>
      <c r="U105" s="2540">
        <v>0</v>
      </c>
      <c r="V105" s="2540">
        <v>459671.52924279997</v>
      </c>
      <c r="W105" s="2540">
        <v>919343.05848559993</v>
      </c>
      <c r="AD105" s="1608"/>
    </row>
    <row r="106" spans="1:30" ht="19.25" customHeight="1">
      <c r="A106" s="1685" t="str">
        <f t="shared" si="7"/>
        <v/>
      </c>
      <c r="B106" s="1081" t="str">
        <f t="shared" si="8"/>
        <v/>
      </c>
      <c r="C106" s="1081" t="str">
        <f t="shared" si="9"/>
        <v/>
      </c>
      <c r="D106" s="1081" t="str">
        <f t="shared" si="10"/>
        <v/>
      </c>
      <c r="E106" s="1081" t="str">
        <f t="shared" si="11"/>
        <v/>
      </c>
      <c r="F106" s="1081" t="str">
        <f t="shared" si="12"/>
        <v/>
      </c>
      <c r="G106" s="1681"/>
      <c r="H106" s="1681"/>
      <c r="I106" s="1681"/>
      <c r="J106" s="1681"/>
      <c r="K106" s="1676"/>
      <c r="L106" s="2549"/>
      <c r="M106" s="2542" t="s">
        <v>2478</v>
      </c>
      <c r="N106" s="2543"/>
      <c r="O106" s="2544"/>
      <c r="P106" s="2551"/>
      <c r="Q106" s="2553"/>
      <c r="R106" s="2541"/>
      <c r="S106" s="2541"/>
      <c r="T106" s="2541"/>
      <c r="U106" s="2541"/>
      <c r="V106" s="2541"/>
      <c r="W106" s="2541"/>
      <c r="AD106" s="1608"/>
    </row>
    <row r="107" spans="1:30" ht="15">
      <c r="A107" s="1685" t="str">
        <f t="shared" si="7"/>
        <v/>
      </c>
      <c r="B107" s="1081" t="str">
        <f t="shared" si="8"/>
        <v/>
      </c>
      <c r="C107" s="1081" t="str">
        <f t="shared" si="9"/>
        <v/>
      </c>
      <c r="D107" s="1081" t="str">
        <f t="shared" si="10"/>
        <v/>
      </c>
      <c r="E107" s="1081" t="str">
        <f t="shared" si="11"/>
        <v/>
      </c>
      <c r="F107" s="1081" t="str">
        <f t="shared" si="12"/>
        <v/>
      </c>
      <c r="G107" s="1681"/>
      <c r="H107" s="1681"/>
      <c r="I107" s="1681"/>
      <c r="J107" s="1681"/>
      <c r="K107" s="1676"/>
      <c r="L107" s="2554" t="s">
        <v>2553</v>
      </c>
      <c r="M107" s="2597" t="s">
        <v>2554</v>
      </c>
      <c r="N107" s="2597"/>
      <c r="O107" s="2597"/>
      <c r="P107" s="2548"/>
      <c r="Q107" s="1609" t="s">
        <v>604</v>
      </c>
      <c r="R107" s="1610"/>
      <c r="S107" s="1610"/>
      <c r="T107" s="1610"/>
      <c r="U107" s="1610"/>
      <c r="V107" s="1610"/>
      <c r="W107" s="2590">
        <v>0</v>
      </c>
      <c r="AD107" s="1608"/>
    </row>
    <row r="108" spans="1:30" ht="15">
      <c r="A108" s="1685" t="str">
        <f t="shared" si="7"/>
        <v/>
      </c>
      <c r="B108" s="1081" t="str">
        <f t="shared" si="8"/>
        <v/>
      </c>
      <c r="C108" s="1081" t="str">
        <f t="shared" si="9"/>
        <v/>
      </c>
      <c r="D108" s="1081" t="str">
        <f t="shared" si="10"/>
        <v/>
      </c>
      <c r="E108" s="1081" t="str">
        <f t="shared" si="11"/>
        <v/>
      </c>
      <c r="F108" s="1081" t="str">
        <f t="shared" si="12"/>
        <v/>
      </c>
      <c r="G108" s="1681"/>
      <c r="H108" s="1681"/>
      <c r="I108" s="1681"/>
      <c r="J108" s="1681"/>
      <c r="K108" s="1676"/>
      <c r="L108" s="2554"/>
      <c r="M108" s="2598"/>
      <c r="N108" s="2598"/>
      <c r="O108" s="2598"/>
      <c r="P108" s="2566"/>
      <c r="Q108" s="1611" t="s">
        <v>2481</v>
      </c>
      <c r="R108" s="1612"/>
      <c r="S108" s="1612"/>
      <c r="T108" s="1612"/>
      <c r="U108" s="1612"/>
      <c r="V108" s="1612"/>
      <c r="W108" s="2590"/>
      <c r="AD108" s="1608"/>
    </row>
    <row r="109" spans="1:30" ht="15">
      <c r="A109" s="1685" t="str">
        <f t="shared" si="7"/>
        <v/>
      </c>
      <c r="B109" s="1081" t="str">
        <f t="shared" si="8"/>
        <v/>
      </c>
      <c r="C109" s="1081" t="str">
        <f t="shared" si="9"/>
        <v/>
      </c>
      <c r="D109" s="1081" t="str">
        <f t="shared" si="10"/>
        <v/>
      </c>
      <c r="E109" s="1081" t="str">
        <f t="shared" si="11"/>
        <v/>
      </c>
      <c r="F109" s="1081" t="str">
        <f t="shared" si="12"/>
        <v/>
      </c>
      <c r="G109" s="1681"/>
      <c r="H109" s="1681"/>
      <c r="I109" s="1681"/>
      <c r="J109" s="1681"/>
      <c r="K109" s="1676"/>
      <c r="L109" s="2554"/>
      <c r="M109" s="2598"/>
      <c r="N109" s="2598"/>
      <c r="O109" s="2598"/>
      <c r="P109" s="2566"/>
      <c r="Q109" s="1611" t="s">
        <v>2482</v>
      </c>
      <c r="R109" s="1613"/>
      <c r="S109" s="1613"/>
      <c r="T109" s="1613"/>
      <c r="U109" s="1613"/>
      <c r="V109" s="1613"/>
      <c r="W109" s="2590"/>
      <c r="AD109" s="1608"/>
    </row>
    <row r="110" spans="1:30" ht="15">
      <c r="A110" s="1685" t="str">
        <f t="shared" si="7"/>
        <v/>
      </c>
      <c r="B110" s="1081">
        <f t="shared" si="8"/>
        <v>0</v>
      </c>
      <c r="C110" s="1081">
        <f t="shared" si="9"/>
        <v>0</v>
      </c>
      <c r="D110" s="1081">
        <f t="shared" si="10"/>
        <v>0</v>
      </c>
      <c r="E110" s="1081">
        <f t="shared" si="11"/>
        <v>0</v>
      </c>
      <c r="F110" s="1081">
        <f t="shared" si="12"/>
        <v>0</v>
      </c>
      <c r="G110" s="1681"/>
      <c r="H110" s="1681"/>
      <c r="I110" s="1681"/>
      <c r="J110" s="1681"/>
      <c r="K110" s="1676"/>
      <c r="L110" s="2554"/>
      <c r="M110" s="2599"/>
      <c r="N110" s="2599"/>
      <c r="O110" s="2599"/>
      <c r="P110" s="2549"/>
      <c r="Q110" s="1611" t="s">
        <v>2483</v>
      </c>
      <c r="R110" s="1613"/>
      <c r="S110" s="1613"/>
      <c r="T110" s="1613"/>
      <c r="U110" s="1613"/>
      <c r="V110" s="1613"/>
      <c r="W110" s="2590"/>
      <c r="AD110" s="1608"/>
    </row>
    <row r="111" spans="1:30" ht="15">
      <c r="A111" s="1685" t="str">
        <f t="shared" si="7"/>
        <v/>
      </c>
      <c r="B111" s="1081" t="str">
        <f t="shared" si="8"/>
        <v/>
      </c>
      <c r="C111" s="1081" t="str">
        <f t="shared" si="9"/>
        <v/>
      </c>
      <c r="D111" s="1081" t="str">
        <f t="shared" si="10"/>
        <v/>
      </c>
      <c r="E111" s="1081" t="str">
        <f t="shared" si="11"/>
        <v/>
      </c>
      <c r="F111" s="1081" t="str">
        <f t="shared" si="12"/>
        <v/>
      </c>
      <c r="G111" s="1681"/>
      <c r="H111" s="1681"/>
      <c r="I111" s="1681"/>
      <c r="J111" s="1681"/>
      <c r="K111" s="1676"/>
      <c r="L111" s="2554" t="s">
        <v>2555</v>
      </c>
      <c r="M111" s="2597" t="s">
        <v>2556</v>
      </c>
      <c r="N111" s="2597"/>
      <c r="O111" s="2597"/>
      <c r="P111" s="2548"/>
      <c r="Q111" s="1609" t="s">
        <v>604</v>
      </c>
      <c r="R111" s="1610"/>
      <c r="S111" s="1610"/>
      <c r="T111" s="1610"/>
      <c r="U111" s="1610"/>
      <c r="V111" s="1610"/>
      <c r="W111" s="2590">
        <v>0</v>
      </c>
      <c r="AD111" s="1608"/>
    </row>
    <row r="112" spans="1:30" ht="15">
      <c r="A112" s="1685" t="str">
        <f t="shared" si="7"/>
        <v/>
      </c>
      <c r="B112" s="1081" t="str">
        <f t="shared" si="8"/>
        <v/>
      </c>
      <c r="C112" s="1081" t="str">
        <f t="shared" si="9"/>
        <v/>
      </c>
      <c r="D112" s="1081" t="str">
        <f t="shared" si="10"/>
        <v/>
      </c>
      <c r="E112" s="1081" t="str">
        <f t="shared" si="11"/>
        <v/>
      </c>
      <c r="F112" s="1081" t="str">
        <f t="shared" si="12"/>
        <v/>
      </c>
      <c r="G112" s="1681"/>
      <c r="H112" s="1681"/>
      <c r="I112" s="1681"/>
      <c r="J112" s="1681"/>
      <c r="K112" s="1676"/>
      <c r="L112" s="2554"/>
      <c r="M112" s="2598"/>
      <c r="N112" s="2598"/>
      <c r="O112" s="2598"/>
      <c r="P112" s="2566"/>
      <c r="Q112" s="1611" t="s">
        <v>2481</v>
      </c>
      <c r="R112" s="1612"/>
      <c r="S112" s="1612"/>
      <c r="T112" s="1612"/>
      <c r="U112" s="1612"/>
      <c r="V112" s="1612"/>
      <c r="W112" s="2590"/>
      <c r="AD112" s="1608"/>
    </row>
    <row r="113" spans="1:30" ht="15">
      <c r="A113" s="1685" t="str">
        <f t="shared" si="7"/>
        <v/>
      </c>
      <c r="B113" s="1081" t="str">
        <f t="shared" si="8"/>
        <v/>
      </c>
      <c r="C113" s="1081" t="str">
        <f t="shared" si="9"/>
        <v/>
      </c>
      <c r="D113" s="1081" t="str">
        <f t="shared" si="10"/>
        <v/>
      </c>
      <c r="E113" s="1081" t="str">
        <f t="shared" si="11"/>
        <v/>
      </c>
      <c r="F113" s="1081" t="str">
        <f t="shared" si="12"/>
        <v/>
      </c>
      <c r="G113" s="1681"/>
      <c r="H113" s="1681"/>
      <c r="I113" s="1681"/>
      <c r="J113" s="1681"/>
      <c r="K113" s="1676"/>
      <c r="L113" s="2554"/>
      <c r="M113" s="2598"/>
      <c r="N113" s="2598"/>
      <c r="O113" s="2598"/>
      <c r="P113" s="2566"/>
      <c r="Q113" s="1611" t="s">
        <v>2482</v>
      </c>
      <c r="R113" s="1613"/>
      <c r="S113" s="1613"/>
      <c r="T113" s="1613"/>
      <c r="U113" s="1613"/>
      <c r="V113" s="1613"/>
      <c r="W113" s="2590"/>
      <c r="AD113" s="1608"/>
    </row>
    <row r="114" spans="1:30" ht="15">
      <c r="A114" s="1685" t="str">
        <f t="shared" si="7"/>
        <v/>
      </c>
      <c r="B114" s="1081">
        <f t="shared" si="8"/>
        <v>0</v>
      </c>
      <c r="C114" s="1081">
        <f t="shared" si="9"/>
        <v>0</v>
      </c>
      <c r="D114" s="1081">
        <f t="shared" si="10"/>
        <v>0</v>
      </c>
      <c r="E114" s="1081">
        <f t="shared" si="11"/>
        <v>0</v>
      </c>
      <c r="F114" s="1081">
        <f t="shared" si="12"/>
        <v>0</v>
      </c>
      <c r="G114" s="1681"/>
      <c r="H114" s="1681"/>
      <c r="I114" s="1681"/>
      <c r="J114" s="1681"/>
      <c r="K114" s="1676"/>
      <c r="L114" s="2554"/>
      <c r="M114" s="2599"/>
      <c r="N114" s="2599"/>
      <c r="O114" s="2599"/>
      <c r="P114" s="2549"/>
      <c r="Q114" s="1611" t="s">
        <v>2483</v>
      </c>
      <c r="R114" s="1613"/>
      <c r="S114" s="1613"/>
      <c r="T114" s="1613"/>
      <c r="U114" s="1613"/>
      <c r="V114" s="1613"/>
      <c r="W114" s="2590"/>
      <c r="AD114" s="1608"/>
    </row>
    <row r="115" spans="1:30" ht="15">
      <c r="A115" s="1685" t="str">
        <f t="shared" si="7"/>
        <v/>
      </c>
      <c r="B115" s="1081" t="str">
        <f t="shared" si="8"/>
        <v/>
      </c>
      <c r="C115" s="1081" t="str">
        <f t="shared" si="9"/>
        <v/>
      </c>
      <c r="D115" s="1081" t="str">
        <f t="shared" si="10"/>
        <v/>
      </c>
      <c r="E115" s="1081" t="str">
        <f t="shared" si="11"/>
        <v/>
      </c>
      <c r="F115" s="1081" t="str">
        <f t="shared" si="12"/>
        <v/>
      </c>
      <c r="G115" s="1681"/>
      <c r="H115" s="1681"/>
      <c r="I115" s="1681"/>
      <c r="J115" s="1681"/>
      <c r="K115" s="1676"/>
      <c r="L115" s="2554" t="s">
        <v>2557</v>
      </c>
      <c r="M115" s="2597" t="s">
        <v>2558</v>
      </c>
      <c r="N115" s="2597"/>
      <c r="O115" s="2597"/>
      <c r="P115" s="2548"/>
      <c r="Q115" s="1609" t="s">
        <v>604</v>
      </c>
      <c r="R115" s="1610"/>
      <c r="S115" s="1610"/>
      <c r="T115" s="1610"/>
      <c r="U115" s="1610"/>
      <c r="V115" s="1610"/>
      <c r="W115" s="2590">
        <v>0</v>
      </c>
      <c r="AD115" s="1608"/>
    </row>
    <row r="116" spans="1:30" ht="15">
      <c r="A116" s="1685" t="str">
        <f t="shared" si="7"/>
        <v/>
      </c>
      <c r="B116" s="1081" t="str">
        <f t="shared" si="8"/>
        <v/>
      </c>
      <c r="C116" s="1081" t="str">
        <f t="shared" si="9"/>
        <v/>
      </c>
      <c r="D116" s="1081" t="str">
        <f t="shared" si="10"/>
        <v/>
      </c>
      <c r="E116" s="1081" t="str">
        <f t="shared" si="11"/>
        <v/>
      </c>
      <c r="F116" s="1081" t="str">
        <f t="shared" si="12"/>
        <v/>
      </c>
      <c r="G116" s="1681"/>
      <c r="H116" s="1681"/>
      <c r="I116" s="1681"/>
      <c r="J116" s="1681"/>
      <c r="K116" s="1676"/>
      <c r="L116" s="2554"/>
      <c r="M116" s="2598"/>
      <c r="N116" s="2598"/>
      <c r="O116" s="2598"/>
      <c r="P116" s="2566"/>
      <c r="Q116" s="1611" t="s">
        <v>2481</v>
      </c>
      <c r="R116" s="1612"/>
      <c r="S116" s="1612"/>
      <c r="T116" s="1612"/>
      <c r="U116" s="1612"/>
      <c r="V116" s="1612"/>
      <c r="W116" s="2590"/>
      <c r="AD116" s="1608"/>
    </row>
    <row r="117" spans="1:30" ht="15">
      <c r="A117" s="1685" t="str">
        <f t="shared" si="7"/>
        <v/>
      </c>
      <c r="B117" s="1081" t="str">
        <f t="shared" si="8"/>
        <v/>
      </c>
      <c r="C117" s="1081" t="str">
        <f t="shared" si="9"/>
        <v/>
      </c>
      <c r="D117" s="1081" t="str">
        <f t="shared" si="10"/>
        <v/>
      </c>
      <c r="E117" s="1081" t="str">
        <f t="shared" si="11"/>
        <v/>
      </c>
      <c r="F117" s="1081" t="str">
        <f t="shared" si="12"/>
        <v/>
      </c>
      <c r="G117" s="1681"/>
      <c r="H117" s="1681"/>
      <c r="I117" s="1681"/>
      <c r="J117" s="1681"/>
      <c r="K117" s="1676"/>
      <c r="L117" s="2554"/>
      <c r="M117" s="2598"/>
      <c r="N117" s="2598"/>
      <c r="O117" s="2598"/>
      <c r="P117" s="2566"/>
      <c r="Q117" s="1611" t="s">
        <v>2482</v>
      </c>
      <c r="R117" s="1613"/>
      <c r="S117" s="1613"/>
      <c r="T117" s="1613"/>
      <c r="U117" s="1612"/>
      <c r="V117" s="1613"/>
      <c r="W117" s="2590"/>
      <c r="AD117" s="1608"/>
    </row>
    <row r="118" spans="1:30" ht="15">
      <c r="A118" s="1685" t="str">
        <f t="shared" si="7"/>
        <v/>
      </c>
      <c r="B118" s="1081">
        <f t="shared" si="8"/>
        <v>0</v>
      </c>
      <c r="C118" s="1081">
        <f t="shared" si="9"/>
        <v>0</v>
      </c>
      <c r="D118" s="1081">
        <f t="shared" si="10"/>
        <v>0</v>
      </c>
      <c r="E118" s="1081">
        <f t="shared" si="11"/>
        <v>0</v>
      </c>
      <c r="F118" s="1081">
        <f t="shared" si="12"/>
        <v>0</v>
      </c>
      <c r="G118" s="1681"/>
      <c r="H118" s="1681"/>
      <c r="I118" s="1681"/>
      <c r="J118" s="1681"/>
      <c r="K118" s="1676"/>
      <c r="L118" s="2554"/>
      <c r="M118" s="2599"/>
      <c r="N118" s="2599"/>
      <c r="O118" s="2599"/>
      <c r="P118" s="2549"/>
      <c r="Q118" s="1611" t="s">
        <v>2483</v>
      </c>
      <c r="R118" s="1613"/>
      <c r="S118" s="1613"/>
      <c r="T118" s="1613"/>
      <c r="U118" s="1612"/>
      <c r="V118" s="1613"/>
      <c r="W118" s="2590"/>
      <c r="AD118" s="1608"/>
    </row>
    <row r="119" spans="1:30" ht="12.75" customHeight="1">
      <c r="A119" s="1685" t="str">
        <f t="shared" si="7"/>
        <v/>
      </c>
      <c r="B119" s="1081" t="str">
        <f t="shared" si="8"/>
        <v/>
      </c>
      <c r="C119" s="1081" t="str">
        <f t="shared" si="9"/>
        <v/>
      </c>
      <c r="D119" s="1081" t="str">
        <f t="shared" si="10"/>
        <v/>
      </c>
      <c r="E119" s="1081" t="str">
        <f t="shared" si="11"/>
        <v/>
      </c>
      <c r="F119" s="1081" t="str">
        <f t="shared" si="12"/>
        <v/>
      </c>
      <c r="G119" s="1681"/>
      <c r="H119" s="1681"/>
      <c r="I119" s="1681"/>
      <c r="J119" s="1681"/>
      <c r="K119" s="1676"/>
      <c r="L119" s="2583" t="s">
        <v>2559</v>
      </c>
      <c r="M119" s="2583" t="s">
        <v>2560</v>
      </c>
      <c r="N119" s="2583" t="s">
        <v>2561</v>
      </c>
      <c r="O119" s="2583" t="s">
        <v>2562</v>
      </c>
      <c r="P119" s="2548"/>
      <c r="Q119" s="1609" t="s">
        <v>604</v>
      </c>
      <c r="R119" s="1620"/>
      <c r="S119" s="1610"/>
      <c r="T119" s="1619" t="s">
        <v>2563</v>
      </c>
      <c r="U119" s="1610"/>
      <c r="V119" s="1619" t="s">
        <v>2563</v>
      </c>
      <c r="W119" s="2590">
        <v>919343.05848559993</v>
      </c>
      <c r="X119" s="1616"/>
      <c r="AD119" s="1608"/>
    </row>
    <row r="120" spans="1:30" ht="15">
      <c r="A120" s="1685" t="str">
        <f t="shared" si="7"/>
        <v/>
      </c>
      <c r="B120" s="1081" t="str">
        <f t="shared" si="8"/>
        <v/>
      </c>
      <c r="C120" s="1081" t="str">
        <f t="shared" si="9"/>
        <v/>
      </c>
      <c r="D120" s="1081" t="str">
        <f t="shared" si="10"/>
        <v/>
      </c>
      <c r="E120" s="1081" t="str">
        <f t="shared" si="11"/>
        <v/>
      </c>
      <c r="F120" s="1081" t="str">
        <f t="shared" si="12"/>
        <v/>
      </c>
      <c r="G120" s="1681"/>
      <c r="H120" s="1681"/>
      <c r="I120" s="1681"/>
      <c r="J120" s="1681"/>
      <c r="K120" s="1676"/>
      <c r="L120" s="2583"/>
      <c r="M120" s="2583"/>
      <c r="N120" s="2583"/>
      <c r="O120" s="2583"/>
      <c r="P120" s="2566"/>
      <c r="Q120" s="1611" t="s">
        <v>2481</v>
      </c>
      <c r="R120" s="1613"/>
      <c r="S120" s="1612"/>
      <c r="T120" s="1617">
        <v>11</v>
      </c>
      <c r="U120" s="1612"/>
      <c r="V120" s="1617">
        <v>11</v>
      </c>
      <c r="W120" s="2590"/>
      <c r="X120" s="1616"/>
      <c r="AD120" s="1608"/>
    </row>
    <row r="121" spans="1:30" ht="15">
      <c r="A121" s="1685" t="str">
        <f t="shared" si="7"/>
        <v/>
      </c>
      <c r="B121" s="1081" t="str">
        <f t="shared" si="8"/>
        <v/>
      </c>
      <c r="C121" s="1081" t="str">
        <f t="shared" si="9"/>
        <v/>
      </c>
      <c r="D121" s="1081" t="str">
        <f t="shared" si="10"/>
        <v/>
      </c>
      <c r="E121" s="1081" t="str">
        <f t="shared" si="11"/>
        <v/>
      </c>
      <c r="F121" s="1081" t="str">
        <f t="shared" si="12"/>
        <v/>
      </c>
      <c r="G121" s="1681"/>
      <c r="H121" s="1681"/>
      <c r="I121" s="1681"/>
      <c r="J121" s="1681"/>
      <c r="K121" s="1676"/>
      <c r="L121" s="2583"/>
      <c r="M121" s="2583"/>
      <c r="N121" s="2583"/>
      <c r="O121" s="2583"/>
      <c r="P121" s="2566"/>
      <c r="Q121" s="1611" t="s">
        <v>2482</v>
      </c>
      <c r="R121" s="1613"/>
      <c r="S121" s="1613"/>
      <c r="T121" s="1617">
        <v>41788.320840254542</v>
      </c>
      <c r="U121" s="1612"/>
      <c r="V121" s="1617">
        <v>41788.320840254542</v>
      </c>
      <c r="W121" s="2590"/>
      <c r="AD121" s="1608"/>
    </row>
    <row r="122" spans="1:30" ht="36.75" customHeight="1">
      <c r="A122" s="1685" t="str">
        <f t="shared" si="7"/>
        <v>3.1.5.</v>
      </c>
      <c r="B122" s="1081">
        <f t="shared" si="8"/>
        <v>0</v>
      </c>
      <c r="C122" s="1081">
        <f t="shared" si="9"/>
        <v>0</v>
      </c>
      <c r="D122" s="1081">
        <f t="shared" si="10"/>
        <v>459671.52924279997</v>
      </c>
      <c r="E122" s="1081">
        <f t="shared" si="11"/>
        <v>0</v>
      </c>
      <c r="F122" s="1081">
        <f t="shared" si="12"/>
        <v>459671.52924279997</v>
      </c>
      <c r="G122" s="1681"/>
      <c r="H122" s="1681"/>
      <c r="I122" s="1681"/>
      <c r="J122" s="1681" t="s">
        <v>2221</v>
      </c>
      <c r="K122" s="1676"/>
      <c r="L122" s="2583"/>
      <c r="M122" s="2583"/>
      <c r="N122" s="2583"/>
      <c r="O122" s="2583"/>
      <c r="P122" s="2549"/>
      <c r="Q122" s="1611" t="s">
        <v>2483</v>
      </c>
      <c r="R122" s="1625"/>
      <c r="S122" s="1613"/>
      <c r="T122" s="1628">
        <v>459671.52924279997</v>
      </c>
      <c r="U122" s="1612"/>
      <c r="V122" s="1628">
        <v>459671.52924279997</v>
      </c>
      <c r="W122" s="2590"/>
      <c r="AD122" s="1608"/>
    </row>
    <row r="123" spans="1:30" ht="19.25" customHeight="1">
      <c r="A123" s="1685" t="str">
        <f t="shared" si="7"/>
        <v/>
      </c>
      <c r="B123" s="1081" t="str">
        <f t="shared" si="8"/>
        <v/>
      </c>
      <c r="C123" s="1081" t="str">
        <f t="shared" si="9"/>
        <v/>
      </c>
      <c r="D123" s="1081" t="str">
        <f t="shared" si="10"/>
        <v/>
      </c>
      <c r="E123" s="1081" t="str">
        <f t="shared" si="11"/>
        <v/>
      </c>
      <c r="F123" s="1081" t="str">
        <f t="shared" si="12"/>
        <v/>
      </c>
      <c r="G123" s="1681"/>
      <c r="H123" s="1681"/>
      <c r="I123" s="1681"/>
      <c r="J123" s="1681"/>
      <c r="K123" s="1676"/>
      <c r="L123" s="2548" t="s">
        <v>2564</v>
      </c>
      <c r="M123" s="2542" t="s">
        <v>2565</v>
      </c>
      <c r="N123" s="2543"/>
      <c r="O123" s="2544"/>
      <c r="P123" s="2550"/>
      <c r="Q123" s="2552"/>
      <c r="R123" s="2540">
        <v>143400</v>
      </c>
      <c r="S123" s="2540">
        <v>0</v>
      </c>
      <c r="T123" s="2540">
        <v>223526.21</v>
      </c>
      <c r="U123" s="2540">
        <v>0</v>
      </c>
      <c r="V123" s="2540">
        <v>459671.52924279997</v>
      </c>
      <c r="W123" s="2540">
        <v>826597.73924279993</v>
      </c>
      <c r="AD123" s="1608"/>
    </row>
    <row r="124" spans="1:30" ht="19.25" customHeight="1">
      <c r="A124" s="1685" t="str">
        <f t="shared" si="7"/>
        <v/>
      </c>
      <c r="B124" s="1081" t="str">
        <f t="shared" si="8"/>
        <v/>
      </c>
      <c r="C124" s="1081" t="str">
        <f t="shared" si="9"/>
        <v/>
      </c>
      <c r="D124" s="1081" t="str">
        <f t="shared" si="10"/>
        <v/>
      </c>
      <c r="E124" s="1081" t="str">
        <f t="shared" si="11"/>
        <v/>
      </c>
      <c r="F124" s="1081" t="str">
        <f t="shared" si="12"/>
        <v/>
      </c>
      <c r="G124" s="1681"/>
      <c r="H124" s="1681"/>
      <c r="I124" s="1681"/>
      <c r="J124" s="1681"/>
      <c r="K124" s="1676"/>
      <c r="L124" s="2549"/>
      <c r="M124" s="2542" t="s">
        <v>2529</v>
      </c>
      <c r="N124" s="2543"/>
      <c r="O124" s="2544"/>
      <c r="P124" s="2551"/>
      <c r="Q124" s="2553"/>
      <c r="R124" s="2541"/>
      <c r="S124" s="2541"/>
      <c r="T124" s="2541"/>
      <c r="U124" s="2541"/>
      <c r="V124" s="2541"/>
      <c r="W124" s="2541"/>
      <c r="AD124" s="1608"/>
    </row>
    <row r="125" spans="1:30" ht="13.75" customHeight="1">
      <c r="A125" s="1685" t="str">
        <f t="shared" si="7"/>
        <v/>
      </c>
      <c r="B125" s="1081" t="str">
        <f t="shared" si="8"/>
        <v/>
      </c>
      <c r="C125" s="1081" t="str">
        <f t="shared" si="9"/>
        <v/>
      </c>
      <c r="D125" s="1081" t="str">
        <f t="shared" si="10"/>
        <v/>
      </c>
      <c r="E125" s="1081" t="str">
        <f t="shared" si="11"/>
        <v/>
      </c>
      <c r="F125" s="1081" t="str">
        <f t="shared" si="12"/>
        <v/>
      </c>
      <c r="G125" s="1681"/>
      <c r="H125" s="1681"/>
      <c r="I125" s="1681"/>
      <c r="J125" s="1681"/>
      <c r="K125" s="1676"/>
      <c r="L125" s="2554" t="s">
        <v>2566</v>
      </c>
      <c r="M125" s="2597" t="s">
        <v>2567</v>
      </c>
      <c r="N125" s="2597"/>
      <c r="O125" s="2555"/>
      <c r="P125" s="1614"/>
      <c r="Q125" s="1609" t="s">
        <v>604</v>
      </c>
      <c r="R125" s="1610"/>
      <c r="S125" s="1610"/>
      <c r="T125" s="1610"/>
      <c r="U125" s="1610"/>
      <c r="V125" s="1610"/>
      <c r="W125" s="2563">
        <v>0</v>
      </c>
      <c r="AD125" s="1608"/>
    </row>
    <row r="126" spans="1:30" ht="15">
      <c r="A126" s="1685" t="str">
        <f t="shared" si="7"/>
        <v/>
      </c>
      <c r="B126" s="1081" t="str">
        <f t="shared" si="8"/>
        <v/>
      </c>
      <c r="C126" s="1081" t="str">
        <f t="shared" si="9"/>
        <v/>
      </c>
      <c r="D126" s="1081" t="str">
        <f t="shared" si="10"/>
        <v/>
      </c>
      <c r="E126" s="1081" t="str">
        <f t="shared" si="11"/>
        <v/>
      </c>
      <c r="F126" s="1081" t="str">
        <f t="shared" si="12"/>
        <v/>
      </c>
      <c r="G126" s="1681"/>
      <c r="H126" s="1681"/>
      <c r="I126" s="1681"/>
      <c r="J126" s="1681"/>
      <c r="K126" s="1676"/>
      <c r="L126" s="2554"/>
      <c r="M126" s="2598"/>
      <c r="N126" s="2598"/>
      <c r="O126" s="2556"/>
      <c r="P126" s="1630"/>
      <c r="Q126" s="1611" t="s">
        <v>2481</v>
      </c>
      <c r="R126" s="1613"/>
      <c r="S126" s="1613"/>
      <c r="T126" s="1613"/>
      <c r="U126" s="1613"/>
      <c r="V126" s="1613"/>
      <c r="W126" s="2564"/>
      <c r="AD126" s="1608"/>
    </row>
    <row r="127" spans="1:30" ht="15">
      <c r="A127" s="1685" t="str">
        <f t="shared" si="7"/>
        <v/>
      </c>
      <c r="B127" s="1081" t="str">
        <f t="shared" si="8"/>
        <v/>
      </c>
      <c r="C127" s="1081" t="str">
        <f t="shared" si="9"/>
        <v/>
      </c>
      <c r="D127" s="1081" t="str">
        <f t="shared" si="10"/>
        <v/>
      </c>
      <c r="E127" s="1081" t="str">
        <f t="shared" si="11"/>
        <v/>
      </c>
      <c r="F127" s="1081" t="str">
        <f t="shared" si="12"/>
        <v/>
      </c>
      <c r="G127" s="1681"/>
      <c r="H127" s="1681"/>
      <c r="I127" s="1681"/>
      <c r="J127" s="1681"/>
      <c r="K127" s="1676"/>
      <c r="L127" s="2554"/>
      <c r="M127" s="2598"/>
      <c r="N127" s="2598"/>
      <c r="O127" s="2556"/>
      <c r="P127" s="1631"/>
      <c r="Q127" s="1611" t="s">
        <v>2482</v>
      </c>
      <c r="R127" s="1613"/>
      <c r="S127" s="1613"/>
      <c r="T127" s="1613"/>
      <c r="U127" s="1613"/>
      <c r="V127" s="1613"/>
      <c r="W127" s="2564"/>
      <c r="AD127" s="1608"/>
    </row>
    <row r="128" spans="1:30" ht="15">
      <c r="A128" s="1685" t="str">
        <f t="shared" si="7"/>
        <v/>
      </c>
      <c r="B128" s="1081">
        <f t="shared" si="8"/>
        <v>0</v>
      </c>
      <c r="C128" s="1081">
        <f t="shared" si="9"/>
        <v>0</v>
      </c>
      <c r="D128" s="1081">
        <f t="shared" si="10"/>
        <v>0</v>
      </c>
      <c r="E128" s="1081">
        <f t="shared" si="11"/>
        <v>0</v>
      </c>
      <c r="F128" s="1081">
        <f t="shared" si="12"/>
        <v>0</v>
      </c>
      <c r="G128" s="1681"/>
      <c r="H128" s="1681"/>
      <c r="I128" s="1681"/>
      <c r="J128" s="1681"/>
      <c r="K128" s="1676"/>
      <c r="L128" s="2554"/>
      <c r="M128" s="2599"/>
      <c r="N128" s="2599"/>
      <c r="O128" s="2557"/>
      <c r="P128" s="1632"/>
      <c r="Q128" s="1611" t="s">
        <v>2483</v>
      </c>
      <c r="R128" s="1613"/>
      <c r="S128" s="1613"/>
      <c r="T128" s="1613"/>
      <c r="U128" s="1613"/>
      <c r="V128" s="1613"/>
      <c r="W128" s="2565"/>
      <c r="AD128" s="1608"/>
    </row>
    <row r="129" spans="1:30" ht="13.75" customHeight="1">
      <c r="A129" s="1685" t="str">
        <f t="shared" si="7"/>
        <v/>
      </c>
      <c r="B129" s="1081" t="str">
        <f t="shared" si="8"/>
        <v/>
      </c>
      <c r="C129" s="1081" t="str">
        <f t="shared" si="9"/>
        <v/>
      </c>
      <c r="D129" s="1081" t="str">
        <f t="shared" si="10"/>
        <v/>
      </c>
      <c r="E129" s="1081" t="str">
        <f t="shared" si="11"/>
        <v/>
      </c>
      <c r="F129" s="1081" t="str">
        <f t="shared" si="12"/>
        <v/>
      </c>
      <c r="G129" s="1681"/>
      <c r="H129" s="1681"/>
      <c r="I129" s="1681"/>
      <c r="J129" s="1681"/>
      <c r="K129" s="1676"/>
      <c r="L129" s="2583" t="s">
        <v>2568</v>
      </c>
      <c r="M129" s="2583" t="s">
        <v>2569</v>
      </c>
      <c r="N129" s="2583" t="s">
        <v>2570</v>
      </c>
      <c r="O129" s="2583" t="s">
        <v>2571</v>
      </c>
      <c r="P129" s="1614"/>
      <c r="Q129" s="1611" t="s">
        <v>604</v>
      </c>
      <c r="R129" s="1619" t="s">
        <v>2499</v>
      </c>
      <c r="S129" s="1620"/>
      <c r="T129" s="1620"/>
      <c r="U129" s="1620"/>
      <c r="V129" s="1620"/>
      <c r="W129" s="2563">
        <v>95600</v>
      </c>
      <c r="AD129" s="1608"/>
    </row>
    <row r="130" spans="1:30" ht="15">
      <c r="A130" s="1685" t="str">
        <f t="shared" si="7"/>
        <v/>
      </c>
      <c r="B130" s="1081" t="str">
        <f t="shared" si="8"/>
        <v/>
      </c>
      <c r="C130" s="1081" t="str">
        <f t="shared" si="9"/>
        <v/>
      </c>
      <c r="D130" s="1081" t="str">
        <f t="shared" si="10"/>
        <v/>
      </c>
      <c r="E130" s="1081" t="str">
        <f t="shared" si="11"/>
        <v/>
      </c>
      <c r="F130" s="1081" t="str">
        <f t="shared" si="12"/>
        <v/>
      </c>
      <c r="G130" s="1681"/>
      <c r="H130" s="1681"/>
      <c r="I130" s="1681"/>
      <c r="J130" s="1681"/>
      <c r="K130" s="1676"/>
      <c r="L130" s="2583"/>
      <c r="M130" s="2583"/>
      <c r="N130" s="2583"/>
      <c r="O130" s="2583"/>
      <c r="P130" s="1631"/>
      <c r="Q130" s="1611" t="s">
        <v>2481</v>
      </c>
      <c r="R130" s="1617">
        <v>2</v>
      </c>
      <c r="S130" s="1613"/>
      <c r="T130" s="1613"/>
      <c r="U130" s="1613"/>
      <c r="V130" s="1613"/>
      <c r="W130" s="2564"/>
      <c r="AD130" s="1608"/>
    </row>
    <row r="131" spans="1:30" ht="15">
      <c r="A131" s="1685" t="str">
        <f t="shared" ref="A131:A194" si="13">IF(J131="","",LEFT(J131,6))</f>
        <v/>
      </c>
      <c r="B131" s="1081" t="str">
        <f t="shared" si="8"/>
        <v/>
      </c>
      <c r="C131" s="1081" t="str">
        <f t="shared" si="9"/>
        <v/>
      </c>
      <c r="D131" s="1081" t="str">
        <f t="shared" si="10"/>
        <v/>
      </c>
      <c r="E131" s="1081" t="str">
        <f t="shared" si="11"/>
        <v/>
      </c>
      <c r="F131" s="1081" t="str">
        <f t="shared" si="12"/>
        <v/>
      </c>
      <c r="G131" s="1681"/>
      <c r="H131" s="1681"/>
      <c r="I131" s="1681"/>
      <c r="J131" s="1681"/>
      <c r="K131" s="1676"/>
      <c r="L131" s="2583"/>
      <c r="M131" s="2583"/>
      <c r="N131" s="2583"/>
      <c r="O131" s="2583"/>
      <c r="P131" s="1630"/>
      <c r="Q131" s="1611" t="s">
        <v>2482</v>
      </c>
      <c r="R131" s="1617">
        <v>47800</v>
      </c>
      <c r="S131" s="1613"/>
      <c r="T131" s="1613"/>
      <c r="U131" s="1613"/>
      <c r="V131" s="1613"/>
      <c r="W131" s="2564"/>
      <c r="AD131" s="1608"/>
    </row>
    <row r="132" spans="1:30" ht="23.25" customHeight="1">
      <c r="A132" s="1685" t="str">
        <f t="shared" si="13"/>
        <v>3.2.2.</v>
      </c>
      <c r="B132" s="1081">
        <f t="shared" si="8"/>
        <v>95600</v>
      </c>
      <c r="C132" s="1081">
        <f t="shared" si="9"/>
        <v>0</v>
      </c>
      <c r="D132" s="1081">
        <f t="shared" si="10"/>
        <v>0</v>
      </c>
      <c r="E132" s="1081">
        <f t="shared" si="11"/>
        <v>0</v>
      </c>
      <c r="F132" s="1081">
        <f t="shared" si="12"/>
        <v>0</v>
      </c>
      <c r="G132" s="1681"/>
      <c r="H132" s="1681"/>
      <c r="I132" s="1681"/>
      <c r="J132" s="1681" t="s">
        <v>1858</v>
      </c>
      <c r="K132" s="1676"/>
      <c r="L132" s="2583"/>
      <c r="M132" s="2583"/>
      <c r="N132" s="2583"/>
      <c r="O132" s="2583"/>
      <c r="P132" s="1632"/>
      <c r="Q132" s="1611" t="s">
        <v>2483</v>
      </c>
      <c r="R132" s="1628">
        <v>95600</v>
      </c>
      <c r="S132" s="1613"/>
      <c r="T132" s="1613"/>
      <c r="U132" s="1613"/>
      <c r="V132" s="1613"/>
      <c r="W132" s="2565"/>
      <c r="AD132" s="1608"/>
    </row>
    <row r="133" spans="1:30" ht="42.75" customHeight="1">
      <c r="A133" s="1685" t="str">
        <f t="shared" si="13"/>
        <v/>
      </c>
      <c r="B133" s="1081" t="str">
        <f t="shared" si="8"/>
        <v/>
      </c>
      <c r="C133" s="1081" t="str">
        <f t="shared" si="9"/>
        <v/>
      </c>
      <c r="D133" s="1081" t="str">
        <f t="shared" si="10"/>
        <v/>
      </c>
      <c r="E133" s="1081" t="str">
        <f t="shared" si="11"/>
        <v/>
      </c>
      <c r="F133" s="1081" t="str">
        <f t="shared" si="12"/>
        <v/>
      </c>
      <c r="G133" s="1681"/>
      <c r="H133" s="1681"/>
      <c r="I133" s="1681"/>
      <c r="J133" s="1681"/>
      <c r="K133" s="1676"/>
      <c r="L133" s="1636" t="s">
        <v>2572</v>
      </c>
      <c r="M133" s="1636" t="s">
        <v>2573</v>
      </c>
      <c r="N133" s="1636"/>
      <c r="O133" s="1636"/>
      <c r="P133" s="1630"/>
      <c r="Q133" s="1611"/>
      <c r="R133" s="1628"/>
      <c r="S133" s="1613"/>
      <c r="T133" s="1613"/>
      <c r="U133" s="1613"/>
      <c r="V133" s="1613"/>
      <c r="W133" s="1637"/>
      <c r="AD133" s="1608"/>
    </row>
    <row r="134" spans="1:30" ht="12.75" customHeight="1">
      <c r="A134" s="1685" t="str">
        <f t="shared" si="13"/>
        <v/>
      </c>
      <c r="B134" s="1081" t="str">
        <f t="shared" si="8"/>
        <v/>
      </c>
      <c r="C134" s="1081" t="str">
        <f t="shared" si="9"/>
        <v/>
      </c>
      <c r="D134" s="1081" t="str">
        <f t="shared" si="10"/>
        <v/>
      </c>
      <c r="E134" s="1081" t="str">
        <f t="shared" si="11"/>
        <v/>
      </c>
      <c r="F134" s="1081" t="str">
        <f t="shared" si="12"/>
        <v/>
      </c>
      <c r="G134" s="1681"/>
      <c r="H134" s="1681"/>
      <c r="I134" s="1681"/>
      <c r="J134" s="1681"/>
      <c r="K134" s="1676"/>
      <c r="L134" s="2568" t="s">
        <v>2574</v>
      </c>
      <c r="M134" s="2574"/>
      <c r="N134" s="2574" t="s">
        <v>2575</v>
      </c>
      <c r="O134" s="2574" t="s">
        <v>2576</v>
      </c>
      <c r="P134" s="1614"/>
      <c r="Q134" s="1611" t="s">
        <v>604</v>
      </c>
      <c r="R134" s="1620"/>
      <c r="S134" s="1610"/>
      <c r="T134" s="1619" t="s">
        <v>2509</v>
      </c>
      <c r="U134" s="1620"/>
      <c r="V134" s="1619" t="s">
        <v>2509</v>
      </c>
      <c r="W134" s="2563">
        <v>683197.73924279993</v>
      </c>
      <c r="X134" s="1616"/>
      <c r="AD134" s="1608"/>
    </row>
    <row r="135" spans="1:30" ht="15">
      <c r="A135" s="1685" t="str">
        <f t="shared" si="13"/>
        <v/>
      </c>
      <c r="B135" s="1081" t="str">
        <f t="shared" si="8"/>
        <v/>
      </c>
      <c r="C135" s="1081" t="str">
        <f t="shared" si="9"/>
        <v/>
      </c>
      <c r="D135" s="1081" t="str">
        <f t="shared" si="10"/>
        <v/>
      </c>
      <c r="E135" s="1081" t="str">
        <f t="shared" si="11"/>
        <v/>
      </c>
      <c r="F135" s="1081" t="str">
        <f t="shared" si="12"/>
        <v/>
      </c>
      <c r="G135" s="1681"/>
      <c r="H135" s="1681"/>
      <c r="I135" s="1681"/>
      <c r="J135" s="1681"/>
      <c r="K135" s="1676"/>
      <c r="L135" s="2569"/>
      <c r="M135" s="2575"/>
      <c r="N135" s="2575"/>
      <c r="O135" s="2575"/>
      <c r="P135" s="1631"/>
      <c r="Q135" s="1611" t="s">
        <v>2481</v>
      </c>
      <c r="R135" s="1613"/>
      <c r="S135" s="1612"/>
      <c r="T135" s="1617">
        <v>1</v>
      </c>
      <c r="U135" s="1613"/>
      <c r="V135" s="1617">
        <v>11</v>
      </c>
      <c r="W135" s="2564"/>
      <c r="AD135" s="1608"/>
    </row>
    <row r="136" spans="1:30" ht="15">
      <c r="A136" s="1685" t="str">
        <f t="shared" si="13"/>
        <v/>
      </c>
      <c r="B136" s="1081" t="str">
        <f t="shared" si="8"/>
        <v/>
      </c>
      <c r="C136" s="1081" t="str">
        <f t="shared" si="9"/>
        <v/>
      </c>
      <c r="D136" s="1081" t="str">
        <f t="shared" si="10"/>
        <v/>
      </c>
      <c r="E136" s="1081" t="str">
        <f t="shared" si="11"/>
        <v/>
      </c>
      <c r="F136" s="1081" t="str">
        <f t="shared" si="12"/>
        <v/>
      </c>
      <c r="G136" s="1681"/>
      <c r="H136" s="1681"/>
      <c r="I136" s="1681"/>
      <c r="J136" s="1681"/>
      <c r="K136" s="1676"/>
      <c r="L136" s="2569"/>
      <c r="M136" s="2575"/>
      <c r="N136" s="2575"/>
      <c r="O136" s="2575"/>
      <c r="P136" s="1630"/>
      <c r="Q136" s="1611" t="s">
        <v>2482</v>
      </c>
      <c r="R136" s="1613"/>
      <c r="S136" s="1612"/>
      <c r="T136" s="1617">
        <v>223526.21</v>
      </c>
      <c r="U136" s="1613"/>
      <c r="V136" s="1617">
        <v>41788.320840254542</v>
      </c>
      <c r="W136" s="2564"/>
      <c r="AD136" s="1608"/>
    </row>
    <row r="137" spans="1:30" ht="15">
      <c r="A137" s="1685" t="str">
        <f t="shared" si="13"/>
        <v>3.2.3.</v>
      </c>
      <c r="B137" s="1081">
        <f t="shared" si="8"/>
        <v>0</v>
      </c>
      <c r="C137" s="1081">
        <f t="shared" si="9"/>
        <v>0</v>
      </c>
      <c r="D137" s="1081">
        <f t="shared" si="10"/>
        <v>223526.21</v>
      </c>
      <c r="E137" s="1081">
        <f t="shared" si="11"/>
        <v>0</v>
      </c>
      <c r="F137" s="1081">
        <f t="shared" si="12"/>
        <v>459671.52924279997</v>
      </c>
      <c r="G137" s="1681"/>
      <c r="H137" s="1681"/>
      <c r="I137" s="1681"/>
      <c r="J137" s="1681" t="s">
        <v>2222</v>
      </c>
      <c r="K137" s="1676"/>
      <c r="L137" s="2570"/>
      <c r="M137" s="2576"/>
      <c r="N137" s="2576"/>
      <c r="O137" s="2576"/>
      <c r="P137" s="1632"/>
      <c r="Q137" s="1611" t="s">
        <v>2483</v>
      </c>
      <c r="R137" s="1633"/>
      <c r="S137" s="1638"/>
      <c r="T137" s="1617">
        <v>223526.21</v>
      </c>
      <c r="U137" s="1633"/>
      <c r="V137" s="1617">
        <v>459671.52924279997</v>
      </c>
      <c r="W137" s="2565"/>
      <c r="AD137" s="1608"/>
    </row>
    <row r="138" spans="1:30" ht="13.75" customHeight="1">
      <c r="A138" s="1685" t="str">
        <f t="shared" si="13"/>
        <v/>
      </c>
      <c r="B138" s="1081" t="str">
        <f t="shared" si="8"/>
        <v/>
      </c>
      <c r="C138" s="1081" t="str">
        <f t="shared" si="9"/>
        <v/>
      </c>
      <c r="D138" s="1081" t="str">
        <f t="shared" si="10"/>
        <v/>
      </c>
      <c r="E138" s="1081" t="str">
        <f t="shared" si="11"/>
        <v/>
      </c>
      <c r="F138" s="1081" t="str">
        <f t="shared" si="12"/>
        <v/>
      </c>
      <c r="G138" s="1681"/>
      <c r="H138" s="1681"/>
      <c r="I138" s="1681"/>
      <c r="J138" s="1681"/>
      <c r="K138" s="1676"/>
      <c r="L138" s="2568" t="s">
        <v>2577</v>
      </c>
      <c r="M138" s="2574"/>
      <c r="N138" s="2574" t="s">
        <v>2578</v>
      </c>
      <c r="O138" s="2574" t="s">
        <v>2579</v>
      </c>
      <c r="P138" s="1614"/>
      <c r="Q138" s="1611" t="s">
        <v>604</v>
      </c>
      <c r="R138" s="1619" t="s">
        <v>2499</v>
      </c>
      <c r="S138" s="1610"/>
      <c r="T138" s="1620"/>
      <c r="U138" s="1620"/>
      <c r="V138" s="1620"/>
      <c r="W138" s="2563">
        <v>47800</v>
      </c>
      <c r="AD138" s="1608"/>
    </row>
    <row r="139" spans="1:30" ht="15">
      <c r="A139" s="1685" t="str">
        <f t="shared" si="13"/>
        <v/>
      </c>
      <c r="B139" s="1081" t="str">
        <f t="shared" si="8"/>
        <v/>
      </c>
      <c r="C139" s="1081" t="str">
        <f t="shared" si="9"/>
        <v/>
      </c>
      <c r="D139" s="1081" t="str">
        <f t="shared" si="10"/>
        <v/>
      </c>
      <c r="E139" s="1081" t="str">
        <f t="shared" si="11"/>
        <v/>
      </c>
      <c r="F139" s="1081" t="str">
        <f t="shared" si="12"/>
        <v/>
      </c>
      <c r="G139" s="1681"/>
      <c r="H139" s="1681"/>
      <c r="I139" s="1681"/>
      <c r="J139" s="1681"/>
      <c r="K139" s="1676"/>
      <c r="L139" s="2569"/>
      <c r="M139" s="2575"/>
      <c r="N139" s="2575"/>
      <c r="O139" s="2575"/>
      <c r="P139" s="1631"/>
      <c r="Q139" s="1611" t="s">
        <v>2481</v>
      </c>
      <c r="R139" s="1617">
        <v>2</v>
      </c>
      <c r="S139" s="1612"/>
      <c r="T139" s="1613"/>
      <c r="U139" s="1613"/>
      <c r="V139" s="1613"/>
      <c r="W139" s="2564"/>
      <c r="AD139" s="1608"/>
    </row>
    <row r="140" spans="1:30" ht="15">
      <c r="A140" s="1685" t="str">
        <f t="shared" si="13"/>
        <v/>
      </c>
      <c r="B140" s="1081" t="str">
        <f t="shared" si="8"/>
        <v/>
      </c>
      <c r="C140" s="1081" t="str">
        <f t="shared" si="9"/>
        <v/>
      </c>
      <c r="D140" s="1081" t="str">
        <f t="shared" si="10"/>
        <v/>
      </c>
      <c r="E140" s="1081" t="str">
        <f t="shared" si="11"/>
        <v/>
      </c>
      <c r="F140" s="1081" t="str">
        <f t="shared" si="12"/>
        <v/>
      </c>
      <c r="G140" s="1681"/>
      <c r="H140" s="1681"/>
      <c r="I140" s="1681"/>
      <c r="J140" s="1681"/>
      <c r="K140" s="1676"/>
      <c r="L140" s="2569"/>
      <c r="M140" s="2575"/>
      <c r="N140" s="2575"/>
      <c r="O140" s="2575"/>
      <c r="P140" s="1630"/>
      <c r="Q140" s="1611" t="s">
        <v>2482</v>
      </c>
      <c r="R140" s="1617">
        <v>23900</v>
      </c>
      <c r="S140" s="1612"/>
      <c r="T140" s="1613"/>
      <c r="U140" s="1613"/>
      <c r="V140" s="1613"/>
      <c r="W140" s="2564"/>
      <c r="AD140" s="1608"/>
    </row>
    <row r="141" spans="1:30" ht="15">
      <c r="A141" s="1685" t="str">
        <f t="shared" si="13"/>
        <v/>
      </c>
      <c r="B141" s="1081">
        <f t="shared" ref="B141:B204" si="14">IF($Q141="sub-total",R141,"")</f>
        <v>47800</v>
      </c>
      <c r="C141" s="1081">
        <f t="shared" ref="C141:C204" si="15">IF($Q141="sub-total",S141,"")</f>
        <v>0</v>
      </c>
      <c r="D141" s="1081">
        <f t="shared" ref="D141:D204" si="16">IF($Q141="sub-total",T141,"")</f>
        <v>0</v>
      </c>
      <c r="E141" s="1081">
        <f t="shared" ref="E141:E204" si="17">IF($Q141="sub-total",U141,"")</f>
        <v>0</v>
      </c>
      <c r="F141" s="1081">
        <f t="shared" ref="F141:F204" si="18">IF($Q141="sub-total",V141,"")</f>
        <v>0</v>
      </c>
      <c r="G141" s="1681"/>
      <c r="H141" s="1681"/>
      <c r="I141" s="1681"/>
      <c r="J141" s="1681"/>
      <c r="K141" s="1676"/>
      <c r="L141" s="2570"/>
      <c r="M141" s="2576"/>
      <c r="N141" s="2576"/>
      <c r="O141" s="2576"/>
      <c r="P141" s="1632"/>
      <c r="Q141" s="1611" t="s">
        <v>2483</v>
      </c>
      <c r="R141" s="1628">
        <v>47800</v>
      </c>
      <c r="S141" s="1638"/>
      <c r="T141" s="1633"/>
      <c r="U141" s="1633"/>
      <c r="V141" s="1633"/>
      <c r="W141" s="2565"/>
      <c r="AD141" s="1608"/>
    </row>
    <row r="142" spans="1:30" ht="19.25" customHeight="1">
      <c r="A142" s="1685" t="str">
        <f t="shared" si="13"/>
        <v/>
      </c>
      <c r="B142" s="1081" t="str">
        <f t="shared" si="14"/>
        <v/>
      </c>
      <c r="C142" s="1081" t="str">
        <f t="shared" si="15"/>
        <v/>
      </c>
      <c r="D142" s="1081" t="str">
        <f t="shared" si="16"/>
        <v/>
      </c>
      <c r="E142" s="1081" t="str">
        <f t="shared" si="17"/>
        <v/>
      </c>
      <c r="F142" s="1081" t="str">
        <f t="shared" si="18"/>
        <v/>
      </c>
      <c r="G142" s="1681"/>
      <c r="H142" s="1681"/>
      <c r="I142" s="1681"/>
      <c r="J142" s="1681"/>
      <c r="K142" s="1676"/>
      <c r="L142" s="2548" t="s">
        <v>2580</v>
      </c>
      <c r="M142" s="2542" t="s">
        <v>2581</v>
      </c>
      <c r="N142" s="2543"/>
      <c r="O142" s="2544"/>
      <c r="P142" s="2550"/>
      <c r="Q142" s="2552"/>
      <c r="R142" s="2540">
        <v>5614924.0110767335</v>
      </c>
      <c r="S142" s="2540">
        <v>3558501.8675571331</v>
      </c>
      <c r="T142" s="2540">
        <v>3500522.5579921333</v>
      </c>
      <c r="U142" s="2540">
        <v>2006681.7123883667</v>
      </c>
      <c r="V142" s="2540">
        <v>2128905.030802533</v>
      </c>
      <c r="W142" s="2540">
        <v>16809535.179816902</v>
      </c>
      <c r="AD142" s="1608"/>
    </row>
    <row r="143" spans="1:30" ht="19.25" customHeight="1">
      <c r="A143" s="1685" t="str">
        <f t="shared" si="13"/>
        <v/>
      </c>
      <c r="B143" s="1081" t="str">
        <f t="shared" si="14"/>
        <v/>
      </c>
      <c r="C143" s="1081" t="str">
        <f t="shared" si="15"/>
        <v/>
      </c>
      <c r="D143" s="1081" t="str">
        <f t="shared" si="16"/>
        <v/>
      </c>
      <c r="E143" s="1081" t="str">
        <f t="shared" si="17"/>
        <v/>
      </c>
      <c r="F143" s="1081" t="str">
        <f t="shared" si="18"/>
        <v/>
      </c>
      <c r="G143" s="1681"/>
      <c r="H143" s="1681"/>
      <c r="I143" s="1681"/>
      <c r="J143" s="1681"/>
      <c r="K143" s="1676"/>
      <c r="L143" s="2549"/>
      <c r="M143" s="2542" t="s">
        <v>2478</v>
      </c>
      <c r="N143" s="2543"/>
      <c r="O143" s="2544"/>
      <c r="P143" s="2551"/>
      <c r="Q143" s="2553"/>
      <c r="R143" s="2541"/>
      <c r="S143" s="2541"/>
      <c r="T143" s="2541"/>
      <c r="U143" s="2541"/>
      <c r="V143" s="2541"/>
      <c r="W143" s="2541"/>
      <c r="AD143" s="1608"/>
    </row>
    <row r="144" spans="1:30" ht="12.75" customHeight="1">
      <c r="A144" s="1685" t="str">
        <f t="shared" si="13"/>
        <v/>
      </c>
      <c r="B144" s="1081" t="str">
        <f t="shared" si="14"/>
        <v/>
      </c>
      <c r="C144" s="1081" t="str">
        <f t="shared" si="15"/>
        <v/>
      </c>
      <c r="D144" s="1081" t="str">
        <f t="shared" si="16"/>
        <v/>
      </c>
      <c r="E144" s="1081" t="str">
        <f t="shared" si="17"/>
        <v/>
      </c>
      <c r="F144" s="1081" t="str">
        <f t="shared" si="18"/>
        <v/>
      </c>
      <c r="G144" s="1681"/>
      <c r="H144" s="1681"/>
      <c r="I144" s="1681"/>
      <c r="J144" s="1681"/>
      <c r="K144" s="1676"/>
      <c r="L144" s="2583" t="s">
        <v>2582</v>
      </c>
      <c r="M144" s="2583" t="s">
        <v>2583</v>
      </c>
      <c r="N144" s="2583" t="s">
        <v>2584</v>
      </c>
      <c r="O144" s="2583"/>
      <c r="P144" s="2606"/>
      <c r="Q144" s="2607"/>
      <c r="R144" s="2607"/>
      <c r="S144" s="2607"/>
      <c r="T144" s="2607"/>
      <c r="U144" s="2607"/>
      <c r="V144" s="2607"/>
      <c r="W144" s="2608"/>
      <c r="AD144" s="1608"/>
    </row>
    <row r="145" spans="1:30" ht="15">
      <c r="A145" s="1685" t="str">
        <f t="shared" si="13"/>
        <v/>
      </c>
      <c r="B145" s="1081" t="str">
        <f t="shared" si="14"/>
        <v/>
      </c>
      <c r="C145" s="1081" t="str">
        <f t="shared" si="15"/>
        <v/>
      </c>
      <c r="D145" s="1081" t="str">
        <f t="shared" si="16"/>
        <v/>
      </c>
      <c r="E145" s="1081" t="str">
        <f t="shared" si="17"/>
        <v/>
      </c>
      <c r="F145" s="1081" t="str">
        <f t="shared" si="18"/>
        <v/>
      </c>
      <c r="G145" s="1681"/>
      <c r="H145" s="1681"/>
      <c r="I145" s="1681"/>
      <c r="J145" s="1681"/>
      <c r="K145" s="1676"/>
      <c r="L145" s="2583"/>
      <c r="M145" s="2583"/>
      <c r="N145" s="2583"/>
      <c r="O145" s="2583"/>
      <c r="P145" s="2609"/>
      <c r="Q145" s="2610"/>
      <c r="R145" s="2610"/>
      <c r="S145" s="2610"/>
      <c r="T145" s="2610"/>
      <c r="U145" s="2610"/>
      <c r="V145" s="2610"/>
      <c r="W145" s="2611"/>
      <c r="AD145" s="1608"/>
    </row>
    <row r="146" spans="1:30" ht="15">
      <c r="A146" s="1685" t="str">
        <f t="shared" si="13"/>
        <v/>
      </c>
      <c r="B146" s="1081" t="str">
        <f t="shared" si="14"/>
        <v/>
      </c>
      <c r="C146" s="1081" t="str">
        <f t="shared" si="15"/>
        <v/>
      </c>
      <c r="D146" s="1081" t="str">
        <f t="shared" si="16"/>
        <v/>
      </c>
      <c r="E146" s="1081" t="str">
        <f t="shared" si="17"/>
        <v/>
      </c>
      <c r="F146" s="1081" t="str">
        <f t="shared" si="18"/>
        <v/>
      </c>
      <c r="G146" s="1681"/>
      <c r="H146" s="1681"/>
      <c r="I146" s="1681"/>
      <c r="J146" s="1681"/>
      <c r="K146" s="1676"/>
      <c r="L146" s="2583"/>
      <c r="M146" s="2583"/>
      <c r="N146" s="2583"/>
      <c r="O146" s="2583"/>
      <c r="P146" s="2609"/>
      <c r="Q146" s="2610"/>
      <c r="R146" s="2610"/>
      <c r="S146" s="2610"/>
      <c r="T146" s="2610"/>
      <c r="U146" s="2610"/>
      <c r="V146" s="2610"/>
      <c r="W146" s="2611"/>
      <c r="AD146" s="1608"/>
    </row>
    <row r="147" spans="1:30" ht="40.25" customHeight="1">
      <c r="A147" s="1685" t="str">
        <f t="shared" si="13"/>
        <v/>
      </c>
      <c r="B147" s="1081" t="str">
        <f t="shared" si="14"/>
        <v/>
      </c>
      <c r="C147" s="1081" t="str">
        <f t="shared" si="15"/>
        <v/>
      </c>
      <c r="D147" s="1081" t="str">
        <f t="shared" si="16"/>
        <v/>
      </c>
      <c r="E147" s="1081" t="str">
        <f t="shared" si="17"/>
        <v/>
      </c>
      <c r="F147" s="1081" t="str">
        <f t="shared" si="18"/>
        <v/>
      </c>
      <c r="G147" s="1681"/>
      <c r="H147" s="1681"/>
      <c r="I147" s="1681"/>
      <c r="J147" s="1681"/>
      <c r="K147" s="1676"/>
      <c r="L147" s="2583"/>
      <c r="M147" s="2583"/>
      <c r="N147" s="2583"/>
      <c r="O147" s="2583"/>
      <c r="P147" s="2612"/>
      <c r="Q147" s="2613"/>
      <c r="R147" s="2613"/>
      <c r="S147" s="2613"/>
      <c r="T147" s="2613"/>
      <c r="U147" s="2613"/>
      <c r="V147" s="2613"/>
      <c r="W147" s="2614"/>
      <c r="AD147" s="1608"/>
    </row>
    <row r="148" spans="1:30" ht="12.75" customHeight="1">
      <c r="A148" s="1685" t="str">
        <f t="shared" si="13"/>
        <v/>
      </c>
      <c r="B148" s="1081" t="str">
        <f t="shared" si="14"/>
        <v/>
      </c>
      <c r="C148" s="1081" t="str">
        <f t="shared" si="15"/>
        <v/>
      </c>
      <c r="D148" s="1081" t="str">
        <f t="shared" si="16"/>
        <v/>
      </c>
      <c r="E148" s="1081" t="str">
        <f t="shared" si="17"/>
        <v/>
      </c>
      <c r="F148" s="1081" t="str">
        <f t="shared" si="18"/>
        <v/>
      </c>
      <c r="G148" s="1681"/>
      <c r="H148" s="1681"/>
      <c r="I148" s="1681"/>
      <c r="J148" s="1681"/>
      <c r="K148" s="1676"/>
      <c r="L148" s="2554" t="s">
        <v>2585</v>
      </c>
      <c r="M148" s="2615" t="s">
        <v>2583</v>
      </c>
      <c r="N148" s="2615" t="s">
        <v>2586</v>
      </c>
      <c r="O148" s="2615" t="s">
        <v>2587</v>
      </c>
      <c r="P148" s="1614"/>
      <c r="Q148" s="1611" t="s">
        <v>604</v>
      </c>
      <c r="R148" s="1619" t="s">
        <v>2509</v>
      </c>
      <c r="S148" s="1619" t="s">
        <v>2509</v>
      </c>
      <c r="T148" s="1619" t="s">
        <v>2509</v>
      </c>
      <c r="U148" s="1619" t="s">
        <v>2509</v>
      </c>
      <c r="V148" s="1619" t="s">
        <v>2509</v>
      </c>
      <c r="W148" s="2590">
        <v>4284730.3485000003</v>
      </c>
      <c r="AD148" s="1608"/>
    </row>
    <row r="149" spans="1:30" ht="15">
      <c r="A149" s="1685" t="str">
        <f t="shared" si="13"/>
        <v/>
      </c>
      <c r="B149" s="1081" t="str">
        <f t="shared" si="14"/>
        <v/>
      </c>
      <c r="C149" s="1081" t="str">
        <f t="shared" si="15"/>
        <v/>
      </c>
      <c r="D149" s="1081" t="str">
        <f t="shared" si="16"/>
        <v/>
      </c>
      <c r="E149" s="1081" t="str">
        <f t="shared" si="17"/>
        <v/>
      </c>
      <c r="F149" s="1081" t="str">
        <f t="shared" si="18"/>
        <v/>
      </c>
      <c r="G149" s="1681"/>
      <c r="H149" s="1681"/>
      <c r="I149" s="1681"/>
      <c r="J149" s="1681"/>
      <c r="K149" s="1676"/>
      <c r="L149" s="2554"/>
      <c r="M149" s="2615"/>
      <c r="N149" s="2615"/>
      <c r="O149" s="2615"/>
      <c r="P149" s="1630"/>
      <c r="Q149" s="1611" t="s">
        <v>2481</v>
      </c>
      <c r="R149" s="1617">
        <v>426</v>
      </c>
      <c r="S149" s="1617">
        <v>419</v>
      </c>
      <c r="T149" s="1617">
        <v>417</v>
      </c>
      <c r="U149" s="1617">
        <v>391</v>
      </c>
      <c r="V149" s="1617">
        <v>419</v>
      </c>
      <c r="W149" s="2590"/>
      <c r="AD149" s="1608"/>
    </row>
    <row r="150" spans="1:30" ht="15">
      <c r="A150" s="1685" t="str">
        <f t="shared" si="13"/>
        <v/>
      </c>
      <c r="B150" s="1081" t="str">
        <f t="shared" si="14"/>
        <v/>
      </c>
      <c r="C150" s="1081" t="str">
        <f t="shared" si="15"/>
        <v/>
      </c>
      <c r="D150" s="1081" t="str">
        <f t="shared" si="16"/>
        <v/>
      </c>
      <c r="E150" s="1081" t="str">
        <f t="shared" si="17"/>
        <v/>
      </c>
      <c r="F150" s="1081" t="str">
        <f t="shared" si="18"/>
        <v/>
      </c>
      <c r="G150" s="1681"/>
      <c r="H150" s="1681"/>
      <c r="I150" s="1681"/>
      <c r="J150" s="1681"/>
      <c r="K150" s="1676"/>
      <c r="L150" s="2554"/>
      <c r="M150" s="2615"/>
      <c r="N150" s="2615"/>
      <c r="O150" s="2615"/>
      <c r="P150" s="1630"/>
      <c r="Q150" s="1611" t="s">
        <v>2482</v>
      </c>
      <c r="R150" s="1617">
        <v>2067.2216666666668</v>
      </c>
      <c r="S150" s="1617">
        <v>2067.2216666666668</v>
      </c>
      <c r="T150" s="1617">
        <v>2067.2216666666668</v>
      </c>
      <c r="U150" s="1617">
        <v>2067.2216666666668</v>
      </c>
      <c r="V150" s="1617">
        <v>2067.2216666666668</v>
      </c>
      <c r="W150" s="2590"/>
      <c r="AD150" s="1608"/>
    </row>
    <row r="151" spans="1:30" ht="40.25" customHeight="1">
      <c r="A151" s="1685" t="str">
        <f t="shared" si="13"/>
        <v>3.3.1.</v>
      </c>
      <c r="B151" s="1081">
        <f t="shared" si="14"/>
        <v>879809.54133333336</v>
      </c>
      <c r="C151" s="1081">
        <f t="shared" si="15"/>
        <v>866786.04483333323</v>
      </c>
      <c r="D151" s="1081">
        <f t="shared" si="16"/>
        <v>862444.87933333335</v>
      </c>
      <c r="E151" s="1081">
        <f t="shared" si="17"/>
        <v>808903.83816666668</v>
      </c>
      <c r="F151" s="1081">
        <f t="shared" si="18"/>
        <v>866786.04483333323</v>
      </c>
      <c r="G151" s="1681"/>
      <c r="H151" s="1681"/>
      <c r="I151" s="1681"/>
      <c r="J151" s="1681" t="s">
        <v>1859</v>
      </c>
      <c r="K151" s="1676"/>
      <c r="L151" s="2554"/>
      <c r="M151" s="2615"/>
      <c r="N151" s="2615"/>
      <c r="O151" s="2615"/>
      <c r="P151" s="1630"/>
      <c r="Q151" s="1611" t="s">
        <v>2483</v>
      </c>
      <c r="R151" s="1617">
        <v>879809.54133333336</v>
      </c>
      <c r="S151" s="1617">
        <v>866786.04483333323</v>
      </c>
      <c r="T151" s="1617">
        <v>862444.87933333335</v>
      </c>
      <c r="U151" s="1617">
        <v>808903.83816666668</v>
      </c>
      <c r="V151" s="1617">
        <v>866786.04483333323</v>
      </c>
      <c r="W151" s="2590"/>
      <c r="AD151" s="1608"/>
    </row>
    <row r="152" spans="1:30" ht="30">
      <c r="A152" s="1685" t="str">
        <f t="shared" si="13"/>
        <v/>
      </c>
      <c r="B152" s="1081" t="str">
        <f t="shared" si="14"/>
        <v/>
      </c>
      <c r="C152" s="1081" t="str">
        <f t="shared" si="15"/>
        <v/>
      </c>
      <c r="D152" s="1081" t="str">
        <f t="shared" si="16"/>
        <v/>
      </c>
      <c r="E152" s="1081" t="str">
        <f t="shared" si="17"/>
        <v/>
      </c>
      <c r="F152" s="1081" t="str">
        <f t="shared" si="18"/>
        <v/>
      </c>
      <c r="G152" s="1681"/>
      <c r="H152" s="1681"/>
      <c r="I152" s="1681"/>
      <c r="J152" s="1681"/>
      <c r="K152" s="1676"/>
      <c r="L152" s="2554" t="s">
        <v>2588</v>
      </c>
      <c r="M152" s="2615" t="s">
        <v>2583</v>
      </c>
      <c r="N152" s="2574" t="s">
        <v>2589</v>
      </c>
      <c r="O152" s="2574" t="s">
        <v>2590</v>
      </c>
      <c r="P152" s="1614"/>
      <c r="Q152" s="1611" t="s">
        <v>604</v>
      </c>
      <c r="R152" s="1619" t="s">
        <v>2591</v>
      </c>
      <c r="S152" s="1619" t="s">
        <v>2591</v>
      </c>
      <c r="T152" s="1619" t="s">
        <v>2591</v>
      </c>
      <c r="U152" s="1619" t="s">
        <v>2591</v>
      </c>
      <c r="V152" s="1619" t="s">
        <v>2591</v>
      </c>
      <c r="W152" s="2590">
        <v>745920</v>
      </c>
      <c r="AD152" s="1608"/>
    </row>
    <row r="153" spans="1:30" ht="15">
      <c r="A153" s="1685" t="str">
        <f t="shared" si="13"/>
        <v/>
      </c>
      <c r="B153" s="1081" t="str">
        <f t="shared" si="14"/>
        <v/>
      </c>
      <c r="C153" s="1081" t="str">
        <f t="shared" si="15"/>
        <v/>
      </c>
      <c r="D153" s="1081" t="str">
        <f t="shared" si="16"/>
        <v/>
      </c>
      <c r="E153" s="1081" t="str">
        <f t="shared" si="17"/>
        <v/>
      </c>
      <c r="F153" s="1081" t="str">
        <f t="shared" si="18"/>
        <v/>
      </c>
      <c r="G153" s="1681"/>
      <c r="H153" s="1681"/>
      <c r="I153" s="1681"/>
      <c r="J153" s="1681"/>
      <c r="K153" s="1676"/>
      <c r="L153" s="2554"/>
      <c r="M153" s="2615"/>
      <c r="N153" s="2575"/>
      <c r="O153" s="2575"/>
      <c r="P153" s="1614"/>
      <c r="Q153" s="1611" t="s">
        <v>2481</v>
      </c>
      <c r="R153" s="1617">
        <v>1</v>
      </c>
      <c r="S153" s="1617">
        <v>1</v>
      </c>
      <c r="T153" s="1617">
        <v>1</v>
      </c>
      <c r="U153" s="1617">
        <v>1</v>
      </c>
      <c r="V153" s="1617">
        <v>1</v>
      </c>
      <c r="W153" s="2590"/>
      <c r="AD153" s="1608"/>
    </row>
    <row r="154" spans="1:30" ht="15">
      <c r="A154" s="1685" t="str">
        <f t="shared" si="13"/>
        <v/>
      </c>
      <c r="B154" s="1081" t="str">
        <f t="shared" si="14"/>
        <v/>
      </c>
      <c r="C154" s="1081" t="str">
        <f t="shared" si="15"/>
        <v/>
      </c>
      <c r="D154" s="1081" t="str">
        <f t="shared" si="16"/>
        <v/>
      </c>
      <c r="E154" s="1081" t="str">
        <f t="shared" si="17"/>
        <v/>
      </c>
      <c r="F154" s="1081" t="str">
        <f t="shared" si="18"/>
        <v/>
      </c>
      <c r="G154" s="1681"/>
      <c r="H154" s="1681"/>
      <c r="I154" s="1681"/>
      <c r="J154" s="1681"/>
      <c r="K154" s="1676"/>
      <c r="L154" s="2554"/>
      <c r="M154" s="2615"/>
      <c r="N154" s="2575"/>
      <c r="O154" s="2575"/>
      <c r="P154" s="1630"/>
      <c r="Q154" s="1611" t="s">
        <v>2482</v>
      </c>
      <c r="R154" s="1617">
        <v>149184</v>
      </c>
      <c r="S154" s="1617">
        <v>149184</v>
      </c>
      <c r="T154" s="1617">
        <v>149184</v>
      </c>
      <c r="U154" s="1617">
        <v>149184</v>
      </c>
      <c r="V154" s="1617">
        <v>149184</v>
      </c>
      <c r="W154" s="2590"/>
      <c r="AD154" s="1608"/>
    </row>
    <row r="155" spans="1:30" ht="24.75" customHeight="1">
      <c r="A155" s="1685" t="str">
        <f t="shared" si="13"/>
        <v>3.3.1.</v>
      </c>
      <c r="B155" s="1081">
        <f t="shared" si="14"/>
        <v>149184</v>
      </c>
      <c r="C155" s="1081">
        <f t="shared" si="15"/>
        <v>149184</v>
      </c>
      <c r="D155" s="1081">
        <f t="shared" si="16"/>
        <v>149184</v>
      </c>
      <c r="E155" s="1081">
        <f t="shared" si="17"/>
        <v>149184</v>
      </c>
      <c r="F155" s="1081">
        <f t="shared" si="18"/>
        <v>149184</v>
      </c>
      <c r="G155" s="1681"/>
      <c r="H155" s="1681"/>
      <c r="I155" s="1681"/>
      <c r="J155" s="1681" t="s">
        <v>1859</v>
      </c>
      <c r="K155" s="1676"/>
      <c r="L155" s="2554"/>
      <c r="M155" s="2615"/>
      <c r="N155" s="2576"/>
      <c r="O155" s="2576"/>
      <c r="P155" s="1634"/>
      <c r="Q155" s="1611" t="s">
        <v>2483</v>
      </c>
      <c r="R155" s="1628">
        <v>149184</v>
      </c>
      <c r="S155" s="1628">
        <v>149184</v>
      </c>
      <c r="T155" s="1628">
        <v>149184</v>
      </c>
      <c r="U155" s="1628">
        <v>149184</v>
      </c>
      <c r="V155" s="1628">
        <v>149184</v>
      </c>
      <c r="W155" s="2590"/>
      <c r="AD155" s="1608"/>
    </row>
    <row r="156" spans="1:30" ht="12.75" customHeight="1">
      <c r="A156" s="1685" t="str">
        <f t="shared" si="13"/>
        <v/>
      </c>
      <c r="B156" s="1081" t="str">
        <f t="shared" si="14"/>
        <v/>
      </c>
      <c r="C156" s="1081" t="str">
        <f t="shared" si="15"/>
        <v/>
      </c>
      <c r="D156" s="1081" t="str">
        <f t="shared" si="16"/>
        <v/>
      </c>
      <c r="E156" s="1081" t="str">
        <f t="shared" si="17"/>
        <v/>
      </c>
      <c r="F156" s="1081" t="str">
        <f t="shared" si="18"/>
        <v/>
      </c>
      <c r="G156" s="1681"/>
      <c r="H156" s="1681"/>
      <c r="I156" s="1681"/>
      <c r="J156" s="1681"/>
      <c r="K156" s="1676"/>
      <c r="L156" s="2554" t="s">
        <v>2592</v>
      </c>
      <c r="M156" s="2615" t="s">
        <v>2583</v>
      </c>
      <c r="N156" s="2615" t="s">
        <v>2593</v>
      </c>
      <c r="O156" s="2615" t="s">
        <v>2579</v>
      </c>
      <c r="P156" s="1614"/>
      <c r="Q156" s="1611" t="s">
        <v>604</v>
      </c>
      <c r="R156" s="1619" t="s">
        <v>2594</v>
      </c>
      <c r="S156" s="1619" t="s">
        <v>2594</v>
      </c>
      <c r="T156" s="1619" t="s">
        <v>2594</v>
      </c>
      <c r="U156" s="1619" t="s">
        <v>2594</v>
      </c>
      <c r="V156" s="1619" t="s">
        <v>2594</v>
      </c>
      <c r="W156" s="2590">
        <v>297000</v>
      </c>
      <c r="AD156" s="1608"/>
    </row>
    <row r="157" spans="1:30" ht="15">
      <c r="A157" s="1685" t="str">
        <f t="shared" si="13"/>
        <v/>
      </c>
      <c r="B157" s="1081" t="str">
        <f t="shared" si="14"/>
        <v/>
      </c>
      <c r="C157" s="1081" t="str">
        <f t="shared" si="15"/>
        <v/>
      </c>
      <c r="D157" s="1081" t="str">
        <f t="shared" si="16"/>
        <v/>
      </c>
      <c r="E157" s="1081" t="str">
        <f t="shared" si="17"/>
        <v/>
      </c>
      <c r="F157" s="1081" t="str">
        <f t="shared" si="18"/>
        <v/>
      </c>
      <c r="G157" s="1681"/>
      <c r="H157" s="1681"/>
      <c r="I157" s="1681"/>
      <c r="J157" s="1681"/>
      <c r="K157" s="1676"/>
      <c r="L157" s="2554"/>
      <c r="M157" s="2615"/>
      <c r="N157" s="2615"/>
      <c r="O157" s="2615"/>
      <c r="P157" s="1630"/>
      <c r="Q157" s="1611" t="s">
        <v>2481</v>
      </c>
      <c r="R157" s="1617">
        <v>1</v>
      </c>
      <c r="S157" s="1617">
        <v>1</v>
      </c>
      <c r="T157" s="1617">
        <v>1</v>
      </c>
      <c r="U157" s="1617">
        <v>1</v>
      </c>
      <c r="V157" s="1617">
        <v>1</v>
      </c>
      <c r="W157" s="2590"/>
      <c r="AD157" s="1608"/>
    </row>
    <row r="158" spans="1:30" ht="15">
      <c r="A158" s="1685" t="str">
        <f t="shared" si="13"/>
        <v/>
      </c>
      <c r="B158" s="1081" t="str">
        <f t="shared" si="14"/>
        <v/>
      </c>
      <c r="C158" s="1081" t="str">
        <f t="shared" si="15"/>
        <v/>
      </c>
      <c r="D158" s="1081" t="str">
        <f t="shared" si="16"/>
        <v/>
      </c>
      <c r="E158" s="1081" t="str">
        <f t="shared" si="17"/>
        <v/>
      </c>
      <c r="F158" s="1081" t="str">
        <f t="shared" si="18"/>
        <v/>
      </c>
      <c r="G158" s="1681"/>
      <c r="H158" s="1681"/>
      <c r="I158" s="1681"/>
      <c r="J158" s="1681"/>
      <c r="K158" s="1676"/>
      <c r="L158" s="2554"/>
      <c r="M158" s="2615"/>
      <c r="N158" s="2615"/>
      <c r="O158" s="2615"/>
      <c r="P158" s="1630"/>
      <c r="Q158" s="1611" t="s">
        <v>2482</v>
      </c>
      <c r="R158" s="1617">
        <v>59400</v>
      </c>
      <c r="S158" s="1617">
        <v>59400</v>
      </c>
      <c r="T158" s="1617">
        <v>59400</v>
      </c>
      <c r="U158" s="1617">
        <v>59400</v>
      </c>
      <c r="V158" s="1617">
        <v>59400</v>
      </c>
      <c r="W158" s="2590"/>
      <c r="AD158" s="1608"/>
    </row>
    <row r="159" spans="1:30" ht="15" customHeight="1">
      <c r="A159" s="1685" t="str">
        <f t="shared" si="13"/>
        <v>3.3.1.</v>
      </c>
      <c r="B159" s="1081">
        <f t="shared" si="14"/>
        <v>59400</v>
      </c>
      <c r="C159" s="1081">
        <f t="shared" si="15"/>
        <v>59400</v>
      </c>
      <c r="D159" s="1081">
        <f t="shared" si="16"/>
        <v>59400</v>
      </c>
      <c r="E159" s="1081">
        <f t="shared" si="17"/>
        <v>59400</v>
      </c>
      <c r="F159" s="1081">
        <f t="shared" si="18"/>
        <v>59400</v>
      </c>
      <c r="G159" s="1681"/>
      <c r="H159" s="1681"/>
      <c r="I159" s="1681"/>
      <c r="J159" s="1681" t="s">
        <v>1859</v>
      </c>
      <c r="K159" s="1676"/>
      <c r="L159" s="2554"/>
      <c r="M159" s="2615"/>
      <c r="N159" s="2615"/>
      <c r="O159" s="2615"/>
      <c r="P159" s="1634"/>
      <c r="Q159" s="1611" t="s">
        <v>2483</v>
      </c>
      <c r="R159" s="1628">
        <v>59400</v>
      </c>
      <c r="S159" s="1628">
        <v>59400</v>
      </c>
      <c r="T159" s="1628">
        <v>59400</v>
      </c>
      <c r="U159" s="1628">
        <v>59400</v>
      </c>
      <c r="V159" s="1628">
        <v>59400</v>
      </c>
      <c r="W159" s="2590"/>
      <c r="AD159" s="1608"/>
    </row>
    <row r="160" spans="1:30" ht="12.75" customHeight="1">
      <c r="A160" s="1685" t="str">
        <f t="shared" si="13"/>
        <v/>
      </c>
      <c r="B160" s="1081" t="str">
        <f t="shared" si="14"/>
        <v/>
      </c>
      <c r="C160" s="1081" t="str">
        <f t="shared" si="15"/>
        <v/>
      </c>
      <c r="D160" s="1081" t="str">
        <f t="shared" si="16"/>
        <v/>
      </c>
      <c r="E160" s="1081" t="str">
        <f t="shared" si="17"/>
        <v/>
      </c>
      <c r="F160" s="1081" t="str">
        <f t="shared" si="18"/>
        <v/>
      </c>
      <c r="G160" s="1681"/>
      <c r="H160" s="1681"/>
      <c r="I160" s="1681"/>
      <c r="J160" s="1681"/>
      <c r="K160" s="1676"/>
      <c r="L160" s="2554" t="s">
        <v>2595</v>
      </c>
      <c r="M160" s="2615" t="s">
        <v>2583</v>
      </c>
      <c r="N160" s="2615" t="s">
        <v>2596</v>
      </c>
      <c r="O160" s="2615" t="s">
        <v>2597</v>
      </c>
      <c r="P160" s="1614"/>
      <c r="Q160" s="1611" t="s">
        <v>604</v>
      </c>
      <c r="R160" s="1619" t="s">
        <v>2563</v>
      </c>
      <c r="S160" s="1619"/>
      <c r="T160" s="1619"/>
      <c r="U160" s="1619"/>
      <c r="V160" s="1619"/>
      <c r="W160" s="2590">
        <v>1459208</v>
      </c>
      <c r="AD160" s="1608"/>
    </row>
    <row r="161" spans="1:30" ht="15">
      <c r="A161" s="1685" t="str">
        <f t="shared" si="13"/>
        <v/>
      </c>
      <c r="B161" s="1081" t="str">
        <f t="shared" si="14"/>
        <v/>
      </c>
      <c r="C161" s="1081" t="str">
        <f t="shared" si="15"/>
        <v/>
      </c>
      <c r="D161" s="1081" t="str">
        <f t="shared" si="16"/>
        <v/>
      </c>
      <c r="E161" s="1081" t="str">
        <f t="shared" si="17"/>
        <v/>
      </c>
      <c r="F161" s="1081" t="str">
        <f t="shared" si="18"/>
        <v/>
      </c>
      <c r="G161" s="1681"/>
      <c r="H161" s="1681"/>
      <c r="I161" s="1681"/>
      <c r="J161" s="1681"/>
      <c r="K161" s="1676"/>
      <c r="L161" s="2554"/>
      <c r="M161" s="2615"/>
      <c r="N161" s="2615"/>
      <c r="O161" s="2615"/>
      <c r="P161" s="1630"/>
      <c r="Q161" s="1611" t="s">
        <v>2481</v>
      </c>
      <c r="R161" s="1617">
        <v>20</v>
      </c>
      <c r="S161" s="1617"/>
      <c r="T161" s="1617"/>
      <c r="U161" s="1617"/>
      <c r="V161" s="1617"/>
      <c r="W161" s="2590"/>
      <c r="AD161" s="1608"/>
    </row>
    <row r="162" spans="1:30" ht="15">
      <c r="A162" s="1685" t="str">
        <f t="shared" si="13"/>
        <v/>
      </c>
      <c r="B162" s="1081" t="str">
        <f t="shared" si="14"/>
        <v/>
      </c>
      <c r="C162" s="1081" t="str">
        <f t="shared" si="15"/>
        <v/>
      </c>
      <c r="D162" s="1081" t="str">
        <f t="shared" si="16"/>
        <v/>
      </c>
      <c r="E162" s="1081" t="str">
        <f t="shared" si="17"/>
        <v/>
      </c>
      <c r="F162" s="1081" t="str">
        <f t="shared" si="18"/>
        <v/>
      </c>
      <c r="G162" s="1681"/>
      <c r="H162" s="1681"/>
      <c r="I162" s="1681"/>
      <c r="J162" s="1681"/>
      <c r="K162" s="1676"/>
      <c r="L162" s="2554"/>
      <c r="M162" s="2615"/>
      <c r="N162" s="2615"/>
      <c r="O162" s="2615"/>
      <c r="P162" s="1614"/>
      <c r="Q162" s="1611" t="s">
        <v>2482</v>
      </c>
      <c r="R162" s="1617">
        <v>72960.399999999994</v>
      </c>
      <c r="S162" s="1617"/>
      <c r="T162" s="1617"/>
      <c r="U162" s="1617"/>
      <c r="V162" s="1617"/>
      <c r="W162" s="2590"/>
      <c r="AD162" s="1608"/>
    </row>
    <row r="163" spans="1:30" ht="40.25" customHeight="1">
      <c r="A163" s="1685" t="str">
        <f t="shared" si="13"/>
        <v>3.3.1.</v>
      </c>
      <c r="B163" s="1081">
        <f t="shared" si="14"/>
        <v>1459208</v>
      </c>
      <c r="C163" s="1081">
        <f t="shared" si="15"/>
        <v>0</v>
      </c>
      <c r="D163" s="1081">
        <f t="shared" si="16"/>
        <v>0</v>
      </c>
      <c r="E163" s="1081">
        <f t="shared" si="17"/>
        <v>0</v>
      </c>
      <c r="F163" s="1081">
        <f t="shared" si="18"/>
        <v>0</v>
      </c>
      <c r="G163" s="1681"/>
      <c r="H163" s="1681"/>
      <c r="I163" s="1681"/>
      <c r="J163" s="1681" t="s">
        <v>1859</v>
      </c>
      <c r="K163" s="1676"/>
      <c r="L163" s="2554"/>
      <c r="M163" s="2615"/>
      <c r="N163" s="2615"/>
      <c r="O163" s="2615"/>
      <c r="P163" s="1634"/>
      <c r="Q163" s="1611" t="s">
        <v>2483</v>
      </c>
      <c r="R163" s="1628">
        <v>1459208</v>
      </c>
      <c r="S163" s="1628"/>
      <c r="T163" s="1628"/>
      <c r="U163" s="1628"/>
      <c r="V163" s="1628"/>
      <c r="W163" s="2590"/>
      <c r="AD163" s="1608"/>
    </row>
    <row r="164" spans="1:30" ht="12.75" customHeight="1">
      <c r="A164" s="1685" t="str">
        <f t="shared" si="13"/>
        <v/>
      </c>
      <c r="B164" s="1081" t="str">
        <f t="shared" si="14"/>
        <v/>
      </c>
      <c r="C164" s="1081" t="str">
        <f t="shared" si="15"/>
        <v/>
      </c>
      <c r="D164" s="1081" t="str">
        <f t="shared" si="16"/>
        <v/>
      </c>
      <c r="E164" s="1081" t="str">
        <f t="shared" si="17"/>
        <v/>
      </c>
      <c r="F164" s="1081" t="str">
        <f t="shared" si="18"/>
        <v/>
      </c>
      <c r="G164" s="1681"/>
      <c r="H164" s="1681"/>
      <c r="I164" s="1681"/>
      <c r="J164" s="1681"/>
      <c r="K164" s="1676"/>
      <c r="L164" s="2554" t="s">
        <v>2598</v>
      </c>
      <c r="M164" s="2616" t="s">
        <v>2599</v>
      </c>
      <c r="N164" s="2597"/>
      <c r="O164" s="2560"/>
      <c r="P164" s="1614"/>
      <c r="Q164" s="1611" t="s">
        <v>604</v>
      </c>
      <c r="R164" s="1620"/>
      <c r="S164" s="1620"/>
      <c r="T164" s="1620"/>
      <c r="U164" s="1620"/>
      <c r="V164" s="1620"/>
      <c r="W164" s="2590">
        <v>0</v>
      </c>
      <c r="AD164" s="1608"/>
    </row>
    <row r="165" spans="1:30" ht="15">
      <c r="A165" s="1685" t="str">
        <f t="shared" si="13"/>
        <v/>
      </c>
      <c r="B165" s="1081" t="str">
        <f t="shared" si="14"/>
        <v/>
      </c>
      <c r="C165" s="1081" t="str">
        <f t="shared" si="15"/>
        <v/>
      </c>
      <c r="D165" s="1081" t="str">
        <f t="shared" si="16"/>
        <v/>
      </c>
      <c r="E165" s="1081" t="str">
        <f t="shared" si="17"/>
        <v/>
      </c>
      <c r="F165" s="1081" t="str">
        <f t="shared" si="18"/>
        <v/>
      </c>
      <c r="G165" s="1681"/>
      <c r="H165" s="1681"/>
      <c r="I165" s="1681"/>
      <c r="J165" s="1681"/>
      <c r="K165" s="1676"/>
      <c r="L165" s="2554"/>
      <c r="M165" s="2617"/>
      <c r="N165" s="2598"/>
      <c r="O165" s="2561"/>
      <c r="P165" s="1630"/>
      <c r="Q165" s="1611" t="s">
        <v>2481</v>
      </c>
      <c r="R165" s="1613"/>
      <c r="S165" s="1613"/>
      <c r="T165" s="1613"/>
      <c r="U165" s="1613"/>
      <c r="V165" s="1613"/>
      <c r="W165" s="2590"/>
      <c r="AD165" s="1608"/>
    </row>
    <row r="166" spans="1:30" ht="15">
      <c r="A166" s="1685" t="str">
        <f t="shared" si="13"/>
        <v/>
      </c>
      <c r="B166" s="1081" t="str">
        <f t="shared" si="14"/>
        <v/>
      </c>
      <c r="C166" s="1081" t="str">
        <f t="shared" si="15"/>
        <v/>
      </c>
      <c r="D166" s="1081" t="str">
        <f t="shared" si="16"/>
        <v/>
      </c>
      <c r="E166" s="1081" t="str">
        <f t="shared" si="17"/>
        <v/>
      </c>
      <c r="F166" s="1081" t="str">
        <f t="shared" si="18"/>
        <v/>
      </c>
      <c r="G166" s="1681"/>
      <c r="H166" s="1681"/>
      <c r="I166" s="1681"/>
      <c r="J166" s="1681"/>
      <c r="K166" s="1676"/>
      <c r="L166" s="2554"/>
      <c r="M166" s="2617"/>
      <c r="N166" s="2598"/>
      <c r="O166" s="2561"/>
      <c r="P166" s="1630"/>
      <c r="Q166" s="1611" t="s">
        <v>2482</v>
      </c>
      <c r="R166" s="1613"/>
      <c r="S166" s="1613"/>
      <c r="T166" s="1613"/>
      <c r="U166" s="1613"/>
      <c r="V166" s="1613"/>
      <c r="W166" s="2590"/>
      <c r="AD166" s="1608"/>
    </row>
    <row r="167" spans="1:30" ht="15">
      <c r="A167" s="1685" t="str">
        <f t="shared" si="13"/>
        <v/>
      </c>
      <c r="B167" s="1081">
        <f t="shared" si="14"/>
        <v>0</v>
      </c>
      <c r="C167" s="1081">
        <f t="shared" si="15"/>
        <v>0</v>
      </c>
      <c r="D167" s="1081">
        <f t="shared" si="16"/>
        <v>0</v>
      </c>
      <c r="E167" s="1081">
        <f t="shared" si="17"/>
        <v>0</v>
      </c>
      <c r="F167" s="1081">
        <f t="shared" si="18"/>
        <v>0</v>
      </c>
      <c r="G167" s="1681"/>
      <c r="H167" s="1681"/>
      <c r="I167" s="1681"/>
      <c r="J167" s="1681"/>
      <c r="K167" s="1676"/>
      <c r="L167" s="2554"/>
      <c r="M167" s="2618"/>
      <c r="N167" s="2599"/>
      <c r="O167" s="2562"/>
      <c r="P167" s="1634"/>
      <c r="Q167" s="1611" t="s">
        <v>2483</v>
      </c>
      <c r="R167" s="1613"/>
      <c r="S167" s="1613"/>
      <c r="T167" s="1613"/>
      <c r="U167" s="1613"/>
      <c r="V167" s="1613"/>
      <c r="W167" s="2590"/>
      <c r="AD167" s="1608"/>
    </row>
    <row r="168" spans="1:30" ht="12.75" customHeight="1">
      <c r="A168" s="1685" t="str">
        <f t="shared" si="13"/>
        <v/>
      </c>
      <c r="B168" s="1081" t="str">
        <f t="shared" si="14"/>
        <v/>
      </c>
      <c r="C168" s="1081" t="str">
        <f t="shared" si="15"/>
        <v/>
      </c>
      <c r="D168" s="1081" t="str">
        <f t="shared" si="16"/>
        <v/>
      </c>
      <c r="E168" s="1081" t="str">
        <f t="shared" si="17"/>
        <v/>
      </c>
      <c r="F168" s="1081" t="str">
        <f t="shared" si="18"/>
        <v/>
      </c>
      <c r="G168" s="1681"/>
      <c r="H168" s="1681"/>
      <c r="I168" s="1681"/>
      <c r="J168" s="1681"/>
      <c r="K168" s="1676"/>
      <c r="L168" s="2583" t="s">
        <v>2600</v>
      </c>
      <c r="M168" s="2583" t="s">
        <v>2601</v>
      </c>
      <c r="N168" s="2583" t="s">
        <v>2602</v>
      </c>
      <c r="O168" s="2583" t="s">
        <v>2603</v>
      </c>
      <c r="P168" s="1630"/>
      <c r="Q168" s="1630"/>
      <c r="R168" s="1630"/>
      <c r="S168" s="1630"/>
      <c r="T168" s="1630"/>
      <c r="U168" s="1630"/>
      <c r="V168" s="1630"/>
      <c r="W168" s="1630"/>
      <c r="AD168" s="1608"/>
    </row>
    <row r="169" spans="1:30" ht="15">
      <c r="A169" s="1685" t="str">
        <f t="shared" si="13"/>
        <v/>
      </c>
      <c r="B169" s="1081" t="str">
        <f t="shared" si="14"/>
        <v/>
      </c>
      <c r="C169" s="1081" t="str">
        <f t="shared" si="15"/>
        <v/>
      </c>
      <c r="D169" s="1081" t="str">
        <f t="shared" si="16"/>
        <v/>
      </c>
      <c r="E169" s="1081" t="str">
        <f t="shared" si="17"/>
        <v/>
      </c>
      <c r="F169" s="1081" t="str">
        <f t="shared" si="18"/>
        <v/>
      </c>
      <c r="G169" s="1681"/>
      <c r="H169" s="1681"/>
      <c r="I169" s="1681"/>
      <c r="J169" s="1681"/>
      <c r="K169" s="1676"/>
      <c r="L169" s="2583"/>
      <c r="M169" s="2583"/>
      <c r="N169" s="2583"/>
      <c r="O169" s="2583"/>
      <c r="P169" s="1630"/>
      <c r="Q169" s="1630"/>
      <c r="R169" s="1630"/>
      <c r="S169" s="1630"/>
      <c r="T169" s="1630"/>
      <c r="U169" s="1630"/>
      <c r="V169" s="1630"/>
      <c r="W169" s="1630"/>
      <c r="AD169" s="1608"/>
    </row>
    <row r="170" spans="1:30" ht="15">
      <c r="A170" s="1685" t="str">
        <f t="shared" si="13"/>
        <v/>
      </c>
      <c r="B170" s="1081" t="str">
        <f t="shared" si="14"/>
        <v/>
      </c>
      <c r="C170" s="1081" t="str">
        <f t="shared" si="15"/>
        <v/>
      </c>
      <c r="D170" s="1081" t="str">
        <f t="shared" si="16"/>
        <v/>
      </c>
      <c r="E170" s="1081" t="str">
        <f t="shared" si="17"/>
        <v/>
      </c>
      <c r="F170" s="1081" t="str">
        <f t="shared" si="18"/>
        <v/>
      </c>
      <c r="G170" s="1681"/>
      <c r="H170" s="1681"/>
      <c r="I170" s="1681"/>
      <c r="J170" s="1681"/>
      <c r="K170" s="1676"/>
      <c r="L170" s="2583"/>
      <c r="M170" s="2583"/>
      <c r="N170" s="2583"/>
      <c r="O170" s="2583"/>
      <c r="P170" s="1630"/>
      <c r="Q170" s="1630"/>
      <c r="R170" s="1630"/>
      <c r="S170" s="1630"/>
      <c r="T170" s="1630"/>
      <c r="U170" s="1630"/>
      <c r="V170" s="1630"/>
      <c r="W170" s="1630"/>
      <c r="AD170" s="1608"/>
    </row>
    <row r="171" spans="1:30" ht="57.25" customHeight="1">
      <c r="A171" s="1685" t="str">
        <f t="shared" si="13"/>
        <v/>
      </c>
      <c r="B171" s="1081" t="str">
        <f t="shared" si="14"/>
        <v/>
      </c>
      <c r="C171" s="1081" t="str">
        <f t="shared" si="15"/>
        <v/>
      </c>
      <c r="D171" s="1081" t="str">
        <f t="shared" si="16"/>
        <v/>
      </c>
      <c r="E171" s="1081" t="str">
        <f t="shared" si="17"/>
        <v/>
      </c>
      <c r="F171" s="1081" t="str">
        <f t="shared" si="18"/>
        <v/>
      </c>
      <c r="G171" s="1681"/>
      <c r="H171" s="1681"/>
      <c r="I171" s="1681"/>
      <c r="J171" s="1681"/>
      <c r="K171" s="1676"/>
      <c r="L171" s="2583"/>
      <c r="M171" s="2583"/>
      <c r="N171" s="2583"/>
      <c r="O171" s="2583"/>
      <c r="P171" s="1630"/>
      <c r="Q171" s="1630"/>
      <c r="R171" s="1630"/>
      <c r="S171" s="1630"/>
      <c r="T171" s="1630"/>
      <c r="U171" s="1630"/>
      <c r="V171" s="1630"/>
      <c r="W171" s="1630"/>
      <c r="AD171" s="1608"/>
    </row>
    <row r="172" spans="1:30" ht="12.75" customHeight="1">
      <c r="A172" s="1685" t="str">
        <f t="shared" si="13"/>
        <v/>
      </c>
      <c r="B172" s="1081" t="str">
        <f t="shared" si="14"/>
        <v/>
      </c>
      <c r="C172" s="1081" t="str">
        <f t="shared" si="15"/>
        <v/>
      </c>
      <c r="D172" s="1081" t="str">
        <f t="shared" si="16"/>
        <v/>
      </c>
      <c r="E172" s="1081" t="str">
        <f t="shared" si="17"/>
        <v/>
      </c>
      <c r="F172" s="1081" t="str">
        <f t="shared" si="18"/>
        <v/>
      </c>
      <c r="G172" s="1681"/>
      <c r="H172" s="1681"/>
      <c r="I172" s="1681"/>
      <c r="J172" s="1681"/>
      <c r="K172" s="1676"/>
      <c r="L172" s="2554" t="s">
        <v>2604</v>
      </c>
      <c r="M172" s="2615" t="s">
        <v>2601</v>
      </c>
      <c r="N172" s="2615" t="s">
        <v>2605</v>
      </c>
      <c r="O172" s="2615" t="s">
        <v>2606</v>
      </c>
      <c r="P172" s="1614"/>
      <c r="Q172" s="1611" t="s">
        <v>604</v>
      </c>
      <c r="R172" s="1619" t="s">
        <v>2509</v>
      </c>
      <c r="S172" s="1619" t="s">
        <v>2509</v>
      </c>
      <c r="T172" s="1619" t="s">
        <v>2509</v>
      </c>
      <c r="U172" s="1619" t="s">
        <v>2509</v>
      </c>
      <c r="V172" s="1619" t="s">
        <v>2509</v>
      </c>
      <c r="W172" s="2590">
        <v>3266100</v>
      </c>
      <c r="AD172" s="1608"/>
    </row>
    <row r="173" spans="1:30" ht="15">
      <c r="A173" s="1685" t="str">
        <f t="shared" si="13"/>
        <v/>
      </c>
      <c r="B173" s="1081" t="str">
        <f t="shared" si="14"/>
        <v/>
      </c>
      <c r="C173" s="1081" t="str">
        <f t="shared" si="15"/>
        <v/>
      </c>
      <c r="D173" s="1081" t="str">
        <f t="shared" si="16"/>
        <v/>
      </c>
      <c r="E173" s="1081" t="str">
        <f t="shared" si="17"/>
        <v/>
      </c>
      <c r="F173" s="1081" t="str">
        <f t="shared" si="18"/>
        <v/>
      </c>
      <c r="G173" s="1681"/>
      <c r="H173" s="1681"/>
      <c r="I173" s="1681"/>
      <c r="J173" s="1681"/>
      <c r="K173" s="1676"/>
      <c r="L173" s="2554"/>
      <c r="M173" s="2615"/>
      <c r="N173" s="2615"/>
      <c r="O173" s="2615"/>
      <c r="P173" s="1630"/>
      <c r="Q173" s="1611" t="s">
        <v>2481</v>
      </c>
      <c r="R173" s="1617">
        <v>1</v>
      </c>
      <c r="S173" s="1617">
        <v>1</v>
      </c>
      <c r="T173" s="1617">
        <v>1</v>
      </c>
      <c r="U173" s="1617">
        <v>1</v>
      </c>
      <c r="V173" s="1617">
        <v>1</v>
      </c>
      <c r="W173" s="2590"/>
      <c r="AD173" s="1608"/>
    </row>
    <row r="174" spans="1:30" ht="15">
      <c r="A174" s="1685" t="str">
        <f t="shared" si="13"/>
        <v/>
      </c>
      <c r="B174" s="1081" t="str">
        <f t="shared" si="14"/>
        <v/>
      </c>
      <c r="C174" s="1081" t="str">
        <f t="shared" si="15"/>
        <v/>
      </c>
      <c r="D174" s="1081" t="str">
        <f t="shared" si="16"/>
        <v/>
      </c>
      <c r="E174" s="1081" t="str">
        <f t="shared" si="17"/>
        <v/>
      </c>
      <c r="F174" s="1081" t="str">
        <f t="shared" si="18"/>
        <v/>
      </c>
      <c r="G174" s="1681"/>
      <c r="H174" s="1681"/>
      <c r="I174" s="1681"/>
      <c r="J174" s="1681"/>
      <c r="K174" s="1676"/>
      <c r="L174" s="2554"/>
      <c r="M174" s="2615"/>
      <c r="N174" s="2615"/>
      <c r="O174" s="2615"/>
      <c r="P174" s="1630"/>
      <c r="Q174" s="1611" t="s">
        <v>2482</v>
      </c>
      <c r="R174" s="1617">
        <v>1306440</v>
      </c>
      <c r="S174" s="1617">
        <v>1088700</v>
      </c>
      <c r="T174" s="1617">
        <v>870960</v>
      </c>
      <c r="U174" s="1617">
        <v>0</v>
      </c>
      <c r="V174" s="1617">
        <v>0</v>
      </c>
      <c r="W174" s="2590"/>
      <c r="AD174" s="1608"/>
    </row>
    <row r="175" spans="1:30" ht="57.25" customHeight="1">
      <c r="A175" s="1685" t="str">
        <f t="shared" si="13"/>
        <v>3.3.3.</v>
      </c>
      <c r="B175" s="1081">
        <f t="shared" si="14"/>
        <v>1306440</v>
      </c>
      <c r="C175" s="1081">
        <f t="shared" si="15"/>
        <v>1088700</v>
      </c>
      <c r="D175" s="1081">
        <f t="shared" si="16"/>
        <v>870960</v>
      </c>
      <c r="E175" s="1081">
        <f t="shared" si="17"/>
        <v>0</v>
      </c>
      <c r="F175" s="1081">
        <f t="shared" si="18"/>
        <v>0</v>
      </c>
      <c r="G175" s="1681"/>
      <c r="H175" s="1681"/>
      <c r="I175" s="1681"/>
      <c r="J175" s="1681" t="s">
        <v>1860</v>
      </c>
      <c r="K175" s="1676"/>
      <c r="L175" s="2554"/>
      <c r="M175" s="2615"/>
      <c r="N175" s="2615"/>
      <c r="O175" s="2615"/>
      <c r="P175" s="1630"/>
      <c r="Q175" s="1611" t="s">
        <v>2483</v>
      </c>
      <c r="R175" s="1628">
        <v>1306440</v>
      </c>
      <c r="S175" s="1628">
        <v>1088700</v>
      </c>
      <c r="T175" s="1628">
        <v>870960</v>
      </c>
      <c r="U175" s="1628">
        <v>0</v>
      </c>
      <c r="V175" s="1628">
        <v>0</v>
      </c>
      <c r="W175" s="2590"/>
      <c r="AD175" s="1608"/>
    </row>
    <row r="176" spans="1:30" ht="12.75" customHeight="1">
      <c r="A176" s="1685" t="str">
        <f t="shared" si="13"/>
        <v/>
      </c>
      <c r="B176" s="1081" t="str">
        <f t="shared" si="14"/>
        <v/>
      </c>
      <c r="C176" s="1081" t="str">
        <f t="shared" si="15"/>
        <v/>
      </c>
      <c r="D176" s="1081" t="str">
        <f t="shared" si="16"/>
        <v/>
      </c>
      <c r="E176" s="1081" t="str">
        <f t="shared" si="17"/>
        <v/>
      </c>
      <c r="F176" s="1081" t="str">
        <f t="shared" si="18"/>
        <v/>
      </c>
      <c r="G176" s="1681"/>
      <c r="H176" s="1681"/>
      <c r="I176" s="1681"/>
      <c r="J176" s="1681"/>
      <c r="K176" s="1676"/>
      <c r="L176" s="2554" t="s">
        <v>2607</v>
      </c>
      <c r="M176" s="2615" t="s">
        <v>2601</v>
      </c>
      <c r="N176" s="2615" t="s">
        <v>2608</v>
      </c>
      <c r="O176" s="2615" t="s">
        <v>2606</v>
      </c>
      <c r="P176" s="1614"/>
      <c r="Q176" s="1611" t="s">
        <v>604</v>
      </c>
      <c r="R176" s="1619" t="s">
        <v>2509</v>
      </c>
      <c r="S176" s="1619" t="s">
        <v>2509</v>
      </c>
      <c r="T176" s="1619" t="s">
        <v>2509</v>
      </c>
      <c r="U176" s="1619" t="s">
        <v>2509</v>
      </c>
      <c r="V176" s="1619" t="s">
        <v>2509</v>
      </c>
      <c r="W176" s="2590">
        <v>188000</v>
      </c>
      <c r="AD176" s="1608"/>
    </row>
    <row r="177" spans="1:30" ht="15">
      <c r="A177" s="1685" t="str">
        <f t="shared" si="13"/>
        <v/>
      </c>
      <c r="B177" s="1081" t="str">
        <f t="shared" si="14"/>
        <v/>
      </c>
      <c r="C177" s="1081" t="str">
        <f t="shared" si="15"/>
        <v/>
      </c>
      <c r="D177" s="1081" t="str">
        <f t="shared" si="16"/>
        <v/>
      </c>
      <c r="E177" s="1081" t="str">
        <f t="shared" si="17"/>
        <v/>
      </c>
      <c r="F177" s="1081" t="str">
        <f t="shared" si="18"/>
        <v/>
      </c>
      <c r="G177" s="1681"/>
      <c r="H177" s="1681"/>
      <c r="I177" s="1681"/>
      <c r="J177" s="1681"/>
      <c r="K177" s="1676"/>
      <c r="L177" s="2554"/>
      <c r="M177" s="2615"/>
      <c r="N177" s="2615"/>
      <c r="O177" s="2615"/>
      <c r="P177" s="1630"/>
      <c r="Q177" s="1611" t="s">
        <v>2481</v>
      </c>
      <c r="R177" s="1617">
        <v>1</v>
      </c>
      <c r="S177" s="1617">
        <v>1</v>
      </c>
      <c r="T177" s="1617">
        <v>1</v>
      </c>
      <c r="U177" s="1617">
        <v>1</v>
      </c>
      <c r="V177" s="1617">
        <v>1</v>
      </c>
      <c r="W177" s="2590"/>
      <c r="AD177" s="1608"/>
    </row>
    <row r="178" spans="1:30" ht="15">
      <c r="A178" s="1685" t="str">
        <f t="shared" si="13"/>
        <v/>
      </c>
      <c r="B178" s="1081" t="str">
        <f t="shared" si="14"/>
        <v/>
      </c>
      <c r="C178" s="1081" t="str">
        <f t="shared" si="15"/>
        <v/>
      </c>
      <c r="D178" s="1081" t="str">
        <f t="shared" si="16"/>
        <v/>
      </c>
      <c r="E178" s="1081" t="str">
        <f t="shared" si="17"/>
        <v/>
      </c>
      <c r="F178" s="1081" t="str">
        <f t="shared" si="18"/>
        <v/>
      </c>
      <c r="G178" s="1681"/>
      <c r="H178" s="1681"/>
      <c r="I178" s="1681"/>
      <c r="J178" s="1681"/>
      <c r="K178" s="1676"/>
      <c r="L178" s="2554"/>
      <c r="M178" s="2615"/>
      <c r="N178" s="2615"/>
      <c r="O178" s="2615"/>
      <c r="P178" s="1630"/>
      <c r="Q178" s="1611" t="s">
        <v>2482</v>
      </c>
      <c r="R178" s="1617">
        <v>94000</v>
      </c>
      <c r="S178" s="1617">
        <v>0</v>
      </c>
      <c r="T178" s="1617">
        <v>94000</v>
      </c>
      <c r="U178" s="1617">
        <v>0</v>
      </c>
      <c r="V178" s="1617">
        <v>0</v>
      </c>
      <c r="W178" s="2590"/>
      <c r="AD178" s="1608"/>
    </row>
    <row r="179" spans="1:30" ht="57.25" customHeight="1">
      <c r="A179" s="1685" t="str">
        <f t="shared" si="13"/>
        <v>3.3.3.</v>
      </c>
      <c r="B179" s="1081">
        <f t="shared" si="14"/>
        <v>94000</v>
      </c>
      <c r="C179" s="1081">
        <f t="shared" si="15"/>
        <v>0</v>
      </c>
      <c r="D179" s="1081">
        <f t="shared" si="16"/>
        <v>94000</v>
      </c>
      <c r="E179" s="1081">
        <f t="shared" si="17"/>
        <v>0</v>
      </c>
      <c r="F179" s="1081">
        <f t="shared" si="18"/>
        <v>0</v>
      </c>
      <c r="G179" s="1681"/>
      <c r="H179" s="1681"/>
      <c r="I179" s="1681"/>
      <c r="J179" s="1681" t="s">
        <v>1860</v>
      </c>
      <c r="K179" s="1676"/>
      <c r="L179" s="2554"/>
      <c r="M179" s="2615"/>
      <c r="N179" s="2615"/>
      <c r="O179" s="2615"/>
      <c r="P179" s="1632"/>
      <c r="Q179" s="1611" t="s">
        <v>2483</v>
      </c>
      <c r="R179" s="1628">
        <v>94000</v>
      </c>
      <c r="S179" s="1628">
        <v>0</v>
      </c>
      <c r="T179" s="1628">
        <v>94000</v>
      </c>
      <c r="U179" s="1628">
        <v>0</v>
      </c>
      <c r="V179" s="1628">
        <v>0</v>
      </c>
      <c r="W179" s="2590"/>
      <c r="AD179" s="1608"/>
    </row>
    <row r="180" spans="1:30" ht="12.75" customHeight="1">
      <c r="A180" s="1685" t="str">
        <f t="shared" si="13"/>
        <v/>
      </c>
      <c r="B180" s="1081" t="str">
        <f t="shared" si="14"/>
        <v/>
      </c>
      <c r="C180" s="1081" t="str">
        <f t="shared" si="15"/>
        <v/>
      </c>
      <c r="D180" s="1081" t="str">
        <f t="shared" si="16"/>
        <v/>
      </c>
      <c r="E180" s="1081" t="str">
        <f t="shared" si="17"/>
        <v/>
      </c>
      <c r="F180" s="1081" t="str">
        <f t="shared" si="18"/>
        <v/>
      </c>
      <c r="G180" s="1681"/>
      <c r="H180" s="1681"/>
      <c r="I180" s="1681"/>
      <c r="J180" s="1681"/>
      <c r="K180" s="1676"/>
      <c r="L180" s="2554" t="s">
        <v>2609</v>
      </c>
      <c r="M180" s="2615" t="s">
        <v>2601</v>
      </c>
      <c r="N180" s="2615" t="s">
        <v>2610</v>
      </c>
      <c r="O180" s="2615" t="s">
        <v>2606</v>
      </c>
      <c r="P180" s="1614"/>
      <c r="Q180" s="1611" t="s">
        <v>604</v>
      </c>
      <c r="R180" s="1619" t="s">
        <v>2509</v>
      </c>
      <c r="S180" s="1619" t="s">
        <v>2509</v>
      </c>
      <c r="T180" s="1619" t="s">
        <v>2509</v>
      </c>
      <c r="U180" s="1619" t="s">
        <v>2509</v>
      </c>
      <c r="V180" s="1619" t="s">
        <v>2509</v>
      </c>
      <c r="W180" s="2590">
        <v>3603923.0610143999</v>
      </c>
      <c r="AD180" s="1608"/>
    </row>
    <row r="181" spans="1:30" ht="15">
      <c r="A181" s="1685" t="str">
        <f t="shared" si="13"/>
        <v/>
      </c>
      <c r="B181" s="1081" t="str">
        <f t="shared" si="14"/>
        <v/>
      </c>
      <c r="C181" s="1081" t="str">
        <f t="shared" si="15"/>
        <v/>
      </c>
      <c r="D181" s="1081" t="str">
        <f t="shared" si="16"/>
        <v/>
      </c>
      <c r="E181" s="1081" t="str">
        <f t="shared" si="17"/>
        <v/>
      </c>
      <c r="F181" s="1081" t="str">
        <f t="shared" si="18"/>
        <v/>
      </c>
      <c r="G181" s="1681"/>
      <c r="H181" s="1681"/>
      <c r="I181" s="1681"/>
      <c r="J181" s="1681"/>
      <c r="K181" s="1676"/>
      <c r="L181" s="2554"/>
      <c r="M181" s="2615"/>
      <c r="N181" s="2615"/>
      <c r="O181" s="2615"/>
      <c r="P181" s="1630"/>
      <c r="Q181" s="1611" t="s">
        <v>2481</v>
      </c>
      <c r="R181" s="1617">
        <v>1</v>
      </c>
      <c r="S181" s="1617">
        <v>1</v>
      </c>
      <c r="T181" s="1617">
        <v>1</v>
      </c>
      <c r="U181" s="1617">
        <v>1</v>
      </c>
      <c r="V181" s="1617">
        <v>1</v>
      </c>
      <c r="W181" s="2590"/>
      <c r="AD181" s="1608"/>
    </row>
    <row r="182" spans="1:30" ht="15">
      <c r="A182" s="1685" t="str">
        <f t="shared" si="13"/>
        <v/>
      </c>
      <c r="B182" s="1081" t="str">
        <f t="shared" si="14"/>
        <v/>
      </c>
      <c r="C182" s="1081" t="str">
        <f t="shared" si="15"/>
        <v/>
      </c>
      <c r="D182" s="1081" t="str">
        <f t="shared" si="16"/>
        <v/>
      </c>
      <c r="E182" s="1081" t="str">
        <f t="shared" si="17"/>
        <v/>
      </c>
      <c r="F182" s="1081" t="str">
        <f t="shared" si="18"/>
        <v/>
      </c>
      <c r="G182" s="1681"/>
      <c r="H182" s="1681"/>
      <c r="I182" s="1681"/>
      <c r="J182" s="1681"/>
      <c r="K182" s="1676"/>
      <c r="L182" s="2554"/>
      <c r="M182" s="2615"/>
      <c r="N182" s="2615"/>
      <c r="O182" s="2615"/>
      <c r="P182" s="1614"/>
      <c r="Q182" s="1611" t="s">
        <v>2482</v>
      </c>
      <c r="R182" s="1617">
        <v>978263.73171840003</v>
      </c>
      <c r="S182" s="1617">
        <v>763697.79878880002</v>
      </c>
      <c r="T182" s="1617">
        <v>763697.79878880002</v>
      </c>
      <c r="U182" s="1617">
        <v>549131.86585920001</v>
      </c>
      <c r="V182" s="1617">
        <v>549131.86585920001</v>
      </c>
      <c r="W182" s="2590"/>
      <c r="AD182" s="1608"/>
    </row>
    <row r="183" spans="1:30" ht="57.25" customHeight="1">
      <c r="A183" s="1685" t="str">
        <f t="shared" si="13"/>
        <v>3.3.3.</v>
      </c>
      <c r="B183" s="1081">
        <f t="shared" si="14"/>
        <v>978263.73171840003</v>
      </c>
      <c r="C183" s="1081">
        <f t="shared" si="15"/>
        <v>763697.79878880002</v>
      </c>
      <c r="D183" s="1081">
        <f t="shared" si="16"/>
        <v>763697.79878880002</v>
      </c>
      <c r="E183" s="1081">
        <f t="shared" si="17"/>
        <v>549131.86585920001</v>
      </c>
      <c r="F183" s="1081">
        <f t="shared" si="18"/>
        <v>549131.86585920001</v>
      </c>
      <c r="G183" s="1681"/>
      <c r="H183" s="1681"/>
      <c r="I183" s="1681"/>
      <c r="J183" s="1681" t="s">
        <v>1860</v>
      </c>
      <c r="K183" s="1676"/>
      <c r="L183" s="2554"/>
      <c r="M183" s="2615"/>
      <c r="N183" s="2615"/>
      <c r="O183" s="2615"/>
      <c r="P183" s="1632"/>
      <c r="Q183" s="1611" t="s">
        <v>2483</v>
      </c>
      <c r="R183" s="1628">
        <v>978263.73171840003</v>
      </c>
      <c r="S183" s="1628">
        <v>763697.79878880002</v>
      </c>
      <c r="T183" s="1628">
        <v>763697.79878880002</v>
      </c>
      <c r="U183" s="1628">
        <v>549131.86585920001</v>
      </c>
      <c r="V183" s="1628">
        <v>549131.86585920001</v>
      </c>
      <c r="W183" s="2590"/>
      <c r="AD183" s="1608"/>
    </row>
    <row r="184" spans="1:30" ht="12.75" customHeight="1">
      <c r="A184" s="1685" t="str">
        <f t="shared" si="13"/>
        <v/>
      </c>
      <c r="B184" s="1081" t="str">
        <f t="shared" si="14"/>
        <v/>
      </c>
      <c r="C184" s="1081" t="str">
        <f t="shared" si="15"/>
        <v/>
      </c>
      <c r="D184" s="1081" t="str">
        <f t="shared" si="16"/>
        <v/>
      </c>
      <c r="E184" s="1081" t="str">
        <f t="shared" si="17"/>
        <v/>
      </c>
      <c r="F184" s="1081" t="str">
        <f t="shared" si="18"/>
        <v/>
      </c>
      <c r="G184" s="1681"/>
      <c r="H184" s="1681"/>
      <c r="I184" s="1681"/>
      <c r="J184" s="1681"/>
      <c r="K184" s="1676"/>
      <c r="L184" s="2554" t="s">
        <v>2611</v>
      </c>
      <c r="M184" s="2615" t="s">
        <v>2601</v>
      </c>
      <c r="N184" s="2615" t="s">
        <v>2612</v>
      </c>
      <c r="O184" s="2615" t="s">
        <v>2613</v>
      </c>
      <c r="P184" s="1614"/>
      <c r="Q184" s="1611" t="s">
        <v>604</v>
      </c>
      <c r="R184" s="1619" t="s">
        <v>2563</v>
      </c>
      <c r="S184" s="1619" t="s">
        <v>2563</v>
      </c>
      <c r="T184" s="1619" t="s">
        <v>2563</v>
      </c>
      <c r="U184" s="1619" t="s">
        <v>2563</v>
      </c>
      <c r="V184" s="1619" t="s">
        <v>2563</v>
      </c>
      <c r="W184" s="2590">
        <v>479010</v>
      </c>
      <c r="AD184" s="1608"/>
    </row>
    <row r="185" spans="1:30" ht="15">
      <c r="A185" s="1685" t="str">
        <f t="shared" si="13"/>
        <v/>
      </c>
      <c r="B185" s="1081" t="str">
        <f t="shared" si="14"/>
        <v/>
      </c>
      <c r="C185" s="1081" t="str">
        <f t="shared" si="15"/>
        <v/>
      </c>
      <c r="D185" s="1081" t="str">
        <f t="shared" si="16"/>
        <v/>
      </c>
      <c r="E185" s="1081" t="str">
        <f t="shared" si="17"/>
        <v/>
      </c>
      <c r="F185" s="1081" t="str">
        <f t="shared" si="18"/>
        <v/>
      </c>
      <c r="G185" s="1681"/>
      <c r="H185" s="1681"/>
      <c r="I185" s="1681"/>
      <c r="J185" s="1681"/>
      <c r="K185" s="1676"/>
      <c r="L185" s="2554"/>
      <c r="M185" s="2615"/>
      <c r="N185" s="2615"/>
      <c r="O185" s="2615"/>
      <c r="P185" s="1614"/>
      <c r="Q185" s="1611" t="s">
        <v>2481</v>
      </c>
      <c r="R185" s="1617">
        <v>4</v>
      </c>
      <c r="S185" s="1617">
        <v>3</v>
      </c>
      <c r="T185" s="1617">
        <v>3</v>
      </c>
      <c r="U185" s="1617">
        <v>2</v>
      </c>
      <c r="V185" s="1617">
        <v>2</v>
      </c>
      <c r="W185" s="2590"/>
      <c r="AD185" s="1608"/>
    </row>
    <row r="186" spans="1:30" ht="15">
      <c r="A186" s="1685" t="str">
        <f t="shared" si="13"/>
        <v/>
      </c>
      <c r="B186" s="1081" t="str">
        <f t="shared" si="14"/>
        <v/>
      </c>
      <c r="C186" s="1081" t="str">
        <f t="shared" si="15"/>
        <v/>
      </c>
      <c r="D186" s="1081" t="str">
        <f t="shared" si="16"/>
        <v/>
      </c>
      <c r="E186" s="1081" t="str">
        <f t="shared" si="17"/>
        <v/>
      </c>
      <c r="F186" s="1081" t="str">
        <f t="shared" si="18"/>
        <v/>
      </c>
      <c r="G186" s="1681"/>
      <c r="H186" s="1681"/>
      <c r="I186" s="1681"/>
      <c r="J186" s="1681"/>
      <c r="K186" s="1676"/>
      <c r="L186" s="2554"/>
      <c r="M186" s="2615"/>
      <c r="N186" s="2615"/>
      <c r="O186" s="2615"/>
      <c r="P186" s="1630"/>
      <c r="Q186" s="1611" t="s">
        <v>2482</v>
      </c>
      <c r="R186" s="1617">
        <v>34215</v>
      </c>
      <c r="S186" s="1617">
        <v>34215</v>
      </c>
      <c r="T186" s="1617">
        <v>34215</v>
      </c>
      <c r="U186" s="1617">
        <v>34215</v>
      </c>
      <c r="V186" s="1617">
        <v>34215</v>
      </c>
      <c r="W186" s="2590"/>
      <c r="AD186" s="1608"/>
    </row>
    <row r="187" spans="1:30" ht="57.25" customHeight="1">
      <c r="A187" s="1685" t="str">
        <f t="shared" si="13"/>
        <v>3.3.3.</v>
      </c>
      <c r="B187" s="1081">
        <f t="shared" si="14"/>
        <v>136860</v>
      </c>
      <c r="C187" s="1081">
        <f t="shared" si="15"/>
        <v>102645</v>
      </c>
      <c r="D187" s="1081">
        <f t="shared" si="16"/>
        <v>102645</v>
      </c>
      <c r="E187" s="1081">
        <f t="shared" si="17"/>
        <v>68430</v>
      </c>
      <c r="F187" s="1081">
        <f t="shared" si="18"/>
        <v>68430</v>
      </c>
      <c r="G187" s="1681"/>
      <c r="H187" s="1681"/>
      <c r="I187" s="1681"/>
      <c r="J187" s="1681" t="s">
        <v>1860</v>
      </c>
      <c r="K187" s="1676"/>
      <c r="L187" s="2554"/>
      <c r="M187" s="2615"/>
      <c r="N187" s="2615"/>
      <c r="O187" s="2615"/>
      <c r="P187" s="1632"/>
      <c r="Q187" s="1611" t="s">
        <v>2483</v>
      </c>
      <c r="R187" s="1628">
        <v>136860</v>
      </c>
      <c r="S187" s="1628">
        <v>102645</v>
      </c>
      <c r="T187" s="1628">
        <v>102645</v>
      </c>
      <c r="U187" s="1628">
        <v>68430</v>
      </c>
      <c r="V187" s="1628">
        <v>68430</v>
      </c>
      <c r="W187" s="2590"/>
      <c r="AD187" s="1608"/>
    </row>
    <row r="188" spans="1:30" ht="12.75" customHeight="1">
      <c r="A188" s="1685" t="str">
        <f t="shared" si="13"/>
        <v/>
      </c>
      <c r="B188" s="1081" t="str">
        <f t="shared" si="14"/>
        <v/>
      </c>
      <c r="C188" s="1081" t="str">
        <f t="shared" si="15"/>
        <v/>
      </c>
      <c r="D188" s="1081" t="str">
        <f t="shared" si="16"/>
        <v/>
      </c>
      <c r="E188" s="1081" t="str">
        <f t="shared" si="17"/>
        <v/>
      </c>
      <c r="F188" s="1081" t="str">
        <f t="shared" si="18"/>
        <v/>
      </c>
      <c r="G188" s="1681"/>
      <c r="H188" s="1681"/>
      <c r="I188" s="1681"/>
      <c r="J188" s="1681"/>
      <c r="K188" s="1676"/>
      <c r="L188" s="2554" t="s">
        <v>2614</v>
      </c>
      <c r="M188" s="2615" t="s">
        <v>2601</v>
      </c>
      <c r="N188" s="2615" t="s">
        <v>2615</v>
      </c>
      <c r="O188" s="2615" t="s">
        <v>2606</v>
      </c>
      <c r="P188" s="1614"/>
      <c r="Q188" s="1611" t="s">
        <v>604</v>
      </c>
      <c r="R188" s="1619" t="s">
        <v>2499</v>
      </c>
      <c r="S188" s="1619" t="s">
        <v>2499</v>
      </c>
      <c r="T188" s="1619" t="s">
        <v>2499</v>
      </c>
      <c r="U188" s="1610"/>
      <c r="V188" s="1610"/>
      <c r="W188" s="2590">
        <v>882378</v>
      </c>
      <c r="AD188" s="1608"/>
    </row>
    <row r="189" spans="1:30" ht="15">
      <c r="A189" s="1685" t="str">
        <f t="shared" si="13"/>
        <v/>
      </c>
      <c r="B189" s="1081" t="str">
        <f t="shared" si="14"/>
        <v/>
      </c>
      <c r="C189" s="1081" t="str">
        <f t="shared" si="15"/>
        <v/>
      </c>
      <c r="D189" s="1081" t="str">
        <f t="shared" si="16"/>
        <v/>
      </c>
      <c r="E189" s="1081" t="str">
        <f t="shared" si="17"/>
        <v/>
      </c>
      <c r="F189" s="1081" t="str">
        <f t="shared" si="18"/>
        <v/>
      </c>
      <c r="G189" s="1681"/>
      <c r="H189" s="1681"/>
      <c r="I189" s="1681"/>
      <c r="J189" s="1681"/>
      <c r="K189" s="1676"/>
      <c r="L189" s="2554"/>
      <c r="M189" s="2615"/>
      <c r="N189" s="2615"/>
      <c r="O189" s="2615"/>
      <c r="P189" s="1630"/>
      <c r="Q189" s="1611" t="s">
        <v>2481</v>
      </c>
      <c r="R189" s="1617">
        <v>94</v>
      </c>
      <c r="S189" s="1617">
        <v>94</v>
      </c>
      <c r="T189" s="1617">
        <v>94</v>
      </c>
      <c r="U189" s="1612"/>
      <c r="V189" s="1612"/>
      <c r="W189" s="2590"/>
      <c r="AD189" s="1608"/>
    </row>
    <row r="190" spans="1:30" ht="15">
      <c r="A190" s="1685" t="str">
        <f t="shared" si="13"/>
        <v/>
      </c>
      <c r="B190" s="1081" t="str">
        <f t="shared" si="14"/>
        <v/>
      </c>
      <c r="C190" s="1081" t="str">
        <f t="shared" si="15"/>
        <v/>
      </c>
      <c r="D190" s="1081" t="str">
        <f t="shared" si="16"/>
        <v/>
      </c>
      <c r="E190" s="1081" t="str">
        <f t="shared" si="17"/>
        <v/>
      </c>
      <c r="F190" s="1081" t="str">
        <f t="shared" si="18"/>
        <v/>
      </c>
      <c r="G190" s="1681"/>
      <c r="H190" s="1681"/>
      <c r="I190" s="1681"/>
      <c r="J190" s="1681"/>
      <c r="K190" s="1676"/>
      <c r="L190" s="2554"/>
      <c r="M190" s="2615"/>
      <c r="N190" s="2615"/>
      <c r="O190" s="2615"/>
      <c r="P190" s="1630"/>
      <c r="Q190" s="1611" t="s">
        <v>2482</v>
      </c>
      <c r="R190" s="1617">
        <v>3129</v>
      </c>
      <c r="S190" s="1617">
        <v>3129</v>
      </c>
      <c r="T190" s="1617">
        <v>3129</v>
      </c>
      <c r="U190" s="1612"/>
      <c r="V190" s="1612"/>
      <c r="W190" s="2590"/>
      <c r="AD190" s="1608"/>
    </row>
    <row r="191" spans="1:30" ht="57.25" customHeight="1">
      <c r="A191" s="1685" t="str">
        <f t="shared" si="13"/>
        <v>3.3.3.</v>
      </c>
      <c r="B191" s="1081">
        <f t="shared" si="14"/>
        <v>294126</v>
      </c>
      <c r="C191" s="1081">
        <f t="shared" si="15"/>
        <v>294126</v>
      </c>
      <c r="D191" s="1081">
        <f t="shared" si="16"/>
        <v>294126</v>
      </c>
      <c r="E191" s="1081">
        <f t="shared" si="17"/>
        <v>0</v>
      </c>
      <c r="F191" s="1081">
        <f t="shared" si="18"/>
        <v>0</v>
      </c>
      <c r="G191" s="1681"/>
      <c r="H191" s="1681"/>
      <c r="I191" s="1681"/>
      <c r="J191" s="1681" t="s">
        <v>1860</v>
      </c>
      <c r="K191" s="1676"/>
      <c r="L191" s="2554"/>
      <c r="M191" s="2615"/>
      <c r="N191" s="2615"/>
      <c r="O191" s="2615"/>
      <c r="P191" s="1614"/>
      <c r="Q191" s="1611" t="s">
        <v>2483</v>
      </c>
      <c r="R191" s="1628">
        <v>294126</v>
      </c>
      <c r="S191" s="1628">
        <v>294126</v>
      </c>
      <c r="T191" s="1628">
        <v>294126</v>
      </c>
      <c r="U191" s="1638"/>
      <c r="V191" s="1638"/>
      <c r="W191" s="2590"/>
      <c r="AD191" s="1608"/>
    </row>
    <row r="192" spans="1:30" ht="12.75" customHeight="1">
      <c r="A192" s="1685" t="str">
        <f t="shared" si="13"/>
        <v/>
      </c>
      <c r="B192" s="1081" t="str">
        <f t="shared" si="14"/>
        <v/>
      </c>
      <c r="C192" s="1081" t="str">
        <f t="shared" si="15"/>
        <v/>
      </c>
      <c r="D192" s="1081" t="str">
        <f t="shared" si="16"/>
        <v/>
      </c>
      <c r="E192" s="1081" t="str">
        <f t="shared" si="17"/>
        <v/>
      </c>
      <c r="F192" s="1081" t="str">
        <f t="shared" si="18"/>
        <v/>
      </c>
      <c r="G192" s="1681"/>
      <c r="H192" s="1681"/>
      <c r="I192" s="1681"/>
      <c r="J192" s="1681"/>
      <c r="K192" s="1676"/>
      <c r="L192" s="2554" t="s">
        <v>2616</v>
      </c>
      <c r="M192" s="2615" t="s">
        <v>2601</v>
      </c>
      <c r="N192" s="2615" t="s">
        <v>2617</v>
      </c>
      <c r="O192" s="2615" t="s">
        <v>2606</v>
      </c>
      <c r="P192" s="1614"/>
      <c r="Q192" s="1611" t="s">
        <v>604</v>
      </c>
      <c r="R192" s="1619" t="s">
        <v>2509</v>
      </c>
      <c r="S192" s="1610"/>
      <c r="T192" s="1610"/>
      <c r="U192" s="1610"/>
      <c r="V192" s="1610"/>
      <c r="W192" s="2590">
        <v>97100</v>
      </c>
      <c r="AD192" s="1608"/>
    </row>
    <row r="193" spans="1:30" ht="15">
      <c r="A193" s="1685" t="str">
        <f t="shared" si="13"/>
        <v/>
      </c>
      <c r="B193" s="1081" t="str">
        <f t="shared" si="14"/>
        <v/>
      </c>
      <c r="C193" s="1081" t="str">
        <f t="shared" si="15"/>
        <v/>
      </c>
      <c r="D193" s="1081" t="str">
        <f t="shared" si="16"/>
        <v/>
      </c>
      <c r="E193" s="1081" t="str">
        <f t="shared" si="17"/>
        <v/>
      </c>
      <c r="F193" s="1081" t="str">
        <f t="shared" si="18"/>
        <v/>
      </c>
      <c r="G193" s="1681"/>
      <c r="H193" s="1681"/>
      <c r="I193" s="1681"/>
      <c r="J193" s="1681"/>
      <c r="K193" s="1676"/>
      <c r="L193" s="2554"/>
      <c r="M193" s="2615"/>
      <c r="N193" s="2615"/>
      <c r="O193" s="2615"/>
      <c r="P193" s="1630"/>
      <c r="Q193" s="1611" t="s">
        <v>2481</v>
      </c>
      <c r="R193" s="1617">
        <v>1</v>
      </c>
      <c r="S193" s="1612"/>
      <c r="T193" s="1612"/>
      <c r="U193" s="1612"/>
      <c r="V193" s="1612"/>
      <c r="W193" s="2590"/>
      <c r="AD193" s="1608"/>
    </row>
    <row r="194" spans="1:30" ht="15">
      <c r="A194" s="1685" t="str">
        <f t="shared" si="13"/>
        <v/>
      </c>
      <c r="B194" s="1081" t="str">
        <f t="shared" si="14"/>
        <v/>
      </c>
      <c r="C194" s="1081" t="str">
        <f t="shared" si="15"/>
        <v/>
      </c>
      <c r="D194" s="1081" t="str">
        <f t="shared" si="16"/>
        <v/>
      </c>
      <c r="E194" s="1081" t="str">
        <f t="shared" si="17"/>
        <v/>
      </c>
      <c r="F194" s="1081" t="str">
        <f t="shared" si="18"/>
        <v/>
      </c>
      <c r="G194" s="1681"/>
      <c r="H194" s="1681"/>
      <c r="I194" s="1681"/>
      <c r="J194" s="1681"/>
      <c r="K194" s="1676"/>
      <c r="L194" s="2554"/>
      <c r="M194" s="2615"/>
      <c r="N194" s="2615"/>
      <c r="O194" s="2615"/>
      <c r="P194" s="1630"/>
      <c r="Q194" s="1611" t="s">
        <v>2482</v>
      </c>
      <c r="R194" s="1617">
        <v>97100</v>
      </c>
      <c r="S194" s="1612"/>
      <c r="T194" s="1612"/>
      <c r="U194" s="1612"/>
      <c r="V194" s="1612"/>
      <c r="W194" s="2590"/>
      <c r="X194" s="1639"/>
      <c r="AD194" s="1608"/>
    </row>
    <row r="195" spans="1:30" ht="57.25" customHeight="1">
      <c r="A195" s="1685" t="str">
        <f t="shared" ref="A195:A258" si="19">IF(J195="","",LEFT(J195,6))</f>
        <v>3.3.3.</v>
      </c>
      <c r="B195" s="1081">
        <f t="shared" si="14"/>
        <v>97100</v>
      </c>
      <c r="C195" s="1081">
        <f t="shared" si="15"/>
        <v>0</v>
      </c>
      <c r="D195" s="1081">
        <f t="shared" si="16"/>
        <v>0</v>
      </c>
      <c r="E195" s="1081">
        <f t="shared" si="17"/>
        <v>0</v>
      </c>
      <c r="F195" s="1081">
        <f t="shared" si="18"/>
        <v>0</v>
      </c>
      <c r="G195" s="1681"/>
      <c r="H195" s="1681"/>
      <c r="I195" s="1681"/>
      <c r="J195" s="1681" t="s">
        <v>1860</v>
      </c>
      <c r="K195" s="1676"/>
      <c r="L195" s="2554"/>
      <c r="M195" s="2615"/>
      <c r="N195" s="2615"/>
      <c r="O195" s="2615"/>
      <c r="P195" s="1632"/>
      <c r="Q195" s="1611" t="s">
        <v>2483</v>
      </c>
      <c r="R195" s="1628">
        <v>97100</v>
      </c>
      <c r="S195" s="1612"/>
      <c r="T195" s="1612"/>
      <c r="U195" s="1612"/>
      <c r="V195" s="1612"/>
      <c r="W195" s="2590"/>
      <c r="AD195" s="1608"/>
    </row>
    <row r="196" spans="1:30" ht="12.75" customHeight="1">
      <c r="A196" s="1685" t="str">
        <f t="shared" si="19"/>
        <v/>
      </c>
      <c r="B196" s="1081" t="str">
        <f t="shared" si="14"/>
        <v/>
      </c>
      <c r="C196" s="1081" t="str">
        <f t="shared" si="15"/>
        <v/>
      </c>
      <c r="D196" s="1081" t="str">
        <f t="shared" si="16"/>
        <v/>
      </c>
      <c r="E196" s="1081" t="str">
        <f t="shared" si="17"/>
        <v/>
      </c>
      <c r="F196" s="1081" t="str">
        <f t="shared" si="18"/>
        <v/>
      </c>
      <c r="G196" s="1681"/>
      <c r="H196" s="1681"/>
      <c r="I196" s="1681"/>
      <c r="J196" s="1681"/>
      <c r="K196" s="1676"/>
      <c r="L196" s="2583" t="s">
        <v>2618</v>
      </c>
      <c r="M196" s="2583" t="s">
        <v>2619</v>
      </c>
      <c r="N196" s="2583" t="s">
        <v>2620</v>
      </c>
      <c r="O196" s="2583" t="s">
        <v>2621</v>
      </c>
      <c r="P196" s="1614"/>
      <c r="Q196" s="1611" t="s">
        <v>604</v>
      </c>
      <c r="R196" s="1619" t="s">
        <v>2509</v>
      </c>
      <c r="S196" s="1619" t="s">
        <v>2509</v>
      </c>
      <c r="T196" s="1619" t="s">
        <v>2509</v>
      </c>
      <c r="U196" s="1619" t="s">
        <v>2509</v>
      </c>
      <c r="V196" s="1619" t="s">
        <v>2509</v>
      </c>
      <c r="W196" s="2590">
        <v>1506165.7703024999</v>
      </c>
      <c r="AD196" s="1608"/>
    </row>
    <row r="197" spans="1:30" ht="15">
      <c r="A197" s="1685" t="str">
        <f t="shared" si="19"/>
        <v/>
      </c>
      <c r="B197" s="1081" t="str">
        <f t="shared" si="14"/>
        <v/>
      </c>
      <c r="C197" s="1081" t="str">
        <f t="shared" si="15"/>
        <v/>
      </c>
      <c r="D197" s="1081" t="str">
        <f t="shared" si="16"/>
        <v/>
      </c>
      <c r="E197" s="1081" t="str">
        <f t="shared" si="17"/>
        <v/>
      </c>
      <c r="F197" s="1081" t="str">
        <f t="shared" si="18"/>
        <v/>
      </c>
      <c r="G197" s="1681"/>
      <c r="H197" s="1681"/>
      <c r="I197" s="1681"/>
      <c r="J197" s="1681"/>
      <c r="K197" s="1676"/>
      <c r="L197" s="2583"/>
      <c r="M197" s="2583"/>
      <c r="N197" s="2583"/>
      <c r="O197" s="2583"/>
      <c r="P197" s="1630"/>
      <c r="Q197" s="1611" t="s">
        <v>2481</v>
      </c>
      <c r="R197" s="1617">
        <v>313.5</v>
      </c>
      <c r="S197" s="1617">
        <v>456.9</v>
      </c>
      <c r="T197" s="1617">
        <v>593.79999999999995</v>
      </c>
      <c r="U197" s="1617">
        <v>725.75</v>
      </c>
      <c r="V197" s="1617">
        <v>851.4</v>
      </c>
      <c r="W197" s="2590"/>
      <c r="AD197" s="1608"/>
    </row>
    <row r="198" spans="1:30" ht="15">
      <c r="A198" s="1685" t="str">
        <f t="shared" si="19"/>
        <v/>
      </c>
      <c r="B198" s="1081" t="str">
        <f t="shared" si="14"/>
        <v/>
      </c>
      <c r="C198" s="1081" t="str">
        <f t="shared" si="15"/>
        <v/>
      </c>
      <c r="D198" s="1081" t="str">
        <f t="shared" si="16"/>
        <v/>
      </c>
      <c r="E198" s="1081" t="str">
        <f t="shared" si="17"/>
        <v/>
      </c>
      <c r="F198" s="1081" t="str">
        <f t="shared" si="18"/>
        <v/>
      </c>
      <c r="G198" s="1681"/>
      <c r="H198" s="1681"/>
      <c r="I198" s="1681"/>
      <c r="J198" s="1681"/>
      <c r="K198" s="1676"/>
      <c r="L198" s="2583"/>
      <c r="M198" s="2583"/>
      <c r="N198" s="2583"/>
      <c r="O198" s="2583"/>
      <c r="P198" s="1630"/>
      <c r="Q198" s="1611" t="s">
        <v>2482</v>
      </c>
      <c r="R198" s="1617">
        <v>495.77249999999992</v>
      </c>
      <c r="S198" s="1617">
        <v>495.77249999999992</v>
      </c>
      <c r="T198" s="1617">
        <v>495.77249999999992</v>
      </c>
      <c r="U198" s="1617">
        <v>495.77249999999992</v>
      </c>
      <c r="V198" s="1617">
        <v>495.77249999999992</v>
      </c>
      <c r="W198" s="2590"/>
      <c r="AD198" s="1608"/>
    </row>
    <row r="199" spans="1:30" ht="36" customHeight="1">
      <c r="A199" s="1685" t="str">
        <f t="shared" si="19"/>
        <v>3.3.4.</v>
      </c>
      <c r="B199" s="1081">
        <f t="shared" si="14"/>
        <v>160532.738025</v>
      </c>
      <c r="C199" s="1081">
        <f t="shared" si="15"/>
        <v>233963.02393499998</v>
      </c>
      <c r="D199" s="1081">
        <f t="shared" si="16"/>
        <v>304064.87987</v>
      </c>
      <c r="E199" s="1081">
        <f t="shared" si="17"/>
        <v>371632.00836249994</v>
      </c>
      <c r="F199" s="1081">
        <f t="shared" si="18"/>
        <v>435973.12011000002</v>
      </c>
      <c r="G199" s="1681"/>
      <c r="H199" s="1681"/>
      <c r="I199" s="1681"/>
      <c r="J199" s="1681" t="s">
        <v>1861</v>
      </c>
      <c r="K199" s="1676"/>
      <c r="L199" s="2583"/>
      <c r="M199" s="2583"/>
      <c r="N199" s="2583"/>
      <c r="O199" s="2583"/>
      <c r="P199" s="1632"/>
      <c r="Q199" s="1611" t="s">
        <v>2483</v>
      </c>
      <c r="R199" s="1617">
        <v>160532.738025</v>
      </c>
      <c r="S199" s="1617">
        <v>233963.02393499998</v>
      </c>
      <c r="T199" s="1617">
        <v>304064.87987</v>
      </c>
      <c r="U199" s="1617">
        <v>371632.00836249994</v>
      </c>
      <c r="V199" s="1617">
        <v>435973.12011000002</v>
      </c>
      <c r="W199" s="2590"/>
      <c r="AD199" s="1608"/>
    </row>
    <row r="200" spans="1:30" ht="59.75" customHeight="1">
      <c r="A200" s="1685" t="str">
        <f t="shared" si="19"/>
        <v/>
      </c>
      <c r="B200" s="1081" t="str">
        <f t="shared" si="14"/>
        <v/>
      </c>
      <c r="C200" s="1081" t="str">
        <f t="shared" si="15"/>
        <v/>
      </c>
      <c r="D200" s="1081" t="str">
        <f t="shared" si="16"/>
        <v/>
      </c>
      <c r="E200" s="1081" t="str">
        <f t="shared" si="17"/>
        <v/>
      </c>
      <c r="F200" s="1081" t="str">
        <f t="shared" si="18"/>
        <v/>
      </c>
      <c r="G200" s="1681"/>
      <c r="H200" s="1681"/>
      <c r="I200" s="1681"/>
      <c r="J200" s="1681"/>
      <c r="K200" s="1676"/>
      <c r="L200" s="1604">
        <v>4</v>
      </c>
      <c r="M200" s="2545" t="s">
        <v>2622</v>
      </c>
      <c r="N200" s="2546"/>
      <c r="O200" s="2547"/>
      <c r="P200" s="1605"/>
      <c r="Q200" s="1606"/>
      <c r="R200" s="1607">
        <v>27675602.284799993</v>
      </c>
      <c r="S200" s="1607">
        <v>29882720.534999996</v>
      </c>
      <c r="T200" s="1607">
        <v>32113841.701999996</v>
      </c>
      <c r="U200" s="1607">
        <v>33863368.285999998</v>
      </c>
      <c r="V200" s="1607">
        <v>36018226.651000001</v>
      </c>
      <c r="W200" s="1607">
        <v>159553759.45879999</v>
      </c>
      <c r="AD200" s="1608"/>
    </row>
    <row r="201" spans="1:30" ht="19.25" customHeight="1">
      <c r="A201" s="1685" t="str">
        <f t="shared" si="19"/>
        <v/>
      </c>
      <c r="B201" s="1081" t="str">
        <f t="shared" si="14"/>
        <v/>
      </c>
      <c r="C201" s="1081" t="str">
        <f t="shared" si="15"/>
        <v/>
      </c>
      <c r="D201" s="1081" t="str">
        <f t="shared" si="16"/>
        <v/>
      </c>
      <c r="E201" s="1081" t="str">
        <f t="shared" si="17"/>
        <v/>
      </c>
      <c r="F201" s="1081" t="str">
        <f t="shared" si="18"/>
        <v/>
      </c>
      <c r="G201" s="1681"/>
      <c r="H201" s="1681"/>
      <c r="I201" s="1681"/>
      <c r="J201" s="1681"/>
      <c r="K201" s="1676"/>
      <c r="L201" s="2548" t="s">
        <v>2623</v>
      </c>
      <c r="M201" s="2542" t="s">
        <v>2624</v>
      </c>
      <c r="N201" s="2543"/>
      <c r="O201" s="2544"/>
      <c r="P201" s="2550"/>
      <c r="Q201" s="2552"/>
      <c r="R201" s="2540">
        <v>50141.75</v>
      </c>
      <c r="S201" s="2540">
        <v>0</v>
      </c>
      <c r="T201" s="2540">
        <v>0</v>
      </c>
      <c r="U201" s="2540">
        <v>0</v>
      </c>
      <c r="V201" s="2540">
        <v>0</v>
      </c>
      <c r="W201" s="2540">
        <v>50141.75</v>
      </c>
      <c r="AD201" s="1608"/>
    </row>
    <row r="202" spans="1:30" ht="19.25" customHeight="1">
      <c r="A202" s="1685" t="str">
        <f t="shared" si="19"/>
        <v/>
      </c>
      <c r="B202" s="1081" t="str">
        <f t="shared" si="14"/>
        <v/>
      </c>
      <c r="C202" s="1081" t="str">
        <f t="shared" si="15"/>
        <v/>
      </c>
      <c r="D202" s="1081" t="str">
        <f t="shared" si="16"/>
        <v/>
      </c>
      <c r="E202" s="1081" t="str">
        <f t="shared" si="17"/>
        <v/>
      </c>
      <c r="F202" s="1081" t="str">
        <f t="shared" si="18"/>
        <v/>
      </c>
      <c r="G202" s="1681"/>
      <c r="H202" s="1681"/>
      <c r="I202" s="1681"/>
      <c r="J202" s="1681"/>
      <c r="K202" s="1676"/>
      <c r="L202" s="2549"/>
      <c r="M202" s="2542" t="s">
        <v>2478</v>
      </c>
      <c r="N202" s="2543"/>
      <c r="O202" s="2544"/>
      <c r="P202" s="2551"/>
      <c r="Q202" s="2553"/>
      <c r="R202" s="2541"/>
      <c r="S202" s="2541"/>
      <c r="T202" s="2541"/>
      <c r="U202" s="2541"/>
      <c r="V202" s="2541"/>
      <c r="W202" s="2541"/>
      <c r="AD202" s="1608"/>
    </row>
    <row r="203" spans="1:30" ht="15">
      <c r="A203" s="1685" t="str">
        <f t="shared" si="19"/>
        <v/>
      </c>
      <c r="B203" s="1081" t="str">
        <f t="shared" si="14"/>
        <v/>
      </c>
      <c r="C203" s="1081" t="str">
        <f t="shared" si="15"/>
        <v/>
      </c>
      <c r="D203" s="1081" t="str">
        <f t="shared" si="16"/>
        <v/>
      </c>
      <c r="E203" s="1081" t="str">
        <f t="shared" si="17"/>
        <v/>
      </c>
      <c r="F203" s="1081" t="str">
        <f t="shared" si="18"/>
        <v/>
      </c>
      <c r="G203" s="1681"/>
      <c r="H203" s="1681"/>
      <c r="I203" s="1681"/>
      <c r="J203" s="1681"/>
      <c r="K203" s="1676"/>
      <c r="L203" s="2583" t="s">
        <v>260</v>
      </c>
      <c r="M203" s="2583" t="s">
        <v>2625</v>
      </c>
      <c r="N203" s="2583" t="s">
        <v>2626</v>
      </c>
      <c r="O203" s="2583" t="s">
        <v>2627</v>
      </c>
      <c r="P203" s="1614"/>
      <c r="Q203" s="1611" t="s">
        <v>604</v>
      </c>
      <c r="R203" s="1619"/>
      <c r="S203" s="1619"/>
      <c r="T203" s="1619"/>
      <c r="U203" s="1610"/>
      <c r="V203" s="1610"/>
      <c r="W203" s="2590">
        <v>0</v>
      </c>
      <c r="AD203" s="1608"/>
    </row>
    <row r="204" spans="1:30" ht="15">
      <c r="A204" s="1685" t="str">
        <f t="shared" si="19"/>
        <v/>
      </c>
      <c r="B204" s="1081" t="str">
        <f t="shared" si="14"/>
        <v/>
      </c>
      <c r="C204" s="1081" t="str">
        <f t="shared" si="15"/>
        <v/>
      </c>
      <c r="D204" s="1081" t="str">
        <f t="shared" si="16"/>
        <v/>
      </c>
      <c r="E204" s="1081" t="str">
        <f t="shared" si="17"/>
        <v/>
      </c>
      <c r="F204" s="1081" t="str">
        <f t="shared" si="18"/>
        <v/>
      </c>
      <c r="G204" s="1681"/>
      <c r="H204" s="1681"/>
      <c r="I204" s="1681"/>
      <c r="J204" s="1681"/>
      <c r="K204" s="1676"/>
      <c r="L204" s="2583"/>
      <c r="M204" s="2583"/>
      <c r="N204" s="2583"/>
      <c r="O204" s="2583"/>
      <c r="P204" s="1630"/>
      <c r="Q204" s="1611" t="s">
        <v>2481</v>
      </c>
      <c r="R204" s="1617"/>
      <c r="S204" s="1617"/>
      <c r="T204" s="1617"/>
      <c r="U204" s="1612"/>
      <c r="V204" s="1612"/>
      <c r="W204" s="2590"/>
      <c r="AD204" s="1608"/>
    </row>
    <row r="205" spans="1:30" ht="15">
      <c r="A205" s="1685" t="str">
        <f t="shared" si="19"/>
        <v/>
      </c>
      <c r="B205" s="1081" t="str">
        <f t="shared" ref="B205:B268" si="20">IF($Q205="sub-total",R205,"")</f>
        <v/>
      </c>
      <c r="C205" s="1081" t="str">
        <f t="shared" ref="C205:C268" si="21">IF($Q205="sub-total",S205,"")</f>
        <v/>
      </c>
      <c r="D205" s="1081" t="str">
        <f t="shared" ref="D205:D268" si="22">IF($Q205="sub-total",T205,"")</f>
        <v/>
      </c>
      <c r="E205" s="1081" t="str">
        <f t="shared" ref="E205:E268" si="23">IF($Q205="sub-total",U205,"")</f>
        <v/>
      </c>
      <c r="F205" s="1081" t="str">
        <f t="shared" ref="F205:F268" si="24">IF($Q205="sub-total",V205,"")</f>
        <v/>
      </c>
      <c r="G205" s="1681"/>
      <c r="H205" s="1681"/>
      <c r="I205" s="1681"/>
      <c r="J205" s="1681"/>
      <c r="K205" s="1676"/>
      <c r="L205" s="2583"/>
      <c r="M205" s="2583"/>
      <c r="N205" s="2583"/>
      <c r="O205" s="2583"/>
      <c r="P205" s="1635" t="s">
        <v>2628</v>
      </c>
      <c r="Q205" s="1611" t="s">
        <v>2482</v>
      </c>
      <c r="R205" s="1617"/>
      <c r="S205" s="1617"/>
      <c r="T205" s="1617"/>
      <c r="U205" s="1612"/>
      <c r="V205" s="1612"/>
      <c r="W205" s="2590"/>
      <c r="AD205" s="1608"/>
    </row>
    <row r="206" spans="1:30" ht="25.5" customHeight="1">
      <c r="A206" s="1685" t="str">
        <f t="shared" si="19"/>
        <v/>
      </c>
      <c r="B206" s="1081">
        <f t="shared" si="20"/>
        <v>0</v>
      </c>
      <c r="C206" s="1081">
        <f t="shared" si="21"/>
        <v>0</v>
      </c>
      <c r="D206" s="1081">
        <f t="shared" si="22"/>
        <v>0</v>
      </c>
      <c r="E206" s="1081">
        <f t="shared" si="23"/>
        <v>0</v>
      </c>
      <c r="F206" s="1081">
        <f t="shared" si="24"/>
        <v>0</v>
      </c>
      <c r="G206" s="1681"/>
      <c r="H206" s="1681"/>
      <c r="I206" s="1681"/>
      <c r="J206" s="1681"/>
      <c r="K206" s="1676"/>
      <c r="L206" s="2583"/>
      <c r="M206" s="2583"/>
      <c r="N206" s="2583"/>
      <c r="O206" s="2583"/>
      <c r="P206" s="1635"/>
      <c r="Q206" s="1611" t="s">
        <v>2483</v>
      </c>
      <c r="R206" s="1628"/>
      <c r="S206" s="1628"/>
      <c r="T206" s="1628"/>
      <c r="U206" s="1638"/>
      <c r="V206" s="1638"/>
      <c r="W206" s="2590"/>
      <c r="AD206" s="1608"/>
    </row>
    <row r="207" spans="1:30" ht="15">
      <c r="A207" s="1685" t="str">
        <f t="shared" si="19"/>
        <v/>
      </c>
      <c r="B207" s="1081" t="str">
        <f t="shared" si="20"/>
        <v/>
      </c>
      <c r="C207" s="1081" t="str">
        <f t="shared" si="21"/>
        <v/>
      </c>
      <c r="D207" s="1081" t="str">
        <f t="shared" si="22"/>
        <v/>
      </c>
      <c r="E207" s="1081" t="str">
        <f t="shared" si="23"/>
        <v/>
      </c>
      <c r="F207" s="1081" t="str">
        <f t="shared" si="24"/>
        <v/>
      </c>
      <c r="G207" s="1681"/>
      <c r="H207" s="1681"/>
      <c r="I207" s="1681"/>
      <c r="J207" s="1681"/>
      <c r="K207" s="1676"/>
      <c r="L207" s="2583" t="s">
        <v>261</v>
      </c>
      <c r="M207" s="2583" t="s">
        <v>2629</v>
      </c>
      <c r="N207" s="2583" t="s">
        <v>2630</v>
      </c>
      <c r="O207" s="2583" t="s">
        <v>2631</v>
      </c>
      <c r="P207" s="1630"/>
      <c r="Q207" s="1611" t="s">
        <v>604</v>
      </c>
      <c r="R207" s="1619" t="s">
        <v>2495</v>
      </c>
      <c r="S207" s="1620"/>
      <c r="T207" s="1620"/>
      <c r="U207" s="1620"/>
      <c r="V207" s="1610"/>
      <c r="W207" s="2590">
        <v>50141.75</v>
      </c>
      <c r="X207" s="1589" t="s">
        <v>2632</v>
      </c>
      <c r="AD207" s="1608"/>
    </row>
    <row r="208" spans="1:30" ht="15">
      <c r="A208" s="1685" t="str">
        <f t="shared" si="19"/>
        <v/>
      </c>
      <c r="B208" s="1081" t="str">
        <f t="shared" si="20"/>
        <v/>
      </c>
      <c r="C208" s="1081" t="str">
        <f t="shared" si="21"/>
        <v/>
      </c>
      <c r="D208" s="1081" t="str">
        <f t="shared" si="22"/>
        <v/>
      </c>
      <c r="E208" s="1081" t="str">
        <f t="shared" si="23"/>
        <v/>
      </c>
      <c r="F208" s="1081" t="str">
        <f t="shared" si="24"/>
        <v/>
      </c>
      <c r="G208" s="1681"/>
      <c r="H208" s="1681"/>
      <c r="I208" s="1681"/>
      <c r="J208" s="1681"/>
      <c r="K208" s="1676"/>
      <c r="L208" s="2583"/>
      <c r="M208" s="2583"/>
      <c r="N208" s="2583"/>
      <c r="O208" s="2583"/>
      <c r="P208" s="1635"/>
      <c r="Q208" s="1611" t="s">
        <v>2481</v>
      </c>
      <c r="R208" s="1617">
        <v>1</v>
      </c>
      <c r="S208" s="1613"/>
      <c r="T208" s="1613"/>
      <c r="U208" s="1613"/>
      <c r="V208" s="1612"/>
      <c r="W208" s="2590"/>
      <c r="AD208" s="1608"/>
    </row>
    <row r="209" spans="1:30" ht="15">
      <c r="A209" s="1685" t="str">
        <f t="shared" si="19"/>
        <v/>
      </c>
      <c r="B209" s="1081" t="str">
        <f t="shared" si="20"/>
        <v/>
      </c>
      <c r="C209" s="1081" t="str">
        <f t="shared" si="21"/>
        <v/>
      </c>
      <c r="D209" s="1081" t="str">
        <f t="shared" si="22"/>
        <v/>
      </c>
      <c r="E209" s="1081" t="str">
        <f t="shared" si="23"/>
        <v/>
      </c>
      <c r="F209" s="1081" t="str">
        <f t="shared" si="24"/>
        <v/>
      </c>
      <c r="G209" s="1681"/>
      <c r="H209" s="1681"/>
      <c r="I209" s="1681"/>
      <c r="J209" s="1681"/>
      <c r="K209" s="1676"/>
      <c r="L209" s="2583"/>
      <c r="M209" s="2583"/>
      <c r="N209" s="2583"/>
      <c r="O209" s="2583"/>
      <c r="P209" s="1630"/>
      <c r="Q209" s="1611" t="s">
        <v>2482</v>
      </c>
      <c r="R209" s="1640">
        <v>50141.75</v>
      </c>
      <c r="S209" s="1613"/>
      <c r="T209" s="1613"/>
      <c r="U209" s="1613"/>
      <c r="V209" s="1612"/>
      <c r="W209" s="2590"/>
      <c r="AD209" s="1608"/>
    </row>
    <row r="210" spans="1:30" ht="15">
      <c r="A210" s="1685" t="str">
        <f t="shared" si="19"/>
        <v>4.1.2.</v>
      </c>
      <c r="B210" s="1081">
        <f t="shared" si="20"/>
        <v>50141.75</v>
      </c>
      <c r="C210" s="1081">
        <f t="shared" si="21"/>
        <v>0</v>
      </c>
      <c r="D210" s="1081">
        <f t="shared" si="22"/>
        <v>0</v>
      </c>
      <c r="E210" s="1081">
        <f t="shared" si="23"/>
        <v>0</v>
      </c>
      <c r="F210" s="1081">
        <f t="shared" si="24"/>
        <v>0</v>
      </c>
      <c r="G210" s="1681"/>
      <c r="H210" s="1681"/>
      <c r="I210" s="1681"/>
      <c r="J210" s="1681" t="s">
        <v>1862</v>
      </c>
      <c r="K210" s="1676"/>
      <c r="L210" s="2583"/>
      <c r="M210" s="2583"/>
      <c r="N210" s="2583"/>
      <c r="O210" s="2583"/>
      <c r="P210" s="1635"/>
      <c r="Q210" s="1611" t="s">
        <v>2483</v>
      </c>
      <c r="R210" s="1628">
        <v>50141.75</v>
      </c>
      <c r="S210" s="1625"/>
      <c r="T210" s="1625"/>
      <c r="U210" s="1613"/>
      <c r="V210" s="1612"/>
      <c r="W210" s="2590"/>
      <c r="AD210" s="1608"/>
    </row>
    <row r="211" spans="1:30" ht="12.75" customHeight="1">
      <c r="A211" s="1685" t="str">
        <f t="shared" si="19"/>
        <v/>
      </c>
      <c r="B211" s="1081" t="str">
        <f t="shared" si="20"/>
        <v/>
      </c>
      <c r="C211" s="1081" t="str">
        <f t="shared" si="21"/>
        <v/>
      </c>
      <c r="D211" s="1081" t="str">
        <f t="shared" si="22"/>
        <v/>
      </c>
      <c r="E211" s="1081" t="str">
        <f t="shared" si="23"/>
        <v/>
      </c>
      <c r="F211" s="1081" t="str">
        <f t="shared" si="24"/>
        <v/>
      </c>
      <c r="G211" s="1681"/>
      <c r="H211" s="1681"/>
      <c r="I211" s="1681"/>
      <c r="J211" s="1681"/>
      <c r="K211" s="1676"/>
      <c r="L211" s="2554" t="s">
        <v>262</v>
      </c>
      <c r="M211" s="2560" t="s">
        <v>2633</v>
      </c>
      <c r="N211" s="2560"/>
      <c r="O211" s="2560"/>
      <c r="P211" s="1614"/>
      <c r="Q211" s="1611" t="s">
        <v>604</v>
      </c>
      <c r="R211" s="1610"/>
      <c r="S211" s="1620"/>
      <c r="T211" s="1620"/>
      <c r="U211" s="1620"/>
      <c r="V211" s="1610"/>
      <c r="W211" s="2590">
        <v>0</v>
      </c>
      <c r="AD211" s="1608"/>
    </row>
    <row r="212" spans="1:30" ht="15">
      <c r="A212" s="1685" t="str">
        <f t="shared" si="19"/>
        <v/>
      </c>
      <c r="B212" s="1081" t="str">
        <f t="shared" si="20"/>
        <v/>
      </c>
      <c r="C212" s="1081" t="str">
        <f t="shared" si="21"/>
        <v/>
      </c>
      <c r="D212" s="1081" t="str">
        <f t="shared" si="22"/>
        <v/>
      </c>
      <c r="E212" s="1081" t="str">
        <f t="shared" si="23"/>
        <v/>
      </c>
      <c r="F212" s="1081" t="str">
        <f t="shared" si="24"/>
        <v/>
      </c>
      <c r="G212" s="1681"/>
      <c r="H212" s="1681"/>
      <c r="I212" s="1681"/>
      <c r="J212" s="1681"/>
      <c r="K212" s="1676"/>
      <c r="L212" s="2554"/>
      <c r="M212" s="2561"/>
      <c r="N212" s="2561"/>
      <c r="O212" s="2561"/>
      <c r="P212" s="1630"/>
      <c r="Q212" s="1611" t="s">
        <v>2481</v>
      </c>
      <c r="R212" s="1612"/>
      <c r="S212" s="1613"/>
      <c r="T212" s="1613"/>
      <c r="U212" s="1613"/>
      <c r="V212" s="1612"/>
      <c r="W212" s="2590"/>
      <c r="AD212" s="1608"/>
    </row>
    <row r="213" spans="1:30" ht="15">
      <c r="A213" s="1685" t="str">
        <f t="shared" si="19"/>
        <v/>
      </c>
      <c r="B213" s="1081" t="str">
        <f t="shared" si="20"/>
        <v/>
      </c>
      <c r="C213" s="1081" t="str">
        <f t="shared" si="21"/>
        <v/>
      </c>
      <c r="D213" s="1081" t="str">
        <f t="shared" si="22"/>
        <v/>
      </c>
      <c r="E213" s="1081" t="str">
        <f t="shared" si="23"/>
        <v/>
      </c>
      <c r="F213" s="1081" t="str">
        <f t="shared" si="24"/>
        <v/>
      </c>
      <c r="G213" s="1681"/>
      <c r="H213" s="1681"/>
      <c r="I213" s="1681"/>
      <c r="J213" s="1681"/>
      <c r="K213" s="1676"/>
      <c r="L213" s="2554"/>
      <c r="M213" s="2561"/>
      <c r="N213" s="2561"/>
      <c r="O213" s="2561"/>
      <c r="P213" s="1630"/>
      <c r="Q213" s="1611" t="s">
        <v>2482</v>
      </c>
      <c r="R213" s="1613"/>
      <c r="S213" s="1613"/>
      <c r="T213" s="1613"/>
      <c r="U213" s="1613"/>
      <c r="V213" s="1612"/>
      <c r="W213" s="2590"/>
      <c r="AD213" s="1608"/>
    </row>
    <row r="214" spans="1:30" ht="15">
      <c r="A214" s="1685" t="str">
        <f t="shared" si="19"/>
        <v/>
      </c>
      <c r="B214" s="1081">
        <f t="shared" si="20"/>
        <v>0</v>
      </c>
      <c r="C214" s="1081">
        <f t="shared" si="21"/>
        <v>0</v>
      </c>
      <c r="D214" s="1081">
        <f t="shared" si="22"/>
        <v>0</v>
      </c>
      <c r="E214" s="1081">
        <f t="shared" si="23"/>
        <v>0</v>
      </c>
      <c r="F214" s="1081">
        <f t="shared" si="24"/>
        <v>0</v>
      </c>
      <c r="G214" s="1681"/>
      <c r="H214" s="1681"/>
      <c r="I214" s="1681"/>
      <c r="J214" s="1681"/>
      <c r="K214" s="1676"/>
      <c r="L214" s="2554"/>
      <c r="M214" s="2562"/>
      <c r="N214" s="2562"/>
      <c r="O214" s="2562"/>
      <c r="P214" s="1635"/>
      <c r="Q214" s="1611" t="s">
        <v>2483</v>
      </c>
      <c r="R214" s="1612"/>
      <c r="S214" s="1612"/>
      <c r="T214" s="1612"/>
      <c r="U214" s="1612"/>
      <c r="V214" s="1612"/>
      <c r="W214" s="2590"/>
      <c r="AD214" s="1608"/>
    </row>
    <row r="215" spans="1:30" ht="12.75" customHeight="1">
      <c r="A215" s="1685" t="str">
        <f t="shared" si="19"/>
        <v/>
      </c>
      <c r="B215" s="1081" t="str">
        <f t="shared" si="20"/>
        <v/>
      </c>
      <c r="C215" s="1081" t="str">
        <f t="shared" si="21"/>
        <v/>
      </c>
      <c r="D215" s="1081" t="str">
        <f t="shared" si="22"/>
        <v/>
      </c>
      <c r="E215" s="1081" t="str">
        <f t="shared" si="23"/>
        <v/>
      </c>
      <c r="F215" s="1081" t="str">
        <f t="shared" si="24"/>
        <v/>
      </c>
      <c r="G215" s="1681"/>
      <c r="H215" s="1681"/>
      <c r="I215" s="1681"/>
      <c r="J215" s="1681"/>
      <c r="K215" s="1676"/>
      <c r="L215" s="2554" t="s">
        <v>263</v>
      </c>
      <c r="M215" s="2560" t="s">
        <v>2634</v>
      </c>
      <c r="N215" s="2560"/>
      <c r="O215" s="2560"/>
      <c r="P215" s="1614"/>
      <c r="Q215" s="1611" t="s">
        <v>604</v>
      </c>
      <c r="R215" s="1610"/>
      <c r="S215" s="1610"/>
      <c r="T215" s="1610"/>
      <c r="U215" s="1610"/>
      <c r="V215" s="1610"/>
      <c r="W215" s="2590">
        <v>0</v>
      </c>
      <c r="AD215" s="1608"/>
    </row>
    <row r="216" spans="1:30" ht="15">
      <c r="A216" s="1685" t="str">
        <f t="shared" si="19"/>
        <v/>
      </c>
      <c r="B216" s="1081" t="str">
        <f t="shared" si="20"/>
        <v/>
      </c>
      <c r="C216" s="1081" t="str">
        <f t="shared" si="21"/>
        <v/>
      </c>
      <c r="D216" s="1081" t="str">
        <f t="shared" si="22"/>
        <v/>
      </c>
      <c r="E216" s="1081" t="str">
        <f t="shared" si="23"/>
        <v/>
      </c>
      <c r="F216" s="1081" t="str">
        <f t="shared" si="24"/>
        <v/>
      </c>
      <c r="G216" s="1681"/>
      <c r="H216" s="1681"/>
      <c r="I216" s="1681"/>
      <c r="J216" s="1681"/>
      <c r="K216" s="1676"/>
      <c r="L216" s="2554"/>
      <c r="M216" s="2561"/>
      <c r="N216" s="2561"/>
      <c r="O216" s="2561"/>
      <c r="P216" s="1630"/>
      <c r="Q216" s="1611" t="s">
        <v>2481</v>
      </c>
      <c r="R216" s="1612"/>
      <c r="S216" s="1612"/>
      <c r="T216" s="1612"/>
      <c r="U216" s="1612"/>
      <c r="V216" s="1612"/>
      <c r="W216" s="2590"/>
      <c r="AD216" s="1608"/>
    </row>
    <row r="217" spans="1:30" ht="15">
      <c r="A217" s="1685" t="str">
        <f t="shared" si="19"/>
        <v/>
      </c>
      <c r="B217" s="1081" t="str">
        <f t="shared" si="20"/>
        <v/>
      </c>
      <c r="C217" s="1081" t="str">
        <f t="shared" si="21"/>
        <v/>
      </c>
      <c r="D217" s="1081" t="str">
        <f t="shared" si="22"/>
        <v/>
      </c>
      <c r="E217" s="1081" t="str">
        <f t="shared" si="23"/>
        <v/>
      </c>
      <c r="F217" s="1081" t="str">
        <f t="shared" si="24"/>
        <v/>
      </c>
      <c r="G217" s="1681"/>
      <c r="H217" s="1681"/>
      <c r="I217" s="1681"/>
      <c r="J217" s="1681"/>
      <c r="K217" s="1676"/>
      <c r="L217" s="2554"/>
      <c r="M217" s="2561"/>
      <c r="N217" s="2561"/>
      <c r="O217" s="2561"/>
      <c r="P217" s="1635"/>
      <c r="Q217" s="1611" t="s">
        <v>2482</v>
      </c>
      <c r="R217" s="1613"/>
      <c r="S217" s="1612"/>
      <c r="T217" s="1613"/>
      <c r="U217" s="1612"/>
      <c r="V217" s="1612"/>
      <c r="W217" s="2590"/>
      <c r="AD217" s="1608"/>
    </row>
    <row r="218" spans="1:30" ht="15">
      <c r="A218" s="1685" t="str">
        <f t="shared" si="19"/>
        <v/>
      </c>
      <c r="B218" s="1081">
        <f t="shared" si="20"/>
        <v>0</v>
      </c>
      <c r="C218" s="1081">
        <f t="shared" si="21"/>
        <v>0</v>
      </c>
      <c r="D218" s="1081">
        <f t="shared" si="22"/>
        <v>0</v>
      </c>
      <c r="E218" s="1081">
        <f t="shared" si="23"/>
        <v>0</v>
      </c>
      <c r="F218" s="1081">
        <f t="shared" si="24"/>
        <v>0</v>
      </c>
      <c r="G218" s="1681"/>
      <c r="H218" s="1681"/>
      <c r="I218" s="1681"/>
      <c r="J218" s="1681"/>
      <c r="K218" s="1676"/>
      <c r="L218" s="2554"/>
      <c r="M218" s="2562"/>
      <c r="N218" s="2562"/>
      <c r="O218" s="2562"/>
      <c r="P218" s="1635"/>
      <c r="Q218" s="1611" t="s">
        <v>2483</v>
      </c>
      <c r="R218" s="1612"/>
      <c r="S218" s="1612"/>
      <c r="T218" s="1612"/>
      <c r="U218" s="1612"/>
      <c r="V218" s="1612"/>
      <c r="W218" s="2590"/>
      <c r="AD218" s="1608"/>
    </row>
    <row r="219" spans="1:30" ht="12.75" customHeight="1">
      <c r="A219" s="1685" t="str">
        <f t="shared" si="19"/>
        <v/>
      </c>
      <c r="B219" s="1081" t="str">
        <f t="shared" si="20"/>
        <v/>
      </c>
      <c r="C219" s="1081" t="str">
        <f t="shared" si="21"/>
        <v/>
      </c>
      <c r="D219" s="1081" t="str">
        <f t="shared" si="22"/>
        <v/>
      </c>
      <c r="E219" s="1081" t="str">
        <f t="shared" si="23"/>
        <v/>
      </c>
      <c r="F219" s="1081" t="str">
        <f t="shared" si="24"/>
        <v/>
      </c>
      <c r="G219" s="1681"/>
      <c r="H219" s="1681"/>
      <c r="I219" s="1681"/>
      <c r="J219" s="1681"/>
      <c r="K219" s="1676"/>
      <c r="L219" s="2554" t="s">
        <v>264</v>
      </c>
      <c r="M219" s="2560" t="s">
        <v>2635</v>
      </c>
      <c r="N219" s="2560"/>
      <c r="O219" s="2560"/>
      <c r="P219" s="1614"/>
      <c r="Q219" s="1611" t="s">
        <v>604</v>
      </c>
      <c r="R219" s="1610"/>
      <c r="S219" s="1610"/>
      <c r="T219" s="1610"/>
      <c r="U219" s="1610"/>
      <c r="V219" s="1610"/>
      <c r="W219" s="2590">
        <v>0</v>
      </c>
      <c r="AD219" s="1608"/>
    </row>
    <row r="220" spans="1:30" ht="15">
      <c r="A220" s="1685" t="str">
        <f t="shared" si="19"/>
        <v/>
      </c>
      <c r="B220" s="1081" t="str">
        <f t="shared" si="20"/>
        <v/>
      </c>
      <c r="C220" s="1081" t="str">
        <f t="shared" si="21"/>
        <v/>
      </c>
      <c r="D220" s="1081" t="str">
        <f t="shared" si="22"/>
        <v/>
      </c>
      <c r="E220" s="1081" t="str">
        <f t="shared" si="23"/>
        <v/>
      </c>
      <c r="F220" s="1081" t="str">
        <f t="shared" si="24"/>
        <v/>
      </c>
      <c r="G220" s="1681"/>
      <c r="H220" s="1681"/>
      <c r="I220" s="1681"/>
      <c r="J220" s="1681"/>
      <c r="K220" s="1676"/>
      <c r="L220" s="2554"/>
      <c r="M220" s="2561"/>
      <c r="N220" s="2561"/>
      <c r="O220" s="2561"/>
      <c r="P220" s="1635"/>
      <c r="Q220" s="1611" t="s">
        <v>2481</v>
      </c>
      <c r="R220" s="1612"/>
      <c r="S220" s="1612"/>
      <c r="T220" s="1612"/>
      <c r="U220" s="1612"/>
      <c r="V220" s="1612"/>
      <c r="W220" s="2590"/>
      <c r="AD220" s="1608"/>
    </row>
    <row r="221" spans="1:30" ht="15">
      <c r="A221" s="1685" t="str">
        <f t="shared" si="19"/>
        <v/>
      </c>
      <c r="B221" s="1081" t="str">
        <f t="shared" si="20"/>
        <v/>
      </c>
      <c r="C221" s="1081" t="str">
        <f t="shared" si="21"/>
        <v/>
      </c>
      <c r="D221" s="1081" t="str">
        <f t="shared" si="22"/>
        <v/>
      </c>
      <c r="E221" s="1081" t="str">
        <f t="shared" si="23"/>
        <v/>
      </c>
      <c r="F221" s="1081" t="str">
        <f t="shared" si="24"/>
        <v/>
      </c>
      <c r="G221" s="1681"/>
      <c r="H221" s="1681"/>
      <c r="I221" s="1681"/>
      <c r="J221" s="1681"/>
      <c r="K221" s="1676"/>
      <c r="L221" s="2554"/>
      <c r="M221" s="2561"/>
      <c r="N221" s="2561"/>
      <c r="O221" s="2561"/>
      <c r="P221" s="1630"/>
      <c r="Q221" s="1611" t="s">
        <v>2482</v>
      </c>
      <c r="R221" s="1613"/>
      <c r="S221" s="1612"/>
      <c r="T221" s="1613"/>
      <c r="U221" s="1612"/>
      <c r="V221" s="1612"/>
      <c r="W221" s="2590"/>
      <c r="AD221" s="1608"/>
    </row>
    <row r="222" spans="1:30" ht="15">
      <c r="A222" s="1685" t="str">
        <f t="shared" si="19"/>
        <v/>
      </c>
      <c r="B222" s="1081">
        <f t="shared" si="20"/>
        <v>0</v>
      </c>
      <c r="C222" s="1081">
        <f t="shared" si="21"/>
        <v>0</v>
      </c>
      <c r="D222" s="1081">
        <f t="shared" si="22"/>
        <v>0</v>
      </c>
      <c r="E222" s="1081">
        <f t="shared" si="23"/>
        <v>0</v>
      </c>
      <c r="F222" s="1081">
        <f t="shared" si="24"/>
        <v>0</v>
      </c>
      <c r="G222" s="1681"/>
      <c r="H222" s="1681"/>
      <c r="I222" s="1681"/>
      <c r="J222" s="1681"/>
      <c r="K222" s="1676"/>
      <c r="L222" s="2554"/>
      <c r="M222" s="2562"/>
      <c r="N222" s="2562"/>
      <c r="O222" s="2562"/>
      <c r="P222" s="1635"/>
      <c r="Q222" s="1611" t="s">
        <v>2483</v>
      </c>
      <c r="R222" s="1612"/>
      <c r="S222" s="1612"/>
      <c r="T222" s="1612"/>
      <c r="U222" s="1612"/>
      <c r="V222" s="1612"/>
      <c r="W222" s="2590"/>
      <c r="AD222" s="1608"/>
    </row>
    <row r="223" spans="1:30" ht="15">
      <c r="A223" s="1685" t="str">
        <f t="shared" si="19"/>
        <v/>
      </c>
      <c r="B223" s="1081" t="str">
        <f t="shared" si="20"/>
        <v/>
      </c>
      <c r="C223" s="1081" t="str">
        <f t="shared" si="21"/>
        <v/>
      </c>
      <c r="D223" s="1081" t="str">
        <f t="shared" si="22"/>
        <v/>
      </c>
      <c r="E223" s="1081" t="str">
        <f t="shared" si="23"/>
        <v/>
      </c>
      <c r="F223" s="1081" t="str">
        <f t="shared" si="24"/>
        <v/>
      </c>
      <c r="G223" s="1681"/>
      <c r="H223" s="1681"/>
      <c r="I223" s="1681"/>
      <c r="J223" s="1681"/>
      <c r="K223" s="1676"/>
      <c r="L223" s="2554" t="s">
        <v>267</v>
      </c>
      <c r="M223" s="2597" t="s">
        <v>2636</v>
      </c>
      <c r="N223" s="2597"/>
      <c r="O223" s="2555"/>
      <c r="P223" s="1614"/>
      <c r="Q223" s="1611" t="s">
        <v>604</v>
      </c>
      <c r="R223" s="1610"/>
      <c r="S223" s="1610"/>
      <c r="T223" s="1610"/>
      <c r="U223" s="1610"/>
      <c r="V223" s="1610"/>
      <c r="W223" s="2590">
        <v>0</v>
      </c>
      <c r="AD223" s="1608"/>
    </row>
    <row r="224" spans="1:30" ht="15">
      <c r="A224" s="1685" t="str">
        <f t="shared" si="19"/>
        <v/>
      </c>
      <c r="B224" s="1081" t="str">
        <f t="shared" si="20"/>
        <v/>
      </c>
      <c r="C224" s="1081" t="str">
        <f t="shared" si="21"/>
        <v/>
      </c>
      <c r="D224" s="1081" t="str">
        <f t="shared" si="22"/>
        <v/>
      </c>
      <c r="E224" s="1081" t="str">
        <f t="shared" si="23"/>
        <v/>
      </c>
      <c r="F224" s="1081" t="str">
        <f t="shared" si="24"/>
        <v/>
      </c>
      <c r="G224" s="1681"/>
      <c r="H224" s="1681"/>
      <c r="I224" s="1681"/>
      <c r="J224" s="1681"/>
      <c r="K224" s="1676"/>
      <c r="L224" s="2554"/>
      <c r="M224" s="2598"/>
      <c r="N224" s="2598"/>
      <c r="O224" s="2556"/>
      <c r="P224" s="1635"/>
      <c r="Q224" s="1611" t="s">
        <v>2481</v>
      </c>
      <c r="R224" s="1612"/>
      <c r="S224" s="1612"/>
      <c r="T224" s="1612"/>
      <c r="U224" s="1612"/>
      <c r="V224" s="1612"/>
      <c r="W224" s="2590"/>
      <c r="AD224" s="1608"/>
    </row>
    <row r="225" spans="1:30" ht="15">
      <c r="A225" s="1685" t="str">
        <f t="shared" si="19"/>
        <v/>
      </c>
      <c r="B225" s="1081" t="str">
        <f t="shared" si="20"/>
        <v/>
      </c>
      <c r="C225" s="1081" t="str">
        <f t="shared" si="21"/>
        <v/>
      </c>
      <c r="D225" s="1081" t="str">
        <f t="shared" si="22"/>
        <v/>
      </c>
      <c r="E225" s="1081" t="str">
        <f t="shared" si="23"/>
        <v/>
      </c>
      <c r="F225" s="1081" t="str">
        <f t="shared" si="24"/>
        <v/>
      </c>
      <c r="G225" s="1681"/>
      <c r="H225" s="1681"/>
      <c r="I225" s="1681"/>
      <c r="J225" s="1681"/>
      <c r="K225" s="1676"/>
      <c r="L225" s="2554"/>
      <c r="M225" s="2598"/>
      <c r="N225" s="2598"/>
      <c r="O225" s="2556"/>
      <c r="P225" s="1630"/>
      <c r="Q225" s="1611" t="s">
        <v>2482</v>
      </c>
      <c r="R225" s="1613"/>
      <c r="S225" s="1612"/>
      <c r="T225" s="1613"/>
      <c r="U225" s="1612"/>
      <c r="V225" s="1612"/>
      <c r="W225" s="2590"/>
      <c r="AD225" s="1608"/>
    </row>
    <row r="226" spans="1:30" ht="15">
      <c r="A226" s="1685" t="str">
        <f t="shared" si="19"/>
        <v/>
      </c>
      <c r="B226" s="1081">
        <f t="shared" si="20"/>
        <v>0</v>
      </c>
      <c r="C226" s="1081">
        <f t="shared" si="21"/>
        <v>0</v>
      </c>
      <c r="D226" s="1081">
        <f t="shared" si="22"/>
        <v>0</v>
      </c>
      <c r="E226" s="1081">
        <f t="shared" si="23"/>
        <v>0</v>
      </c>
      <c r="F226" s="1081">
        <f t="shared" si="24"/>
        <v>0</v>
      </c>
      <c r="G226" s="1681"/>
      <c r="H226" s="1681"/>
      <c r="I226" s="1681"/>
      <c r="J226" s="1681"/>
      <c r="K226" s="1676"/>
      <c r="L226" s="2554"/>
      <c r="M226" s="2599"/>
      <c r="N226" s="2599"/>
      <c r="O226" s="2557"/>
      <c r="P226" s="1635"/>
      <c r="Q226" s="1611" t="s">
        <v>2483</v>
      </c>
      <c r="R226" s="1612"/>
      <c r="S226" s="1612"/>
      <c r="T226" s="1612"/>
      <c r="U226" s="1612"/>
      <c r="V226" s="1612"/>
      <c r="W226" s="2590"/>
      <c r="AD226" s="1608"/>
    </row>
    <row r="227" spans="1:30" ht="15">
      <c r="A227" s="1685" t="str">
        <f t="shared" si="19"/>
        <v/>
      </c>
      <c r="B227" s="1081" t="str">
        <f t="shared" si="20"/>
        <v/>
      </c>
      <c r="C227" s="1081" t="str">
        <f t="shared" si="21"/>
        <v/>
      </c>
      <c r="D227" s="1081" t="str">
        <f t="shared" si="22"/>
        <v/>
      </c>
      <c r="E227" s="1081" t="str">
        <f t="shared" si="23"/>
        <v/>
      </c>
      <c r="F227" s="1081" t="str">
        <f t="shared" si="24"/>
        <v/>
      </c>
      <c r="G227" s="1681"/>
      <c r="H227" s="1681"/>
      <c r="I227" s="1681"/>
      <c r="J227" s="1681"/>
      <c r="K227" s="1676"/>
      <c r="L227" s="2554" t="s">
        <v>2637</v>
      </c>
      <c r="M227" s="2597" t="s">
        <v>2638</v>
      </c>
      <c r="N227" s="2597"/>
      <c r="O227" s="2555"/>
      <c r="P227" s="1614"/>
      <c r="Q227" s="1611" t="s">
        <v>604</v>
      </c>
      <c r="R227" s="1610"/>
      <c r="S227" s="1610"/>
      <c r="T227" s="1610"/>
      <c r="U227" s="1610"/>
      <c r="V227" s="1610"/>
      <c r="W227" s="2590">
        <v>0</v>
      </c>
      <c r="AD227" s="1608"/>
    </row>
    <row r="228" spans="1:30" ht="15">
      <c r="A228" s="1685" t="str">
        <f t="shared" si="19"/>
        <v/>
      </c>
      <c r="B228" s="1081" t="str">
        <f t="shared" si="20"/>
        <v/>
      </c>
      <c r="C228" s="1081" t="str">
        <f t="shared" si="21"/>
        <v/>
      </c>
      <c r="D228" s="1081" t="str">
        <f t="shared" si="22"/>
        <v/>
      </c>
      <c r="E228" s="1081" t="str">
        <f t="shared" si="23"/>
        <v/>
      </c>
      <c r="F228" s="1081" t="str">
        <f t="shared" si="24"/>
        <v/>
      </c>
      <c r="G228" s="1681"/>
      <c r="H228" s="1681"/>
      <c r="I228" s="1681"/>
      <c r="J228" s="1681"/>
      <c r="K228" s="1676"/>
      <c r="L228" s="2554"/>
      <c r="M228" s="2598"/>
      <c r="N228" s="2598"/>
      <c r="O228" s="2556"/>
      <c r="P228" s="1635"/>
      <c r="Q228" s="1611" t="s">
        <v>2481</v>
      </c>
      <c r="R228" s="1612"/>
      <c r="S228" s="1612"/>
      <c r="T228" s="1612"/>
      <c r="U228" s="1612"/>
      <c r="V228" s="1612"/>
      <c r="W228" s="2590"/>
      <c r="AD228" s="1608"/>
    </row>
    <row r="229" spans="1:30" ht="15">
      <c r="A229" s="1685" t="str">
        <f t="shared" si="19"/>
        <v/>
      </c>
      <c r="B229" s="1081" t="str">
        <f t="shared" si="20"/>
        <v/>
      </c>
      <c r="C229" s="1081" t="str">
        <f t="shared" si="21"/>
        <v/>
      </c>
      <c r="D229" s="1081" t="str">
        <f t="shared" si="22"/>
        <v/>
      </c>
      <c r="E229" s="1081" t="str">
        <f t="shared" si="23"/>
        <v/>
      </c>
      <c r="F229" s="1081" t="str">
        <f t="shared" si="24"/>
        <v/>
      </c>
      <c r="G229" s="1681"/>
      <c r="H229" s="1681"/>
      <c r="I229" s="1681"/>
      <c r="J229" s="1681"/>
      <c r="K229" s="1676"/>
      <c r="L229" s="2554"/>
      <c r="M229" s="2598"/>
      <c r="N229" s="2598"/>
      <c r="O229" s="2556"/>
      <c r="P229" s="1630"/>
      <c r="Q229" s="1611" t="s">
        <v>2482</v>
      </c>
      <c r="R229" s="1613"/>
      <c r="S229" s="1612"/>
      <c r="T229" s="1613"/>
      <c r="U229" s="1612"/>
      <c r="V229" s="1612"/>
      <c r="W229" s="2590"/>
      <c r="AD229" s="1608"/>
    </row>
    <row r="230" spans="1:30" ht="15">
      <c r="A230" s="1685" t="str">
        <f t="shared" si="19"/>
        <v/>
      </c>
      <c r="B230" s="1081">
        <f t="shared" si="20"/>
        <v>0</v>
      </c>
      <c r="C230" s="1081">
        <f t="shared" si="21"/>
        <v>0</v>
      </c>
      <c r="D230" s="1081">
        <f t="shared" si="22"/>
        <v>0</v>
      </c>
      <c r="E230" s="1081">
        <f t="shared" si="23"/>
        <v>0</v>
      </c>
      <c r="F230" s="1081">
        <f t="shared" si="24"/>
        <v>0</v>
      </c>
      <c r="G230" s="1681"/>
      <c r="H230" s="1681"/>
      <c r="I230" s="1681"/>
      <c r="J230" s="1681"/>
      <c r="K230" s="1676"/>
      <c r="L230" s="2554"/>
      <c r="M230" s="2599"/>
      <c r="N230" s="2599"/>
      <c r="O230" s="2557"/>
      <c r="P230" s="1635"/>
      <c r="Q230" s="1611" t="s">
        <v>2483</v>
      </c>
      <c r="R230" s="1612"/>
      <c r="S230" s="1612"/>
      <c r="T230" s="1612"/>
      <c r="U230" s="1612"/>
      <c r="V230" s="1612"/>
      <c r="W230" s="2590"/>
      <c r="AD230" s="1608"/>
    </row>
    <row r="231" spans="1:30" ht="15">
      <c r="A231" s="1685" t="str">
        <f t="shared" si="19"/>
        <v/>
      </c>
      <c r="B231" s="1081" t="str">
        <f t="shared" si="20"/>
        <v/>
      </c>
      <c r="C231" s="1081" t="str">
        <f t="shared" si="21"/>
        <v/>
      </c>
      <c r="D231" s="1081" t="str">
        <f t="shared" si="22"/>
        <v/>
      </c>
      <c r="E231" s="1081" t="str">
        <f t="shared" si="23"/>
        <v/>
      </c>
      <c r="F231" s="1081" t="str">
        <f t="shared" si="24"/>
        <v/>
      </c>
      <c r="G231" s="1681"/>
      <c r="H231" s="1681"/>
      <c r="I231" s="1681"/>
      <c r="J231" s="1681"/>
      <c r="K231" s="1676"/>
      <c r="L231" s="2554" t="s">
        <v>2639</v>
      </c>
      <c r="M231" s="2597" t="s">
        <v>2640</v>
      </c>
      <c r="N231" s="2597"/>
      <c r="O231" s="2555"/>
      <c r="P231" s="1614"/>
      <c r="Q231" s="1611" t="s">
        <v>604</v>
      </c>
      <c r="R231" s="1610"/>
      <c r="S231" s="1610"/>
      <c r="T231" s="1610"/>
      <c r="U231" s="1610"/>
      <c r="V231" s="1610"/>
      <c r="W231" s="2590">
        <v>0</v>
      </c>
      <c r="AD231" s="1608"/>
    </row>
    <row r="232" spans="1:30" ht="15">
      <c r="A232" s="1685" t="str">
        <f t="shared" si="19"/>
        <v/>
      </c>
      <c r="B232" s="1081" t="str">
        <f t="shared" si="20"/>
        <v/>
      </c>
      <c r="C232" s="1081" t="str">
        <f t="shared" si="21"/>
        <v/>
      </c>
      <c r="D232" s="1081" t="str">
        <f t="shared" si="22"/>
        <v/>
      </c>
      <c r="E232" s="1081" t="str">
        <f t="shared" si="23"/>
        <v/>
      </c>
      <c r="F232" s="1081" t="str">
        <f t="shared" si="24"/>
        <v/>
      </c>
      <c r="G232" s="1681"/>
      <c r="H232" s="1681"/>
      <c r="I232" s="1681"/>
      <c r="J232" s="1681"/>
      <c r="K232" s="1676"/>
      <c r="L232" s="2554"/>
      <c r="M232" s="2598"/>
      <c r="N232" s="2598"/>
      <c r="O232" s="2556"/>
      <c r="P232" s="1635"/>
      <c r="Q232" s="1611" t="s">
        <v>2481</v>
      </c>
      <c r="R232" s="1612"/>
      <c r="S232" s="1612"/>
      <c r="T232" s="1612"/>
      <c r="U232" s="1612"/>
      <c r="V232" s="1612"/>
      <c r="W232" s="2590"/>
      <c r="AD232" s="1608"/>
    </row>
    <row r="233" spans="1:30" ht="15">
      <c r="A233" s="1685" t="str">
        <f t="shared" si="19"/>
        <v/>
      </c>
      <c r="B233" s="1081" t="str">
        <f t="shared" si="20"/>
        <v/>
      </c>
      <c r="C233" s="1081" t="str">
        <f t="shared" si="21"/>
        <v/>
      </c>
      <c r="D233" s="1081" t="str">
        <f t="shared" si="22"/>
        <v/>
      </c>
      <c r="E233" s="1081" t="str">
        <f t="shared" si="23"/>
        <v/>
      </c>
      <c r="F233" s="1081" t="str">
        <f t="shared" si="24"/>
        <v/>
      </c>
      <c r="G233" s="1681"/>
      <c r="H233" s="1681"/>
      <c r="I233" s="1681"/>
      <c r="J233" s="1681"/>
      <c r="K233" s="1676"/>
      <c r="L233" s="2554"/>
      <c r="M233" s="2598"/>
      <c r="N233" s="2598"/>
      <c r="O233" s="2556"/>
      <c r="P233" s="1630"/>
      <c r="Q233" s="1611" t="s">
        <v>2482</v>
      </c>
      <c r="R233" s="1613"/>
      <c r="S233" s="1612"/>
      <c r="T233" s="1613"/>
      <c r="U233" s="1612"/>
      <c r="V233" s="1612"/>
      <c r="W233" s="2590"/>
      <c r="AD233" s="1608"/>
    </row>
    <row r="234" spans="1:30" ht="15">
      <c r="A234" s="1685" t="str">
        <f t="shared" si="19"/>
        <v/>
      </c>
      <c r="B234" s="1081">
        <f t="shared" si="20"/>
        <v>0</v>
      </c>
      <c r="C234" s="1081">
        <f t="shared" si="21"/>
        <v>0</v>
      </c>
      <c r="D234" s="1081">
        <f t="shared" si="22"/>
        <v>0</v>
      </c>
      <c r="E234" s="1081">
        <f t="shared" si="23"/>
        <v>0</v>
      </c>
      <c r="F234" s="1081">
        <f t="shared" si="24"/>
        <v>0</v>
      </c>
      <c r="G234" s="1681"/>
      <c r="H234" s="1681"/>
      <c r="I234" s="1681"/>
      <c r="J234" s="1681"/>
      <c r="K234" s="1676"/>
      <c r="L234" s="2554"/>
      <c r="M234" s="2599"/>
      <c r="N234" s="2599"/>
      <c r="O234" s="2557"/>
      <c r="P234" s="1635"/>
      <c r="Q234" s="1611" t="s">
        <v>2483</v>
      </c>
      <c r="R234" s="1612"/>
      <c r="S234" s="1612"/>
      <c r="T234" s="1612"/>
      <c r="U234" s="1612"/>
      <c r="V234" s="1612"/>
      <c r="W234" s="2590"/>
      <c r="AD234" s="1608"/>
    </row>
    <row r="235" spans="1:30" ht="15">
      <c r="A235" s="1685" t="str">
        <f t="shared" si="19"/>
        <v/>
      </c>
      <c r="B235" s="1081" t="str">
        <f t="shared" si="20"/>
        <v/>
      </c>
      <c r="C235" s="1081" t="str">
        <f t="shared" si="21"/>
        <v/>
      </c>
      <c r="D235" s="1081" t="str">
        <f t="shared" si="22"/>
        <v/>
      </c>
      <c r="E235" s="1081" t="str">
        <f t="shared" si="23"/>
        <v/>
      </c>
      <c r="F235" s="1081" t="str">
        <f t="shared" si="24"/>
        <v/>
      </c>
      <c r="G235" s="1681"/>
      <c r="H235" s="1681"/>
      <c r="I235" s="1681"/>
      <c r="J235" s="1681"/>
      <c r="K235" s="1676"/>
      <c r="L235" s="2554" t="s">
        <v>2641</v>
      </c>
      <c r="M235" s="2597" t="s">
        <v>2642</v>
      </c>
      <c r="N235" s="2597"/>
      <c r="O235" s="2555"/>
      <c r="P235" s="1614"/>
      <c r="Q235" s="1611" t="s">
        <v>604</v>
      </c>
      <c r="R235" s="1610"/>
      <c r="S235" s="1610"/>
      <c r="T235" s="1610"/>
      <c r="U235" s="1610"/>
      <c r="V235" s="1610"/>
      <c r="W235" s="2590">
        <v>0</v>
      </c>
      <c r="AD235" s="1608"/>
    </row>
    <row r="236" spans="1:30" ht="15">
      <c r="A236" s="1685" t="str">
        <f t="shared" si="19"/>
        <v/>
      </c>
      <c r="B236" s="1081" t="str">
        <f t="shared" si="20"/>
        <v/>
      </c>
      <c r="C236" s="1081" t="str">
        <f t="shared" si="21"/>
        <v/>
      </c>
      <c r="D236" s="1081" t="str">
        <f t="shared" si="22"/>
        <v/>
      </c>
      <c r="E236" s="1081" t="str">
        <f t="shared" si="23"/>
        <v/>
      </c>
      <c r="F236" s="1081" t="str">
        <f t="shared" si="24"/>
        <v/>
      </c>
      <c r="G236" s="1681"/>
      <c r="H236" s="1681"/>
      <c r="I236" s="1681"/>
      <c r="J236" s="1681"/>
      <c r="K236" s="1676"/>
      <c r="L236" s="2554"/>
      <c r="M236" s="2598"/>
      <c r="N236" s="2598"/>
      <c r="O236" s="2556"/>
      <c r="P236" s="1635"/>
      <c r="Q236" s="1611" t="s">
        <v>2481</v>
      </c>
      <c r="R236" s="1612"/>
      <c r="S236" s="1612"/>
      <c r="T236" s="1612"/>
      <c r="U236" s="1612"/>
      <c r="V236" s="1612"/>
      <c r="W236" s="2590"/>
      <c r="AD236" s="1608"/>
    </row>
    <row r="237" spans="1:30" ht="15">
      <c r="A237" s="1685" t="str">
        <f t="shared" si="19"/>
        <v/>
      </c>
      <c r="B237" s="1081" t="str">
        <f t="shared" si="20"/>
        <v/>
      </c>
      <c r="C237" s="1081" t="str">
        <f t="shared" si="21"/>
        <v/>
      </c>
      <c r="D237" s="1081" t="str">
        <f t="shared" si="22"/>
        <v/>
      </c>
      <c r="E237" s="1081" t="str">
        <f t="shared" si="23"/>
        <v/>
      </c>
      <c r="F237" s="1081" t="str">
        <f t="shared" si="24"/>
        <v/>
      </c>
      <c r="G237" s="1681"/>
      <c r="H237" s="1681"/>
      <c r="I237" s="1681"/>
      <c r="J237" s="1681"/>
      <c r="K237" s="1676"/>
      <c r="L237" s="2554"/>
      <c r="M237" s="2598"/>
      <c r="N237" s="2598"/>
      <c r="O237" s="2556"/>
      <c r="P237" s="1630"/>
      <c r="Q237" s="1611" t="s">
        <v>2482</v>
      </c>
      <c r="R237" s="1613"/>
      <c r="S237" s="1612"/>
      <c r="T237" s="1613"/>
      <c r="U237" s="1612"/>
      <c r="V237" s="1612"/>
      <c r="W237" s="2590"/>
      <c r="AD237" s="1608"/>
    </row>
    <row r="238" spans="1:30" ht="15">
      <c r="A238" s="1685" t="str">
        <f t="shared" si="19"/>
        <v/>
      </c>
      <c r="B238" s="1081">
        <f t="shared" si="20"/>
        <v>0</v>
      </c>
      <c r="C238" s="1081">
        <f t="shared" si="21"/>
        <v>0</v>
      </c>
      <c r="D238" s="1081">
        <f t="shared" si="22"/>
        <v>0</v>
      </c>
      <c r="E238" s="1081">
        <f t="shared" si="23"/>
        <v>0</v>
      </c>
      <c r="F238" s="1081">
        <f t="shared" si="24"/>
        <v>0</v>
      </c>
      <c r="G238" s="1681"/>
      <c r="H238" s="1681"/>
      <c r="I238" s="1681"/>
      <c r="J238" s="1681"/>
      <c r="K238" s="1676"/>
      <c r="L238" s="2554"/>
      <c r="M238" s="2599"/>
      <c r="N238" s="2599"/>
      <c r="O238" s="2557"/>
      <c r="P238" s="1635"/>
      <c r="Q238" s="1611" t="s">
        <v>2483</v>
      </c>
      <c r="R238" s="1612"/>
      <c r="S238" s="1612"/>
      <c r="T238" s="1612"/>
      <c r="U238" s="1612"/>
      <c r="V238" s="1612"/>
      <c r="W238" s="2590"/>
      <c r="AD238" s="1608"/>
    </row>
    <row r="239" spans="1:30" ht="19.25" customHeight="1">
      <c r="A239" s="1685" t="str">
        <f t="shared" si="19"/>
        <v/>
      </c>
      <c r="B239" s="1081" t="str">
        <f t="shared" si="20"/>
        <v/>
      </c>
      <c r="C239" s="1081" t="str">
        <f t="shared" si="21"/>
        <v/>
      </c>
      <c r="D239" s="1081" t="str">
        <f t="shared" si="22"/>
        <v/>
      </c>
      <c r="E239" s="1081" t="str">
        <f t="shared" si="23"/>
        <v/>
      </c>
      <c r="F239" s="1081" t="str">
        <f t="shared" si="24"/>
        <v/>
      </c>
      <c r="G239" s="1681"/>
      <c r="H239" s="1681"/>
      <c r="I239" s="1681"/>
      <c r="J239" s="1681"/>
      <c r="K239" s="1676"/>
      <c r="L239" s="2548" t="s">
        <v>2643</v>
      </c>
      <c r="M239" s="2542" t="s">
        <v>2644</v>
      </c>
      <c r="N239" s="2543"/>
      <c r="O239" s="2544"/>
      <c r="P239" s="2550"/>
      <c r="Q239" s="2552"/>
      <c r="R239" s="2540">
        <v>27625460.534799993</v>
      </c>
      <c r="S239" s="2540">
        <v>29882720.534999996</v>
      </c>
      <c r="T239" s="2540">
        <v>32113841.701999996</v>
      </c>
      <c r="U239" s="2540">
        <v>33863368.285999998</v>
      </c>
      <c r="V239" s="2540">
        <v>36018226.651000001</v>
      </c>
      <c r="W239" s="2540">
        <v>159503617.70879999</v>
      </c>
      <c r="AD239" s="1608"/>
    </row>
    <row r="240" spans="1:30" ht="19.25" customHeight="1">
      <c r="A240" s="1685" t="str">
        <f t="shared" si="19"/>
        <v/>
      </c>
      <c r="B240" s="1081" t="str">
        <f t="shared" si="20"/>
        <v/>
      </c>
      <c r="C240" s="1081" t="str">
        <f t="shared" si="21"/>
        <v/>
      </c>
      <c r="D240" s="1081" t="str">
        <f t="shared" si="22"/>
        <v/>
      </c>
      <c r="E240" s="1081" t="str">
        <f t="shared" si="23"/>
        <v/>
      </c>
      <c r="F240" s="1081" t="str">
        <f t="shared" si="24"/>
        <v/>
      </c>
      <c r="G240" s="1681"/>
      <c r="H240" s="1681"/>
      <c r="I240" s="1681"/>
      <c r="J240" s="1681"/>
      <c r="K240" s="1676"/>
      <c r="L240" s="2549"/>
      <c r="M240" s="2542" t="s">
        <v>2529</v>
      </c>
      <c r="N240" s="2543"/>
      <c r="O240" s="2544"/>
      <c r="P240" s="2551"/>
      <c r="Q240" s="2553"/>
      <c r="R240" s="2541"/>
      <c r="S240" s="2541"/>
      <c r="T240" s="2541"/>
      <c r="U240" s="2541"/>
      <c r="V240" s="2541"/>
      <c r="W240" s="2541"/>
      <c r="AD240" s="1608"/>
    </row>
    <row r="241" spans="1:30" ht="15">
      <c r="A241" s="1685" t="str">
        <f t="shared" si="19"/>
        <v/>
      </c>
      <c r="B241" s="1081" t="str">
        <f t="shared" si="20"/>
        <v/>
      </c>
      <c r="C241" s="1081" t="str">
        <f t="shared" si="21"/>
        <v/>
      </c>
      <c r="D241" s="1081" t="str">
        <f t="shared" si="22"/>
        <v/>
      </c>
      <c r="E241" s="1081" t="str">
        <f t="shared" si="23"/>
        <v/>
      </c>
      <c r="F241" s="1081" t="str">
        <f t="shared" si="24"/>
        <v/>
      </c>
      <c r="G241" s="1681"/>
      <c r="H241" s="1681"/>
      <c r="I241" s="1681"/>
      <c r="J241" s="1681"/>
      <c r="K241" s="1676"/>
      <c r="L241" s="2619" t="s">
        <v>277</v>
      </c>
      <c r="M241" s="2620" t="s">
        <v>2645</v>
      </c>
      <c r="N241" s="2583" t="s">
        <v>2646</v>
      </c>
      <c r="O241" s="2583" t="s">
        <v>2647</v>
      </c>
      <c r="P241" s="2548"/>
      <c r="Q241" s="1609" t="s">
        <v>604</v>
      </c>
      <c r="R241" s="1619" t="s">
        <v>2495</v>
      </c>
      <c r="S241" s="1610"/>
      <c r="T241" s="1610"/>
      <c r="U241" s="1610"/>
      <c r="V241" s="1610"/>
      <c r="W241" s="2563">
        <v>148083.5</v>
      </c>
      <c r="AD241" s="1608"/>
    </row>
    <row r="242" spans="1:30" ht="15">
      <c r="A242" s="1685" t="str">
        <f t="shared" si="19"/>
        <v/>
      </c>
      <c r="B242" s="1081" t="str">
        <f t="shared" si="20"/>
        <v/>
      </c>
      <c r="C242" s="1081" t="str">
        <f t="shared" si="21"/>
        <v/>
      </c>
      <c r="D242" s="1081" t="str">
        <f t="shared" si="22"/>
        <v/>
      </c>
      <c r="E242" s="1081" t="str">
        <f t="shared" si="23"/>
        <v/>
      </c>
      <c r="F242" s="1081" t="str">
        <f t="shared" si="24"/>
        <v/>
      </c>
      <c r="G242" s="1681"/>
      <c r="H242" s="1681"/>
      <c r="I242" s="1681"/>
      <c r="J242" s="1681"/>
      <c r="K242" s="1676"/>
      <c r="L242" s="2619"/>
      <c r="M242" s="2621"/>
      <c r="N242" s="2583"/>
      <c r="O242" s="2583"/>
      <c r="P242" s="2566"/>
      <c r="Q242" s="1611" t="s">
        <v>2481</v>
      </c>
      <c r="R242" s="1617">
        <v>4</v>
      </c>
      <c r="S242" s="1613"/>
      <c r="T242" s="1613"/>
      <c r="U242" s="1613"/>
      <c r="V242" s="1613"/>
      <c r="W242" s="2564"/>
      <c r="AD242" s="1608"/>
    </row>
    <row r="243" spans="1:30" ht="15">
      <c r="A243" s="1685" t="str">
        <f t="shared" si="19"/>
        <v/>
      </c>
      <c r="B243" s="1081" t="str">
        <f t="shared" si="20"/>
        <v/>
      </c>
      <c r="C243" s="1081" t="str">
        <f t="shared" si="21"/>
        <v/>
      </c>
      <c r="D243" s="1081" t="str">
        <f t="shared" si="22"/>
        <v/>
      </c>
      <c r="E243" s="1081" t="str">
        <f t="shared" si="23"/>
        <v/>
      </c>
      <c r="F243" s="1081" t="str">
        <f t="shared" si="24"/>
        <v/>
      </c>
      <c r="G243" s="1681"/>
      <c r="H243" s="1681"/>
      <c r="I243" s="1681"/>
      <c r="J243" s="1681"/>
      <c r="K243" s="1676"/>
      <c r="L243" s="2619"/>
      <c r="M243" s="2621"/>
      <c r="N243" s="2583"/>
      <c r="O243" s="2583"/>
      <c r="P243" s="2566"/>
      <c r="Q243" s="1611" t="s">
        <v>2482</v>
      </c>
      <c r="R243" s="1641">
        <v>37020.875</v>
      </c>
      <c r="S243" s="1613"/>
      <c r="T243" s="1613"/>
      <c r="U243" s="1613"/>
      <c r="V243" s="1613"/>
      <c r="W243" s="2564"/>
      <c r="AD243" s="1608"/>
    </row>
    <row r="244" spans="1:30" ht="15">
      <c r="A244" s="1685" t="str">
        <f t="shared" si="19"/>
        <v>4.2.1.</v>
      </c>
      <c r="B244" s="1081">
        <f t="shared" si="20"/>
        <v>148083.5</v>
      </c>
      <c r="C244" s="1081">
        <f t="shared" si="21"/>
        <v>0</v>
      </c>
      <c r="D244" s="1081">
        <f t="shared" si="22"/>
        <v>0</v>
      </c>
      <c r="E244" s="1081">
        <f t="shared" si="23"/>
        <v>0</v>
      </c>
      <c r="F244" s="1081">
        <f t="shared" si="24"/>
        <v>0</v>
      </c>
      <c r="G244" s="1681"/>
      <c r="H244" s="1681"/>
      <c r="I244" s="1681"/>
      <c r="J244" s="1681" t="s">
        <v>2223</v>
      </c>
      <c r="K244" s="1676"/>
      <c r="L244" s="2619"/>
      <c r="M244" s="2622"/>
      <c r="N244" s="2583"/>
      <c r="O244" s="2583"/>
      <c r="P244" s="2549"/>
      <c r="Q244" s="1611" t="s">
        <v>2483</v>
      </c>
      <c r="R244" s="1628">
        <v>148083.5</v>
      </c>
      <c r="S244" s="1613"/>
      <c r="T244" s="1613"/>
      <c r="U244" s="1612"/>
      <c r="V244" s="1613"/>
      <c r="W244" s="2565"/>
      <c r="AD244" s="1608"/>
    </row>
    <row r="245" spans="1:30" ht="15">
      <c r="A245" s="1685" t="str">
        <f t="shared" si="19"/>
        <v/>
      </c>
      <c r="B245" s="1081" t="str">
        <f t="shared" si="20"/>
        <v/>
      </c>
      <c r="C245" s="1081" t="str">
        <f t="shared" si="21"/>
        <v/>
      </c>
      <c r="D245" s="1081" t="str">
        <f t="shared" si="22"/>
        <v/>
      </c>
      <c r="E245" s="1081" t="str">
        <f t="shared" si="23"/>
        <v/>
      </c>
      <c r="F245" s="1081" t="str">
        <f t="shared" si="24"/>
        <v/>
      </c>
      <c r="G245" s="1681"/>
      <c r="H245" s="1681"/>
      <c r="I245" s="1681"/>
      <c r="J245" s="1681"/>
      <c r="K245" s="1676"/>
      <c r="L245" s="2619" t="s">
        <v>279</v>
      </c>
      <c r="M245" s="2620" t="s">
        <v>2648</v>
      </c>
      <c r="N245" s="2620" t="s">
        <v>2649</v>
      </c>
      <c r="O245" s="2577" t="s">
        <v>2650</v>
      </c>
      <c r="P245" s="2548"/>
      <c r="Q245" s="1611" t="s">
        <v>604</v>
      </c>
      <c r="R245" s="1620"/>
      <c r="S245" s="1619" t="s">
        <v>2563</v>
      </c>
      <c r="T245" s="1619" t="s">
        <v>2563</v>
      </c>
      <c r="U245" s="1610"/>
      <c r="V245" s="1620"/>
      <c r="W245" s="2563">
        <v>964926</v>
      </c>
      <c r="AD245" s="1608"/>
    </row>
    <row r="246" spans="1:30" ht="15">
      <c r="A246" s="1685" t="str">
        <f t="shared" si="19"/>
        <v/>
      </c>
      <c r="B246" s="1081" t="str">
        <f t="shared" si="20"/>
        <v/>
      </c>
      <c r="C246" s="1081" t="str">
        <f t="shared" si="21"/>
        <v/>
      </c>
      <c r="D246" s="1081" t="str">
        <f t="shared" si="22"/>
        <v/>
      </c>
      <c r="E246" s="1081" t="str">
        <f t="shared" si="23"/>
        <v/>
      </c>
      <c r="F246" s="1081" t="str">
        <f t="shared" si="24"/>
        <v/>
      </c>
      <c r="G246" s="1681"/>
      <c r="H246" s="1681"/>
      <c r="I246" s="1681"/>
      <c r="J246" s="1681"/>
      <c r="K246" s="1676"/>
      <c r="L246" s="2619"/>
      <c r="M246" s="2621"/>
      <c r="N246" s="2621"/>
      <c r="O246" s="2578"/>
      <c r="P246" s="2566"/>
      <c r="Q246" s="1611" t="s">
        <v>2481</v>
      </c>
      <c r="R246" s="1613"/>
      <c r="S246" s="1617">
        <v>12</v>
      </c>
      <c r="T246" s="1617">
        <v>12</v>
      </c>
      <c r="U246" s="1612"/>
      <c r="V246" s="1613"/>
      <c r="W246" s="2564"/>
      <c r="AD246" s="1608"/>
    </row>
    <row r="247" spans="1:30" ht="15">
      <c r="A247" s="1685" t="str">
        <f t="shared" si="19"/>
        <v/>
      </c>
      <c r="B247" s="1081" t="str">
        <f t="shared" si="20"/>
        <v/>
      </c>
      <c r="C247" s="1081" t="str">
        <f t="shared" si="21"/>
        <v/>
      </c>
      <c r="D247" s="1081" t="str">
        <f t="shared" si="22"/>
        <v/>
      </c>
      <c r="E247" s="1081" t="str">
        <f t="shared" si="23"/>
        <v/>
      </c>
      <c r="F247" s="1081" t="str">
        <f t="shared" si="24"/>
        <v/>
      </c>
      <c r="G247" s="1681"/>
      <c r="H247" s="1681"/>
      <c r="I247" s="1681"/>
      <c r="J247" s="1681"/>
      <c r="K247" s="1676"/>
      <c r="L247" s="2619"/>
      <c r="M247" s="2621"/>
      <c r="N247" s="2621"/>
      <c r="O247" s="2578"/>
      <c r="P247" s="2566"/>
      <c r="Q247" s="1611" t="s">
        <v>2482</v>
      </c>
      <c r="R247" s="1613"/>
      <c r="S247" s="1617">
        <v>88917</v>
      </c>
      <c r="T247" s="1617">
        <v>88917</v>
      </c>
      <c r="U247" s="1612"/>
      <c r="V247" s="1613"/>
      <c r="W247" s="2564"/>
      <c r="AD247" s="1608"/>
    </row>
    <row r="248" spans="1:30" ht="42" customHeight="1">
      <c r="A248" s="1685" t="str">
        <f t="shared" si="19"/>
        <v>4.2.2.</v>
      </c>
      <c r="B248" s="1081">
        <f t="shared" si="20"/>
        <v>0</v>
      </c>
      <c r="C248" s="1081">
        <f t="shared" si="21"/>
        <v>482463</v>
      </c>
      <c r="D248" s="1081">
        <f t="shared" si="22"/>
        <v>482463</v>
      </c>
      <c r="E248" s="1081">
        <f t="shared" si="23"/>
        <v>0</v>
      </c>
      <c r="F248" s="1081">
        <f t="shared" si="24"/>
        <v>0</v>
      </c>
      <c r="G248" s="1681"/>
      <c r="H248" s="1681"/>
      <c r="I248" s="1681"/>
      <c r="J248" s="1681" t="s">
        <v>1863</v>
      </c>
      <c r="K248" s="1676"/>
      <c r="L248" s="2619"/>
      <c r="M248" s="2622"/>
      <c r="N248" s="2622"/>
      <c r="O248" s="2579"/>
      <c r="P248" s="2566"/>
      <c r="Q248" s="1611" t="s">
        <v>2483</v>
      </c>
      <c r="R248" s="1613"/>
      <c r="S248" s="1628">
        <v>482463</v>
      </c>
      <c r="T248" s="1617">
        <v>482463</v>
      </c>
      <c r="U248" s="1612"/>
      <c r="V248" s="1613"/>
      <c r="W248" s="2565"/>
      <c r="AD248" s="1608"/>
    </row>
    <row r="249" spans="1:30" ht="12.75" customHeight="1">
      <c r="A249" s="1685" t="str">
        <f t="shared" si="19"/>
        <v/>
      </c>
      <c r="B249" s="1081" t="str">
        <f t="shared" si="20"/>
        <v/>
      </c>
      <c r="C249" s="1081" t="str">
        <f t="shared" si="21"/>
        <v/>
      </c>
      <c r="D249" s="1081" t="str">
        <f t="shared" si="22"/>
        <v/>
      </c>
      <c r="E249" s="1081" t="str">
        <f t="shared" si="23"/>
        <v/>
      </c>
      <c r="F249" s="1081" t="str">
        <f t="shared" si="24"/>
        <v/>
      </c>
      <c r="G249" s="1681"/>
      <c r="H249" s="1681"/>
      <c r="I249" s="1681"/>
      <c r="J249" s="1681"/>
      <c r="K249" s="1676"/>
      <c r="L249" s="2583" t="s">
        <v>278</v>
      </c>
      <c r="M249" s="2583" t="s">
        <v>2651</v>
      </c>
      <c r="N249" s="2583" t="s">
        <v>2652</v>
      </c>
      <c r="O249" s="2583" t="s">
        <v>2653</v>
      </c>
      <c r="P249" s="1632"/>
      <c r="Q249" s="1642" t="s">
        <v>604</v>
      </c>
      <c r="R249" s="1619" t="s">
        <v>2509</v>
      </c>
      <c r="S249" s="1619" t="s">
        <v>2509</v>
      </c>
      <c r="T249" s="1619" t="s">
        <v>2509</v>
      </c>
      <c r="U249" s="1619" t="s">
        <v>2509</v>
      </c>
      <c r="V249" s="1619" t="s">
        <v>2509</v>
      </c>
      <c r="W249" s="2563">
        <v>158390608.20879999</v>
      </c>
      <c r="X249" s="1589" t="s">
        <v>2654</v>
      </c>
      <c r="AD249" s="1608"/>
    </row>
    <row r="250" spans="1:30" ht="45">
      <c r="A250" s="1685" t="str">
        <f t="shared" si="19"/>
        <v/>
      </c>
      <c r="B250" s="1081" t="str">
        <f t="shared" si="20"/>
        <v/>
      </c>
      <c r="C250" s="1081" t="str">
        <f t="shared" si="21"/>
        <v/>
      </c>
      <c r="D250" s="1081" t="str">
        <f t="shared" si="22"/>
        <v/>
      </c>
      <c r="E250" s="1081" t="str">
        <f t="shared" si="23"/>
        <v/>
      </c>
      <c r="F250" s="1081" t="str">
        <f t="shared" si="24"/>
        <v/>
      </c>
      <c r="G250" s="1681"/>
      <c r="H250" s="1681"/>
      <c r="I250" s="1681"/>
      <c r="J250" s="1681"/>
      <c r="K250" s="1676"/>
      <c r="L250" s="2583"/>
      <c r="M250" s="2583"/>
      <c r="N250" s="2583"/>
      <c r="O250" s="2583"/>
      <c r="P250" s="1643" t="s">
        <v>2655</v>
      </c>
      <c r="Q250" s="1642" t="s">
        <v>2481</v>
      </c>
      <c r="R250" s="1644">
        <v>34804.839999999997</v>
      </c>
      <c r="S250" s="1644">
        <v>37240.5</v>
      </c>
      <c r="T250" s="1644">
        <v>40066.6</v>
      </c>
      <c r="U250" s="1644">
        <v>42893.8</v>
      </c>
      <c r="V250" s="1644">
        <v>45623.3</v>
      </c>
      <c r="W250" s="2564"/>
      <c r="X250" s="1589" t="s">
        <v>2656</v>
      </c>
      <c r="AD250" s="1608"/>
    </row>
    <row r="251" spans="1:30" ht="15">
      <c r="A251" s="1685" t="str">
        <f t="shared" si="19"/>
        <v/>
      </c>
      <c r="B251" s="1081" t="str">
        <f t="shared" si="20"/>
        <v/>
      </c>
      <c r="C251" s="1081" t="str">
        <f t="shared" si="21"/>
        <v/>
      </c>
      <c r="D251" s="1081" t="str">
        <f t="shared" si="22"/>
        <v/>
      </c>
      <c r="E251" s="1081" t="str">
        <f t="shared" si="23"/>
        <v/>
      </c>
      <c r="F251" s="1081" t="str">
        <f t="shared" si="24"/>
        <v/>
      </c>
      <c r="G251" s="1681"/>
      <c r="H251" s="1681"/>
      <c r="I251" s="1681"/>
      <c r="J251" s="1681"/>
      <c r="K251" s="1676"/>
      <c r="L251" s="2583"/>
      <c r="M251" s="2583"/>
      <c r="N251" s="2583"/>
      <c r="O251" s="2583"/>
      <c r="P251" s="1632"/>
      <c r="Q251" s="1642" t="s">
        <v>2482</v>
      </c>
      <c r="R251" s="1644">
        <v>789.46999999999991</v>
      </c>
      <c r="S251" s="1644">
        <v>789.46999999999991</v>
      </c>
      <c r="T251" s="1644">
        <v>789.46999999999991</v>
      </c>
      <c r="U251" s="1644">
        <v>789.46999999999991</v>
      </c>
      <c r="V251" s="1644">
        <v>789.46999999999991</v>
      </c>
      <c r="W251" s="2564"/>
      <c r="X251" s="1589" t="s">
        <v>2657</v>
      </c>
      <c r="AD251" s="1608"/>
    </row>
    <row r="252" spans="1:30" ht="18.5" customHeight="1">
      <c r="A252" s="1685" t="str">
        <f t="shared" si="19"/>
        <v>4.2.3.</v>
      </c>
      <c r="B252" s="1081">
        <f t="shared" si="20"/>
        <v>27477377.034799993</v>
      </c>
      <c r="C252" s="1081">
        <f t="shared" si="21"/>
        <v>29400257.534999996</v>
      </c>
      <c r="D252" s="1081">
        <f t="shared" si="22"/>
        <v>31631378.701999996</v>
      </c>
      <c r="E252" s="1081">
        <f t="shared" si="23"/>
        <v>33863368.285999998</v>
      </c>
      <c r="F252" s="1081">
        <f t="shared" si="24"/>
        <v>36018226.651000001</v>
      </c>
      <c r="G252" s="1681"/>
      <c r="H252" s="1681"/>
      <c r="I252" s="1681"/>
      <c r="J252" s="1681" t="s">
        <v>2224</v>
      </c>
      <c r="K252" s="1676"/>
      <c r="L252" s="2583"/>
      <c r="M252" s="2583"/>
      <c r="N252" s="2583"/>
      <c r="O252" s="2583"/>
      <c r="P252" s="1632"/>
      <c r="Q252" s="1642" t="s">
        <v>2483</v>
      </c>
      <c r="R252" s="1645">
        <v>27477377.034799993</v>
      </c>
      <c r="S252" s="1645">
        <v>29400257.534999996</v>
      </c>
      <c r="T252" s="1645">
        <v>31631378.701999996</v>
      </c>
      <c r="U252" s="1645">
        <v>33863368.285999998</v>
      </c>
      <c r="V252" s="1645">
        <v>36018226.651000001</v>
      </c>
      <c r="W252" s="2565"/>
      <c r="AD252" s="1608"/>
    </row>
    <row r="253" spans="1:30" ht="59.75" customHeight="1">
      <c r="A253" s="1685" t="str">
        <f t="shared" si="19"/>
        <v/>
      </c>
      <c r="B253" s="1081" t="str">
        <f t="shared" si="20"/>
        <v/>
      </c>
      <c r="C253" s="1081" t="str">
        <f t="shared" si="21"/>
        <v/>
      </c>
      <c r="D253" s="1081" t="str">
        <f t="shared" si="22"/>
        <v/>
      </c>
      <c r="E253" s="1081" t="str">
        <f t="shared" si="23"/>
        <v/>
      </c>
      <c r="F253" s="1081" t="str">
        <f t="shared" si="24"/>
        <v/>
      </c>
      <c r="G253" s="1681"/>
      <c r="H253" s="1681"/>
      <c r="I253" s="1681"/>
      <c r="J253" s="1681"/>
      <c r="K253" s="1676"/>
      <c r="L253" s="1604">
        <v>5</v>
      </c>
      <c r="M253" s="2545" t="s">
        <v>2658</v>
      </c>
      <c r="N253" s="2546"/>
      <c r="O253" s="2547"/>
      <c r="P253" s="1605"/>
      <c r="Q253" s="1606"/>
      <c r="R253" s="1607">
        <v>1840696.9000000001</v>
      </c>
      <c r="S253" s="1607">
        <v>1383301.9</v>
      </c>
      <c r="T253" s="1607">
        <v>1403181.9</v>
      </c>
      <c r="U253" s="1607">
        <v>762381.89999999991</v>
      </c>
      <c r="V253" s="1607">
        <v>762381.89999999991</v>
      </c>
      <c r="W253" s="1607">
        <v>6151944.5</v>
      </c>
      <c r="AD253" s="1608"/>
    </row>
    <row r="254" spans="1:30" ht="19.25" customHeight="1">
      <c r="A254" s="1685" t="str">
        <f t="shared" si="19"/>
        <v/>
      </c>
      <c r="B254" s="1081" t="str">
        <f t="shared" si="20"/>
        <v/>
      </c>
      <c r="C254" s="1081" t="str">
        <f t="shared" si="21"/>
        <v/>
      </c>
      <c r="D254" s="1081" t="str">
        <f t="shared" si="22"/>
        <v/>
      </c>
      <c r="E254" s="1081" t="str">
        <f t="shared" si="23"/>
        <v/>
      </c>
      <c r="F254" s="1081" t="str">
        <f t="shared" si="24"/>
        <v/>
      </c>
      <c r="G254" s="1681"/>
      <c r="H254" s="1681"/>
      <c r="I254" s="1681"/>
      <c r="J254" s="1681"/>
      <c r="K254" s="1676"/>
      <c r="L254" s="2548" t="s">
        <v>2659</v>
      </c>
      <c r="M254" s="2542" t="s">
        <v>2660</v>
      </c>
      <c r="N254" s="2543"/>
      <c r="O254" s="2544"/>
      <c r="P254" s="2550"/>
      <c r="Q254" s="2552"/>
      <c r="R254" s="2540">
        <v>0</v>
      </c>
      <c r="S254" s="2540">
        <v>0</v>
      </c>
      <c r="T254" s="2540">
        <v>0</v>
      </c>
      <c r="U254" s="2540">
        <v>0</v>
      </c>
      <c r="V254" s="2540">
        <v>0</v>
      </c>
      <c r="W254" s="2540">
        <v>0</v>
      </c>
      <c r="AD254" s="1608"/>
    </row>
    <row r="255" spans="1:30" ht="19.25" customHeight="1">
      <c r="A255" s="1685" t="str">
        <f t="shared" si="19"/>
        <v/>
      </c>
      <c r="B255" s="1081" t="str">
        <f t="shared" si="20"/>
        <v/>
      </c>
      <c r="C255" s="1081" t="str">
        <f t="shared" si="21"/>
        <v/>
      </c>
      <c r="D255" s="1081" t="str">
        <f t="shared" si="22"/>
        <v/>
      </c>
      <c r="E255" s="1081" t="str">
        <f t="shared" si="23"/>
        <v/>
      </c>
      <c r="F255" s="1081" t="str">
        <f t="shared" si="24"/>
        <v/>
      </c>
      <c r="G255" s="1681"/>
      <c r="H255" s="1681"/>
      <c r="I255" s="1681"/>
      <c r="J255" s="1681"/>
      <c r="K255" s="1676"/>
      <c r="L255" s="2549"/>
      <c r="M255" s="2542" t="s">
        <v>2478</v>
      </c>
      <c r="N255" s="2543"/>
      <c r="O255" s="2544"/>
      <c r="P255" s="2551"/>
      <c r="Q255" s="2553"/>
      <c r="R255" s="2541"/>
      <c r="S255" s="2541"/>
      <c r="T255" s="2541"/>
      <c r="U255" s="2541"/>
      <c r="V255" s="2541"/>
      <c r="W255" s="2541"/>
      <c r="AD255" s="1608"/>
    </row>
    <row r="256" spans="1:30" ht="15">
      <c r="A256" s="1685" t="str">
        <f t="shared" si="19"/>
        <v/>
      </c>
      <c r="B256" s="1081" t="str">
        <f t="shared" si="20"/>
        <v/>
      </c>
      <c r="C256" s="1081" t="str">
        <f t="shared" si="21"/>
        <v/>
      </c>
      <c r="D256" s="1081" t="str">
        <f t="shared" si="22"/>
        <v/>
      </c>
      <c r="E256" s="1081" t="str">
        <f t="shared" si="23"/>
        <v/>
      </c>
      <c r="F256" s="1081" t="str">
        <f t="shared" si="24"/>
        <v/>
      </c>
      <c r="G256" s="1681"/>
      <c r="H256" s="1681"/>
      <c r="I256" s="1681"/>
      <c r="J256" s="1681"/>
      <c r="K256" s="1676"/>
      <c r="L256" s="2554" t="s">
        <v>2661</v>
      </c>
      <c r="M256" s="2597" t="s">
        <v>2662</v>
      </c>
      <c r="N256" s="2597"/>
      <c r="O256" s="2597"/>
      <c r="P256" s="2548"/>
      <c r="Q256" s="1609" t="s">
        <v>604</v>
      </c>
      <c r="R256" s="1610"/>
      <c r="S256" s="1610"/>
      <c r="T256" s="1610"/>
      <c r="U256" s="1610"/>
      <c r="V256" s="1610"/>
      <c r="W256" s="2590">
        <v>0</v>
      </c>
      <c r="AD256" s="1608"/>
    </row>
    <row r="257" spans="1:30" ht="15">
      <c r="A257" s="1685" t="str">
        <f t="shared" si="19"/>
        <v/>
      </c>
      <c r="B257" s="1081" t="str">
        <f t="shared" si="20"/>
        <v/>
      </c>
      <c r="C257" s="1081" t="str">
        <f t="shared" si="21"/>
        <v/>
      </c>
      <c r="D257" s="1081" t="str">
        <f t="shared" si="22"/>
        <v/>
      </c>
      <c r="E257" s="1081" t="str">
        <f t="shared" si="23"/>
        <v/>
      </c>
      <c r="F257" s="1081" t="str">
        <f t="shared" si="24"/>
        <v/>
      </c>
      <c r="G257" s="1681"/>
      <c r="H257" s="1681"/>
      <c r="I257" s="1681"/>
      <c r="J257" s="1681"/>
      <c r="K257" s="1676"/>
      <c r="L257" s="2554"/>
      <c r="M257" s="2598"/>
      <c r="N257" s="2598"/>
      <c r="O257" s="2598"/>
      <c r="P257" s="2566"/>
      <c r="Q257" s="1611" t="s">
        <v>2481</v>
      </c>
      <c r="R257" s="1612"/>
      <c r="S257" s="1612"/>
      <c r="T257" s="1612"/>
      <c r="U257" s="1612"/>
      <c r="V257" s="1612"/>
      <c r="W257" s="2590"/>
      <c r="AD257" s="1608"/>
    </row>
    <row r="258" spans="1:30" ht="15">
      <c r="A258" s="1685" t="str">
        <f t="shared" si="19"/>
        <v/>
      </c>
      <c r="B258" s="1081" t="str">
        <f t="shared" si="20"/>
        <v/>
      </c>
      <c r="C258" s="1081" t="str">
        <f t="shared" si="21"/>
        <v/>
      </c>
      <c r="D258" s="1081" t="str">
        <f t="shared" si="22"/>
        <v/>
      </c>
      <c r="E258" s="1081" t="str">
        <f t="shared" si="23"/>
        <v/>
      </c>
      <c r="F258" s="1081" t="str">
        <f t="shared" si="24"/>
        <v/>
      </c>
      <c r="G258" s="1681"/>
      <c r="H258" s="1681"/>
      <c r="I258" s="1681"/>
      <c r="J258" s="1681"/>
      <c r="K258" s="1676"/>
      <c r="L258" s="2554"/>
      <c r="M258" s="2598"/>
      <c r="N258" s="2598"/>
      <c r="O258" s="2598"/>
      <c r="P258" s="2566"/>
      <c r="Q258" s="1611" t="s">
        <v>2482</v>
      </c>
      <c r="R258" s="1613"/>
      <c r="S258" s="1613"/>
      <c r="T258" s="1613"/>
      <c r="U258" s="1613"/>
      <c r="V258" s="1613"/>
      <c r="W258" s="2590"/>
      <c r="AD258" s="1608"/>
    </row>
    <row r="259" spans="1:30" ht="15">
      <c r="A259" s="1685" t="str">
        <f t="shared" ref="A259:A322" si="25">IF(J259="","",LEFT(J259,6))</f>
        <v/>
      </c>
      <c r="B259" s="1081">
        <f t="shared" si="20"/>
        <v>0</v>
      </c>
      <c r="C259" s="1081">
        <f t="shared" si="21"/>
        <v>0</v>
      </c>
      <c r="D259" s="1081">
        <f t="shared" si="22"/>
        <v>0</v>
      </c>
      <c r="E259" s="1081">
        <f t="shared" si="23"/>
        <v>0</v>
      </c>
      <c r="F259" s="1081">
        <f t="shared" si="24"/>
        <v>0</v>
      </c>
      <c r="G259" s="1681"/>
      <c r="H259" s="1681"/>
      <c r="I259" s="1681"/>
      <c r="J259" s="1681"/>
      <c r="K259" s="1676"/>
      <c r="L259" s="2554"/>
      <c r="M259" s="2599"/>
      <c r="N259" s="2599"/>
      <c r="O259" s="2599"/>
      <c r="P259" s="2549"/>
      <c r="Q259" s="1611" t="s">
        <v>2483</v>
      </c>
      <c r="R259" s="1613"/>
      <c r="S259" s="1613"/>
      <c r="T259" s="1613"/>
      <c r="U259" s="1613"/>
      <c r="V259" s="1613"/>
      <c r="W259" s="2590"/>
      <c r="AD259" s="1608"/>
    </row>
    <row r="260" spans="1:30" ht="15">
      <c r="A260" s="1685" t="str">
        <f t="shared" si="25"/>
        <v/>
      </c>
      <c r="B260" s="1081" t="str">
        <f t="shared" si="20"/>
        <v/>
      </c>
      <c r="C260" s="1081" t="str">
        <f t="shared" si="21"/>
        <v/>
      </c>
      <c r="D260" s="1081" t="str">
        <f t="shared" si="22"/>
        <v/>
      </c>
      <c r="E260" s="1081" t="str">
        <f t="shared" si="23"/>
        <v/>
      </c>
      <c r="F260" s="1081" t="str">
        <f t="shared" si="24"/>
        <v/>
      </c>
      <c r="G260" s="1681"/>
      <c r="H260" s="1681"/>
      <c r="I260" s="1681"/>
      <c r="J260" s="1681"/>
      <c r="K260" s="1676"/>
      <c r="L260" s="2554" t="s">
        <v>2663</v>
      </c>
      <c r="M260" s="2597" t="s">
        <v>2664</v>
      </c>
      <c r="N260" s="2597"/>
      <c r="O260" s="2597"/>
      <c r="P260" s="2548"/>
      <c r="Q260" s="1609" t="s">
        <v>604</v>
      </c>
      <c r="R260" s="1610"/>
      <c r="S260" s="1610"/>
      <c r="T260" s="1610"/>
      <c r="U260" s="1610"/>
      <c r="V260" s="1610"/>
      <c r="W260" s="2590">
        <v>0</v>
      </c>
      <c r="AD260" s="1608"/>
    </row>
    <row r="261" spans="1:30" ht="15">
      <c r="A261" s="1685" t="str">
        <f t="shared" si="25"/>
        <v/>
      </c>
      <c r="B261" s="1081" t="str">
        <f t="shared" si="20"/>
        <v/>
      </c>
      <c r="C261" s="1081" t="str">
        <f t="shared" si="21"/>
        <v/>
      </c>
      <c r="D261" s="1081" t="str">
        <f t="shared" si="22"/>
        <v/>
      </c>
      <c r="E261" s="1081" t="str">
        <f t="shared" si="23"/>
        <v/>
      </c>
      <c r="F261" s="1081" t="str">
        <f t="shared" si="24"/>
        <v/>
      </c>
      <c r="G261" s="1681"/>
      <c r="H261" s="1681"/>
      <c r="I261" s="1681"/>
      <c r="J261" s="1681"/>
      <c r="K261" s="1676"/>
      <c r="L261" s="2554"/>
      <c r="M261" s="2598"/>
      <c r="N261" s="2598"/>
      <c r="O261" s="2598"/>
      <c r="P261" s="2566"/>
      <c r="Q261" s="1611" t="s">
        <v>2481</v>
      </c>
      <c r="R261" s="1612"/>
      <c r="S261" s="1612"/>
      <c r="T261" s="1612"/>
      <c r="U261" s="1612"/>
      <c r="V261" s="1612"/>
      <c r="W261" s="2590"/>
      <c r="AD261" s="1608"/>
    </row>
    <row r="262" spans="1:30" ht="15">
      <c r="A262" s="1685" t="str">
        <f t="shared" si="25"/>
        <v/>
      </c>
      <c r="B262" s="1081" t="str">
        <f t="shared" si="20"/>
        <v/>
      </c>
      <c r="C262" s="1081" t="str">
        <f t="shared" si="21"/>
        <v/>
      </c>
      <c r="D262" s="1081" t="str">
        <f t="shared" si="22"/>
        <v/>
      </c>
      <c r="E262" s="1081" t="str">
        <f t="shared" si="23"/>
        <v/>
      </c>
      <c r="F262" s="1081" t="str">
        <f t="shared" si="24"/>
        <v/>
      </c>
      <c r="G262" s="1681"/>
      <c r="H262" s="1681"/>
      <c r="I262" s="1681"/>
      <c r="J262" s="1681"/>
      <c r="K262" s="1676"/>
      <c r="L262" s="2554"/>
      <c r="M262" s="2598"/>
      <c r="N262" s="2598"/>
      <c r="O262" s="2598"/>
      <c r="P262" s="2566"/>
      <c r="Q262" s="1611" t="s">
        <v>2482</v>
      </c>
      <c r="R262" s="1613"/>
      <c r="S262" s="1613"/>
      <c r="T262" s="1613"/>
      <c r="U262" s="1613"/>
      <c r="V262" s="1613"/>
      <c r="W262" s="2590"/>
      <c r="AD262" s="1608"/>
    </row>
    <row r="263" spans="1:30" ht="15">
      <c r="A263" s="1685" t="str">
        <f t="shared" si="25"/>
        <v/>
      </c>
      <c r="B263" s="1081">
        <f t="shared" si="20"/>
        <v>0</v>
      </c>
      <c r="C263" s="1081">
        <f t="shared" si="21"/>
        <v>0</v>
      </c>
      <c r="D263" s="1081">
        <f t="shared" si="22"/>
        <v>0</v>
      </c>
      <c r="E263" s="1081">
        <f t="shared" si="23"/>
        <v>0</v>
      </c>
      <c r="F263" s="1081">
        <f t="shared" si="24"/>
        <v>0</v>
      </c>
      <c r="G263" s="1681"/>
      <c r="H263" s="1681"/>
      <c r="I263" s="1681"/>
      <c r="J263" s="1681"/>
      <c r="K263" s="1676"/>
      <c r="L263" s="2554"/>
      <c r="M263" s="2599"/>
      <c r="N263" s="2599"/>
      <c r="O263" s="2599"/>
      <c r="P263" s="2549"/>
      <c r="Q263" s="1611" t="s">
        <v>2483</v>
      </c>
      <c r="R263" s="1613"/>
      <c r="S263" s="1613"/>
      <c r="T263" s="1613"/>
      <c r="U263" s="1613"/>
      <c r="V263" s="1613"/>
      <c r="W263" s="2590"/>
      <c r="AD263" s="1608"/>
    </row>
    <row r="264" spans="1:30" ht="19.25" customHeight="1">
      <c r="A264" s="1685" t="str">
        <f t="shared" si="25"/>
        <v/>
      </c>
      <c r="B264" s="1081" t="str">
        <f t="shared" si="20"/>
        <v/>
      </c>
      <c r="C264" s="1081" t="str">
        <f t="shared" si="21"/>
        <v/>
      </c>
      <c r="D264" s="1081" t="str">
        <f t="shared" si="22"/>
        <v/>
      </c>
      <c r="E264" s="1081" t="str">
        <f t="shared" si="23"/>
        <v/>
      </c>
      <c r="F264" s="1081" t="str">
        <f t="shared" si="24"/>
        <v/>
      </c>
      <c r="G264" s="1681"/>
      <c r="H264" s="1681"/>
      <c r="I264" s="1681"/>
      <c r="J264" s="1681"/>
      <c r="K264" s="1676"/>
      <c r="L264" s="2548" t="s">
        <v>2665</v>
      </c>
      <c r="M264" s="2542" t="s">
        <v>2666</v>
      </c>
      <c r="N264" s="2543"/>
      <c r="O264" s="2544"/>
      <c r="P264" s="2550"/>
      <c r="Q264" s="2552"/>
      <c r="R264" s="2540">
        <v>1840696.9000000001</v>
      </c>
      <c r="S264" s="2540">
        <v>1383301.9</v>
      </c>
      <c r="T264" s="2540">
        <v>1403181.9</v>
      </c>
      <c r="U264" s="2540">
        <v>762381.89999999991</v>
      </c>
      <c r="V264" s="2540">
        <v>762381.89999999991</v>
      </c>
      <c r="W264" s="2540">
        <v>6151944.5</v>
      </c>
      <c r="AD264" s="1608"/>
    </row>
    <row r="265" spans="1:30" ht="19.25" customHeight="1">
      <c r="A265" s="1685" t="str">
        <f t="shared" si="25"/>
        <v/>
      </c>
      <c r="B265" s="1081" t="str">
        <f t="shared" si="20"/>
        <v/>
      </c>
      <c r="C265" s="1081" t="str">
        <f t="shared" si="21"/>
        <v/>
      </c>
      <c r="D265" s="1081" t="str">
        <f t="shared" si="22"/>
        <v/>
      </c>
      <c r="E265" s="1081" t="str">
        <f t="shared" si="23"/>
        <v/>
      </c>
      <c r="F265" s="1081" t="str">
        <f t="shared" si="24"/>
        <v/>
      </c>
      <c r="G265" s="1681"/>
      <c r="H265" s="1681"/>
      <c r="I265" s="1681"/>
      <c r="J265" s="1681"/>
      <c r="K265" s="1676"/>
      <c r="L265" s="2549"/>
      <c r="M265" s="2542" t="s">
        <v>2529</v>
      </c>
      <c r="N265" s="2543"/>
      <c r="O265" s="2544"/>
      <c r="P265" s="2551"/>
      <c r="Q265" s="2553"/>
      <c r="R265" s="2541"/>
      <c r="S265" s="2541"/>
      <c r="T265" s="2541"/>
      <c r="U265" s="2541"/>
      <c r="V265" s="2541"/>
      <c r="W265" s="2541"/>
      <c r="AD265" s="1608"/>
    </row>
    <row r="266" spans="1:30" ht="45" customHeight="1">
      <c r="A266" s="1685" t="str">
        <f t="shared" si="25"/>
        <v/>
      </c>
      <c r="B266" s="1081" t="str">
        <f t="shared" si="20"/>
        <v/>
      </c>
      <c r="C266" s="1081" t="str">
        <f t="shared" si="21"/>
        <v/>
      </c>
      <c r="D266" s="1081" t="str">
        <f t="shared" si="22"/>
        <v/>
      </c>
      <c r="E266" s="1081" t="str">
        <f t="shared" si="23"/>
        <v/>
      </c>
      <c r="F266" s="1081" t="str">
        <f t="shared" si="24"/>
        <v/>
      </c>
      <c r="G266" s="1681"/>
      <c r="H266" s="1681"/>
      <c r="I266" s="1681"/>
      <c r="J266" s="1681"/>
      <c r="K266" s="1676"/>
      <c r="L266" s="1636" t="s">
        <v>2667</v>
      </c>
      <c r="M266" s="1636" t="s">
        <v>2668</v>
      </c>
      <c r="N266" s="1636" t="s">
        <v>2669</v>
      </c>
      <c r="O266" s="1636"/>
      <c r="P266" s="1614"/>
      <c r="Q266" s="1614"/>
      <c r="R266" s="1614"/>
      <c r="S266" s="1614"/>
      <c r="T266" s="1614"/>
      <c r="U266" s="1614"/>
      <c r="V266" s="1614"/>
      <c r="W266" s="1614"/>
      <c r="AD266" s="1608"/>
    </row>
    <row r="267" spans="1:30" ht="12.75" customHeight="1">
      <c r="A267" s="1685" t="str">
        <f t="shared" si="25"/>
        <v/>
      </c>
      <c r="B267" s="1081" t="str">
        <f t="shared" si="20"/>
        <v/>
      </c>
      <c r="C267" s="1081" t="str">
        <f t="shared" si="21"/>
        <v/>
      </c>
      <c r="D267" s="1081" t="str">
        <f t="shared" si="22"/>
        <v/>
      </c>
      <c r="E267" s="1081" t="str">
        <f t="shared" si="23"/>
        <v/>
      </c>
      <c r="F267" s="1081" t="str">
        <f t="shared" si="24"/>
        <v/>
      </c>
      <c r="G267" s="1681"/>
      <c r="H267" s="1681"/>
      <c r="I267" s="1681"/>
      <c r="J267" s="1681"/>
      <c r="K267" s="1676"/>
      <c r="L267" s="2623" t="s">
        <v>2670</v>
      </c>
      <c r="M267" s="2615"/>
      <c r="N267" s="2615" t="s">
        <v>2671</v>
      </c>
      <c r="O267" s="2615" t="s">
        <v>2672</v>
      </c>
      <c r="P267" s="1646"/>
      <c r="Q267" s="1647" t="s">
        <v>604</v>
      </c>
      <c r="R267" s="1619" t="s">
        <v>2499</v>
      </c>
      <c r="S267" s="1619" t="s">
        <v>2499</v>
      </c>
      <c r="T267" s="1619" t="s">
        <v>2499</v>
      </c>
      <c r="U267" s="1610"/>
      <c r="V267" s="1610"/>
      <c r="W267" s="2563">
        <v>895680</v>
      </c>
      <c r="AD267" s="1608"/>
    </row>
    <row r="268" spans="1:30" ht="15">
      <c r="A268" s="1685" t="str">
        <f t="shared" si="25"/>
        <v/>
      </c>
      <c r="B268" s="1081" t="str">
        <f t="shared" si="20"/>
        <v/>
      </c>
      <c r="C268" s="1081" t="str">
        <f t="shared" si="21"/>
        <v/>
      </c>
      <c r="D268" s="1081" t="str">
        <f t="shared" si="22"/>
        <v/>
      </c>
      <c r="E268" s="1081" t="str">
        <f t="shared" si="23"/>
        <v/>
      </c>
      <c r="F268" s="1081" t="str">
        <f t="shared" si="24"/>
        <v/>
      </c>
      <c r="G268" s="1681"/>
      <c r="H268" s="1681"/>
      <c r="I268" s="1681"/>
      <c r="J268" s="1681"/>
      <c r="K268" s="1676"/>
      <c r="L268" s="2623"/>
      <c r="M268" s="2615"/>
      <c r="N268" s="2615"/>
      <c r="O268" s="2615"/>
      <c r="P268" s="1648"/>
      <c r="Q268" s="1642" t="s">
        <v>2481</v>
      </c>
      <c r="R268" s="1617">
        <v>1</v>
      </c>
      <c r="S268" s="1617">
        <v>1</v>
      </c>
      <c r="T268" s="1617">
        <v>1</v>
      </c>
      <c r="U268" s="1613"/>
      <c r="V268" s="1613"/>
      <c r="W268" s="2564"/>
      <c r="AD268" s="1608"/>
    </row>
    <row r="269" spans="1:30" ht="15">
      <c r="A269" s="1685" t="str">
        <f t="shared" si="25"/>
        <v/>
      </c>
      <c r="B269" s="1081" t="str">
        <f t="shared" ref="B269:B332" si="26">IF($Q269="sub-total",R269,"")</f>
        <v/>
      </c>
      <c r="C269" s="1081" t="str">
        <f t="shared" ref="C269:C332" si="27">IF($Q269="sub-total",S269,"")</f>
        <v/>
      </c>
      <c r="D269" s="1081" t="str">
        <f t="shared" ref="D269:D332" si="28">IF($Q269="sub-total",T269,"")</f>
        <v/>
      </c>
      <c r="E269" s="1081" t="str">
        <f t="shared" ref="E269:E332" si="29">IF($Q269="sub-total",U269,"")</f>
        <v/>
      </c>
      <c r="F269" s="1081" t="str">
        <f t="shared" ref="F269:F332" si="30">IF($Q269="sub-total",V269,"")</f>
        <v/>
      </c>
      <c r="G269" s="1681"/>
      <c r="H269" s="1681"/>
      <c r="I269" s="1681"/>
      <c r="J269" s="1681"/>
      <c r="K269" s="1676"/>
      <c r="L269" s="2623"/>
      <c r="M269" s="2615"/>
      <c r="N269" s="2615"/>
      <c r="O269" s="2615"/>
      <c r="P269" s="1649"/>
      <c r="Q269" s="1642" t="s">
        <v>2482</v>
      </c>
      <c r="R269" s="1617">
        <v>298560</v>
      </c>
      <c r="S269" s="1617">
        <v>298560</v>
      </c>
      <c r="T269" s="1617">
        <v>298560</v>
      </c>
      <c r="U269" s="1613"/>
      <c r="V269" s="1613"/>
      <c r="W269" s="2564"/>
      <c r="AD269" s="1608"/>
    </row>
    <row r="270" spans="1:30" ht="15.75" customHeight="1">
      <c r="A270" s="1685" t="str">
        <f t="shared" si="25"/>
        <v>5.2.1.</v>
      </c>
      <c r="B270" s="1081">
        <f t="shared" si="26"/>
        <v>298560</v>
      </c>
      <c r="C270" s="1081">
        <f t="shared" si="27"/>
        <v>298560</v>
      </c>
      <c r="D270" s="1081">
        <f t="shared" si="28"/>
        <v>298560</v>
      </c>
      <c r="E270" s="1081">
        <f t="shared" si="29"/>
        <v>0</v>
      </c>
      <c r="F270" s="1081">
        <f t="shared" si="30"/>
        <v>0</v>
      </c>
      <c r="G270" s="1681"/>
      <c r="H270" s="1681"/>
      <c r="I270" s="1681"/>
      <c r="J270" s="1681" t="s">
        <v>2226</v>
      </c>
      <c r="K270" s="1676"/>
      <c r="L270" s="2623"/>
      <c r="M270" s="2615"/>
      <c r="N270" s="2615"/>
      <c r="O270" s="2615"/>
      <c r="P270" s="1650"/>
      <c r="Q270" s="1642" t="s">
        <v>2483</v>
      </c>
      <c r="R270" s="1628">
        <v>298560</v>
      </c>
      <c r="S270" s="1628">
        <v>298560</v>
      </c>
      <c r="T270" s="1628">
        <v>298560</v>
      </c>
      <c r="U270" s="1613"/>
      <c r="V270" s="1613"/>
      <c r="W270" s="2565"/>
      <c r="AD270" s="1608"/>
    </row>
    <row r="271" spans="1:30" ht="44.75" customHeight="1">
      <c r="A271" s="1685" t="str">
        <f t="shared" si="25"/>
        <v/>
      </c>
      <c r="B271" s="1081" t="str">
        <f t="shared" si="26"/>
        <v/>
      </c>
      <c r="C271" s="1081" t="str">
        <f t="shared" si="27"/>
        <v/>
      </c>
      <c r="D271" s="1081" t="str">
        <f t="shared" si="28"/>
        <v/>
      </c>
      <c r="E271" s="1081" t="str">
        <f t="shared" si="29"/>
        <v/>
      </c>
      <c r="F271" s="1081" t="str">
        <f t="shared" si="30"/>
        <v/>
      </c>
      <c r="G271" s="1681"/>
      <c r="H271" s="1681"/>
      <c r="I271" s="1681"/>
      <c r="J271" s="1681"/>
      <c r="K271" s="1676"/>
      <c r="L271" s="1651" t="s">
        <v>2673</v>
      </c>
      <c r="M271" s="1652"/>
      <c r="N271" s="1652" t="s">
        <v>2674</v>
      </c>
      <c r="O271" s="1652" t="s">
        <v>2675</v>
      </c>
      <c r="P271" s="1648"/>
      <c r="Q271" s="1647"/>
      <c r="R271" s="1628"/>
      <c r="S271" s="1628"/>
      <c r="T271" s="1628"/>
      <c r="U271" s="1613"/>
      <c r="V271" s="1613"/>
      <c r="W271" s="1637"/>
      <c r="AD271" s="1608"/>
    </row>
    <row r="272" spans="1:30" ht="12.75" customHeight="1">
      <c r="A272" s="1685" t="str">
        <f t="shared" si="25"/>
        <v/>
      </c>
      <c r="B272" s="1081" t="str">
        <f t="shared" si="26"/>
        <v/>
      </c>
      <c r="C272" s="1081" t="str">
        <f t="shared" si="27"/>
        <v/>
      </c>
      <c r="D272" s="1081" t="str">
        <f t="shared" si="28"/>
        <v/>
      </c>
      <c r="E272" s="1081" t="str">
        <f t="shared" si="29"/>
        <v/>
      </c>
      <c r="F272" s="1081" t="str">
        <f t="shared" si="30"/>
        <v/>
      </c>
      <c r="G272" s="1681"/>
      <c r="H272" s="1681"/>
      <c r="I272" s="1681"/>
      <c r="J272" s="1681"/>
      <c r="K272" s="1676"/>
      <c r="L272" s="2624" t="s">
        <v>2676</v>
      </c>
      <c r="M272" s="2615"/>
      <c r="N272" s="2615" t="s">
        <v>2677</v>
      </c>
      <c r="O272" s="2615" t="s">
        <v>2678</v>
      </c>
      <c r="P272" s="1646"/>
      <c r="Q272" s="1647" t="s">
        <v>604</v>
      </c>
      <c r="R272" s="1619" t="s">
        <v>2679</v>
      </c>
      <c r="S272" s="1619" t="s">
        <v>2679</v>
      </c>
      <c r="T272" s="1619" t="s">
        <v>2679</v>
      </c>
      <c r="U272" s="1610"/>
      <c r="V272" s="1610"/>
      <c r="W272" s="2563">
        <v>325080</v>
      </c>
      <c r="AD272" s="1608"/>
    </row>
    <row r="273" spans="1:30" ht="15">
      <c r="A273" s="1685" t="str">
        <f t="shared" si="25"/>
        <v/>
      </c>
      <c r="B273" s="1081" t="str">
        <f t="shared" si="26"/>
        <v/>
      </c>
      <c r="C273" s="1081" t="str">
        <f t="shared" si="27"/>
        <v/>
      </c>
      <c r="D273" s="1081" t="str">
        <f t="shared" si="28"/>
        <v/>
      </c>
      <c r="E273" s="1081" t="str">
        <f t="shared" si="29"/>
        <v/>
      </c>
      <c r="F273" s="1081" t="str">
        <f t="shared" si="30"/>
        <v/>
      </c>
      <c r="G273" s="1681"/>
      <c r="H273" s="1681"/>
      <c r="I273" s="1681"/>
      <c r="J273" s="1681"/>
      <c r="K273" s="1676"/>
      <c r="L273" s="2625"/>
      <c r="M273" s="2615"/>
      <c r="N273" s="2615"/>
      <c r="O273" s="2615"/>
      <c r="P273" s="1648"/>
      <c r="Q273" s="1642" t="s">
        <v>2481</v>
      </c>
      <c r="R273" s="1617">
        <v>6</v>
      </c>
      <c r="S273" s="1617">
        <v>6</v>
      </c>
      <c r="T273" s="1617">
        <v>6</v>
      </c>
      <c r="U273" s="1613"/>
      <c r="V273" s="1613"/>
      <c r="W273" s="2564"/>
      <c r="AD273" s="1608"/>
    </row>
    <row r="274" spans="1:30" ht="15">
      <c r="A274" s="1685" t="str">
        <f t="shared" si="25"/>
        <v/>
      </c>
      <c r="B274" s="1081" t="str">
        <f t="shared" si="26"/>
        <v/>
      </c>
      <c r="C274" s="1081" t="str">
        <f t="shared" si="27"/>
        <v/>
      </c>
      <c r="D274" s="1081" t="str">
        <f t="shared" si="28"/>
        <v/>
      </c>
      <c r="E274" s="1081" t="str">
        <f t="shared" si="29"/>
        <v/>
      </c>
      <c r="F274" s="1081" t="str">
        <f t="shared" si="30"/>
        <v/>
      </c>
      <c r="G274" s="1681"/>
      <c r="H274" s="1681"/>
      <c r="I274" s="1681"/>
      <c r="J274" s="1681"/>
      <c r="K274" s="1676"/>
      <c r="L274" s="2625"/>
      <c r="M274" s="2615"/>
      <c r="N274" s="2615"/>
      <c r="O274" s="2615"/>
      <c r="P274" s="1649"/>
      <c r="Q274" s="1642" t="s">
        <v>2482</v>
      </c>
      <c r="R274" s="1617">
        <v>18060</v>
      </c>
      <c r="S274" s="1617">
        <v>18060</v>
      </c>
      <c r="T274" s="1617">
        <v>18060</v>
      </c>
      <c r="U274" s="1613"/>
      <c r="V274" s="1613"/>
      <c r="W274" s="2564"/>
      <c r="AD274" s="1608"/>
    </row>
    <row r="275" spans="1:30" ht="15">
      <c r="A275" s="1685" t="str">
        <f t="shared" si="25"/>
        <v>5.2.1.</v>
      </c>
      <c r="B275" s="1081">
        <f t="shared" si="26"/>
        <v>108360</v>
      </c>
      <c r="C275" s="1081">
        <f t="shared" si="27"/>
        <v>108360</v>
      </c>
      <c r="D275" s="1081">
        <f t="shared" si="28"/>
        <v>108360</v>
      </c>
      <c r="E275" s="1081">
        <f t="shared" si="29"/>
        <v>0</v>
      </c>
      <c r="F275" s="1081">
        <f t="shared" si="30"/>
        <v>0</v>
      </c>
      <c r="G275" s="1681"/>
      <c r="H275" s="1681"/>
      <c r="I275" s="1681"/>
      <c r="J275" s="1681" t="s">
        <v>2226</v>
      </c>
      <c r="K275" s="1676"/>
      <c r="L275" s="2626"/>
      <c r="M275" s="2615"/>
      <c r="N275" s="2615"/>
      <c r="O275" s="2615"/>
      <c r="P275" s="1650"/>
      <c r="Q275" s="1642" t="s">
        <v>2483</v>
      </c>
      <c r="R275" s="1628">
        <v>108360</v>
      </c>
      <c r="S275" s="1628">
        <v>108360</v>
      </c>
      <c r="T275" s="1628">
        <v>108360</v>
      </c>
      <c r="U275" s="1613"/>
      <c r="V275" s="1613"/>
      <c r="W275" s="2565"/>
      <c r="AD275" s="1608"/>
    </row>
    <row r="276" spans="1:30" ht="12.75" customHeight="1">
      <c r="A276" s="1685" t="str">
        <f t="shared" si="25"/>
        <v/>
      </c>
      <c r="B276" s="1081" t="str">
        <f t="shared" si="26"/>
        <v/>
      </c>
      <c r="C276" s="1081" t="str">
        <f t="shared" si="27"/>
        <v/>
      </c>
      <c r="D276" s="1081" t="str">
        <f t="shared" si="28"/>
        <v/>
      </c>
      <c r="E276" s="1081" t="str">
        <f t="shared" si="29"/>
        <v/>
      </c>
      <c r="F276" s="1081" t="str">
        <f t="shared" si="30"/>
        <v/>
      </c>
      <c r="G276" s="1681"/>
      <c r="H276" s="1681"/>
      <c r="I276" s="1681"/>
      <c r="J276" s="1681"/>
      <c r="K276" s="1676"/>
      <c r="L276" s="2624" t="s">
        <v>2680</v>
      </c>
      <c r="M276" s="2615"/>
      <c r="N276" s="2615" t="s">
        <v>2681</v>
      </c>
      <c r="O276" s="2615"/>
      <c r="P276" s="1646"/>
      <c r="Q276" s="1647" t="s">
        <v>604</v>
      </c>
      <c r="R276" s="1619" t="s">
        <v>2682</v>
      </c>
      <c r="S276" s="1619" t="s">
        <v>2682</v>
      </c>
      <c r="T276" s="1619" t="s">
        <v>2682</v>
      </c>
      <c r="U276" s="1610"/>
      <c r="V276" s="1610"/>
      <c r="W276" s="2563">
        <v>102000</v>
      </c>
      <c r="AD276" s="1608"/>
    </row>
    <row r="277" spans="1:30" ht="15">
      <c r="A277" s="1685" t="str">
        <f t="shared" si="25"/>
        <v/>
      </c>
      <c r="B277" s="1081" t="str">
        <f t="shared" si="26"/>
        <v/>
      </c>
      <c r="C277" s="1081" t="str">
        <f t="shared" si="27"/>
        <v/>
      </c>
      <c r="D277" s="1081" t="str">
        <f t="shared" si="28"/>
        <v/>
      </c>
      <c r="E277" s="1081" t="str">
        <f t="shared" si="29"/>
        <v/>
      </c>
      <c r="F277" s="1081" t="str">
        <f t="shared" si="30"/>
        <v/>
      </c>
      <c r="G277" s="1681"/>
      <c r="H277" s="1681"/>
      <c r="I277" s="1681"/>
      <c r="J277" s="1681"/>
      <c r="K277" s="1676"/>
      <c r="L277" s="2625"/>
      <c r="M277" s="2615"/>
      <c r="N277" s="2615"/>
      <c r="O277" s="2615"/>
      <c r="P277" s="1648"/>
      <c r="Q277" s="1642" t="s">
        <v>2481</v>
      </c>
      <c r="R277" s="1617">
        <v>2</v>
      </c>
      <c r="S277" s="1617">
        <v>2</v>
      </c>
      <c r="T277" s="1617">
        <v>2</v>
      </c>
      <c r="U277" s="1613"/>
      <c r="V277" s="1613"/>
      <c r="W277" s="2564"/>
      <c r="AD277" s="1608"/>
    </row>
    <row r="278" spans="1:30" ht="15">
      <c r="A278" s="1685" t="str">
        <f t="shared" si="25"/>
        <v/>
      </c>
      <c r="B278" s="1081" t="str">
        <f t="shared" si="26"/>
        <v/>
      </c>
      <c r="C278" s="1081" t="str">
        <f t="shared" si="27"/>
        <v/>
      </c>
      <c r="D278" s="1081" t="str">
        <f t="shared" si="28"/>
        <v/>
      </c>
      <c r="E278" s="1081" t="str">
        <f t="shared" si="29"/>
        <v/>
      </c>
      <c r="F278" s="1081" t="str">
        <f t="shared" si="30"/>
        <v/>
      </c>
      <c r="G278" s="1681"/>
      <c r="H278" s="1681"/>
      <c r="I278" s="1681"/>
      <c r="J278" s="1681"/>
      <c r="K278" s="1676"/>
      <c r="L278" s="2625"/>
      <c r="M278" s="2615"/>
      <c r="N278" s="2615"/>
      <c r="O278" s="2615"/>
      <c r="P278" s="1649"/>
      <c r="Q278" s="1642" t="s">
        <v>2482</v>
      </c>
      <c r="R278" s="1617">
        <v>17000</v>
      </c>
      <c r="S278" s="1617">
        <v>17000</v>
      </c>
      <c r="T278" s="1617">
        <v>17000</v>
      </c>
      <c r="U278" s="1613"/>
      <c r="V278" s="1613"/>
      <c r="W278" s="2564"/>
      <c r="AD278" s="1608"/>
    </row>
    <row r="279" spans="1:30" ht="15">
      <c r="A279" s="1685" t="str">
        <f t="shared" si="25"/>
        <v>5.2.1.</v>
      </c>
      <c r="B279" s="1081">
        <f t="shared" si="26"/>
        <v>34000</v>
      </c>
      <c r="C279" s="1081">
        <f t="shared" si="27"/>
        <v>34000</v>
      </c>
      <c r="D279" s="1081">
        <f t="shared" si="28"/>
        <v>34000</v>
      </c>
      <c r="E279" s="1081">
        <f t="shared" si="29"/>
        <v>0</v>
      </c>
      <c r="F279" s="1081">
        <f t="shared" si="30"/>
        <v>0</v>
      </c>
      <c r="G279" s="1681"/>
      <c r="H279" s="1681"/>
      <c r="I279" s="1681"/>
      <c r="J279" s="1681" t="s">
        <v>2226</v>
      </c>
      <c r="K279" s="1676"/>
      <c r="L279" s="2626"/>
      <c r="M279" s="2615"/>
      <c r="N279" s="2615"/>
      <c r="O279" s="2615"/>
      <c r="P279" s="1650"/>
      <c r="Q279" s="1642" t="s">
        <v>2483</v>
      </c>
      <c r="R279" s="1628">
        <v>34000</v>
      </c>
      <c r="S279" s="1628">
        <v>34000</v>
      </c>
      <c r="T279" s="1628">
        <v>34000</v>
      </c>
      <c r="U279" s="1613"/>
      <c r="V279" s="1613"/>
      <c r="W279" s="2565"/>
      <c r="AD279" s="1608"/>
    </row>
    <row r="280" spans="1:30" ht="12.75" customHeight="1">
      <c r="A280" s="1685" t="str">
        <f t="shared" si="25"/>
        <v/>
      </c>
      <c r="B280" s="1081" t="str">
        <f t="shared" si="26"/>
        <v/>
      </c>
      <c r="C280" s="1081" t="str">
        <f t="shared" si="27"/>
        <v/>
      </c>
      <c r="D280" s="1081" t="str">
        <f t="shared" si="28"/>
        <v/>
      </c>
      <c r="E280" s="1081" t="str">
        <f t="shared" si="29"/>
        <v/>
      </c>
      <c r="F280" s="1081" t="str">
        <f t="shared" si="30"/>
        <v/>
      </c>
      <c r="G280" s="1681"/>
      <c r="H280" s="1681"/>
      <c r="I280" s="1681"/>
      <c r="J280" s="1681"/>
      <c r="K280" s="1676"/>
      <c r="L280" s="1653" t="s">
        <v>2683</v>
      </c>
      <c r="M280" s="2615"/>
      <c r="N280" s="2615" t="s">
        <v>2684</v>
      </c>
      <c r="O280" s="2615"/>
      <c r="P280" s="1646"/>
      <c r="Q280" s="1647" t="s">
        <v>604</v>
      </c>
      <c r="R280" s="1619" t="s">
        <v>2685</v>
      </c>
      <c r="S280" s="1619" t="s">
        <v>2685</v>
      </c>
      <c r="T280" s="1619" t="s">
        <v>2685</v>
      </c>
      <c r="U280" s="1619" t="s">
        <v>2685</v>
      </c>
      <c r="V280" s="1619" t="s">
        <v>2685</v>
      </c>
      <c r="W280" s="2563">
        <v>1045229.5</v>
      </c>
      <c r="AD280" s="1608"/>
    </row>
    <row r="281" spans="1:30" ht="15">
      <c r="A281" s="1685" t="str">
        <f t="shared" si="25"/>
        <v/>
      </c>
      <c r="B281" s="1081" t="str">
        <f t="shared" si="26"/>
        <v/>
      </c>
      <c r="C281" s="1081" t="str">
        <f t="shared" si="27"/>
        <v/>
      </c>
      <c r="D281" s="1081" t="str">
        <f t="shared" si="28"/>
        <v/>
      </c>
      <c r="E281" s="1081" t="str">
        <f t="shared" si="29"/>
        <v/>
      </c>
      <c r="F281" s="1081" t="str">
        <f t="shared" si="30"/>
        <v/>
      </c>
      <c r="G281" s="1681"/>
      <c r="H281" s="1681"/>
      <c r="I281" s="1681"/>
      <c r="J281" s="1681"/>
      <c r="K281" s="1676"/>
      <c r="L281" s="1654"/>
      <c r="M281" s="2615"/>
      <c r="N281" s="2615"/>
      <c r="O281" s="2615"/>
      <c r="P281" s="1648"/>
      <c r="Q281" s="1642" t="s">
        <v>2481</v>
      </c>
      <c r="R281" s="1617">
        <v>1</v>
      </c>
      <c r="S281" s="1617">
        <v>1</v>
      </c>
      <c r="T281" s="1617">
        <v>1</v>
      </c>
      <c r="U281" s="1617">
        <v>1</v>
      </c>
      <c r="V281" s="1617">
        <v>1</v>
      </c>
      <c r="W281" s="2564"/>
      <c r="AD281" s="1608"/>
    </row>
    <row r="282" spans="1:30" ht="15">
      <c r="A282" s="1685" t="str">
        <f t="shared" si="25"/>
        <v/>
      </c>
      <c r="B282" s="1081" t="str">
        <f t="shared" si="26"/>
        <v/>
      </c>
      <c r="C282" s="1081" t="str">
        <f t="shared" si="27"/>
        <v/>
      </c>
      <c r="D282" s="1081" t="str">
        <f t="shared" si="28"/>
        <v/>
      </c>
      <c r="E282" s="1081" t="str">
        <f t="shared" si="29"/>
        <v/>
      </c>
      <c r="F282" s="1081" t="str">
        <f t="shared" si="30"/>
        <v/>
      </c>
      <c r="G282" s="1681"/>
      <c r="H282" s="1681"/>
      <c r="I282" s="1681"/>
      <c r="J282" s="1681"/>
      <c r="K282" s="1676"/>
      <c r="L282" s="1654"/>
      <c r="M282" s="2615"/>
      <c r="N282" s="2615"/>
      <c r="O282" s="2615"/>
      <c r="P282" s="1649"/>
      <c r="Q282" s="1642" t="s">
        <v>2482</v>
      </c>
      <c r="R282" s="1617">
        <v>209045.9</v>
      </c>
      <c r="S282" s="1617">
        <v>209045.9</v>
      </c>
      <c r="T282" s="1617">
        <v>209045.9</v>
      </c>
      <c r="U282" s="1617">
        <v>209045.9</v>
      </c>
      <c r="V282" s="1617">
        <v>209045.9</v>
      </c>
      <c r="W282" s="2564"/>
      <c r="AD282" s="1608"/>
    </row>
    <row r="283" spans="1:30" ht="15">
      <c r="A283" s="1685" t="str">
        <f t="shared" si="25"/>
        <v>5.2.1.</v>
      </c>
      <c r="B283" s="1081">
        <f t="shared" si="26"/>
        <v>209045.9</v>
      </c>
      <c r="C283" s="1081">
        <f t="shared" si="27"/>
        <v>209045.9</v>
      </c>
      <c r="D283" s="1081">
        <f t="shared" si="28"/>
        <v>209045.9</v>
      </c>
      <c r="E283" s="1081">
        <f t="shared" si="29"/>
        <v>209045.9</v>
      </c>
      <c r="F283" s="1081">
        <f t="shared" si="30"/>
        <v>209045.9</v>
      </c>
      <c r="G283" s="1681"/>
      <c r="H283" s="1681"/>
      <c r="I283" s="1681"/>
      <c r="J283" s="1681" t="s">
        <v>2226</v>
      </c>
      <c r="K283" s="1676"/>
      <c r="L283" s="1655"/>
      <c r="M283" s="2615"/>
      <c r="N283" s="2615"/>
      <c r="O283" s="2615"/>
      <c r="P283" s="1650"/>
      <c r="Q283" s="1642" t="s">
        <v>2483</v>
      </c>
      <c r="R283" s="1628">
        <v>209045.9</v>
      </c>
      <c r="S283" s="1628">
        <v>209045.9</v>
      </c>
      <c r="T283" s="1628">
        <v>209045.9</v>
      </c>
      <c r="U283" s="1628">
        <v>209045.9</v>
      </c>
      <c r="V283" s="1628">
        <v>209045.9</v>
      </c>
      <c r="W283" s="2565"/>
      <c r="AD283" s="1608"/>
    </row>
    <row r="284" spans="1:30" ht="45" customHeight="1">
      <c r="A284" s="1685" t="str">
        <f t="shared" si="25"/>
        <v/>
      </c>
      <c r="B284" s="1081" t="str">
        <f t="shared" si="26"/>
        <v/>
      </c>
      <c r="C284" s="1081" t="str">
        <f t="shared" si="27"/>
        <v/>
      </c>
      <c r="D284" s="1081" t="str">
        <f t="shared" si="28"/>
        <v/>
      </c>
      <c r="E284" s="1081" t="str">
        <f t="shared" si="29"/>
        <v/>
      </c>
      <c r="F284" s="1081" t="str">
        <f t="shared" si="30"/>
        <v/>
      </c>
      <c r="G284" s="1681"/>
      <c r="H284" s="1681"/>
      <c r="I284" s="1681"/>
      <c r="J284" s="1681"/>
      <c r="K284" s="1676"/>
      <c r="L284" s="1656" t="s">
        <v>2686</v>
      </c>
      <c r="M284" s="1656" t="s">
        <v>2687</v>
      </c>
      <c r="N284" s="1656"/>
      <c r="O284" s="1656"/>
      <c r="P284" s="2591"/>
      <c r="Q284" s="2592"/>
      <c r="R284" s="2592"/>
      <c r="S284" s="2592"/>
      <c r="T284" s="2592"/>
      <c r="U284" s="2592"/>
      <c r="V284" s="2592"/>
      <c r="W284" s="2593"/>
      <c r="AD284" s="1608"/>
    </row>
    <row r="285" spans="1:30" ht="12.75" customHeight="1">
      <c r="A285" s="1685" t="str">
        <f t="shared" si="25"/>
        <v/>
      </c>
      <c r="B285" s="1081" t="str">
        <f t="shared" si="26"/>
        <v/>
      </c>
      <c r="C285" s="1081" t="str">
        <f t="shared" si="27"/>
        <v/>
      </c>
      <c r="D285" s="1081" t="str">
        <f t="shared" si="28"/>
        <v/>
      </c>
      <c r="E285" s="1081" t="str">
        <f t="shared" si="29"/>
        <v/>
      </c>
      <c r="F285" s="1081" t="str">
        <f t="shared" si="30"/>
        <v/>
      </c>
      <c r="G285" s="1681"/>
      <c r="H285" s="1681"/>
      <c r="I285" s="1681"/>
      <c r="J285" s="1681"/>
      <c r="K285" s="1676"/>
      <c r="L285" s="1654" t="s">
        <v>2688</v>
      </c>
      <c r="M285" s="2615"/>
      <c r="N285" s="2615" t="s">
        <v>2689</v>
      </c>
      <c r="O285" s="2615"/>
      <c r="P285" s="1657"/>
      <c r="Q285" s="1642" t="s">
        <v>604</v>
      </c>
      <c r="R285" s="1619" t="s">
        <v>2509</v>
      </c>
      <c r="S285" s="1658"/>
      <c r="T285" s="1619" t="s">
        <v>2499</v>
      </c>
      <c r="U285" s="1620"/>
      <c r="V285" s="1620"/>
      <c r="W285" s="2563">
        <v>254675</v>
      </c>
      <c r="AD285" s="1608"/>
    </row>
    <row r="286" spans="1:30" ht="15">
      <c r="A286" s="1685" t="str">
        <f t="shared" si="25"/>
        <v/>
      </c>
      <c r="B286" s="1081" t="str">
        <f t="shared" si="26"/>
        <v/>
      </c>
      <c r="C286" s="1081" t="str">
        <f t="shared" si="27"/>
        <v/>
      </c>
      <c r="D286" s="1081" t="str">
        <f t="shared" si="28"/>
        <v/>
      </c>
      <c r="E286" s="1081" t="str">
        <f t="shared" si="29"/>
        <v/>
      </c>
      <c r="F286" s="1081" t="str">
        <f t="shared" si="30"/>
        <v/>
      </c>
      <c r="G286" s="1681"/>
      <c r="H286" s="1681"/>
      <c r="I286" s="1681"/>
      <c r="J286" s="1681"/>
      <c r="K286" s="1676"/>
      <c r="L286" s="1654"/>
      <c r="M286" s="2615"/>
      <c r="N286" s="2615"/>
      <c r="O286" s="2615"/>
      <c r="P286" s="1659"/>
      <c r="Q286" s="1642" t="s">
        <v>2481</v>
      </c>
      <c r="R286" s="1617">
        <v>1</v>
      </c>
      <c r="S286" s="1660"/>
      <c r="T286" s="1617">
        <v>1</v>
      </c>
      <c r="U286" s="1613"/>
      <c r="V286" s="1613"/>
      <c r="W286" s="2564"/>
      <c r="AD286" s="1608"/>
    </row>
    <row r="287" spans="1:30" ht="24.75" customHeight="1">
      <c r="A287" s="1685" t="str">
        <f t="shared" si="25"/>
        <v/>
      </c>
      <c r="B287" s="1081" t="str">
        <f t="shared" si="26"/>
        <v/>
      </c>
      <c r="C287" s="1081" t="str">
        <f t="shared" si="27"/>
        <v/>
      </c>
      <c r="D287" s="1081" t="str">
        <f t="shared" si="28"/>
        <v/>
      </c>
      <c r="E287" s="1081" t="str">
        <f t="shared" si="29"/>
        <v/>
      </c>
      <c r="F287" s="1081" t="str">
        <f t="shared" si="30"/>
        <v/>
      </c>
      <c r="G287" s="1681"/>
      <c r="H287" s="1681"/>
      <c r="I287" s="1681"/>
      <c r="J287" s="1681"/>
      <c r="K287" s="1676"/>
      <c r="L287" s="1655"/>
      <c r="M287" s="2615"/>
      <c r="N287" s="2615"/>
      <c r="O287" s="2615"/>
      <c r="P287" s="1648"/>
      <c r="Q287" s="1642" t="s">
        <v>2482</v>
      </c>
      <c r="R287" s="1617">
        <v>234795</v>
      </c>
      <c r="S287" s="1660"/>
      <c r="T287" s="1617">
        <v>19880</v>
      </c>
      <c r="U287" s="1613"/>
      <c r="V287" s="1613"/>
      <c r="W287" s="2564"/>
      <c r="AD287" s="1608"/>
    </row>
    <row r="288" spans="1:30" ht="15" hidden="1">
      <c r="A288" s="1685" t="str">
        <f t="shared" si="25"/>
        <v/>
      </c>
      <c r="B288" s="1081">
        <f t="shared" si="26"/>
        <v>234795</v>
      </c>
      <c r="C288" s="1081">
        <f t="shared" si="27"/>
        <v>0</v>
      </c>
      <c r="D288" s="1081">
        <f t="shared" si="28"/>
        <v>19880</v>
      </c>
      <c r="E288" s="1081">
        <f t="shared" si="29"/>
        <v>0</v>
      </c>
      <c r="F288" s="1081">
        <f t="shared" si="30"/>
        <v>0</v>
      </c>
      <c r="G288" s="1681"/>
      <c r="H288" s="1681"/>
      <c r="I288" s="1681"/>
      <c r="J288" s="1681"/>
      <c r="K288" s="1676"/>
      <c r="L288" s="1653"/>
      <c r="M288" s="2615"/>
      <c r="N288" s="2615"/>
      <c r="O288" s="2615"/>
      <c r="P288" s="1650"/>
      <c r="Q288" s="1642" t="s">
        <v>2483</v>
      </c>
      <c r="R288" s="1628">
        <v>234795</v>
      </c>
      <c r="S288" s="1661"/>
      <c r="T288" s="1628">
        <v>19880</v>
      </c>
      <c r="U288" s="1613"/>
      <c r="V288" s="1613"/>
      <c r="W288" s="2565"/>
      <c r="AD288" s="1608"/>
    </row>
    <row r="289" spans="1:30" ht="12.75" customHeight="1">
      <c r="A289" s="1685" t="str">
        <f t="shared" si="25"/>
        <v/>
      </c>
      <c r="B289" s="1081" t="str">
        <f t="shared" si="26"/>
        <v/>
      </c>
      <c r="C289" s="1081" t="str">
        <f t="shared" si="27"/>
        <v/>
      </c>
      <c r="D289" s="1081" t="str">
        <f t="shared" si="28"/>
        <v/>
      </c>
      <c r="E289" s="1081" t="str">
        <f t="shared" si="29"/>
        <v/>
      </c>
      <c r="F289" s="1081" t="str">
        <f t="shared" si="30"/>
        <v/>
      </c>
      <c r="G289" s="1681"/>
      <c r="H289" s="1681"/>
      <c r="I289" s="1681"/>
      <c r="J289" s="1681"/>
      <c r="K289" s="1676"/>
      <c r="L289" s="1654" t="s">
        <v>2690</v>
      </c>
      <c r="M289" s="2615"/>
      <c r="N289" s="2615" t="s">
        <v>2691</v>
      </c>
      <c r="O289" s="2615" t="s">
        <v>2692</v>
      </c>
      <c r="P289" s="1646"/>
      <c r="Q289" s="1642" t="s">
        <v>604</v>
      </c>
      <c r="R289" s="1619" t="s">
        <v>2499</v>
      </c>
      <c r="S289" s="1658"/>
      <c r="T289" s="1658"/>
      <c r="U289" s="1620"/>
      <c r="V289" s="1620"/>
      <c r="W289" s="2563">
        <v>120600</v>
      </c>
      <c r="AD289" s="1608"/>
    </row>
    <row r="290" spans="1:30" ht="15">
      <c r="A290" s="1685" t="str">
        <f t="shared" si="25"/>
        <v/>
      </c>
      <c r="B290" s="1081" t="str">
        <f t="shared" si="26"/>
        <v/>
      </c>
      <c r="C290" s="1081" t="str">
        <f t="shared" si="27"/>
        <v/>
      </c>
      <c r="D290" s="1081" t="str">
        <f t="shared" si="28"/>
        <v/>
      </c>
      <c r="E290" s="1081" t="str">
        <f t="shared" si="29"/>
        <v/>
      </c>
      <c r="F290" s="1081" t="str">
        <f t="shared" si="30"/>
        <v/>
      </c>
      <c r="G290" s="1681"/>
      <c r="H290" s="1681"/>
      <c r="I290" s="1681"/>
      <c r="J290" s="1681"/>
      <c r="K290" s="1676"/>
      <c r="L290" s="1654"/>
      <c r="M290" s="2615"/>
      <c r="N290" s="2615"/>
      <c r="O290" s="2615"/>
      <c r="P290" s="1649"/>
      <c r="Q290" s="1642" t="s">
        <v>2481</v>
      </c>
      <c r="R290" s="1617">
        <v>1</v>
      </c>
      <c r="S290" s="1660"/>
      <c r="T290" s="1660"/>
      <c r="U290" s="1613"/>
      <c r="V290" s="1613"/>
      <c r="W290" s="2564"/>
      <c r="AD290" s="1608"/>
    </row>
    <row r="291" spans="1:30" ht="15">
      <c r="A291" s="1685" t="str">
        <f t="shared" si="25"/>
        <v/>
      </c>
      <c r="B291" s="1081" t="str">
        <f t="shared" si="26"/>
        <v/>
      </c>
      <c r="C291" s="1081" t="str">
        <f t="shared" si="27"/>
        <v/>
      </c>
      <c r="D291" s="1081" t="str">
        <f t="shared" si="28"/>
        <v/>
      </c>
      <c r="E291" s="1081" t="str">
        <f t="shared" si="29"/>
        <v/>
      </c>
      <c r="F291" s="1081" t="str">
        <f t="shared" si="30"/>
        <v/>
      </c>
      <c r="G291" s="1681"/>
      <c r="H291" s="1681"/>
      <c r="I291" s="1681"/>
      <c r="J291" s="1681"/>
      <c r="K291" s="1676"/>
      <c r="L291" s="1655"/>
      <c r="M291" s="2615"/>
      <c r="N291" s="2615"/>
      <c r="O291" s="2615"/>
      <c r="P291" s="1646"/>
      <c r="Q291" s="1642" t="s">
        <v>2482</v>
      </c>
      <c r="R291" s="1617">
        <v>120600</v>
      </c>
      <c r="S291" s="1660"/>
      <c r="T291" s="1660"/>
      <c r="U291" s="1613"/>
      <c r="V291" s="1613"/>
      <c r="W291" s="2564"/>
      <c r="AD291" s="1608"/>
    </row>
    <row r="292" spans="1:30" ht="15">
      <c r="A292" s="1685" t="str">
        <f t="shared" si="25"/>
        <v>5.2.2.</v>
      </c>
      <c r="B292" s="1081">
        <f t="shared" si="26"/>
        <v>120600</v>
      </c>
      <c r="C292" s="1081">
        <f t="shared" si="27"/>
        <v>0</v>
      </c>
      <c r="D292" s="1081">
        <f t="shared" si="28"/>
        <v>0</v>
      </c>
      <c r="E292" s="1081">
        <f t="shared" si="29"/>
        <v>0</v>
      </c>
      <c r="F292" s="1081">
        <f t="shared" si="30"/>
        <v>0</v>
      </c>
      <c r="G292" s="1681"/>
      <c r="H292" s="1681"/>
      <c r="I292" s="1681"/>
      <c r="J292" s="1681" t="s">
        <v>1864</v>
      </c>
      <c r="K292" s="1676"/>
      <c r="L292" s="1653"/>
      <c r="M292" s="2615"/>
      <c r="N292" s="2615"/>
      <c r="O292" s="2615"/>
      <c r="P292" s="1650"/>
      <c r="Q292" s="1642" t="s">
        <v>2483</v>
      </c>
      <c r="R292" s="1628">
        <v>120600</v>
      </c>
      <c r="S292" s="1661"/>
      <c r="T292" s="1661"/>
      <c r="U292" s="1613"/>
      <c r="V292" s="1613"/>
      <c r="W292" s="2565"/>
      <c r="AD292" s="1608"/>
    </row>
    <row r="293" spans="1:30" ht="12.75" customHeight="1">
      <c r="A293" s="1685" t="str">
        <f t="shared" si="25"/>
        <v/>
      </c>
      <c r="B293" s="1081" t="str">
        <f t="shared" si="26"/>
        <v/>
      </c>
      <c r="C293" s="1081" t="str">
        <f t="shared" si="27"/>
        <v/>
      </c>
      <c r="D293" s="1081" t="str">
        <f t="shared" si="28"/>
        <v/>
      </c>
      <c r="E293" s="1081" t="str">
        <f t="shared" si="29"/>
        <v/>
      </c>
      <c r="F293" s="1081" t="str">
        <f t="shared" si="30"/>
        <v/>
      </c>
      <c r="G293" s="1681"/>
      <c r="H293" s="1681"/>
      <c r="I293" s="1681"/>
      <c r="J293" s="1681"/>
      <c r="K293" s="1676"/>
      <c r="L293" s="1654" t="s">
        <v>2693</v>
      </c>
      <c r="M293" s="2615"/>
      <c r="N293" s="2615" t="s">
        <v>2694</v>
      </c>
      <c r="O293" s="2615" t="s">
        <v>2695</v>
      </c>
      <c r="P293" s="1646"/>
      <c r="Q293" s="1642" t="s">
        <v>604</v>
      </c>
      <c r="R293" s="1619" t="s">
        <v>2679</v>
      </c>
      <c r="S293" s="1619" t="s">
        <v>2679</v>
      </c>
      <c r="T293" s="1619" t="s">
        <v>2679</v>
      </c>
      <c r="U293" s="1619" t="s">
        <v>2679</v>
      </c>
      <c r="V293" s="1619" t="s">
        <v>2679</v>
      </c>
      <c r="W293" s="2563">
        <v>260866</v>
      </c>
      <c r="AD293" s="1608"/>
    </row>
    <row r="294" spans="1:30" ht="15">
      <c r="A294" s="1685" t="str">
        <f t="shared" si="25"/>
        <v/>
      </c>
      <c r="B294" s="1081" t="str">
        <f t="shared" si="26"/>
        <v/>
      </c>
      <c r="C294" s="1081" t="str">
        <f t="shared" si="27"/>
        <v/>
      </c>
      <c r="D294" s="1081" t="str">
        <f t="shared" si="28"/>
        <v/>
      </c>
      <c r="E294" s="1081" t="str">
        <f t="shared" si="29"/>
        <v/>
      </c>
      <c r="F294" s="1081" t="str">
        <f t="shared" si="30"/>
        <v/>
      </c>
      <c r="G294" s="1681"/>
      <c r="H294" s="1681"/>
      <c r="I294" s="1681"/>
      <c r="J294" s="1681"/>
      <c r="K294" s="1676"/>
      <c r="L294" s="1654"/>
      <c r="M294" s="2615"/>
      <c r="N294" s="2615"/>
      <c r="O294" s="2615"/>
      <c r="P294" s="1649"/>
      <c r="Q294" s="1642" t="s">
        <v>2481</v>
      </c>
      <c r="R294" s="1617">
        <v>1</v>
      </c>
      <c r="S294" s="1617">
        <v>1</v>
      </c>
      <c r="T294" s="1617">
        <v>1</v>
      </c>
      <c r="U294" s="1617">
        <v>1</v>
      </c>
      <c r="V294" s="1617">
        <v>1</v>
      </c>
      <c r="W294" s="2564"/>
      <c r="AD294" s="1608"/>
    </row>
    <row r="295" spans="1:30" ht="12.25" customHeight="1">
      <c r="A295" s="1685" t="str">
        <f t="shared" si="25"/>
        <v/>
      </c>
      <c r="B295" s="1081" t="str">
        <f t="shared" si="26"/>
        <v/>
      </c>
      <c r="C295" s="1081" t="str">
        <f t="shared" si="27"/>
        <v/>
      </c>
      <c r="D295" s="1081" t="str">
        <f t="shared" si="28"/>
        <v/>
      </c>
      <c r="E295" s="1081" t="str">
        <f t="shared" si="29"/>
        <v/>
      </c>
      <c r="F295" s="1081" t="str">
        <f t="shared" si="30"/>
        <v/>
      </c>
      <c r="G295" s="1681"/>
      <c r="H295" s="1681"/>
      <c r="I295" s="1681"/>
      <c r="J295" s="1681"/>
      <c r="K295" s="1676"/>
      <c r="L295" s="1655"/>
      <c r="M295" s="2615"/>
      <c r="N295" s="2615"/>
      <c r="O295" s="2615"/>
      <c r="P295" s="1648"/>
      <c r="Q295" s="1642" t="s">
        <v>2482</v>
      </c>
      <c r="R295" s="1617">
        <v>52173.2</v>
      </c>
      <c r="S295" s="1617">
        <v>52173.2</v>
      </c>
      <c r="T295" s="1617">
        <v>52173.2</v>
      </c>
      <c r="U295" s="1617">
        <v>52173.2</v>
      </c>
      <c r="V295" s="1617">
        <v>52173.2</v>
      </c>
      <c r="W295" s="2564"/>
      <c r="AD295" s="1608"/>
    </row>
    <row r="296" spans="1:30" ht="15">
      <c r="A296" s="1685" t="str">
        <f t="shared" si="25"/>
        <v>5.2.3.</v>
      </c>
      <c r="B296" s="1081">
        <f t="shared" si="26"/>
        <v>52173.2</v>
      </c>
      <c r="C296" s="1081">
        <f t="shared" si="27"/>
        <v>52173.2</v>
      </c>
      <c r="D296" s="1081">
        <f t="shared" si="28"/>
        <v>52173.2</v>
      </c>
      <c r="E296" s="1081">
        <f t="shared" si="29"/>
        <v>52173.2</v>
      </c>
      <c r="F296" s="1081">
        <f t="shared" si="30"/>
        <v>52173.2</v>
      </c>
      <c r="G296" s="1681"/>
      <c r="H296" s="1681"/>
      <c r="I296" s="1681"/>
      <c r="J296" s="1681" t="s">
        <v>1865</v>
      </c>
      <c r="K296" s="1676"/>
      <c r="L296" s="1653"/>
      <c r="M296" s="2615"/>
      <c r="N296" s="2615"/>
      <c r="O296" s="2615"/>
      <c r="P296" s="1650"/>
      <c r="Q296" s="1642" t="s">
        <v>2483</v>
      </c>
      <c r="R296" s="1628">
        <v>52173.2</v>
      </c>
      <c r="S296" s="1628">
        <v>52173.2</v>
      </c>
      <c r="T296" s="1628">
        <v>52173.2</v>
      </c>
      <c r="U296" s="1628">
        <v>52173.2</v>
      </c>
      <c r="V296" s="1628">
        <v>52173.2</v>
      </c>
      <c r="W296" s="2565"/>
      <c r="AD296" s="1608"/>
    </row>
    <row r="297" spans="1:30" ht="12.75" customHeight="1">
      <c r="A297" s="1685" t="str">
        <f t="shared" si="25"/>
        <v/>
      </c>
      <c r="B297" s="1081" t="str">
        <f t="shared" si="26"/>
        <v/>
      </c>
      <c r="C297" s="1081" t="str">
        <f t="shared" si="27"/>
        <v/>
      </c>
      <c r="D297" s="1081" t="str">
        <f t="shared" si="28"/>
        <v/>
      </c>
      <c r="E297" s="1081" t="str">
        <f t="shared" si="29"/>
        <v/>
      </c>
      <c r="F297" s="1081" t="str">
        <f t="shared" si="30"/>
        <v/>
      </c>
      <c r="G297" s="1681"/>
      <c r="H297" s="1681"/>
      <c r="I297" s="1681"/>
      <c r="J297" s="1681"/>
      <c r="K297" s="1676"/>
      <c r="L297" s="1654" t="s">
        <v>2696</v>
      </c>
      <c r="M297" s="2627" t="s">
        <v>2697</v>
      </c>
      <c r="N297" s="2630" t="s">
        <v>2698</v>
      </c>
      <c r="O297" s="2627"/>
      <c r="P297" s="2606"/>
      <c r="Q297" s="2607"/>
      <c r="R297" s="2607"/>
      <c r="S297" s="2607"/>
      <c r="T297" s="2607"/>
      <c r="U297" s="2607"/>
      <c r="V297" s="2607"/>
      <c r="W297" s="2608"/>
      <c r="AD297" s="1608"/>
    </row>
    <row r="298" spans="1:30" ht="15">
      <c r="A298" s="1685" t="str">
        <f t="shared" si="25"/>
        <v/>
      </c>
      <c r="B298" s="1081" t="str">
        <f t="shared" si="26"/>
        <v/>
      </c>
      <c r="C298" s="1081" t="str">
        <f t="shared" si="27"/>
        <v/>
      </c>
      <c r="D298" s="1081" t="str">
        <f t="shared" si="28"/>
        <v/>
      </c>
      <c r="E298" s="1081" t="str">
        <f t="shared" si="29"/>
        <v/>
      </c>
      <c r="F298" s="1081" t="str">
        <f t="shared" si="30"/>
        <v/>
      </c>
      <c r="G298" s="1681"/>
      <c r="H298" s="1681"/>
      <c r="I298" s="1681"/>
      <c r="J298" s="1681"/>
      <c r="K298" s="1676"/>
      <c r="L298" s="1654"/>
      <c r="M298" s="2628"/>
      <c r="N298" s="2631"/>
      <c r="O298" s="2628"/>
      <c r="P298" s="2609"/>
      <c r="Q298" s="2610"/>
      <c r="R298" s="2610"/>
      <c r="S298" s="2610"/>
      <c r="T298" s="2610"/>
      <c r="U298" s="2610"/>
      <c r="V298" s="2610"/>
      <c r="W298" s="2611"/>
      <c r="AD298" s="1608"/>
    </row>
    <row r="299" spans="1:30" ht="15">
      <c r="A299" s="1685" t="str">
        <f t="shared" si="25"/>
        <v/>
      </c>
      <c r="B299" s="1081" t="str">
        <f t="shared" si="26"/>
        <v/>
      </c>
      <c r="C299" s="1081" t="str">
        <f t="shared" si="27"/>
        <v/>
      </c>
      <c r="D299" s="1081" t="str">
        <f t="shared" si="28"/>
        <v/>
      </c>
      <c r="E299" s="1081" t="str">
        <f t="shared" si="29"/>
        <v/>
      </c>
      <c r="F299" s="1081" t="str">
        <f t="shared" si="30"/>
        <v/>
      </c>
      <c r="G299" s="1681"/>
      <c r="H299" s="1681"/>
      <c r="I299" s="1681"/>
      <c r="J299" s="1681"/>
      <c r="K299" s="1676"/>
      <c r="L299" s="1655"/>
      <c r="M299" s="2628"/>
      <c r="N299" s="2631"/>
      <c r="O299" s="2628"/>
      <c r="P299" s="2609"/>
      <c r="Q299" s="2610"/>
      <c r="R299" s="2610"/>
      <c r="S299" s="2610"/>
      <c r="T299" s="2610"/>
      <c r="U299" s="2610"/>
      <c r="V299" s="2610"/>
      <c r="W299" s="2611"/>
      <c r="AD299" s="1608"/>
    </row>
    <row r="300" spans="1:30" ht="15">
      <c r="A300" s="1685" t="str">
        <f t="shared" si="25"/>
        <v/>
      </c>
      <c r="B300" s="1081" t="str">
        <f t="shared" si="26"/>
        <v/>
      </c>
      <c r="C300" s="1081" t="str">
        <f t="shared" si="27"/>
        <v/>
      </c>
      <c r="D300" s="1081" t="str">
        <f t="shared" si="28"/>
        <v/>
      </c>
      <c r="E300" s="1081" t="str">
        <f t="shared" si="29"/>
        <v/>
      </c>
      <c r="F300" s="1081" t="str">
        <f t="shared" si="30"/>
        <v/>
      </c>
      <c r="G300" s="1681"/>
      <c r="H300" s="1681"/>
      <c r="I300" s="1681"/>
      <c r="J300" s="1681"/>
      <c r="K300" s="1676"/>
      <c r="L300" s="1653"/>
      <c r="M300" s="2629"/>
      <c r="N300" s="2632"/>
      <c r="O300" s="2629"/>
      <c r="P300" s="2612"/>
      <c r="Q300" s="2613"/>
      <c r="R300" s="2613"/>
      <c r="S300" s="2613"/>
      <c r="T300" s="2613"/>
      <c r="U300" s="2613"/>
      <c r="V300" s="2613"/>
      <c r="W300" s="2614"/>
      <c r="AD300" s="1608"/>
    </row>
    <row r="301" spans="1:30" ht="12.75" customHeight="1">
      <c r="A301" s="1685" t="str">
        <f t="shared" si="25"/>
        <v/>
      </c>
      <c r="B301" s="1081" t="str">
        <f t="shared" si="26"/>
        <v/>
      </c>
      <c r="C301" s="1081" t="str">
        <f t="shared" si="27"/>
        <v/>
      </c>
      <c r="D301" s="1081" t="str">
        <f t="shared" si="28"/>
        <v/>
      </c>
      <c r="E301" s="1081" t="str">
        <f t="shared" si="29"/>
        <v/>
      </c>
      <c r="F301" s="1081" t="str">
        <f t="shared" si="30"/>
        <v/>
      </c>
      <c r="G301" s="1681"/>
      <c r="H301" s="1681"/>
      <c r="I301" s="1681"/>
      <c r="J301" s="1681"/>
      <c r="K301" s="1676"/>
      <c r="L301" s="1654" t="s">
        <v>2699</v>
      </c>
      <c r="M301" s="2633"/>
      <c r="N301" s="2636" t="s">
        <v>2700</v>
      </c>
      <c r="O301" s="2633"/>
      <c r="P301" s="2639"/>
      <c r="Q301" s="1642" t="s">
        <v>604</v>
      </c>
      <c r="R301" s="1619" t="s">
        <v>2509</v>
      </c>
      <c r="S301" s="1619" t="s">
        <v>2509</v>
      </c>
      <c r="T301" s="1619" t="s">
        <v>2509</v>
      </c>
      <c r="U301" s="1620"/>
      <c r="V301" s="1620"/>
      <c r="W301" s="2563">
        <v>102000</v>
      </c>
      <c r="AD301" s="1608"/>
    </row>
    <row r="302" spans="1:30" ht="15">
      <c r="A302" s="1685" t="str">
        <f t="shared" si="25"/>
        <v/>
      </c>
      <c r="B302" s="1081" t="str">
        <f t="shared" si="26"/>
        <v/>
      </c>
      <c r="C302" s="1081" t="str">
        <f t="shared" si="27"/>
        <v/>
      </c>
      <c r="D302" s="1081" t="str">
        <f t="shared" si="28"/>
        <v/>
      </c>
      <c r="E302" s="1081" t="str">
        <f t="shared" si="29"/>
        <v/>
      </c>
      <c r="F302" s="1081" t="str">
        <f t="shared" si="30"/>
        <v/>
      </c>
      <c r="G302" s="1681"/>
      <c r="H302" s="1681"/>
      <c r="I302" s="1681"/>
      <c r="J302" s="1681"/>
      <c r="K302" s="1676"/>
      <c r="L302" s="1654"/>
      <c r="M302" s="2634"/>
      <c r="N302" s="2637"/>
      <c r="O302" s="2634"/>
      <c r="P302" s="2640"/>
      <c r="Q302" s="1642" t="s">
        <v>2481</v>
      </c>
      <c r="R302" s="1617">
        <v>1</v>
      </c>
      <c r="S302" s="1617"/>
      <c r="T302" s="1617"/>
      <c r="U302" s="1613"/>
      <c r="V302" s="1613"/>
      <c r="W302" s="2564"/>
      <c r="AD302" s="1608"/>
    </row>
    <row r="303" spans="1:30" ht="15">
      <c r="A303" s="1685" t="str">
        <f t="shared" si="25"/>
        <v/>
      </c>
      <c r="B303" s="1081" t="str">
        <f t="shared" si="26"/>
        <v/>
      </c>
      <c r="C303" s="1081" t="str">
        <f t="shared" si="27"/>
        <v/>
      </c>
      <c r="D303" s="1081" t="str">
        <f t="shared" si="28"/>
        <v/>
      </c>
      <c r="E303" s="1081" t="str">
        <f t="shared" si="29"/>
        <v/>
      </c>
      <c r="F303" s="1081" t="str">
        <f t="shared" si="30"/>
        <v/>
      </c>
      <c r="G303" s="1681"/>
      <c r="H303" s="1681"/>
      <c r="I303" s="1681"/>
      <c r="J303" s="1681"/>
      <c r="K303" s="1676"/>
      <c r="L303" s="1655"/>
      <c r="M303" s="2634"/>
      <c r="N303" s="2637"/>
      <c r="O303" s="2634"/>
      <c r="P303" s="2640"/>
      <c r="Q303" s="1642" t="s">
        <v>2482</v>
      </c>
      <c r="R303" s="1617">
        <v>102000</v>
      </c>
      <c r="S303" s="1617"/>
      <c r="T303" s="1617"/>
      <c r="U303" s="1613"/>
      <c r="V303" s="1613"/>
      <c r="W303" s="2564"/>
      <c r="AD303" s="1608"/>
    </row>
    <row r="304" spans="1:30" ht="15">
      <c r="A304" s="1685" t="str">
        <f t="shared" si="25"/>
        <v>5.2.3.</v>
      </c>
      <c r="B304" s="1081">
        <f t="shared" si="26"/>
        <v>102000</v>
      </c>
      <c r="C304" s="1081">
        <f t="shared" si="27"/>
        <v>0</v>
      </c>
      <c r="D304" s="1081">
        <f t="shared" si="28"/>
        <v>0</v>
      </c>
      <c r="E304" s="1081">
        <f t="shared" si="29"/>
        <v>0</v>
      </c>
      <c r="F304" s="1081">
        <f t="shared" si="30"/>
        <v>0</v>
      </c>
      <c r="G304" s="1681"/>
      <c r="H304" s="1681"/>
      <c r="I304" s="1681"/>
      <c r="J304" s="1681" t="s">
        <v>1865</v>
      </c>
      <c r="K304" s="1676"/>
      <c r="L304" s="1653"/>
      <c r="M304" s="2635"/>
      <c r="N304" s="2638"/>
      <c r="O304" s="2635"/>
      <c r="P304" s="2641"/>
      <c r="Q304" s="1642" t="s">
        <v>2483</v>
      </c>
      <c r="R304" s="1628">
        <v>102000</v>
      </c>
      <c r="S304" s="1662"/>
      <c r="T304" s="1662"/>
      <c r="U304" s="1633"/>
      <c r="V304" s="1633"/>
      <c r="W304" s="2565"/>
      <c r="AD304" s="1608"/>
    </row>
    <row r="305" spans="1:30" ht="12.75" customHeight="1">
      <c r="A305" s="1685" t="str">
        <f t="shared" si="25"/>
        <v/>
      </c>
      <c r="B305" s="1081" t="str">
        <f t="shared" si="26"/>
        <v/>
      </c>
      <c r="C305" s="1081" t="str">
        <f t="shared" si="27"/>
        <v/>
      </c>
      <c r="D305" s="1081" t="str">
        <f t="shared" si="28"/>
        <v/>
      </c>
      <c r="E305" s="1081" t="str">
        <f t="shared" si="29"/>
        <v/>
      </c>
      <c r="F305" s="1081" t="str">
        <f t="shared" si="30"/>
        <v/>
      </c>
      <c r="G305" s="1681"/>
      <c r="H305" s="1681"/>
      <c r="I305" s="1681"/>
      <c r="J305" s="1681"/>
      <c r="K305" s="1676"/>
      <c r="L305" s="2623" t="s">
        <v>2701</v>
      </c>
      <c r="M305" s="2633"/>
      <c r="N305" s="2636" t="s">
        <v>2702</v>
      </c>
      <c r="O305" s="2633"/>
      <c r="P305" s="2639"/>
      <c r="Q305" s="1642" t="s">
        <v>604</v>
      </c>
      <c r="R305" s="1619" t="s">
        <v>2509</v>
      </c>
      <c r="S305" s="1619" t="s">
        <v>2509</v>
      </c>
      <c r="T305" s="1619" t="s">
        <v>2509</v>
      </c>
      <c r="U305" s="1619" t="s">
        <v>2509</v>
      </c>
      <c r="V305" s="1619" t="s">
        <v>2509</v>
      </c>
      <c r="W305" s="2563">
        <v>1500000</v>
      </c>
      <c r="AD305" s="1608"/>
    </row>
    <row r="306" spans="1:30" ht="15">
      <c r="A306" s="1685" t="str">
        <f t="shared" si="25"/>
        <v/>
      </c>
      <c r="B306" s="1081" t="str">
        <f t="shared" si="26"/>
        <v/>
      </c>
      <c r="C306" s="1081" t="str">
        <f t="shared" si="27"/>
        <v/>
      </c>
      <c r="D306" s="1081" t="str">
        <f t="shared" si="28"/>
        <v/>
      </c>
      <c r="E306" s="1081" t="str">
        <f t="shared" si="29"/>
        <v/>
      </c>
      <c r="F306" s="1081" t="str">
        <f t="shared" si="30"/>
        <v/>
      </c>
      <c r="G306" s="1681"/>
      <c r="H306" s="1681"/>
      <c r="I306" s="1681"/>
      <c r="J306" s="1681"/>
      <c r="K306" s="1676"/>
      <c r="L306" s="2623"/>
      <c r="M306" s="2634"/>
      <c r="N306" s="2637"/>
      <c r="O306" s="2634"/>
      <c r="P306" s="2640"/>
      <c r="Q306" s="1642" t="s">
        <v>2481</v>
      </c>
      <c r="R306" s="1617">
        <v>2</v>
      </c>
      <c r="S306" s="1617">
        <v>2</v>
      </c>
      <c r="T306" s="1617">
        <v>2</v>
      </c>
      <c r="U306" s="1617">
        <v>2</v>
      </c>
      <c r="V306" s="1617">
        <v>2</v>
      </c>
      <c r="W306" s="2564"/>
      <c r="X306" s="1589" t="s">
        <v>2703</v>
      </c>
      <c r="AD306" s="1608"/>
    </row>
    <row r="307" spans="1:30" ht="15">
      <c r="A307" s="1685" t="str">
        <f t="shared" si="25"/>
        <v/>
      </c>
      <c r="B307" s="1081" t="str">
        <f t="shared" si="26"/>
        <v/>
      </c>
      <c r="C307" s="1081" t="str">
        <f t="shared" si="27"/>
        <v/>
      </c>
      <c r="D307" s="1081" t="str">
        <f t="shared" si="28"/>
        <v/>
      </c>
      <c r="E307" s="1081" t="str">
        <f t="shared" si="29"/>
        <v/>
      </c>
      <c r="F307" s="1081" t="str">
        <f t="shared" si="30"/>
        <v/>
      </c>
      <c r="G307" s="1681"/>
      <c r="H307" s="1681"/>
      <c r="I307" s="1681"/>
      <c r="J307" s="1681"/>
      <c r="K307" s="1676"/>
      <c r="L307" s="2623"/>
      <c r="M307" s="2634"/>
      <c r="N307" s="2637"/>
      <c r="O307" s="2634"/>
      <c r="P307" s="2640"/>
      <c r="Q307" s="1642" t="s">
        <v>2482</v>
      </c>
      <c r="R307" s="1662">
        <v>150000</v>
      </c>
      <c r="S307" s="1617">
        <v>150000</v>
      </c>
      <c r="T307" s="1617">
        <v>150000</v>
      </c>
      <c r="U307" s="1617">
        <v>150000</v>
      </c>
      <c r="V307" s="1617">
        <v>150000</v>
      </c>
      <c r="W307" s="2564"/>
      <c r="AD307" s="1608"/>
    </row>
    <row r="308" spans="1:30" ht="15">
      <c r="A308" s="1685" t="str">
        <f t="shared" si="25"/>
        <v>5.2.3.</v>
      </c>
      <c r="B308" s="1081">
        <f t="shared" si="26"/>
        <v>300000</v>
      </c>
      <c r="C308" s="1081">
        <f t="shared" si="27"/>
        <v>300000</v>
      </c>
      <c r="D308" s="1081">
        <f t="shared" si="28"/>
        <v>300000</v>
      </c>
      <c r="E308" s="1081">
        <f t="shared" si="29"/>
        <v>300000</v>
      </c>
      <c r="F308" s="1081">
        <f t="shared" si="30"/>
        <v>300000</v>
      </c>
      <c r="G308" s="1681"/>
      <c r="H308" s="1681"/>
      <c r="I308" s="1681"/>
      <c r="J308" s="1681" t="s">
        <v>1865</v>
      </c>
      <c r="K308" s="1676"/>
      <c r="L308" s="2623"/>
      <c r="M308" s="2635"/>
      <c r="N308" s="2638"/>
      <c r="O308" s="2635"/>
      <c r="P308" s="2641"/>
      <c r="Q308" s="1642" t="s">
        <v>2483</v>
      </c>
      <c r="R308" s="1628">
        <v>300000</v>
      </c>
      <c r="S308" s="1628">
        <v>300000</v>
      </c>
      <c r="T308" s="1628">
        <v>300000</v>
      </c>
      <c r="U308" s="1628">
        <v>300000</v>
      </c>
      <c r="V308" s="1628">
        <v>300000</v>
      </c>
      <c r="W308" s="2565"/>
      <c r="AD308" s="1608"/>
    </row>
    <row r="309" spans="1:30" ht="12.75" customHeight="1">
      <c r="A309" s="1685" t="str">
        <f t="shared" si="25"/>
        <v/>
      </c>
      <c r="B309" s="1081" t="str">
        <f t="shared" si="26"/>
        <v/>
      </c>
      <c r="C309" s="1081" t="str">
        <f t="shared" si="27"/>
        <v/>
      </c>
      <c r="D309" s="1081" t="str">
        <f t="shared" si="28"/>
        <v/>
      </c>
      <c r="E309" s="1081" t="str">
        <f t="shared" si="29"/>
        <v/>
      </c>
      <c r="F309" s="1081" t="str">
        <f t="shared" si="30"/>
        <v/>
      </c>
      <c r="G309" s="1681"/>
      <c r="H309" s="1681"/>
      <c r="I309" s="1681"/>
      <c r="J309" s="1681"/>
      <c r="K309" s="1676"/>
      <c r="L309" s="2623" t="s">
        <v>2704</v>
      </c>
      <c r="M309" s="2633"/>
      <c r="N309" s="2636" t="s">
        <v>2705</v>
      </c>
      <c r="O309" s="2633"/>
      <c r="P309" s="2639"/>
      <c r="Q309" s="1642" t="s">
        <v>604</v>
      </c>
      <c r="R309" s="1619" t="s">
        <v>2563</v>
      </c>
      <c r="S309" s="1619" t="s">
        <v>2563</v>
      </c>
      <c r="T309" s="1619" t="s">
        <v>2563</v>
      </c>
      <c r="U309" s="1619" t="s">
        <v>2563</v>
      </c>
      <c r="V309" s="1619" t="s">
        <v>2563</v>
      </c>
      <c r="W309" s="2563">
        <v>706414</v>
      </c>
      <c r="AD309" s="1608"/>
    </row>
    <row r="310" spans="1:30" ht="15">
      <c r="A310" s="1685" t="str">
        <f t="shared" si="25"/>
        <v/>
      </c>
      <c r="B310" s="1081" t="str">
        <f t="shared" si="26"/>
        <v/>
      </c>
      <c r="C310" s="1081" t="str">
        <f t="shared" si="27"/>
        <v/>
      </c>
      <c r="D310" s="1081" t="str">
        <f t="shared" si="28"/>
        <v/>
      </c>
      <c r="E310" s="1081" t="str">
        <f t="shared" si="29"/>
        <v/>
      </c>
      <c r="F310" s="1081" t="str">
        <f t="shared" si="30"/>
        <v/>
      </c>
      <c r="G310" s="1681"/>
      <c r="H310" s="1681"/>
      <c r="I310" s="1681"/>
      <c r="J310" s="1681"/>
      <c r="K310" s="1676"/>
      <c r="L310" s="2623"/>
      <c r="M310" s="2634"/>
      <c r="N310" s="2637"/>
      <c r="O310" s="2634"/>
      <c r="P310" s="2640"/>
      <c r="Q310" s="1642" t="s">
        <v>2481</v>
      </c>
      <c r="R310" s="1617">
        <v>4</v>
      </c>
      <c r="S310" s="1617">
        <v>4</v>
      </c>
      <c r="T310" s="1617">
        <v>4</v>
      </c>
      <c r="U310" s="1617">
        <v>4</v>
      </c>
      <c r="V310" s="1617">
        <v>4</v>
      </c>
      <c r="W310" s="2564"/>
      <c r="AD310" s="1608"/>
    </row>
    <row r="311" spans="1:30" ht="15">
      <c r="A311" s="1685" t="str">
        <f t="shared" si="25"/>
        <v/>
      </c>
      <c r="B311" s="1081" t="str">
        <f t="shared" si="26"/>
        <v/>
      </c>
      <c r="C311" s="1081" t="str">
        <f t="shared" si="27"/>
        <v/>
      </c>
      <c r="D311" s="1081" t="str">
        <f t="shared" si="28"/>
        <v/>
      </c>
      <c r="E311" s="1081" t="str">
        <f t="shared" si="29"/>
        <v/>
      </c>
      <c r="F311" s="1081" t="str">
        <f t="shared" si="30"/>
        <v/>
      </c>
      <c r="G311" s="1681"/>
      <c r="H311" s="1681"/>
      <c r="I311" s="1681"/>
      <c r="J311" s="1681"/>
      <c r="K311" s="1676"/>
      <c r="L311" s="2623"/>
      <c r="M311" s="2634"/>
      <c r="N311" s="2637"/>
      <c r="O311" s="2634"/>
      <c r="P311" s="2640"/>
      <c r="Q311" s="1642" t="s">
        <v>2482</v>
      </c>
      <c r="R311" s="1617">
        <v>35320.699999999997</v>
      </c>
      <c r="S311" s="1617">
        <v>35320.699999999997</v>
      </c>
      <c r="T311" s="1617">
        <v>35320.699999999997</v>
      </c>
      <c r="U311" s="1617">
        <v>35320.699999999997</v>
      </c>
      <c r="V311" s="1617">
        <v>35320.699999999997</v>
      </c>
      <c r="W311" s="2564"/>
      <c r="AD311" s="1608"/>
    </row>
    <row r="312" spans="1:30" ht="15">
      <c r="A312" s="1685" t="str">
        <f t="shared" si="25"/>
        <v>5.2.3.</v>
      </c>
      <c r="B312" s="1081">
        <f t="shared" si="26"/>
        <v>141282.79999999999</v>
      </c>
      <c r="C312" s="1081">
        <f t="shared" si="27"/>
        <v>141282.79999999999</v>
      </c>
      <c r="D312" s="1081">
        <f t="shared" si="28"/>
        <v>141282.79999999999</v>
      </c>
      <c r="E312" s="1081">
        <f t="shared" si="29"/>
        <v>141282.79999999999</v>
      </c>
      <c r="F312" s="1081">
        <f t="shared" si="30"/>
        <v>141282.79999999999</v>
      </c>
      <c r="G312" s="1681"/>
      <c r="H312" s="1681"/>
      <c r="I312" s="1681"/>
      <c r="J312" s="1681" t="s">
        <v>1865</v>
      </c>
      <c r="K312" s="1676"/>
      <c r="L312" s="2623"/>
      <c r="M312" s="2635"/>
      <c r="N312" s="2638"/>
      <c r="O312" s="2635"/>
      <c r="P312" s="2641"/>
      <c r="Q312" s="1642" t="s">
        <v>2483</v>
      </c>
      <c r="R312" s="1628">
        <v>141282.79999999999</v>
      </c>
      <c r="S312" s="1628">
        <v>141282.79999999999</v>
      </c>
      <c r="T312" s="1628">
        <v>141282.79999999999</v>
      </c>
      <c r="U312" s="1628">
        <v>141282.79999999999</v>
      </c>
      <c r="V312" s="1628">
        <v>141282.79999999999</v>
      </c>
      <c r="W312" s="2565"/>
      <c r="AD312" s="1608"/>
    </row>
    <row r="313" spans="1:30" ht="12.75" customHeight="1">
      <c r="A313" s="1685" t="str">
        <f t="shared" si="25"/>
        <v/>
      </c>
      <c r="B313" s="1081" t="str">
        <f t="shared" si="26"/>
        <v/>
      </c>
      <c r="C313" s="1081" t="str">
        <f t="shared" si="27"/>
        <v/>
      </c>
      <c r="D313" s="1081" t="str">
        <f t="shared" si="28"/>
        <v/>
      </c>
      <c r="E313" s="1081" t="str">
        <f t="shared" si="29"/>
        <v/>
      </c>
      <c r="F313" s="1081" t="str">
        <f t="shared" si="30"/>
        <v/>
      </c>
      <c r="G313" s="1681"/>
      <c r="H313" s="1681"/>
      <c r="I313" s="1681"/>
      <c r="J313" s="1681"/>
      <c r="K313" s="1676"/>
      <c r="L313" s="2623" t="s">
        <v>2706</v>
      </c>
      <c r="M313" s="2633"/>
      <c r="N313" s="2636" t="s">
        <v>2707</v>
      </c>
      <c r="O313" s="2633"/>
      <c r="P313" s="2639"/>
      <c r="Q313" s="1642" t="s">
        <v>604</v>
      </c>
      <c r="R313" s="1619" t="s">
        <v>2679</v>
      </c>
      <c r="S313" s="1619" t="s">
        <v>2679</v>
      </c>
      <c r="T313" s="1619" t="s">
        <v>2679</v>
      </c>
      <c r="U313" s="1620"/>
      <c r="V313" s="1620"/>
      <c r="W313" s="2563">
        <v>540000</v>
      </c>
      <c r="AD313" s="1608"/>
    </row>
    <row r="314" spans="1:30" ht="15">
      <c r="A314" s="1685" t="str">
        <f t="shared" si="25"/>
        <v/>
      </c>
      <c r="B314" s="1081" t="str">
        <f t="shared" si="26"/>
        <v/>
      </c>
      <c r="C314" s="1081" t="str">
        <f t="shared" si="27"/>
        <v/>
      </c>
      <c r="D314" s="1081" t="str">
        <f t="shared" si="28"/>
        <v/>
      </c>
      <c r="E314" s="1081" t="str">
        <f t="shared" si="29"/>
        <v/>
      </c>
      <c r="F314" s="1081" t="str">
        <f t="shared" si="30"/>
        <v/>
      </c>
      <c r="G314" s="1681"/>
      <c r="H314" s="1681"/>
      <c r="I314" s="1681"/>
      <c r="J314" s="1681"/>
      <c r="K314" s="1676"/>
      <c r="L314" s="2623"/>
      <c r="M314" s="2634"/>
      <c r="N314" s="2637"/>
      <c r="O314" s="2634"/>
      <c r="P314" s="2640"/>
      <c r="Q314" s="1642" t="s">
        <v>2481</v>
      </c>
      <c r="R314" s="1617">
        <v>1</v>
      </c>
      <c r="S314" s="1617">
        <v>1</v>
      </c>
      <c r="T314" s="1617">
        <v>1</v>
      </c>
      <c r="U314" s="1613"/>
      <c r="V314" s="1613"/>
      <c r="W314" s="2564"/>
      <c r="AD314" s="1608"/>
    </row>
    <row r="315" spans="1:30" ht="15">
      <c r="A315" s="1685" t="str">
        <f t="shared" si="25"/>
        <v/>
      </c>
      <c r="B315" s="1081" t="str">
        <f t="shared" si="26"/>
        <v/>
      </c>
      <c r="C315" s="1081" t="str">
        <f t="shared" si="27"/>
        <v/>
      </c>
      <c r="D315" s="1081" t="str">
        <f t="shared" si="28"/>
        <v/>
      </c>
      <c r="E315" s="1081" t="str">
        <f t="shared" si="29"/>
        <v/>
      </c>
      <c r="F315" s="1081" t="str">
        <f t="shared" si="30"/>
        <v/>
      </c>
      <c r="G315" s="1681"/>
      <c r="H315" s="1681"/>
      <c r="I315" s="1681"/>
      <c r="J315" s="1681"/>
      <c r="K315" s="1676"/>
      <c r="L315" s="2623"/>
      <c r="M315" s="2634"/>
      <c r="N315" s="2637"/>
      <c r="O315" s="2634"/>
      <c r="P315" s="2640"/>
      <c r="Q315" s="1642" t="s">
        <v>2482</v>
      </c>
      <c r="R315" s="1617">
        <v>180000</v>
      </c>
      <c r="S315" s="1617">
        <v>180000</v>
      </c>
      <c r="T315" s="1617">
        <v>180000</v>
      </c>
      <c r="U315" s="1613"/>
      <c r="V315" s="1613"/>
      <c r="W315" s="2564"/>
      <c r="AD315" s="1608"/>
    </row>
    <row r="316" spans="1:30" ht="15">
      <c r="A316" s="1685" t="str">
        <f t="shared" si="25"/>
        <v>5.2.3.</v>
      </c>
      <c r="B316" s="1081">
        <f t="shared" si="26"/>
        <v>180000</v>
      </c>
      <c r="C316" s="1081">
        <f t="shared" si="27"/>
        <v>180000</v>
      </c>
      <c r="D316" s="1081">
        <f t="shared" si="28"/>
        <v>180000</v>
      </c>
      <c r="E316" s="1081">
        <f t="shared" si="29"/>
        <v>0</v>
      </c>
      <c r="F316" s="1081">
        <f t="shared" si="30"/>
        <v>0</v>
      </c>
      <c r="G316" s="1681"/>
      <c r="H316" s="1681"/>
      <c r="I316" s="1681"/>
      <c r="J316" s="1681" t="s">
        <v>1865</v>
      </c>
      <c r="K316" s="1676"/>
      <c r="L316" s="2623"/>
      <c r="M316" s="2635"/>
      <c r="N316" s="2638"/>
      <c r="O316" s="2635"/>
      <c r="P316" s="2641"/>
      <c r="Q316" s="1642" t="s">
        <v>2483</v>
      </c>
      <c r="R316" s="1628">
        <v>180000</v>
      </c>
      <c r="S316" s="1628">
        <v>180000</v>
      </c>
      <c r="T316" s="1628">
        <v>180000</v>
      </c>
      <c r="U316" s="1633"/>
      <c r="V316" s="1633"/>
      <c r="W316" s="2565"/>
      <c r="AD316" s="1608"/>
    </row>
    <row r="317" spans="1:30" ht="12.75" customHeight="1">
      <c r="A317" s="1685" t="str">
        <f t="shared" si="25"/>
        <v/>
      </c>
      <c r="B317" s="1081" t="str">
        <f t="shared" si="26"/>
        <v/>
      </c>
      <c r="C317" s="1081" t="str">
        <f t="shared" si="27"/>
        <v/>
      </c>
      <c r="D317" s="1081" t="str">
        <f t="shared" si="28"/>
        <v/>
      </c>
      <c r="E317" s="1081" t="str">
        <f t="shared" si="29"/>
        <v/>
      </c>
      <c r="F317" s="1081" t="str">
        <f t="shared" si="30"/>
        <v/>
      </c>
      <c r="G317" s="1681"/>
      <c r="H317" s="1681"/>
      <c r="I317" s="1681"/>
      <c r="J317" s="1681"/>
      <c r="K317" s="1676"/>
      <c r="L317" s="2623" t="s">
        <v>2708</v>
      </c>
      <c r="M317" s="2633"/>
      <c r="N317" s="2636" t="s">
        <v>2709</v>
      </c>
      <c r="O317" s="2633" t="s">
        <v>2710</v>
      </c>
      <c r="P317" s="2639"/>
      <c r="Q317" s="1642" t="s">
        <v>604</v>
      </c>
      <c r="R317" s="1619" t="s">
        <v>2499</v>
      </c>
      <c r="S317" s="1619" t="s">
        <v>2499</v>
      </c>
      <c r="T317" s="1619" t="s">
        <v>2499</v>
      </c>
      <c r="U317" s="1619" t="s">
        <v>2499</v>
      </c>
      <c r="V317" s="1619" t="s">
        <v>2499</v>
      </c>
      <c r="W317" s="2563">
        <v>299400</v>
      </c>
      <c r="AD317" s="1608"/>
    </row>
    <row r="318" spans="1:30" ht="15">
      <c r="A318" s="1685" t="str">
        <f t="shared" si="25"/>
        <v/>
      </c>
      <c r="B318" s="1081" t="str">
        <f t="shared" si="26"/>
        <v/>
      </c>
      <c r="C318" s="1081" t="str">
        <f t="shared" si="27"/>
        <v/>
      </c>
      <c r="D318" s="1081" t="str">
        <f t="shared" si="28"/>
        <v/>
      </c>
      <c r="E318" s="1081" t="str">
        <f t="shared" si="29"/>
        <v/>
      </c>
      <c r="F318" s="1081" t="str">
        <f t="shared" si="30"/>
        <v/>
      </c>
      <c r="G318" s="1681"/>
      <c r="H318" s="1681"/>
      <c r="I318" s="1681"/>
      <c r="J318" s="1681"/>
      <c r="K318" s="1676"/>
      <c r="L318" s="2623"/>
      <c r="M318" s="2634"/>
      <c r="N318" s="2637"/>
      <c r="O318" s="2634"/>
      <c r="P318" s="2640"/>
      <c r="Q318" s="1642" t="s">
        <v>2481</v>
      </c>
      <c r="R318" s="1617">
        <v>1</v>
      </c>
      <c r="S318" s="1617">
        <v>1</v>
      </c>
      <c r="T318" s="1617">
        <v>1</v>
      </c>
      <c r="U318" s="1617">
        <v>1</v>
      </c>
      <c r="V318" s="1617">
        <v>1</v>
      </c>
      <c r="W318" s="2564"/>
      <c r="AD318" s="1608"/>
    </row>
    <row r="319" spans="1:30" ht="15">
      <c r="A319" s="1685" t="str">
        <f t="shared" si="25"/>
        <v/>
      </c>
      <c r="B319" s="1081" t="str">
        <f t="shared" si="26"/>
        <v/>
      </c>
      <c r="C319" s="1081" t="str">
        <f t="shared" si="27"/>
        <v/>
      </c>
      <c r="D319" s="1081" t="str">
        <f t="shared" si="28"/>
        <v/>
      </c>
      <c r="E319" s="1081" t="str">
        <f t="shared" si="29"/>
        <v/>
      </c>
      <c r="F319" s="1081" t="str">
        <f t="shared" si="30"/>
        <v/>
      </c>
      <c r="G319" s="1681"/>
      <c r="H319" s="1681"/>
      <c r="I319" s="1681"/>
      <c r="J319" s="1681"/>
      <c r="K319" s="1676"/>
      <c r="L319" s="2623"/>
      <c r="M319" s="2634"/>
      <c r="N319" s="2637"/>
      <c r="O319" s="2634"/>
      <c r="P319" s="2640"/>
      <c r="Q319" s="1642" t="s">
        <v>2482</v>
      </c>
      <c r="R319" s="1617">
        <v>59880</v>
      </c>
      <c r="S319" s="1617">
        <v>59880</v>
      </c>
      <c r="T319" s="1617">
        <v>59880</v>
      </c>
      <c r="U319" s="1617">
        <v>59880</v>
      </c>
      <c r="V319" s="1617">
        <v>59880</v>
      </c>
      <c r="W319" s="2564"/>
      <c r="AD319" s="1608"/>
    </row>
    <row r="320" spans="1:30" ht="15">
      <c r="A320" s="1685" t="str">
        <f t="shared" si="25"/>
        <v>5.2.3.</v>
      </c>
      <c r="B320" s="1081">
        <f t="shared" si="26"/>
        <v>59880</v>
      </c>
      <c r="C320" s="1081">
        <f t="shared" si="27"/>
        <v>59880</v>
      </c>
      <c r="D320" s="1081">
        <f t="shared" si="28"/>
        <v>59880</v>
      </c>
      <c r="E320" s="1081">
        <f t="shared" si="29"/>
        <v>59880</v>
      </c>
      <c r="F320" s="1081">
        <f t="shared" si="30"/>
        <v>59880</v>
      </c>
      <c r="G320" s="1681"/>
      <c r="H320" s="1681"/>
      <c r="I320" s="1681"/>
      <c r="J320" s="1681" t="s">
        <v>1865</v>
      </c>
      <c r="K320" s="1676"/>
      <c r="L320" s="2623"/>
      <c r="M320" s="2635"/>
      <c r="N320" s="2638"/>
      <c r="O320" s="2635"/>
      <c r="P320" s="1650"/>
      <c r="Q320" s="1642" t="s">
        <v>2483</v>
      </c>
      <c r="R320" s="1628">
        <v>59880</v>
      </c>
      <c r="S320" s="1628">
        <v>59880</v>
      </c>
      <c r="T320" s="1628">
        <v>59880</v>
      </c>
      <c r="U320" s="1628">
        <v>59880</v>
      </c>
      <c r="V320" s="1628">
        <v>59880</v>
      </c>
      <c r="W320" s="2565"/>
      <c r="AD320" s="1608"/>
    </row>
    <row r="321" spans="1:30" ht="19.25" customHeight="1">
      <c r="A321" s="1685" t="str">
        <f t="shared" si="25"/>
        <v/>
      </c>
      <c r="B321" s="1081" t="str">
        <f t="shared" si="26"/>
        <v/>
      </c>
      <c r="C321" s="1081" t="str">
        <f t="shared" si="27"/>
        <v/>
      </c>
      <c r="D321" s="1081" t="str">
        <f t="shared" si="28"/>
        <v/>
      </c>
      <c r="E321" s="1081" t="str">
        <f t="shared" si="29"/>
        <v/>
      </c>
      <c r="F321" s="1081" t="str">
        <f t="shared" si="30"/>
        <v/>
      </c>
      <c r="G321" s="1681"/>
      <c r="H321" s="1681"/>
      <c r="I321" s="1681"/>
      <c r="J321" s="1681"/>
      <c r="K321" s="1676"/>
      <c r="L321" s="2548" t="s">
        <v>2711</v>
      </c>
      <c r="M321" s="2542" t="s">
        <v>2712</v>
      </c>
      <c r="N321" s="2543"/>
      <c r="O321" s="2544"/>
      <c r="P321" s="2550"/>
      <c r="Q321" s="2552"/>
      <c r="R321" s="2540">
        <v>0</v>
      </c>
      <c r="S321" s="2540">
        <v>0</v>
      </c>
      <c r="T321" s="2540">
        <v>0</v>
      </c>
      <c r="U321" s="2540">
        <v>0</v>
      </c>
      <c r="V321" s="2540">
        <v>0</v>
      </c>
      <c r="W321" s="2540">
        <v>0</v>
      </c>
      <c r="AD321" s="1608"/>
    </row>
    <row r="322" spans="1:30" ht="19.25" customHeight="1">
      <c r="A322" s="1685" t="str">
        <f t="shared" si="25"/>
        <v/>
      </c>
      <c r="B322" s="1081" t="str">
        <f t="shared" si="26"/>
        <v/>
      </c>
      <c r="C322" s="1081" t="str">
        <f t="shared" si="27"/>
        <v/>
      </c>
      <c r="D322" s="1081" t="str">
        <f t="shared" si="28"/>
        <v/>
      </c>
      <c r="E322" s="1081" t="str">
        <f t="shared" si="29"/>
        <v/>
      </c>
      <c r="F322" s="1081" t="str">
        <f t="shared" si="30"/>
        <v/>
      </c>
      <c r="G322" s="1681"/>
      <c r="H322" s="1681"/>
      <c r="I322" s="1681"/>
      <c r="J322" s="1681"/>
      <c r="K322" s="1676"/>
      <c r="L322" s="2549"/>
      <c r="M322" s="2542" t="s">
        <v>2478</v>
      </c>
      <c r="N322" s="2543"/>
      <c r="O322" s="2544"/>
      <c r="P322" s="2551"/>
      <c r="Q322" s="2553"/>
      <c r="R322" s="2541"/>
      <c r="S322" s="2541"/>
      <c r="T322" s="2541"/>
      <c r="U322" s="2541"/>
      <c r="V322" s="2541"/>
      <c r="W322" s="2541"/>
      <c r="AD322" s="1608"/>
    </row>
    <row r="323" spans="1:30" ht="15">
      <c r="A323" s="1685" t="str">
        <f t="shared" ref="A323:A386" si="31">IF(J323="","",LEFT(J323,6))</f>
        <v/>
      </c>
      <c r="B323" s="1081" t="str">
        <f t="shared" si="26"/>
        <v/>
      </c>
      <c r="C323" s="1081" t="str">
        <f t="shared" si="27"/>
        <v/>
      </c>
      <c r="D323" s="1081" t="str">
        <f t="shared" si="28"/>
        <v/>
      </c>
      <c r="E323" s="1081" t="str">
        <f t="shared" si="29"/>
        <v/>
      </c>
      <c r="F323" s="1081" t="str">
        <f t="shared" si="30"/>
        <v/>
      </c>
      <c r="G323" s="1681"/>
      <c r="H323" s="1681"/>
      <c r="I323" s="1681"/>
      <c r="J323" s="1681"/>
      <c r="K323" s="1676"/>
      <c r="L323" s="2554" t="s">
        <v>2713</v>
      </c>
      <c r="M323" s="2597" t="s">
        <v>2714</v>
      </c>
      <c r="N323" s="2597"/>
      <c r="O323" s="2597"/>
      <c r="P323" s="1614"/>
      <c r="Q323" s="1611" t="s">
        <v>604</v>
      </c>
      <c r="R323" s="1610"/>
      <c r="S323" s="1610"/>
      <c r="T323" s="1610"/>
      <c r="U323" s="1610"/>
      <c r="V323" s="1610"/>
      <c r="W323" s="2590">
        <v>0</v>
      </c>
      <c r="AD323" s="1608"/>
    </row>
    <row r="324" spans="1:30" ht="15">
      <c r="A324" s="1685" t="str">
        <f t="shared" si="31"/>
        <v/>
      </c>
      <c r="B324" s="1081" t="str">
        <f t="shared" si="26"/>
        <v/>
      </c>
      <c r="C324" s="1081" t="str">
        <f t="shared" si="27"/>
        <v/>
      </c>
      <c r="D324" s="1081" t="str">
        <f t="shared" si="28"/>
        <v/>
      </c>
      <c r="E324" s="1081" t="str">
        <f t="shared" si="29"/>
        <v/>
      </c>
      <c r="F324" s="1081" t="str">
        <f t="shared" si="30"/>
        <v/>
      </c>
      <c r="G324" s="1681"/>
      <c r="H324" s="1681"/>
      <c r="I324" s="1681"/>
      <c r="J324" s="1681"/>
      <c r="K324" s="1676"/>
      <c r="L324" s="2554"/>
      <c r="M324" s="2598"/>
      <c r="N324" s="2598"/>
      <c r="O324" s="2598"/>
      <c r="P324" s="1630"/>
      <c r="Q324" s="1611" t="s">
        <v>2481</v>
      </c>
      <c r="R324" s="1613"/>
      <c r="S324" s="1613"/>
      <c r="T324" s="1613"/>
      <c r="U324" s="1613"/>
      <c r="V324" s="1613"/>
      <c r="W324" s="2590"/>
      <c r="AD324" s="1608"/>
    </row>
    <row r="325" spans="1:30" ht="15">
      <c r="A325" s="1685" t="str">
        <f t="shared" si="31"/>
        <v/>
      </c>
      <c r="B325" s="1081" t="str">
        <f t="shared" si="26"/>
        <v/>
      </c>
      <c r="C325" s="1081" t="str">
        <f t="shared" si="27"/>
        <v/>
      </c>
      <c r="D325" s="1081" t="str">
        <f t="shared" si="28"/>
        <v/>
      </c>
      <c r="E325" s="1081" t="str">
        <f t="shared" si="29"/>
        <v/>
      </c>
      <c r="F325" s="1081" t="str">
        <f t="shared" si="30"/>
        <v/>
      </c>
      <c r="G325" s="1681"/>
      <c r="H325" s="1681"/>
      <c r="I325" s="1681"/>
      <c r="J325" s="1681"/>
      <c r="K325" s="1676"/>
      <c r="L325" s="2554"/>
      <c r="M325" s="2598"/>
      <c r="N325" s="2598"/>
      <c r="O325" s="2598"/>
      <c r="P325" s="1630"/>
      <c r="Q325" s="1611" t="s">
        <v>2482</v>
      </c>
      <c r="R325" s="1613"/>
      <c r="S325" s="1613"/>
      <c r="T325" s="1613"/>
      <c r="U325" s="1613"/>
      <c r="V325" s="1613"/>
      <c r="W325" s="2590"/>
      <c r="AD325" s="1608"/>
    </row>
    <row r="326" spans="1:30" ht="15">
      <c r="A326" s="1685" t="str">
        <f t="shared" si="31"/>
        <v/>
      </c>
      <c r="B326" s="1081">
        <f t="shared" si="26"/>
        <v>0</v>
      </c>
      <c r="C326" s="1081">
        <f t="shared" si="27"/>
        <v>0</v>
      </c>
      <c r="D326" s="1081">
        <f t="shared" si="28"/>
        <v>0</v>
      </c>
      <c r="E326" s="1081">
        <f t="shared" si="29"/>
        <v>0</v>
      </c>
      <c r="F326" s="1081">
        <f t="shared" si="30"/>
        <v>0</v>
      </c>
      <c r="G326" s="1681"/>
      <c r="H326" s="1681"/>
      <c r="I326" s="1681"/>
      <c r="J326" s="1681"/>
      <c r="K326" s="1676"/>
      <c r="L326" s="2554"/>
      <c r="M326" s="2599"/>
      <c r="N326" s="2599"/>
      <c r="O326" s="2599"/>
      <c r="P326" s="1634"/>
      <c r="Q326" s="1611" t="s">
        <v>2483</v>
      </c>
      <c r="R326" s="1613"/>
      <c r="S326" s="1613"/>
      <c r="T326" s="1613"/>
      <c r="U326" s="1613"/>
      <c r="V326" s="1613"/>
      <c r="W326" s="2590"/>
      <c r="AD326" s="1608"/>
    </row>
    <row r="327" spans="1:30" s="1666" customFormat="1" ht="59.75" customHeight="1">
      <c r="A327" s="1685" t="str">
        <f t="shared" si="31"/>
        <v/>
      </c>
      <c r="B327" s="1081" t="str">
        <f t="shared" si="26"/>
        <v/>
      </c>
      <c r="C327" s="1081" t="str">
        <f t="shared" si="27"/>
        <v/>
      </c>
      <c r="D327" s="1081" t="str">
        <f t="shared" si="28"/>
        <v/>
      </c>
      <c r="E327" s="1081" t="str">
        <f t="shared" si="29"/>
        <v/>
      </c>
      <c r="F327" s="1081" t="str">
        <f t="shared" si="30"/>
        <v/>
      </c>
      <c r="G327" s="1681"/>
      <c r="H327" s="1681"/>
      <c r="I327" s="1681"/>
      <c r="J327" s="1681"/>
      <c r="K327" s="1679"/>
      <c r="L327" s="1663">
        <v>6</v>
      </c>
      <c r="M327" s="2545" t="s">
        <v>2715</v>
      </c>
      <c r="N327" s="2546"/>
      <c r="O327" s="2547"/>
      <c r="P327" s="1663"/>
      <c r="Q327" s="1664"/>
      <c r="R327" s="1665">
        <v>11894596.93375</v>
      </c>
      <c r="S327" s="1665">
        <v>5529960.2654499998</v>
      </c>
      <c r="T327" s="1665">
        <v>5981714.5609000009</v>
      </c>
      <c r="U327" s="1665">
        <v>5471317.7703750003</v>
      </c>
      <c r="V327" s="1665">
        <v>5912516.4477000004</v>
      </c>
      <c r="W327" s="1665">
        <v>34790105.978174999</v>
      </c>
      <c r="AB327" s="1589"/>
      <c r="AD327" s="1608"/>
    </row>
    <row r="328" spans="1:30" ht="19.25" customHeight="1">
      <c r="A328" s="1685" t="str">
        <f t="shared" si="31"/>
        <v/>
      </c>
      <c r="B328" s="1081" t="str">
        <f t="shared" si="26"/>
        <v/>
      </c>
      <c r="C328" s="1081" t="str">
        <f t="shared" si="27"/>
        <v/>
      </c>
      <c r="D328" s="1081" t="str">
        <f t="shared" si="28"/>
        <v/>
      </c>
      <c r="E328" s="1081" t="str">
        <f t="shared" si="29"/>
        <v/>
      </c>
      <c r="F328" s="1081" t="str">
        <f t="shared" si="30"/>
        <v/>
      </c>
      <c r="G328" s="1681"/>
      <c r="H328" s="1681"/>
      <c r="I328" s="1681"/>
      <c r="J328" s="1681"/>
      <c r="K328" s="1676"/>
      <c r="L328" s="2548" t="s">
        <v>2716</v>
      </c>
      <c r="M328" s="2542" t="s">
        <v>2717</v>
      </c>
      <c r="N328" s="2543"/>
      <c r="O328" s="2544"/>
      <c r="P328" s="2550"/>
      <c r="Q328" s="2552"/>
      <c r="R328" s="2540">
        <v>0</v>
      </c>
      <c r="S328" s="2540">
        <v>0</v>
      </c>
      <c r="T328" s="2540">
        <v>0</v>
      </c>
      <c r="U328" s="2540">
        <v>0</v>
      </c>
      <c r="V328" s="2540">
        <v>0</v>
      </c>
      <c r="W328" s="2540">
        <v>0</v>
      </c>
      <c r="AD328" s="1608"/>
    </row>
    <row r="329" spans="1:30" ht="19.25" customHeight="1">
      <c r="A329" s="1685" t="str">
        <f t="shared" si="31"/>
        <v/>
      </c>
      <c r="B329" s="1081" t="str">
        <f t="shared" si="26"/>
        <v/>
      </c>
      <c r="C329" s="1081" t="str">
        <f t="shared" si="27"/>
        <v/>
      </c>
      <c r="D329" s="1081" t="str">
        <f t="shared" si="28"/>
        <v/>
      </c>
      <c r="E329" s="1081" t="str">
        <f t="shared" si="29"/>
        <v/>
      </c>
      <c r="F329" s="1081" t="str">
        <f t="shared" si="30"/>
        <v/>
      </c>
      <c r="G329" s="1681"/>
      <c r="H329" s="1681"/>
      <c r="I329" s="1681"/>
      <c r="J329" s="1681"/>
      <c r="K329" s="1676"/>
      <c r="L329" s="2549"/>
      <c r="M329" s="2542" t="s">
        <v>2478</v>
      </c>
      <c r="N329" s="2543"/>
      <c r="O329" s="2544"/>
      <c r="P329" s="2551"/>
      <c r="Q329" s="2553"/>
      <c r="R329" s="2541"/>
      <c r="S329" s="2541"/>
      <c r="T329" s="2541"/>
      <c r="U329" s="2541"/>
      <c r="V329" s="2541"/>
      <c r="W329" s="2541"/>
      <c r="AD329" s="1608"/>
    </row>
    <row r="330" spans="1:30" ht="15">
      <c r="A330" s="1685" t="str">
        <f t="shared" si="31"/>
        <v/>
      </c>
      <c r="B330" s="1081" t="str">
        <f t="shared" si="26"/>
        <v/>
      </c>
      <c r="C330" s="1081" t="str">
        <f t="shared" si="27"/>
        <v/>
      </c>
      <c r="D330" s="1081" t="str">
        <f t="shared" si="28"/>
        <v/>
      </c>
      <c r="E330" s="1081" t="str">
        <f t="shared" si="29"/>
        <v/>
      </c>
      <c r="F330" s="1081" t="str">
        <f t="shared" si="30"/>
        <v/>
      </c>
      <c r="G330" s="1681"/>
      <c r="H330" s="1681"/>
      <c r="I330" s="1681"/>
      <c r="J330" s="1681"/>
      <c r="K330" s="1676"/>
      <c r="L330" s="2554" t="s">
        <v>2718</v>
      </c>
      <c r="M330" s="2597" t="s">
        <v>2719</v>
      </c>
      <c r="N330" s="2597"/>
      <c r="O330" s="2597"/>
      <c r="P330" s="2548"/>
      <c r="Q330" s="1609" t="s">
        <v>604</v>
      </c>
      <c r="R330" s="1610"/>
      <c r="S330" s="1610"/>
      <c r="T330" s="1610"/>
      <c r="U330" s="1610"/>
      <c r="V330" s="1610"/>
      <c r="W330" s="2590">
        <v>0</v>
      </c>
      <c r="AD330" s="1608"/>
    </row>
    <row r="331" spans="1:30" ht="15">
      <c r="A331" s="1685" t="str">
        <f t="shared" si="31"/>
        <v/>
      </c>
      <c r="B331" s="1081" t="str">
        <f t="shared" si="26"/>
        <v/>
      </c>
      <c r="C331" s="1081" t="str">
        <f t="shared" si="27"/>
        <v/>
      </c>
      <c r="D331" s="1081" t="str">
        <f t="shared" si="28"/>
        <v/>
      </c>
      <c r="E331" s="1081" t="str">
        <f t="shared" si="29"/>
        <v/>
      </c>
      <c r="F331" s="1081" t="str">
        <f t="shared" si="30"/>
        <v/>
      </c>
      <c r="G331" s="1681"/>
      <c r="H331" s="1681"/>
      <c r="I331" s="1681"/>
      <c r="J331" s="1681"/>
      <c r="K331" s="1676"/>
      <c r="L331" s="2554"/>
      <c r="M331" s="2598"/>
      <c r="N331" s="2598"/>
      <c r="O331" s="2598"/>
      <c r="P331" s="2566"/>
      <c r="Q331" s="1611" t="s">
        <v>2481</v>
      </c>
      <c r="R331" s="1612"/>
      <c r="S331" s="1612"/>
      <c r="T331" s="1612"/>
      <c r="U331" s="1612"/>
      <c r="V331" s="1612"/>
      <c r="W331" s="2590"/>
      <c r="AD331" s="1608"/>
    </row>
    <row r="332" spans="1:30" ht="15">
      <c r="A332" s="1685" t="str">
        <f t="shared" si="31"/>
        <v/>
      </c>
      <c r="B332" s="1081" t="str">
        <f t="shared" si="26"/>
        <v/>
      </c>
      <c r="C332" s="1081" t="str">
        <f t="shared" si="27"/>
        <v/>
      </c>
      <c r="D332" s="1081" t="str">
        <f t="shared" si="28"/>
        <v/>
      </c>
      <c r="E332" s="1081" t="str">
        <f t="shared" si="29"/>
        <v/>
      </c>
      <c r="F332" s="1081" t="str">
        <f t="shared" si="30"/>
        <v/>
      </c>
      <c r="G332" s="1681"/>
      <c r="H332" s="1681"/>
      <c r="I332" s="1681"/>
      <c r="J332" s="1681"/>
      <c r="K332" s="1676"/>
      <c r="L332" s="2554"/>
      <c r="M332" s="2598"/>
      <c r="N332" s="2598"/>
      <c r="O332" s="2598"/>
      <c r="P332" s="2566"/>
      <c r="Q332" s="1611" t="s">
        <v>2482</v>
      </c>
      <c r="R332" s="1613"/>
      <c r="S332" s="1613"/>
      <c r="T332" s="1613"/>
      <c r="U332" s="1613"/>
      <c r="V332" s="1613"/>
      <c r="W332" s="2590"/>
      <c r="AD332" s="1608"/>
    </row>
    <row r="333" spans="1:30" ht="15">
      <c r="A333" s="1685" t="str">
        <f t="shared" si="31"/>
        <v/>
      </c>
      <c r="B333" s="1081">
        <f t="shared" ref="B333:B396" si="32">IF($Q333="sub-total",R333,"")</f>
        <v>0</v>
      </c>
      <c r="C333" s="1081">
        <f t="shared" ref="C333:C396" si="33">IF($Q333="sub-total",S333,"")</f>
        <v>0</v>
      </c>
      <c r="D333" s="1081">
        <f t="shared" ref="D333:D396" si="34">IF($Q333="sub-total",T333,"")</f>
        <v>0</v>
      </c>
      <c r="E333" s="1081">
        <f t="shared" ref="E333:E396" si="35">IF($Q333="sub-total",U333,"")</f>
        <v>0</v>
      </c>
      <c r="F333" s="1081">
        <f t="shared" ref="F333:F396" si="36">IF($Q333="sub-total",V333,"")</f>
        <v>0</v>
      </c>
      <c r="G333" s="1681"/>
      <c r="H333" s="1681"/>
      <c r="I333" s="1681"/>
      <c r="J333" s="1681"/>
      <c r="K333" s="1676"/>
      <c r="L333" s="2554"/>
      <c r="M333" s="2599"/>
      <c r="N333" s="2599"/>
      <c r="O333" s="2599"/>
      <c r="P333" s="2549"/>
      <c r="Q333" s="1611" t="s">
        <v>2483</v>
      </c>
      <c r="R333" s="1613"/>
      <c r="S333" s="1613"/>
      <c r="T333" s="1613"/>
      <c r="U333" s="1613"/>
      <c r="V333" s="1613"/>
      <c r="W333" s="2590"/>
      <c r="AD333" s="1608"/>
    </row>
    <row r="334" spans="1:30" ht="15">
      <c r="A334" s="1685" t="str">
        <f t="shared" si="31"/>
        <v/>
      </c>
      <c r="B334" s="1081" t="str">
        <f t="shared" si="32"/>
        <v/>
      </c>
      <c r="C334" s="1081" t="str">
        <f t="shared" si="33"/>
        <v/>
      </c>
      <c r="D334" s="1081" t="str">
        <f t="shared" si="34"/>
        <v/>
      </c>
      <c r="E334" s="1081" t="str">
        <f t="shared" si="35"/>
        <v/>
      </c>
      <c r="F334" s="1081" t="str">
        <f t="shared" si="36"/>
        <v/>
      </c>
      <c r="G334" s="1681"/>
      <c r="H334" s="1681"/>
      <c r="I334" s="1681"/>
      <c r="J334" s="1681"/>
      <c r="K334" s="1676"/>
      <c r="L334" s="2554" t="s">
        <v>2720</v>
      </c>
      <c r="M334" s="2597" t="s">
        <v>2721</v>
      </c>
      <c r="N334" s="2597"/>
      <c r="O334" s="2597"/>
      <c r="P334" s="2548"/>
      <c r="Q334" s="1609" t="s">
        <v>604</v>
      </c>
      <c r="R334" s="1610"/>
      <c r="S334" s="1610"/>
      <c r="T334" s="1610"/>
      <c r="U334" s="1610"/>
      <c r="V334" s="1610"/>
      <c r="W334" s="2590">
        <v>0</v>
      </c>
      <c r="AD334" s="1608"/>
    </row>
    <row r="335" spans="1:30" ht="15">
      <c r="A335" s="1685" t="str">
        <f t="shared" si="31"/>
        <v/>
      </c>
      <c r="B335" s="1081" t="str">
        <f t="shared" si="32"/>
        <v/>
      </c>
      <c r="C335" s="1081" t="str">
        <f t="shared" si="33"/>
        <v/>
      </c>
      <c r="D335" s="1081" t="str">
        <f t="shared" si="34"/>
        <v/>
      </c>
      <c r="E335" s="1081" t="str">
        <f t="shared" si="35"/>
        <v/>
      </c>
      <c r="F335" s="1081" t="str">
        <f t="shared" si="36"/>
        <v/>
      </c>
      <c r="G335" s="1681"/>
      <c r="H335" s="1681"/>
      <c r="I335" s="1681"/>
      <c r="J335" s="1681"/>
      <c r="K335" s="1676"/>
      <c r="L335" s="2554"/>
      <c r="M335" s="2598"/>
      <c r="N335" s="2598"/>
      <c r="O335" s="2598"/>
      <c r="P335" s="2566"/>
      <c r="Q335" s="1611" t="s">
        <v>2481</v>
      </c>
      <c r="R335" s="1612"/>
      <c r="S335" s="1612"/>
      <c r="T335" s="1612"/>
      <c r="U335" s="1612"/>
      <c r="V335" s="1612"/>
      <c r="W335" s="2590"/>
      <c r="AD335" s="1608"/>
    </row>
    <row r="336" spans="1:30" ht="15">
      <c r="A336" s="1685" t="str">
        <f t="shared" si="31"/>
        <v/>
      </c>
      <c r="B336" s="1081" t="str">
        <f t="shared" si="32"/>
        <v/>
      </c>
      <c r="C336" s="1081" t="str">
        <f t="shared" si="33"/>
        <v/>
      </c>
      <c r="D336" s="1081" t="str">
        <f t="shared" si="34"/>
        <v/>
      </c>
      <c r="E336" s="1081" t="str">
        <f t="shared" si="35"/>
        <v/>
      </c>
      <c r="F336" s="1081" t="str">
        <f t="shared" si="36"/>
        <v/>
      </c>
      <c r="G336" s="1681"/>
      <c r="H336" s="1681"/>
      <c r="I336" s="1681"/>
      <c r="J336" s="1681"/>
      <c r="K336" s="1676"/>
      <c r="L336" s="2554"/>
      <c r="M336" s="2598"/>
      <c r="N336" s="2598"/>
      <c r="O336" s="2598"/>
      <c r="P336" s="2566"/>
      <c r="Q336" s="1611" t="s">
        <v>2482</v>
      </c>
      <c r="R336" s="1613"/>
      <c r="S336" s="1613"/>
      <c r="T336" s="1613"/>
      <c r="U336" s="1613"/>
      <c r="V336" s="1613"/>
      <c r="W336" s="2590"/>
      <c r="AD336" s="1608"/>
    </row>
    <row r="337" spans="1:30" ht="15">
      <c r="A337" s="1685" t="str">
        <f t="shared" si="31"/>
        <v/>
      </c>
      <c r="B337" s="1081">
        <f t="shared" si="32"/>
        <v>0</v>
      </c>
      <c r="C337" s="1081">
        <f t="shared" si="33"/>
        <v>0</v>
      </c>
      <c r="D337" s="1081">
        <f t="shared" si="34"/>
        <v>0</v>
      </c>
      <c r="E337" s="1081">
        <f t="shared" si="35"/>
        <v>0</v>
      </c>
      <c r="F337" s="1081">
        <f t="shared" si="36"/>
        <v>0</v>
      </c>
      <c r="G337" s="1681"/>
      <c r="H337" s="1681"/>
      <c r="I337" s="1681"/>
      <c r="J337" s="1681"/>
      <c r="K337" s="1676"/>
      <c r="L337" s="2554"/>
      <c r="M337" s="2599"/>
      <c r="N337" s="2599"/>
      <c r="O337" s="2599"/>
      <c r="P337" s="2549"/>
      <c r="Q337" s="1611" t="s">
        <v>2483</v>
      </c>
      <c r="R337" s="1613"/>
      <c r="S337" s="1613"/>
      <c r="T337" s="1613"/>
      <c r="U337" s="1613"/>
      <c r="V337" s="1613"/>
      <c r="W337" s="2590"/>
      <c r="AD337" s="1608"/>
    </row>
    <row r="338" spans="1:30" ht="15">
      <c r="A338" s="1685" t="str">
        <f t="shared" si="31"/>
        <v/>
      </c>
      <c r="B338" s="1081" t="str">
        <f t="shared" si="32"/>
        <v/>
      </c>
      <c r="C338" s="1081" t="str">
        <f t="shared" si="33"/>
        <v/>
      </c>
      <c r="D338" s="1081" t="str">
        <f t="shared" si="34"/>
        <v/>
      </c>
      <c r="E338" s="1081" t="str">
        <f t="shared" si="35"/>
        <v/>
      </c>
      <c r="F338" s="1081" t="str">
        <f t="shared" si="36"/>
        <v/>
      </c>
      <c r="G338" s="1681"/>
      <c r="H338" s="1681"/>
      <c r="I338" s="1681"/>
      <c r="J338" s="1681"/>
      <c r="K338" s="1676"/>
      <c r="L338" s="2554" t="s">
        <v>2722</v>
      </c>
      <c r="M338" s="2597" t="s">
        <v>2723</v>
      </c>
      <c r="N338" s="2597"/>
      <c r="O338" s="2597"/>
      <c r="P338" s="2548"/>
      <c r="Q338" s="1609" t="s">
        <v>604</v>
      </c>
      <c r="R338" s="1610"/>
      <c r="S338" s="1610"/>
      <c r="T338" s="1610"/>
      <c r="U338" s="1610"/>
      <c r="V338" s="1610"/>
      <c r="W338" s="2590">
        <v>0</v>
      </c>
      <c r="AD338" s="1608"/>
    </row>
    <row r="339" spans="1:30" ht="15">
      <c r="A339" s="1685" t="str">
        <f t="shared" si="31"/>
        <v/>
      </c>
      <c r="B339" s="1081" t="str">
        <f t="shared" si="32"/>
        <v/>
      </c>
      <c r="C339" s="1081" t="str">
        <f t="shared" si="33"/>
        <v/>
      </c>
      <c r="D339" s="1081" t="str">
        <f t="shared" si="34"/>
        <v/>
      </c>
      <c r="E339" s="1081" t="str">
        <f t="shared" si="35"/>
        <v/>
      </c>
      <c r="F339" s="1081" t="str">
        <f t="shared" si="36"/>
        <v/>
      </c>
      <c r="G339" s="1681"/>
      <c r="H339" s="1681"/>
      <c r="I339" s="1681"/>
      <c r="J339" s="1681"/>
      <c r="K339" s="1676"/>
      <c r="L339" s="2554"/>
      <c r="M339" s="2598"/>
      <c r="N339" s="2598"/>
      <c r="O339" s="2598"/>
      <c r="P339" s="2566"/>
      <c r="Q339" s="1611" t="s">
        <v>2481</v>
      </c>
      <c r="R339" s="1612"/>
      <c r="S339" s="1612"/>
      <c r="T339" s="1612"/>
      <c r="U339" s="1612"/>
      <c r="V339" s="1612"/>
      <c r="W339" s="2590"/>
      <c r="AD339" s="1608"/>
    </row>
    <row r="340" spans="1:30" ht="15">
      <c r="A340" s="1685" t="str">
        <f t="shared" si="31"/>
        <v/>
      </c>
      <c r="B340" s="1081" t="str">
        <f t="shared" si="32"/>
        <v/>
      </c>
      <c r="C340" s="1081" t="str">
        <f t="shared" si="33"/>
        <v/>
      </c>
      <c r="D340" s="1081" t="str">
        <f t="shared" si="34"/>
        <v/>
      </c>
      <c r="E340" s="1081" t="str">
        <f t="shared" si="35"/>
        <v/>
      </c>
      <c r="F340" s="1081" t="str">
        <f t="shared" si="36"/>
        <v/>
      </c>
      <c r="G340" s="1681"/>
      <c r="H340" s="1681"/>
      <c r="I340" s="1681"/>
      <c r="J340" s="1681"/>
      <c r="K340" s="1676"/>
      <c r="L340" s="2554"/>
      <c r="M340" s="2598"/>
      <c r="N340" s="2598"/>
      <c r="O340" s="2598"/>
      <c r="P340" s="2566"/>
      <c r="Q340" s="1611" t="s">
        <v>2482</v>
      </c>
      <c r="R340" s="1613"/>
      <c r="S340" s="1613"/>
      <c r="T340" s="1613"/>
      <c r="U340" s="1613"/>
      <c r="V340" s="1613"/>
      <c r="W340" s="2590"/>
      <c r="AD340" s="1608"/>
    </row>
    <row r="341" spans="1:30" ht="15">
      <c r="A341" s="1685" t="str">
        <f t="shared" si="31"/>
        <v/>
      </c>
      <c r="B341" s="1081">
        <f t="shared" si="32"/>
        <v>0</v>
      </c>
      <c r="C341" s="1081">
        <f t="shared" si="33"/>
        <v>0</v>
      </c>
      <c r="D341" s="1081">
        <f t="shared" si="34"/>
        <v>0</v>
      </c>
      <c r="E341" s="1081">
        <f t="shared" si="35"/>
        <v>0</v>
      </c>
      <c r="F341" s="1081">
        <f t="shared" si="36"/>
        <v>0</v>
      </c>
      <c r="G341" s="1681"/>
      <c r="H341" s="1681"/>
      <c r="I341" s="1681"/>
      <c r="J341" s="1681"/>
      <c r="K341" s="1676"/>
      <c r="L341" s="2554"/>
      <c r="M341" s="2599"/>
      <c r="N341" s="2599"/>
      <c r="O341" s="2599"/>
      <c r="P341" s="2549"/>
      <c r="Q341" s="1611" t="s">
        <v>2483</v>
      </c>
      <c r="R341" s="1613"/>
      <c r="S341" s="1613"/>
      <c r="T341" s="1613"/>
      <c r="U341" s="1613"/>
      <c r="V341" s="1613"/>
      <c r="W341" s="2590"/>
      <c r="AD341" s="1608"/>
    </row>
    <row r="342" spans="1:30" ht="19.25" customHeight="1">
      <c r="A342" s="1685" t="str">
        <f t="shared" si="31"/>
        <v/>
      </c>
      <c r="B342" s="1081" t="str">
        <f t="shared" si="32"/>
        <v/>
      </c>
      <c r="C342" s="1081" t="str">
        <f t="shared" si="33"/>
        <v/>
      </c>
      <c r="D342" s="1081" t="str">
        <f t="shared" si="34"/>
        <v/>
      </c>
      <c r="E342" s="1081" t="str">
        <f t="shared" si="35"/>
        <v/>
      </c>
      <c r="F342" s="1081" t="str">
        <f t="shared" si="36"/>
        <v/>
      </c>
      <c r="G342" s="1681"/>
      <c r="H342" s="1681"/>
      <c r="I342" s="1681"/>
      <c r="J342" s="1681"/>
      <c r="K342" s="1676"/>
      <c r="L342" s="2548" t="s">
        <v>2724</v>
      </c>
      <c r="M342" s="2542" t="s">
        <v>2725</v>
      </c>
      <c r="N342" s="2543"/>
      <c r="O342" s="2544"/>
      <c r="P342" s="2550"/>
      <c r="Q342" s="2552"/>
      <c r="R342" s="2540">
        <v>727239.01199999999</v>
      </c>
      <c r="S342" s="2540">
        <v>480000</v>
      </c>
      <c r="T342" s="2540">
        <v>480000</v>
      </c>
      <c r="U342" s="2540">
        <v>480000</v>
      </c>
      <c r="V342" s="2540">
        <v>480000</v>
      </c>
      <c r="W342" s="2540">
        <v>2647239.0120000001</v>
      </c>
      <c r="AD342" s="1608"/>
    </row>
    <row r="343" spans="1:30" ht="19.25" customHeight="1">
      <c r="A343" s="1685" t="str">
        <f t="shared" si="31"/>
        <v/>
      </c>
      <c r="B343" s="1081" t="str">
        <f t="shared" si="32"/>
        <v/>
      </c>
      <c r="C343" s="1081" t="str">
        <f t="shared" si="33"/>
        <v/>
      </c>
      <c r="D343" s="1081" t="str">
        <f t="shared" si="34"/>
        <v/>
      </c>
      <c r="E343" s="1081" t="str">
        <f t="shared" si="35"/>
        <v/>
      </c>
      <c r="F343" s="1081" t="str">
        <f t="shared" si="36"/>
        <v/>
      </c>
      <c r="G343" s="1681"/>
      <c r="H343" s="1681"/>
      <c r="I343" s="1681"/>
      <c r="J343" s="1681"/>
      <c r="K343" s="1676"/>
      <c r="L343" s="2549"/>
      <c r="M343" s="2542" t="s">
        <v>2529</v>
      </c>
      <c r="N343" s="2543"/>
      <c r="O343" s="2544"/>
      <c r="P343" s="2551"/>
      <c r="Q343" s="2553"/>
      <c r="R343" s="2541"/>
      <c r="S343" s="2541"/>
      <c r="T343" s="2541"/>
      <c r="U343" s="2541"/>
      <c r="V343" s="2541"/>
      <c r="W343" s="2541"/>
      <c r="AD343" s="1608"/>
    </row>
    <row r="344" spans="1:30" ht="30">
      <c r="A344" s="1685" t="str">
        <f t="shared" si="31"/>
        <v/>
      </c>
      <c r="B344" s="1081" t="str">
        <f t="shared" si="32"/>
        <v/>
      </c>
      <c r="C344" s="1081" t="str">
        <f t="shared" si="33"/>
        <v/>
      </c>
      <c r="D344" s="1081" t="str">
        <f t="shared" si="34"/>
        <v/>
      </c>
      <c r="E344" s="1081" t="str">
        <f t="shared" si="35"/>
        <v/>
      </c>
      <c r="F344" s="1081" t="str">
        <f t="shared" si="36"/>
        <v/>
      </c>
      <c r="G344" s="1681"/>
      <c r="H344" s="1681"/>
      <c r="I344" s="1681"/>
      <c r="J344" s="1681"/>
      <c r="K344" s="1676"/>
      <c r="L344" s="2583" t="s">
        <v>2726</v>
      </c>
      <c r="M344" s="2583" t="s">
        <v>2727</v>
      </c>
      <c r="N344" s="2583" t="s">
        <v>2728</v>
      </c>
      <c r="O344" s="2583" t="s">
        <v>2729</v>
      </c>
      <c r="P344" s="1614"/>
      <c r="Q344" s="1609" t="s">
        <v>604</v>
      </c>
      <c r="R344" s="1619" t="s">
        <v>2730</v>
      </c>
      <c r="S344" s="1610"/>
      <c r="T344" s="1610"/>
      <c r="U344" s="1610"/>
      <c r="V344" s="1610"/>
      <c r="W344" s="2563">
        <v>199439.01200000002</v>
      </c>
      <c r="X344" s="1589" t="s">
        <v>2731</v>
      </c>
      <c r="AD344" s="1608"/>
    </row>
    <row r="345" spans="1:30" ht="15">
      <c r="A345" s="1685" t="str">
        <f t="shared" si="31"/>
        <v/>
      </c>
      <c r="B345" s="1081" t="str">
        <f t="shared" si="32"/>
        <v/>
      </c>
      <c r="C345" s="1081" t="str">
        <f t="shared" si="33"/>
        <v/>
      </c>
      <c r="D345" s="1081" t="str">
        <f t="shared" si="34"/>
        <v/>
      </c>
      <c r="E345" s="1081" t="str">
        <f t="shared" si="35"/>
        <v/>
      </c>
      <c r="F345" s="1081" t="str">
        <f t="shared" si="36"/>
        <v/>
      </c>
      <c r="G345" s="1681"/>
      <c r="H345" s="1681"/>
      <c r="I345" s="1681"/>
      <c r="J345" s="1681"/>
      <c r="K345" s="1676"/>
      <c r="L345" s="2583"/>
      <c r="M345" s="2583"/>
      <c r="N345" s="2583"/>
      <c r="O345" s="2583"/>
      <c r="P345" s="1614"/>
      <c r="Q345" s="1611" t="s">
        <v>2481</v>
      </c>
      <c r="R345" s="1617">
        <v>2</v>
      </c>
      <c r="S345" s="1613"/>
      <c r="T345" s="1613"/>
      <c r="U345" s="1613"/>
      <c r="V345" s="1613"/>
      <c r="W345" s="2564"/>
      <c r="X345" s="1589" t="s">
        <v>2732</v>
      </c>
      <c r="AD345" s="1608"/>
    </row>
    <row r="346" spans="1:30" ht="15">
      <c r="A346" s="1685" t="str">
        <f t="shared" si="31"/>
        <v/>
      </c>
      <c r="B346" s="1081" t="str">
        <f t="shared" si="32"/>
        <v/>
      </c>
      <c r="C346" s="1081" t="str">
        <f t="shared" si="33"/>
        <v/>
      </c>
      <c r="D346" s="1081" t="str">
        <f t="shared" si="34"/>
        <v/>
      </c>
      <c r="E346" s="1081" t="str">
        <f t="shared" si="35"/>
        <v/>
      </c>
      <c r="F346" s="1081" t="str">
        <f t="shared" si="36"/>
        <v/>
      </c>
      <c r="G346" s="1681"/>
      <c r="H346" s="1681"/>
      <c r="I346" s="1681"/>
      <c r="J346" s="1681"/>
      <c r="K346" s="1676"/>
      <c r="L346" s="2583"/>
      <c r="M346" s="2583"/>
      <c r="N346" s="2583"/>
      <c r="O346" s="2583"/>
      <c r="P346" s="1631"/>
      <c r="Q346" s="1611" t="s">
        <v>2482</v>
      </c>
      <c r="R346" s="1617">
        <v>99719.506000000008</v>
      </c>
      <c r="S346" s="1613"/>
      <c r="T346" s="1613"/>
      <c r="U346" s="1613"/>
      <c r="V346" s="1613"/>
      <c r="W346" s="2564"/>
      <c r="AD346" s="1608"/>
    </row>
    <row r="347" spans="1:30" ht="15">
      <c r="A347" s="1685" t="str">
        <f t="shared" si="31"/>
        <v>6.2.1.</v>
      </c>
      <c r="B347" s="1081">
        <f t="shared" si="32"/>
        <v>199439.01200000002</v>
      </c>
      <c r="C347" s="1081">
        <f t="shared" si="33"/>
        <v>0</v>
      </c>
      <c r="D347" s="1081">
        <f t="shared" si="34"/>
        <v>0</v>
      </c>
      <c r="E347" s="1081">
        <f t="shared" si="35"/>
        <v>0</v>
      </c>
      <c r="F347" s="1081">
        <f t="shared" si="36"/>
        <v>0</v>
      </c>
      <c r="G347" s="1681"/>
      <c r="H347" s="1681"/>
      <c r="I347" s="1681"/>
      <c r="J347" s="1681" t="s">
        <v>1866</v>
      </c>
      <c r="K347" s="1676"/>
      <c r="L347" s="2583"/>
      <c r="M347" s="2583"/>
      <c r="N347" s="2583"/>
      <c r="O347" s="2583"/>
      <c r="P347" s="1632"/>
      <c r="Q347" s="1611" t="s">
        <v>2483</v>
      </c>
      <c r="R347" s="1628">
        <v>199439.01200000002</v>
      </c>
      <c r="S347" s="1613"/>
      <c r="T347" s="1613"/>
      <c r="U347" s="1613"/>
      <c r="V347" s="1613"/>
      <c r="W347" s="2565"/>
      <c r="AD347" s="1608"/>
    </row>
    <row r="348" spans="1:30" ht="15">
      <c r="A348" s="1685" t="str">
        <f t="shared" si="31"/>
        <v/>
      </c>
      <c r="B348" s="1081" t="str">
        <f t="shared" si="32"/>
        <v/>
      </c>
      <c r="C348" s="1081" t="str">
        <f t="shared" si="33"/>
        <v/>
      </c>
      <c r="D348" s="1081" t="str">
        <f t="shared" si="34"/>
        <v/>
      </c>
      <c r="E348" s="1081" t="str">
        <f t="shared" si="35"/>
        <v/>
      </c>
      <c r="F348" s="1081" t="str">
        <f t="shared" si="36"/>
        <v/>
      </c>
      <c r="G348" s="1681"/>
      <c r="H348" s="1681"/>
      <c r="I348" s="1681"/>
      <c r="J348" s="1681"/>
      <c r="K348" s="1676"/>
      <c r="L348" s="2554" t="s">
        <v>2733</v>
      </c>
      <c r="M348" s="2597" t="s">
        <v>2734</v>
      </c>
      <c r="N348" s="2597"/>
      <c r="O348" s="2560"/>
      <c r="P348" s="1614"/>
      <c r="Q348" s="1611" t="s">
        <v>604</v>
      </c>
      <c r="R348" s="1620"/>
      <c r="S348" s="1620"/>
      <c r="T348" s="1620"/>
      <c r="U348" s="1620"/>
      <c r="V348" s="1620"/>
      <c r="W348" s="2563">
        <v>0</v>
      </c>
      <c r="AD348" s="1608"/>
    </row>
    <row r="349" spans="1:30" ht="15">
      <c r="A349" s="1685" t="str">
        <f t="shared" si="31"/>
        <v/>
      </c>
      <c r="B349" s="1081" t="str">
        <f t="shared" si="32"/>
        <v/>
      </c>
      <c r="C349" s="1081" t="str">
        <f t="shared" si="33"/>
        <v/>
      </c>
      <c r="D349" s="1081" t="str">
        <f t="shared" si="34"/>
        <v/>
      </c>
      <c r="E349" s="1081" t="str">
        <f t="shared" si="35"/>
        <v/>
      </c>
      <c r="F349" s="1081" t="str">
        <f t="shared" si="36"/>
        <v/>
      </c>
      <c r="G349" s="1681"/>
      <c r="H349" s="1681"/>
      <c r="I349" s="1681"/>
      <c r="J349" s="1681"/>
      <c r="K349" s="1676"/>
      <c r="L349" s="2554"/>
      <c r="M349" s="2598"/>
      <c r="N349" s="2598"/>
      <c r="O349" s="2561"/>
      <c r="P349" s="1631"/>
      <c r="Q349" s="1611" t="s">
        <v>2481</v>
      </c>
      <c r="R349" s="1613"/>
      <c r="S349" s="1613"/>
      <c r="T349" s="1613"/>
      <c r="U349" s="1613"/>
      <c r="V349" s="1613"/>
      <c r="W349" s="2564"/>
      <c r="AD349" s="1608"/>
    </row>
    <row r="350" spans="1:30" ht="15">
      <c r="A350" s="1685" t="str">
        <f t="shared" si="31"/>
        <v/>
      </c>
      <c r="B350" s="1081" t="str">
        <f t="shared" si="32"/>
        <v/>
      </c>
      <c r="C350" s="1081" t="str">
        <f t="shared" si="33"/>
        <v/>
      </c>
      <c r="D350" s="1081" t="str">
        <f t="shared" si="34"/>
        <v/>
      </c>
      <c r="E350" s="1081" t="str">
        <f t="shared" si="35"/>
        <v/>
      </c>
      <c r="F350" s="1081" t="str">
        <f t="shared" si="36"/>
        <v/>
      </c>
      <c r="G350" s="1681"/>
      <c r="H350" s="1681"/>
      <c r="I350" s="1681"/>
      <c r="J350" s="1681"/>
      <c r="K350" s="1676"/>
      <c r="L350" s="2554"/>
      <c r="M350" s="2598"/>
      <c r="N350" s="2598"/>
      <c r="O350" s="2561"/>
      <c r="P350" s="1630"/>
      <c r="Q350" s="1611" t="s">
        <v>2482</v>
      </c>
      <c r="R350" s="1613"/>
      <c r="S350" s="1613"/>
      <c r="T350" s="1613"/>
      <c r="U350" s="1613"/>
      <c r="V350" s="1613"/>
      <c r="W350" s="2564"/>
      <c r="AD350" s="1608"/>
    </row>
    <row r="351" spans="1:30" ht="15">
      <c r="A351" s="1685" t="str">
        <f t="shared" si="31"/>
        <v/>
      </c>
      <c r="B351" s="1081">
        <f t="shared" si="32"/>
        <v>0</v>
      </c>
      <c r="C351" s="1081">
        <f t="shared" si="33"/>
        <v>0</v>
      </c>
      <c r="D351" s="1081">
        <f t="shared" si="34"/>
        <v>0</v>
      </c>
      <c r="E351" s="1081">
        <f t="shared" si="35"/>
        <v>0</v>
      </c>
      <c r="F351" s="1081">
        <f t="shared" si="36"/>
        <v>0</v>
      </c>
      <c r="G351" s="1681"/>
      <c r="H351" s="1681"/>
      <c r="I351" s="1681"/>
      <c r="J351" s="1681"/>
      <c r="K351" s="1676"/>
      <c r="L351" s="2554"/>
      <c r="M351" s="2599"/>
      <c r="N351" s="2599"/>
      <c r="O351" s="2562"/>
      <c r="P351" s="1632"/>
      <c r="Q351" s="1611" t="s">
        <v>2483</v>
      </c>
      <c r="R351" s="1613"/>
      <c r="S351" s="1613"/>
      <c r="T351" s="1613"/>
      <c r="U351" s="1613"/>
      <c r="V351" s="1613"/>
      <c r="W351" s="2565"/>
      <c r="AD351" s="1608"/>
    </row>
    <row r="352" spans="1:30" ht="12.75" customHeight="1">
      <c r="A352" s="1685" t="str">
        <f t="shared" si="31"/>
        <v/>
      </c>
      <c r="B352" s="1081" t="str">
        <f t="shared" si="32"/>
        <v/>
      </c>
      <c r="C352" s="1081" t="str">
        <f t="shared" si="33"/>
        <v/>
      </c>
      <c r="D352" s="1081" t="str">
        <f t="shared" si="34"/>
        <v/>
      </c>
      <c r="E352" s="1081" t="str">
        <f t="shared" si="35"/>
        <v/>
      </c>
      <c r="F352" s="1081" t="str">
        <f t="shared" si="36"/>
        <v/>
      </c>
      <c r="G352" s="1681"/>
      <c r="H352" s="1681"/>
      <c r="I352" s="1681"/>
      <c r="J352" s="1681"/>
      <c r="K352" s="1676"/>
      <c r="L352" s="2583" t="s">
        <v>2735</v>
      </c>
      <c r="M352" s="2583" t="s">
        <v>2736</v>
      </c>
      <c r="N352" s="2583" t="s">
        <v>2737</v>
      </c>
      <c r="O352" s="2583" t="s">
        <v>2738</v>
      </c>
      <c r="P352" s="1614"/>
      <c r="Q352" s="1611" t="s">
        <v>604</v>
      </c>
      <c r="R352" s="1619" t="s">
        <v>2499</v>
      </c>
      <c r="S352" s="1620"/>
      <c r="T352" s="1620"/>
      <c r="U352" s="1620"/>
      <c r="V352" s="1620"/>
      <c r="W352" s="2563">
        <v>47800</v>
      </c>
      <c r="AD352" s="1608"/>
    </row>
    <row r="353" spans="1:30" ht="15">
      <c r="A353" s="1685" t="str">
        <f t="shared" si="31"/>
        <v/>
      </c>
      <c r="B353" s="1081" t="str">
        <f t="shared" si="32"/>
        <v/>
      </c>
      <c r="C353" s="1081" t="str">
        <f t="shared" si="33"/>
        <v/>
      </c>
      <c r="D353" s="1081" t="str">
        <f t="shared" si="34"/>
        <v/>
      </c>
      <c r="E353" s="1081" t="str">
        <f t="shared" si="35"/>
        <v/>
      </c>
      <c r="F353" s="1081" t="str">
        <f t="shared" si="36"/>
        <v/>
      </c>
      <c r="G353" s="1681"/>
      <c r="H353" s="1681"/>
      <c r="I353" s="1681"/>
      <c r="J353" s="1681"/>
      <c r="K353" s="1676"/>
      <c r="L353" s="2583"/>
      <c r="M353" s="2583"/>
      <c r="N353" s="2583"/>
      <c r="O353" s="2583"/>
      <c r="P353" s="1631"/>
      <c r="Q353" s="1611" t="s">
        <v>2481</v>
      </c>
      <c r="R353" s="1628">
        <v>2</v>
      </c>
      <c r="S353" s="1613"/>
      <c r="T353" s="1613"/>
      <c r="U353" s="1613"/>
      <c r="V353" s="1613"/>
      <c r="W353" s="2564"/>
      <c r="AD353" s="1608"/>
    </row>
    <row r="354" spans="1:30" ht="15">
      <c r="A354" s="1685" t="str">
        <f t="shared" si="31"/>
        <v/>
      </c>
      <c r="B354" s="1081" t="str">
        <f t="shared" si="32"/>
        <v/>
      </c>
      <c r="C354" s="1081" t="str">
        <f t="shared" si="33"/>
        <v/>
      </c>
      <c r="D354" s="1081" t="str">
        <f t="shared" si="34"/>
        <v/>
      </c>
      <c r="E354" s="1081" t="str">
        <f t="shared" si="35"/>
        <v/>
      </c>
      <c r="F354" s="1081" t="str">
        <f t="shared" si="36"/>
        <v/>
      </c>
      <c r="G354" s="1681"/>
      <c r="H354" s="1681"/>
      <c r="I354" s="1681"/>
      <c r="J354" s="1681"/>
      <c r="K354" s="1676"/>
      <c r="L354" s="2583"/>
      <c r="M354" s="2583"/>
      <c r="N354" s="2583"/>
      <c r="O354" s="2583"/>
      <c r="P354" s="1630"/>
      <c r="Q354" s="1611" t="s">
        <v>2482</v>
      </c>
      <c r="R354" s="1628">
        <v>23900</v>
      </c>
      <c r="S354" s="1613"/>
      <c r="T354" s="1613"/>
      <c r="U354" s="1613"/>
      <c r="V354" s="1613"/>
      <c r="W354" s="2564"/>
      <c r="AD354" s="1608"/>
    </row>
    <row r="355" spans="1:30" ht="15">
      <c r="A355" s="1685" t="str">
        <f t="shared" si="31"/>
        <v>6.2.3.</v>
      </c>
      <c r="B355" s="1081">
        <f t="shared" si="32"/>
        <v>47800</v>
      </c>
      <c r="C355" s="1081">
        <f t="shared" si="33"/>
        <v>0</v>
      </c>
      <c r="D355" s="1081">
        <f t="shared" si="34"/>
        <v>0</v>
      </c>
      <c r="E355" s="1081">
        <f t="shared" si="35"/>
        <v>0</v>
      </c>
      <c r="F355" s="1081">
        <f t="shared" si="36"/>
        <v>0</v>
      </c>
      <c r="G355" s="1681"/>
      <c r="H355" s="1681"/>
      <c r="I355" s="1681"/>
      <c r="J355" s="1681" t="s">
        <v>1867</v>
      </c>
      <c r="K355" s="1676"/>
      <c r="L355" s="2583"/>
      <c r="M355" s="2583"/>
      <c r="N355" s="2583"/>
      <c r="O355" s="2583"/>
      <c r="P355" s="1632"/>
      <c r="Q355" s="1611" t="s">
        <v>2483</v>
      </c>
      <c r="R355" s="1628">
        <v>47800</v>
      </c>
      <c r="S355" s="1633"/>
      <c r="T355" s="1633"/>
      <c r="U355" s="1633"/>
      <c r="V355" s="1633"/>
      <c r="W355" s="2565"/>
      <c r="AD355" s="1608"/>
    </row>
    <row r="356" spans="1:30" ht="15">
      <c r="A356" s="1685" t="str">
        <f t="shared" si="31"/>
        <v/>
      </c>
      <c r="B356" s="1081" t="str">
        <f t="shared" si="32"/>
        <v/>
      </c>
      <c r="C356" s="1081" t="str">
        <f t="shared" si="33"/>
        <v/>
      </c>
      <c r="D356" s="1081" t="str">
        <f t="shared" si="34"/>
        <v/>
      </c>
      <c r="E356" s="1081" t="str">
        <f t="shared" si="35"/>
        <v/>
      </c>
      <c r="F356" s="1081" t="str">
        <f t="shared" si="36"/>
        <v/>
      </c>
      <c r="G356" s="1681"/>
      <c r="H356" s="1681"/>
      <c r="I356" s="1681"/>
      <c r="J356" s="1681"/>
      <c r="K356" s="1676"/>
      <c r="L356" s="2554" t="s">
        <v>2739</v>
      </c>
      <c r="M356" s="2603" t="s">
        <v>2740</v>
      </c>
      <c r="N356" s="2603"/>
      <c r="O356" s="2603"/>
      <c r="P356" s="1614"/>
      <c r="Q356" s="1611" t="s">
        <v>604</v>
      </c>
      <c r="R356" s="1620"/>
      <c r="S356" s="1620"/>
      <c r="T356" s="1620"/>
      <c r="U356" s="1620"/>
      <c r="V356" s="1620"/>
      <c r="W356" s="2563">
        <v>0</v>
      </c>
      <c r="AD356" s="1608"/>
    </row>
    <row r="357" spans="1:30" ht="15">
      <c r="A357" s="1685" t="str">
        <f t="shared" si="31"/>
        <v/>
      </c>
      <c r="B357" s="1081" t="str">
        <f t="shared" si="32"/>
        <v/>
      </c>
      <c r="C357" s="1081" t="str">
        <f t="shared" si="33"/>
        <v/>
      </c>
      <c r="D357" s="1081" t="str">
        <f t="shared" si="34"/>
        <v/>
      </c>
      <c r="E357" s="1081" t="str">
        <f t="shared" si="35"/>
        <v/>
      </c>
      <c r="F357" s="1081" t="str">
        <f t="shared" si="36"/>
        <v/>
      </c>
      <c r="G357" s="1681"/>
      <c r="H357" s="1681"/>
      <c r="I357" s="1681"/>
      <c r="J357" s="1681"/>
      <c r="K357" s="1676"/>
      <c r="L357" s="2554"/>
      <c r="M357" s="2604"/>
      <c r="N357" s="2604"/>
      <c r="O357" s="2604"/>
      <c r="P357" s="1631"/>
      <c r="Q357" s="1611" t="s">
        <v>2481</v>
      </c>
      <c r="R357" s="1613"/>
      <c r="S357" s="1613"/>
      <c r="T357" s="1613"/>
      <c r="U357" s="1613"/>
      <c r="V357" s="1613"/>
      <c r="W357" s="2564"/>
      <c r="AD357" s="1608"/>
    </row>
    <row r="358" spans="1:30" ht="15">
      <c r="A358" s="1685" t="str">
        <f t="shared" si="31"/>
        <v/>
      </c>
      <c r="B358" s="1081" t="str">
        <f t="shared" si="32"/>
        <v/>
      </c>
      <c r="C358" s="1081" t="str">
        <f t="shared" si="33"/>
        <v/>
      </c>
      <c r="D358" s="1081" t="str">
        <f t="shared" si="34"/>
        <v/>
      </c>
      <c r="E358" s="1081" t="str">
        <f t="shared" si="35"/>
        <v/>
      </c>
      <c r="F358" s="1081" t="str">
        <f t="shared" si="36"/>
        <v/>
      </c>
      <c r="G358" s="1681"/>
      <c r="H358" s="1681"/>
      <c r="I358" s="1681"/>
      <c r="J358" s="1681"/>
      <c r="K358" s="1676"/>
      <c r="L358" s="2554"/>
      <c r="M358" s="2604"/>
      <c r="N358" s="2604"/>
      <c r="O358" s="2604"/>
      <c r="P358" s="1630"/>
      <c r="Q358" s="1611" t="s">
        <v>2482</v>
      </c>
      <c r="R358" s="1613"/>
      <c r="S358" s="1613"/>
      <c r="T358" s="1613"/>
      <c r="U358" s="1613"/>
      <c r="V358" s="1613"/>
      <c r="W358" s="2564"/>
      <c r="AD358" s="1608"/>
    </row>
    <row r="359" spans="1:30" ht="15">
      <c r="A359" s="1685" t="str">
        <f t="shared" si="31"/>
        <v/>
      </c>
      <c r="B359" s="1081">
        <f t="shared" si="32"/>
        <v>0</v>
      </c>
      <c r="C359" s="1081">
        <f t="shared" si="33"/>
        <v>0</v>
      </c>
      <c r="D359" s="1081">
        <f t="shared" si="34"/>
        <v>0</v>
      </c>
      <c r="E359" s="1081">
        <f t="shared" si="35"/>
        <v>0</v>
      </c>
      <c r="F359" s="1081">
        <f t="shared" si="36"/>
        <v>0</v>
      </c>
      <c r="G359" s="1681"/>
      <c r="H359" s="1681"/>
      <c r="I359" s="1681"/>
      <c r="J359" s="1681"/>
      <c r="K359" s="1676"/>
      <c r="L359" s="2554"/>
      <c r="M359" s="2605"/>
      <c r="N359" s="2605"/>
      <c r="O359" s="2605"/>
      <c r="P359" s="1632"/>
      <c r="Q359" s="1611" t="s">
        <v>2483</v>
      </c>
      <c r="R359" s="1633"/>
      <c r="S359" s="1633"/>
      <c r="T359" s="1633"/>
      <c r="U359" s="1633"/>
      <c r="V359" s="1633"/>
      <c r="W359" s="2565"/>
      <c r="AD359" s="1608"/>
    </row>
    <row r="360" spans="1:30" ht="12.75" customHeight="1">
      <c r="A360" s="1685" t="str">
        <f t="shared" si="31"/>
        <v/>
      </c>
      <c r="B360" s="1081" t="str">
        <f t="shared" si="32"/>
        <v/>
      </c>
      <c r="C360" s="1081" t="str">
        <f t="shared" si="33"/>
        <v/>
      </c>
      <c r="D360" s="1081" t="str">
        <f t="shared" si="34"/>
        <v/>
      </c>
      <c r="E360" s="1081" t="str">
        <f t="shared" si="35"/>
        <v/>
      </c>
      <c r="F360" s="1081" t="str">
        <f t="shared" si="36"/>
        <v/>
      </c>
      <c r="G360" s="1681"/>
      <c r="H360" s="1681"/>
      <c r="I360" s="1681"/>
      <c r="J360" s="1681"/>
      <c r="K360" s="1676"/>
      <c r="L360" s="2583" t="s">
        <v>2741</v>
      </c>
      <c r="M360" s="2583" t="s">
        <v>2742</v>
      </c>
      <c r="N360" s="2583" t="s">
        <v>2743</v>
      </c>
      <c r="O360" s="2583" t="s">
        <v>2744</v>
      </c>
      <c r="P360" s="1614"/>
      <c r="Q360" s="1611" t="s">
        <v>604</v>
      </c>
      <c r="R360" s="1619" t="s">
        <v>2499</v>
      </c>
      <c r="S360" s="1619" t="s">
        <v>2499</v>
      </c>
      <c r="T360" s="1619" t="s">
        <v>2499</v>
      </c>
      <c r="U360" s="1619" t="s">
        <v>2499</v>
      </c>
      <c r="V360" s="1619" t="s">
        <v>2499</v>
      </c>
      <c r="W360" s="2563">
        <v>2400000</v>
      </c>
      <c r="X360" s="1589" t="s">
        <v>2745</v>
      </c>
      <c r="AD360" s="1608"/>
    </row>
    <row r="361" spans="1:30" ht="15">
      <c r="A361" s="1685" t="str">
        <f t="shared" si="31"/>
        <v/>
      </c>
      <c r="B361" s="1081" t="str">
        <f t="shared" si="32"/>
        <v/>
      </c>
      <c r="C361" s="1081" t="str">
        <f t="shared" si="33"/>
        <v/>
      </c>
      <c r="D361" s="1081" t="str">
        <f t="shared" si="34"/>
        <v/>
      </c>
      <c r="E361" s="1081" t="str">
        <f t="shared" si="35"/>
        <v/>
      </c>
      <c r="F361" s="1081" t="str">
        <f t="shared" si="36"/>
        <v/>
      </c>
      <c r="G361" s="1681"/>
      <c r="H361" s="1681"/>
      <c r="I361" s="1681"/>
      <c r="J361" s="1681"/>
      <c r="K361" s="1676"/>
      <c r="L361" s="2583"/>
      <c r="M361" s="2583"/>
      <c r="N361" s="2583"/>
      <c r="O361" s="2583"/>
      <c r="P361" s="1643" t="s">
        <v>2746</v>
      </c>
      <c r="Q361" s="1611" t="s">
        <v>2481</v>
      </c>
      <c r="R361" s="1628">
        <v>2</v>
      </c>
      <c r="S361" s="1628">
        <v>2</v>
      </c>
      <c r="T361" s="1628">
        <v>2</v>
      </c>
      <c r="U361" s="1628">
        <v>2</v>
      </c>
      <c r="V361" s="1628">
        <v>2</v>
      </c>
      <c r="W361" s="2564"/>
      <c r="X361" s="1589" t="s">
        <v>2747</v>
      </c>
      <c r="AD361" s="1608"/>
    </row>
    <row r="362" spans="1:30" ht="15">
      <c r="A362" s="1685" t="str">
        <f t="shared" si="31"/>
        <v/>
      </c>
      <c r="B362" s="1081" t="str">
        <f t="shared" si="32"/>
        <v/>
      </c>
      <c r="C362" s="1081" t="str">
        <f t="shared" si="33"/>
        <v/>
      </c>
      <c r="D362" s="1081" t="str">
        <f t="shared" si="34"/>
        <v/>
      </c>
      <c r="E362" s="1081" t="str">
        <f t="shared" si="35"/>
        <v/>
      </c>
      <c r="F362" s="1081" t="str">
        <f t="shared" si="36"/>
        <v/>
      </c>
      <c r="G362" s="1681"/>
      <c r="H362" s="1681"/>
      <c r="I362" s="1681"/>
      <c r="J362" s="1681"/>
      <c r="K362" s="1676"/>
      <c r="L362" s="2583"/>
      <c r="M362" s="2583"/>
      <c r="N362" s="2583"/>
      <c r="O362" s="2583"/>
      <c r="P362" s="1630"/>
      <c r="Q362" s="1611" t="s">
        <v>2482</v>
      </c>
      <c r="R362" s="1645">
        <v>240000</v>
      </c>
      <c r="S362" s="1645">
        <v>240000</v>
      </c>
      <c r="T362" s="1645">
        <v>240000</v>
      </c>
      <c r="U362" s="1645">
        <v>240000</v>
      </c>
      <c r="V362" s="1645">
        <v>240000</v>
      </c>
      <c r="W362" s="2564"/>
      <c r="X362" s="1589" t="s">
        <v>2748</v>
      </c>
      <c r="AD362" s="1608"/>
    </row>
    <row r="363" spans="1:30" ht="15">
      <c r="A363" s="1685" t="str">
        <f t="shared" si="31"/>
        <v>6.2.5.</v>
      </c>
      <c r="B363" s="1081">
        <f t="shared" si="32"/>
        <v>480000</v>
      </c>
      <c r="C363" s="1081">
        <f t="shared" si="33"/>
        <v>480000</v>
      </c>
      <c r="D363" s="1081">
        <f t="shared" si="34"/>
        <v>480000</v>
      </c>
      <c r="E363" s="1081">
        <f t="shared" si="35"/>
        <v>480000</v>
      </c>
      <c r="F363" s="1081">
        <f t="shared" si="36"/>
        <v>480000</v>
      </c>
      <c r="G363" s="1681"/>
      <c r="H363" s="1681"/>
      <c r="I363" s="1681"/>
      <c r="J363" s="1681" t="s">
        <v>1868</v>
      </c>
      <c r="K363" s="1676"/>
      <c r="L363" s="2583"/>
      <c r="M363" s="2583"/>
      <c r="N363" s="2583"/>
      <c r="O363" s="2583"/>
      <c r="P363" s="1632"/>
      <c r="Q363" s="1611" t="s">
        <v>2483</v>
      </c>
      <c r="R363" s="1645">
        <v>480000</v>
      </c>
      <c r="S363" s="1645">
        <v>480000</v>
      </c>
      <c r="T363" s="1645">
        <v>480000</v>
      </c>
      <c r="U363" s="1645">
        <v>480000</v>
      </c>
      <c r="V363" s="1645">
        <v>480000</v>
      </c>
      <c r="W363" s="2565"/>
      <c r="AD363" s="1608"/>
    </row>
    <row r="364" spans="1:30" ht="15">
      <c r="A364" s="1685" t="str">
        <f t="shared" si="31"/>
        <v/>
      </c>
      <c r="B364" s="1081" t="str">
        <f t="shared" si="32"/>
        <v/>
      </c>
      <c r="C364" s="1081" t="str">
        <f t="shared" si="33"/>
        <v/>
      </c>
      <c r="D364" s="1081" t="str">
        <f t="shared" si="34"/>
        <v/>
      </c>
      <c r="E364" s="1081" t="str">
        <f t="shared" si="35"/>
        <v/>
      </c>
      <c r="F364" s="1081" t="str">
        <f t="shared" si="36"/>
        <v/>
      </c>
      <c r="G364" s="1681"/>
      <c r="H364" s="1681"/>
      <c r="I364" s="1681"/>
      <c r="J364" s="1681"/>
      <c r="K364" s="1676"/>
      <c r="L364" s="2554" t="s">
        <v>2749</v>
      </c>
      <c r="M364" s="2603" t="s">
        <v>2750</v>
      </c>
      <c r="N364" s="2603"/>
      <c r="O364" s="2642"/>
      <c r="P364" s="1614"/>
      <c r="Q364" s="1611" t="s">
        <v>604</v>
      </c>
      <c r="R364" s="1638"/>
      <c r="S364" s="1638"/>
      <c r="T364" s="1638"/>
      <c r="U364" s="1638"/>
      <c r="V364" s="1638"/>
      <c r="W364" s="2563">
        <v>0</v>
      </c>
      <c r="AD364" s="1608"/>
    </row>
    <row r="365" spans="1:30" ht="15">
      <c r="A365" s="1685" t="str">
        <f t="shared" si="31"/>
        <v/>
      </c>
      <c r="B365" s="1081" t="str">
        <f t="shared" si="32"/>
        <v/>
      </c>
      <c r="C365" s="1081" t="str">
        <f t="shared" si="33"/>
        <v/>
      </c>
      <c r="D365" s="1081" t="str">
        <f t="shared" si="34"/>
        <v/>
      </c>
      <c r="E365" s="1081" t="str">
        <f t="shared" si="35"/>
        <v/>
      </c>
      <c r="F365" s="1081" t="str">
        <f t="shared" si="36"/>
        <v/>
      </c>
      <c r="G365" s="1681"/>
      <c r="H365" s="1681"/>
      <c r="I365" s="1681"/>
      <c r="J365" s="1681"/>
      <c r="K365" s="1676"/>
      <c r="L365" s="2554"/>
      <c r="M365" s="2604"/>
      <c r="N365" s="2604"/>
      <c r="O365" s="2643"/>
      <c r="P365" s="1631"/>
      <c r="Q365" s="1611" t="s">
        <v>2481</v>
      </c>
      <c r="R365" s="1613"/>
      <c r="S365" s="1613"/>
      <c r="T365" s="1613"/>
      <c r="U365" s="1613"/>
      <c r="V365" s="1613"/>
      <c r="W365" s="2564"/>
      <c r="AD365" s="1608"/>
    </row>
    <row r="366" spans="1:30" ht="15">
      <c r="A366" s="1685" t="str">
        <f t="shared" si="31"/>
        <v/>
      </c>
      <c r="B366" s="1081" t="str">
        <f t="shared" si="32"/>
        <v/>
      </c>
      <c r="C366" s="1081" t="str">
        <f t="shared" si="33"/>
        <v/>
      </c>
      <c r="D366" s="1081" t="str">
        <f t="shared" si="34"/>
        <v/>
      </c>
      <c r="E366" s="1081" t="str">
        <f t="shared" si="35"/>
        <v/>
      </c>
      <c r="F366" s="1081" t="str">
        <f t="shared" si="36"/>
        <v/>
      </c>
      <c r="G366" s="1681"/>
      <c r="H366" s="1681"/>
      <c r="I366" s="1681"/>
      <c r="J366" s="1681"/>
      <c r="K366" s="1676"/>
      <c r="L366" s="2554"/>
      <c r="M366" s="2604"/>
      <c r="N366" s="2604"/>
      <c r="O366" s="2643"/>
      <c r="P366" s="1630"/>
      <c r="Q366" s="1611" t="s">
        <v>2482</v>
      </c>
      <c r="R366" s="1613"/>
      <c r="S366" s="1613"/>
      <c r="T366" s="1613"/>
      <c r="U366" s="1613"/>
      <c r="V366" s="1613"/>
      <c r="W366" s="2564"/>
      <c r="AD366" s="1608"/>
    </row>
    <row r="367" spans="1:30" ht="15">
      <c r="A367" s="1685" t="str">
        <f t="shared" si="31"/>
        <v/>
      </c>
      <c r="B367" s="1081">
        <f t="shared" si="32"/>
        <v>0</v>
      </c>
      <c r="C367" s="1081">
        <f t="shared" si="33"/>
        <v>0</v>
      </c>
      <c r="D367" s="1081">
        <f t="shared" si="34"/>
        <v>0</v>
      </c>
      <c r="E367" s="1081">
        <f t="shared" si="35"/>
        <v>0</v>
      </c>
      <c r="F367" s="1081">
        <f t="shared" si="36"/>
        <v>0</v>
      </c>
      <c r="G367" s="1681"/>
      <c r="H367" s="1681"/>
      <c r="I367" s="1681"/>
      <c r="J367" s="1681"/>
      <c r="K367" s="1676"/>
      <c r="L367" s="2554"/>
      <c r="M367" s="2605"/>
      <c r="N367" s="2605"/>
      <c r="O367" s="2644"/>
      <c r="P367" s="1632"/>
      <c r="Q367" s="1611" t="s">
        <v>2483</v>
      </c>
      <c r="R367" s="1633"/>
      <c r="S367" s="1633"/>
      <c r="T367" s="1633"/>
      <c r="U367" s="1633"/>
      <c r="V367" s="1633"/>
      <c r="W367" s="2565"/>
      <c r="AD367" s="1608"/>
    </row>
    <row r="368" spans="1:30" ht="15">
      <c r="A368" s="1685" t="str">
        <f t="shared" si="31"/>
        <v/>
      </c>
      <c r="B368" s="1081" t="str">
        <f t="shared" si="32"/>
        <v/>
      </c>
      <c r="C368" s="1081" t="str">
        <f t="shared" si="33"/>
        <v/>
      </c>
      <c r="D368" s="1081" t="str">
        <f t="shared" si="34"/>
        <v/>
      </c>
      <c r="E368" s="1081" t="str">
        <f t="shared" si="35"/>
        <v/>
      </c>
      <c r="F368" s="1081" t="str">
        <f t="shared" si="36"/>
        <v/>
      </c>
      <c r="G368" s="1681"/>
      <c r="H368" s="1681"/>
      <c r="I368" s="1681"/>
      <c r="J368" s="1681"/>
      <c r="K368" s="1676"/>
      <c r="L368" s="2554" t="s">
        <v>2751</v>
      </c>
      <c r="M368" s="2603" t="s">
        <v>2752</v>
      </c>
      <c r="N368" s="2603"/>
      <c r="O368" s="2603"/>
      <c r="P368" s="1614"/>
      <c r="Q368" s="1611" t="s">
        <v>604</v>
      </c>
      <c r="R368" s="1620"/>
      <c r="S368" s="1620"/>
      <c r="T368" s="1620"/>
      <c r="U368" s="1620"/>
      <c r="V368" s="1620"/>
      <c r="W368" s="2563">
        <v>0</v>
      </c>
      <c r="AD368" s="1608"/>
    </row>
    <row r="369" spans="1:30" ht="15">
      <c r="A369" s="1685" t="str">
        <f t="shared" si="31"/>
        <v/>
      </c>
      <c r="B369" s="1081" t="str">
        <f t="shared" si="32"/>
        <v/>
      </c>
      <c r="C369" s="1081" t="str">
        <f t="shared" si="33"/>
        <v/>
      </c>
      <c r="D369" s="1081" t="str">
        <f t="shared" si="34"/>
        <v/>
      </c>
      <c r="E369" s="1081" t="str">
        <f t="shared" si="35"/>
        <v/>
      </c>
      <c r="F369" s="1081" t="str">
        <f t="shared" si="36"/>
        <v/>
      </c>
      <c r="G369" s="1681"/>
      <c r="H369" s="1681"/>
      <c r="I369" s="1681"/>
      <c r="J369" s="1681"/>
      <c r="K369" s="1676"/>
      <c r="L369" s="2554"/>
      <c r="M369" s="2604"/>
      <c r="N369" s="2604"/>
      <c r="O369" s="2604"/>
      <c r="P369" s="1631"/>
      <c r="Q369" s="1611" t="s">
        <v>2481</v>
      </c>
      <c r="R369" s="1613"/>
      <c r="S369" s="1613"/>
      <c r="T369" s="1613"/>
      <c r="U369" s="1613"/>
      <c r="V369" s="1613"/>
      <c r="W369" s="2564"/>
      <c r="AD369" s="1608"/>
    </row>
    <row r="370" spans="1:30" ht="15">
      <c r="A370" s="1685" t="str">
        <f t="shared" si="31"/>
        <v/>
      </c>
      <c r="B370" s="1081" t="str">
        <f t="shared" si="32"/>
        <v/>
      </c>
      <c r="C370" s="1081" t="str">
        <f t="shared" si="33"/>
        <v/>
      </c>
      <c r="D370" s="1081" t="str">
        <f t="shared" si="34"/>
        <v/>
      </c>
      <c r="E370" s="1081" t="str">
        <f t="shared" si="35"/>
        <v/>
      </c>
      <c r="F370" s="1081" t="str">
        <f t="shared" si="36"/>
        <v/>
      </c>
      <c r="G370" s="1681"/>
      <c r="H370" s="1681"/>
      <c r="I370" s="1681"/>
      <c r="J370" s="1681"/>
      <c r="K370" s="1676"/>
      <c r="L370" s="2554"/>
      <c r="M370" s="2604"/>
      <c r="N370" s="2604"/>
      <c r="O370" s="2604"/>
      <c r="P370" s="1630"/>
      <c r="Q370" s="1611" t="s">
        <v>2482</v>
      </c>
      <c r="R370" s="1613"/>
      <c r="S370" s="1613"/>
      <c r="T370" s="1613"/>
      <c r="U370" s="1613"/>
      <c r="V370" s="1613"/>
      <c r="W370" s="2564"/>
      <c r="AD370" s="1608"/>
    </row>
    <row r="371" spans="1:30" ht="15">
      <c r="A371" s="1685" t="str">
        <f t="shared" si="31"/>
        <v/>
      </c>
      <c r="B371" s="1081">
        <f t="shared" si="32"/>
        <v>0</v>
      </c>
      <c r="C371" s="1081">
        <f t="shared" si="33"/>
        <v>0</v>
      </c>
      <c r="D371" s="1081">
        <f t="shared" si="34"/>
        <v>0</v>
      </c>
      <c r="E371" s="1081">
        <f t="shared" si="35"/>
        <v>0</v>
      </c>
      <c r="F371" s="1081">
        <f t="shared" si="36"/>
        <v>0</v>
      </c>
      <c r="G371" s="1681"/>
      <c r="H371" s="1681"/>
      <c r="I371" s="1681"/>
      <c r="J371" s="1681"/>
      <c r="K371" s="1676"/>
      <c r="L371" s="2554"/>
      <c r="M371" s="2605"/>
      <c r="N371" s="2605"/>
      <c r="O371" s="2605"/>
      <c r="P371" s="1632"/>
      <c r="Q371" s="1611" t="s">
        <v>2483</v>
      </c>
      <c r="R371" s="1633"/>
      <c r="S371" s="1633"/>
      <c r="T371" s="1633"/>
      <c r="U371" s="1633"/>
      <c r="V371" s="1633"/>
      <c r="W371" s="2565"/>
      <c r="AD371" s="1608"/>
    </row>
    <row r="372" spans="1:30" ht="19.25" customHeight="1">
      <c r="A372" s="1685" t="str">
        <f t="shared" si="31"/>
        <v/>
      </c>
      <c r="B372" s="1081" t="str">
        <f t="shared" si="32"/>
        <v/>
      </c>
      <c r="C372" s="1081" t="str">
        <f t="shared" si="33"/>
        <v/>
      </c>
      <c r="D372" s="1081" t="str">
        <f t="shared" si="34"/>
        <v/>
      </c>
      <c r="E372" s="1081" t="str">
        <f t="shared" si="35"/>
        <v/>
      </c>
      <c r="F372" s="1081" t="str">
        <f t="shared" si="36"/>
        <v/>
      </c>
      <c r="G372" s="1681"/>
      <c r="H372" s="1681"/>
      <c r="I372" s="1681"/>
      <c r="J372" s="1681"/>
      <c r="K372" s="1676"/>
      <c r="L372" s="2548" t="s">
        <v>2753</v>
      </c>
      <c r="M372" s="2542" t="s">
        <v>2754</v>
      </c>
      <c r="N372" s="2543"/>
      <c r="O372" s="2544"/>
      <c r="P372" s="2550"/>
      <c r="Q372" s="2552"/>
      <c r="R372" s="2540">
        <v>166043.70000000001</v>
      </c>
      <c r="S372" s="2540">
        <v>244343.7</v>
      </c>
      <c r="T372" s="2540">
        <v>358796.85000000003</v>
      </c>
      <c r="U372" s="2540">
        <v>0</v>
      </c>
      <c r="V372" s="2540">
        <v>0</v>
      </c>
      <c r="W372" s="2540">
        <v>769184.25</v>
      </c>
      <c r="AD372" s="1608"/>
    </row>
    <row r="373" spans="1:30" ht="19.25" customHeight="1">
      <c r="A373" s="1685" t="str">
        <f t="shared" si="31"/>
        <v/>
      </c>
      <c r="B373" s="1081" t="str">
        <f t="shared" si="32"/>
        <v/>
      </c>
      <c r="C373" s="1081" t="str">
        <f t="shared" si="33"/>
        <v/>
      </c>
      <c r="D373" s="1081" t="str">
        <f t="shared" si="34"/>
        <v/>
      </c>
      <c r="E373" s="1081" t="str">
        <f t="shared" si="35"/>
        <v/>
      </c>
      <c r="F373" s="1081" t="str">
        <f t="shared" si="36"/>
        <v/>
      </c>
      <c r="G373" s="1681"/>
      <c r="H373" s="1681"/>
      <c r="I373" s="1681"/>
      <c r="J373" s="1681"/>
      <c r="K373" s="1676"/>
      <c r="L373" s="2549"/>
      <c r="M373" s="2542" t="s">
        <v>2478</v>
      </c>
      <c r="N373" s="2543"/>
      <c r="O373" s="2544"/>
      <c r="P373" s="2551"/>
      <c r="Q373" s="2553"/>
      <c r="R373" s="2541"/>
      <c r="S373" s="2541"/>
      <c r="T373" s="2541"/>
      <c r="U373" s="2541"/>
      <c r="V373" s="2541"/>
      <c r="W373" s="2541"/>
      <c r="AD373" s="1608"/>
    </row>
    <row r="374" spans="1:30" ht="12.75" customHeight="1">
      <c r="A374" s="1685" t="str">
        <f t="shared" si="31"/>
        <v/>
      </c>
      <c r="B374" s="1081" t="str">
        <f t="shared" si="32"/>
        <v/>
      </c>
      <c r="C374" s="1081" t="str">
        <f t="shared" si="33"/>
        <v/>
      </c>
      <c r="D374" s="1081" t="str">
        <f t="shared" si="34"/>
        <v/>
      </c>
      <c r="E374" s="1081" t="str">
        <f t="shared" si="35"/>
        <v/>
      </c>
      <c r="F374" s="1081" t="str">
        <f t="shared" si="36"/>
        <v/>
      </c>
      <c r="G374" s="1681"/>
      <c r="H374" s="1681"/>
      <c r="I374" s="1681"/>
      <c r="J374" s="1681"/>
      <c r="K374" s="1676"/>
      <c r="L374" s="2583" t="s">
        <v>2755</v>
      </c>
      <c r="M374" s="2583" t="s">
        <v>2756</v>
      </c>
      <c r="N374" s="2583" t="s">
        <v>2757</v>
      </c>
      <c r="O374" s="2583" t="s">
        <v>2758</v>
      </c>
      <c r="P374" s="1614"/>
      <c r="Q374" s="1611" t="s">
        <v>604</v>
      </c>
      <c r="R374" s="1619" t="s">
        <v>2499</v>
      </c>
      <c r="S374" s="1610"/>
      <c r="T374" s="1610"/>
      <c r="U374" s="1610"/>
      <c r="V374" s="1610"/>
      <c r="W374" s="2590">
        <v>47800</v>
      </c>
      <c r="AD374" s="1608"/>
    </row>
    <row r="375" spans="1:30" ht="25.5" customHeight="1">
      <c r="A375" s="1685" t="str">
        <f t="shared" si="31"/>
        <v/>
      </c>
      <c r="B375" s="1081" t="str">
        <f t="shared" si="32"/>
        <v/>
      </c>
      <c r="C375" s="1081" t="str">
        <f t="shared" si="33"/>
        <v/>
      </c>
      <c r="D375" s="1081" t="str">
        <f t="shared" si="34"/>
        <v/>
      </c>
      <c r="E375" s="1081" t="str">
        <f t="shared" si="35"/>
        <v/>
      </c>
      <c r="F375" s="1081" t="str">
        <f t="shared" si="36"/>
        <v/>
      </c>
      <c r="G375" s="1681"/>
      <c r="H375" s="1681"/>
      <c r="I375" s="1681"/>
      <c r="J375" s="1681"/>
      <c r="K375" s="1676"/>
      <c r="L375" s="2583"/>
      <c r="M375" s="2583"/>
      <c r="N375" s="2583"/>
      <c r="O375" s="2583"/>
      <c r="P375" s="2550"/>
      <c r="Q375" s="1611" t="s">
        <v>2481</v>
      </c>
      <c r="R375" s="1617">
        <v>2</v>
      </c>
      <c r="S375" s="1612"/>
      <c r="T375" s="1612"/>
      <c r="U375" s="1613"/>
      <c r="V375" s="1613"/>
      <c r="W375" s="2590"/>
      <c r="AD375" s="1608"/>
    </row>
    <row r="376" spans="1:30" ht="15">
      <c r="A376" s="1685" t="str">
        <f t="shared" si="31"/>
        <v/>
      </c>
      <c r="B376" s="1081" t="str">
        <f t="shared" si="32"/>
        <v/>
      </c>
      <c r="C376" s="1081" t="str">
        <f t="shared" si="33"/>
        <v/>
      </c>
      <c r="D376" s="1081" t="str">
        <f t="shared" si="34"/>
        <v/>
      </c>
      <c r="E376" s="1081" t="str">
        <f t="shared" si="35"/>
        <v/>
      </c>
      <c r="F376" s="1081" t="str">
        <f t="shared" si="36"/>
        <v/>
      </c>
      <c r="G376" s="1681"/>
      <c r="H376" s="1681"/>
      <c r="I376" s="1681"/>
      <c r="J376" s="1681"/>
      <c r="K376" s="1676"/>
      <c r="L376" s="2583"/>
      <c r="M376" s="2583"/>
      <c r="N376" s="2583"/>
      <c r="O376" s="2583"/>
      <c r="P376" s="2551"/>
      <c r="Q376" s="1611" t="s">
        <v>2482</v>
      </c>
      <c r="R376" s="1617">
        <v>23900</v>
      </c>
      <c r="S376" s="1612"/>
      <c r="T376" s="1612"/>
      <c r="U376" s="1613"/>
      <c r="V376" s="1613"/>
      <c r="W376" s="2590"/>
      <c r="AD376" s="1608"/>
    </row>
    <row r="377" spans="1:30" ht="43.5" customHeight="1">
      <c r="A377" s="1685" t="str">
        <f t="shared" si="31"/>
        <v>6.3.1.</v>
      </c>
      <c r="B377" s="1081">
        <f t="shared" si="32"/>
        <v>47800</v>
      </c>
      <c r="C377" s="1081">
        <f t="shared" si="33"/>
        <v>0</v>
      </c>
      <c r="D377" s="1081">
        <f t="shared" si="34"/>
        <v>0</v>
      </c>
      <c r="E377" s="1081">
        <f t="shared" si="35"/>
        <v>0</v>
      </c>
      <c r="F377" s="1081">
        <f t="shared" si="36"/>
        <v>0</v>
      </c>
      <c r="G377" s="1681"/>
      <c r="H377" s="1681"/>
      <c r="I377" s="1681"/>
      <c r="J377" s="1681" t="s">
        <v>1869</v>
      </c>
      <c r="K377" s="1676"/>
      <c r="L377" s="2583"/>
      <c r="M377" s="2583"/>
      <c r="N377" s="2583"/>
      <c r="O377" s="2583"/>
      <c r="P377" s="1667"/>
      <c r="Q377" s="1611" t="s">
        <v>2483</v>
      </c>
      <c r="R377" s="1628">
        <v>47800</v>
      </c>
      <c r="S377" s="1625"/>
      <c r="T377" s="1625"/>
      <c r="U377" s="1613"/>
      <c r="V377" s="1613"/>
      <c r="W377" s="2590"/>
      <c r="AD377" s="1608"/>
    </row>
    <row r="378" spans="1:30" ht="12.75" customHeight="1">
      <c r="A378" s="1685" t="str">
        <f t="shared" si="31"/>
        <v/>
      </c>
      <c r="B378" s="1081" t="str">
        <f t="shared" si="32"/>
        <v/>
      </c>
      <c r="C378" s="1081" t="str">
        <f t="shared" si="33"/>
        <v/>
      </c>
      <c r="D378" s="1081" t="str">
        <f t="shared" si="34"/>
        <v/>
      </c>
      <c r="E378" s="1081" t="str">
        <f t="shared" si="35"/>
        <v/>
      </c>
      <c r="F378" s="1081" t="str">
        <f t="shared" si="36"/>
        <v/>
      </c>
      <c r="G378" s="1681"/>
      <c r="H378" s="1681"/>
      <c r="I378" s="1681"/>
      <c r="J378" s="1681"/>
      <c r="K378" s="1676"/>
      <c r="L378" s="2554" t="s">
        <v>2759</v>
      </c>
      <c r="M378" s="2615"/>
      <c r="N378" s="2615" t="s">
        <v>2760</v>
      </c>
      <c r="O378" s="2615" t="s">
        <v>2761</v>
      </c>
      <c r="P378" s="1614"/>
      <c r="Q378" s="1611" t="s">
        <v>604</v>
      </c>
      <c r="R378" s="1610"/>
      <c r="S378" s="1619" t="s">
        <v>2762</v>
      </c>
      <c r="T378" s="1620"/>
      <c r="U378" s="1610"/>
      <c r="V378" s="1610"/>
      <c r="W378" s="2590">
        <v>150000</v>
      </c>
      <c r="AD378" s="1608"/>
    </row>
    <row r="379" spans="1:30" ht="25.5" customHeight="1">
      <c r="A379" s="1685" t="str">
        <f t="shared" si="31"/>
        <v/>
      </c>
      <c r="B379" s="1081" t="str">
        <f t="shared" si="32"/>
        <v/>
      </c>
      <c r="C379" s="1081" t="str">
        <f t="shared" si="33"/>
        <v/>
      </c>
      <c r="D379" s="1081" t="str">
        <f t="shared" si="34"/>
        <v/>
      </c>
      <c r="E379" s="1081" t="str">
        <f t="shared" si="35"/>
        <v/>
      </c>
      <c r="F379" s="1081" t="str">
        <f t="shared" si="36"/>
        <v/>
      </c>
      <c r="G379" s="1681"/>
      <c r="H379" s="1681"/>
      <c r="I379" s="1681"/>
      <c r="J379" s="1681"/>
      <c r="K379" s="1676"/>
      <c r="L379" s="2554"/>
      <c r="M379" s="2615"/>
      <c r="N379" s="2615"/>
      <c r="O379" s="2615"/>
      <c r="P379" s="1667"/>
      <c r="Q379" s="1611" t="s">
        <v>2481</v>
      </c>
      <c r="R379" s="1612"/>
      <c r="S379" s="1617">
        <v>1</v>
      </c>
      <c r="T379" s="1613"/>
      <c r="U379" s="1613"/>
      <c r="V379" s="1613"/>
      <c r="W379" s="2590"/>
      <c r="AD379" s="1608"/>
    </row>
    <row r="380" spans="1:30" ht="15">
      <c r="A380" s="1685" t="str">
        <f t="shared" si="31"/>
        <v/>
      </c>
      <c r="B380" s="1081" t="str">
        <f t="shared" si="32"/>
        <v/>
      </c>
      <c r="C380" s="1081" t="str">
        <f t="shared" si="33"/>
        <v/>
      </c>
      <c r="D380" s="1081" t="str">
        <f t="shared" si="34"/>
        <v/>
      </c>
      <c r="E380" s="1081" t="str">
        <f t="shared" si="35"/>
        <v/>
      </c>
      <c r="F380" s="1081" t="str">
        <f t="shared" si="36"/>
        <v/>
      </c>
      <c r="G380" s="1681"/>
      <c r="H380" s="1681"/>
      <c r="I380" s="1681"/>
      <c r="J380" s="1681"/>
      <c r="K380" s="1676"/>
      <c r="L380" s="2554"/>
      <c r="M380" s="2615"/>
      <c r="N380" s="2615"/>
      <c r="O380" s="2615"/>
      <c r="P380" s="1667"/>
      <c r="Q380" s="1611" t="s">
        <v>2482</v>
      </c>
      <c r="R380" s="1612"/>
      <c r="S380" s="1617">
        <v>150000</v>
      </c>
      <c r="T380" s="1613"/>
      <c r="U380" s="1613"/>
      <c r="V380" s="1613"/>
      <c r="W380" s="2590"/>
      <c r="AD380" s="1608"/>
    </row>
    <row r="381" spans="1:30" ht="43.5" customHeight="1">
      <c r="A381" s="1685" t="str">
        <f t="shared" si="31"/>
        <v>6.3.1.</v>
      </c>
      <c r="B381" s="1081">
        <f t="shared" si="32"/>
        <v>0</v>
      </c>
      <c r="C381" s="1081">
        <f t="shared" si="33"/>
        <v>150000</v>
      </c>
      <c r="D381" s="1081">
        <f t="shared" si="34"/>
        <v>0</v>
      </c>
      <c r="E381" s="1081">
        <f t="shared" si="35"/>
        <v>0</v>
      </c>
      <c r="F381" s="1081">
        <f t="shared" si="36"/>
        <v>0</v>
      </c>
      <c r="G381" s="1681"/>
      <c r="H381" s="1681"/>
      <c r="I381" s="1681"/>
      <c r="J381" s="1681" t="s">
        <v>1869</v>
      </c>
      <c r="K381" s="1676"/>
      <c r="L381" s="2554"/>
      <c r="M381" s="2615"/>
      <c r="N381" s="2615"/>
      <c r="O381" s="2615"/>
      <c r="P381" s="1667"/>
      <c r="Q381" s="1611" t="s">
        <v>2483</v>
      </c>
      <c r="R381" s="1638"/>
      <c r="S381" s="1668">
        <v>150000</v>
      </c>
      <c r="T381" s="1625"/>
      <c r="U381" s="1613"/>
      <c r="V381" s="1613"/>
      <c r="W381" s="2590"/>
      <c r="AD381" s="1608"/>
    </row>
    <row r="382" spans="1:30" ht="12.75" customHeight="1">
      <c r="A382" s="1685" t="str">
        <f t="shared" si="31"/>
        <v/>
      </c>
      <c r="B382" s="1081" t="str">
        <f t="shared" si="32"/>
        <v/>
      </c>
      <c r="C382" s="1081" t="str">
        <f t="shared" si="33"/>
        <v/>
      </c>
      <c r="D382" s="1081" t="str">
        <f t="shared" si="34"/>
        <v/>
      </c>
      <c r="E382" s="1081" t="str">
        <f t="shared" si="35"/>
        <v/>
      </c>
      <c r="F382" s="1081" t="str">
        <f t="shared" si="36"/>
        <v/>
      </c>
      <c r="G382" s="1681"/>
      <c r="H382" s="1681"/>
      <c r="I382" s="1681"/>
      <c r="J382" s="1681"/>
      <c r="K382" s="1676"/>
      <c r="L382" s="2554" t="s">
        <v>2763</v>
      </c>
      <c r="M382" s="2615"/>
      <c r="N382" s="2645" t="s">
        <v>2764</v>
      </c>
      <c r="O382" s="2615" t="s">
        <v>2765</v>
      </c>
      <c r="P382" s="1667"/>
      <c r="Q382" s="1611" t="s">
        <v>604</v>
      </c>
      <c r="R382" s="1610"/>
      <c r="S382" s="1620"/>
      <c r="T382" s="1619" t="s">
        <v>2762</v>
      </c>
      <c r="U382" s="1610"/>
      <c r="V382" s="1610"/>
      <c r="W382" s="2590">
        <v>264453.15000000002</v>
      </c>
      <c r="AD382" s="1608"/>
    </row>
    <row r="383" spans="1:30" ht="25.5" customHeight="1">
      <c r="A383" s="1685" t="str">
        <f t="shared" si="31"/>
        <v/>
      </c>
      <c r="B383" s="1081" t="str">
        <f t="shared" si="32"/>
        <v/>
      </c>
      <c r="C383" s="1081" t="str">
        <f t="shared" si="33"/>
        <v/>
      </c>
      <c r="D383" s="1081" t="str">
        <f t="shared" si="34"/>
        <v/>
      </c>
      <c r="E383" s="1081" t="str">
        <f t="shared" si="35"/>
        <v/>
      </c>
      <c r="F383" s="1081" t="str">
        <f t="shared" si="36"/>
        <v/>
      </c>
      <c r="G383" s="1681"/>
      <c r="H383" s="1681"/>
      <c r="I383" s="1681"/>
      <c r="J383" s="1681"/>
      <c r="K383" s="1676"/>
      <c r="L383" s="2554"/>
      <c r="M383" s="2615"/>
      <c r="N383" s="2645"/>
      <c r="O383" s="2615"/>
      <c r="P383" s="1667"/>
      <c r="Q383" s="1611" t="s">
        <v>2481</v>
      </c>
      <c r="R383" s="1612"/>
      <c r="S383" s="1613"/>
      <c r="T383" s="1617">
        <v>1</v>
      </c>
      <c r="U383" s="1613"/>
      <c r="V383" s="1613"/>
      <c r="W383" s="2590"/>
      <c r="AD383" s="1608"/>
    </row>
    <row r="384" spans="1:30" ht="15">
      <c r="A384" s="1685" t="str">
        <f t="shared" si="31"/>
        <v/>
      </c>
      <c r="B384" s="1081" t="str">
        <f t="shared" si="32"/>
        <v/>
      </c>
      <c r="C384" s="1081" t="str">
        <f t="shared" si="33"/>
        <v/>
      </c>
      <c r="D384" s="1081" t="str">
        <f t="shared" si="34"/>
        <v/>
      </c>
      <c r="E384" s="1081" t="str">
        <f t="shared" si="35"/>
        <v/>
      </c>
      <c r="F384" s="1081" t="str">
        <f t="shared" si="36"/>
        <v/>
      </c>
      <c r="G384" s="1681"/>
      <c r="H384" s="1681"/>
      <c r="I384" s="1681"/>
      <c r="J384" s="1681"/>
      <c r="K384" s="1676"/>
      <c r="L384" s="2554"/>
      <c r="M384" s="2615"/>
      <c r="N384" s="2645"/>
      <c r="O384" s="2615"/>
      <c r="P384" s="1667"/>
      <c r="Q384" s="1611" t="s">
        <v>2482</v>
      </c>
      <c r="R384" s="1612"/>
      <c r="S384" s="1613"/>
      <c r="T384" s="1617">
        <v>264453.15000000002</v>
      </c>
      <c r="U384" s="1613"/>
      <c r="V384" s="1613"/>
      <c r="W384" s="2590"/>
      <c r="AD384" s="1608"/>
    </row>
    <row r="385" spans="1:30" ht="43.5" customHeight="1">
      <c r="A385" s="1685" t="str">
        <f t="shared" si="31"/>
        <v>6.3.3.</v>
      </c>
      <c r="B385" s="1081">
        <f t="shared" si="32"/>
        <v>0</v>
      </c>
      <c r="C385" s="1081">
        <f t="shared" si="33"/>
        <v>0</v>
      </c>
      <c r="D385" s="1081">
        <f t="shared" si="34"/>
        <v>264453.15000000002</v>
      </c>
      <c r="E385" s="1081">
        <f t="shared" si="35"/>
        <v>0</v>
      </c>
      <c r="F385" s="1081">
        <f t="shared" si="36"/>
        <v>0</v>
      </c>
      <c r="G385" s="1681"/>
      <c r="H385" s="1681"/>
      <c r="I385" s="1681"/>
      <c r="J385" s="1681" t="s">
        <v>1870</v>
      </c>
      <c r="K385" s="1676"/>
      <c r="L385" s="2554"/>
      <c r="M385" s="2615"/>
      <c r="N385" s="2645"/>
      <c r="O385" s="2615"/>
      <c r="P385" s="1667"/>
      <c r="Q385" s="1611" t="s">
        <v>2483</v>
      </c>
      <c r="R385" s="1638"/>
      <c r="S385" s="1625"/>
      <c r="T385" s="1628">
        <v>264453.15000000002</v>
      </c>
      <c r="U385" s="1613"/>
      <c r="V385" s="1613"/>
      <c r="W385" s="2590"/>
      <c r="AD385" s="1608"/>
    </row>
    <row r="386" spans="1:30" ht="15">
      <c r="A386" s="1685" t="str">
        <f t="shared" si="31"/>
        <v/>
      </c>
      <c r="B386" s="1081" t="str">
        <f t="shared" si="32"/>
        <v/>
      </c>
      <c r="C386" s="1081" t="str">
        <f t="shared" si="33"/>
        <v/>
      </c>
      <c r="D386" s="1081" t="str">
        <f t="shared" si="34"/>
        <v/>
      </c>
      <c r="E386" s="1081" t="str">
        <f t="shared" si="35"/>
        <v/>
      </c>
      <c r="F386" s="1081" t="str">
        <f t="shared" si="36"/>
        <v/>
      </c>
      <c r="G386" s="1681"/>
      <c r="H386" s="1681"/>
      <c r="I386" s="1681"/>
      <c r="J386" s="1681"/>
      <c r="K386" s="1676"/>
      <c r="L386" s="2554" t="s">
        <v>2766</v>
      </c>
      <c r="M386" s="2597" t="s">
        <v>2767</v>
      </c>
      <c r="N386" s="2597"/>
      <c r="O386" s="2597"/>
      <c r="P386" s="1630"/>
      <c r="Q386" s="1611" t="s">
        <v>604</v>
      </c>
      <c r="R386" s="1620"/>
      <c r="S386" s="1620"/>
      <c r="T386" s="1620"/>
      <c r="U386" s="1620"/>
      <c r="V386" s="1620"/>
      <c r="W386" s="2590">
        <v>0</v>
      </c>
      <c r="AD386" s="1608"/>
    </row>
    <row r="387" spans="1:30" ht="15">
      <c r="A387" s="1685" t="str">
        <f t="shared" ref="A387:A450" si="37">IF(J387="","",LEFT(J387,6))</f>
        <v/>
      </c>
      <c r="B387" s="1081" t="str">
        <f t="shared" si="32"/>
        <v/>
      </c>
      <c r="C387" s="1081" t="str">
        <f t="shared" si="33"/>
        <v/>
      </c>
      <c r="D387" s="1081" t="str">
        <f t="shared" si="34"/>
        <v/>
      </c>
      <c r="E387" s="1081" t="str">
        <f t="shared" si="35"/>
        <v/>
      </c>
      <c r="F387" s="1081" t="str">
        <f t="shared" si="36"/>
        <v/>
      </c>
      <c r="G387" s="1681"/>
      <c r="H387" s="1681"/>
      <c r="I387" s="1681"/>
      <c r="J387" s="1681"/>
      <c r="K387" s="1676"/>
      <c r="L387" s="2554"/>
      <c r="M387" s="2598"/>
      <c r="N387" s="2598"/>
      <c r="O387" s="2598"/>
      <c r="P387" s="1630"/>
      <c r="Q387" s="1611" t="s">
        <v>2481</v>
      </c>
      <c r="R387" s="1613"/>
      <c r="S387" s="1613"/>
      <c r="T387" s="1613"/>
      <c r="U387" s="1613"/>
      <c r="V387" s="1613"/>
      <c r="W387" s="2590"/>
      <c r="AD387" s="1608"/>
    </row>
    <row r="388" spans="1:30" ht="15">
      <c r="A388" s="1685" t="str">
        <f t="shared" si="37"/>
        <v/>
      </c>
      <c r="B388" s="1081" t="str">
        <f t="shared" si="32"/>
        <v/>
      </c>
      <c r="C388" s="1081" t="str">
        <f t="shared" si="33"/>
        <v/>
      </c>
      <c r="D388" s="1081" t="str">
        <f t="shared" si="34"/>
        <v/>
      </c>
      <c r="E388" s="1081" t="str">
        <f t="shared" si="35"/>
        <v/>
      </c>
      <c r="F388" s="1081" t="str">
        <f t="shared" si="36"/>
        <v/>
      </c>
      <c r="G388" s="1681"/>
      <c r="H388" s="1681"/>
      <c r="I388" s="1681"/>
      <c r="J388" s="1681"/>
      <c r="K388" s="1676"/>
      <c r="L388" s="2554"/>
      <c r="M388" s="2598"/>
      <c r="N388" s="2598"/>
      <c r="O388" s="2598"/>
      <c r="P388" s="1630"/>
      <c r="Q388" s="1611" t="s">
        <v>2482</v>
      </c>
      <c r="R388" s="1613"/>
      <c r="S388" s="1613"/>
      <c r="T388" s="1613"/>
      <c r="U388" s="1613"/>
      <c r="V388" s="1613"/>
      <c r="W388" s="2590"/>
      <c r="AD388" s="1608"/>
    </row>
    <row r="389" spans="1:30" ht="15">
      <c r="A389" s="1685" t="str">
        <f t="shared" si="37"/>
        <v/>
      </c>
      <c r="B389" s="1081">
        <f t="shared" si="32"/>
        <v>0</v>
      </c>
      <c r="C389" s="1081">
        <f t="shared" si="33"/>
        <v>0</v>
      </c>
      <c r="D389" s="1081">
        <f t="shared" si="34"/>
        <v>0</v>
      </c>
      <c r="E389" s="1081">
        <f t="shared" si="35"/>
        <v>0</v>
      </c>
      <c r="F389" s="1081">
        <f t="shared" si="36"/>
        <v>0</v>
      </c>
      <c r="G389" s="1681"/>
      <c r="H389" s="1681"/>
      <c r="I389" s="1681"/>
      <c r="J389" s="1681"/>
      <c r="K389" s="1676"/>
      <c r="L389" s="2554"/>
      <c r="M389" s="2599"/>
      <c r="N389" s="2599"/>
      <c r="O389" s="2599"/>
      <c r="P389" s="1634"/>
      <c r="Q389" s="1611" t="s">
        <v>2483</v>
      </c>
      <c r="R389" s="1613"/>
      <c r="S389" s="1613"/>
      <c r="T389" s="1613"/>
      <c r="U389" s="1613"/>
      <c r="V389" s="1613"/>
      <c r="W389" s="2590"/>
      <c r="AD389" s="1608"/>
    </row>
    <row r="390" spans="1:30" ht="15">
      <c r="A390" s="1685" t="str">
        <f t="shared" si="37"/>
        <v/>
      </c>
      <c r="B390" s="1081" t="str">
        <f t="shared" si="32"/>
        <v/>
      </c>
      <c r="C390" s="1081" t="str">
        <f t="shared" si="33"/>
        <v/>
      </c>
      <c r="D390" s="1081" t="str">
        <f t="shared" si="34"/>
        <v/>
      </c>
      <c r="E390" s="1081" t="str">
        <f t="shared" si="35"/>
        <v/>
      </c>
      <c r="F390" s="1081" t="str">
        <f t="shared" si="36"/>
        <v/>
      </c>
      <c r="G390" s="1681"/>
      <c r="H390" s="1681"/>
      <c r="I390" s="1681"/>
      <c r="J390" s="1681"/>
      <c r="K390" s="1676"/>
      <c r="L390" s="2554" t="s">
        <v>2768</v>
      </c>
      <c r="M390" s="2597" t="s">
        <v>2769</v>
      </c>
      <c r="N390" s="2597"/>
      <c r="O390" s="2597"/>
      <c r="P390" s="1614"/>
      <c r="Q390" s="1611" t="s">
        <v>604</v>
      </c>
      <c r="R390" s="1610"/>
      <c r="S390" s="1610"/>
      <c r="T390" s="1610"/>
      <c r="U390" s="1610"/>
      <c r="V390" s="1610"/>
      <c r="W390" s="2590">
        <v>0</v>
      </c>
      <c r="AD390" s="1608"/>
    </row>
    <row r="391" spans="1:30" ht="15">
      <c r="A391" s="1685" t="str">
        <f t="shared" si="37"/>
        <v/>
      </c>
      <c r="B391" s="1081" t="str">
        <f t="shared" si="32"/>
        <v/>
      </c>
      <c r="C391" s="1081" t="str">
        <f t="shared" si="33"/>
        <v/>
      </c>
      <c r="D391" s="1081" t="str">
        <f t="shared" si="34"/>
        <v/>
      </c>
      <c r="E391" s="1081" t="str">
        <f t="shared" si="35"/>
        <v/>
      </c>
      <c r="F391" s="1081" t="str">
        <f t="shared" si="36"/>
        <v/>
      </c>
      <c r="G391" s="1681"/>
      <c r="H391" s="1681"/>
      <c r="I391" s="1681"/>
      <c r="J391" s="1681"/>
      <c r="K391" s="1676"/>
      <c r="L391" s="2554"/>
      <c r="M391" s="2598"/>
      <c r="N391" s="2598"/>
      <c r="O391" s="2598"/>
      <c r="P391" s="1630"/>
      <c r="Q391" s="1611" t="s">
        <v>2481</v>
      </c>
      <c r="R391" s="1613"/>
      <c r="S391" s="1613"/>
      <c r="T391" s="1613"/>
      <c r="U391" s="1613"/>
      <c r="V391" s="1613"/>
      <c r="W391" s="2590"/>
      <c r="AD391" s="1608"/>
    </row>
    <row r="392" spans="1:30" ht="15">
      <c r="A392" s="1685" t="str">
        <f t="shared" si="37"/>
        <v/>
      </c>
      <c r="B392" s="1081" t="str">
        <f t="shared" si="32"/>
        <v/>
      </c>
      <c r="C392" s="1081" t="str">
        <f t="shared" si="33"/>
        <v/>
      </c>
      <c r="D392" s="1081" t="str">
        <f t="shared" si="34"/>
        <v/>
      </c>
      <c r="E392" s="1081" t="str">
        <f t="shared" si="35"/>
        <v/>
      </c>
      <c r="F392" s="1081" t="str">
        <f t="shared" si="36"/>
        <v/>
      </c>
      <c r="G392" s="1681"/>
      <c r="H392" s="1681"/>
      <c r="I392" s="1681"/>
      <c r="J392" s="1681"/>
      <c r="K392" s="1676"/>
      <c r="L392" s="2554"/>
      <c r="M392" s="2598"/>
      <c r="N392" s="2598"/>
      <c r="O392" s="2598"/>
      <c r="P392" s="1630"/>
      <c r="Q392" s="1611" t="s">
        <v>2482</v>
      </c>
      <c r="R392" s="1613"/>
      <c r="S392" s="1613"/>
      <c r="T392" s="1613"/>
      <c r="U392" s="1613"/>
      <c r="V392" s="1613"/>
      <c r="W392" s="2590"/>
      <c r="AD392" s="1608"/>
    </row>
    <row r="393" spans="1:30" ht="15">
      <c r="A393" s="1685" t="str">
        <f t="shared" si="37"/>
        <v/>
      </c>
      <c r="B393" s="1081">
        <f t="shared" si="32"/>
        <v>0</v>
      </c>
      <c r="C393" s="1081">
        <f t="shared" si="33"/>
        <v>0</v>
      </c>
      <c r="D393" s="1081">
        <f t="shared" si="34"/>
        <v>0</v>
      </c>
      <c r="E393" s="1081">
        <f t="shared" si="35"/>
        <v>0</v>
      </c>
      <c r="F393" s="1081">
        <f t="shared" si="36"/>
        <v>0</v>
      </c>
      <c r="G393" s="1681"/>
      <c r="H393" s="1681"/>
      <c r="I393" s="1681"/>
      <c r="J393" s="1681"/>
      <c r="K393" s="1676"/>
      <c r="L393" s="2554"/>
      <c r="M393" s="2599"/>
      <c r="N393" s="2599"/>
      <c r="O393" s="2599"/>
      <c r="P393" s="1634"/>
      <c r="Q393" s="1611" t="s">
        <v>2483</v>
      </c>
      <c r="R393" s="1613"/>
      <c r="S393" s="1613"/>
      <c r="T393" s="1613"/>
      <c r="U393" s="1613"/>
      <c r="V393" s="1613"/>
      <c r="W393" s="2590"/>
      <c r="AD393" s="1608"/>
    </row>
    <row r="394" spans="1:30" ht="15">
      <c r="A394" s="1685" t="str">
        <f t="shared" si="37"/>
        <v/>
      </c>
      <c r="B394" s="1081" t="str">
        <f t="shared" si="32"/>
        <v/>
      </c>
      <c r="C394" s="1081" t="str">
        <f t="shared" si="33"/>
        <v/>
      </c>
      <c r="D394" s="1081" t="str">
        <f t="shared" si="34"/>
        <v/>
      </c>
      <c r="E394" s="1081" t="str">
        <f t="shared" si="35"/>
        <v/>
      </c>
      <c r="F394" s="1081" t="str">
        <f t="shared" si="36"/>
        <v/>
      </c>
      <c r="G394" s="1681"/>
      <c r="H394" s="1681"/>
      <c r="I394" s="1681"/>
      <c r="J394" s="1681"/>
      <c r="K394" s="1676"/>
      <c r="L394" s="2554" t="s">
        <v>2770</v>
      </c>
      <c r="M394" s="2597" t="s">
        <v>2771</v>
      </c>
      <c r="N394" s="2597"/>
      <c r="O394" s="2597"/>
      <c r="P394" s="1614"/>
      <c r="Q394" s="1611" t="s">
        <v>604</v>
      </c>
      <c r="R394" s="1620"/>
      <c r="S394" s="1620"/>
      <c r="T394" s="1620"/>
      <c r="U394" s="1620"/>
      <c r="V394" s="1620"/>
      <c r="W394" s="2590">
        <v>0</v>
      </c>
      <c r="AD394" s="1608"/>
    </row>
    <row r="395" spans="1:30" ht="15">
      <c r="A395" s="1685" t="str">
        <f t="shared" si="37"/>
        <v/>
      </c>
      <c r="B395" s="1081" t="str">
        <f t="shared" si="32"/>
        <v/>
      </c>
      <c r="C395" s="1081" t="str">
        <f t="shared" si="33"/>
        <v/>
      </c>
      <c r="D395" s="1081" t="str">
        <f t="shared" si="34"/>
        <v/>
      </c>
      <c r="E395" s="1081" t="str">
        <f t="shared" si="35"/>
        <v/>
      </c>
      <c r="F395" s="1081" t="str">
        <f t="shared" si="36"/>
        <v/>
      </c>
      <c r="G395" s="1681"/>
      <c r="H395" s="1681"/>
      <c r="I395" s="1681"/>
      <c r="J395" s="1681"/>
      <c r="K395" s="1676"/>
      <c r="L395" s="2554"/>
      <c r="M395" s="2598"/>
      <c r="N395" s="2598"/>
      <c r="O395" s="2598"/>
      <c r="P395" s="1630"/>
      <c r="Q395" s="1611" t="s">
        <v>2481</v>
      </c>
      <c r="R395" s="1613"/>
      <c r="S395" s="1613"/>
      <c r="T395" s="1613"/>
      <c r="U395" s="1613"/>
      <c r="V395" s="1613"/>
      <c r="W395" s="2590"/>
      <c r="AD395" s="1608"/>
    </row>
    <row r="396" spans="1:30" ht="15">
      <c r="A396" s="1685" t="str">
        <f t="shared" si="37"/>
        <v/>
      </c>
      <c r="B396" s="1081" t="str">
        <f t="shared" si="32"/>
        <v/>
      </c>
      <c r="C396" s="1081" t="str">
        <f t="shared" si="33"/>
        <v/>
      </c>
      <c r="D396" s="1081" t="str">
        <f t="shared" si="34"/>
        <v/>
      </c>
      <c r="E396" s="1081" t="str">
        <f t="shared" si="35"/>
        <v/>
      </c>
      <c r="F396" s="1081" t="str">
        <f t="shared" si="36"/>
        <v/>
      </c>
      <c r="G396" s="1681"/>
      <c r="H396" s="1681"/>
      <c r="I396" s="1681"/>
      <c r="J396" s="1681"/>
      <c r="K396" s="1676"/>
      <c r="L396" s="2554"/>
      <c r="M396" s="2598"/>
      <c r="N396" s="2598"/>
      <c r="O396" s="2598"/>
      <c r="P396" s="1630"/>
      <c r="Q396" s="1611" t="s">
        <v>2482</v>
      </c>
      <c r="R396" s="1613"/>
      <c r="S396" s="1613"/>
      <c r="T396" s="1613"/>
      <c r="U396" s="1613"/>
      <c r="V396" s="1613"/>
      <c r="W396" s="2590"/>
      <c r="AD396" s="1608"/>
    </row>
    <row r="397" spans="1:30" ht="15">
      <c r="A397" s="1685" t="str">
        <f t="shared" si="37"/>
        <v/>
      </c>
      <c r="B397" s="1081">
        <f t="shared" ref="B397:B460" si="38">IF($Q397="sub-total",R397,"")</f>
        <v>0</v>
      </c>
      <c r="C397" s="1081">
        <f t="shared" ref="C397:C460" si="39">IF($Q397="sub-total",S397,"")</f>
        <v>0</v>
      </c>
      <c r="D397" s="1081">
        <f t="shared" ref="D397:D460" si="40">IF($Q397="sub-total",T397,"")</f>
        <v>0</v>
      </c>
      <c r="E397" s="1081">
        <f t="shared" ref="E397:E460" si="41">IF($Q397="sub-total",U397,"")</f>
        <v>0</v>
      </c>
      <c r="F397" s="1081">
        <f t="shared" ref="F397:F460" si="42">IF($Q397="sub-total",V397,"")</f>
        <v>0</v>
      </c>
      <c r="G397" s="1681"/>
      <c r="H397" s="1681"/>
      <c r="I397" s="1681"/>
      <c r="J397" s="1681"/>
      <c r="K397" s="1676"/>
      <c r="L397" s="2554"/>
      <c r="M397" s="2599"/>
      <c r="N397" s="2599"/>
      <c r="O397" s="2599"/>
      <c r="P397" s="1634"/>
      <c r="Q397" s="1611" t="s">
        <v>2483</v>
      </c>
      <c r="R397" s="1613"/>
      <c r="S397" s="1613"/>
      <c r="T397" s="1613"/>
      <c r="U397" s="1613"/>
      <c r="V397" s="1613"/>
      <c r="W397" s="2590"/>
      <c r="AD397" s="1608"/>
    </row>
    <row r="398" spans="1:30" ht="15">
      <c r="A398" s="1685" t="str">
        <f t="shared" si="37"/>
        <v/>
      </c>
      <c r="B398" s="1081" t="str">
        <f t="shared" si="38"/>
        <v/>
      </c>
      <c r="C398" s="1081" t="str">
        <f t="shared" si="39"/>
        <v/>
      </c>
      <c r="D398" s="1081" t="str">
        <f t="shared" si="40"/>
        <v/>
      </c>
      <c r="E398" s="1081" t="str">
        <f t="shared" si="41"/>
        <v/>
      </c>
      <c r="F398" s="1081" t="str">
        <f t="shared" si="42"/>
        <v/>
      </c>
      <c r="G398" s="1681"/>
      <c r="H398" s="1681"/>
      <c r="I398" s="1681"/>
      <c r="J398" s="1681"/>
      <c r="K398" s="1676"/>
      <c r="L398" s="2554" t="s">
        <v>2772</v>
      </c>
      <c r="M398" s="2597" t="s">
        <v>2773</v>
      </c>
      <c r="N398" s="2597"/>
      <c r="O398" s="2597"/>
      <c r="P398" s="1614"/>
      <c r="Q398" s="1611" t="s">
        <v>604</v>
      </c>
      <c r="R398" s="1610"/>
      <c r="S398" s="1610"/>
      <c r="T398" s="1610"/>
      <c r="U398" s="1610"/>
      <c r="V398" s="1610"/>
      <c r="W398" s="2590">
        <v>0</v>
      </c>
      <c r="AD398" s="1608"/>
    </row>
    <row r="399" spans="1:30" ht="15">
      <c r="A399" s="1685" t="str">
        <f t="shared" si="37"/>
        <v/>
      </c>
      <c r="B399" s="1081" t="str">
        <f t="shared" si="38"/>
        <v/>
      </c>
      <c r="C399" s="1081" t="str">
        <f t="shared" si="39"/>
        <v/>
      </c>
      <c r="D399" s="1081" t="str">
        <f t="shared" si="40"/>
        <v/>
      </c>
      <c r="E399" s="1081" t="str">
        <f t="shared" si="41"/>
        <v/>
      </c>
      <c r="F399" s="1081" t="str">
        <f t="shared" si="42"/>
        <v/>
      </c>
      <c r="G399" s="1681"/>
      <c r="H399" s="1681"/>
      <c r="I399" s="1681"/>
      <c r="J399" s="1681"/>
      <c r="K399" s="1676"/>
      <c r="L399" s="2554"/>
      <c r="M399" s="2598"/>
      <c r="N399" s="2598"/>
      <c r="O399" s="2598"/>
      <c r="P399" s="1630"/>
      <c r="Q399" s="1611" t="s">
        <v>2481</v>
      </c>
      <c r="R399" s="1613"/>
      <c r="S399" s="1613"/>
      <c r="T399" s="1613"/>
      <c r="U399" s="1613"/>
      <c r="V399" s="1613"/>
      <c r="W399" s="2590"/>
      <c r="AD399" s="1608"/>
    </row>
    <row r="400" spans="1:30" ht="15">
      <c r="A400" s="1685" t="str">
        <f t="shared" si="37"/>
        <v/>
      </c>
      <c r="B400" s="1081" t="str">
        <f t="shared" si="38"/>
        <v/>
      </c>
      <c r="C400" s="1081" t="str">
        <f t="shared" si="39"/>
        <v/>
      </c>
      <c r="D400" s="1081" t="str">
        <f t="shared" si="40"/>
        <v/>
      </c>
      <c r="E400" s="1081" t="str">
        <f t="shared" si="41"/>
        <v/>
      </c>
      <c r="F400" s="1081" t="str">
        <f t="shared" si="42"/>
        <v/>
      </c>
      <c r="G400" s="1681"/>
      <c r="H400" s="1681"/>
      <c r="I400" s="1681"/>
      <c r="J400" s="1681"/>
      <c r="K400" s="1676"/>
      <c r="L400" s="2554"/>
      <c r="M400" s="2598"/>
      <c r="N400" s="2598"/>
      <c r="O400" s="2598"/>
      <c r="P400" s="1630"/>
      <c r="Q400" s="1611" t="s">
        <v>2482</v>
      </c>
      <c r="R400" s="1613"/>
      <c r="S400" s="1613"/>
      <c r="T400" s="1613"/>
      <c r="U400" s="1613"/>
      <c r="V400" s="1613"/>
      <c r="W400" s="2590"/>
      <c r="AD400" s="1608"/>
    </row>
    <row r="401" spans="1:30" ht="15">
      <c r="A401" s="1685" t="str">
        <f t="shared" si="37"/>
        <v/>
      </c>
      <c r="B401" s="1081">
        <f t="shared" si="38"/>
        <v>0</v>
      </c>
      <c r="C401" s="1081">
        <f t="shared" si="39"/>
        <v>0</v>
      </c>
      <c r="D401" s="1081">
        <f t="shared" si="40"/>
        <v>0</v>
      </c>
      <c r="E401" s="1081">
        <f t="shared" si="41"/>
        <v>0</v>
      </c>
      <c r="F401" s="1081">
        <f t="shared" si="42"/>
        <v>0</v>
      </c>
      <c r="G401" s="1681"/>
      <c r="H401" s="1681"/>
      <c r="I401" s="1681"/>
      <c r="J401" s="1681"/>
      <c r="K401" s="1676"/>
      <c r="L401" s="2554"/>
      <c r="M401" s="2599"/>
      <c r="N401" s="2599"/>
      <c r="O401" s="2599"/>
      <c r="P401" s="1634"/>
      <c r="Q401" s="1611" t="s">
        <v>2483</v>
      </c>
      <c r="R401" s="1613"/>
      <c r="S401" s="1613"/>
      <c r="T401" s="1613"/>
      <c r="U401" s="1613"/>
      <c r="V401" s="1613"/>
      <c r="W401" s="2590"/>
      <c r="AD401" s="1608"/>
    </row>
    <row r="402" spans="1:30" ht="12.75" customHeight="1">
      <c r="A402" s="1685" t="str">
        <f t="shared" si="37"/>
        <v/>
      </c>
      <c r="B402" s="1081" t="str">
        <f t="shared" si="38"/>
        <v/>
      </c>
      <c r="C402" s="1081" t="str">
        <f t="shared" si="39"/>
        <v/>
      </c>
      <c r="D402" s="1081" t="str">
        <f t="shared" si="40"/>
        <v/>
      </c>
      <c r="E402" s="1081" t="str">
        <f t="shared" si="41"/>
        <v/>
      </c>
      <c r="F402" s="1081" t="str">
        <f t="shared" si="42"/>
        <v/>
      </c>
      <c r="G402" s="1681"/>
      <c r="H402" s="1681"/>
      <c r="I402" s="1681"/>
      <c r="J402" s="1681"/>
      <c r="K402" s="1676"/>
      <c r="L402" s="2583" t="s">
        <v>2772</v>
      </c>
      <c r="M402" s="2577" t="s">
        <v>2774</v>
      </c>
      <c r="N402" s="2577" t="s">
        <v>2775</v>
      </c>
      <c r="O402" s="2577" t="s">
        <v>2776</v>
      </c>
      <c r="P402" s="1614"/>
      <c r="Q402" s="1611" t="s">
        <v>604</v>
      </c>
      <c r="R402" s="1619" t="s">
        <v>2563</v>
      </c>
      <c r="S402" s="1619" t="s">
        <v>2563</v>
      </c>
      <c r="T402" s="1619" t="s">
        <v>2563</v>
      </c>
      <c r="U402" s="1620"/>
      <c r="V402" s="1620"/>
      <c r="W402" s="2540">
        <v>283031.09999999998</v>
      </c>
      <c r="AD402" s="1608"/>
    </row>
    <row r="403" spans="1:30" ht="15">
      <c r="A403" s="1685" t="str">
        <f t="shared" si="37"/>
        <v/>
      </c>
      <c r="B403" s="1081" t="str">
        <f t="shared" si="38"/>
        <v/>
      </c>
      <c r="C403" s="1081" t="str">
        <f t="shared" si="39"/>
        <v/>
      </c>
      <c r="D403" s="1081" t="str">
        <f t="shared" si="40"/>
        <v/>
      </c>
      <c r="E403" s="1081" t="str">
        <f t="shared" si="41"/>
        <v/>
      </c>
      <c r="F403" s="1081" t="str">
        <f t="shared" si="42"/>
        <v/>
      </c>
      <c r="G403" s="1681"/>
      <c r="H403" s="1681"/>
      <c r="I403" s="1681"/>
      <c r="J403" s="1681"/>
      <c r="K403" s="1676"/>
      <c r="L403" s="2583"/>
      <c r="M403" s="2578"/>
      <c r="N403" s="2578"/>
      <c r="O403" s="2578"/>
      <c r="P403" s="1630"/>
      <c r="Q403" s="1611" t="s">
        <v>2481</v>
      </c>
      <c r="R403" s="1617">
        <v>3</v>
      </c>
      <c r="S403" s="1617">
        <v>3</v>
      </c>
      <c r="T403" s="1617">
        <v>3</v>
      </c>
      <c r="U403" s="1613"/>
      <c r="V403" s="1613"/>
      <c r="W403" s="2646"/>
      <c r="AD403" s="1608"/>
    </row>
    <row r="404" spans="1:30" ht="15">
      <c r="A404" s="1685" t="str">
        <f t="shared" si="37"/>
        <v/>
      </c>
      <c r="B404" s="1081" t="str">
        <f t="shared" si="38"/>
        <v/>
      </c>
      <c r="C404" s="1081" t="str">
        <f t="shared" si="39"/>
        <v/>
      </c>
      <c r="D404" s="1081" t="str">
        <f t="shared" si="40"/>
        <v/>
      </c>
      <c r="E404" s="1081" t="str">
        <f t="shared" si="41"/>
        <v/>
      </c>
      <c r="F404" s="1081" t="str">
        <f t="shared" si="42"/>
        <v/>
      </c>
      <c r="G404" s="1681"/>
      <c r="H404" s="1681"/>
      <c r="I404" s="1681"/>
      <c r="J404" s="1681"/>
      <c r="K404" s="1676"/>
      <c r="L404" s="2583"/>
      <c r="M404" s="2578"/>
      <c r="N404" s="2578"/>
      <c r="O404" s="2578"/>
      <c r="P404" s="1630"/>
      <c r="Q404" s="1611" t="s">
        <v>2482</v>
      </c>
      <c r="R404" s="1617">
        <v>31447.899999999998</v>
      </c>
      <c r="S404" s="1617">
        <v>31447.899999999998</v>
      </c>
      <c r="T404" s="1617">
        <v>31447.899999999998</v>
      </c>
      <c r="U404" s="1613"/>
      <c r="V404" s="1613"/>
      <c r="W404" s="2646"/>
      <c r="AD404" s="1608"/>
    </row>
    <row r="405" spans="1:30" ht="33" customHeight="1">
      <c r="A405" s="1685" t="str">
        <f t="shared" si="37"/>
        <v>6.3.6.</v>
      </c>
      <c r="B405" s="1081">
        <f t="shared" si="38"/>
        <v>94343.7</v>
      </c>
      <c r="C405" s="1081">
        <f t="shared" si="39"/>
        <v>94343.7</v>
      </c>
      <c r="D405" s="1081">
        <f t="shared" si="40"/>
        <v>94343.7</v>
      </c>
      <c r="E405" s="1081">
        <f t="shared" si="41"/>
        <v>0</v>
      </c>
      <c r="F405" s="1081">
        <f t="shared" si="42"/>
        <v>0</v>
      </c>
      <c r="G405" s="1681"/>
      <c r="H405" s="1681"/>
      <c r="I405" s="1681"/>
      <c r="J405" s="1681" t="s">
        <v>1871</v>
      </c>
      <c r="K405" s="1676"/>
      <c r="L405" s="2583"/>
      <c r="M405" s="2579"/>
      <c r="N405" s="2579"/>
      <c r="O405" s="2579"/>
      <c r="P405" s="1634"/>
      <c r="Q405" s="1611" t="s">
        <v>2483</v>
      </c>
      <c r="R405" s="1628">
        <v>94343.7</v>
      </c>
      <c r="S405" s="1628">
        <v>94343.7</v>
      </c>
      <c r="T405" s="1628">
        <v>94343.7</v>
      </c>
      <c r="U405" s="1613"/>
      <c r="V405" s="1613"/>
      <c r="W405" s="2541"/>
      <c r="AD405" s="1608"/>
    </row>
    <row r="406" spans="1:30" ht="15">
      <c r="A406" s="1685" t="str">
        <f t="shared" si="37"/>
        <v/>
      </c>
      <c r="B406" s="1081" t="str">
        <f t="shared" si="38"/>
        <v/>
      </c>
      <c r="C406" s="1081" t="str">
        <f t="shared" si="39"/>
        <v/>
      </c>
      <c r="D406" s="1081" t="str">
        <f t="shared" si="40"/>
        <v/>
      </c>
      <c r="E406" s="1081" t="str">
        <f t="shared" si="41"/>
        <v/>
      </c>
      <c r="F406" s="1081" t="str">
        <f t="shared" si="42"/>
        <v/>
      </c>
      <c r="G406" s="1681"/>
      <c r="H406" s="1681"/>
      <c r="I406" s="1681"/>
      <c r="J406" s="1681"/>
      <c r="K406" s="1676"/>
      <c r="L406" s="2554" t="s">
        <v>2777</v>
      </c>
      <c r="M406" s="2597" t="s">
        <v>2778</v>
      </c>
      <c r="N406" s="2597"/>
      <c r="O406" s="2597"/>
      <c r="P406" s="1614"/>
      <c r="Q406" s="1611" t="s">
        <v>604</v>
      </c>
      <c r="R406" s="1613"/>
      <c r="S406" s="1613"/>
      <c r="T406" s="1613"/>
      <c r="U406" s="1610"/>
      <c r="V406" s="1610"/>
      <c r="W406" s="2590">
        <v>0</v>
      </c>
      <c r="AD406" s="1608"/>
    </row>
    <row r="407" spans="1:30" ht="15">
      <c r="A407" s="1685" t="str">
        <f t="shared" si="37"/>
        <v/>
      </c>
      <c r="B407" s="1081" t="str">
        <f t="shared" si="38"/>
        <v/>
      </c>
      <c r="C407" s="1081" t="str">
        <f t="shared" si="39"/>
        <v/>
      </c>
      <c r="D407" s="1081" t="str">
        <f t="shared" si="40"/>
        <v/>
      </c>
      <c r="E407" s="1081" t="str">
        <f t="shared" si="41"/>
        <v/>
      </c>
      <c r="F407" s="1081" t="str">
        <f t="shared" si="42"/>
        <v/>
      </c>
      <c r="G407" s="1681"/>
      <c r="H407" s="1681"/>
      <c r="I407" s="1681"/>
      <c r="J407" s="1681"/>
      <c r="K407" s="1676"/>
      <c r="L407" s="2554"/>
      <c r="M407" s="2598"/>
      <c r="N407" s="2598"/>
      <c r="O407" s="2598"/>
      <c r="P407" s="1630"/>
      <c r="Q407" s="1611" t="s">
        <v>2481</v>
      </c>
      <c r="R407" s="1613"/>
      <c r="S407" s="1613"/>
      <c r="T407" s="1613"/>
      <c r="U407" s="1613"/>
      <c r="V407" s="1613"/>
      <c r="W407" s="2590"/>
      <c r="AD407" s="1608"/>
    </row>
    <row r="408" spans="1:30" ht="15">
      <c r="A408" s="1685" t="str">
        <f t="shared" si="37"/>
        <v/>
      </c>
      <c r="B408" s="1081" t="str">
        <f t="shared" si="38"/>
        <v/>
      </c>
      <c r="C408" s="1081" t="str">
        <f t="shared" si="39"/>
        <v/>
      </c>
      <c r="D408" s="1081" t="str">
        <f t="shared" si="40"/>
        <v/>
      </c>
      <c r="E408" s="1081" t="str">
        <f t="shared" si="41"/>
        <v/>
      </c>
      <c r="F408" s="1081" t="str">
        <f t="shared" si="42"/>
        <v/>
      </c>
      <c r="G408" s="1681"/>
      <c r="H408" s="1681"/>
      <c r="I408" s="1681"/>
      <c r="J408" s="1681"/>
      <c r="K408" s="1676"/>
      <c r="L408" s="2554"/>
      <c r="M408" s="2598"/>
      <c r="N408" s="2598"/>
      <c r="O408" s="2598"/>
      <c r="P408" s="1630"/>
      <c r="Q408" s="1611" t="s">
        <v>2482</v>
      </c>
      <c r="R408" s="1613"/>
      <c r="S408" s="1613"/>
      <c r="T408" s="1613"/>
      <c r="U408" s="1613"/>
      <c r="V408" s="1613"/>
      <c r="W408" s="2590"/>
      <c r="AD408" s="1608"/>
    </row>
    <row r="409" spans="1:30" ht="15">
      <c r="A409" s="1685" t="str">
        <f t="shared" si="37"/>
        <v/>
      </c>
      <c r="B409" s="1081">
        <f t="shared" si="38"/>
        <v>0</v>
      </c>
      <c r="C409" s="1081">
        <f t="shared" si="39"/>
        <v>0</v>
      </c>
      <c r="D409" s="1081">
        <f t="shared" si="40"/>
        <v>0</v>
      </c>
      <c r="E409" s="1081">
        <f t="shared" si="41"/>
        <v>0</v>
      </c>
      <c r="F409" s="1081">
        <f t="shared" si="42"/>
        <v>0</v>
      </c>
      <c r="G409" s="1681"/>
      <c r="H409" s="1681"/>
      <c r="I409" s="1681"/>
      <c r="J409" s="1681"/>
      <c r="K409" s="1676"/>
      <c r="L409" s="2554"/>
      <c r="M409" s="2599"/>
      <c r="N409" s="2599"/>
      <c r="O409" s="2599"/>
      <c r="P409" s="1634"/>
      <c r="Q409" s="1611" t="s">
        <v>2483</v>
      </c>
      <c r="R409" s="1613"/>
      <c r="S409" s="1613"/>
      <c r="T409" s="1613"/>
      <c r="U409" s="1613"/>
      <c r="V409" s="1613"/>
      <c r="W409" s="2590"/>
      <c r="AD409" s="1608"/>
    </row>
    <row r="410" spans="1:30" ht="12.75" customHeight="1">
      <c r="A410" s="1685" t="str">
        <f t="shared" si="37"/>
        <v/>
      </c>
      <c r="B410" s="1081" t="str">
        <f t="shared" si="38"/>
        <v/>
      </c>
      <c r="C410" s="1081" t="str">
        <f t="shared" si="39"/>
        <v/>
      </c>
      <c r="D410" s="1081" t="str">
        <f t="shared" si="40"/>
        <v/>
      </c>
      <c r="E410" s="1081" t="str">
        <f t="shared" si="41"/>
        <v/>
      </c>
      <c r="F410" s="1081" t="str">
        <f t="shared" si="42"/>
        <v/>
      </c>
      <c r="G410" s="1681"/>
      <c r="H410" s="1681"/>
      <c r="I410" s="1681"/>
      <c r="J410" s="1681"/>
      <c r="K410" s="1676"/>
      <c r="L410" s="2583" t="s">
        <v>2779</v>
      </c>
      <c r="M410" s="2645" t="s">
        <v>2780</v>
      </c>
      <c r="N410" s="2583" t="s">
        <v>2781</v>
      </c>
      <c r="O410" s="2583" t="s">
        <v>2782</v>
      </c>
      <c r="P410" s="1614"/>
      <c r="Q410" s="1611" t="s">
        <v>604</v>
      </c>
      <c r="R410" s="1619" t="s">
        <v>2499</v>
      </c>
      <c r="S410" s="1620"/>
      <c r="T410" s="1620"/>
      <c r="U410" s="1620"/>
      <c r="V410" s="1620"/>
      <c r="W410" s="2590">
        <v>23900</v>
      </c>
      <c r="AD410" s="1608"/>
    </row>
    <row r="411" spans="1:30" ht="15">
      <c r="A411" s="1685" t="str">
        <f t="shared" si="37"/>
        <v/>
      </c>
      <c r="B411" s="1081" t="str">
        <f t="shared" si="38"/>
        <v/>
      </c>
      <c r="C411" s="1081" t="str">
        <f t="shared" si="39"/>
        <v/>
      </c>
      <c r="D411" s="1081" t="str">
        <f t="shared" si="40"/>
        <v/>
      </c>
      <c r="E411" s="1081" t="str">
        <f t="shared" si="41"/>
        <v/>
      </c>
      <c r="F411" s="1081" t="str">
        <f t="shared" si="42"/>
        <v/>
      </c>
      <c r="G411" s="1681"/>
      <c r="H411" s="1681"/>
      <c r="I411" s="1681"/>
      <c r="J411" s="1681"/>
      <c r="K411" s="1676"/>
      <c r="L411" s="2583"/>
      <c r="M411" s="2645"/>
      <c r="N411" s="2583"/>
      <c r="O411" s="2583"/>
      <c r="P411" s="1630"/>
      <c r="Q411" s="1611" t="s">
        <v>2481</v>
      </c>
      <c r="R411" s="1617">
        <v>1</v>
      </c>
      <c r="S411" s="1613"/>
      <c r="T411" s="1613"/>
      <c r="U411" s="1613"/>
      <c r="V411" s="1613"/>
      <c r="W411" s="2590"/>
      <c r="AD411" s="1608"/>
    </row>
    <row r="412" spans="1:30" ht="15">
      <c r="A412" s="1685" t="str">
        <f t="shared" si="37"/>
        <v/>
      </c>
      <c r="B412" s="1081" t="str">
        <f t="shared" si="38"/>
        <v/>
      </c>
      <c r="C412" s="1081" t="str">
        <f t="shared" si="39"/>
        <v/>
      </c>
      <c r="D412" s="1081" t="str">
        <f t="shared" si="40"/>
        <v/>
      </c>
      <c r="E412" s="1081" t="str">
        <f t="shared" si="41"/>
        <v/>
      </c>
      <c r="F412" s="1081" t="str">
        <f t="shared" si="42"/>
        <v/>
      </c>
      <c r="G412" s="1681"/>
      <c r="H412" s="1681"/>
      <c r="I412" s="1681"/>
      <c r="J412" s="1681"/>
      <c r="K412" s="1676"/>
      <c r="L412" s="2583"/>
      <c r="M412" s="2645"/>
      <c r="N412" s="2583"/>
      <c r="O412" s="2583"/>
      <c r="P412" s="1630"/>
      <c r="Q412" s="1611" t="s">
        <v>2482</v>
      </c>
      <c r="R412" s="1617">
        <v>23900</v>
      </c>
      <c r="S412" s="1613"/>
      <c r="T412" s="1613"/>
      <c r="U412" s="1613"/>
      <c r="V412" s="1613"/>
      <c r="W412" s="2590"/>
      <c r="AD412" s="1608"/>
    </row>
    <row r="413" spans="1:30" ht="15">
      <c r="A413" s="1685" t="str">
        <f t="shared" si="37"/>
        <v>6.3.6.</v>
      </c>
      <c r="B413" s="1081">
        <f t="shared" si="38"/>
        <v>23900</v>
      </c>
      <c r="C413" s="1081">
        <f t="shared" si="39"/>
        <v>0</v>
      </c>
      <c r="D413" s="1081">
        <f t="shared" si="40"/>
        <v>0</v>
      </c>
      <c r="E413" s="1081">
        <f t="shared" si="41"/>
        <v>0</v>
      </c>
      <c r="F413" s="1081">
        <f t="shared" si="42"/>
        <v>0</v>
      </c>
      <c r="G413" s="1681"/>
      <c r="H413" s="1681"/>
      <c r="I413" s="1681"/>
      <c r="J413" s="1681" t="s">
        <v>1871</v>
      </c>
      <c r="K413" s="1676"/>
      <c r="L413" s="2583"/>
      <c r="M413" s="2645"/>
      <c r="N413" s="2583"/>
      <c r="O413" s="2583"/>
      <c r="P413" s="1634"/>
      <c r="Q413" s="1611" t="s">
        <v>2483</v>
      </c>
      <c r="R413" s="1628">
        <v>23900</v>
      </c>
      <c r="S413" s="1613"/>
      <c r="T413" s="1613"/>
      <c r="U413" s="1613"/>
      <c r="V413" s="1613"/>
      <c r="W413" s="2590"/>
      <c r="AD413" s="1608"/>
    </row>
    <row r="414" spans="1:30" ht="38.75" customHeight="1">
      <c r="A414" s="1685" t="str">
        <f t="shared" si="37"/>
        <v/>
      </c>
      <c r="B414" s="1081" t="str">
        <f t="shared" si="38"/>
        <v/>
      </c>
      <c r="C414" s="1081" t="str">
        <f t="shared" si="39"/>
        <v/>
      </c>
      <c r="D414" s="1081" t="str">
        <f t="shared" si="40"/>
        <v/>
      </c>
      <c r="E414" s="1081" t="str">
        <f t="shared" si="41"/>
        <v/>
      </c>
      <c r="F414" s="1081" t="str">
        <f t="shared" si="42"/>
        <v/>
      </c>
      <c r="G414" s="1681"/>
      <c r="H414" s="1681"/>
      <c r="I414" s="1681"/>
      <c r="J414" s="1681"/>
      <c r="K414" s="1676"/>
      <c r="L414" s="2548" t="s">
        <v>2783</v>
      </c>
      <c r="M414" s="2542" t="s">
        <v>2784</v>
      </c>
      <c r="N414" s="2543"/>
      <c r="O414" s="2544"/>
      <c r="P414" s="2550"/>
      <c r="Q414" s="2552"/>
      <c r="R414" s="2540">
        <v>6116670</v>
      </c>
      <c r="S414" s="2540">
        <v>194180</v>
      </c>
      <c r="T414" s="2540">
        <v>194180</v>
      </c>
      <c r="U414" s="2540">
        <v>194180</v>
      </c>
      <c r="V414" s="2540">
        <v>194180</v>
      </c>
      <c r="W414" s="2540">
        <v>6893390</v>
      </c>
      <c r="AD414" s="1608"/>
    </row>
    <row r="415" spans="1:30" ht="19.25" customHeight="1">
      <c r="A415" s="1685" t="str">
        <f t="shared" si="37"/>
        <v/>
      </c>
      <c r="B415" s="1081" t="str">
        <f t="shared" si="38"/>
        <v/>
      </c>
      <c r="C415" s="1081" t="str">
        <f t="shared" si="39"/>
        <v/>
      </c>
      <c r="D415" s="1081" t="str">
        <f t="shared" si="40"/>
        <v/>
      </c>
      <c r="E415" s="1081" t="str">
        <f t="shared" si="41"/>
        <v/>
      </c>
      <c r="F415" s="1081" t="str">
        <f t="shared" si="42"/>
        <v/>
      </c>
      <c r="G415" s="1681"/>
      <c r="H415" s="1681"/>
      <c r="I415" s="1681"/>
      <c r="J415" s="1681"/>
      <c r="K415" s="1676"/>
      <c r="L415" s="2549"/>
      <c r="M415" s="2542" t="s">
        <v>2478</v>
      </c>
      <c r="N415" s="2543"/>
      <c r="O415" s="2544"/>
      <c r="P415" s="2551"/>
      <c r="Q415" s="2553"/>
      <c r="R415" s="2541"/>
      <c r="S415" s="2541"/>
      <c r="T415" s="2541"/>
      <c r="U415" s="2541"/>
      <c r="V415" s="2541"/>
      <c r="W415" s="2541"/>
      <c r="AD415" s="1608"/>
    </row>
    <row r="416" spans="1:30" ht="15">
      <c r="A416" s="1685" t="str">
        <f t="shared" si="37"/>
        <v/>
      </c>
      <c r="B416" s="1081" t="str">
        <f t="shared" si="38"/>
        <v/>
      </c>
      <c r="C416" s="1081" t="str">
        <f t="shared" si="39"/>
        <v/>
      </c>
      <c r="D416" s="1081" t="str">
        <f t="shared" si="40"/>
        <v/>
      </c>
      <c r="E416" s="1081" t="str">
        <f t="shared" si="41"/>
        <v/>
      </c>
      <c r="F416" s="1081" t="str">
        <f t="shared" si="42"/>
        <v/>
      </c>
      <c r="G416" s="1681"/>
      <c r="H416" s="1681"/>
      <c r="I416" s="1681"/>
      <c r="J416" s="1681"/>
      <c r="K416" s="1676"/>
      <c r="L416" s="2554" t="s">
        <v>2785</v>
      </c>
      <c r="M416" s="2597" t="s">
        <v>2786</v>
      </c>
      <c r="N416" s="2597"/>
      <c r="O416" s="2597"/>
      <c r="P416" s="1614"/>
      <c r="Q416" s="1611" t="s">
        <v>604</v>
      </c>
      <c r="R416" s="1610"/>
      <c r="S416" s="1610"/>
      <c r="T416" s="1610"/>
      <c r="U416" s="1610"/>
      <c r="V416" s="1610"/>
      <c r="W416" s="2590">
        <v>0</v>
      </c>
      <c r="AD416" s="1608"/>
    </row>
    <row r="417" spans="1:30" ht="15">
      <c r="A417" s="1685" t="str">
        <f t="shared" si="37"/>
        <v/>
      </c>
      <c r="B417" s="1081" t="str">
        <f t="shared" si="38"/>
        <v/>
      </c>
      <c r="C417" s="1081" t="str">
        <f t="shared" si="39"/>
        <v/>
      </c>
      <c r="D417" s="1081" t="str">
        <f t="shared" si="40"/>
        <v/>
      </c>
      <c r="E417" s="1081" t="str">
        <f t="shared" si="41"/>
        <v/>
      </c>
      <c r="F417" s="1081" t="str">
        <f t="shared" si="42"/>
        <v/>
      </c>
      <c r="G417" s="1681"/>
      <c r="H417" s="1681"/>
      <c r="I417" s="1681"/>
      <c r="J417" s="1681"/>
      <c r="K417" s="1676"/>
      <c r="L417" s="2554"/>
      <c r="M417" s="2598"/>
      <c r="N417" s="2598"/>
      <c r="O417" s="2598"/>
      <c r="P417" s="1630"/>
      <c r="Q417" s="1611" t="s">
        <v>2481</v>
      </c>
      <c r="R417" s="1613"/>
      <c r="S417" s="1613"/>
      <c r="T417" s="1613"/>
      <c r="U417" s="1613"/>
      <c r="V417" s="1613"/>
      <c r="W417" s="2590"/>
      <c r="AD417" s="1608"/>
    </row>
    <row r="418" spans="1:30" ht="15">
      <c r="A418" s="1685" t="str">
        <f t="shared" si="37"/>
        <v/>
      </c>
      <c r="B418" s="1081" t="str">
        <f t="shared" si="38"/>
        <v/>
      </c>
      <c r="C418" s="1081" t="str">
        <f t="shared" si="39"/>
        <v/>
      </c>
      <c r="D418" s="1081" t="str">
        <f t="shared" si="40"/>
        <v/>
      </c>
      <c r="E418" s="1081" t="str">
        <f t="shared" si="41"/>
        <v/>
      </c>
      <c r="F418" s="1081" t="str">
        <f t="shared" si="42"/>
        <v/>
      </c>
      <c r="G418" s="1681"/>
      <c r="H418" s="1681"/>
      <c r="I418" s="1681"/>
      <c r="J418" s="1681"/>
      <c r="K418" s="1676"/>
      <c r="L418" s="2554"/>
      <c r="M418" s="2598"/>
      <c r="N418" s="2598"/>
      <c r="O418" s="2598"/>
      <c r="P418" s="1630"/>
      <c r="Q418" s="1611" t="s">
        <v>2482</v>
      </c>
      <c r="R418" s="1613"/>
      <c r="S418" s="1613"/>
      <c r="T418" s="1613"/>
      <c r="U418" s="1613"/>
      <c r="V418" s="1613"/>
      <c r="W418" s="2590"/>
      <c r="AD418" s="1608"/>
    </row>
    <row r="419" spans="1:30" ht="15">
      <c r="A419" s="1685" t="str">
        <f t="shared" si="37"/>
        <v/>
      </c>
      <c r="B419" s="1081">
        <f t="shared" si="38"/>
        <v>0</v>
      </c>
      <c r="C419" s="1081">
        <f t="shared" si="39"/>
        <v>0</v>
      </c>
      <c r="D419" s="1081">
        <f t="shared" si="40"/>
        <v>0</v>
      </c>
      <c r="E419" s="1081">
        <f t="shared" si="41"/>
        <v>0</v>
      </c>
      <c r="F419" s="1081">
        <f t="shared" si="42"/>
        <v>0</v>
      </c>
      <c r="G419" s="1681"/>
      <c r="H419" s="1681"/>
      <c r="I419" s="1681"/>
      <c r="J419" s="1681"/>
      <c r="K419" s="1676"/>
      <c r="L419" s="2554"/>
      <c r="M419" s="2599"/>
      <c r="N419" s="2599"/>
      <c r="O419" s="2599"/>
      <c r="P419" s="1634"/>
      <c r="Q419" s="1611" t="s">
        <v>2483</v>
      </c>
      <c r="R419" s="1613"/>
      <c r="S419" s="1613"/>
      <c r="T419" s="1613"/>
      <c r="U419" s="1613"/>
      <c r="V419" s="1613"/>
      <c r="W419" s="2590"/>
      <c r="AD419" s="1608"/>
    </row>
    <row r="420" spans="1:30" ht="24.5" customHeight="1">
      <c r="A420" s="1685" t="str">
        <f t="shared" si="37"/>
        <v/>
      </c>
      <c r="B420" s="1081" t="str">
        <f t="shared" si="38"/>
        <v/>
      </c>
      <c r="C420" s="1081" t="str">
        <f t="shared" si="39"/>
        <v/>
      </c>
      <c r="D420" s="1081" t="str">
        <f t="shared" si="40"/>
        <v/>
      </c>
      <c r="E420" s="1081" t="str">
        <f t="shared" si="41"/>
        <v/>
      </c>
      <c r="F420" s="1081" t="str">
        <f t="shared" si="42"/>
        <v/>
      </c>
      <c r="G420" s="1681"/>
      <c r="H420" s="1681"/>
      <c r="I420" s="1681"/>
      <c r="J420" s="1681"/>
      <c r="K420" s="1676"/>
      <c r="L420" s="2583" t="s">
        <v>2787</v>
      </c>
      <c r="M420" s="2583" t="s">
        <v>2788</v>
      </c>
      <c r="N420" s="2583" t="s">
        <v>2789</v>
      </c>
      <c r="O420" s="2583" t="s">
        <v>2790</v>
      </c>
      <c r="P420" s="1614"/>
      <c r="Q420" s="1611" t="s">
        <v>604</v>
      </c>
      <c r="R420" s="1617" t="s">
        <v>2791</v>
      </c>
      <c r="S420" s="1617" t="s">
        <v>2792</v>
      </c>
      <c r="T420" s="1617" t="s">
        <v>2792</v>
      </c>
      <c r="U420" s="1617" t="s">
        <v>2792</v>
      </c>
      <c r="V420" s="1617" t="s">
        <v>2792</v>
      </c>
      <c r="W420" s="2590">
        <v>6893390</v>
      </c>
      <c r="AD420" s="1608"/>
    </row>
    <row r="421" spans="1:30" ht="15">
      <c r="A421" s="1685" t="str">
        <f t="shared" si="37"/>
        <v/>
      </c>
      <c r="B421" s="1081" t="str">
        <f t="shared" si="38"/>
        <v/>
      </c>
      <c r="C421" s="1081" t="str">
        <f t="shared" si="39"/>
        <v/>
      </c>
      <c r="D421" s="1081" t="str">
        <f t="shared" si="40"/>
        <v/>
      </c>
      <c r="E421" s="1081" t="str">
        <f t="shared" si="41"/>
        <v/>
      </c>
      <c r="F421" s="1081" t="str">
        <f t="shared" si="42"/>
        <v/>
      </c>
      <c r="G421" s="1681"/>
      <c r="H421" s="1681"/>
      <c r="I421" s="1681"/>
      <c r="J421" s="1681"/>
      <c r="K421" s="1676"/>
      <c r="L421" s="2583"/>
      <c r="M421" s="2583"/>
      <c r="N421" s="2583"/>
      <c r="O421" s="2583"/>
      <c r="P421" s="1630"/>
      <c r="Q421" s="1611" t="s">
        <v>2481</v>
      </c>
      <c r="R421" s="1617">
        <v>1</v>
      </c>
      <c r="S421" s="1617">
        <v>1</v>
      </c>
      <c r="T421" s="1617">
        <v>1</v>
      </c>
      <c r="U421" s="1617">
        <v>1</v>
      </c>
      <c r="V421" s="1617">
        <v>1</v>
      </c>
      <c r="W421" s="2590"/>
      <c r="Y421" s="1589" t="s">
        <v>2793</v>
      </c>
      <c r="AD421" s="1608"/>
    </row>
    <row r="422" spans="1:30" ht="15">
      <c r="A422" s="1685" t="str">
        <f t="shared" si="37"/>
        <v/>
      </c>
      <c r="B422" s="1081" t="str">
        <f t="shared" si="38"/>
        <v/>
      </c>
      <c r="C422" s="1081" t="str">
        <f t="shared" si="39"/>
        <v/>
      </c>
      <c r="D422" s="1081" t="str">
        <f t="shared" si="40"/>
        <v/>
      </c>
      <c r="E422" s="1081" t="str">
        <f t="shared" si="41"/>
        <v/>
      </c>
      <c r="F422" s="1081" t="str">
        <f t="shared" si="42"/>
        <v/>
      </c>
      <c r="G422" s="1681"/>
      <c r="H422" s="1681"/>
      <c r="I422" s="1681"/>
      <c r="J422" s="1681"/>
      <c r="K422" s="1676"/>
      <c r="L422" s="2583"/>
      <c r="M422" s="2583"/>
      <c r="N422" s="2583"/>
      <c r="O422" s="2583"/>
      <c r="P422" s="1630"/>
      <c r="Q422" s="1611" t="s">
        <v>2482</v>
      </c>
      <c r="R422" s="1644">
        <v>6116670</v>
      </c>
      <c r="S422" s="1644">
        <v>194180</v>
      </c>
      <c r="T422" s="1644">
        <v>194180</v>
      </c>
      <c r="U422" s="1644">
        <v>194180</v>
      </c>
      <c r="V422" s="1644">
        <v>194180</v>
      </c>
      <c r="W422" s="2590"/>
      <c r="Y422" s="1589" t="s">
        <v>2794</v>
      </c>
      <c r="AD422" s="1608"/>
    </row>
    <row r="423" spans="1:30" ht="15">
      <c r="A423" s="1685" t="str">
        <f t="shared" si="37"/>
        <v>6.4.2.</v>
      </c>
      <c r="B423" s="1081">
        <f t="shared" si="38"/>
        <v>6116670</v>
      </c>
      <c r="C423" s="1081">
        <f t="shared" si="39"/>
        <v>194180</v>
      </c>
      <c r="D423" s="1081">
        <f t="shared" si="40"/>
        <v>194180</v>
      </c>
      <c r="E423" s="1081">
        <f t="shared" si="41"/>
        <v>194180</v>
      </c>
      <c r="F423" s="1081">
        <f t="shared" si="42"/>
        <v>194180</v>
      </c>
      <c r="G423" s="1681"/>
      <c r="H423" s="1681"/>
      <c r="I423" s="1681"/>
      <c r="J423" s="1681" t="s">
        <v>1872</v>
      </c>
      <c r="K423" s="1676"/>
      <c r="L423" s="2583"/>
      <c r="M423" s="2583"/>
      <c r="N423" s="2583"/>
      <c r="O423" s="2583"/>
      <c r="P423" s="1634"/>
      <c r="Q423" s="1611" t="s">
        <v>2483</v>
      </c>
      <c r="R423" s="1628">
        <v>6116670</v>
      </c>
      <c r="S423" s="1628">
        <v>194180</v>
      </c>
      <c r="T423" s="1628">
        <v>194180</v>
      </c>
      <c r="U423" s="1628">
        <v>194180</v>
      </c>
      <c r="V423" s="1628">
        <v>194180</v>
      </c>
      <c r="W423" s="2590"/>
      <c r="Y423" s="1589" t="s">
        <v>2795</v>
      </c>
      <c r="AD423" s="1608"/>
    </row>
    <row r="424" spans="1:30" ht="15">
      <c r="A424" s="1685" t="str">
        <f t="shared" si="37"/>
        <v/>
      </c>
      <c r="B424" s="1081" t="str">
        <f t="shared" si="38"/>
        <v/>
      </c>
      <c r="C424" s="1081" t="str">
        <f t="shared" si="39"/>
        <v/>
      </c>
      <c r="D424" s="1081" t="str">
        <f t="shared" si="40"/>
        <v/>
      </c>
      <c r="E424" s="1081" t="str">
        <f t="shared" si="41"/>
        <v/>
      </c>
      <c r="F424" s="1081" t="str">
        <f t="shared" si="42"/>
        <v/>
      </c>
      <c r="G424" s="1681"/>
      <c r="H424" s="1681"/>
      <c r="I424" s="1681"/>
      <c r="J424" s="1681"/>
      <c r="K424" s="1676"/>
      <c r="L424" s="2554" t="s">
        <v>2796</v>
      </c>
      <c r="M424" s="2597" t="s">
        <v>2797</v>
      </c>
      <c r="N424" s="2597"/>
      <c r="O424" s="2597"/>
      <c r="P424" s="1614"/>
      <c r="Q424" s="1611" t="s">
        <v>604</v>
      </c>
      <c r="R424" s="1620"/>
      <c r="S424" s="1620"/>
      <c r="T424" s="1620"/>
      <c r="U424" s="1620"/>
      <c r="V424" s="1620"/>
      <c r="W424" s="2590">
        <v>0</v>
      </c>
      <c r="AD424" s="1608"/>
    </row>
    <row r="425" spans="1:30" ht="15">
      <c r="A425" s="1685" t="str">
        <f t="shared" si="37"/>
        <v/>
      </c>
      <c r="B425" s="1081" t="str">
        <f t="shared" si="38"/>
        <v/>
      </c>
      <c r="C425" s="1081" t="str">
        <f t="shared" si="39"/>
        <v/>
      </c>
      <c r="D425" s="1081" t="str">
        <f t="shared" si="40"/>
        <v/>
      </c>
      <c r="E425" s="1081" t="str">
        <f t="shared" si="41"/>
        <v/>
      </c>
      <c r="F425" s="1081" t="str">
        <f t="shared" si="42"/>
        <v/>
      </c>
      <c r="G425" s="1681"/>
      <c r="H425" s="1681"/>
      <c r="I425" s="1681"/>
      <c r="J425" s="1681"/>
      <c r="K425" s="1676"/>
      <c r="L425" s="2554"/>
      <c r="M425" s="2598"/>
      <c r="N425" s="2598"/>
      <c r="O425" s="2598"/>
      <c r="P425" s="1630"/>
      <c r="Q425" s="1611" t="s">
        <v>2481</v>
      </c>
      <c r="R425" s="1613"/>
      <c r="S425" s="1613"/>
      <c r="T425" s="1613"/>
      <c r="U425" s="1613"/>
      <c r="V425" s="1613"/>
      <c r="W425" s="2590"/>
      <c r="AD425" s="1608"/>
    </row>
    <row r="426" spans="1:30" ht="15">
      <c r="A426" s="1685" t="str">
        <f t="shared" si="37"/>
        <v/>
      </c>
      <c r="B426" s="1081" t="str">
        <f t="shared" si="38"/>
        <v/>
      </c>
      <c r="C426" s="1081" t="str">
        <f t="shared" si="39"/>
        <v/>
      </c>
      <c r="D426" s="1081" t="str">
        <f t="shared" si="40"/>
        <v/>
      </c>
      <c r="E426" s="1081" t="str">
        <f t="shared" si="41"/>
        <v/>
      </c>
      <c r="F426" s="1081" t="str">
        <f t="shared" si="42"/>
        <v/>
      </c>
      <c r="G426" s="1681"/>
      <c r="H426" s="1681"/>
      <c r="I426" s="1681"/>
      <c r="J426" s="1681"/>
      <c r="K426" s="1676"/>
      <c r="L426" s="2554"/>
      <c r="M426" s="2598"/>
      <c r="N426" s="2598"/>
      <c r="O426" s="2598"/>
      <c r="P426" s="1630"/>
      <c r="Q426" s="1611" t="s">
        <v>2482</v>
      </c>
      <c r="R426" s="1613"/>
      <c r="S426" s="1613"/>
      <c r="T426" s="1613"/>
      <c r="U426" s="1613"/>
      <c r="V426" s="1613"/>
      <c r="W426" s="2590"/>
      <c r="AD426" s="1608"/>
    </row>
    <row r="427" spans="1:30" ht="15">
      <c r="A427" s="1685" t="str">
        <f t="shared" si="37"/>
        <v/>
      </c>
      <c r="B427" s="1081">
        <f t="shared" si="38"/>
        <v>0</v>
      </c>
      <c r="C427" s="1081">
        <f t="shared" si="39"/>
        <v>0</v>
      </c>
      <c r="D427" s="1081">
        <f t="shared" si="40"/>
        <v>0</v>
      </c>
      <c r="E427" s="1081">
        <f t="shared" si="41"/>
        <v>0</v>
      </c>
      <c r="F427" s="1081">
        <f t="shared" si="42"/>
        <v>0</v>
      </c>
      <c r="G427" s="1681"/>
      <c r="H427" s="1681"/>
      <c r="I427" s="1681"/>
      <c r="J427" s="1681"/>
      <c r="K427" s="1676"/>
      <c r="L427" s="2554"/>
      <c r="M427" s="2599"/>
      <c r="N427" s="2599"/>
      <c r="O427" s="2599"/>
      <c r="P427" s="1632"/>
      <c r="Q427" s="1611" t="s">
        <v>2483</v>
      </c>
      <c r="R427" s="1613"/>
      <c r="S427" s="1613"/>
      <c r="T427" s="1613"/>
      <c r="U427" s="1613"/>
      <c r="V427" s="1613"/>
      <c r="W427" s="2590"/>
      <c r="AD427" s="1608"/>
    </row>
    <row r="428" spans="1:30" ht="15">
      <c r="A428" s="1685" t="str">
        <f t="shared" si="37"/>
        <v/>
      </c>
      <c r="B428" s="1081" t="str">
        <f t="shared" si="38"/>
        <v/>
      </c>
      <c r="C428" s="1081" t="str">
        <f t="shared" si="39"/>
        <v/>
      </c>
      <c r="D428" s="1081" t="str">
        <f t="shared" si="40"/>
        <v/>
      </c>
      <c r="E428" s="1081" t="str">
        <f t="shared" si="41"/>
        <v/>
      </c>
      <c r="F428" s="1081" t="str">
        <f t="shared" si="42"/>
        <v/>
      </c>
      <c r="G428" s="1681"/>
      <c r="H428" s="1681"/>
      <c r="I428" s="1681"/>
      <c r="J428" s="1681"/>
      <c r="K428" s="1676"/>
      <c r="L428" s="2554" t="s">
        <v>2798</v>
      </c>
      <c r="M428" s="2597" t="s">
        <v>2799</v>
      </c>
      <c r="N428" s="2597"/>
      <c r="O428" s="2597"/>
      <c r="P428" s="1614"/>
      <c r="Q428" s="1611" t="s">
        <v>604</v>
      </c>
      <c r="R428" s="1620"/>
      <c r="S428" s="1620"/>
      <c r="T428" s="1620"/>
      <c r="U428" s="1620"/>
      <c r="V428" s="1620"/>
      <c r="W428" s="2590">
        <v>0</v>
      </c>
      <c r="AD428" s="1608"/>
    </row>
    <row r="429" spans="1:30" ht="15">
      <c r="A429" s="1685" t="str">
        <f t="shared" si="37"/>
        <v/>
      </c>
      <c r="B429" s="1081" t="str">
        <f t="shared" si="38"/>
        <v/>
      </c>
      <c r="C429" s="1081" t="str">
        <f t="shared" si="39"/>
        <v/>
      </c>
      <c r="D429" s="1081" t="str">
        <f t="shared" si="40"/>
        <v/>
      </c>
      <c r="E429" s="1081" t="str">
        <f t="shared" si="41"/>
        <v/>
      </c>
      <c r="F429" s="1081" t="str">
        <f t="shared" si="42"/>
        <v/>
      </c>
      <c r="G429" s="1681"/>
      <c r="H429" s="1681"/>
      <c r="I429" s="1681"/>
      <c r="J429" s="1681"/>
      <c r="K429" s="1676"/>
      <c r="L429" s="2554"/>
      <c r="M429" s="2598"/>
      <c r="N429" s="2598"/>
      <c r="O429" s="2598"/>
      <c r="P429" s="1630"/>
      <c r="Q429" s="1611" t="s">
        <v>2481</v>
      </c>
      <c r="R429" s="1613"/>
      <c r="S429" s="1613"/>
      <c r="T429" s="1613"/>
      <c r="U429" s="1613"/>
      <c r="V429" s="1613"/>
      <c r="W429" s="2590"/>
      <c r="AD429" s="1608"/>
    </row>
    <row r="430" spans="1:30" ht="15">
      <c r="A430" s="1685" t="str">
        <f t="shared" si="37"/>
        <v/>
      </c>
      <c r="B430" s="1081" t="str">
        <f t="shared" si="38"/>
        <v/>
      </c>
      <c r="C430" s="1081" t="str">
        <f t="shared" si="39"/>
        <v/>
      </c>
      <c r="D430" s="1081" t="str">
        <f t="shared" si="40"/>
        <v/>
      </c>
      <c r="E430" s="1081" t="str">
        <f t="shared" si="41"/>
        <v/>
      </c>
      <c r="F430" s="1081" t="str">
        <f t="shared" si="42"/>
        <v/>
      </c>
      <c r="G430" s="1681"/>
      <c r="H430" s="1681"/>
      <c r="I430" s="1681"/>
      <c r="J430" s="1681"/>
      <c r="K430" s="1676"/>
      <c r="L430" s="2554"/>
      <c r="M430" s="2598"/>
      <c r="N430" s="2598"/>
      <c r="O430" s="2598"/>
      <c r="P430" s="1630"/>
      <c r="Q430" s="1611" t="s">
        <v>2482</v>
      </c>
      <c r="R430" s="1613"/>
      <c r="S430" s="1613"/>
      <c r="T430" s="1613"/>
      <c r="U430" s="1613"/>
      <c r="V430" s="1613"/>
      <c r="W430" s="2590"/>
      <c r="AD430" s="1608"/>
    </row>
    <row r="431" spans="1:30" ht="15">
      <c r="A431" s="1685" t="str">
        <f t="shared" si="37"/>
        <v/>
      </c>
      <c r="B431" s="1081">
        <f t="shared" si="38"/>
        <v>0</v>
      </c>
      <c r="C431" s="1081">
        <f t="shared" si="39"/>
        <v>0</v>
      </c>
      <c r="D431" s="1081">
        <f t="shared" si="40"/>
        <v>0</v>
      </c>
      <c r="E431" s="1081">
        <f t="shared" si="41"/>
        <v>0</v>
      </c>
      <c r="F431" s="1081">
        <f t="shared" si="42"/>
        <v>0</v>
      </c>
      <c r="G431" s="1681"/>
      <c r="H431" s="1681"/>
      <c r="I431" s="1681"/>
      <c r="J431" s="1681"/>
      <c r="K431" s="1676"/>
      <c r="L431" s="2554"/>
      <c r="M431" s="2599"/>
      <c r="N431" s="2599"/>
      <c r="O431" s="2599"/>
      <c r="P431" s="1632"/>
      <c r="Q431" s="1611" t="s">
        <v>2483</v>
      </c>
      <c r="R431" s="1613"/>
      <c r="S431" s="1613"/>
      <c r="T431" s="1613"/>
      <c r="U431" s="1613"/>
      <c r="V431" s="1613"/>
      <c r="W431" s="2590"/>
      <c r="AD431" s="1608"/>
    </row>
    <row r="432" spans="1:30" ht="19.25" customHeight="1">
      <c r="A432" s="1685" t="str">
        <f t="shared" si="37"/>
        <v/>
      </c>
      <c r="B432" s="1081" t="str">
        <f t="shared" si="38"/>
        <v/>
      </c>
      <c r="C432" s="1081" t="str">
        <f t="shared" si="39"/>
        <v/>
      </c>
      <c r="D432" s="1081" t="str">
        <f t="shared" si="40"/>
        <v/>
      </c>
      <c r="E432" s="1081" t="str">
        <f t="shared" si="41"/>
        <v/>
      </c>
      <c r="F432" s="1081" t="str">
        <f t="shared" si="42"/>
        <v/>
      </c>
      <c r="G432" s="1681"/>
      <c r="H432" s="1681"/>
      <c r="I432" s="1681"/>
      <c r="J432" s="1681"/>
      <c r="K432" s="1676"/>
      <c r="L432" s="2548" t="s">
        <v>2800</v>
      </c>
      <c r="M432" s="2542" t="s">
        <v>2801</v>
      </c>
      <c r="N432" s="2543"/>
      <c r="O432" s="2544"/>
      <c r="P432" s="2550"/>
      <c r="Q432" s="2552"/>
      <c r="R432" s="2540">
        <v>2108302.8617500002</v>
      </c>
      <c r="S432" s="2540">
        <v>2234666.90545</v>
      </c>
      <c r="T432" s="2540">
        <v>2667568.0509000001</v>
      </c>
      <c r="U432" s="2540">
        <v>2548348.1103750002</v>
      </c>
      <c r="V432" s="2540">
        <v>2989546.7877000002</v>
      </c>
      <c r="W432" s="2540">
        <v>12548432.716175001</v>
      </c>
      <c r="AD432" s="1608"/>
    </row>
    <row r="433" spans="1:30" ht="19.25" customHeight="1">
      <c r="A433" s="1685" t="str">
        <f t="shared" si="37"/>
        <v/>
      </c>
      <c r="B433" s="1081" t="str">
        <f t="shared" si="38"/>
        <v/>
      </c>
      <c r="C433" s="1081" t="str">
        <f t="shared" si="39"/>
        <v/>
      </c>
      <c r="D433" s="1081" t="str">
        <f t="shared" si="40"/>
        <v/>
      </c>
      <c r="E433" s="1081" t="str">
        <f t="shared" si="41"/>
        <v/>
      </c>
      <c r="F433" s="1081" t="str">
        <f t="shared" si="42"/>
        <v/>
      </c>
      <c r="G433" s="1681"/>
      <c r="H433" s="1681"/>
      <c r="I433" s="1681"/>
      <c r="J433" s="1681"/>
      <c r="K433" s="1676"/>
      <c r="L433" s="2549"/>
      <c r="M433" s="2542" t="s">
        <v>2478</v>
      </c>
      <c r="N433" s="2543"/>
      <c r="O433" s="2544"/>
      <c r="P433" s="2551"/>
      <c r="Q433" s="2553"/>
      <c r="R433" s="2541"/>
      <c r="S433" s="2541"/>
      <c r="T433" s="2541"/>
      <c r="U433" s="2541"/>
      <c r="V433" s="2541"/>
      <c r="W433" s="2541"/>
      <c r="AD433" s="1608"/>
    </row>
    <row r="434" spans="1:30" ht="12.75" customHeight="1">
      <c r="A434" s="1685" t="str">
        <f t="shared" si="37"/>
        <v/>
      </c>
      <c r="B434" s="1081" t="str">
        <f t="shared" si="38"/>
        <v/>
      </c>
      <c r="C434" s="1081" t="str">
        <f t="shared" si="39"/>
        <v/>
      </c>
      <c r="D434" s="1081" t="str">
        <f t="shared" si="40"/>
        <v/>
      </c>
      <c r="E434" s="1081" t="str">
        <f t="shared" si="41"/>
        <v/>
      </c>
      <c r="F434" s="1081" t="str">
        <f t="shared" si="42"/>
        <v/>
      </c>
      <c r="G434" s="1681"/>
      <c r="H434" s="1681"/>
      <c r="I434" s="1681"/>
      <c r="J434" s="1681"/>
      <c r="K434" s="1676"/>
      <c r="L434" s="2583" t="s">
        <v>2802</v>
      </c>
      <c r="M434" s="2583" t="s">
        <v>2803</v>
      </c>
      <c r="N434" s="2583" t="s">
        <v>2804</v>
      </c>
      <c r="O434" s="2583" t="s">
        <v>2805</v>
      </c>
      <c r="P434" s="2548"/>
      <c r="Q434" s="1609" t="s">
        <v>604</v>
      </c>
      <c r="R434" s="1610"/>
      <c r="S434" s="1619" t="s">
        <v>2499</v>
      </c>
      <c r="T434" s="1610"/>
      <c r="U434" s="1610"/>
      <c r="V434" s="1610"/>
      <c r="W434" s="2590">
        <v>47800</v>
      </c>
      <c r="AD434" s="1608"/>
    </row>
    <row r="435" spans="1:30" ht="15">
      <c r="A435" s="1685" t="str">
        <f t="shared" si="37"/>
        <v/>
      </c>
      <c r="B435" s="1081" t="str">
        <f t="shared" si="38"/>
        <v/>
      </c>
      <c r="C435" s="1081" t="str">
        <f t="shared" si="39"/>
        <v/>
      </c>
      <c r="D435" s="1081" t="str">
        <f t="shared" si="40"/>
        <v/>
      </c>
      <c r="E435" s="1081" t="str">
        <f t="shared" si="41"/>
        <v/>
      </c>
      <c r="F435" s="1081" t="str">
        <f t="shared" si="42"/>
        <v/>
      </c>
      <c r="G435" s="1681"/>
      <c r="H435" s="1681"/>
      <c r="I435" s="1681"/>
      <c r="J435" s="1681"/>
      <c r="K435" s="1676"/>
      <c r="L435" s="2583"/>
      <c r="M435" s="2583"/>
      <c r="N435" s="2583"/>
      <c r="O435" s="2583"/>
      <c r="P435" s="2566"/>
      <c r="Q435" s="1611" t="s">
        <v>2481</v>
      </c>
      <c r="R435" s="1612"/>
      <c r="S435" s="1617">
        <v>2</v>
      </c>
      <c r="T435" s="1612"/>
      <c r="U435" s="1612"/>
      <c r="V435" s="1612"/>
      <c r="W435" s="2590"/>
      <c r="AD435" s="1608"/>
    </row>
    <row r="436" spans="1:30" ht="15">
      <c r="A436" s="1685" t="str">
        <f t="shared" si="37"/>
        <v/>
      </c>
      <c r="B436" s="1081" t="str">
        <f t="shared" si="38"/>
        <v/>
      </c>
      <c r="C436" s="1081" t="str">
        <f t="shared" si="39"/>
        <v/>
      </c>
      <c r="D436" s="1081" t="str">
        <f t="shared" si="40"/>
        <v/>
      </c>
      <c r="E436" s="1081" t="str">
        <f t="shared" si="41"/>
        <v/>
      </c>
      <c r="F436" s="1081" t="str">
        <f t="shared" si="42"/>
        <v/>
      </c>
      <c r="G436" s="1681"/>
      <c r="H436" s="1681"/>
      <c r="I436" s="1681"/>
      <c r="J436" s="1681"/>
      <c r="K436" s="1676"/>
      <c r="L436" s="2583"/>
      <c r="M436" s="2583"/>
      <c r="N436" s="2583"/>
      <c r="O436" s="2583"/>
      <c r="P436" s="2566"/>
      <c r="Q436" s="1611" t="s">
        <v>2482</v>
      </c>
      <c r="R436" s="1613"/>
      <c r="S436" s="1617">
        <v>23900</v>
      </c>
      <c r="T436" s="1613"/>
      <c r="U436" s="1613"/>
      <c r="V436" s="1613"/>
      <c r="W436" s="2590"/>
      <c r="AD436" s="1608"/>
    </row>
    <row r="437" spans="1:30" ht="38.25" customHeight="1">
      <c r="A437" s="1685" t="str">
        <f t="shared" si="37"/>
        <v>6.5.1.</v>
      </c>
      <c r="B437" s="1081">
        <f t="shared" si="38"/>
        <v>0</v>
      </c>
      <c r="C437" s="1081">
        <f t="shared" si="39"/>
        <v>47800</v>
      </c>
      <c r="D437" s="1081">
        <f t="shared" si="40"/>
        <v>0</v>
      </c>
      <c r="E437" s="1081">
        <f t="shared" si="41"/>
        <v>0</v>
      </c>
      <c r="F437" s="1081">
        <f t="shared" si="42"/>
        <v>0</v>
      </c>
      <c r="G437" s="1681"/>
      <c r="H437" s="1681"/>
      <c r="I437" s="1681"/>
      <c r="J437" s="1681" t="s">
        <v>1873</v>
      </c>
      <c r="K437" s="1676"/>
      <c r="L437" s="2583"/>
      <c r="M437" s="2583"/>
      <c r="N437" s="2583"/>
      <c r="O437" s="2583"/>
      <c r="P437" s="2549"/>
      <c r="Q437" s="1611" t="s">
        <v>2483</v>
      </c>
      <c r="R437" s="1613"/>
      <c r="S437" s="1628">
        <v>47800</v>
      </c>
      <c r="T437" s="1613"/>
      <c r="U437" s="1613"/>
      <c r="V437" s="1613"/>
      <c r="W437" s="2590"/>
      <c r="AD437" s="1608"/>
    </row>
    <row r="438" spans="1:30" ht="12.75" customHeight="1">
      <c r="A438" s="1685" t="str">
        <f t="shared" si="37"/>
        <v/>
      </c>
      <c r="B438" s="1081" t="str">
        <f t="shared" si="38"/>
        <v/>
      </c>
      <c r="C438" s="1081" t="str">
        <f t="shared" si="39"/>
        <v/>
      </c>
      <c r="D438" s="1081" t="str">
        <f t="shared" si="40"/>
        <v/>
      </c>
      <c r="E438" s="1081" t="str">
        <f t="shared" si="41"/>
        <v/>
      </c>
      <c r="F438" s="1081" t="str">
        <f t="shared" si="42"/>
        <v/>
      </c>
      <c r="G438" s="1681"/>
      <c r="H438" s="1681"/>
      <c r="I438" s="1681"/>
      <c r="J438" s="1681"/>
      <c r="K438" s="1676"/>
      <c r="L438" s="2583" t="s">
        <v>2806</v>
      </c>
      <c r="M438" s="2583" t="s">
        <v>2807</v>
      </c>
      <c r="N438" s="2583" t="s">
        <v>2808</v>
      </c>
      <c r="O438" s="2583" t="s">
        <v>2809</v>
      </c>
      <c r="P438" s="2548"/>
      <c r="Q438" s="1609" t="s">
        <v>604</v>
      </c>
      <c r="R438" s="1619" t="s">
        <v>2762</v>
      </c>
      <c r="S438" s="1619" t="s">
        <v>2762</v>
      </c>
      <c r="T438" s="1619" t="s">
        <v>2762</v>
      </c>
      <c r="U438" s="1619" t="s">
        <v>2762</v>
      </c>
      <c r="V438" s="1619" t="s">
        <v>2762</v>
      </c>
      <c r="W438" s="2590">
        <v>10328051.966175001</v>
      </c>
      <c r="AD438" s="1608"/>
    </row>
    <row r="439" spans="1:30" ht="15">
      <c r="A439" s="1685" t="str">
        <f t="shared" si="37"/>
        <v/>
      </c>
      <c r="B439" s="1081" t="str">
        <f t="shared" si="38"/>
        <v/>
      </c>
      <c r="C439" s="1081" t="str">
        <f t="shared" si="39"/>
        <v/>
      </c>
      <c r="D439" s="1081" t="str">
        <f t="shared" si="40"/>
        <v/>
      </c>
      <c r="E439" s="1081" t="str">
        <f t="shared" si="41"/>
        <v/>
      </c>
      <c r="F439" s="1081" t="str">
        <f t="shared" si="42"/>
        <v/>
      </c>
      <c r="G439" s="1681"/>
      <c r="H439" s="1681"/>
      <c r="I439" s="1681"/>
      <c r="J439" s="1681"/>
      <c r="K439" s="1676"/>
      <c r="L439" s="2583"/>
      <c r="M439" s="2583"/>
      <c r="N439" s="2583"/>
      <c r="O439" s="2583"/>
      <c r="P439" s="2566"/>
      <c r="Q439" s="1611" t="s">
        <v>2481</v>
      </c>
      <c r="R439" s="1669">
        <v>313.5</v>
      </c>
      <c r="S439" s="1669">
        <v>456.9</v>
      </c>
      <c r="T439" s="1669">
        <v>593.79999999999995</v>
      </c>
      <c r="U439" s="1669">
        <v>725.75</v>
      </c>
      <c r="V439" s="1669">
        <v>851.4</v>
      </c>
      <c r="W439" s="2590"/>
      <c r="AD439" s="1608"/>
    </row>
    <row r="440" spans="1:30" ht="15">
      <c r="A440" s="1685" t="str">
        <f t="shared" si="37"/>
        <v/>
      </c>
      <c r="B440" s="1081" t="str">
        <f t="shared" si="38"/>
        <v/>
      </c>
      <c r="C440" s="1081" t="str">
        <f t="shared" si="39"/>
        <v/>
      </c>
      <c r="D440" s="1081" t="str">
        <f t="shared" si="40"/>
        <v/>
      </c>
      <c r="E440" s="1081" t="str">
        <f t="shared" si="41"/>
        <v/>
      </c>
      <c r="F440" s="1081" t="str">
        <f t="shared" si="42"/>
        <v/>
      </c>
      <c r="G440" s="1681"/>
      <c r="H440" s="1681"/>
      <c r="I440" s="1681"/>
      <c r="J440" s="1681"/>
      <c r="K440" s="1676"/>
      <c r="L440" s="2583"/>
      <c r="M440" s="2583"/>
      <c r="N440" s="2583"/>
      <c r="O440" s="2583"/>
      <c r="P440" s="2566"/>
      <c r="Q440" s="1611" t="s">
        <v>2482</v>
      </c>
      <c r="R440" s="1617">
        <v>7828.5233333333326</v>
      </c>
      <c r="S440" s="1617">
        <v>7828.5233333333326</v>
      </c>
      <c r="T440" s="1617">
        <v>7828.5233333333326</v>
      </c>
      <c r="U440" s="1617">
        <v>7828.5233333333326</v>
      </c>
      <c r="V440" s="1617">
        <v>7828.5233333333326</v>
      </c>
      <c r="W440" s="2590"/>
      <c r="AD440" s="1608"/>
    </row>
    <row r="441" spans="1:30" ht="29.25" customHeight="1">
      <c r="A441" s="1685" t="str">
        <f t="shared" si="37"/>
        <v>6.5.2.</v>
      </c>
      <c r="B441" s="1081">
        <f t="shared" si="38"/>
        <v>1100802.1117499999</v>
      </c>
      <c r="C441" s="1081">
        <f t="shared" si="39"/>
        <v>1604326.90545</v>
      </c>
      <c r="D441" s="1081">
        <f t="shared" si="40"/>
        <v>2085028.0509000001</v>
      </c>
      <c r="E441" s="1081">
        <f t="shared" si="41"/>
        <v>2548348.1103750002</v>
      </c>
      <c r="F441" s="1081">
        <f t="shared" si="42"/>
        <v>2989546.7877000002</v>
      </c>
      <c r="G441" s="1681"/>
      <c r="H441" s="1681"/>
      <c r="I441" s="1681"/>
      <c r="J441" s="1681" t="s">
        <v>1874</v>
      </c>
      <c r="K441" s="1676"/>
      <c r="L441" s="2583"/>
      <c r="M441" s="2583"/>
      <c r="N441" s="2583"/>
      <c r="O441" s="2583"/>
      <c r="P441" s="2549"/>
      <c r="Q441" s="1611" t="s">
        <v>2483</v>
      </c>
      <c r="R441" s="1617">
        <v>1100802.1117499999</v>
      </c>
      <c r="S441" s="1617">
        <v>1604326.90545</v>
      </c>
      <c r="T441" s="1617">
        <v>2085028.0509000001</v>
      </c>
      <c r="U441" s="1617">
        <v>2548348.1103750002</v>
      </c>
      <c r="V441" s="1617">
        <v>2989546.7877000002</v>
      </c>
      <c r="W441" s="2590"/>
      <c r="X441" s="1589" t="s">
        <v>2810</v>
      </c>
      <c r="AD441" s="1608"/>
    </row>
    <row r="442" spans="1:30" ht="12.75" customHeight="1">
      <c r="A442" s="1685" t="str">
        <f t="shared" si="37"/>
        <v/>
      </c>
      <c r="B442" s="1081" t="str">
        <f t="shared" si="38"/>
        <v/>
      </c>
      <c r="C442" s="1081" t="str">
        <f t="shared" si="39"/>
        <v/>
      </c>
      <c r="D442" s="1081" t="str">
        <f t="shared" si="40"/>
        <v/>
      </c>
      <c r="E442" s="1081" t="str">
        <f t="shared" si="41"/>
        <v/>
      </c>
      <c r="F442" s="1081" t="str">
        <f t="shared" si="42"/>
        <v/>
      </c>
      <c r="G442" s="1681"/>
      <c r="H442" s="1681"/>
      <c r="I442" s="1681"/>
      <c r="J442" s="1681"/>
      <c r="K442" s="1676"/>
      <c r="L442" s="2583" t="s">
        <v>2811</v>
      </c>
      <c r="M442" s="2583" t="s">
        <v>2812</v>
      </c>
      <c r="N442" s="2583"/>
      <c r="O442" s="2583"/>
      <c r="P442" s="2606"/>
      <c r="Q442" s="2607"/>
      <c r="R442" s="2607"/>
      <c r="S442" s="2607"/>
      <c r="T442" s="2607"/>
      <c r="U442" s="2607"/>
      <c r="V442" s="2607"/>
      <c r="W442" s="2608"/>
      <c r="AD442" s="1608"/>
    </row>
    <row r="443" spans="1:30" ht="15">
      <c r="A443" s="1685" t="str">
        <f t="shared" si="37"/>
        <v/>
      </c>
      <c r="B443" s="1081" t="str">
        <f t="shared" si="38"/>
        <v/>
      </c>
      <c r="C443" s="1081" t="str">
        <f t="shared" si="39"/>
        <v/>
      </c>
      <c r="D443" s="1081" t="str">
        <f t="shared" si="40"/>
        <v/>
      </c>
      <c r="E443" s="1081" t="str">
        <f t="shared" si="41"/>
        <v/>
      </c>
      <c r="F443" s="1081" t="str">
        <f t="shared" si="42"/>
        <v/>
      </c>
      <c r="G443" s="1681"/>
      <c r="H443" s="1681"/>
      <c r="I443" s="1681"/>
      <c r="J443" s="1681"/>
      <c r="K443" s="1676"/>
      <c r="L443" s="2583"/>
      <c r="M443" s="2583"/>
      <c r="N443" s="2583"/>
      <c r="O443" s="2583"/>
      <c r="P443" s="2609"/>
      <c r="Q443" s="2610"/>
      <c r="R443" s="2610"/>
      <c r="S443" s="2610"/>
      <c r="T443" s="2610"/>
      <c r="U443" s="2610"/>
      <c r="V443" s="2610"/>
      <c r="W443" s="2611"/>
      <c r="AD443" s="1608"/>
    </row>
    <row r="444" spans="1:30" ht="10.5" customHeight="1">
      <c r="A444" s="1685" t="str">
        <f t="shared" si="37"/>
        <v/>
      </c>
      <c r="B444" s="1081" t="str">
        <f t="shared" si="38"/>
        <v/>
      </c>
      <c r="C444" s="1081" t="str">
        <f t="shared" si="39"/>
        <v/>
      </c>
      <c r="D444" s="1081" t="str">
        <f t="shared" si="40"/>
        <v/>
      </c>
      <c r="E444" s="1081" t="str">
        <f t="shared" si="41"/>
        <v/>
      </c>
      <c r="F444" s="1081" t="str">
        <f t="shared" si="42"/>
        <v/>
      </c>
      <c r="G444" s="1681"/>
      <c r="H444" s="1681"/>
      <c r="I444" s="1681"/>
      <c r="J444" s="1681"/>
      <c r="K444" s="1676"/>
      <c r="L444" s="2583"/>
      <c r="M444" s="2583"/>
      <c r="N444" s="2583"/>
      <c r="O444" s="2583"/>
      <c r="P444" s="2609"/>
      <c r="Q444" s="2610"/>
      <c r="R444" s="2610"/>
      <c r="S444" s="2610"/>
      <c r="T444" s="2610"/>
      <c r="U444" s="2610"/>
      <c r="V444" s="2610"/>
      <c r="W444" s="2611"/>
      <c r="AD444" s="1608"/>
    </row>
    <row r="445" spans="1:30" ht="15">
      <c r="A445" s="1685" t="str">
        <f t="shared" si="37"/>
        <v/>
      </c>
      <c r="B445" s="1081" t="str">
        <f t="shared" si="38"/>
        <v/>
      </c>
      <c r="C445" s="1081" t="str">
        <f t="shared" si="39"/>
        <v/>
      </c>
      <c r="D445" s="1081" t="str">
        <f t="shared" si="40"/>
        <v/>
      </c>
      <c r="E445" s="1081" t="str">
        <f t="shared" si="41"/>
        <v/>
      </c>
      <c r="F445" s="1081" t="str">
        <f t="shared" si="42"/>
        <v/>
      </c>
      <c r="G445" s="1681"/>
      <c r="H445" s="1681"/>
      <c r="I445" s="1681"/>
      <c r="J445" s="1681"/>
      <c r="K445" s="1676"/>
      <c r="L445" s="2583"/>
      <c r="M445" s="2583"/>
      <c r="N445" s="2583"/>
      <c r="O445" s="2583"/>
      <c r="P445" s="2612"/>
      <c r="Q445" s="2613"/>
      <c r="R445" s="2613"/>
      <c r="S445" s="2613"/>
      <c r="T445" s="2613"/>
      <c r="U445" s="2613"/>
      <c r="V445" s="2613"/>
      <c r="W445" s="2614"/>
      <c r="AD445" s="1608"/>
    </row>
    <row r="446" spans="1:30" ht="15">
      <c r="A446" s="1685" t="str">
        <f t="shared" si="37"/>
        <v/>
      </c>
      <c r="B446" s="1081" t="str">
        <f t="shared" si="38"/>
        <v/>
      </c>
      <c r="C446" s="1081" t="str">
        <f t="shared" si="39"/>
        <v/>
      </c>
      <c r="D446" s="1081" t="str">
        <f t="shared" si="40"/>
        <v/>
      </c>
      <c r="E446" s="1081" t="str">
        <f t="shared" si="41"/>
        <v/>
      </c>
      <c r="F446" s="1081" t="str">
        <f t="shared" si="42"/>
        <v/>
      </c>
      <c r="G446" s="1681"/>
      <c r="H446" s="1681"/>
      <c r="I446" s="1681"/>
      <c r="J446" s="1681"/>
      <c r="K446" s="1676"/>
      <c r="L446" s="2554" t="s">
        <v>2813</v>
      </c>
      <c r="M446" s="2615"/>
      <c r="N446" s="2615" t="s">
        <v>2814</v>
      </c>
      <c r="O446" s="2615" t="s">
        <v>2815</v>
      </c>
      <c r="P446" s="2548"/>
      <c r="Q446" s="1609" t="s">
        <v>604</v>
      </c>
      <c r="R446" s="1619" t="s">
        <v>2816</v>
      </c>
      <c r="S446" s="1610"/>
      <c r="T446" s="1610"/>
      <c r="U446" s="1610"/>
      <c r="V446" s="1610"/>
      <c r="W446" s="2590">
        <v>256000</v>
      </c>
      <c r="X446" s="1589" t="s">
        <v>2817</v>
      </c>
      <c r="AD446" s="1608"/>
    </row>
    <row r="447" spans="1:30" ht="15">
      <c r="A447" s="1685" t="str">
        <f t="shared" si="37"/>
        <v/>
      </c>
      <c r="B447" s="1081" t="str">
        <f t="shared" si="38"/>
        <v/>
      </c>
      <c r="C447" s="1081" t="str">
        <f t="shared" si="39"/>
        <v/>
      </c>
      <c r="D447" s="1081" t="str">
        <f t="shared" si="40"/>
        <v/>
      </c>
      <c r="E447" s="1081" t="str">
        <f t="shared" si="41"/>
        <v/>
      </c>
      <c r="F447" s="1081" t="str">
        <f t="shared" si="42"/>
        <v/>
      </c>
      <c r="G447" s="1681"/>
      <c r="H447" s="1681"/>
      <c r="I447" s="1681"/>
      <c r="J447" s="1681"/>
      <c r="K447" s="1676"/>
      <c r="L447" s="2554"/>
      <c r="M447" s="2615"/>
      <c r="N447" s="2615"/>
      <c r="O447" s="2615"/>
      <c r="P447" s="2566"/>
      <c r="Q447" s="1611" t="s">
        <v>2481</v>
      </c>
      <c r="R447" s="1617">
        <v>1</v>
      </c>
      <c r="S447" s="1612"/>
      <c r="T447" s="1612"/>
      <c r="U447" s="1612"/>
      <c r="V447" s="1612"/>
      <c r="W447" s="2590"/>
      <c r="AD447" s="1608"/>
    </row>
    <row r="448" spans="1:30" ht="10.5" customHeight="1">
      <c r="A448" s="1685" t="str">
        <f t="shared" si="37"/>
        <v/>
      </c>
      <c r="B448" s="1081" t="str">
        <f t="shared" si="38"/>
        <v/>
      </c>
      <c r="C448" s="1081" t="str">
        <f t="shared" si="39"/>
        <v/>
      </c>
      <c r="D448" s="1081" t="str">
        <f t="shared" si="40"/>
        <v/>
      </c>
      <c r="E448" s="1081" t="str">
        <f t="shared" si="41"/>
        <v/>
      </c>
      <c r="F448" s="1081" t="str">
        <f t="shared" si="42"/>
        <v/>
      </c>
      <c r="G448" s="1681"/>
      <c r="H448" s="1681"/>
      <c r="I448" s="1681"/>
      <c r="J448" s="1681"/>
      <c r="K448" s="1676"/>
      <c r="L448" s="2554"/>
      <c r="M448" s="2615"/>
      <c r="N448" s="2615"/>
      <c r="O448" s="2615"/>
      <c r="P448" s="2566"/>
      <c r="Q448" s="1611" t="s">
        <v>2482</v>
      </c>
      <c r="R448" s="1617">
        <v>256000</v>
      </c>
      <c r="S448" s="1613"/>
      <c r="T448" s="1613"/>
      <c r="U448" s="1613"/>
      <c r="V448" s="1613"/>
      <c r="W448" s="2590"/>
      <c r="AD448" s="1608"/>
    </row>
    <row r="449" spans="1:30" ht="15">
      <c r="A449" s="1685" t="str">
        <f t="shared" si="37"/>
        <v>6.5.3.</v>
      </c>
      <c r="B449" s="1081">
        <f t="shared" si="38"/>
        <v>256000</v>
      </c>
      <c r="C449" s="1081">
        <f t="shared" si="39"/>
        <v>0</v>
      </c>
      <c r="D449" s="1081">
        <f t="shared" si="40"/>
        <v>0</v>
      </c>
      <c r="E449" s="1081">
        <f t="shared" si="41"/>
        <v>0</v>
      </c>
      <c r="F449" s="1081">
        <f t="shared" si="42"/>
        <v>0</v>
      </c>
      <c r="G449" s="1681"/>
      <c r="H449" s="1681"/>
      <c r="I449" s="1681"/>
      <c r="J449" s="1681" t="s">
        <v>1875</v>
      </c>
      <c r="K449" s="1676"/>
      <c r="L449" s="2554"/>
      <c r="M449" s="2615"/>
      <c r="N449" s="2615"/>
      <c r="O449" s="2615"/>
      <c r="P449" s="2549"/>
      <c r="Q449" s="1611" t="s">
        <v>2483</v>
      </c>
      <c r="R449" s="1628">
        <v>256000</v>
      </c>
      <c r="S449" s="1613"/>
      <c r="T449" s="1613"/>
      <c r="U449" s="1613"/>
      <c r="V449" s="1613"/>
      <c r="W449" s="2590"/>
      <c r="AD449" s="1608"/>
    </row>
    <row r="450" spans="1:30" ht="13.75" customHeight="1">
      <c r="A450" s="1685" t="str">
        <f t="shared" si="37"/>
        <v/>
      </c>
      <c r="B450" s="1081" t="str">
        <f t="shared" si="38"/>
        <v/>
      </c>
      <c r="C450" s="1081" t="str">
        <f t="shared" si="39"/>
        <v/>
      </c>
      <c r="D450" s="1081" t="str">
        <f t="shared" si="40"/>
        <v/>
      </c>
      <c r="E450" s="1081" t="str">
        <f t="shared" si="41"/>
        <v/>
      </c>
      <c r="F450" s="1081" t="str">
        <f t="shared" si="42"/>
        <v/>
      </c>
      <c r="G450" s="1681"/>
      <c r="H450" s="1681"/>
      <c r="I450" s="1681"/>
      <c r="J450" s="1681"/>
      <c r="K450" s="1676"/>
      <c r="L450" s="2554" t="s">
        <v>2818</v>
      </c>
      <c r="M450" s="2574"/>
      <c r="N450" s="2574" t="s">
        <v>2819</v>
      </c>
      <c r="O450" s="2574" t="s">
        <v>2820</v>
      </c>
      <c r="P450" s="2548"/>
      <c r="Q450" s="1609" t="s">
        <v>604</v>
      </c>
      <c r="R450" s="1619" t="s">
        <v>2563</v>
      </c>
      <c r="S450" s="1610"/>
      <c r="T450" s="1610"/>
      <c r="U450" s="1610"/>
      <c r="V450" s="1610"/>
      <c r="W450" s="2540">
        <v>49460.75</v>
      </c>
      <c r="AD450" s="1608"/>
    </row>
    <row r="451" spans="1:30" ht="15">
      <c r="A451" s="1685" t="str">
        <f t="shared" ref="A451:A514" si="43">IF(J451="","",LEFT(J451,6))</f>
        <v/>
      </c>
      <c r="B451" s="1081" t="str">
        <f t="shared" si="38"/>
        <v/>
      </c>
      <c r="C451" s="1081" t="str">
        <f t="shared" si="39"/>
        <v/>
      </c>
      <c r="D451" s="1081" t="str">
        <f t="shared" si="40"/>
        <v/>
      </c>
      <c r="E451" s="1081" t="str">
        <f t="shared" si="41"/>
        <v/>
      </c>
      <c r="F451" s="1081" t="str">
        <f t="shared" si="42"/>
        <v/>
      </c>
      <c r="G451" s="1681"/>
      <c r="H451" s="1681"/>
      <c r="I451" s="1681"/>
      <c r="J451" s="1681"/>
      <c r="K451" s="1676"/>
      <c r="L451" s="2554"/>
      <c r="M451" s="2575"/>
      <c r="N451" s="2575"/>
      <c r="O451" s="2575"/>
      <c r="P451" s="2566"/>
      <c r="Q451" s="1611" t="s">
        <v>2481</v>
      </c>
      <c r="R451" s="1617">
        <v>1</v>
      </c>
      <c r="S451" s="1612"/>
      <c r="T451" s="1612"/>
      <c r="U451" s="1612"/>
      <c r="V451" s="1612"/>
      <c r="W451" s="2646"/>
      <c r="AD451" s="1608"/>
    </row>
    <row r="452" spans="1:30" ht="10.5" customHeight="1">
      <c r="A452" s="1685" t="str">
        <f t="shared" si="43"/>
        <v/>
      </c>
      <c r="B452" s="1081" t="str">
        <f t="shared" si="38"/>
        <v/>
      </c>
      <c r="C452" s="1081" t="str">
        <f t="shared" si="39"/>
        <v/>
      </c>
      <c r="D452" s="1081" t="str">
        <f t="shared" si="40"/>
        <v/>
      </c>
      <c r="E452" s="1081" t="str">
        <f t="shared" si="41"/>
        <v/>
      </c>
      <c r="F452" s="1081" t="str">
        <f t="shared" si="42"/>
        <v/>
      </c>
      <c r="G452" s="1681"/>
      <c r="H452" s="1681"/>
      <c r="I452" s="1681"/>
      <c r="J452" s="1681"/>
      <c r="K452" s="1676"/>
      <c r="L452" s="2554"/>
      <c r="M452" s="2575"/>
      <c r="N452" s="2575"/>
      <c r="O452" s="2575"/>
      <c r="P452" s="2566"/>
      <c r="Q452" s="1611" t="s">
        <v>2482</v>
      </c>
      <c r="R452" s="1617">
        <v>49460.75</v>
      </c>
      <c r="S452" s="1613"/>
      <c r="T452" s="1613"/>
      <c r="U452" s="1613"/>
      <c r="V452" s="1613"/>
      <c r="W452" s="2646"/>
      <c r="AD452" s="1608"/>
    </row>
    <row r="453" spans="1:30" ht="15">
      <c r="A453" s="1685" t="str">
        <f t="shared" si="43"/>
        <v>6.5.3.</v>
      </c>
      <c r="B453" s="1081">
        <f t="shared" si="38"/>
        <v>49460.75</v>
      </c>
      <c r="C453" s="1081">
        <f t="shared" si="39"/>
        <v>0</v>
      </c>
      <c r="D453" s="1081">
        <f t="shared" si="40"/>
        <v>0</v>
      </c>
      <c r="E453" s="1081">
        <f t="shared" si="41"/>
        <v>0</v>
      </c>
      <c r="F453" s="1081">
        <f t="shared" si="42"/>
        <v>0</v>
      </c>
      <c r="G453" s="1681"/>
      <c r="H453" s="1681"/>
      <c r="I453" s="1681"/>
      <c r="J453" s="1681" t="s">
        <v>1875</v>
      </c>
      <c r="K453" s="1676"/>
      <c r="L453" s="2554"/>
      <c r="M453" s="2576"/>
      <c r="N453" s="2576"/>
      <c r="O453" s="2576"/>
      <c r="P453" s="2549"/>
      <c r="Q453" s="1611" t="s">
        <v>2483</v>
      </c>
      <c r="R453" s="1628">
        <v>49460.75</v>
      </c>
      <c r="S453" s="1613"/>
      <c r="T453" s="1613"/>
      <c r="U453" s="1613"/>
      <c r="V453" s="1613"/>
      <c r="W453" s="2541"/>
      <c r="AD453" s="1608"/>
    </row>
    <row r="454" spans="1:30" ht="13.75" customHeight="1">
      <c r="A454" s="1685" t="str">
        <f t="shared" si="43"/>
        <v/>
      </c>
      <c r="B454" s="1081" t="str">
        <f t="shared" si="38"/>
        <v/>
      </c>
      <c r="C454" s="1081" t="str">
        <f t="shared" si="39"/>
        <v/>
      </c>
      <c r="D454" s="1081" t="str">
        <f t="shared" si="40"/>
        <v/>
      </c>
      <c r="E454" s="1081" t="str">
        <f t="shared" si="41"/>
        <v/>
      </c>
      <c r="F454" s="1081" t="str">
        <f t="shared" si="42"/>
        <v/>
      </c>
      <c r="G454" s="1681"/>
      <c r="H454" s="1681"/>
      <c r="I454" s="1681"/>
      <c r="J454" s="1681"/>
      <c r="K454" s="1676"/>
      <c r="L454" s="2554" t="s">
        <v>2821</v>
      </c>
      <c r="M454" s="2574"/>
      <c r="N454" s="2574" t="s">
        <v>2822</v>
      </c>
      <c r="O454" s="2574" t="s">
        <v>2823</v>
      </c>
      <c r="P454" s="2548"/>
      <c r="Q454" s="1609" t="s">
        <v>604</v>
      </c>
      <c r="R454" s="1619" t="s">
        <v>2499</v>
      </c>
      <c r="S454" s="1610"/>
      <c r="T454" s="1610"/>
      <c r="U454" s="1610"/>
      <c r="V454" s="1610"/>
      <c r="W454" s="2540">
        <v>71700</v>
      </c>
      <c r="AD454" s="1608"/>
    </row>
    <row r="455" spans="1:30" ht="15">
      <c r="A455" s="1685" t="str">
        <f t="shared" si="43"/>
        <v/>
      </c>
      <c r="B455" s="1081" t="str">
        <f t="shared" si="38"/>
        <v/>
      </c>
      <c r="C455" s="1081" t="str">
        <f t="shared" si="39"/>
        <v/>
      </c>
      <c r="D455" s="1081" t="str">
        <f t="shared" si="40"/>
        <v/>
      </c>
      <c r="E455" s="1081" t="str">
        <f t="shared" si="41"/>
        <v/>
      </c>
      <c r="F455" s="1081" t="str">
        <f t="shared" si="42"/>
        <v/>
      </c>
      <c r="G455" s="1681"/>
      <c r="H455" s="1681"/>
      <c r="I455" s="1681"/>
      <c r="J455" s="1681"/>
      <c r="K455" s="1676"/>
      <c r="L455" s="2554"/>
      <c r="M455" s="2575"/>
      <c r="N455" s="2575"/>
      <c r="O455" s="2575"/>
      <c r="P455" s="2566"/>
      <c r="Q455" s="1611" t="s">
        <v>2481</v>
      </c>
      <c r="R455" s="1617">
        <v>3</v>
      </c>
      <c r="S455" s="1612"/>
      <c r="T455" s="1612"/>
      <c r="U455" s="1612"/>
      <c r="V455" s="1612"/>
      <c r="W455" s="2646"/>
      <c r="AD455" s="1608"/>
    </row>
    <row r="456" spans="1:30" ht="10.5" customHeight="1">
      <c r="A456" s="1685" t="str">
        <f t="shared" si="43"/>
        <v/>
      </c>
      <c r="B456" s="1081" t="str">
        <f t="shared" si="38"/>
        <v/>
      </c>
      <c r="C456" s="1081" t="str">
        <f t="shared" si="39"/>
        <v/>
      </c>
      <c r="D456" s="1081" t="str">
        <f t="shared" si="40"/>
        <v/>
      </c>
      <c r="E456" s="1081" t="str">
        <f t="shared" si="41"/>
        <v/>
      </c>
      <c r="F456" s="1081" t="str">
        <f t="shared" si="42"/>
        <v/>
      </c>
      <c r="G456" s="1681"/>
      <c r="H456" s="1681"/>
      <c r="I456" s="1681"/>
      <c r="J456" s="1681"/>
      <c r="K456" s="1676"/>
      <c r="L456" s="2554"/>
      <c r="M456" s="2575"/>
      <c r="N456" s="2575"/>
      <c r="O456" s="2575"/>
      <c r="P456" s="2566"/>
      <c r="Q456" s="1611" t="s">
        <v>2482</v>
      </c>
      <c r="R456" s="1617">
        <v>23900</v>
      </c>
      <c r="S456" s="1613"/>
      <c r="T456" s="1613"/>
      <c r="U456" s="1613"/>
      <c r="V456" s="1613"/>
      <c r="W456" s="2646"/>
      <c r="AD456" s="1608"/>
    </row>
    <row r="457" spans="1:30" ht="15">
      <c r="A457" s="1685" t="str">
        <f t="shared" si="43"/>
        <v>6.5.3.</v>
      </c>
      <c r="B457" s="1081">
        <f t="shared" si="38"/>
        <v>71700</v>
      </c>
      <c r="C457" s="1081">
        <f t="shared" si="39"/>
        <v>0</v>
      </c>
      <c r="D457" s="1081">
        <f t="shared" si="40"/>
        <v>0</v>
      </c>
      <c r="E457" s="1081">
        <f t="shared" si="41"/>
        <v>0</v>
      </c>
      <c r="F457" s="1081">
        <f t="shared" si="42"/>
        <v>0</v>
      </c>
      <c r="G457" s="1681"/>
      <c r="H457" s="1681"/>
      <c r="I457" s="1681"/>
      <c r="J457" s="1681" t="s">
        <v>1875</v>
      </c>
      <c r="K457" s="1676"/>
      <c r="L457" s="2554"/>
      <c r="M457" s="2576"/>
      <c r="N457" s="2576"/>
      <c r="O457" s="2576"/>
      <c r="P457" s="2549"/>
      <c r="Q457" s="1611" t="s">
        <v>2483</v>
      </c>
      <c r="R457" s="1628">
        <v>71700</v>
      </c>
      <c r="S457" s="1613"/>
      <c r="T457" s="1613"/>
      <c r="U457" s="1613"/>
      <c r="V457" s="1613"/>
      <c r="W457" s="2541"/>
      <c r="AD457" s="1608"/>
    </row>
    <row r="458" spans="1:30" ht="13.75" customHeight="1">
      <c r="A458" s="1685" t="str">
        <f t="shared" si="43"/>
        <v/>
      </c>
      <c r="B458" s="1081" t="str">
        <f t="shared" si="38"/>
        <v/>
      </c>
      <c r="C458" s="1081" t="str">
        <f t="shared" si="39"/>
        <v/>
      </c>
      <c r="D458" s="1081" t="str">
        <f t="shared" si="40"/>
        <v/>
      </c>
      <c r="E458" s="1081" t="str">
        <f t="shared" si="41"/>
        <v/>
      </c>
      <c r="F458" s="1081" t="str">
        <f t="shared" si="42"/>
        <v/>
      </c>
      <c r="G458" s="1681"/>
      <c r="H458" s="1681"/>
      <c r="I458" s="1681"/>
      <c r="J458" s="1681"/>
      <c r="K458" s="1676"/>
      <c r="L458" s="2554" t="s">
        <v>2824</v>
      </c>
      <c r="M458" s="2574"/>
      <c r="N458" s="2574" t="s">
        <v>2825</v>
      </c>
      <c r="O458" s="2574" t="s">
        <v>2826</v>
      </c>
      <c r="P458" s="2548"/>
      <c r="Q458" s="1609" t="s">
        <v>604</v>
      </c>
      <c r="R458" s="1619" t="s">
        <v>2499</v>
      </c>
      <c r="S458" s="1610"/>
      <c r="T458" s="1610"/>
      <c r="U458" s="1610"/>
      <c r="V458" s="1610"/>
      <c r="W458" s="2540">
        <v>47800</v>
      </c>
      <c r="AD458" s="1608"/>
    </row>
    <row r="459" spans="1:30" ht="15">
      <c r="A459" s="1685" t="str">
        <f t="shared" si="43"/>
        <v/>
      </c>
      <c r="B459" s="1081" t="str">
        <f t="shared" si="38"/>
        <v/>
      </c>
      <c r="C459" s="1081" t="str">
        <f t="shared" si="39"/>
        <v/>
      </c>
      <c r="D459" s="1081" t="str">
        <f t="shared" si="40"/>
        <v/>
      </c>
      <c r="E459" s="1081" t="str">
        <f t="shared" si="41"/>
        <v/>
      </c>
      <c r="F459" s="1081" t="str">
        <f t="shared" si="42"/>
        <v/>
      </c>
      <c r="G459" s="1681"/>
      <c r="H459" s="1681"/>
      <c r="I459" s="1681"/>
      <c r="J459" s="1681"/>
      <c r="K459" s="1676"/>
      <c r="L459" s="2554"/>
      <c r="M459" s="2575"/>
      <c r="N459" s="2575"/>
      <c r="O459" s="2575"/>
      <c r="P459" s="2566"/>
      <c r="Q459" s="1611" t="s">
        <v>2481</v>
      </c>
      <c r="R459" s="1617">
        <v>2</v>
      </c>
      <c r="S459" s="1612"/>
      <c r="T459" s="1612"/>
      <c r="U459" s="1612"/>
      <c r="V459" s="1612"/>
      <c r="W459" s="2646"/>
      <c r="AD459" s="1608"/>
    </row>
    <row r="460" spans="1:30" ht="10.5" customHeight="1">
      <c r="A460" s="1685" t="str">
        <f t="shared" si="43"/>
        <v/>
      </c>
      <c r="B460" s="1081" t="str">
        <f t="shared" si="38"/>
        <v/>
      </c>
      <c r="C460" s="1081" t="str">
        <f t="shared" si="39"/>
        <v/>
      </c>
      <c r="D460" s="1081" t="str">
        <f t="shared" si="40"/>
        <v/>
      </c>
      <c r="E460" s="1081" t="str">
        <f t="shared" si="41"/>
        <v/>
      </c>
      <c r="F460" s="1081" t="str">
        <f t="shared" si="42"/>
        <v/>
      </c>
      <c r="G460" s="1681"/>
      <c r="H460" s="1681"/>
      <c r="I460" s="1681"/>
      <c r="J460" s="1681"/>
      <c r="K460" s="1676"/>
      <c r="L460" s="2554"/>
      <c r="M460" s="2575"/>
      <c r="N460" s="2575"/>
      <c r="O460" s="2575"/>
      <c r="P460" s="2566"/>
      <c r="Q460" s="1611" t="s">
        <v>2482</v>
      </c>
      <c r="R460" s="1617">
        <v>23900</v>
      </c>
      <c r="S460" s="1613"/>
      <c r="T460" s="1613"/>
      <c r="U460" s="1613"/>
      <c r="V460" s="1613"/>
      <c r="W460" s="2646"/>
      <c r="AD460" s="1608"/>
    </row>
    <row r="461" spans="1:30" ht="15">
      <c r="A461" s="1685" t="str">
        <f t="shared" si="43"/>
        <v>6.5.3.</v>
      </c>
      <c r="B461" s="1081">
        <f t="shared" ref="B461:B524" si="44">IF($Q461="sub-total",R461,"")</f>
        <v>47800</v>
      </c>
      <c r="C461" s="1081">
        <f t="shared" ref="C461:C524" si="45">IF($Q461="sub-total",S461,"")</f>
        <v>0</v>
      </c>
      <c r="D461" s="1081">
        <f t="shared" ref="D461:D524" si="46">IF($Q461="sub-total",T461,"")</f>
        <v>0</v>
      </c>
      <c r="E461" s="1081">
        <f t="shared" ref="E461:E524" si="47">IF($Q461="sub-total",U461,"")</f>
        <v>0</v>
      </c>
      <c r="F461" s="1081">
        <f t="shared" ref="F461:F524" si="48">IF($Q461="sub-total",V461,"")</f>
        <v>0</v>
      </c>
      <c r="G461" s="1681"/>
      <c r="H461" s="1681"/>
      <c r="I461" s="1681"/>
      <c r="J461" s="1681" t="s">
        <v>1875</v>
      </c>
      <c r="K461" s="1676"/>
      <c r="L461" s="2554"/>
      <c r="M461" s="2576"/>
      <c r="N461" s="2576"/>
      <c r="O461" s="2576"/>
      <c r="P461" s="2549"/>
      <c r="Q461" s="1611" t="s">
        <v>2483</v>
      </c>
      <c r="R461" s="1628">
        <v>47800</v>
      </c>
      <c r="S461" s="1613"/>
      <c r="T461" s="1613"/>
      <c r="U461" s="1613"/>
      <c r="V461" s="1613"/>
      <c r="W461" s="2541"/>
      <c r="AD461" s="1608"/>
    </row>
    <row r="462" spans="1:30" ht="12.75" customHeight="1">
      <c r="A462" s="1685" t="str">
        <f t="shared" si="43"/>
        <v/>
      </c>
      <c r="B462" s="1081" t="str">
        <f t="shared" si="44"/>
        <v/>
      </c>
      <c r="C462" s="1081" t="str">
        <f t="shared" si="45"/>
        <v/>
      </c>
      <c r="D462" s="1081" t="str">
        <f t="shared" si="46"/>
        <v/>
      </c>
      <c r="E462" s="1081" t="str">
        <f t="shared" si="47"/>
        <v/>
      </c>
      <c r="F462" s="1081" t="str">
        <f t="shared" si="48"/>
        <v/>
      </c>
      <c r="G462" s="1681"/>
      <c r="H462" s="1681"/>
      <c r="I462" s="1681"/>
      <c r="J462" s="1681"/>
      <c r="K462" s="1676"/>
      <c r="L462" s="2583" t="s">
        <v>2827</v>
      </c>
      <c r="M462" s="2583" t="s">
        <v>2828</v>
      </c>
      <c r="N462" s="2583" t="s">
        <v>2829</v>
      </c>
      <c r="O462" s="2583" t="s">
        <v>2830</v>
      </c>
      <c r="P462" s="2548"/>
      <c r="Q462" s="1609" t="s">
        <v>604</v>
      </c>
      <c r="R462" s="1619" t="s">
        <v>2504</v>
      </c>
      <c r="S462" s="1619" t="s">
        <v>2504</v>
      </c>
      <c r="T462" s="1619" t="s">
        <v>2504</v>
      </c>
      <c r="U462" s="1610"/>
      <c r="V462" s="1610"/>
      <c r="W462" s="2590">
        <v>1747620</v>
      </c>
      <c r="AD462" s="1608"/>
    </row>
    <row r="463" spans="1:30" ht="15">
      <c r="A463" s="1685" t="str">
        <f t="shared" si="43"/>
        <v/>
      </c>
      <c r="B463" s="1081" t="str">
        <f t="shared" si="44"/>
        <v/>
      </c>
      <c r="C463" s="1081" t="str">
        <f t="shared" si="45"/>
        <v/>
      </c>
      <c r="D463" s="1081" t="str">
        <f t="shared" si="46"/>
        <v/>
      </c>
      <c r="E463" s="1081" t="str">
        <f t="shared" si="47"/>
        <v/>
      </c>
      <c r="F463" s="1081" t="str">
        <f t="shared" si="48"/>
        <v/>
      </c>
      <c r="G463" s="1681"/>
      <c r="H463" s="1681"/>
      <c r="I463" s="1681"/>
      <c r="J463" s="1681"/>
      <c r="K463" s="1676"/>
      <c r="L463" s="2583"/>
      <c r="M463" s="2583"/>
      <c r="N463" s="2583"/>
      <c r="O463" s="2583"/>
      <c r="P463" s="2566"/>
      <c r="Q463" s="1611" t="s">
        <v>2481</v>
      </c>
      <c r="R463" s="1617">
        <v>1</v>
      </c>
      <c r="S463" s="1617">
        <v>1</v>
      </c>
      <c r="T463" s="1617">
        <v>1</v>
      </c>
      <c r="U463" s="1612"/>
      <c r="V463" s="1612"/>
      <c r="W463" s="2590"/>
      <c r="AD463" s="1608"/>
    </row>
    <row r="464" spans="1:30" ht="15">
      <c r="A464" s="1685" t="str">
        <f t="shared" si="43"/>
        <v/>
      </c>
      <c r="B464" s="1081" t="str">
        <f t="shared" si="44"/>
        <v/>
      </c>
      <c r="C464" s="1081" t="str">
        <f t="shared" si="45"/>
        <v/>
      </c>
      <c r="D464" s="1081" t="str">
        <f t="shared" si="46"/>
        <v/>
      </c>
      <c r="E464" s="1081" t="str">
        <f t="shared" si="47"/>
        <v/>
      </c>
      <c r="F464" s="1081" t="str">
        <f t="shared" si="48"/>
        <v/>
      </c>
      <c r="G464" s="1681"/>
      <c r="H464" s="1681"/>
      <c r="I464" s="1681"/>
      <c r="J464" s="1681"/>
      <c r="K464" s="1676"/>
      <c r="L464" s="2583"/>
      <c r="M464" s="2583"/>
      <c r="N464" s="2583"/>
      <c r="O464" s="2583"/>
      <c r="P464" s="2566"/>
      <c r="Q464" s="1611" t="s">
        <v>2482</v>
      </c>
      <c r="R464" s="1617">
        <v>582540</v>
      </c>
      <c r="S464" s="1617">
        <v>582540</v>
      </c>
      <c r="T464" s="1617">
        <v>582540</v>
      </c>
      <c r="U464" s="1613"/>
      <c r="V464" s="1613"/>
      <c r="W464" s="2590"/>
      <c r="AD464" s="1608"/>
    </row>
    <row r="465" spans="1:30" ht="9.75" customHeight="1">
      <c r="A465" s="1685" t="str">
        <f t="shared" si="43"/>
        <v>6.5.4.</v>
      </c>
      <c r="B465" s="1081">
        <f t="shared" si="44"/>
        <v>582540</v>
      </c>
      <c r="C465" s="1081">
        <f t="shared" si="45"/>
        <v>582540</v>
      </c>
      <c r="D465" s="1081">
        <f t="shared" si="46"/>
        <v>582540</v>
      </c>
      <c r="E465" s="1081">
        <f t="shared" si="47"/>
        <v>0</v>
      </c>
      <c r="F465" s="1081">
        <f t="shared" si="48"/>
        <v>0</v>
      </c>
      <c r="G465" s="1681"/>
      <c r="H465" s="1681"/>
      <c r="I465" s="1681"/>
      <c r="J465" s="1681" t="s">
        <v>2227</v>
      </c>
      <c r="K465" s="1676"/>
      <c r="L465" s="2583"/>
      <c r="M465" s="2583"/>
      <c r="N465" s="2583"/>
      <c r="O465" s="2583"/>
      <c r="P465" s="2549"/>
      <c r="Q465" s="1611" t="s">
        <v>2483</v>
      </c>
      <c r="R465" s="1628">
        <v>582540</v>
      </c>
      <c r="S465" s="1628">
        <v>582540</v>
      </c>
      <c r="T465" s="1628">
        <v>582540</v>
      </c>
      <c r="U465" s="1613"/>
      <c r="V465" s="1613"/>
      <c r="W465" s="2590"/>
      <c r="AD465" s="1608"/>
    </row>
    <row r="466" spans="1:30" ht="19.25" customHeight="1">
      <c r="A466" s="1685" t="str">
        <f t="shared" si="43"/>
        <v/>
      </c>
      <c r="B466" s="1081" t="str">
        <f t="shared" si="44"/>
        <v/>
      </c>
      <c r="C466" s="1081" t="str">
        <f t="shared" si="45"/>
        <v/>
      </c>
      <c r="D466" s="1081" t="str">
        <f t="shared" si="46"/>
        <v/>
      </c>
      <c r="E466" s="1081" t="str">
        <f t="shared" si="47"/>
        <v/>
      </c>
      <c r="F466" s="1081" t="str">
        <f t="shared" si="48"/>
        <v/>
      </c>
      <c r="G466" s="1681"/>
      <c r="H466" s="1681"/>
      <c r="I466" s="1681"/>
      <c r="J466" s="1681"/>
      <c r="K466" s="1676"/>
      <c r="L466" s="2548" t="s">
        <v>2831</v>
      </c>
      <c r="M466" s="2542" t="s">
        <v>2832</v>
      </c>
      <c r="N466" s="2543"/>
      <c r="O466" s="2544"/>
      <c r="P466" s="2550"/>
      <c r="Q466" s="2552"/>
      <c r="R466" s="2540">
        <v>2504042.3600000003</v>
      </c>
      <c r="S466" s="2540">
        <v>2265978.66</v>
      </c>
      <c r="T466" s="2540">
        <v>2170378.66</v>
      </c>
      <c r="U466" s="2540">
        <v>2137998.66</v>
      </c>
      <c r="V466" s="2540">
        <v>2137998.66</v>
      </c>
      <c r="W466" s="2540">
        <v>11216397</v>
      </c>
      <c r="AD466" s="1608"/>
    </row>
    <row r="467" spans="1:30" ht="19.25" customHeight="1">
      <c r="A467" s="1685" t="str">
        <f t="shared" si="43"/>
        <v/>
      </c>
      <c r="B467" s="1081" t="str">
        <f t="shared" si="44"/>
        <v/>
      </c>
      <c r="C467" s="1081" t="str">
        <f t="shared" si="45"/>
        <v/>
      </c>
      <c r="D467" s="1081" t="str">
        <f t="shared" si="46"/>
        <v/>
      </c>
      <c r="E467" s="1081" t="str">
        <f t="shared" si="47"/>
        <v/>
      </c>
      <c r="F467" s="1081" t="str">
        <f t="shared" si="48"/>
        <v/>
      </c>
      <c r="G467" s="1681"/>
      <c r="H467" s="1681"/>
      <c r="I467" s="1681"/>
      <c r="J467" s="1681"/>
      <c r="K467" s="1676"/>
      <c r="L467" s="2549"/>
      <c r="M467" s="2542" t="s">
        <v>2478</v>
      </c>
      <c r="N467" s="2543"/>
      <c r="O467" s="2544"/>
      <c r="P467" s="2551"/>
      <c r="Q467" s="2553"/>
      <c r="R467" s="2541"/>
      <c r="S467" s="2541"/>
      <c r="T467" s="2541"/>
      <c r="U467" s="2541"/>
      <c r="V467" s="2541"/>
      <c r="W467" s="2541"/>
      <c r="AD467" s="1608"/>
    </row>
    <row r="468" spans="1:30" ht="12.75" customHeight="1">
      <c r="A468" s="1685" t="str">
        <f t="shared" si="43"/>
        <v/>
      </c>
      <c r="B468" s="1081" t="str">
        <f t="shared" si="44"/>
        <v/>
      </c>
      <c r="C468" s="1081" t="str">
        <f t="shared" si="45"/>
        <v/>
      </c>
      <c r="D468" s="1081" t="str">
        <f t="shared" si="46"/>
        <v/>
      </c>
      <c r="E468" s="1081" t="str">
        <f t="shared" si="47"/>
        <v/>
      </c>
      <c r="F468" s="1081" t="str">
        <f t="shared" si="48"/>
        <v/>
      </c>
      <c r="G468" s="1681"/>
      <c r="H468" s="1681"/>
      <c r="I468" s="1681"/>
      <c r="J468" s="1681"/>
      <c r="K468" s="1676"/>
      <c r="L468" s="2584" t="s">
        <v>2833</v>
      </c>
      <c r="M468" s="2574" t="s">
        <v>2834</v>
      </c>
      <c r="N468" s="2615" t="s">
        <v>2835</v>
      </c>
      <c r="O468" s="2615" t="s">
        <v>2809</v>
      </c>
      <c r="P468" s="2548"/>
      <c r="Q468" s="1609" t="s">
        <v>604</v>
      </c>
      <c r="R468" s="1619" t="s">
        <v>2762</v>
      </c>
      <c r="S468" s="1619" t="s">
        <v>2762</v>
      </c>
      <c r="T468" s="1619" t="s">
        <v>2762</v>
      </c>
      <c r="U468" s="1619" t="s">
        <v>2762</v>
      </c>
      <c r="V468" s="1619" t="s">
        <v>2762</v>
      </c>
      <c r="W468" s="2590">
        <v>10689993.300000001</v>
      </c>
      <c r="AD468" s="1608"/>
    </row>
    <row r="469" spans="1:30" ht="15">
      <c r="A469" s="1685" t="str">
        <f t="shared" si="43"/>
        <v/>
      </c>
      <c r="B469" s="1081" t="str">
        <f t="shared" si="44"/>
        <v/>
      </c>
      <c r="C469" s="1081" t="str">
        <f t="shared" si="45"/>
        <v/>
      </c>
      <c r="D469" s="1081" t="str">
        <f t="shared" si="46"/>
        <v/>
      </c>
      <c r="E469" s="1081" t="str">
        <f t="shared" si="47"/>
        <v/>
      </c>
      <c r="F469" s="1081" t="str">
        <f t="shared" si="48"/>
        <v/>
      </c>
      <c r="G469" s="1681"/>
      <c r="H469" s="1681"/>
      <c r="I469" s="1681"/>
      <c r="J469" s="1681"/>
      <c r="K469" s="1676"/>
      <c r="L469" s="2585"/>
      <c r="M469" s="2575"/>
      <c r="N469" s="2615"/>
      <c r="O469" s="2615"/>
      <c r="P469" s="2566"/>
      <c r="Q469" s="1611" t="s">
        <v>2481</v>
      </c>
      <c r="R469" s="1669">
        <v>4200</v>
      </c>
      <c r="S469" s="1669">
        <v>4200</v>
      </c>
      <c r="T469" s="1669">
        <v>4200</v>
      </c>
      <c r="U469" s="1669">
        <v>4200</v>
      </c>
      <c r="V469" s="1669">
        <v>4200</v>
      </c>
      <c r="W469" s="2590"/>
      <c r="AD469" s="1608"/>
    </row>
    <row r="470" spans="1:30" ht="13.75" customHeight="1">
      <c r="A470" s="1685" t="str">
        <f t="shared" si="43"/>
        <v/>
      </c>
      <c r="B470" s="1081" t="str">
        <f t="shared" si="44"/>
        <v/>
      </c>
      <c r="C470" s="1081" t="str">
        <f t="shared" si="45"/>
        <v/>
      </c>
      <c r="D470" s="1081" t="str">
        <f t="shared" si="46"/>
        <v/>
      </c>
      <c r="E470" s="1081" t="str">
        <f t="shared" si="47"/>
        <v/>
      </c>
      <c r="F470" s="1081" t="str">
        <f t="shared" si="48"/>
        <v/>
      </c>
      <c r="G470" s="1681"/>
      <c r="H470" s="1681"/>
      <c r="I470" s="1681"/>
      <c r="J470" s="1681"/>
      <c r="K470" s="1676"/>
      <c r="L470" s="2585"/>
      <c r="M470" s="2575"/>
      <c r="N470" s="2615"/>
      <c r="O470" s="2615"/>
      <c r="P470" s="2566"/>
      <c r="Q470" s="1611" t="s">
        <v>2482</v>
      </c>
      <c r="R470" s="1617">
        <v>551.2883333333333</v>
      </c>
      <c r="S470" s="1617">
        <v>551.2883333333333</v>
      </c>
      <c r="T470" s="1617">
        <v>551.2883333333333</v>
      </c>
      <c r="U470" s="1617">
        <v>551.2883333333333</v>
      </c>
      <c r="V470" s="1617">
        <v>551.2883333333333</v>
      </c>
      <c r="W470" s="2590"/>
      <c r="AD470" s="1608"/>
    </row>
    <row r="471" spans="1:30" ht="15">
      <c r="A471" s="1685" t="str">
        <f t="shared" si="43"/>
        <v>6.6.1.</v>
      </c>
      <c r="B471" s="1081">
        <f t="shared" si="44"/>
        <v>2137998.66</v>
      </c>
      <c r="C471" s="1081">
        <f t="shared" si="45"/>
        <v>2137998.66</v>
      </c>
      <c r="D471" s="1081">
        <f t="shared" si="46"/>
        <v>2137998.66</v>
      </c>
      <c r="E471" s="1081">
        <f t="shared" si="47"/>
        <v>2137998.66</v>
      </c>
      <c r="F471" s="1081">
        <f t="shared" si="48"/>
        <v>2137998.66</v>
      </c>
      <c r="G471" s="1681"/>
      <c r="H471" s="1681"/>
      <c r="I471" s="1681"/>
      <c r="J471" s="1681" t="s">
        <v>1876</v>
      </c>
      <c r="K471" s="1676"/>
      <c r="L471" s="2586"/>
      <c r="M471" s="2576"/>
      <c r="N471" s="2615"/>
      <c r="O471" s="2615"/>
      <c r="P471" s="2549"/>
      <c r="Q471" s="1611" t="s">
        <v>2483</v>
      </c>
      <c r="R471" s="1617">
        <v>2137998.66</v>
      </c>
      <c r="S471" s="1617">
        <v>2137998.66</v>
      </c>
      <c r="T471" s="1617">
        <v>2137998.66</v>
      </c>
      <c r="U471" s="1617">
        <v>2137998.66</v>
      </c>
      <c r="V471" s="1617">
        <v>2137998.66</v>
      </c>
      <c r="W471" s="2590"/>
      <c r="AD471" s="1608"/>
    </row>
    <row r="472" spans="1:30" ht="28.5" customHeight="1">
      <c r="A472" s="1685" t="str">
        <f t="shared" si="43"/>
        <v/>
      </c>
      <c r="B472" s="1081" t="str">
        <f t="shared" si="44"/>
        <v/>
      </c>
      <c r="C472" s="1081" t="str">
        <f t="shared" si="45"/>
        <v/>
      </c>
      <c r="D472" s="1081" t="str">
        <f t="shared" si="46"/>
        <v/>
      </c>
      <c r="E472" s="1081" t="str">
        <f t="shared" si="47"/>
        <v/>
      </c>
      <c r="F472" s="1081" t="str">
        <f t="shared" si="48"/>
        <v/>
      </c>
      <c r="G472" s="1681"/>
      <c r="H472" s="1681"/>
      <c r="I472" s="1681"/>
      <c r="J472" s="1681"/>
      <c r="K472" s="1676"/>
      <c r="L472" s="2583" t="s">
        <v>2836</v>
      </c>
      <c r="M472" s="2583" t="s">
        <v>2837</v>
      </c>
      <c r="N472" s="2583" t="s">
        <v>2838</v>
      </c>
      <c r="O472" s="2583"/>
      <c r="P472" s="2606"/>
      <c r="Q472" s="2607"/>
      <c r="R472" s="2607"/>
      <c r="S472" s="2607"/>
      <c r="T472" s="2607"/>
      <c r="U472" s="2607"/>
      <c r="V472" s="2607"/>
      <c r="W472" s="2608"/>
      <c r="AD472" s="1608"/>
    </row>
    <row r="473" spans="1:30" ht="15">
      <c r="A473" s="1685" t="str">
        <f t="shared" si="43"/>
        <v/>
      </c>
      <c r="B473" s="1081" t="str">
        <f t="shared" si="44"/>
        <v/>
      </c>
      <c r="C473" s="1081" t="str">
        <f t="shared" si="45"/>
        <v/>
      </c>
      <c r="D473" s="1081" t="str">
        <f t="shared" si="46"/>
        <v/>
      </c>
      <c r="E473" s="1081" t="str">
        <f t="shared" si="47"/>
        <v/>
      </c>
      <c r="F473" s="1081" t="str">
        <f t="shared" si="48"/>
        <v/>
      </c>
      <c r="G473" s="1681"/>
      <c r="H473" s="1681"/>
      <c r="I473" s="1681"/>
      <c r="J473" s="1681"/>
      <c r="K473" s="1676"/>
      <c r="L473" s="2583"/>
      <c r="M473" s="2583"/>
      <c r="N473" s="2583"/>
      <c r="O473" s="2583"/>
      <c r="P473" s="2609"/>
      <c r="Q473" s="2610"/>
      <c r="R473" s="2610"/>
      <c r="S473" s="2610"/>
      <c r="T473" s="2610"/>
      <c r="U473" s="2610"/>
      <c r="V473" s="2610"/>
      <c r="W473" s="2611"/>
      <c r="AD473" s="1608"/>
    </row>
    <row r="474" spans="1:30" ht="12.25" customHeight="1">
      <c r="A474" s="1685" t="str">
        <f t="shared" si="43"/>
        <v/>
      </c>
      <c r="B474" s="1081" t="str">
        <f t="shared" si="44"/>
        <v/>
      </c>
      <c r="C474" s="1081" t="str">
        <f t="shared" si="45"/>
        <v/>
      </c>
      <c r="D474" s="1081" t="str">
        <f t="shared" si="46"/>
        <v/>
      </c>
      <c r="E474" s="1081" t="str">
        <f t="shared" si="47"/>
        <v/>
      </c>
      <c r="F474" s="1081" t="str">
        <f t="shared" si="48"/>
        <v/>
      </c>
      <c r="G474" s="1681"/>
      <c r="H474" s="1681"/>
      <c r="I474" s="1681"/>
      <c r="J474" s="1681"/>
      <c r="K474" s="1676"/>
      <c r="L474" s="2583"/>
      <c r="M474" s="2583"/>
      <c r="N474" s="2583"/>
      <c r="O474" s="2583"/>
      <c r="P474" s="2609"/>
      <c r="Q474" s="2610"/>
      <c r="R474" s="2610"/>
      <c r="S474" s="2610"/>
      <c r="T474" s="2610"/>
      <c r="U474" s="2610"/>
      <c r="V474" s="2610"/>
      <c r="W474" s="2611"/>
      <c r="AD474" s="1608"/>
    </row>
    <row r="475" spans="1:30" ht="2" customHeight="1">
      <c r="A475" s="1685" t="str">
        <f t="shared" si="43"/>
        <v/>
      </c>
      <c r="B475" s="1081" t="str">
        <f t="shared" si="44"/>
        <v/>
      </c>
      <c r="C475" s="1081" t="str">
        <f t="shared" si="45"/>
        <v/>
      </c>
      <c r="D475" s="1081" t="str">
        <f t="shared" si="46"/>
        <v/>
      </c>
      <c r="E475" s="1081" t="str">
        <f t="shared" si="47"/>
        <v/>
      </c>
      <c r="F475" s="1081" t="str">
        <f t="shared" si="48"/>
        <v/>
      </c>
      <c r="G475" s="1681"/>
      <c r="H475" s="1681"/>
      <c r="I475" s="1681"/>
      <c r="J475" s="1681"/>
      <c r="K475" s="1676"/>
      <c r="L475" s="2583"/>
      <c r="M475" s="2583"/>
      <c r="N475" s="2583"/>
      <c r="O475" s="2583"/>
      <c r="P475" s="2612"/>
      <c r="Q475" s="2613"/>
      <c r="R475" s="2613"/>
      <c r="S475" s="2613"/>
      <c r="T475" s="2613"/>
      <c r="U475" s="2613"/>
      <c r="V475" s="2613"/>
      <c r="W475" s="2614"/>
      <c r="AD475" s="1608"/>
    </row>
    <row r="476" spans="1:30" ht="28.5" customHeight="1">
      <c r="A476" s="1685" t="str">
        <f t="shared" si="43"/>
        <v/>
      </c>
      <c r="B476" s="1081" t="str">
        <f t="shared" si="44"/>
        <v/>
      </c>
      <c r="C476" s="1081" t="str">
        <f t="shared" si="45"/>
        <v/>
      </c>
      <c r="D476" s="1081" t="str">
        <f t="shared" si="46"/>
        <v/>
      </c>
      <c r="E476" s="1081" t="str">
        <f t="shared" si="47"/>
        <v/>
      </c>
      <c r="F476" s="1081" t="str">
        <f t="shared" si="48"/>
        <v/>
      </c>
      <c r="G476" s="1681"/>
      <c r="H476" s="1681"/>
      <c r="I476" s="1681"/>
      <c r="J476" s="1681"/>
      <c r="K476" s="1676"/>
      <c r="L476" s="2554" t="s">
        <v>2839</v>
      </c>
      <c r="M476" s="2615"/>
      <c r="N476" s="2615" t="s">
        <v>2840</v>
      </c>
      <c r="O476" s="2615" t="s">
        <v>2841</v>
      </c>
      <c r="P476" s="1614"/>
      <c r="Q476" s="1611" t="s">
        <v>604</v>
      </c>
      <c r="R476" s="1619" t="s">
        <v>2816</v>
      </c>
      <c r="S476" s="1610"/>
      <c r="T476" s="1610"/>
      <c r="U476" s="1620"/>
      <c r="V476" s="1620"/>
      <c r="W476" s="2590">
        <v>256000</v>
      </c>
      <c r="X476" s="1589" t="s">
        <v>2842</v>
      </c>
      <c r="AD476" s="1608"/>
    </row>
    <row r="477" spans="1:30" ht="15">
      <c r="A477" s="1685" t="str">
        <f t="shared" si="43"/>
        <v/>
      </c>
      <c r="B477" s="1081" t="str">
        <f t="shared" si="44"/>
        <v/>
      </c>
      <c r="C477" s="1081" t="str">
        <f t="shared" si="45"/>
        <v/>
      </c>
      <c r="D477" s="1081" t="str">
        <f t="shared" si="46"/>
        <v/>
      </c>
      <c r="E477" s="1081" t="str">
        <f t="shared" si="47"/>
        <v/>
      </c>
      <c r="F477" s="1081" t="str">
        <f t="shared" si="48"/>
        <v/>
      </c>
      <c r="G477" s="1681"/>
      <c r="H477" s="1681"/>
      <c r="I477" s="1681"/>
      <c r="J477" s="1681"/>
      <c r="K477" s="1676"/>
      <c r="L477" s="2554"/>
      <c r="M477" s="2615"/>
      <c r="N477" s="2615"/>
      <c r="O477" s="2615"/>
      <c r="P477" s="1630"/>
      <c r="Q477" s="1611" t="s">
        <v>2481</v>
      </c>
      <c r="R477" s="1617">
        <v>1</v>
      </c>
      <c r="S477" s="1612"/>
      <c r="T477" s="1612"/>
      <c r="U477" s="1613"/>
      <c r="V477" s="1613"/>
      <c r="W477" s="2590"/>
      <c r="AD477" s="1608"/>
    </row>
    <row r="478" spans="1:30" ht="12.25" customHeight="1">
      <c r="A478" s="1685" t="str">
        <f t="shared" si="43"/>
        <v/>
      </c>
      <c r="B478" s="1081" t="str">
        <f t="shared" si="44"/>
        <v/>
      </c>
      <c r="C478" s="1081" t="str">
        <f t="shared" si="45"/>
        <v/>
      </c>
      <c r="D478" s="1081" t="str">
        <f t="shared" si="46"/>
        <v/>
      </c>
      <c r="E478" s="1081" t="str">
        <f t="shared" si="47"/>
        <v/>
      </c>
      <c r="F478" s="1081" t="str">
        <f t="shared" si="48"/>
        <v/>
      </c>
      <c r="G478" s="1681"/>
      <c r="H478" s="1681"/>
      <c r="I478" s="1681"/>
      <c r="J478" s="1681"/>
      <c r="K478" s="1676"/>
      <c r="L478" s="2554"/>
      <c r="M478" s="2615"/>
      <c r="N478" s="2615"/>
      <c r="O478" s="2615"/>
      <c r="P478" s="1630"/>
      <c r="Q478" s="1611" t="s">
        <v>2482</v>
      </c>
      <c r="R478" s="1617">
        <v>256000</v>
      </c>
      <c r="S478" s="1612"/>
      <c r="T478" s="1612"/>
      <c r="U478" s="1613"/>
      <c r="V478" s="1613"/>
      <c r="W478" s="2590"/>
      <c r="AD478" s="1608"/>
    </row>
    <row r="479" spans="1:30" ht="15">
      <c r="A479" s="1685" t="str">
        <f t="shared" si="43"/>
        <v>6.6.2.</v>
      </c>
      <c r="B479" s="1081">
        <f t="shared" si="44"/>
        <v>256000</v>
      </c>
      <c r="C479" s="1081">
        <f t="shared" si="45"/>
        <v>0</v>
      </c>
      <c r="D479" s="1081">
        <f t="shared" si="46"/>
        <v>0</v>
      </c>
      <c r="E479" s="1081">
        <f t="shared" si="47"/>
        <v>0</v>
      </c>
      <c r="F479" s="1081">
        <f t="shared" si="48"/>
        <v>0</v>
      </c>
      <c r="G479" s="1681"/>
      <c r="H479" s="1681"/>
      <c r="I479" s="1681"/>
      <c r="J479" s="1681" t="s">
        <v>1877</v>
      </c>
      <c r="K479" s="1676"/>
      <c r="L479" s="2554"/>
      <c r="M479" s="2615"/>
      <c r="N479" s="2615"/>
      <c r="O479" s="2615"/>
      <c r="P479" s="1632"/>
      <c r="Q479" s="1611" t="s">
        <v>2483</v>
      </c>
      <c r="R479" s="1628">
        <v>256000</v>
      </c>
      <c r="S479" s="1638"/>
      <c r="T479" s="1638"/>
      <c r="U479" s="1613"/>
      <c r="V479" s="1613"/>
      <c r="W479" s="2590"/>
      <c r="AD479" s="1608"/>
    </row>
    <row r="480" spans="1:30" ht="28.5" customHeight="1">
      <c r="A480" s="1685" t="str">
        <f t="shared" si="43"/>
        <v/>
      </c>
      <c r="B480" s="1081" t="str">
        <f t="shared" si="44"/>
        <v/>
      </c>
      <c r="C480" s="1081" t="str">
        <f t="shared" si="45"/>
        <v/>
      </c>
      <c r="D480" s="1081" t="str">
        <f t="shared" si="46"/>
        <v/>
      </c>
      <c r="E480" s="1081" t="str">
        <f t="shared" si="47"/>
        <v/>
      </c>
      <c r="F480" s="1081" t="str">
        <f t="shared" si="48"/>
        <v/>
      </c>
      <c r="G480" s="1681"/>
      <c r="H480" s="1681"/>
      <c r="I480" s="1681"/>
      <c r="J480" s="1681"/>
      <c r="K480" s="1676"/>
      <c r="L480" s="2554" t="s">
        <v>2843</v>
      </c>
      <c r="M480" s="2615"/>
      <c r="N480" s="2615" t="s">
        <v>2844</v>
      </c>
      <c r="O480" s="2615" t="s">
        <v>2845</v>
      </c>
      <c r="P480" s="1614"/>
      <c r="Q480" s="1611" t="s">
        <v>604</v>
      </c>
      <c r="R480" s="1619" t="s">
        <v>2563</v>
      </c>
      <c r="S480" s="1619" t="s">
        <v>2846</v>
      </c>
      <c r="T480" s="1610"/>
      <c r="U480" s="1620"/>
      <c r="V480" s="1620"/>
      <c r="W480" s="2590">
        <v>77663.7</v>
      </c>
      <c r="AD480" s="1608"/>
    </row>
    <row r="481" spans="1:30" ht="15">
      <c r="A481" s="1685" t="str">
        <f t="shared" si="43"/>
        <v/>
      </c>
      <c r="B481" s="1081" t="str">
        <f t="shared" si="44"/>
        <v/>
      </c>
      <c r="C481" s="1081" t="str">
        <f t="shared" si="45"/>
        <v/>
      </c>
      <c r="D481" s="1081" t="str">
        <f t="shared" si="46"/>
        <v/>
      </c>
      <c r="E481" s="1081" t="str">
        <f t="shared" si="47"/>
        <v/>
      </c>
      <c r="F481" s="1081" t="str">
        <f t="shared" si="48"/>
        <v/>
      </c>
      <c r="G481" s="1681"/>
      <c r="H481" s="1681"/>
      <c r="I481" s="1681"/>
      <c r="J481" s="1681"/>
      <c r="K481" s="1676"/>
      <c r="L481" s="2554"/>
      <c r="M481" s="2615"/>
      <c r="N481" s="2615"/>
      <c r="O481" s="2615"/>
      <c r="P481" s="1630"/>
      <c r="Q481" s="1611" t="s">
        <v>2481</v>
      </c>
      <c r="R481" s="1617">
        <v>1</v>
      </c>
      <c r="S481" s="1617">
        <v>1</v>
      </c>
      <c r="T481" s="1612"/>
      <c r="U481" s="1613"/>
      <c r="V481" s="1613"/>
      <c r="W481" s="2590"/>
      <c r="AD481" s="1608"/>
    </row>
    <row r="482" spans="1:30" ht="12.25" customHeight="1">
      <c r="A482" s="1685" t="str">
        <f t="shared" si="43"/>
        <v/>
      </c>
      <c r="B482" s="1081" t="str">
        <f t="shared" si="44"/>
        <v/>
      </c>
      <c r="C482" s="1081" t="str">
        <f t="shared" si="45"/>
        <v/>
      </c>
      <c r="D482" s="1081" t="str">
        <f t="shared" si="46"/>
        <v/>
      </c>
      <c r="E482" s="1081" t="str">
        <f t="shared" si="47"/>
        <v/>
      </c>
      <c r="F482" s="1081" t="str">
        <f t="shared" si="48"/>
        <v/>
      </c>
      <c r="G482" s="1681"/>
      <c r="H482" s="1681"/>
      <c r="I482" s="1681"/>
      <c r="J482" s="1681"/>
      <c r="K482" s="1676"/>
      <c r="L482" s="2554"/>
      <c r="M482" s="2615"/>
      <c r="N482" s="2615"/>
      <c r="O482" s="2615"/>
      <c r="P482" s="1630"/>
      <c r="Q482" s="1611" t="s">
        <v>2482</v>
      </c>
      <c r="R482" s="1617">
        <v>29863.7</v>
      </c>
      <c r="S482" s="1617">
        <v>47800</v>
      </c>
      <c r="T482" s="1612"/>
      <c r="U482" s="1613"/>
      <c r="V482" s="1613"/>
      <c r="W482" s="2590"/>
      <c r="AD482" s="1608"/>
    </row>
    <row r="483" spans="1:30" ht="15">
      <c r="A483" s="1685" t="str">
        <f t="shared" si="43"/>
        <v>6.6.2.</v>
      </c>
      <c r="B483" s="1081">
        <f t="shared" si="44"/>
        <v>29863.7</v>
      </c>
      <c r="C483" s="1081">
        <f t="shared" si="45"/>
        <v>47800</v>
      </c>
      <c r="D483" s="1081">
        <f t="shared" si="46"/>
        <v>0</v>
      </c>
      <c r="E483" s="1081">
        <f t="shared" si="47"/>
        <v>0</v>
      </c>
      <c r="F483" s="1081">
        <f t="shared" si="48"/>
        <v>0</v>
      </c>
      <c r="G483" s="1681"/>
      <c r="H483" s="1681"/>
      <c r="I483" s="1681"/>
      <c r="J483" s="1681" t="s">
        <v>1877</v>
      </c>
      <c r="K483" s="1676"/>
      <c r="L483" s="2554"/>
      <c r="M483" s="2615"/>
      <c r="N483" s="2615"/>
      <c r="O483" s="2615"/>
      <c r="P483" s="1632"/>
      <c r="Q483" s="1611" t="s">
        <v>2483</v>
      </c>
      <c r="R483" s="1628">
        <v>29863.7</v>
      </c>
      <c r="S483" s="1628">
        <v>47800</v>
      </c>
      <c r="T483" s="1638"/>
      <c r="U483" s="1613"/>
      <c r="V483" s="1613"/>
      <c r="W483" s="2590"/>
      <c r="AD483" s="1608"/>
    </row>
    <row r="484" spans="1:30" ht="54.75" customHeight="1">
      <c r="A484" s="1685" t="str">
        <f t="shared" si="43"/>
        <v/>
      </c>
      <c r="B484" s="1081" t="str">
        <f t="shared" si="44"/>
        <v/>
      </c>
      <c r="C484" s="1081" t="str">
        <f t="shared" si="45"/>
        <v/>
      </c>
      <c r="D484" s="1081" t="str">
        <f t="shared" si="46"/>
        <v/>
      </c>
      <c r="E484" s="1081" t="str">
        <f t="shared" si="47"/>
        <v/>
      </c>
      <c r="F484" s="1081" t="str">
        <f t="shared" si="48"/>
        <v/>
      </c>
      <c r="G484" s="1681"/>
      <c r="H484" s="1681"/>
      <c r="I484" s="1681"/>
      <c r="J484" s="1681"/>
      <c r="K484" s="1676"/>
      <c r="L484" s="2554" t="s">
        <v>2847</v>
      </c>
      <c r="M484" s="2615"/>
      <c r="N484" s="2615" t="s">
        <v>2848</v>
      </c>
      <c r="O484" s="2615" t="s">
        <v>2849</v>
      </c>
      <c r="P484" s="1630"/>
      <c r="Q484" s="1611" t="s">
        <v>604</v>
      </c>
      <c r="R484" s="1619" t="s">
        <v>2563</v>
      </c>
      <c r="S484" s="1619" t="s">
        <v>2563</v>
      </c>
      <c r="T484" s="1619" t="s">
        <v>2563</v>
      </c>
      <c r="U484" s="1620"/>
      <c r="V484" s="1620"/>
      <c r="W484" s="2590">
        <v>97140</v>
      </c>
      <c r="AD484" s="1608"/>
    </row>
    <row r="485" spans="1:30" ht="15">
      <c r="A485" s="1685" t="str">
        <f t="shared" si="43"/>
        <v/>
      </c>
      <c r="B485" s="1081" t="str">
        <f t="shared" si="44"/>
        <v/>
      </c>
      <c r="C485" s="1081" t="str">
        <f t="shared" si="45"/>
        <v/>
      </c>
      <c r="D485" s="1081" t="str">
        <f t="shared" si="46"/>
        <v/>
      </c>
      <c r="E485" s="1081" t="str">
        <f t="shared" si="47"/>
        <v/>
      </c>
      <c r="F485" s="1081" t="str">
        <f t="shared" si="48"/>
        <v/>
      </c>
      <c r="G485" s="1681"/>
      <c r="H485" s="1681"/>
      <c r="I485" s="1681"/>
      <c r="J485" s="1681"/>
      <c r="K485" s="1676"/>
      <c r="L485" s="2554"/>
      <c r="M485" s="2615"/>
      <c r="N485" s="2615"/>
      <c r="O485" s="2615"/>
      <c r="P485" s="1630"/>
      <c r="Q485" s="1611" t="s">
        <v>2481</v>
      </c>
      <c r="R485" s="1617">
        <v>2</v>
      </c>
      <c r="S485" s="1617">
        <v>2</v>
      </c>
      <c r="T485" s="1617">
        <v>2</v>
      </c>
      <c r="U485" s="1613"/>
      <c r="V485" s="1613"/>
      <c r="W485" s="2590"/>
      <c r="AD485" s="1608"/>
    </row>
    <row r="486" spans="1:30" ht="12.25" customHeight="1">
      <c r="A486" s="1685" t="str">
        <f t="shared" si="43"/>
        <v/>
      </c>
      <c r="B486" s="1081" t="str">
        <f t="shared" si="44"/>
        <v/>
      </c>
      <c r="C486" s="1081" t="str">
        <f t="shared" si="45"/>
        <v/>
      </c>
      <c r="D486" s="1081" t="str">
        <f t="shared" si="46"/>
        <v/>
      </c>
      <c r="E486" s="1081" t="str">
        <f t="shared" si="47"/>
        <v/>
      </c>
      <c r="F486" s="1081" t="str">
        <f t="shared" si="48"/>
        <v/>
      </c>
      <c r="G486" s="1681"/>
      <c r="H486" s="1681"/>
      <c r="I486" s="1681"/>
      <c r="J486" s="1681"/>
      <c r="K486" s="1676"/>
      <c r="L486" s="2554"/>
      <c r="M486" s="2615"/>
      <c r="N486" s="2615"/>
      <c r="O486" s="2615"/>
      <c r="P486" s="1630"/>
      <c r="Q486" s="1611" t="s">
        <v>2482</v>
      </c>
      <c r="R486" s="1617">
        <v>16190</v>
      </c>
      <c r="S486" s="1617">
        <v>16190</v>
      </c>
      <c r="T486" s="1617">
        <v>16190</v>
      </c>
      <c r="U486" s="1613"/>
      <c r="V486" s="1613"/>
      <c r="W486" s="2590"/>
      <c r="AD486" s="1608"/>
    </row>
    <row r="487" spans="1:30" ht="15">
      <c r="A487" s="1685" t="str">
        <f t="shared" si="43"/>
        <v>6.6.2.</v>
      </c>
      <c r="B487" s="1081">
        <f t="shared" si="44"/>
        <v>32380</v>
      </c>
      <c r="C487" s="1081">
        <f t="shared" si="45"/>
        <v>32380</v>
      </c>
      <c r="D487" s="1081">
        <f t="shared" si="46"/>
        <v>32380</v>
      </c>
      <c r="E487" s="1081">
        <f t="shared" si="47"/>
        <v>0</v>
      </c>
      <c r="F487" s="1081">
        <f t="shared" si="48"/>
        <v>0</v>
      </c>
      <c r="G487" s="1681"/>
      <c r="H487" s="1681"/>
      <c r="I487" s="1681"/>
      <c r="J487" s="1681" t="s">
        <v>1877</v>
      </c>
      <c r="K487" s="1676"/>
      <c r="L487" s="2554"/>
      <c r="M487" s="2615"/>
      <c r="N487" s="2615"/>
      <c r="O487" s="2615"/>
      <c r="P487" s="1632"/>
      <c r="Q487" s="1611" t="s">
        <v>2483</v>
      </c>
      <c r="R487" s="1628">
        <v>32380</v>
      </c>
      <c r="S487" s="1628">
        <v>32380</v>
      </c>
      <c r="T487" s="1628">
        <v>32380</v>
      </c>
      <c r="U487" s="1613"/>
      <c r="V487" s="1613"/>
      <c r="W487" s="2590"/>
      <c r="AD487" s="1608"/>
    </row>
    <row r="488" spans="1:30" ht="54.75" customHeight="1">
      <c r="A488" s="1685" t="str">
        <f t="shared" si="43"/>
        <v/>
      </c>
      <c r="B488" s="1081" t="str">
        <f t="shared" si="44"/>
        <v/>
      </c>
      <c r="C488" s="1081" t="str">
        <f t="shared" si="45"/>
        <v/>
      </c>
      <c r="D488" s="1081" t="str">
        <f t="shared" si="46"/>
        <v/>
      </c>
      <c r="E488" s="1081" t="str">
        <f t="shared" si="47"/>
        <v/>
      </c>
      <c r="F488" s="1081" t="str">
        <f t="shared" si="48"/>
        <v/>
      </c>
      <c r="G488" s="1681"/>
      <c r="H488" s="1681"/>
      <c r="I488" s="1681"/>
      <c r="J488" s="1681"/>
      <c r="K488" s="1676"/>
      <c r="L488" s="2554" t="s">
        <v>2850</v>
      </c>
      <c r="M488" s="2615"/>
      <c r="N488" s="2615" t="s">
        <v>2848</v>
      </c>
      <c r="O488" s="2615" t="s">
        <v>2849</v>
      </c>
      <c r="P488" s="1630"/>
      <c r="Q488" s="1611" t="s">
        <v>604</v>
      </c>
      <c r="R488" s="1620"/>
      <c r="S488" s="1619" t="s">
        <v>2846</v>
      </c>
      <c r="T488" s="1610"/>
      <c r="U488" s="1620"/>
      <c r="V488" s="1620"/>
      <c r="W488" s="2590">
        <v>47800</v>
      </c>
      <c r="AD488" s="1608"/>
    </row>
    <row r="489" spans="1:30" ht="15">
      <c r="A489" s="1685" t="str">
        <f t="shared" si="43"/>
        <v/>
      </c>
      <c r="B489" s="1081" t="str">
        <f t="shared" si="44"/>
        <v/>
      </c>
      <c r="C489" s="1081" t="str">
        <f t="shared" si="45"/>
        <v/>
      </c>
      <c r="D489" s="1081" t="str">
        <f t="shared" si="46"/>
        <v/>
      </c>
      <c r="E489" s="1081" t="str">
        <f t="shared" si="47"/>
        <v/>
      </c>
      <c r="F489" s="1081" t="str">
        <f t="shared" si="48"/>
        <v/>
      </c>
      <c r="G489" s="1681"/>
      <c r="H489" s="1681"/>
      <c r="I489" s="1681"/>
      <c r="J489" s="1681"/>
      <c r="K489" s="1676"/>
      <c r="L489" s="2554"/>
      <c r="M489" s="2615"/>
      <c r="N489" s="2615"/>
      <c r="O489" s="2615"/>
      <c r="P489" s="1630"/>
      <c r="Q489" s="1611" t="s">
        <v>2481</v>
      </c>
      <c r="R489" s="1613"/>
      <c r="S489" s="1617">
        <v>2</v>
      </c>
      <c r="T489" s="1612"/>
      <c r="U489" s="1613"/>
      <c r="V489" s="1613"/>
      <c r="W489" s="2590"/>
      <c r="AD489" s="1608"/>
    </row>
    <row r="490" spans="1:30" ht="12.25" customHeight="1">
      <c r="A490" s="1685" t="str">
        <f t="shared" si="43"/>
        <v/>
      </c>
      <c r="B490" s="1081" t="str">
        <f t="shared" si="44"/>
        <v/>
      </c>
      <c r="C490" s="1081" t="str">
        <f t="shared" si="45"/>
        <v/>
      </c>
      <c r="D490" s="1081" t="str">
        <f t="shared" si="46"/>
        <v/>
      </c>
      <c r="E490" s="1081" t="str">
        <f t="shared" si="47"/>
        <v/>
      </c>
      <c r="F490" s="1081" t="str">
        <f t="shared" si="48"/>
        <v/>
      </c>
      <c r="G490" s="1681"/>
      <c r="H490" s="1681"/>
      <c r="I490" s="1681"/>
      <c r="J490" s="1681"/>
      <c r="K490" s="1676"/>
      <c r="L490" s="2554"/>
      <c r="M490" s="2615"/>
      <c r="N490" s="2615"/>
      <c r="O490" s="2615"/>
      <c r="P490" s="1630"/>
      <c r="Q490" s="1611" t="s">
        <v>2482</v>
      </c>
      <c r="R490" s="1613"/>
      <c r="S490" s="1617">
        <v>23900</v>
      </c>
      <c r="T490" s="1612"/>
      <c r="U490" s="1613"/>
      <c r="V490" s="1613"/>
      <c r="W490" s="2590"/>
      <c r="AD490" s="1608"/>
    </row>
    <row r="491" spans="1:30" ht="15">
      <c r="A491" s="1685" t="str">
        <f t="shared" si="43"/>
        <v>6.6.2.</v>
      </c>
      <c r="B491" s="1081">
        <f t="shared" si="44"/>
        <v>0</v>
      </c>
      <c r="C491" s="1081">
        <f t="shared" si="45"/>
        <v>47800</v>
      </c>
      <c r="D491" s="1081">
        <f t="shared" si="46"/>
        <v>0</v>
      </c>
      <c r="E491" s="1081">
        <f t="shared" si="47"/>
        <v>0</v>
      </c>
      <c r="F491" s="1081">
        <f t="shared" si="48"/>
        <v>0</v>
      </c>
      <c r="G491" s="1681"/>
      <c r="H491" s="1681"/>
      <c r="I491" s="1681"/>
      <c r="J491" s="1681" t="s">
        <v>1877</v>
      </c>
      <c r="K491" s="1676"/>
      <c r="L491" s="2554"/>
      <c r="M491" s="2615"/>
      <c r="N491" s="2615"/>
      <c r="O491" s="2615"/>
      <c r="P491" s="1632"/>
      <c r="Q491" s="1611" t="s">
        <v>2483</v>
      </c>
      <c r="R491" s="1613"/>
      <c r="S491" s="1628">
        <v>47800</v>
      </c>
      <c r="T491" s="1638"/>
      <c r="U491" s="1613"/>
      <c r="V491" s="1613"/>
      <c r="W491" s="2590"/>
      <c r="AD491" s="1608"/>
    </row>
    <row r="492" spans="1:30" ht="15">
      <c r="A492" s="1685" t="str">
        <f t="shared" si="43"/>
        <v/>
      </c>
      <c r="B492" s="1081" t="str">
        <f t="shared" si="44"/>
        <v/>
      </c>
      <c r="C492" s="1081" t="str">
        <f t="shared" si="45"/>
        <v/>
      </c>
      <c r="D492" s="1081" t="str">
        <f t="shared" si="46"/>
        <v/>
      </c>
      <c r="E492" s="1081" t="str">
        <f t="shared" si="47"/>
        <v/>
      </c>
      <c r="F492" s="1081" t="str">
        <f t="shared" si="48"/>
        <v/>
      </c>
      <c r="G492" s="1681"/>
      <c r="H492" s="1681"/>
      <c r="I492" s="1681"/>
      <c r="J492" s="1681"/>
      <c r="K492" s="1676"/>
      <c r="L492" s="2619" t="s">
        <v>2851</v>
      </c>
      <c r="M492" s="2620" t="s">
        <v>2852</v>
      </c>
      <c r="N492" s="2620" t="s">
        <v>2853</v>
      </c>
      <c r="O492" s="2620" t="s">
        <v>2854</v>
      </c>
      <c r="P492" s="1614"/>
      <c r="Q492" s="1611" t="s">
        <v>604</v>
      </c>
      <c r="R492" s="1619" t="s">
        <v>2499</v>
      </c>
      <c r="S492" s="1620"/>
      <c r="T492" s="1620"/>
      <c r="U492" s="1620"/>
      <c r="V492" s="1620"/>
      <c r="W492" s="2590">
        <v>47800</v>
      </c>
      <c r="AD492" s="1608"/>
    </row>
    <row r="493" spans="1:30" ht="15">
      <c r="A493" s="1685" t="str">
        <f t="shared" si="43"/>
        <v/>
      </c>
      <c r="B493" s="1081" t="str">
        <f t="shared" si="44"/>
        <v/>
      </c>
      <c r="C493" s="1081" t="str">
        <f t="shared" si="45"/>
        <v/>
      </c>
      <c r="D493" s="1081" t="str">
        <f t="shared" si="46"/>
        <v/>
      </c>
      <c r="E493" s="1081" t="str">
        <f t="shared" si="47"/>
        <v/>
      </c>
      <c r="F493" s="1081" t="str">
        <f t="shared" si="48"/>
        <v/>
      </c>
      <c r="G493" s="1681"/>
      <c r="H493" s="1681"/>
      <c r="I493" s="1681"/>
      <c r="J493" s="1681"/>
      <c r="K493" s="1676"/>
      <c r="L493" s="2619"/>
      <c r="M493" s="2621"/>
      <c r="N493" s="2621"/>
      <c r="O493" s="2621"/>
      <c r="P493" s="1614"/>
      <c r="Q493" s="1611" t="s">
        <v>2481</v>
      </c>
      <c r="R493" s="1617">
        <v>2</v>
      </c>
      <c r="S493" s="1613"/>
      <c r="T493" s="1613"/>
      <c r="U493" s="1613"/>
      <c r="V493" s="1613"/>
      <c r="W493" s="2590"/>
      <c r="AD493" s="1608"/>
    </row>
    <row r="494" spans="1:30" ht="15">
      <c r="A494" s="1685" t="str">
        <f t="shared" si="43"/>
        <v/>
      </c>
      <c r="B494" s="1081" t="str">
        <f t="shared" si="44"/>
        <v/>
      </c>
      <c r="C494" s="1081" t="str">
        <f t="shared" si="45"/>
        <v/>
      </c>
      <c r="D494" s="1081" t="str">
        <f t="shared" si="46"/>
        <v/>
      </c>
      <c r="E494" s="1081" t="str">
        <f t="shared" si="47"/>
        <v/>
      </c>
      <c r="F494" s="1081" t="str">
        <f t="shared" si="48"/>
        <v/>
      </c>
      <c r="G494" s="1681"/>
      <c r="H494" s="1681"/>
      <c r="I494" s="1681"/>
      <c r="J494" s="1681"/>
      <c r="K494" s="1676"/>
      <c r="L494" s="2619"/>
      <c r="M494" s="2621"/>
      <c r="N494" s="2621"/>
      <c r="O494" s="2621"/>
      <c r="P494" s="1630"/>
      <c r="Q494" s="1611" t="s">
        <v>2482</v>
      </c>
      <c r="R494" s="1617">
        <v>23900</v>
      </c>
      <c r="S494" s="1613"/>
      <c r="T494" s="1613"/>
      <c r="U494" s="1613"/>
      <c r="V494" s="1613"/>
      <c r="W494" s="2590"/>
      <c r="AD494" s="1608"/>
    </row>
    <row r="495" spans="1:30" ht="15">
      <c r="A495" s="1685" t="str">
        <f t="shared" si="43"/>
        <v>6.6.3.</v>
      </c>
      <c r="B495" s="1081">
        <f t="shared" si="44"/>
        <v>47800</v>
      </c>
      <c r="C495" s="1081">
        <f t="shared" si="45"/>
        <v>0</v>
      </c>
      <c r="D495" s="1081">
        <f t="shared" si="46"/>
        <v>0</v>
      </c>
      <c r="E495" s="1081">
        <f t="shared" si="47"/>
        <v>0</v>
      </c>
      <c r="F495" s="1081">
        <f t="shared" si="48"/>
        <v>0</v>
      </c>
      <c r="G495" s="1681"/>
      <c r="H495" s="1681"/>
      <c r="I495" s="1681"/>
      <c r="J495" s="1681" t="s">
        <v>1878</v>
      </c>
      <c r="K495" s="1676"/>
      <c r="L495" s="2619"/>
      <c r="M495" s="2622"/>
      <c r="N495" s="2622"/>
      <c r="O495" s="2622"/>
      <c r="P495" s="1632"/>
      <c r="Q495" s="1611" t="s">
        <v>2483</v>
      </c>
      <c r="R495" s="1628">
        <v>47800</v>
      </c>
      <c r="S495" s="1613"/>
      <c r="T495" s="1613"/>
      <c r="U495" s="1613"/>
      <c r="V495" s="1613"/>
      <c r="W495" s="2590"/>
      <c r="AD495" s="1608"/>
    </row>
    <row r="496" spans="1:30" ht="19.25" customHeight="1">
      <c r="A496" s="1685" t="str">
        <f t="shared" si="43"/>
        <v/>
      </c>
      <c r="B496" s="1081" t="str">
        <f t="shared" si="44"/>
        <v/>
      </c>
      <c r="C496" s="1081" t="str">
        <f t="shared" si="45"/>
        <v/>
      </c>
      <c r="D496" s="1081" t="str">
        <f t="shared" si="46"/>
        <v/>
      </c>
      <c r="E496" s="1081" t="str">
        <f t="shared" si="47"/>
        <v/>
      </c>
      <c r="F496" s="1081" t="str">
        <f t="shared" si="48"/>
        <v/>
      </c>
      <c r="G496" s="1681"/>
      <c r="H496" s="1681"/>
      <c r="I496" s="1681"/>
      <c r="J496" s="1681"/>
      <c r="K496" s="1676"/>
      <c r="L496" s="2548" t="s">
        <v>2855</v>
      </c>
      <c r="M496" s="2542" t="s">
        <v>2856</v>
      </c>
      <c r="N496" s="2543"/>
      <c r="O496" s="2544"/>
      <c r="P496" s="2550"/>
      <c r="Q496" s="2552"/>
      <c r="R496" s="2540">
        <v>272299</v>
      </c>
      <c r="S496" s="2540">
        <v>110791</v>
      </c>
      <c r="T496" s="2540">
        <v>110791</v>
      </c>
      <c r="U496" s="2540">
        <v>110791</v>
      </c>
      <c r="V496" s="2540">
        <v>110791</v>
      </c>
      <c r="W496" s="2540">
        <v>715463</v>
      </c>
      <c r="AD496" s="1608"/>
    </row>
    <row r="497" spans="1:30" ht="19.25" customHeight="1">
      <c r="A497" s="1685" t="str">
        <f t="shared" si="43"/>
        <v/>
      </c>
      <c r="B497" s="1081" t="str">
        <f t="shared" si="44"/>
        <v/>
      </c>
      <c r="C497" s="1081" t="str">
        <f t="shared" si="45"/>
        <v/>
      </c>
      <c r="D497" s="1081" t="str">
        <f t="shared" si="46"/>
        <v/>
      </c>
      <c r="E497" s="1081" t="str">
        <f t="shared" si="47"/>
        <v/>
      </c>
      <c r="F497" s="1081" t="str">
        <f t="shared" si="48"/>
        <v/>
      </c>
      <c r="G497" s="1681"/>
      <c r="H497" s="1681"/>
      <c r="I497" s="1681"/>
      <c r="J497" s="1681"/>
      <c r="K497" s="1676"/>
      <c r="L497" s="2549"/>
      <c r="M497" s="2542" t="s">
        <v>2478</v>
      </c>
      <c r="N497" s="2543"/>
      <c r="O497" s="2544"/>
      <c r="P497" s="2551"/>
      <c r="Q497" s="2553"/>
      <c r="R497" s="2541"/>
      <c r="S497" s="2541"/>
      <c r="T497" s="2541"/>
      <c r="U497" s="2541"/>
      <c r="V497" s="2541"/>
      <c r="W497" s="2541"/>
      <c r="AD497" s="1608"/>
    </row>
    <row r="498" spans="1:30" ht="12.75" customHeight="1">
      <c r="A498" s="1685" t="str">
        <f t="shared" si="43"/>
        <v/>
      </c>
      <c r="B498" s="1081" t="str">
        <f t="shared" si="44"/>
        <v/>
      </c>
      <c r="C498" s="1081" t="str">
        <f t="shared" si="45"/>
        <v/>
      </c>
      <c r="D498" s="1081" t="str">
        <f t="shared" si="46"/>
        <v/>
      </c>
      <c r="E498" s="1081" t="str">
        <f t="shared" si="47"/>
        <v/>
      </c>
      <c r="F498" s="1081" t="str">
        <f t="shared" si="48"/>
        <v/>
      </c>
      <c r="G498" s="1681"/>
      <c r="H498" s="1681"/>
      <c r="I498" s="1681"/>
      <c r="J498" s="1681"/>
      <c r="K498" s="1676"/>
      <c r="L498" s="2583" t="s">
        <v>2857</v>
      </c>
      <c r="M498" s="2583" t="s">
        <v>2858</v>
      </c>
      <c r="N498" s="2583" t="s">
        <v>2859</v>
      </c>
      <c r="O498" s="2583"/>
      <c r="P498" s="2606"/>
      <c r="Q498" s="2607"/>
      <c r="R498" s="2607"/>
      <c r="S498" s="2607"/>
      <c r="T498" s="2607"/>
      <c r="U498" s="2607"/>
      <c r="V498" s="2607"/>
      <c r="W498" s="2608"/>
      <c r="AD498" s="1608"/>
    </row>
    <row r="499" spans="1:30" ht="15">
      <c r="A499" s="1685" t="str">
        <f t="shared" si="43"/>
        <v/>
      </c>
      <c r="B499" s="1081" t="str">
        <f t="shared" si="44"/>
        <v/>
      </c>
      <c r="C499" s="1081" t="str">
        <f t="shared" si="45"/>
        <v/>
      </c>
      <c r="D499" s="1081" t="str">
        <f t="shared" si="46"/>
        <v/>
      </c>
      <c r="E499" s="1081" t="str">
        <f t="shared" si="47"/>
        <v/>
      </c>
      <c r="F499" s="1081" t="str">
        <f t="shared" si="48"/>
        <v/>
      </c>
      <c r="G499" s="1681"/>
      <c r="H499" s="1681"/>
      <c r="I499" s="1681"/>
      <c r="J499" s="1681"/>
      <c r="K499" s="1676"/>
      <c r="L499" s="2583"/>
      <c r="M499" s="2583"/>
      <c r="N499" s="2583"/>
      <c r="O499" s="2583"/>
      <c r="P499" s="2609"/>
      <c r="Q499" s="2610"/>
      <c r="R499" s="2610"/>
      <c r="S499" s="2610"/>
      <c r="T499" s="2610"/>
      <c r="U499" s="2610"/>
      <c r="V499" s="2610"/>
      <c r="W499" s="2611"/>
      <c r="AD499" s="1608"/>
    </row>
    <row r="500" spans="1:30" ht="15">
      <c r="A500" s="1685" t="str">
        <f t="shared" si="43"/>
        <v/>
      </c>
      <c r="B500" s="1081" t="str">
        <f t="shared" si="44"/>
        <v/>
      </c>
      <c r="C500" s="1081" t="str">
        <f t="shared" si="45"/>
        <v/>
      </c>
      <c r="D500" s="1081" t="str">
        <f t="shared" si="46"/>
        <v/>
      </c>
      <c r="E500" s="1081" t="str">
        <f t="shared" si="47"/>
        <v/>
      </c>
      <c r="F500" s="1081" t="str">
        <f t="shared" si="48"/>
        <v/>
      </c>
      <c r="G500" s="1681"/>
      <c r="H500" s="1681"/>
      <c r="I500" s="1681"/>
      <c r="J500" s="1681"/>
      <c r="K500" s="1676"/>
      <c r="L500" s="2583"/>
      <c r="M500" s="2583"/>
      <c r="N500" s="2583"/>
      <c r="O500" s="2583"/>
      <c r="P500" s="2609"/>
      <c r="Q500" s="2610"/>
      <c r="R500" s="2610"/>
      <c r="S500" s="2610"/>
      <c r="T500" s="2610"/>
      <c r="U500" s="2610"/>
      <c r="V500" s="2610"/>
      <c r="W500" s="2611"/>
      <c r="AD500" s="1608"/>
    </row>
    <row r="501" spans="1:30" ht="15">
      <c r="A501" s="1685" t="str">
        <f t="shared" si="43"/>
        <v/>
      </c>
      <c r="B501" s="1081" t="str">
        <f t="shared" si="44"/>
        <v/>
      </c>
      <c r="C501" s="1081" t="str">
        <f t="shared" si="45"/>
        <v/>
      </c>
      <c r="D501" s="1081" t="str">
        <f t="shared" si="46"/>
        <v/>
      </c>
      <c r="E501" s="1081" t="str">
        <f t="shared" si="47"/>
        <v/>
      </c>
      <c r="F501" s="1081" t="str">
        <f t="shared" si="48"/>
        <v/>
      </c>
      <c r="G501" s="1681"/>
      <c r="H501" s="1681"/>
      <c r="I501" s="1681"/>
      <c r="J501" s="1681"/>
      <c r="K501" s="1676"/>
      <c r="L501" s="2583"/>
      <c r="M501" s="2583"/>
      <c r="N501" s="2583"/>
      <c r="O501" s="2583"/>
      <c r="P501" s="2612"/>
      <c r="Q501" s="2613"/>
      <c r="R501" s="2613"/>
      <c r="S501" s="2613"/>
      <c r="T501" s="2613"/>
      <c r="U501" s="2613"/>
      <c r="V501" s="2613"/>
      <c r="W501" s="2614"/>
      <c r="AD501" s="1608"/>
    </row>
    <row r="502" spans="1:30" ht="12.75" customHeight="1">
      <c r="A502" s="1685" t="str">
        <f t="shared" si="43"/>
        <v/>
      </c>
      <c r="B502" s="1081" t="str">
        <f t="shared" si="44"/>
        <v/>
      </c>
      <c r="C502" s="1081" t="str">
        <f t="shared" si="45"/>
        <v/>
      </c>
      <c r="D502" s="1081" t="str">
        <f t="shared" si="46"/>
        <v/>
      </c>
      <c r="E502" s="1081" t="str">
        <f t="shared" si="47"/>
        <v/>
      </c>
      <c r="F502" s="1081" t="str">
        <f t="shared" si="48"/>
        <v/>
      </c>
      <c r="G502" s="1681"/>
      <c r="H502" s="1681"/>
      <c r="I502" s="1681"/>
      <c r="J502" s="1681"/>
      <c r="K502" s="1676"/>
      <c r="L502" s="2554" t="s">
        <v>2860</v>
      </c>
      <c r="M502" s="2615"/>
      <c r="N502" s="2615" t="s">
        <v>2861</v>
      </c>
      <c r="O502" s="2615" t="s">
        <v>2862</v>
      </c>
      <c r="P502" s="1630"/>
      <c r="Q502" s="1609" t="s">
        <v>604</v>
      </c>
      <c r="R502" s="1619" t="s">
        <v>2509</v>
      </c>
      <c r="S502" s="1619" t="s">
        <v>2509</v>
      </c>
      <c r="T502" s="1619" t="s">
        <v>2509</v>
      </c>
      <c r="U502" s="1619" t="s">
        <v>2509</v>
      </c>
      <c r="V502" s="1619" t="s">
        <v>2509</v>
      </c>
      <c r="W502" s="2590">
        <v>11750</v>
      </c>
      <c r="AD502" s="1608"/>
    </row>
    <row r="503" spans="1:30" ht="15">
      <c r="A503" s="1685" t="str">
        <f t="shared" si="43"/>
        <v/>
      </c>
      <c r="B503" s="1081" t="str">
        <f t="shared" si="44"/>
        <v/>
      </c>
      <c r="C503" s="1081" t="str">
        <f t="shared" si="45"/>
        <v/>
      </c>
      <c r="D503" s="1081" t="str">
        <f t="shared" si="46"/>
        <v/>
      </c>
      <c r="E503" s="1081" t="str">
        <f t="shared" si="47"/>
        <v/>
      </c>
      <c r="F503" s="1081" t="str">
        <f t="shared" si="48"/>
        <v/>
      </c>
      <c r="G503" s="1681"/>
      <c r="H503" s="1681"/>
      <c r="I503" s="1681"/>
      <c r="J503" s="1681"/>
      <c r="K503" s="1676"/>
      <c r="L503" s="2554"/>
      <c r="M503" s="2615"/>
      <c r="N503" s="2615"/>
      <c r="O503" s="2615"/>
      <c r="P503" s="1630"/>
      <c r="Q503" s="1611" t="s">
        <v>2481</v>
      </c>
      <c r="R503" s="1617">
        <v>1</v>
      </c>
      <c r="S503" s="1617">
        <v>1</v>
      </c>
      <c r="T503" s="1617">
        <v>1</v>
      </c>
      <c r="U503" s="1617">
        <v>1</v>
      </c>
      <c r="V503" s="1617">
        <v>1</v>
      </c>
      <c r="W503" s="2590"/>
      <c r="AD503" s="1608"/>
    </row>
    <row r="504" spans="1:30" ht="15">
      <c r="A504" s="1685" t="str">
        <f t="shared" si="43"/>
        <v/>
      </c>
      <c r="B504" s="1081" t="str">
        <f t="shared" si="44"/>
        <v/>
      </c>
      <c r="C504" s="1081" t="str">
        <f t="shared" si="45"/>
        <v/>
      </c>
      <c r="D504" s="1081" t="str">
        <f t="shared" si="46"/>
        <v/>
      </c>
      <c r="E504" s="1081" t="str">
        <f t="shared" si="47"/>
        <v/>
      </c>
      <c r="F504" s="1081" t="str">
        <f t="shared" si="48"/>
        <v/>
      </c>
      <c r="G504" s="1681"/>
      <c r="H504" s="1681"/>
      <c r="I504" s="1681"/>
      <c r="J504" s="1681"/>
      <c r="K504" s="1676"/>
      <c r="L504" s="2554"/>
      <c r="M504" s="2615"/>
      <c r="N504" s="2615"/>
      <c r="O504" s="2615"/>
      <c r="P504" s="1630"/>
      <c r="Q504" s="1611" t="s">
        <v>2482</v>
      </c>
      <c r="R504" s="1617">
        <v>2350</v>
      </c>
      <c r="S504" s="1617">
        <v>2350</v>
      </c>
      <c r="T504" s="1617">
        <v>2350</v>
      </c>
      <c r="U504" s="1617">
        <v>2350</v>
      </c>
      <c r="V504" s="1617">
        <v>2350</v>
      </c>
      <c r="W504" s="2590"/>
      <c r="AD504" s="1608"/>
    </row>
    <row r="505" spans="1:30" ht="15">
      <c r="A505" s="1685" t="str">
        <f t="shared" si="43"/>
        <v>6.7.1.</v>
      </c>
      <c r="B505" s="1081">
        <f t="shared" si="44"/>
        <v>2350</v>
      </c>
      <c r="C505" s="1081">
        <f t="shared" si="45"/>
        <v>2350</v>
      </c>
      <c r="D505" s="1081">
        <f t="shared" si="46"/>
        <v>2350</v>
      </c>
      <c r="E505" s="1081">
        <f t="shared" si="47"/>
        <v>2350</v>
      </c>
      <c r="F505" s="1081">
        <f t="shared" si="48"/>
        <v>2350</v>
      </c>
      <c r="G505" s="1681"/>
      <c r="H505" s="1681"/>
      <c r="I505" s="1681"/>
      <c r="J505" s="1681" t="s">
        <v>1879</v>
      </c>
      <c r="K505" s="1676"/>
      <c r="L505" s="2554"/>
      <c r="M505" s="2615"/>
      <c r="N505" s="2615"/>
      <c r="O505" s="2615"/>
      <c r="P505" s="1630"/>
      <c r="Q505" s="1611" t="s">
        <v>2483</v>
      </c>
      <c r="R505" s="1628">
        <v>2350</v>
      </c>
      <c r="S505" s="1628">
        <v>2350</v>
      </c>
      <c r="T505" s="1628">
        <v>2350</v>
      </c>
      <c r="U505" s="1628">
        <v>2350</v>
      </c>
      <c r="V505" s="1628">
        <v>2350</v>
      </c>
      <c r="W505" s="2590"/>
      <c r="AD505" s="1608"/>
    </row>
    <row r="506" spans="1:30" ht="12.75" customHeight="1">
      <c r="A506" s="1685" t="str">
        <f t="shared" si="43"/>
        <v/>
      </c>
      <c r="B506" s="1081" t="str">
        <f t="shared" si="44"/>
        <v/>
      </c>
      <c r="C506" s="1081" t="str">
        <f t="shared" si="45"/>
        <v/>
      </c>
      <c r="D506" s="1081" t="str">
        <f t="shared" si="46"/>
        <v/>
      </c>
      <c r="E506" s="1081" t="str">
        <f t="shared" si="47"/>
        <v/>
      </c>
      <c r="F506" s="1081" t="str">
        <f t="shared" si="48"/>
        <v/>
      </c>
      <c r="G506" s="1681"/>
      <c r="H506" s="1681"/>
      <c r="I506" s="1681"/>
      <c r="J506" s="1681"/>
      <c r="K506" s="1676"/>
      <c r="L506" s="2554" t="s">
        <v>2863</v>
      </c>
      <c r="M506" s="2615"/>
      <c r="N506" s="2615" t="s">
        <v>2864</v>
      </c>
      <c r="O506" s="2615" t="s">
        <v>2865</v>
      </c>
      <c r="P506" s="2548"/>
      <c r="Q506" s="1609" t="s">
        <v>604</v>
      </c>
      <c r="R506" s="1619" t="s">
        <v>2509</v>
      </c>
      <c r="S506" s="1610"/>
      <c r="T506" s="1610"/>
      <c r="U506" s="1610"/>
      <c r="V506" s="1610"/>
      <c r="W506" s="2590">
        <v>45000</v>
      </c>
      <c r="AD506" s="1608"/>
    </row>
    <row r="507" spans="1:30" ht="15">
      <c r="A507" s="1685" t="str">
        <f t="shared" si="43"/>
        <v/>
      </c>
      <c r="B507" s="1081" t="str">
        <f t="shared" si="44"/>
        <v/>
      </c>
      <c r="C507" s="1081" t="str">
        <f t="shared" si="45"/>
        <v/>
      </c>
      <c r="D507" s="1081" t="str">
        <f t="shared" si="46"/>
        <v/>
      </c>
      <c r="E507" s="1081" t="str">
        <f t="shared" si="47"/>
        <v/>
      </c>
      <c r="F507" s="1081" t="str">
        <f t="shared" si="48"/>
        <v/>
      </c>
      <c r="G507" s="1681"/>
      <c r="H507" s="1681"/>
      <c r="I507" s="1681"/>
      <c r="J507" s="1681"/>
      <c r="K507" s="1676"/>
      <c r="L507" s="2554"/>
      <c r="M507" s="2615"/>
      <c r="N507" s="2615"/>
      <c r="O507" s="2615"/>
      <c r="P507" s="2566"/>
      <c r="Q507" s="1611" t="s">
        <v>2481</v>
      </c>
      <c r="R507" s="1617">
        <v>1</v>
      </c>
      <c r="S507" s="1612"/>
      <c r="T507" s="1612"/>
      <c r="U507" s="1612"/>
      <c r="V507" s="1612"/>
      <c r="W507" s="2590"/>
      <c r="AD507" s="1608"/>
    </row>
    <row r="508" spans="1:30" ht="15">
      <c r="A508" s="1685" t="str">
        <f t="shared" si="43"/>
        <v/>
      </c>
      <c r="B508" s="1081" t="str">
        <f t="shared" si="44"/>
        <v/>
      </c>
      <c r="C508" s="1081" t="str">
        <f t="shared" si="45"/>
        <v/>
      </c>
      <c r="D508" s="1081" t="str">
        <f t="shared" si="46"/>
        <v/>
      </c>
      <c r="E508" s="1081" t="str">
        <f t="shared" si="47"/>
        <v/>
      </c>
      <c r="F508" s="1081" t="str">
        <f t="shared" si="48"/>
        <v/>
      </c>
      <c r="G508" s="1681"/>
      <c r="H508" s="1681"/>
      <c r="I508" s="1681"/>
      <c r="J508" s="1681"/>
      <c r="K508" s="1676"/>
      <c r="L508" s="2554"/>
      <c r="M508" s="2615"/>
      <c r="N508" s="2615"/>
      <c r="O508" s="2615"/>
      <c r="P508" s="2566"/>
      <c r="Q508" s="1611" t="s">
        <v>2482</v>
      </c>
      <c r="R508" s="1617">
        <v>45000</v>
      </c>
      <c r="S508" s="1613"/>
      <c r="T508" s="1613"/>
      <c r="U508" s="1613"/>
      <c r="V508" s="1613"/>
      <c r="W508" s="2590"/>
      <c r="AD508" s="1608"/>
    </row>
    <row r="509" spans="1:30" ht="15">
      <c r="A509" s="1685" t="str">
        <f t="shared" si="43"/>
        <v>6.7.1.</v>
      </c>
      <c r="B509" s="1081">
        <f t="shared" si="44"/>
        <v>45000</v>
      </c>
      <c r="C509" s="1081">
        <f t="shared" si="45"/>
        <v>0</v>
      </c>
      <c r="D509" s="1081">
        <f t="shared" si="46"/>
        <v>0</v>
      </c>
      <c r="E509" s="1081">
        <f t="shared" si="47"/>
        <v>0</v>
      </c>
      <c r="F509" s="1081">
        <f t="shared" si="48"/>
        <v>0</v>
      </c>
      <c r="G509" s="1681"/>
      <c r="H509" s="1681"/>
      <c r="I509" s="1681"/>
      <c r="J509" s="1681" t="s">
        <v>1879</v>
      </c>
      <c r="K509" s="1676"/>
      <c r="L509" s="2554"/>
      <c r="M509" s="2615"/>
      <c r="N509" s="2615"/>
      <c r="O509" s="2615"/>
      <c r="P509" s="2549"/>
      <c r="Q509" s="1611" t="s">
        <v>2483</v>
      </c>
      <c r="R509" s="1628">
        <v>45000</v>
      </c>
      <c r="S509" s="1613"/>
      <c r="T509" s="1613"/>
      <c r="U509" s="1613"/>
      <c r="V509" s="1613"/>
      <c r="W509" s="2590"/>
      <c r="AD509" s="1608"/>
    </row>
    <row r="510" spans="1:30" ht="12.75" customHeight="1">
      <c r="A510" s="1685" t="str">
        <f t="shared" si="43"/>
        <v/>
      </c>
      <c r="B510" s="1081" t="str">
        <f t="shared" si="44"/>
        <v/>
      </c>
      <c r="C510" s="1081" t="str">
        <f t="shared" si="45"/>
        <v/>
      </c>
      <c r="D510" s="1081" t="str">
        <f t="shared" si="46"/>
        <v/>
      </c>
      <c r="E510" s="1081" t="str">
        <f t="shared" si="47"/>
        <v/>
      </c>
      <c r="F510" s="1081" t="str">
        <f t="shared" si="48"/>
        <v/>
      </c>
      <c r="G510" s="1681"/>
      <c r="H510" s="1681"/>
      <c r="I510" s="1681"/>
      <c r="J510" s="1681"/>
      <c r="K510" s="1676"/>
      <c r="L510" s="2554" t="s">
        <v>2866</v>
      </c>
      <c r="M510" s="2615" t="s">
        <v>2867</v>
      </c>
      <c r="N510" s="2615" t="s">
        <v>2868</v>
      </c>
      <c r="O510" s="2615" t="s">
        <v>2869</v>
      </c>
      <c r="P510" s="2548"/>
      <c r="Q510" s="1609" t="s">
        <v>604</v>
      </c>
      <c r="R510" s="1619" t="s">
        <v>2509</v>
      </c>
      <c r="S510" s="1610"/>
      <c r="T510" s="1610"/>
      <c r="U510" s="1610"/>
      <c r="V510" s="1610"/>
      <c r="W510" s="2590">
        <v>116508</v>
      </c>
      <c r="AD510" s="1608"/>
    </row>
    <row r="511" spans="1:30" ht="15">
      <c r="A511" s="1685" t="str">
        <f t="shared" si="43"/>
        <v/>
      </c>
      <c r="B511" s="1081" t="str">
        <f t="shared" si="44"/>
        <v/>
      </c>
      <c r="C511" s="1081" t="str">
        <f t="shared" si="45"/>
        <v/>
      </c>
      <c r="D511" s="1081" t="str">
        <f t="shared" si="46"/>
        <v/>
      </c>
      <c r="E511" s="1081" t="str">
        <f t="shared" si="47"/>
        <v/>
      </c>
      <c r="F511" s="1081" t="str">
        <f t="shared" si="48"/>
        <v/>
      </c>
      <c r="G511" s="1681"/>
      <c r="H511" s="1681"/>
      <c r="I511" s="1681"/>
      <c r="J511" s="1681"/>
      <c r="K511" s="1676"/>
      <c r="L511" s="2554"/>
      <c r="M511" s="2615"/>
      <c r="N511" s="2615"/>
      <c r="O511" s="2615"/>
      <c r="P511" s="2566"/>
      <c r="Q511" s="1611" t="s">
        <v>2481</v>
      </c>
      <c r="R511" s="1617">
        <v>1</v>
      </c>
      <c r="S511" s="1612"/>
      <c r="T511" s="1612"/>
      <c r="U511" s="1612"/>
      <c r="V511" s="1612"/>
      <c r="W511" s="2590"/>
      <c r="AD511" s="1608"/>
    </row>
    <row r="512" spans="1:30" ht="15">
      <c r="A512" s="1685" t="str">
        <f t="shared" si="43"/>
        <v/>
      </c>
      <c r="B512" s="1081" t="str">
        <f t="shared" si="44"/>
        <v/>
      </c>
      <c r="C512" s="1081" t="str">
        <f t="shared" si="45"/>
        <v/>
      </c>
      <c r="D512" s="1081" t="str">
        <f t="shared" si="46"/>
        <v/>
      </c>
      <c r="E512" s="1081" t="str">
        <f t="shared" si="47"/>
        <v/>
      </c>
      <c r="F512" s="1081" t="str">
        <f t="shared" si="48"/>
        <v/>
      </c>
      <c r="G512" s="1681"/>
      <c r="H512" s="1681"/>
      <c r="I512" s="1681"/>
      <c r="J512" s="1681"/>
      <c r="K512" s="1676"/>
      <c r="L512" s="2554"/>
      <c r="M512" s="2615"/>
      <c r="N512" s="2615"/>
      <c r="O512" s="2615"/>
      <c r="P512" s="2566"/>
      <c r="Q512" s="1611" t="s">
        <v>2482</v>
      </c>
      <c r="R512" s="1617">
        <v>116508</v>
      </c>
      <c r="S512" s="1612"/>
      <c r="T512" s="1612"/>
      <c r="U512" s="1612"/>
      <c r="V512" s="1612"/>
      <c r="W512" s="2590"/>
      <c r="AD512" s="1608"/>
    </row>
    <row r="513" spans="1:30" ht="118.5" customHeight="1">
      <c r="A513" s="1685" t="str">
        <f t="shared" si="43"/>
        <v>6.7.2.</v>
      </c>
      <c r="B513" s="1081">
        <f t="shared" si="44"/>
        <v>116508</v>
      </c>
      <c r="C513" s="1081">
        <f t="shared" si="45"/>
        <v>0</v>
      </c>
      <c r="D513" s="1081">
        <f t="shared" si="46"/>
        <v>0</v>
      </c>
      <c r="E513" s="1081">
        <f t="shared" si="47"/>
        <v>0</v>
      </c>
      <c r="F513" s="1081">
        <f t="shared" si="48"/>
        <v>0</v>
      </c>
      <c r="G513" s="1681"/>
      <c r="H513" s="1681"/>
      <c r="I513" s="1681"/>
      <c r="J513" s="1681" t="s">
        <v>1880</v>
      </c>
      <c r="K513" s="1676"/>
      <c r="L513" s="2554"/>
      <c r="M513" s="2615"/>
      <c r="N513" s="2615"/>
      <c r="O513" s="2615"/>
      <c r="P513" s="2549"/>
      <c r="Q513" s="1611" t="s">
        <v>2483</v>
      </c>
      <c r="R513" s="1628">
        <v>116508</v>
      </c>
      <c r="S513" s="1638"/>
      <c r="T513" s="1638"/>
      <c r="U513" s="1638"/>
      <c r="V513" s="1638"/>
      <c r="W513" s="2590"/>
      <c r="AD513" s="1608"/>
    </row>
    <row r="514" spans="1:30" ht="12.75" customHeight="1">
      <c r="A514" s="1685" t="str">
        <f t="shared" si="43"/>
        <v/>
      </c>
      <c r="B514" s="1081" t="str">
        <f t="shared" si="44"/>
        <v/>
      </c>
      <c r="C514" s="1081" t="str">
        <f t="shared" si="45"/>
        <v/>
      </c>
      <c r="D514" s="1081" t="str">
        <f t="shared" si="46"/>
        <v/>
      </c>
      <c r="E514" s="1081" t="str">
        <f t="shared" si="47"/>
        <v/>
      </c>
      <c r="F514" s="1081" t="str">
        <f t="shared" si="48"/>
        <v/>
      </c>
      <c r="G514" s="1681"/>
      <c r="H514" s="1681"/>
      <c r="I514" s="1681"/>
      <c r="J514" s="1681"/>
      <c r="K514" s="1676"/>
      <c r="L514" s="2583" t="s">
        <v>2870</v>
      </c>
      <c r="M514" s="2583" t="s">
        <v>2871</v>
      </c>
      <c r="N514" s="2583" t="s">
        <v>2872</v>
      </c>
      <c r="O514" s="2583"/>
      <c r="P514" s="2606"/>
      <c r="Q514" s="2607"/>
      <c r="R514" s="2607"/>
      <c r="S514" s="2607"/>
      <c r="T514" s="2607"/>
      <c r="U514" s="2607"/>
      <c r="V514" s="2607"/>
      <c r="W514" s="2608"/>
      <c r="AD514" s="1608"/>
    </row>
    <row r="515" spans="1:30" ht="15">
      <c r="A515" s="1685" t="str">
        <f t="shared" ref="A515:A578" si="49">IF(J515="","",LEFT(J515,6))</f>
        <v/>
      </c>
      <c r="B515" s="1081" t="str">
        <f t="shared" si="44"/>
        <v/>
      </c>
      <c r="C515" s="1081" t="str">
        <f t="shared" si="45"/>
        <v/>
      </c>
      <c r="D515" s="1081" t="str">
        <f t="shared" si="46"/>
        <v/>
      </c>
      <c r="E515" s="1081" t="str">
        <f t="shared" si="47"/>
        <v/>
      </c>
      <c r="F515" s="1081" t="str">
        <f t="shared" si="48"/>
        <v/>
      </c>
      <c r="G515" s="1681"/>
      <c r="H515" s="1681"/>
      <c r="I515" s="1681"/>
      <c r="J515" s="1681"/>
      <c r="K515" s="1676"/>
      <c r="L515" s="2583"/>
      <c r="M515" s="2583"/>
      <c r="N515" s="2583"/>
      <c r="O515" s="2583"/>
      <c r="P515" s="2609"/>
      <c r="Q515" s="2610"/>
      <c r="R515" s="2610"/>
      <c r="S515" s="2610"/>
      <c r="T515" s="2610"/>
      <c r="U515" s="2610"/>
      <c r="V515" s="2610"/>
      <c r="W515" s="2611"/>
      <c r="AD515" s="1608"/>
    </row>
    <row r="516" spans="1:30" ht="15">
      <c r="A516" s="1685" t="str">
        <f t="shared" si="49"/>
        <v/>
      </c>
      <c r="B516" s="1081" t="str">
        <f t="shared" si="44"/>
        <v/>
      </c>
      <c r="C516" s="1081" t="str">
        <f t="shared" si="45"/>
        <v/>
      </c>
      <c r="D516" s="1081" t="str">
        <f t="shared" si="46"/>
        <v/>
      </c>
      <c r="E516" s="1081" t="str">
        <f t="shared" si="47"/>
        <v/>
      </c>
      <c r="F516" s="1081" t="str">
        <f t="shared" si="48"/>
        <v/>
      </c>
      <c r="G516" s="1681"/>
      <c r="H516" s="1681"/>
      <c r="I516" s="1681"/>
      <c r="J516" s="1681"/>
      <c r="K516" s="1676"/>
      <c r="L516" s="2583"/>
      <c r="M516" s="2583"/>
      <c r="N516" s="2583"/>
      <c r="O516" s="2583"/>
      <c r="P516" s="2609"/>
      <c r="Q516" s="2610"/>
      <c r="R516" s="2610"/>
      <c r="S516" s="2610"/>
      <c r="T516" s="2610"/>
      <c r="U516" s="2610"/>
      <c r="V516" s="2610"/>
      <c r="W516" s="2611"/>
      <c r="AD516" s="1608"/>
    </row>
    <row r="517" spans="1:30" ht="45.75" customHeight="1">
      <c r="A517" s="1685" t="str">
        <f t="shared" si="49"/>
        <v/>
      </c>
      <c r="B517" s="1081" t="str">
        <f t="shared" si="44"/>
        <v/>
      </c>
      <c r="C517" s="1081" t="str">
        <f t="shared" si="45"/>
        <v/>
      </c>
      <c r="D517" s="1081" t="str">
        <f t="shared" si="46"/>
        <v/>
      </c>
      <c r="E517" s="1081" t="str">
        <f t="shared" si="47"/>
        <v/>
      </c>
      <c r="F517" s="1081" t="str">
        <f t="shared" si="48"/>
        <v/>
      </c>
      <c r="G517" s="1681"/>
      <c r="H517" s="1681"/>
      <c r="I517" s="1681"/>
      <c r="J517" s="1681"/>
      <c r="K517" s="1676"/>
      <c r="L517" s="2583"/>
      <c r="M517" s="2583"/>
      <c r="N517" s="2583"/>
      <c r="O517" s="2583"/>
      <c r="P517" s="2612"/>
      <c r="Q517" s="2613"/>
      <c r="R517" s="2613"/>
      <c r="S517" s="2613"/>
      <c r="T517" s="2613"/>
      <c r="U517" s="2613"/>
      <c r="V517" s="2613"/>
      <c r="W517" s="2614"/>
      <c r="AD517" s="1608"/>
    </row>
    <row r="518" spans="1:30" ht="15">
      <c r="A518" s="1685" t="str">
        <f t="shared" si="49"/>
        <v>6.7.3.</v>
      </c>
      <c r="B518" s="1081" t="str">
        <f t="shared" si="44"/>
        <v/>
      </c>
      <c r="C518" s="1081" t="str">
        <f t="shared" si="45"/>
        <v/>
      </c>
      <c r="D518" s="1081" t="str">
        <f t="shared" si="46"/>
        <v/>
      </c>
      <c r="E518" s="1081" t="str">
        <f t="shared" si="47"/>
        <v/>
      </c>
      <c r="F518" s="1081" t="str">
        <f t="shared" si="48"/>
        <v/>
      </c>
      <c r="G518" s="1681"/>
      <c r="H518" s="1681"/>
      <c r="I518" s="1681"/>
      <c r="J518" s="1681" t="s">
        <v>1881</v>
      </c>
      <c r="K518" s="1676"/>
      <c r="L518" s="2554" t="s">
        <v>2873</v>
      </c>
      <c r="M518" s="2615" t="s">
        <v>2871</v>
      </c>
      <c r="N518" s="2615" t="s">
        <v>2874</v>
      </c>
      <c r="O518" s="2615" t="s">
        <v>2875</v>
      </c>
      <c r="P518" s="2548"/>
      <c r="Q518" s="1609" t="s">
        <v>604</v>
      </c>
      <c r="R518" s="1619" t="s">
        <v>2563</v>
      </c>
      <c r="S518" s="1619" t="s">
        <v>2563</v>
      </c>
      <c r="T518" s="1619" t="s">
        <v>2563</v>
      </c>
      <c r="U518" s="1619" t="s">
        <v>2563</v>
      </c>
      <c r="V518" s="1619" t="s">
        <v>2563</v>
      </c>
      <c r="W518" s="2590">
        <v>117459.25</v>
      </c>
      <c r="AD518" s="1608"/>
    </row>
    <row r="519" spans="1:30" ht="15">
      <c r="A519" s="1685" t="str">
        <f t="shared" si="49"/>
        <v/>
      </c>
      <c r="B519" s="1081" t="str">
        <f t="shared" si="44"/>
        <v/>
      </c>
      <c r="C519" s="1081" t="str">
        <f t="shared" si="45"/>
        <v/>
      </c>
      <c r="D519" s="1081" t="str">
        <f t="shared" si="46"/>
        <v/>
      </c>
      <c r="E519" s="1081" t="str">
        <f t="shared" si="47"/>
        <v/>
      </c>
      <c r="F519" s="1081" t="str">
        <f t="shared" si="48"/>
        <v/>
      </c>
      <c r="G519" s="1681"/>
      <c r="H519" s="1681"/>
      <c r="I519" s="1681"/>
      <c r="J519" s="1681"/>
      <c r="K519" s="1676"/>
      <c r="L519" s="2554"/>
      <c r="M519" s="2615"/>
      <c r="N519" s="2615"/>
      <c r="O519" s="2615"/>
      <c r="P519" s="2566"/>
      <c r="Q519" s="1611" t="s">
        <v>2481</v>
      </c>
      <c r="R519" s="1617">
        <v>1</v>
      </c>
      <c r="S519" s="1617">
        <v>1</v>
      </c>
      <c r="T519" s="1617">
        <v>1</v>
      </c>
      <c r="U519" s="1617">
        <v>1</v>
      </c>
      <c r="V519" s="1617">
        <v>1</v>
      </c>
      <c r="W519" s="2590"/>
      <c r="AD519" s="1608"/>
    </row>
    <row r="520" spans="1:30" ht="15">
      <c r="A520" s="1685" t="str">
        <f t="shared" si="49"/>
        <v/>
      </c>
      <c r="B520" s="1081" t="str">
        <f t="shared" si="44"/>
        <v/>
      </c>
      <c r="C520" s="1081" t="str">
        <f t="shared" si="45"/>
        <v/>
      </c>
      <c r="D520" s="1081" t="str">
        <f t="shared" si="46"/>
        <v/>
      </c>
      <c r="E520" s="1081" t="str">
        <f t="shared" si="47"/>
        <v/>
      </c>
      <c r="F520" s="1081" t="str">
        <f t="shared" si="48"/>
        <v/>
      </c>
      <c r="G520" s="1681"/>
      <c r="H520" s="1681"/>
      <c r="I520" s="1681"/>
      <c r="J520" s="1681"/>
      <c r="K520" s="1676"/>
      <c r="L520" s="2554"/>
      <c r="M520" s="2615"/>
      <c r="N520" s="2615"/>
      <c r="O520" s="2615"/>
      <c r="P520" s="2566"/>
      <c r="Q520" s="1611" t="s">
        <v>2482</v>
      </c>
      <c r="R520" s="1617">
        <v>23491.85</v>
      </c>
      <c r="S520" s="1617">
        <v>23491.85</v>
      </c>
      <c r="T520" s="1617">
        <v>23491.85</v>
      </c>
      <c r="U520" s="1617">
        <v>23491.85</v>
      </c>
      <c r="V520" s="1617">
        <v>23491.85</v>
      </c>
      <c r="W520" s="2590"/>
      <c r="AD520" s="1608"/>
    </row>
    <row r="521" spans="1:30" ht="15">
      <c r="A521" s="1685" t="str">
        <f t="shared" si="49"/>
        <v>6.7.3.</v>
      </c>
      <c r="B521" s="1081">
        <f t="shared" si="44"/>
        <v>23491.85</v>
      </c>
      <c r="C521" s="1081">
        <f t="shared" si="45"/>
        <v>23491.85</v>
      </c>
      <c r="D521" s="1081">
        <f t="shared" si="46"/>
        <v>23491.85</v>
      </c>
      <c r="E521" s="1081">
        <f t="shared" si="47"/>
        <v>23491.85</v>
      </c>
      <c r="F521" s="1081">
        <f t="shared" si="48"/>
        <v>23491.85</v>
      </c>
      <c r="G521" s="1681"/>
      <c r="H521" s="1681"/>
      <c r="I521" s="1681"/>
      <c r="J521" s="1681" t="s">
        <v>1881</v>
      </c>
      <c r="K521" s="1676"/>
      <c r="L521" s="2554"/>
      <c r="M521" s="2615"/>
      <c r="N521" s="2615"/>
      <c r="O521" s="2615"/>
      <c r="P521" s="2549"/>
      <c r="Q521" s="1611" t="s">
        <v>2483</v>
      </c>
      <c r="R521" s="1628">
        <v>23491.85</v>
      </c>
      <c r="S521" s="1628">
        <v>23491.85</v>
      </c>
      <c r="T521" s="1628">
        <v>23491.85</v>
      </c>
      <c r="U521" s="1628">
        <v>23491.85</v>
      </c>
      <c r="V521" s="1628">
        <v>23491.85</v>
      </c>
      <c r="W521" s="2590"/>
      <c r="AD521" s="1608"/>
    </row>
    <row r="522" spans="1:30" ht="12.75" customHeight="1">
      <c r="A522" s="1685" t="str">
        <f t="shared" si="49"/>
        <v/>
      </c>
      <c r="B522" s="1081" t="str">
        <f t="shared" si="44"/>
        <v/>
      </c>
      <c r="C522" s="1081" t="str">
        <f t="shared" si="45"/>
        <v/>
      </c>
      <c r="D522" s="1081" t="str">
        <f t="shared" si="46"/>
        <v/>
      </c>
      <c r="E522" s="1081" t="str">
        <f t="shared" si="47"/>
        <v/>
      </c>
      <c r="F522" s="1081" t="str">
        <f t="shared" si="48"/>
        <v/>
      </c>
      <c r="G522" s="1681"/>
      <c r="H522" s="1681"/>
      <c r="I522" s="1681"/>
      <c r="J522" s="1681"/>
      <c r="K522" s="1676"/>
      <c r="L522" s="2554" t="s">
        <v>2876</v>
      </c>
      <c r="M522" s="2615" t="s">
        <v>2871</v>
      </c>
      <c r="N522" s="2615" t="s">
        <v>2877</v>
      </c>
      <c r="O522" s="2615"/>
      <c r="P522" s="2548"/>
      <c r="Q522" s="1609" t="s">
        <v>604</v>
      </c>
      <c r="R522" s="1619" t="s">
        <v>2878</v>
      </c>
      <c r="S522" s="1619" t="s">
        <v>2878</v>
      </c>
      <c r="T522" s="1619" t="s">
        <v>2878</v>
      </c>
      <c r="U522" s="1619" t="s">
        <v>2878</v>
      </c>
      <c r="V522" s="1619" t="s">
        <v>2878</v>
      </c>
      <c r="W522" s="2590">
        <v>175000</v>
      </c>
      <c r="AD522" s="1608"/>
    </row>
    <row r="523" spans="1:30" ht="15">
      <c r="A523" s="1685" t="str">
        <f t="shared" si="49"/>
        <v/>
      </c>
      <c r="B523" s="1081" t="str">
        <f t="shared" si="44"/>
        <v/>
      </c>
      <c r="C523" s="1081" t="str">
        <f t="shared" si="45"/>
        <v/>
      </c>
      <c r="D523" s="1081" t="str">
        <f t="shared" si="46"/>
        <v/>
      </c>
      <c r="E523" s="1081" t="str">
        <f t="shared" si="47"/>
        <v/>
      </c>
      <c r="F523" s="1081" t="str">
        <f t="shared" si="48"/>
        <v/>
      </c>
      <c r="G523" s="1681"/>
      <c r="H523" s="1681"/>
      <c r="I523" s="1681"/>
      <c r="J523" s="1681"/>
      <c r="K523" s="1676"/>
      <c r="L523" s="2554"/>
      <c r="M523" s="2615"/>
      <c r="N523" s="2615"/>
      <c r="O523" s="2615"/>
      <c r="P523" s="2566"/>
      <c r="Q523" s="1611" t="s">
        <v>2481</v>
      </c>
      <c r="R523" s="1617">
        <v>1</v>
      </c>
      <c r="S523" s="1617">
        <v>1</v>
      </c>
      <c r="T523" s="1617">
        <v>1</v>
      </c>
      <c r="U523" s="1617">
        <v>1</v>
      </c>
      <c r="V523" s="1617">
        <v>1</v>
      </c>
      <c r="W523" s="2590"/>
      <c r="AD523" s="1608"/>
    </row>
    <row r="524" spans="1:30" ht="15">
      <c r="A524" s="1685" t="str">
        <f t="shared" si="49"/>
        <v/>
      </c>
      <c r="B524" s="1081" t="str">
        <f t="shared" si="44"/>
        <v/>
      </c>
      <c r="C524" s="1081" t="str">
        <f t="shared" si="45"/>
        <v/>
      </c>
      <c r="D524" s="1081" t="str">
        <f t="shared" si="46"/>
        <v/>
      </c>
      <c r="E524" s="1081" t="str">
        <f t="shared" si="47"/>
        <v/>
      </c>
      <c r="F524" s="1081" t="str">
        <f t="shared" si="48"/>
        <v/>
      </c>
      <c r="G524" s="1681"/>
      <c r="H524" s="1681"/>
      <c r="I524" s="1681"/>
      <c r="J524" s="1681"/>
      <c r="K524" s="1676"/>
      <c r="L524" s="2554"/>
      <c r="M524" s="2615"/>
      <c r="N524" s="2615"/>
      <c r="O524" s="2615"/>
      <c r="P524" s="2566"/>
      <c r="Q524" s="1611" t="s">
        <v>2482</v>
      </c>
      <c r="R524" s="1617">
        <v>35000</v>
      </c>
      <c r="S524" s="1617">
        <v>35000</v>
      </c>
      <c r="T524" s="1617">
        <v>35000</v>
      </c>
      <c r="U524" s="1617">
        <v>35000</v>
      </c>
      <c r="V524" s="1617">
        <v>35000</v>
      </c>
      <c r="W524" s="2590"/>
      <c r="AD524" s="1608"/>
    </row>
    <row r="525" spans="1:30" ht="15">
      <c r="A525" s="1685" t="str">
        <f t="shared" si="49"/>
        <v>6.7.3.</v>
      </c>
      <c r="B525" s="1081">
        <f t="shared" ref="B525:B588" si="50">IF($Q525="sub-total",R525,"")</f>
        <v>35000</v>
      </c>
      <c r="C525" s="1081">
        <f t="shared" ref="C525:C588" si="51">IF($Q525="sub-total",S525,"")</f>
        <v>35000</v>
      </c>
      <c r="D525" s="1081">
        <f t="shared" ref="D525:D588" si="52">IF($Q525="sub-total",T525,"")</f>
        <v>35000</v>
      </c>
      <c r="E525" s="1081">
        <f t="shared" ref="E525:E588" si="53">IF($Q525="sub-total",U525,"")</f>
        <v>35000</v>
      </c>
      <c r="F525" s="1081">
        <f t="shared" ref="F525:F588" si="54">IF($Q525="sub-total",V525,"")</f>
        <v>35000</v>
      </c>
      <c r="G525" s="1681"/>
      <c r="H525" s="1681"/>
      <c r="I525" s="1681"/>
      <c r="J525" s="1681" t="s">
        <v>1881</v>
      </c>
      <c r="K525" s="1676"/>
      <c r="L525" s="2554"/>
      <c r="M525" s="2615"/>
      <c r="N525" s="2615"/>
      <c r="O525" s="2615"/>
      <c r="P525" s="2549"/>
      <c r="Q525" s="1611" t="s">
        <v>2483</v>
      </c>
      <c r="R525" s="1628">
        <v>35000</v>
      </c>
      <c r="S525" s="1628">
        <v>35000</v>
      </c>
      <c r="T525" s="1628">
        <v>35000</v>
      </c>
      <c r="U525" s="1628">
        <v>35000</v>
      </c>
      <c r="V525" s="1628">
        <v>35000</v>
      </c>
      <c r="W525" s="2590"/>
      <c r="AD525" s="1608"/>
    </row>
    <row r="526" spans="1:30" ht="15">
      <c r="A526" s="1685" t="str">
        <f t="shared" si="49"/>
        <v/>
      </c>
      <c r="B526" s="1081" t="str">
        <f t="shared" si="50"/>
        <v/>
      </c>
      <c r="C526" s="1081" t="str">
        <f t="shared" si="51"/>
        <v/>
      </c>
      <c r="D526" s="1081" t="str">
        <f t="shared" si="52"/>
        <v/>
      </c>
      <c r="E526" s="1081" t="str">
        <f t="shared" si="53"/>
        <v/>
      </c>
      <c r="F526" s="1081" t="str">
        <f t="shared" si="54"/>
        <v/>
      </c>
      <c r="G526" s="1681"/>
      <c r="H526" s="1681"/>
      <c r="I526" s="1681"/>
      <c r="J526" s="1681"/>
      <c r="K526" s="1676"/>
      <c r="L526" s="2554" t="s">
        <v>2879</v>
      </c>
      <c r="M526" s="2615" t="s">
        <v>2871</v>
      </c>
      <c r="N526" s="2615" t="s">
        <v>2880</v>
      </c>
      <c r="O526" s="2574" t="s">
        <v>2881</v>
      </c>
      <c r="P526" s="2548"/>
      <c r="Q526" s="1609" t="s">
        <v>604</v>
      </c>
      <c r="R526" s="1619" t="s">
        <v>2499</v>
      </c>
      <c r="S526" s="1619" t="s">
        <v>2499</v>
      </c>
      <c r="T526" s="1619" t="s">
        <v>2499</v>
      </c>
      <c r="U526" s="1619" t="s">
        <v>2499</v>
      </c>
      <c r="V526" s="1619" t="s">
        <v>2499</v>
      </c>
      <c r="W526" s="2590">
        <v>119500</v>
      </c>
      <c r="AD526" s="1608"/>
    </row>
    <row r="527" spans="1:30" ht="15">
      <c r="A527" s="1685" t="str">
        <f t="shared" si="49"/>
        <v/>
      </c>
      <c r="B527" s="1081" t="str">
        <f t="shared" si="50"/>
        <v/>
      </c>
      <c r="C527" s="1081" t="str">
        <f t="shared" si="51"/>
        <v/>
      </c>
      <c r="D527" s="1081" t="str">
        <f t="shared" si="52"/>
        <v/>
      </c>
      <c r="E527" s="1081" t="str">
        <f t="shared" si="53"/>
        <v/>
      </c>
      <c r="F527" s="1081" t="str">
        <f t="shared" si="54"/>
        <v/>
      </c>
      <c r="G527" s="1681"/>
      <c r="H527" s="1681"/>
      <c r="I527" s="1681"/>
      <c r="J527" s="1681"/>
      <c r="K527" s="1676"/>
      <c r="L527" s="2554"/>
      <c r="M527" s="2615"/>
      <c r="N527" s="2615"/>
      <c r="O527" s="2575"/>
      <c r="P527" s="2566"/>
      <c r="Q527" s="1611" t="s">
        <v>2481</v>
      </c>
      <c r="R527" s="1617">
        <v>1</v>
      </c>
      <c r="S527" s="1617">
        <v>1</v>
      </c>
      <c r="T527" s="1617">
        <v>1</v>
      </c>
      <c r="U527" s="1617">
        <v>1</v>
      </c>
      <c r="V527" s="1617">
        <v>1</v>
      </c>
      <c r="W527" s="2590"/>
      <c r="AD527" s="1608"/>
    </row>
    <row r="528" spans="1:30" ht="15">
      <c r="A528" s="1685" t="str">
        <f t="shared" si="49"/>
        <v/>
      </c>
      <c r="B528" s="1081" t="str">
        <f t="shared" si="50"/>
        <v/>
      </c>
      <c r="C528" s="1081" t="str">
        <f t="shared" si="51"/>
        <v/>
      </c>
      <c r="D528" s="1081" t="str">
        <f t="shared" si="52"/>
        <v/>
      </c>
      <c r="E528" s="1081" t="str">
        <f t="shared" si="53"/>
        <v/>
      </c>
      <c r="F528" s="1081" t="str">
        <f t="shared" si="54"/>
        <v/>
      </c>
      <c r="G528" s="1681"/>
      <c r="H528" s="1681"/>
      <c r="I528" s="1681"/>
      <c r="J528" s="1681"/>
      <c r="K528" s="1676"/>
      <c r="L528" s="2554"/>
      <c r="M528" s="2615"/>
      <c r="N528" s="2615"/>
      <c r="O528" s="2575"/>
      <c r="P528" s="2566"/>
      <c r="Q528" s="1611" t="s">
        <v>2482</v>
      </c>
      <c r="R528" s="1617">
        <v>23900</v>
      </c>
      <c r="S528" s="1617">
        <v>23900</v>
      </c>
      <c r="T528" s="1617">
        <v>23900</v>
      </c>
      <c r="U528" s="1617">
        <v>23900</v>
      </c>
      <c r="V528" s="1617">
        <v>23900</v>
      </c>
      <c r="W528" s="2590"/>
      <c r="AD528" s="1608"/>
    </row>
    <row r="529" spans="1:30" ht="15">
      <c r="A529" s="1685" t="str">
        <f t="shared" si="49"/>
        <v>6.7.3.</v>
      </c>
      <c r="B529" s="1081">
        <f t="shared" si="50"/>
        <v>23900</v>
      </c>
      <c r="C529" s="1081">
        <f t="shared" si="51"/>
        <v>23900</v>
      </c>
      <c r="D529" s="1081">
        <f t="shared" si="52"/>
        <v>23900</v>
      </c>
      <c r="E529" s="1081">
        <f t="shared" si="53"/>
        <v>23900</v>
      </c>
      <c r="F529" s="1081">
        <f t="shared" si="54"/>
        <v>23900</v>
      </c>
      <c r="G529" s="1681"/>
      <c r="H529" s="1681"/>
      <c r="I529" s="1681"/>
      <c r="J529" s="1681" t="s">
        <v>1881</v>
      </c>
      <c r="K529" s="1676"/>
      <c r="L529" s="2554"/>
      <c r="M529" s="2615"/>
      <c r="N529" s="2615"/>
      <c r="O529" s="2576"/>
      <c r="P529" s="2549"/>
      <c r="Q529" s="1611" t="s">
        <v>2483</v>
      </c>
      <c r="R529" s="1628">
        <v>23900</v>
      </c>
      <c r="S529" s="1628">
        <v>23900</v>
      </c>
      <c r="T529" s="1628">
        <v>23900</v>
      </c>
      <c r="U529" s="1628">
        <v>23900</v>
      </c>
      <c r="V529" s="1628">
        <v>23900</v>
      </c>
      <c r="W529" s="2590"/>
      <c r="AD529" s="1608"/>
    </row>
    <row r="530" spans="1:30" ht="15">
      <c r="A530" s="1685" t="str">
        <f t="shared" si="49"/>
        <v/>
      </c>
      <c r="B530" s="1081" t="str">
        <f t="shared" si="50"/>
        <v/>
      </c>
      <c r="C530" s="1081" t="str">
        <f t="shared" si="51"/>
        <v/>
      </c>
      <c r="D530" s="1081" t="str">
        <f t="shared" si="52"/>
        <v/>
      </c>
      <c r="E530" s="1081" t="str">
        <f t="shared" si="53"/>
        <v/>
      </c>
      <c r="F530" s="1081" t="str">
        <f t="shared" si="54"/>
        <v/>
      </c>
      <c r="G530" s="1681"/>
      <c r="H530" s="1681"/>
      <c r="I530" s="1681"/>
      <c r="J530" s="1681"/>
      <c r="K530" s="1676"/>
      <c r="L530" s="2554" t="s">
        <v>2882</v>
      </c>
      <c r="M530" s="2615" t="s">
        <v>2871</v>
      </c>
      <c r="N530" s="2615" t="s">
        <v>2883</v>
      </c>
      <c r="O530" s="2615" t="s">
        <v>2875</v>
      </c>
      <c r="P530" s="2548"/>
      <c r="Q530" s="1609" t="s">
        <v>604</v>
      </c>
      <c r="R530" s="1619" t="s">
        <v>2563</v>
      </c>
      <c r="S530" s="1619" t="s">
        <v>2563</v>
      </c>
      <c r="T530" s="1619" t="s">
        <v>2563</v>
      </c>
      <c r="U530" s="1619" t="s">
        <v>2563</v>
      </c>
      <c r="V530" s="1619" t="s">
        <v>2563</v>
      </c>
      <c r="W530" s="2590">
        <v>130245.75</v>
      </c>
      <c r="AD530" s="1608"/>
    </row>
    <row r="531" spans="1:30" ht="15">
      <c r="A531" s="1685" t="str">
        <f t="shared" si="49"/>
        <v/>
      </c>
      <c r="B531" s="1081" t="str">
        <f t="shared" si="50"/>
        <v/>
      </c>
      <c r="C531" s="1081" t="str">
        <f t="shared" si="51"/>
        <v/>
      </c>
      <c r="D531" s="1081" t="str">
        <f t="shared" si="52"/>
        <v/>
      </c>
      <c r="E531" s="1081" t="str">
        <f t="shared" si="53"/>
        <v/>
      </c>
      <c r="F531" s="1081" t="str">
        <f t="shared" si="54"/>
        <v/>
      </c>
      <c r="G531" s="1681"/>
      <c r="H531" s="1681"/>
      <c r="I531" s="1681"/>
      <c r="J531" s="1681"/>
      <c r="K531" s="1676"/>
      <c r="L531" s="2554"/>
      <c r="M531" s="2615"/>
      <c r="N531" s="2615"/>
      <c r="O531" s="2615"/>
      <c r="P531" s="2566"/>
      <c r="Q531" s="1611" t="s">
        <v>2481</v>
      </c>
      <c r="R531" s="1617">
        <v>1</v>
      </c>
      <c r="S531" s="1617">
        <v>1</v>
      </c>
      <c r="T531" s="1617">
        <v>1</v>
      </c>
      <c r="U531" s="1617">
        <v>1</v>
      </c>
      <c r="V531" s="1617">
        <v>1</v>
      </c>
      <c r="W531" s="2590"/>
      <c r="AD531" s="1608"/>
    </row>
    <row r="532" spans="1:30" ht="15">
      <c r="A532" s="1685" t="str">
        <f t="shared" si="49"/>
        <v/>
      </c>
      <c r="B532" s="1081" t="str">
        <f t="shared" si="50"/>
        <v/>
      </c>
      <c r="C532" s="1081" t="str">
        <f t="shared" si="51"/>
        <v/>
      </c>
      <c r="D532" s="1081" t="str">
        <f t="shared" si="52"/>
        <v/>
      </c>
      <c r="E532" s="1081" t="str">
        <f t="shared" si="53"/>
        <v/>
      </c>
      <c r="F532" s="1081" t="str">
        <f t="shared" si="54"/>
        <v/>
      </c>
      <c r="G532" s="1681"/>
      <c r="H532" s="1681"/>
      <c r="I532" s="1681"/>
      <c r="J532" s="1681"/>
      <c r="K532" s="1676"/>
      <c r="L532" s="2554"/>
      <c r="M532" s="2615"/>
      <c r="N532" s="2615"/>
      <c r="O532" s="2615"/>
      <c r="P532" s="2566"/>
      <c r="Q532" s="1611" t="s">
        <v>2482</v>
      </c>
      <c r="R532" s="1617">
        <v>26049.15</v>
      </c>
      <c r="S532" s="1617">
        <v>26049.15</v>
      </c>
      <c r="T532" s="1617">
        <v>26049.15</v>
      </c>
      <c r="U532" s="1617">
        <v>26049.15</v>
      </c>
      <c r="V532" s="1617">
        <v>26049.15</v>
      </c>
      <c r="W532" s="2590"/>
      <c r="AD532" s="1608"/>
    </row>
    <row r="533" spans="1:30" ht="15">
      <c r="A533" s="1685" t="str">
        <f t="shared" si="49"/>
        <v>6.7.3.</v>
      </c>
      <c r="B533" s="1081">
        <f t="shared" si="50"/>
        <v>26049.15</v>
      </c>
      <c r="C533" s="1081">
        <f t="shared" si="51"/>
        <v>26049.15</v>
      </c>
      <c r="D533" s="1081">
        <f t="shared" si="52"/>
        <v>26049.15</v>
      </c>
      <c r="E533" s="1081">
        <f t="shared" si="53"/>
        <v>26049.15</v>
      </c>
      <c r="F533" s="1081">
        <f t="shared" si="54"/>
        <v>26049.15</v>
      </c>
      <c r="G533" s="1681"/>
      <c r="H533" s="1681"/>
      <c r="I533" s="1681"/>
      <c r="J533" s="1681" t="s">
        <v>1881</v>
      </c>
      <c r="K533" s="1676"/>
      <c r="L533" s="2554"/>
      <c r="M533" s="2615"/>
      <c r="N533" s="2615"/>
      <c r="O533" s="2615"/>
      <c r="P533" s="2549"/>
      <c r="Q533" s="1611" t="s">
        <v>2483</v>
      </c>
      <c r="R533" s="1628">
        <v>26049.15</v>
      </c>
      <c r="S533" s="1628">
        <v>26049.15</v>
      </c>
      <c r="T533" s="1628">
        <v>26049.15</v>
      </c>
      <c r="U533" s="1628">
        <v>26049.15</v>
      </c>
      <c r="V533" s="1628">
        <v>26049.15</v>
      </c>
      <c r="W533" s="2590"/>
      <c r="AD533" s="1608"/>
    </row>
    <row r="534" spans="1:30" s="1666" customFormat="1" ht="59.75" customHeight="1">
      <c r="A534" s="1685" t="str">
        <f t="shared" si="49"/>
        <v/>
      </c>
      <c r="B534" s="1081" t="str">
        <f t="shared" si="50"/>
        <v/>
      </c>
      <c r="C534" s="1081" t="str">
        <f t="shared" si="51"/>
        <v/>
      </c>
      <c r="D534" s="1081" t="str">
        <f t="shared" si="52"/>
        <v/>
      </c>
      <c r="E534" s="1081" t="str">
        <f t="shared" si="53"/>
        <v/>
      </c>
      <c r="F534" s="1081" t="str">
        <f t="shared" si="54"/>
        <v/>
      </c>
      <c r="G534" s="1681"/>
      <c r="H534" s="1681"/>
      <c r="I534" s="1681"/>
      <c r="J534" s="1681"/>
      <c r="K534" s="1679"/>
      <c r="L534" s="1663">
        <v>7</v>
      </c>
      <c r="M534" s="2545" t="s">
        <v>2884</v>
      </c>
      <c r="N534" s="2546"/>
      <c r="O534" s="2547"/>
      <c r="P534" s="1663"/>
      <c r="Q534" s="1664"/>
      <c r="R534" s="1665">
        <v>256000</v>
      </c>
      <c r="S534" s="1665">
        <v>434480</v>
      </c>
      <c r="T534" s="1665">
        <v>512000</v>
      </c>
      <c r="U534" s="1665">
        <v>0</v>
      </c>
      <c r="V534" s="1665">
        <v>256000</v>
      </c>
      <c r="W534" s="1665">
        <v>1458480</v>
      </c>
      <c r="AB534" s="1589"/>
      <c r="AD534" s="1608"/>
    </row>
    <row r="535" spans="1:30" ht="19.25" customHeight="1">
      <c r="A535" s="1685" t="str">
        <f t="shared" si="49"/>
        <v/>
      </c>
      <c r="B535" s="1081" t="str">
        <f t="shared" si="50"/>
        <v/>
      </c>
      <c r="C535" s="1081" t="str">
        <f t="shared" si="51"/>
        <v/>
      </c>
      <c r="D535" s="1081" t="str">
        <f t="shared" si="52"/>
        <v/>
      </c>
      <c r="E535" s="1081" t="str">
        <f t="shared" si="53"/>
        <v/>
      </c>
      <c r="F535" s="1081" t="str">
        <f t="shared" si="54"/>
        <v/>
      </c>
      <c r="G535" s="1681"/>
      <c r="H535" s="1681"/>
      <c r="I535" s="1681"/>
      <c r="J535" s="1681"/>
      <c r="K535" s="1676"/>
      <c r="L535" s="2548" t="s">
        <v>2885</v>
      </c>
      <c r="M535" s="2542" t="s">
        <v>2886</v>
      </c>
      <c r="N535" s="2543"/>
      <c r="O535" s="2544"/>
      <c r="P535" s="2550"/>
      <c r="Q535" s="2552"/>
      <c r="R535" s="2540">
        <v>0</v>
      </c>
      <c r="S535" s="2540">
        <v>0</v>
      </c>
      <c r="T535" s="2540">
        <v>0</v>
      </c>
      <c r="U535" s="2540">
        <v>0</v>
      </c>
      <c r="V535" s="2540">
        <v>0</v>
      </c>
      <c r="W535" s="2540">
        <v>0</v>
      </c>
      <c r="AD535" s="1608"/>
    </row>
    <row r="536" spans="1:30" ht="19.25" customHeight="1">
      <c r="A536" s="1685" t="str">
        <f t="shared" si="49"/>
        <v/>
      </c>
      <c r="B536" s="1081" t="str">
        <f t="shared" si="50"/>
        <v/>
      </c>
      <c r="C536" s="1081" t="str">
        <f t="shared" si="51"/>
        <v/>
      </c>
      <c r="D536" s="1081" t="str">
        <f t="shared" si="52"/>
        <v/>
      </c>
      <c r="E536" s="1081" t="str">
        <f t="shared" si="53"/>
        <v/>
      </c>
      <c r="F536" s="1081" t="str">
        <f t="shared" si="54"/>
        <v/>
      </c>
      <c r="G536" s="1681"/>
      <c r="H536" s="1681"/>
      <c r="I536" s="1681"/>
      <c r="J536" s="1681"/>
      <c r="K536" s="1676"/>
      <c r="L536" s="2549"/>
      <c r="M536" s="2542" t="s">
        <v>2529</v>
      </c>
      <c r="N536" s="2543"/>
      <c r="O536" s="2544"/>
      <c r="P536" s="2551"/>
      <c r="Q536" s="2553"/>
      <c r="R536" s="2541"/>
      <c r="S536" s="2541"/>
      <c r="T536" s="2541"/>
      <c r="U536" s="2541"/>
      <c r="V536" s="2541"/>
      <c r="W536" s="2541"/>
      <c r="AD536" s="1608"/>
    </row>
    <row r="537" spans="1:30" ht="15">
      <c r="A537" s="1685" t="str">
        <f t="shared" si="49"/>
        <v/>
      </c>
      <c r="B537" s="1081" t="str">
        <f t="shared" si="50"/>
        <v/>
      </c>
      <c r="C537" s="1081" t="str">
        <f t="shared" si="51"/>
        <v/>
      </c>
      <c r="D537" s="1081" t="str">
        <f t="shared" si="52"/>
        <v/>
      </c>
      <c r="E537" s="1081" t="str">
        <f t="shared" si="53"/>
        <v/>
      </c>
      <c r="F537" s="1081" t="str">
        <f t="shared" si="54"/>
        <v/>
      </c>
      <c r="G537" s="1681"/>
      <c r="H537" s="1681"/>
      <c r="I537" s="1681"/>
      <c r="J537" s="1681"/>
      <c r="K537" s="1676"/>
      <c r="L537" s="2554" t="s">
        <v>2887</v>
      </c>
      <c r="M537" s="2597" t="s">
        <v>2888</v>
      </c>
      <c r="N537" s="2597"/>
      <c r="O537" s="2555"/>
      <c r="P537" s="1614"/>
      <c r="Q537" s="1609" t="s">
        <v>604</v>
      </c>
      <c r="R537" s="1610"/>
      <c r="S537" s="1610"/>
      <c r="T537" s="1610"/>
      <c r="U537" s="1610"/>
      <c r="V537" s="1610"/>
      <c r="W537" s="2563">
        <v>0</v>
      </c>
      <c r="AD537" s="1608"/>
    </row>
    <row r="538" spans="1:30" ht="15">
      <c r="A538" s="1685" t="str">
        <f t="shared" si="49"/>
        <v/>
      </c>
      <c r="B538" s="1081" t="str">
        <f t="shared" si="50"/>
        <v/>
      </c>
      <c r="C538" s="1081" t="str">
        <f t="shared" si="51"/>
        <v/>
      </c>
      <c r="D538" s="1081" t="str">
        <f t="shared" si="52"/>
        <v/>
      </c>
      <c r="E538" s="1081" t="str">
        <f t="shared" si="53"/>
        <v/>
      </c>
      <c r="F538" s="1081" t="str">
        <f t="shared" si="54"/>
        <v/>
      </c>
      <c r="G538" s="1681"/>
      <c r="H538" s="1681"/>
      <c r="I538" s="1681"/>
      <c r="J538" s="1681"/>
      <c r="K538" s="1676"/>
      <c r="L538" s="2554"/>
      <c r="M538" s="2598"/>
      <c r="N538" s="2598"/>
      <c r="O538" s="2556"/>
      <c r="P538" s="1630"/>
      <c r="Q538" s="1611" t="s">
        <v>2481</v>
      </c>
      <c r="R538" s="1613"/>
      <c r="S538" s="1613"/>
      <c r="T538" s="1613"/>
      <c r="U538" s="1613"/>
      <c r="V538" s="1613"/>
      <c r="W538" s="2564"/>
      <c r="AD538" s="1608"/>
    </row>
    <row r="539" spans="1:30" ht="15">
      <c r="A539" s="1685" t="str">
        <f t="shared" si="49"/>
        <v/>
      </c>
      <c r="B539" s="1081" t="str">
        <f t="shared" si="50"/>
        <v/>
      </c>
      <c r="C539" s="1081" t="str">
        <f t="shared" si="51"/>
        <v/>
      </c>
      <c r="D539" s="1081" t="str">
        <f t="shared" si="52"/>
        <v/>
      </c>
      <c r="E539" s="1081" t="str">
        <f t="shared" si="53"/>
        <v/>
      </c>
      <c r="F539" s="1081" t="str">
        <f t="shared" si="54"/>
        <v/>
      </c>
      <c r="G539" s="1681"/>
      <c r="H539" s="1681"/>
      <c r="I539" s="1681"/>
      <c r="J539" s="1681"/>
      <c r="K539" s="1676"/>
      <c r="L539" s="2554"/>
      <c r="M539" s="2598"/>
      <c r="N539" s="2598"/>
      <c r="O539" s="2556"/>
      <c r="P539" s="1631"/>
      <c r="Q539" s="1611" t="s">
        <v>2482</v>
      </c>
      <c r="R539" s="1613"/>
      <c r="S539" s="1613"/>
      <c r="T539" s="1613"/>
      <c r="U539" s="1613"/>
      <c r="V539" s="1613"/>
      <c r="W539" s="2564"/>
      <c r="AD539" s="1608"/>
    </row>
    <row r="540" spans="1:30" ht="15">
      <c r="A540" s="1685" t="str">
        <f t="shared" si="49"/>
        <v/>
      </c>
      <c r="B540" s="1081">
        <f t="shared" si="50"/>
        <v>0</v>
      </c>
      <c r="C540" s="1081">
        <f t="shared" si="51"/>
        <v>0</v>
      </c>
      <c r="D540" s="1081">
        <f t="shared" si="52"/>
        <v>0</v>
      </c>
      <c r="E540" s="1081">
        <f t="shared" si="53"/>
        <v>0</v>
      </c>
      <c r="F540" s="1081">
        <f t="shared" si="54"/>
        <v>0</v>
      </c>
      <c r="G540" s="1681"/>
      <c r="H540" s="1681"/>
      <c r="I540" s="1681"/>
      <c r="J540" s="1681"/>
      <c r="K540" s="1676"/>
      <c r="L540" s="2554"/>
      <c r="M540" s="2599"/>
      <c r="N540" s="2599"/>
      <c r="O540" s="2557"/>
      <c r="P540" s="1632"/>
      <c r="Q540" s="1611" t="s">
        <v>2483</v>
      </c>
      <c r="R540" s="1613"/>
      <c r="S540" s="1613"/>
      <c r="T540" s="1613"/>
      <c r="U540" s="1613"/>
      <c r="V540" s="1613"/>
      <c r="W540" s="2565"/>
      <c r="AD540" s="1608"/>
    </row>
    <row r="541" spans="1:30" ht="13.75" customHeight="1">
      <c r="A541" s="1685" t="str">
        <f t="shared" si="49"/>
        <v/>
      </c>
      <c r="B541" s="1081" t="str">
        <f t="shared" si="50"/>
        <v/>
      </c>
      <c r="C541" s="1081" t="str">
        <f t="shared" si="51"/>
        <v/>
      </c>
      <c r="D541" s="1081" t="str">
        <f t="shared" si="52"/>
        <v/>
      </c>
      <c r="E541" s="1081" t="str">
        <f t="shared" si="53"/>
        <v/>
      </c>
      <c r="F541" s="1081" t="str">
        <f t="shared" si="54"/>
        <v/>
      </c>
      <c r="G541" s="1681"/>
      <c r="H541" s="1681"/>
      <c r="I541" s="1681"/>
      <c r="J541" s="1681"/>
      <c r="K541" s="1676"/>
      <c r="L541" s="2554" t="s">
        <v>2889</v>
      </c>
      <c r="M541" s="2597" t="s">
        <v>2890</v>
      </c>
      <c r="N541" s="2597"/>
      <c r="O541" s="2560"/>
      <c r="P541" s="1614"/>
      <c r="Q541" s="1611" t="s">
        <v>604</v>
      </c>
      <c r="R541" s="1620"/>
      <c r="S541" s="1620"/>
      <c r="T541" s="1620"/>
      <c r="U541" s="1620"/>
      <c r="V541" s="1620"/>
      <c r="W541" s="2563">
        <v>0</v>
      </c>
      <c r="AD541" s="1608"/>
    </row>
    <row r="542" spans="1:30" ht="15">
      <c r="A542" s="1685" t="str">
        <f t="shared" si="49"/>
        <v/>
      </c>
      <c r="B542" s="1081" t="str">
        <f t="shared" si="50"/>
        <v/>
      </c>
      <c r="C542" s="1081" t="str">
        <f t="shared" si="51"/>
        <v/>
      </c>
      <c r="D542" s="1081" t="str">
        <f t="shared" si="52"/>
        <v/>
      </c>
      <c r="E542" s="1081" t="str">
        <f t="shared" si="53"/>
        <v/>
      </c>
      <c r="F542" s="1081" t="str">
        <f t="shared" si="54"/>
        <v/>
      </c>
      <c r="G542" s="1681"/>
      <c r="H542" s="1681"/>
      <c r="I542" s="1681"/>
      <c r="J542" s="1681"/>
      <c r="K542" s="1676"/>
      <c r="L542" s="2554"/>
      <c r="M542" s="2598"/>
      <c r="N542" s="2598"/>
      <c r="O542" s="2561"/>
      <c r="P542" s="1631"/>
      <c r="Q542" s="1611" t="s">
        <v>2481</v>
      </c>
      <c r="R542" s="1613"/>
      <c r="S542" s="1613"/>
      <c r="T542" s="1613"/>
      <c r="U542" s="1613"/>
      <c r="V542" s="1613"/>
      <c r="W542" s="2564"/>
      <c r="AD542" s="1608"/>
    </row>
    <row r="543" spans="1:30" ht="15">
      <c r="A543" s="1685" t="str">
        <f t="shared" si="49"/>
        <v/>
      </c>
      <c r="B543" s="1081" t="str">
        <f t="shared" si="50"/>
        <v/>
      </c>
      <c r="C543" s="1081" t="str">
        <f t="shared" si="51"/>
        <v/>
      </c>
      <c r="D543" s="1081" t="str">
        <f t="shared" si="52"/>
        <v/>
      </c>
      <c r="E543" s="1081" t="str">
        <f t="shared" si="53"/>
        <v/>
      </c>
      <c r="F543" s="1081" t="str">
        <f t="shared" si="54"/>
        <v/>
      </c>
      <c r="G543" s="1681"/>
      <c r="H543" s="1681"/>
      <c r="I543" s="1681"/>
      <c r="J543" s="1681"/>
      <c r="K543" s="1676"/>
      <c r="L543" s="2554"/>
      <c r="M543" s="2598"/>
      <c r="N543" s="2598"/>
      <c r="O543" s="2561"/>
      <c r="P543" s="1630"/>
      <c r="Q543" s="1611" t="s">
        <v>2482</v>
      </c>
      <c r="R543" s="1613"/>
      <c r="S543" s="1613"/>
      <c r="T543" s="1613"/>
      <c r="U543" s="1613"/>
      <c r="V543" s="1613"/>
      <c r="W543" s="2564"/>
      <c r="AD543" s="1608"/>
    </row>
    <row r="544" spans="1:30" ht="15">
      <c r="A544" s="1685" t="str">
        <f t="shared" si="49"/>
        <v/>
      </c>
      <c r="B544" s="1081">
        <f t="shared" si="50"/>
        <v>0</v>
      </c>
      <c r="C544" s="1081">
        <f t="shared" si="51"/>
        <v>0</v>
      </c>
      <c r="D544" s="1081">
        <f t="shared" si="52"/>
        <v>0</v>
      </c>
      <c r="E544" s="1081">
        <f t="shared" si="53"/>
        <v>0</v>
      </c>
      <c r="F544" s="1081">
        <f t="shared" si="54"/>
        <v>0</v>
      </c>
      <c r="G544" s="1681"/>
      <c r="H544" s="1681"/>
      <c r="I544" s="1681"/>
      <c r="J544" s="1681"/>
      <c r="K544" s="1676"/>
      <c r="L544" s="2554"/>
      <c r="M544" s="2599"/>
      <c r="N544" s="2599"/>
      <c r="O544" s="2562"/>
      <c r="P544" s="1632"/>
      <c r="Q544" s="1611" t="s">
        <v>2483</v>
      </c>
      <c r="R544" s="1613"/>
      <c r="S544" s="1613"/>
      <c r="T544" s="1613"/>
      <c r="U544" s="1613"/>
      <c r="V544" s="1613"/>
      <c r="W544" s="2565"/>
      <c r="AD544" s="1608"/>
    </row>
    <row r="545" spans="1:30" ht="13.75" customHeight="1">
      <c r="A545" s="1685" t="str">
        <f t="shared" si="49"/>
        <v/>
      </c>
      <c r="B545" s="1081" t="str">
        <f t="shared" si="50"/>
        <v/>
      </c>
      <c r="C545" s="1081" t="str">
        <f t="shared" si="51"/>
        <v/>
      </c>
      <c r="D545" s="1081" t="str">
        <f t="shared" si="52"/>
        <v/>
      </c>
      <c r="E545" s="1081" t="str">
        <f t="shared" si="53"/>
        <v/>
      </c>
      <c r="F545" s="1081" t="str">
        <f t="shared" si="54"/>
        <v/>
      </c>
      <c r="G545" s="1681"/>
      <c r="H545" s="1681"/>
      <c r="I545" s="1681"/>
      <c r="J545" s="1681"/>
      <c r="K545" s="1676"/>
      <c r="L545" s="2554" t="s">
        <v>2891</v>
      </c>
      <c r="M545" s="2597" t="s">
        <v>2892</v>
      </c>
      <c r="N545" s="2603"/>
      <c r="O545" s="2603"/>
      <c r="P545" s="1614"/>
      <c r="Q545" s="1611" t="s">
        <v>604</v>
      </c>
      <c r="R545" s="1620"/>
      <c r="S545" s="1620"/>
      <c r="T545" s="1620"/>
      <c r="U545" s="1620"/>
      <c r="V545" s="1620"/>
      <c r="W545" s="2563">
        <v>0</v>
      </c>
      <c r="AD545" s="1608"/>
    </row>
    <row r="546" spans="1:30" ht="15">
      <c r="A546" s="1685" t="str">
        <f t="shared" si="49"/>
        <v/>
      </c>
      <c r="B546" s="1081" t="str">
        <f t="shared" si="50"/>
        <v/>
      </c>
      <c r="C546" s="1081" t="str">
        <f t="shared" si="51"/>
        <v/>
      </c>
      <c r="D546" s="1081" t="str">
        <f t="shared" si="52"/>
        <v/>
      </c>
      <c r="E546" s="1081" t="str">
        <f t="shared" si="53"/>
        <v/>
      </c>
      <c r="F546" s="1081" t="str">
        <f t="shared" si="54"/>
        <v/>
      </c>
      <c r="G546" s="1681"/>
      <c r="H546" s="1681"/>
      <c r="I546" s="1681"/>
      <c r="J546" s="1681"/>
      <c r="K546" s="1676"/>
      <c r="L546" s="2554"/>
      <c r="M546" s="2598"/>
      <c r="N546" s="2604"/>
      <c r="O546" s="2604"/>
      <c r="P546" s="1631"/>
      <c r="Q546" s="1611" t="s">
        <v>2481</v>
      </c>
      <c r="R546" s="1613"/>
      <c r="S546" s="1613"/>
      <c r="T546" s="1613"/>
      <c r="U546" s="1613"/>
      <c r="V546" s="1613"/>
      <c r="W546" s="2564"/>
      <c r="AD546" s="1608"/>
    </row>
    <row r="547" spans="1:30" ht="15">
      <c r="A547" s="1685" t="str">
        <f t="shared" si="49"/>
        <v/>
      </c>
      <c r="B547" s="1081" t="str">
        <f t="shared" si="50"/>
        <v/>
      </c>
      <c r="C547" s="1081" t="str">
        <f t="shared" si="51"/>
        <v/>
      </c>
      <c r="D547" s="1081" t="str">
        <f t="shared" si="52"/>
        <v/>
      </c>
      <c r="E547" s="1081" t="str">
        <f t="shared" si="53"/>
        <v/>
      </c>
      <c r="F547" s="1081" t="str">
        <f t="shared" si="54"/>
        <v/>
      </c>
      <c r="G547" s="1681"/>
      <c r="H547" s="1681"/>
      <c r="I547" s="1681"/>
      <c r="J547" s="1681"/>
      <c r="K547" s="1676"/>
      <c r="L547" s="2554"/>
      <c r="M547" s="2598"/>
      <c r="N547" s="2604"/>
      <c r="O547" s="2604"/>
      <c r="P547" s="1630"/>
      <c r="Q547" s="1611" t="s">
        <v>2482</v>
      </c>
      <c r="R547" s="1613"/>
      <c r="S547" s="1613"/>
      <c r="T547" s="1613"/>
      <c r="U547" s="1613"/>
      <c r="V547" s="1613"/>
      <c r="W547" s="2564"/>
      <c r="AD547" s="1608"/>
    </row>
    <row r="548" spans="1:30" ht="15">
      <c r="A548" s="1685" t="str">
        <f t="shared" si="49"/>
        <v/>
      </c>
      <c r="B548" s="1081">
        <f t="shared" si="50"/>
        <v>0</v>
      </c>
      <c r="C548" s="1081">
        <f t="shared" si="51"/>
        <v>0</v>
      </c>
      <c r="D548" s="1081">
        <f t="shared" si="52"/>
        <v>0</v>
      </c>
      <c r="E548" s="1081">
        <f t="shared" si="53"/>
        <v>0</v>
      </c>
      <c r="F548" s="1081">
        <f t="shared" si="54"/>
        <v>0</v>
      </c>
      <c r="G548" s="1681"/>
      <c r="H548" s="1681"/>
      <c r="I548" s="1681"/>
      <c r="J548" s="1681"/>
      <c r="K548" s="1676"/>
      <c r="L548" s="2554"/>
      <c r="M548" s="2599"/>
      <c r="N548" s="2605"/>
      <c r="O548" s="2605"/>
      <c r="P548" s="1632"/>
      <c r="Q548" s="1611" t="s">
        <v>2483</v>
      </c>
      <c r="R548" s="1633"/>
      <c r="S548" s="1633"/>
      <c r="T548" s="1633"/>
      <c r="U548" s="1633"/>
      <c r="V548" s="1633"/>
      <c r="W548" s="2565"/>
      <c r="AD548" s="1608"/>
    </row>
    <row r="549" spans="1:30" ht="19.25" customHeight="1">
      <c r="A549" s="1685" t="str">
        <f t="shared" si="49"/>
        <v/>
      </c>
      <c r="B549" s="1081" t="str">
        <f t="shared" si="50"/>
        <v/>
      </c>
      <c r="C549" s="1081" t="str">
        <f t="shared" si="51"/>
        <v/>
      </c>
      <c r="D549" s="1081" t="str">
        <f t="shared" si="52"/>
        <v/>
      </c>
      <c r="E549" s="1081" t="str">
        <f t="shared" si="53"/>
        <v/>
      </c>
      <c r="F549" s="1081" t="str">
        <f t="shared" si="54"/>
        <v/>
      </c>
      <c r="G549" s="1681"/>
      <c r="H549" s="1681"/>
      <c r="I549" s="1681"/>
      <c r="J549" s="1681"/>
      <c r="K549" s="1676"/>
      <c r="L549" s="2548" t="s">
        <v>2893</v>
      </c>
      <c r="M549" s="2542" t="s">
        <v>2894</v>
      </c>
      <c r="N549" s="2543"/>
      <c r="O549" s="2544"/>
      <c r="P549" s="2550"/>
      <c r="Q549" s="2552"/>
      <c r="R549" s="2540">
        <v>256000</v>
      </c>
      <c r="S549" s="2540">
        <v>434480</v>
      </c>
      <c r="T549" s="2540">
        <v>512000</v>
      </c>
      <c r="U549" s="2540">
        <v>0</v>
      </c>
      <c r="V549" s="2540">
        <v>256000</v>
      </c>
      <c r="W549" s="2540">
        <v>1458480</v>
      </c>
      <c r="AD549" s="1608"/>
    </row>
    <row r="550" spans="1:30" ht="19.25" customHeight="1">
      <c r="A550" s="1685" t="str">
        <f t="shared" si="49"/>
        <v/>
      </c>
      <c r="B550" s="1081" t="str">
        <f t="shared" si="50"/>
        <v/>
      </c>
      <c r="C550" s="1081" t="str">
        <f t="shared" si="51"/>
        <v/>
      </c>
      <c r="D550" s="1081" t="str">
        <f t="shared" si="52"/>
        <v/>
      </c>
      <c r="E550" s="1081" t="str">
        <f t="shared" si="53"/>
        <v/>
      </c>
      <c r="F550" s="1081" t="str">
        <f t="shared" si="54"/>
        <v/>
      </c>
      <c r="G550" s="1681"/>
      <c r="H550" s="1681"/>
      <c r="I550" s="1681"/>
      <c r="J550" s="1681"/>
      <c r="K550" s="1676"/>
      <c r="L550" s="2549"/>
      <c r="M550" s="2542" t="s">
        <v>2478</v>
      </c>
      <c r="N550" s="2543"/>
      <c r="O550" s="2544"/>
      <c r="P550" s="2551"/>
      <c r="Q550" s="2553"/>
      <c r="R550" s="2541"/>
      <c r="S550" s="2541"/>
      <c r="T550" s="2541"/>
      <c r="U550" s="2541"/>
      <c r="V550" s="2541"/>
      <c r="W550" s="2541"/>
      <c r="AD550" s="1608"/>
    </row>
    <row r="551" spans="1:30" ht="15">
      <c r="A551" s="1685" t="str">
        <f t="shared" si="49"/>
        <v/>
      </c>
      <c r="B551" s="1081" t="str">
        <f t="shared" si="50"/>
        <v/>
      </c>
      <c r="C551" s="1081" t="str">
        <f t="shared" si="51"/>
        <v/>
      </c>
      <c r="D551" s="1081" t="str">
        <f t="shared" si="52"/>
        <v/>
      </c>
      <c r="E551" s="1081" t="str">
        <f t="shared" si="53"/>
        <v/>
      </c>
      <c r="F551" s="1081" t="str">
        <f t="shared" si="54"/>
        <v/>
      </c>
      <c r="G551" s="1681"/>
      <c r="H551" s="1681"/>
      <c r="I551" s="1681"/>
      <c r="J551" s="1681"/>
      <c r="K551" s="1676"/>
      <c r="L551" s="2554" t="s">
        <v>2895</v>
      </c>
      <c r="M551" s="2597" t="s">
        <v>2896</v>
      </c>
      <c r="N551" s="2597"/>
      <c r="O551" s="2597"/>
      <c r="P551" s="1614"/>
      <c r="Q551" s="1611" t="s">
        <v>604</v>
      </c>
      <c r="R551" s="1610"/>
      <c r="S551" s="1610"/>
      <c r="T551" s="1610"/>
      <c r="U551" s="1610"/>
      <c r="V551" s="1610"/>
      <c r="W551" s="2590">
        <v>0</v>
      </c>
      <c r="AD551" s="1608"/>
    </row>
    <row r="552" spans="1:30" ht="15">
      <c r="A552" s="1685" t="str">
        <f t="shared" si="49"/>
        <v/>
      </c>
      <c r="B552" s="1081" t="str">
        <f t="shared" si="50"/>
        <v/>
      </c>
      <c r="C552" s="1081" t="str">
        <f t="shared" si="51"/>
        <v/>
      </c>
      <c r="D552" s="1081" t="str">
        <f t="shared" si="52"/>
        <v/>
      </c>
      <c r="E552" s="1081" t="str">
        <f t="shared" si="53"/>
        <v/>
      </c>
      <c r="F552" s="1081" t="str">
        <f t="shared" si="54"/>
        <v/>
      </c>
      <c r="G552" s="1681"/>
      <c r="H552" s="1681"/>
      <c r="I552" s="1681"/>
      <c r="J552" s="1681"/>
      <c r="K552" s="1676"/>
      <c r="L552" s="2554"/>
      <c r="M552" s="2598"/>
      <c r="N552" s="2598"/>
      <c r="O552" s="2598"/>
      <c r="P552" s="1630"/>
      <c r="Q552" s="1611" t="s">
        <v>2481</v>
      </c>
      <c r="R552" s="1613"/>
      <c r="S552" s="1613"/>
      <c r="T552" s="1613"/>
      <c r="U552" s="1613"/>
      <c r="V552" s="1613"/>
      <c r="W552" s="2590"/>
      <c r="AD552" s="1608"/>
    </row>
    <row r="553" spans="1:30" ht="15">
      <c r="A553" s="1685" t="str">
        <f t="shared" si="49"/>
        <v/>
      </c>
      <c r="B553" s="1081" t="str">
        <f t="shared" si="50"/>
        <v/>
      </c>
      <c r="C553" s="1081" t="str">
        <f t="shared" si="51"/>
        <v/>
      </c>
      <c r="D553" s="1081" t="str">
        <f t="shared" si="52"/>
        <v/>
      </c>
      <c r="E553" s="1081" t="str">
        <f t="shared" si="53"/>
        <v/>
      </c>
      <c r="F553" s="1081" t="str">
        <f t="shared" si="54"/>
        <v/>
      </c>
      <c r="G553" s="1681"/>
      <c r="H553" s="1681"/>
      <c r="I553" s="1681"/>
      <c r="J553" s="1681"/>
      <c r="K553" s="1676"/>
      <c r="L553" s="2554"/>
      <c r="M553" s="2598"/>
      <c r="N553" s="2598"/>
      <c r="O553" s="2598"/>
      <c r="P553" s="1630"/>
      <c r="Q553" s="1611" t="s">
        <v>2482</v>
      </c>
      <c r="R553" s="1613"/>
      <c r="S553" s="1613"/>
      <c r="T553" s="1613"/>
      <c r="U553" s="1613"/>
      <c r="V553" s="1613"/>
      <c r="W553" s="2590"/>
      <c r="AD553" s="1608"/>
    </row>
    <row r="554" spans="1:30" ht="15">
      <c r="A554" s="1685" t="str">
        <f t="shared" si="49"/>
        <v/>
      </c>
      <c r="B554" s="1081">
        <f t="shared" si="50"/>
        <v>0</v>
      </c>
      <c r="C554" s="1081">
        <f t="shared" si="51"/>
        <v>0</v>
      </c>
      <c r="D554" s="1081">
        <f t="shared" si="52"/>
        <v>0</v>
      </c>
      <c r="E554" s="1081">
        <f t="shared" si="53"/>
        <v>0</v>
      </c>
      <c r="F554" s="1081">
        <f t="shared" si="54"/>
        <v>0</v>
      </c>
      <c r="G554" s="1681"/>
      <c r="H554" s="1681"/>
      <c r="I554" s="1681"/>
      <c r="J554" s="1681"/>
      <c r="K554" s="1676"/>
      <c r="L554" s="2554"/>
      <c r="M554" s="2599"/>
      <c r="N554" s="2599"/>
      <c r="O554" s="2599"/>
      <c r="P554" s="1634"/>
      <c r="Q554" s="1611" t="s">
        <v>2483</v>
      </c>
      <c r="R554" s="1613"/>
      <c r="S554" s="1613"/>
      <c r="T554" s="1613"/>
      <c r="U554" s="1613"/>
      <c r="V554" s="1613"/>
      <c r="W554" s="2590"/>
      <c r="AD554" s="1608"/>
    </row>
    <row r="555" spans="1:30" ht="15">
      <c r="A555" s="1685" t="str">
        <f t="shared" si="49"/>
        <v/>
      </c>
      <c r="B555" s="1081" t="str">
        <f t="shared" si="50"/>
        <v/>
      </c>
      <c r="C555" s="1081" t="str">
        <f t="shared" si="51"/>
        <v/>
      </c>
      <c r="D555" s="1081" t="str">
        <f t="shared" si="52"/>
        <v/>
      </c>
      <c r="E555" s="1081" t="str">
        <f t="shared" si="53"/>
        <v/>
      </c>
      <c r="F555" s="1081" t="str">
        <f t="shared" si="54"/>
        <v/>
      </c>
      <c r="G555" s="1681"/>
      <c r="H555" s="1681"/>
      <c r="I555" s="1681"/>
      <c r="J555" s="1681"/>
      <c r="K555" s="1676"/>
      <c r="L555" s="2554" t="s">
        <v>2897</v>
      </c>
      <c r="M555" s="2597" t="s">
        <v>2898</v>
      </c>
      <c r="N555" s="2597"/>
      <c r="O555" s="2597"/>
      <c r="P555" s="1614"/>
      <c r="Q555" s="1611" t="s">
        <v>604</v>
      </c>
      <c r="R555" s="1620"/>
      <c r="S555" s="1620"/>
      <c r="T555" s="1620"/>
      <c r="U555" s="1620"/>
      <c r="V555" s="1620"/>
      <c r="W555" s="2590">
        <v>0</v>
      </c>
      <c r="AD555" s="1608"/>
    </row>
    <row r="556" spans="1:30" ht="15">
      <c r="A556" s="1685" t="str">
        <f t="shared" si="49"/>
        <v/>
      </c>
      <c r="B556" s="1081" t="str">
        <f t="shared" si="50"/>
        <v/>
      </c>
      <c r="C556" s="1081" t="str">
        <f t="shared" si="51"/>
        <v/>
      </c>
      <c r="D556" s="1081" t="str">
        <f t="shared" si="52"/>
        <v/>
      </c>
      <c r="E556" s="1081" t="str">
        <f t="shared" si="53"/>
        <v/>
      </c>
      <c r="F556" s="1081" t="str">
        <f t="shared" si="54"/>
        <v/>
      </c>
      <c r="G556" s="1681"/>
      <c r="H556" s="1681"/>
      <c r="I556" s="1681"/>
      <c r="J556" s="1681"/>
      <c r="K556" s="1676"/>
      <c r="L556" s="2554"/>
      <c r="M556" s="2598"/>
      <c r="N556" s="2598"/>
      <c r="O556" s="2598"/>
      <c r="P556" s="1630"/>
      <c r="Q556" s="1611" t="s">
        <v>2481</v>
      </c>
      <c r="R556" s="1613"/>
      <c r="S556" s="1613"/>
      <c r="T556" s="1613"/>
      <c r="U556" s="1613"/>
      <c r="V556" s="1613"/>
      <c r="W556" s="2590"/>
      <c r="AD556" s="1608"/>
    </row>
    <row r="557" spans="1:30" ht="15">
      <c r="A557" s="1685" t="str">
        <f t="shared" si="49"/>
        <v/>
      </c>
      <c r="B557" s="1081" t="str">
        <f t="shared" si="50"/>
        <v/>
      </c>
      <c r="C557" s="1081" t="str">
        <f t="shared" si="51"/>
        <v/>
      </c>
      <c r="D557" s="1081" t="str">
        <f t="shared" si="52"/>
        <v/>
      </c>
      <c r="E557" s="1081" t="str">
        <f t="shared" si="53"/>
        <v/>
      </c>
      <c r="F557" s="1081" t="str">
        <f t="shared" si="54"/>
        <v/>
      </c>
      <c r="G557" s="1681"/>
      <c r="H557" s="1681"/>
      <c r="I557" s="1681"/>
      <c r="J557" s="1681"/>
      <c r="K557" s="1676"/>
      <c r="L557" s="2554"/>
      <c r="M557" s="2598"/>
      <c r="N557" s="2598"/>
      <c r="O557" s="2598"/>
      <c r="P557" s="1630"/>
      <c r="Q557" s="1611" t="s">
        <v>2482</v>
      </c>
      <c r="R557" s="1613"/>
      <c r="S557" s="1613"/>
      <c r="T557" s="1613"/>
      <c r="U557" s="1613"/>
      <c r="V557" s="1613"/>
      <c r="W557" s="2590"/>
      <c r="AD557" s="1608"/>
    </row>
    <row r="558" spans="1:30" ht="15">
      <c r="A558" s="1685" t="str">
        <f t="shared" si="49"/>
        <v/>
      </c>
      <c r="B558" s="1081">
        <f t="shared" si="50"/>
        <v>0</v>
      </c>
      <c r="C558" s="1081">
        <f t="shared" si="51"/>
        <v>0</v>
      </c>
      <c r="D558" s="1081">
        <f t="shared" si="52"/>
        <v>0</v>
      </c>
      <c r="E558" s="1081">
        <f t="shared" si="53"/>
        <v>0</v>
      </c>
      <c r="F558" s="1081">
        <f t="shared" si="54"/>
        <v>0</v>
      </c>
      <c r="G558" s="1681"/>
      <c r="H558" s="1681"/>
      <c r="I558" s="1681"/>
      <c r="J558" s="1681"/>
      <c r="K558" s="1676"/>
      <c r="L558" s="2554"/>
      <c r="M558" s="2599"/>
      <c r="N558" s="2599"/>
      <c r="O558" s="2599"/>
      <c r="P558" s="1634"/>
      <c r="Q558" s="1611" t="s">
        <v>2483</v>
      </c>
      <c r="R558" s="1613"/>
      <c r="S558" s="1613"/>
      <c r="T558" s="1613"/>
      <c r="U558" s="1613"/>
      <c r="V558" s="1613"/>
      <c r="W558" s="2590"/>
      <c r="AD558" s="1608"/>
    </row>
    <row r="559" spans="1:30" ht="12.75" customHeight="1">
      <c r="A559" s="1685" t="str">
        <f t="shared" si="49"/>
        <v/>
      </c>
      <c r="B559" s="1081" t="str">
        <f t="shared" si="50"/>
        <v/>
      </c>
      <c r="C559" s="1081" t="str">
        <f t="shared" si="51"/>
        <v/>
      </c>
      <c r="D559" s="1081" t="str">
        <f t="shared" si="52"/>
        <v/>
      </c>
      <c r="E559" s="1081" t="str">
        <f t="shared" si="53"/>
        <v/>
      </c>
      <c r="F559" s="1081" t="str">
        <f t="shared" si="54"/>
        <v/>
      </c>
      <c r="G559" s="1681"/>
      <c r="H559" s="1681"/>
      <c r="I559" s="1681"/>
      <c r="J559" s="1681"/>
      <c r="K559" s="1676"/>
      <c r="L559" s="2583" t="s">
        <v>2899</v>
      </c>
      <c r="M559" s="2583" t="s">
        <v>2900</v>
      </c>
      <c r="N559" s="2583" t="s">
        <v>2901</v>
      </c>
      <c r="O559" s="2583"/>
      <c r="P559" s="1630"/>
      <c r="Q559" s="1630"/>
      <c r="R559" s="1630"/>
      <c r="S559" s="1630"/>
      <c r="T559" s="1630"/>
      <c r="U559" s="1630"/>
      <c r="V559" s="1630"/>
      <c r="W559" s="1630"/>
      <c r="AD559" s="1608"/>
    </row>
    <row r="560" spans="1:30" ht="15">
      <c r="A560" s="1685" t="str">
        <f t="shared" si="49"/>
        <v/>
      </c>
      <c r="B560" s="1081" t="str">
        <f t="shared" si="50"/>
        <v/>
      </c>
      <c r="C560" s="1081" t="str">
        <f t="shared" si="51"/>
        <v/>
      </c>
      <c r="D560" s="1081" t="str">
        <f t="shared" si="52"/>
        <v/>
      </c>
      <c r="E560" s="1081" t="str">
        <f t="shared" si="53"/>
        <v/>
      </c>
      <c r="F560" s="1081" t="str">
        <f t="shared" si="54"/>
        <v/>
      </c>
      <c r="G560" s="1681"/>
      <c r="H560" s="1681"/>
      <c r="I560" s="1681"/>
      <c r="J560" s="1681"/>
      <c r="K560" s="1676"/>
      <c r="L560" s="2583"/>
      <c r="M560" s="2583"/>
      <c r="N560" s="2583"/>
      <c r="O560" s="2583"/>
      <c r="P560" s="1630"/>
      <c r="Q560" s="1630"/>
      <c r="R560" s="1630"/>
      <c r="S560" s="1630"/>
      <c r="T560" s="1630"/>
      <c r="U560" s="1630"/>
      <c r="V560" s="1630"/>
      <c r="W560" s="1630"/>
      <c r="AD560" s="1608"/>
    </row>
    <row r="561" spans="1:30" ht="8.5" customHeight="1">
      <c r="A561" s="1685" t="str">
        <f t="shared" si="49"/>
        <v/>
      </c>
      <c r="B561" s="1081" t="str">
        <f t="shared" si="50"/>
        <v/>
      </c>
      <c r="C561" s="1081" t="str">
        <f t="shared" si="51"/>
        <v/>
      </c>
      <c r="D561" s="1081" t="str">
        <f t="shared" si="52"/>
        <v/>
      </c>
      <c r="E561" s="1081" t="str">
        <f t="shared" si="53"/>
        <v/>
      </c>
      <c r="F561" s="1081" t="str">
        <f t="shared" si="54"/>
        <v/>
      </c>
      <c r="G561" s="1681"/>
      <c r="H561" s="1681"/>
      <c r="I561" s="1681"/>
      <c r="J561" s="1681"/>
      <c r="K561" s="1676"/>
      <c r="L561" s="2583"/>
      <c r="M561" s="2583"/>
      <c r="N561" s="2583"/>
      <c r="O561" s="2583"/>
      <c r="P561" s="1630"/>
      <c r="Q561" s="1630"/>
      <c r="R561" s="1630"/>
      <c r="S561" s="1630"/>
      <c r="T561" s="1630"/>
      <c r="U561" s="1630"/>
      <c r="V561" s="1630"/>
      <c r="W561" s="1630"/>
      <c r="AD561" s="1608"/>
    </row>
    <row r="562" spans="1:30" ht="13.75" hidden="1" customHeight="1">
      <c r="A562" s="1685" t="str">
        <f t="shared" si="49"/>
        <v/>
      </c>
      <c r="B562" s="1081" t="str">
        <f t="shared" si="50"/>
        <v/>
      </c>
      <c r="C562" s="1081" t="str">
        <f t="shared" si="51"/>
        <v/>
      </c>
      <c r="D562" s="1081" t="str">
        <f t="shared" si="52"/>
        <v/>
      </c>
      <c r="E562" s="1081" t="str">
        <f t="shared" si="53"/>
        <v/>
      </c>
      <c r="F562" s="1081" t="str">
        <f t="shared" si="54"/>
        <v/>
      </c>
      <c r="G562" s="1681"/>
      <c r="H562" s="1681"/>
      <c r="I562" s="1681"/>
      <c r="J562" s="1681"/>
      <c r="K562" s="1676"/>
      <c r="L562" s="2583"/>
      <c r="M562" s="2583"/>
      <c r="N562" s="2583"/>
      <c r="O562" s="2583"/>
      <c r="P562" s="1630"/>
      <c r="Q562" s="1630"/>
      <c r="R562" s="1630"/>
      <c r="S562" s="1630"/>
      <c r="T562" s="1630"/>
      <c r="U562" s="1630"/>
      <c r="V562" s="1630"/>
      <c r="W562" s="1630"/>
      <c r="AD562" s="1608"/>
    </row>
    <row r="563" spans="1:30" ht="28.5" customHeight="1">
      <c r="A563" s="1685" t="str">
        <f t="shared" si="49"/>
        <v/>
      </c>
      <c r="B563" s="1081" t="str">
        <f t="shared" si="50"/>
        <v/>
      </c>
      <c r="C563" s="1081" t="str">
        <f t="shared" si="51"/>
        <v/>
      </c>
      <c r="D563" s="1081" t="str">
        <f t="shared" si="52"/>
        <v/>
      </c>
      <c r="E563" s="1081" t="str">
        <f t="shared" si="53"/>
        <v/>
      </c>
      <c r="F563" s="1081" t="str">
        <f t="shared" si="54"/>
        <v/>
      </c>
      <c r="G563" s="1681"/>
      <c r="H563" s="1681"/>
      <c r="I563" s="1681"/>
      <c r="J563" s="1681"/>
      <c r="K563" s="1676"/>
      <c r="L563" s="2554" t="s">
        <v>2902</v>
      </c>
      <c r="M563" s="2615"/>
      <c r="N563" s="2615" t="s">
        <v>2903</v>
      </c>
      <c r="O563" s="2615" t="s">
        <v>2904</v>
      </c>
      <c r="P563" s="1614"/>
      <c r="Q563" s="1611" t="s">
        <v>604</v>
      </c>
      <c r="R563" s="1620"/>
      <c r="S563" s="1610"/>
      <c r="T563" s="1619" t="s">
        <v>2816</v>
      </c>
      <c r="U563" s="1620"/>
      <c r="V563" s="1620"/>
      <c r="W563" s="2590">
        <v>256000</v>
      </c>
      <c r="AD563" s="1608"/>
    </row>
    <row r="564" spans="1:30" ht="15">
      <c r="A564" s="1685" t="str">
        <f t="shared" si="49"/>
        <v/>
      </c>
      <c r="B564" s="1081" t="str">
        <f t="shared" si="50"/>
        <v/>
      </c>
      <c r="C564" s="1081" t="str">
        <f t="shared" si="51"/>
        <v/>
      </c>
      <c r="D564" s="1081" t="str">
        <f t="shared" si="52"/>
        <v/>
      </c>
      <c r="E564" s="1081" t="str">
        <f t="shared" si="53"/>
        <v/>
      </c>
      <c r="F564" s="1081" t="str">
        <f t="shared" si="54"/>
        <v/>
      </c>
      <c r="G564" s="1681"/>
      <c r="H564" s="1681"/>
      <c r="I564" s="1681"/>
      <c r="J564" s="1681"/>
      <c r="K564" s="1676"/>
      <c r="L564" s="2554"/>
      <c r="M564" s="2615"/>
      <c r="N564" s="2615"/>
      <c r="O564" s="2615"/>
      <c r="P564" s="1630"/>
      <c r="Q564" s="1611" t="s">
        <v>2481</v>
      </c>
      <c r="R564" s="1613"/>
      <c r="S564" s="1612"/>
      <c r="T564" s="1617">
        <v>1</v>
      </c>
      <c r="U564" s="1613"/>
      <c r="V564" s="1613"/>
      <c r="W564" s="2590"/>
      <c r="AD564" s="1608"/>
    </row>
    <row r="565" spans="1:30" ht="12.25" customHeight="1">
      <c r="A565" s="1685" t="str">
        <f t="shared" si="49"/>
        <v/>
      </c>
      <c r="B565" s="1081" t="str">
        <f t="shared" si="50"/>
        <v/>
      </c>
      <c r="C565" s="1081" t="str">
        <f t="shared" si="51"/>
        <v/>
      </c>
      <c r="D565" s="1081" t="str">
        <f t="shared" si="52"/>
        <v/>
      </c>
      <c r="E565" s="1081" t="str">
        <f t="shared" si="53"/>
        <v/>
      </c>
      <c r="F565" s="1081" t="str">
        <f t="shared" si="54"/>
        <v/>
      </c>
      <c r="G565" s="1681"/>
      <c r="H565" s="1681"/>
      <c r="I565" s="1681"/>
      <c r="J565" s="1681"/>
      <c r="K565" s="1676"/>
      <c r="L565" s="2554"/>
      <c r="M565" s="2615"/>
      <c r="N565" s="2615"/>
      <c r="O565" s="2615"/>
      <c r="P565" s="1630"/>
      <c r="Q565" s="1611" t="s">
        <v>2482</v>
      </c>
      <c r="R565" s="1613"/>
      <c r="S565" s="1612"/>
      <c r="T565" s="1617">
        <v>256000</v>
      </c>
      <c r="U565" s="1613"/>
      <c r="V565" s="1613"/>
      <c r="W565" s="2590"/>
      <c r="AD565" s="1608"/>
    </row>
    <row r="566" spans="1:30" ht="15">
      <c r="A566" s="1685" t="str">
        <f t="shared" si="49"/>
        <v>7.2.3.</v>
      </c>
      <c r="B566" s="1081">
        <f t="shared" si="50"/>
        <v>0</v>
      </c>
      <c r="C566" s="1081">
        <f t="shared" si="51"/>
        <v>0</v>
      </c>
      <c r="D566" s="1081">
        <f t="shared" si="52"/>
        <v>256000</v>
      </c>
      <c r="E566" s="1081">
        <f t="shared" si="53"/>
        <v>0</v>
      </c>
      <c r="F566" s="1081">
        <f t="shared" si="54"/>
        <v>0</v>
      </c>
      <c r="G566" s="1681"/>
      <c r="H566" s="1681"/>
      <c r="I566" s="1681"/>
      <c r="J566" s="1681" t="s">
        <v>1882</v>
      </c>
      <c r="K566" s="1676"/>
      <c r="L566" s="2554"/>
      <c r="M566" s="2615"/>
      <c r="N566" s="2615"/>
      <c r="O566" s="2615"/>
      <c r="P566" s="1632"/>
      <c r="Q566" s="1611" t="s">
        <v>2483</v>
      </c>
      <c r="R566" s="1625"/>
      <c r="S566" s="1638"/>
      <c r="T566" s="1628">
        <v>256000</v>
      </c>
      <c r="U566" s="1613"/>
      <c r="V566" s="1613"/>
      <c r="W566" s="2590"/>
      <c r="AD566" s="1608"/>
    </row>
    <row r="567" spans="1:30" ht="28.5" customHeight="1">
      <c r="A567" s="1685" t="str">
        <f t="shared" si="49"/>
        <v/>
      </c>
      <c r="B567" s="1081" t="str">
        <f t="shared" si="50"/>
        <v/>
      </c>
      <c r="C567" s="1081" t="str">
        <f t="shared" si="51"/>
        <v/>
      </c>
      <c r="D567" s="1081" t="str">
        <f t="shared" si="52"/>
        <v/>
      </c>
      <c r="E567" s="1081" t="str">
        <f t="shared" si="53"/>
        <v/>
      </c>
      <c r="F567" s="1081" t="str">
        <f t="shared" si="54"/>
        <v/>
      </c>
      <c r="G567" s="1681"/>
      <c r="H567" s="1681"/>
      <c r="I567" s="1681"/>
      <c r="J567" s="1681"/>
      <c r="K567" s="1676"/>
      <c r="L567" s="2554" t="s">
        <v>2905</v>
      </c>
      <c r="M567" s="2615"/>
      <c r="N567" s="2615" t="s">
        <v>2906</v>
      </c>
      <c r="O567" s="2615" t="s">
        <v>2907</v>
      </c>
      <c r="P567" s="1614"/>
      <c r="Q567" s="1611" t="s">
        <v>604</v>
      </c>
      <c r="R567" s="1619" t="s">
        <v>2816</v>
      </c>
      <c r="S567" s="1620"/>
      <c r="T567" s="1610"/>
      <c r="U567" s="1620"/>
      <c r="V567" s="1619" t="s">
        <v>2816</v>
      </c>
      <c r="W567" s="2590">
        <v>512000</v>
      </c>
      <c r="AD567" s="1608"/>
    </row>
    <row r="568" spans="1:30" ht="15">
      <c r="A568" s="1685" t="str">
        <f t="shared" si="49"/>
        <v/>
      </c>
      <c r="B568" s="1081" t="str">
        <f t="shared" si="50"/>
        <v/>
      </c>
      <c r="C568" s="1081" t="str">
        <f t="shared" si="51"/>
        <v/>
      </c>
      <c r="D568" s="1081" t="str">
        <f t="shared" si="52"/>
        <v/>
      </c>
      <c r="E568" s="1081" t="str">
        <f t="shared" si="53"/>
        <v/>
      </c>
      <c r="F568" s="1081" t="str">
        <f t="shared" si="54"/>
        <v/>
      </c>
      <c r="G568" s="1681"/>
      <c r="H568" s="1681"/>
      <c r="I568" s="1681"/>
      <c r="J568" s="1681"/>
      <c r="K568" s="1676"/>
      <c r="L568" s="2554"/>
      <c r="M568" s="2615"/>
      <c r="N568" s="2615"/>
      <c r="O568" s="2615"/>
      <c r="P568" s="1630"/>
      <c r="Q568" s="1611" t="s">
        <v>2481</v>
      </c>
      <c r="R568" s="1617">
        <v>1</v>
      </c>
      <c r="S568" s="1613"/>
      <c r="T568" s="1612"/>
      <c r="U568" s="1613"/>
      <c r="V568" s="1617">
        <v>1</v>
      </c>
      <c r="W568" s="2590"/>
      <c r="AD568" s="1608"/>
    </row>
    <row r="569" spans="1:30" ht="12.25" customHeight="1">
      <c r="A569" s="1685" t="str">
        <f t="shared" si="49"/>
        <v/>
      </c>
      <c r="B569" s="1081" t="str">
        <f t="shared" si="50"/>
        <v/>
      </c>
      <c r="C569" s="1081" t="str">
        <f t="shared" si="51"/>
        <v/>
      </c>
      <c r="D569" s="1081" t="str">
        <f t="shared" si="52"/>
        <v/>
      </c>
      <c r="E569" s="1081" t="str">
        <f t="shared" si="53"/>
        <v/>
      </c>
      <c r="F569" s="1081" t="str">
        <f t="shared" si="54"/>
        <v/>
      </c>
      <c r="G569" s="1681"/>
      <c r="H569" s="1681"/>
      <c r="I569" s="1681"/>
      <c r="J569" s="1681"/>
      <c r="K569" s="1676"/>
      <c r="L569" s="2554"/>
      <c r="M569" s="2615"/>
      <c r="N569" s="2615"/>
      <c r="O569" s="2615"/>
      <c r="P569" s="1630"/>
      <c r="Q569" s="1611" t="s">
        <v>2482</v>
      </c>
      <c r="R569" s="1617">
        <v>256000</v>
      </c>
      <c r="S569" s="1613"/>
      <c r="T569" s="1612"/>
      <c r="U569" s="1613"/>
      <c r="V569" s="1617">
        <v>256000</v>
      </c>
      <c r="W569" s="2590"/>
      <c r="AD569" s="1608"/>
    </row>
    <row r="570" spans="1:30" ht="15">
      <c r="A570" s="1685" t="str">
        <f t="shared" si="49"/>
        <v>7.2.3.</v>
      </c>
      <c r="B570" s="1081">
        <f t="shared" si="50"/>
        <v>256000</v>
      </c>
      <c r="C570" s="1081">
        <f t="shared" si="51"/>
        <v>0</v>
      </c>
      <c r="D570" s="1081">
        <f t="shared" si="52"/>
        <v>0</v>
      </c>
      <c r="E570" s="1081">
        <f t="shared" si="53"/>
        <v>0</v>
      </c>
      <c r="F570" s="1081">
        <f t="shared" si="54"/>
        <v>256000</v>
      </c>
      <c r="G570" s="1681"/>
      <c r="H570" s="1681"/>
      <c r="I570" s="1681"/>
      <c r="J570" s="1681" t="s">
        <v>1882</v>
      </c>
      <c r="K570" s="1676"/>
      <c r="L570" s="2554"/>
      <c r="M570" s="2615"/>
      <c r="N570" s="2615"/>
      <c r="O570" s="2615"/>
      <c r="P570" s="1632"/>
      <c r="Q570" s="1611" t="s">
        <v>2483</v>
      </c>
      <c r="R570" s="1628">
        <v>256000</v>
      </c>
      <c r="S570" s="1625"/>
      <c r="T570" s="1638"/>
      <c r="U570" s="1613"/>
      <c r="V570" s="1628">
        <v>256000</v>
      </c>
      <c r="W570" s="2590"/>
      <c r="AD570" s="1608"/>
    </row>
    <row r="571" spans="1:30" ht="28.5" customHeight="1">
      <c r="A571" s="1685" t="str">
        <f t="shared" si="49"/>
        <v/>
      </c>
      <c r="B571" s="1081" t="str">
        <f t="shared" si="50"/>
        <v/>
      </c>
      <c r="C571" s="1081" t="str">
        <f t="shared" si="51"/>
        <v/>
      </c>
      <c r="D571" s="1081" t="str">
        <f t="shared" si="52"/>
        <v/>
      </c>
      <c r="E571" s="1081" t="str">
        <f t="shared" si="53"/>
        <v/>
      </c>
      <c r="F571" s="1081" t="str">
        <f t="shared" si="54"/>
        <v/>
      </c>
      <c r="G571" s="1681"/>
      <c r="H571" s="1681"/>
      <c r="I571" s="1681"/>
      <c r="J571" s="1681"/>
      <c r="K571" s="1676"/>
      <c r="L571" s="2554" t="s">
        <v>2908</v>
      </c>
      <c r="M571" s="2615"/>
      <c r="N571" s="2615" t="s">
        <v>2909</v>
      </c>
      <c r="O571" s="2615" t="s">
        <v>2910</v>
      </c>
      <c r="P571" s="1630"/>
      <c r="Q571" s="1611" t="s">
        <v>604</v>
      </c>
      <c r="R571" s="1610"/>
      <c r="S571" s="1619" t="s">
        <v>2762</v>
      </c>
      <c r="T571" s="1610"/>
      <c r="U571" s="1620"/>
      <c r="V571" s="1620"/>
      <c r="W571" s="2590">
        <v>434480</v>
      </c>
      <c r="AD571" s="1608"/>
    </row>
    <row r="572" spans="1:30" ht="15">
      <c r="A572" s="1685" t="str">
        <f t="shared" si="49"/>
        <v/>
      </c>
      <c r="B572" s="1081" t="str">
        <f t="shared" si="50"/>
        <v/>
      </c>
      <c r="C572" s="1081" t="str">
        <f t="shared" si="51"/>
        <v/>
      </c>
      <c r="D572" s="1081" t="str">
        <f t="shared" si="52"/>
        <v/>
      </c>
      <c r="E572" s="1081" t="str">
        <f t="shared" si="53"/>
        <v/>
      </c>
      <c r="F572" s="1081" t="str">
        <f t="shared" si="54"/>
        <v/>
      </c>
      <c r="G572" s="1681"/>
      <c r="H572" s="1681"/>
      <c r="I572" s="1681"/>
      <c r="J572" s="1681"/>
      <c r="K572" s="1676"/>
      <c r="L572" s="2554"/>
      <c r="M572" s="2615"/>
      <c r="N572" s="2615"/>
      <c r="O572" s="2615"/>
      <c r="P572" s="1630"/>
      <c r="Q572" s="1611" t="s">
        <v>2481</v>
      </c>
      <c r="R572" s="1612"/>
      <c r="S572" s="1617">
        <v>1</v>
      </c>
      <c r="T572" s="1612"/>
      <c r="U572" s="1613"/>
      <c r="V572" s="1613"/>
      <c r="W572" s="2590"/>
      <c r="AD572" s="1608"/>
    </row>
    <row r="573" spans="1:30" ht="12.25" customHeight="1">
      <c r="A573" s="1685" t="str">
        <f t="shared" si="49"/>
        <v/>
      </c>
      <c r="B573" s="1081" t="str">
        <f t="shared" si="50"/>
        <v/>
      </c>
      <c r="C573" s="1081" t="str">
        <f t="shared" si="51"/>
        <v/>
      </c>
      <c r="D573" s="1081" t="str">
        <f t="shared" si="52"/>
        <v/>
      </c>
      <c r="E573" s="1081" t="str">
        <f t="shared" si="53"/>
        <v/>
      </c>
      <c r="F573" s="1081" t="str">
        <f t="shared" si="54"/>
        <v/>
      </c>
      <c r="G573" s="1681"/>
      <c r="H573" s="1681"/>
      <c r="I573" s="1681"/>
      <c r="J573" s="1681"/>
      <c r="K573" s="1676"/>
      <c r="L573" s="2554"/>
      <c r="M573" s="2615"/>
      <c r="N573" s="2615"/>
      <c r="O573" s="2615"/>
      <c r="P573" s="1630"/>
      <c r="Q573" s="1611" t="s">
        <v>2482</v>
      </c>
      <c r="R573" s="1612"/>
      <c r="S573" s="1617">
        <v>434480</v>
      </c>
      <c r="T573" s="1612"/>
      <c r="U573" s="1613"/>
      <c r="V573" s="1613"/>
      <c r="W573" s="2590"/>
      <c r="AD573" s="1608"/>
    </row>
    <row r="574" spans="1:30" ht="15">
      <c r="A574" s="1685" t="str">
        <f t="shared" si="49"/>
        <v>7.2.3.</v>
      </c>
      <c r="B574" s="1081">
        <f t="shared" si="50"/>
        <v>0</v>
      </c>
      <c r="C574" s="1081">
        <f t="shared" si="51"/>
        <v>434480</v>
      </c>
      <c r="D574" s="1081">
        <f t="shared" si="52"/>
        <v>0</v>
      </c>
      <c r="E574" s="1081">
        <f t="shared" si="53"/>
        <v>0</v>
      </c>
      <c r="F574" s="1081">
        <f t="shared" si="54"/>
        <v>0</v>
      </c>
      <c r="G574" s="1681"/>
      <c r="H574" s="1681"/>
      <c r="I574" s="1681"/>
      <c r="J574" s="1681" t="s">
        <v>1882</v>
      </c>
      <c r="K574" s="1676"/>
      <c r="L574" s="2554"/>
      <c r="M574" s="2615"/>
      <c r="N574" s="2615"/>
      <c r="O574" s="2615"/>
      <c r="P574" s="1630"/>
      <c r="Q574" s="1611" t="s">
        <v>2483</v>
      </c>
      <c r="R574" s="1638"/>
      <c r="S574" s="1628">
        <v>434480</v>
      </c>
      <c r="T574" s="1638"/>
      <c r="U574" s="1613"/>
      <c r="V574" s="1613"/>
      <c r="W574" s="2590"/>
      <c r="AD574" s="1608"/>
    </row>
    <row r="575" spans="1:30" ht="28.5" customHeight="1">
      <c r="A575" s="1685" t="str">
        <f t="shared" si="49"/>
        <v/>
      </c>
      <c r="B575" s="1081" t="str">
        <f t="shared" si="50"/>
        <v/>
      </c>
      <c r="C575" s="1081" t="str">
        <f t="shared" si="51"/>
        <v/>
      </c>
      <c r="D575" s="1081" t="str">
        <f t="shared" si="52"/>
        <v/>
      </c>
      <c r="E575" s="1081" t="str">
        <f t="shared" si="53"/>
        <v/>
      </c>
      <c r="F575" s="1081" t="str">
        <f t="shared" si="54"/>
        <v/>
      </c>
      <c r="G575" s="1681"/>
      <c r="H575" s="1681"/>
      <c r="I575" s="1681"/>
      <c r="J575" s="1681"/>
      <c r="K575" s="1676"/>
      <c r="L575" s="2554" t="s">
        <v>2911</v>
      </c>
      <c r="M575" s="2615"/>
      <c r="N575" s="2615" t="s">
        <v>2912</v>
      </c>
      <c r="O575" s="2615" t="s">
        <v>2913</v>
      </c>
      <c r="P575" s="1630"/>
      <c r="Q575" s="1611" t="s">
        <v>604</v>
      </c>
      <c r="R575" s="1610"/>
      <c r="S575" s="1610"/>
      <c r="T575" s="1619" t="s">
        <v>2762</v>
      </c>
      <c r="U575" s="1620"/>
      <c r="V575" s="1620"/>
      <c r="W575" s="2590">
        <v>256000</v>
      </c>
      <c r="AD575" s="1608"/>
    </row>
    <row r="576" spans="1:30" ht="15">
      <c r="A576" s="1685" t="str">
        <f t="shared" si="49"/>
        <v/>
      </c>
      <c r="B576" s="1081" t="str">
        <f t="shared" si="50"/>
        <v/>
      </c>
      <c r="C576" s="1081" t="str">
        <f t="shared" si="51"/>
        <v/>
      </c>
      <c r="D576" s="1081" t="str">
        <f t="shared" si="52"/>
        <v/>
      </c>
      <c r="E576" s="1081" t="str">
        <f t="shared" si="53"/>
        <v/>
      </c>
      <c r="F576" s="1081" t="str">
        <f t="shared" si="54"/>
        <v/>
      </c>
      <c r="G576" s="1681"/>
      <c r="H576" s="1681"/>
      <c r="I576" s="1681"/>
      <c r="J576" s="1681"/>
      <c r="K576" s="1676"/>
      <c r="L576" s="2554"/>
      <c r="M576" s="2615"/>
      <c r="N576" s="2615"/>
      <c r="O576" s="2615"/>
      <c r="P576" s="1630"/>
      <c r="Q576" s="1611" t="s">
        <v>2481</v>
      </c>
      <c r="R576" s="1612"/>
      <c r="S576" s="1612"/>
      <c r="T576" s="1617">
        <v>1</v>
      </c>
      <c r="U576" s="1613"/>
      <c r="V576" s="1613"/>
      <c r="W576" s="2590"/>
      <c r="AD576" s="1608"/>
    </row>
    <row r="577" spans="1:30" ht="12.25" customHeight="1">
      <c r="A577" s="1685" t="str">
        <f t="shared" si="49"/>
        <v/>
      </c>
      <c r="B577" s="1081" t="str">
        <f t="shared" si="50"/>
        <v/>
      </c>
      <c r="C577" s="1081" t="str">
        <f t="shared" si="51"/>
        <v/>
      </c>
      <c r="D577" s="1081" t="str">
        <f t="shared" si="52"/>
        <v/>
      </c>
      <c r="E577" s="1081" t="str">
        <f t="shared" si="53"/>
        <v/>
      </c>
      <c r="F577" s="1081" t="str">
        <f t="shared" si="54"/>
        <v/>
      </c>
      <c r="G577" s="1681"/>
      <c r="H577" s="1681"/>
      <c r="I577" s="1681"/>
      <c r="J577" s="1681"/>
      <c r="K577" s="1676"/>
      <c r="L577" s="2554"/>
      <c r="M577" s="2615"/>
      <c r="N577" s="2615"/>
      <c r="O577" s="2615"/>
      <c r="P577" s="1630"/>
      <c r="Q577" s="1611" t="s">
        <v>2482</v>
      </c>
      <c r="R577" s="1612"/>
      <c r="S577" s="1612"/>
      <c r="T577" s="1617">
        <v>256000</v>
      </c>
      <c r="U577" s="1613"/>
      <c r="V577" s="1613"/>
      <c r="W577" s="2590"/>
      <c r="AD577" s="1608"/>
    </row>
    <row r="578" spans="1:30" ht="15">
      <c r="A578" s="1685" t="str">
        <f t="shared" si="49"/>
        <v>7.2.3.</v>
      </c>
      <c r="B578" s="1081">
        <f t="shared" si="50"/>
        <v>0</v>
      </c>
      <c r="C578" s="1081">
        <f t="shared" si="51"/>
        <v>0</v>
      </c>
      <c r="D578" s="1081">
        <f t="shared" si="52"/>
        <v>256000</v>
      </c>
      <c r="E578" s="1081">
        <f t="shared" si="53"/>
        <v>0</v>
      </c>
      <c r="F578" s="1081">
        <f t="shared" si="54"/>
        <v>0</v>
      </c>
      <c r="G578" s="1681"/>
      <c r="H578" s="1681"/>
      <c r="I578" s="1681"/>
      <c r="J578" s="1681" t="s">
        <v>1882</v>
      </c>
      <c r="K578" s="1676"/>
      <c r="L578" s="2554"/>
      <c r="M578" s="2615"/>
      <c r="N578" s="2615"/>
      <c r="O578" s="2615"/>
      <c r="P578" s="1630"/>
      <c r="Q578" s="1611" t="s">
        <v>2483</v>
      </c>
      <c r="R578" s="1638"/>
      <c r="S578" s="1638"/>
      <c r="T578" s="1628">
        <v>256000</v>
      </c>
      <c r="U578" s="1613"/>
      <c r="V578" s="1613"/>
      <c r="W578" s="2590"/>
      <c r="AD578" s="1608"/>
    </row>
    <row r="579" spans="1:30" ht="19.25" customHeight="1">
      <c r="A579" s="1685" t="str">
        <f t="shared" ref="A579:A591" si="55">IF(J579="","",LEFT(J579,6))</f>
        <v/>
      </c>
      <c r="B579" s="1081" t="str">
        <f t="shared" si="50"/>
        <v/>
      </c>
      <c r="C579" s="1081" t="str">
        <f t="shared" si="51"/>
        <v/>
      </c>
      <c r="D579" s="1081" t="str">
        <f t="shared" si="52"/>
        <v/>
      </c>
      <c r="E579" s="1081" t="str">
        <f t="shared" si="53"/>
        <v/>
      </c>
      <c r="F579" s="1081" t="str">
        <f t="shared" si="54"/>
        <v/>
      </c>
      <c r="G579" s="1681"/>
      <c r="H579" s="1681"/>
      <c r="I579" s="1681"/>
      <c r="J579" s="1681"/>
      <c r="K579" s="1676"/>
      <c r="L579" s="2548" t="s">
        <v>2914</v>
      </c>
      <c r="M579" s="2542" t="s">
        <v>2915</v>
      </c>
      <c r="N579" s="2543"/>
      <c r="O579" s="2544"/>
      <c r="P579" s="2550"/>
      <c r="Q579" s="2552"/>
      <c r="R579" s="2540">
        <v>0</v>
      </c>
      <c r="S579" s="2540">
        <v>0</v>
      </c>
      <c r="T579" s="2540">
        <v>0</v>
      </c>
      <c r="U579" s="2540">
        <v>0</v>
      </c>
      <c r="V579" s="2540">
        <v>0</v>
      </c>
      <c r="W579" s="2540">
        <v>0</v>
      </c>
      <c r="AD579" s="1608"/>
    </row>
    <row r="580" spans="1:30" ht="19.25" customHeight="1">
      <c r="A580" s="1685" t="str">
        <f t="shared" si="55"/>
        <v/>
      </c>
      <c r="B580" s="1081" t="str">
        <f t="shared" si="50"/>
        <v/>
      </c>
      <c r="C580" s="1081" t="str">
        <f t="shared" si="51"/>
        <v/>
      </c>
      <c r="D580" s="1081" t="str">
        <f t="shared" si="52"/>
        <v/>
      </c>
      <c r="E580" s="1081" t="str">
        <f t="shared" si="53"/>
        <v/>
      </c>
      <c r="F580" s="1081" t="str">
        <f t="shared" si="54"/>
        <v/>
      </c>
      <c r="G580" s="1681"/>
      <c r="H580" s="1681"/>
      <c r="I580" s="1681"/>
      <c r="J580" s="1681"/>
      <c r="K580" s="1676"/>
      <c r="L580" s="2549"/>
      <c r="M580" s="2542" t="s">
        <v>2478</v>
      </c>
      <c r="N580" s="2543"/>
      <c r="O580" s="2544"/>
      <c r="P580" s="2551"/>
      <c r="Q580" s="2553"/>
      <c r="R580" s="2541"/>
      <c r="S580" s="2541"/>
      <c r="T580" s="2541"/>
      <c r="U580" s="2541"/>
      <c r="V580" s="2541"/>
      <c r="W580" s="2541"/>
      <c r="AD580" s="1608"/>
    </row>
    <row r="581" spans="1:30" ht="15">
      <c r="A581" s="1685" t="str">
        <f t="shared" si="55"/>
        <v/>
      </c>
      <c r="B581" s="1081" t="str">
        <f t="shared" si="50"/>
        <v/>
      </c>
      <c r="C581" s="1081" t="str">
        <f t="shared" si="51"/>
        <v/>
      </c>
      <c r="D581" s="1081" t="str">
        <f t="shared" si="52"/>
        <v/>
      </c>
      <c r="E581" s="1081" t="str">
        <f t="shared" si="53"/>
        <v/>
      </c>
      <c r="F581" s="1081" t="str">
        <f t="shared" si="54"/>
        <v/>
      </c>
      <c r="G581" s="1681"/>
      <c r="H581" s="1681"/>
      <c r="I581" s="1681"/>
      <c r="J581" s="1681"/>
      <c r="K581" s="1676"/>
      <c r="L581" s="2554" t="s">
        <v>2916</v>
      </c>
      <c r="M581" s="2597" t="s">
        <v>2917</v>
      </c>
      <c r="N581" s="2560"/>
      <c r="O581" s="2597"/>
      <c r="P581" s="2548"/>
      <c r="Q581" s="1609" t="s">
        <v>604</v>
      </c>
      <c r="R581" s="1610"/>
      <c r="S581" s="1610"/>
      <c r="T581" s="1610"/>
      <c r="U581" s="1610"/>
      <c r="V581" s="1610"/>
      <c r="W581" s="2590">
        <v>0</v>
      </c>
      <c r="AD581" s="1608"/>
    </row>
    <row r="582" spans="1:30" ht="15">
      <c r="A582" s="1685" t="str">
        <f t="shared" si="55"/>
        <v/>
      </c>
      <c r="B582" s="1081" t="str">
        <f t="shared" si="50"/>
        <v/>
      </c>
      <c r="C582" s="1081" t="str">
        <f t="shared" si="51"/>
        <v/>
      </c>
      <c r="D582" s="1081" t="str">
        <f t="shared" si="52"/>
        <v/>
      </c>
      <c r="E582" s="1081" t="str">
        <f t="shared" si="53"/>
        <v/>
      </c>
      <c r="F582" s="1081" t="str">
        <f t="shared" si="54"/>
        <v/>
      </c>
      <c r="G582" s="1681"/>
      <c r="H582" s="1681"/>
      <c r="I582" s="1681"/>
      <c r="J582" s="1681"/>
      <c r="K582" s="1676"/>
      <c r="L582" s="2554"/>
      <c r="M582" s="2598"/>
      <c r="N582" s="2561"/>
      <c r="O582" s="2598"/>
      <c r="P582" s="2566"/>
      <c r="Q582" s="1611" t="s">
        <v>2481</v>
      </c>
      <c r="R582" s="1612"/>
      <c r="S582" s="1612"/>
      <c r="T582" s="1612"/>
      <c r="U582" s="1612"/>
      <c r="V582" s="1612"/>
      <c r="W582" s="2590"/>
      <c r="AD582" s="1608"/>
    </row>
    <row r="583" spans="1:30" ht="15">
      <c r="A583" s="1685" t="str">
        <f t="shared" si="55"/>
        <v/>
      </c>
      <c r="B583" s="1081" t="str">
        <f t="shared" si="50"/>
        <v/>
      </c>
      <c r="C583" s="1081" t="str">
        <f t="shared" si="51"/>
        <v/>
      </c>
      <c r="D583" s="1081" t="str">
        <f t="shared" si="52"/>
        <v/>
      </c>
      <c r="E583" s="1081" t="str">
        <f t="shared" si="53"/>
        <v/>
      </c>
      <c r="F583" s="1081" t="str">
        <f t="shared" si="54"/>
        <v/>
      </c>
      <c r="G583" s="1681"/>
      <c r="H583" s="1681"/>
      <c r="I583" s="1681"/>
      <c r="J583" s="1681"/>
      <c r="K583" s="1676"/>
      <c r="L583" s="2554"/>
      <c r="M583" s="2598"/>
      <c r="N583" s="2561"/>
      <c r="O583" s="2598"/>
      <c r="P583" s="2566"/>
      <c r="Q583" s="1611" t="s">
        <v>2482</v>
      </c>
      <c r="R583" s="1613"/>
      <c r="S583" s="1613"/>
      <c r="T583" s="1613"/>
      <c r="U583" s="1613"/>
      <c r="V583" s="1613"/>
      <c r="W583" s="2590"/>
      <c r="AD583" s="1608"/>
    </row>
    <row r="584" spans="1:30" ht="15">
      <c r="A584" s="1685" t="str">
        <f t="shared" si="55"/>
        <v/>
      </c>
      <c r="B584" s="1081">
        <f t="shared" si="50"/>
        <v>0</v>
      </c>
      <c r="C584" s="1081">
        <f t="shared" si="51"/>
        <v>0</v>
      </c>
      <c r="D584" s="1081">
        <f t="shared" si="52"/>
        <v>0</v>
      </c>
      <c r="E584" s="1081">
        <f t="shared" si="53"/>
        <v>0</v>
      </c>
      <c r="F584" s="1081">
        <f t="shared" si="54"/>
        <v>0</v>
      </c>
      <c r="G584" s="1681"/>
      <c r="H584" s="1681"/>
      <c r="I584" s="1681"/>
      <c r="J584" s="1681"/>
      <c r="K584" s="1676"/>
      <c r="L584" s="2554"/>
      <c r="M584" s="2599"/>
      <c r="N584" s="2562"/>
      <c r="O584" s="2599"/>
      <c r="P584" s="2549"/>
      <c r="Q584" s="1611" t="s">
        <v>2483</v>
      </c>
      <c r="R584" s="1613"/>
      <c r="S584" s="1613"/>
      <c r="T584" s="1613"/>
      <c r="U584" s="1613"/>
      <c r="V584" s="1613"/>
      <c r="W584" s="2590"/>
      <c r="AD584" s="1608"/>
    </row>
    <row r="585" spans="1:30" ht="19.25" customHeight="1">
      <c r="A585" s="1685" t="str">
        <f t="shared" si="55"/>
        <v/>
      </c>
      <c r="B585" s="1081" t="str">
        <f t="shared" si="50"/>
        <v/>
      </c>
      <c r="C585" s="1081" t="str">
        <f t="shared" si="51"/>
        <v/>
      </c>
      <c r="D585" s="1081" t="str">
        <f t="shared" si="52"/>
        <v/>
      </c>
      <c r="E585" s="1081" t="str">
        <f t="shared" si="53"/>
        <v/>
      </c>
      <c r="F585" s="1081" t="str">
        <f t="shared" si="54"/>
        <v/>
      </c>
      <c r="G585" s="1681"/>
      <c r="H585" s="1681"/>
      <c r="I585" s="1681"/>
      <c r="J585" s="1681"/>
      <c r="K585" s="1676"/>
      <c r="L585" s="2548" t="s">
        <v>2918</v>
      </c>
      <c r="M585" s="2542" t="s">
        <v>2919</v>
      </c>
      <c r="N585" s="2543"/>
      <c r="O585" s="2544"/>
      <c r="P585" s="2550"/>
      <c r="Q585" s="2552"/>
      <c r="R585" s="2540">
        <v>0</v>
      </c>
      <c r="S585" s="2540">
        <v>0</v>
      </c>
      <c r="T585" s="2540">
        <v>0</v>
      </c>
      <c r="U585" s="2540">
        <v>0</v>
      </c>
      <c r="V585" s="2540">
        <v>0</v>
      </c>
      <c r="W585" s="2540">
        <v>0</v>
      </c>
      <c r="AD585" s="1608"/>
    </row>
    <row r="586" spans="1:30" ht="19.25" customHeight="1">
      <c r="A586" s="1685" t="str">
        <f t="shared" si="55"/>
        <v/>
      </c>
      <c r="B586" s="1081" t="str">
        <f t="shared" si="50"/>
        <v/>
      </c>
      <c r="C586" s="1081" t="str">
        <f t="shared" si="51"/>
        <v/>
      </c>
      <c r="D586" s="1081" t="str">
        <f t="shared" si="52"/>
        <v/>
      </c>
      <c r="E586" s="1081" t="str">
        <f t="shared" si="53"/>
        <v/>
      </c>
      <c r="F586" s="1081" t="str">
        <f t="shared" si="54"/>
        <v/>
      </c>
      <c r="G586" s="1681"/>
      <c r="H586" s="1681"/>
      <c r="I586" s="1681"/>
      <c r="J586" s="1681"/>
      <c r="K586" s="1676"/>
      <c r="L586" s="2549"/>
      <c r="M586" s="2542" t="s">
        <v>2529</v>
      </c>
      <c r="N586" s="2543"/>
      <c r="O586" s="2544"/>
      <c r="P586" s="2551"/>
      <c r="Q586" s="2553"/>
      <c r="R586" s="2541"/>
      <c r="S586" s="2541"/>
      <c r="T586" s="2541"/>
      <c r="U586" s="2541"/>
      <c r="V586" s="2541"/>
      <c r="W586" s="2541"/>
      <c r="AD586" s="1608"/>
    </row>
    <row r="587" spans="1:30" ht="15">
      <c r="A587" s="1685" t="str">
        <f t="shared" si="55"/>
        <v/>
      </c>
      <c r="B587" s="1081" t="str">
        <f t="shared" si="50"/>
        <v/>
      </c>
      <c r="C587" s="1081" t="str">
        <f t="shared" si="51"/>
        <v/>
      </c>
      <c r="D587" s="1081" t="str">
        <f t="shared" si="52"/>
        <v/>
      </c>
      <c r="E587" s="1081" t="str">
        <f t="shared" si="53"/>
        <v/>
      </c>
      <c r="F587" s="1081" t="str">
        <f t="shared" si="54"/>
        <v/>
      </c>
      <c r="G587" s="1681"/>
      <c r="H587" s="1681"/>
      <c r="I587" s="1681"/>
      <c r="J587" s="1681"/>
      <c r="K587" s="1676"/>
      <c r="L587" s="2584" t="s">
        <v>2920</v>
      </c>
      <c r="M587" s="2597" t="s">
        <v>2921</v>
      </c>
      <c r="N587" s="2597"/>
      <c r="O587" s="2597"/>
      <c r="P587" s="1614"/>
      <c r="Q587" s="1611" t="s">
        <v>604</v>
      </c>
      <c r="R587" s="1610"/>
      <c r="S587" s="1610"/>
      <c r="T587" s="1610"/>
      <c r="U587" s="1610"/>
      <c r="V587" s="1610"/>
      <c r="W587" s="2590">
        <v>0</v>
      </c>
      <c r="AD587" s="1608"/>
    </row>
    <row r="588" spans="1:30" ht="15">
      <c r="A588" s="1685" t="str">
        <f t="shared" si="55"/>
        <v/>
      </c>
      <c r="B588" s="1081" t="str">
        <f t="shared" si="50"/>
        <v/>
      </c>
      <c r="C588" s="1081" t="str">
        <f t="shared" si="51"/>
        <v/>
      </c>
      <c r="D588" s="1081" t="str">
        <f t="shared" si="52"/>
        <v/>
      </c>
      <c r="E588" s="1081" t="str">
        <f t="shared" si="53"/>
        <v/>
      </c>
      <c r="F588" s="1081" t="str">
        <f t="shared" si="54"/>
        <v/>
      </c>
      <c r="G588" s="1681"/>
      <c r="H588" s="1681"/>
      <c r="I588" s="1681"/>
      <c r="J588" s="1681"/>
      <c r="K588" s="1676"/>
      <c r="L588" s="2585"/>
      <c r="M588" s="2598"/>
      <c r="N588" s="2598"/>
      <c r="O588" s="2598"/>
      <c r="P588" s="1630"/>
      <c r="Q588" s="1611" t="s">
        <v>2481</v>
      </c>
      <c r="R588" s="1613"/>
      <c r="S588" s="1613"/>
      <c r="T588" s="1613"/>
      <c r="U588" s="1613"/>
      <c r="V588" s="1613"/>
      <c r="W588" s="2590"/>
      <c r="AD588" s="1608"/>
    </row>
    <row r="589" spans="1:30" ht="15">
      <c r="A589" s="1685" t="str">
        <f t="shared" si="55"/>
        <v/>
      </c>
      <c r="B589" s="1081" t="str">
        <f t="shared" ref="B589:B590" si="56">IF($Q589="sub-total",R589,"")</f>
        <v/>
      </c>
      <c r="C589" s="1081" t="str">
        <f t="shared" ref="C589:C590" si="57">IF($Q589="sub-total",S589,"")</f>
        <v/>
      </c>
      <c r="D589" s="1081" t="str">
        <f t="shared" ref="D589:D590" si="58">IF($Q589="sub-total",T589,"")</f>
        <v/>
      </c>
      <c r="E589" s="1081" t="str">
        <f t="shared" ref="E589:E590" si="59">IF($Q589="sub-total",U589,"")</f>
        <v/>
      </c>
      <c r="F589" s="1081" t="str">
        <f t="shared" ref="F589:F590" si="60">IF($Q589="sub-total",V589,"")</f>
        <v/>
      </c>
      <c r="G589" s="1681"/>
      <c r="H589" s="1681"/>
      <c r="I589" s="1681"/>
      <c r="J589" s="1681"/>
      <c r="K589" s="1676"/>
      <c r="L589" s="2585"/>
      <c r="M589" s="2598"/>
      <c r="N589" s="2598"/>
      <c r="O589" s="2598"/>
      <c r="P589" s="1630"/>
      <c r="Q589" s="1611" t="s">
        <v>2482</v>
      </c>
      <c r="R589" s="1613"/>
      <c r="S589" s="1613"/>
      <c r="T589" s="1613"/>
      <c r="U589" s="1613"/>
      <c r="V589" s="1613"/>
      <c r="W589" s="2590"/>
      <c r="AD589" s="1608"/>
    </row>
    <row r="590" spans="1:30" ht="15">
      <c r="A590" s="1685" t="str">
        <f t="shared" si="55"/>
        <v/>
      </c>
      <c r="B590" s="1081">
        <f t="shared" si="56"/>
        <v>0</v>
      </c>
      <c r="C590" s="1081">
        <f t="shared" si="57"/>
        <v>0</v>
      </c>
      <c r="D590" s="1081">
        <f t="shared" si="58"/>
        <v>0</v>
      </c>
      <c r="E590" s="1081">
        <f t="shared" si="59"/>
        <v>0</v>
      </c>
      <c r="F590" s="1081">
        <f t="shared" si="60"/>
        <v>0</v>
      </c>
      <c r="G590" s="1681"/>
      <c r="H590" s="1681"/>
      <c r="I590" s="1681"/>
      <c r="J590" s="1681"/>
      <c r="K590" s="1676"/>
      <c r="L590" s="2586"/>
      <c r="M590" s="2599"/>
      <c r="N590" s="2599"/>
      <c r="O590" s="2599"/>
      <c r="P590" s="1635"/>
      <c r="Q590" s="1611" t="s">
        <v>2483</v>
      </c>
      <c r="R590" s="1613"/>
      <c r="S590" s="1613"/>
      <c r="T590" s="1613"/>
      <c r="U590" s="1613"/>
      <c r="V590" s="1613"/>
      <c r="W590" s="2590"/>
      <c r="AD590" s="1608"/>
    </row>
    <row r="591" spans="1:30" ht="19">
      <c r="A591" s="1685" t="str">
        <f t="shared" si="55"/>
        <v/>
      </c>
      <c r="B591" s="1685"/>
      <c r="C591" s="1685"/>
      <c r="D591" s="1685"/>
      <c r="E591" s="1685"/>
      <c r="F591" s="1685"/>
      <c r="G591" s="1681"/>
      <c r="H591" s="1681"/>
      <c r="I591" s="1681"/>
      <c r="J591" s="1681"/>
      <c r="K591" s="1676"/>
      <c r="L591" s="1670"/>
      <c r="M591" s="2647" t="s">
        <v>114</v>
      </c>
      <c r="N591" s="2648"/>
      <c r="O591" s="2649"/>
      <c r="P591" s="1671"/>
      <c r="Q591" s="1671"/>
      <c r="R591" s="1672">
        <v>53896072.249626726</v>
      </c>
      <c r="S591" s="1672">
        <v>43809988.58800713</v>
      </c>
      <c r="T591" s="1672">
        <v>47017152.980134927</v>
      </c>
      <c r="U591" s="1672">
        <v>44732949.668763362</v>
      </c>
      <c r="V591" s="1672">
        <v>48626573.087988131</v>
      </c>
      <c r="W591" s="1672">
        <v>238082736.57452029</v>
      </c>
      <c r="AD591" s="1608"/>
    </row>
    <row r="592" spans="1:30">
      <c r="AD592" s="1608"/>
    </row>
    <row r="593" spans="20:30">
      <c r="W593" s="1673"/>
      <c r="AD593" s="1608"/>
    </row>
    <row r="594" spans="20:30">
      <c r="T594" s="1674">
        <v>144723213.81776878</v>
      </c>
      <c r="V594" s="1674"/>
      <c r="W594" s="1673"/>
      <c r="AD594" s="1608"/>
    </row>
  </sheetData>
  <mergeCells count="978">
    <mergeCell ref="M591:O591"/>
    <mergeCell ref="W585:W586"/>
    <mergeCell ref="M586:O586"/>
    <mergeCell ref="L587:L590"/>
    <mergeCell ref="M587:M590"/>
    <mergeCell ref="N587:N590"/>
    <mergeCell ref="O587:O590"/>
    <mergeCell ref="W587:W590"/>
    <mergeCell ref="W581:W584"/>
    <mergeCell ref="L585:L586"/>
    <mergeCell ref="M585:O585"/>
    <mergeCell ref="P585:P586"/>
    <mergeCell ref="Q585:Q586"/>
    <mergeCell ref="R585:R586"/>
    <mergeCell ref="S585:S586"/>
    <mergeCell ref="T585:T586"/>
    <mergeCell ref="U585:U586"/>
    <mergeCell ref="V585:V586"/>
    <mergeCell ref="T579:T580"/>
    <mergeCell ref="U579:U580"/>
    <mergeCell ref="V579:V580"/>
    <mergeCell ref="W579:W580"/>
    <mergeCell ref="M580:O580"/>
    <mergeCell ref="L581:L584"/>
    <mergeCell ref="M581:M584"/>
    <mergeCell ref="N581:N584"/>
    <mergeCell ref="O581:O584"/>
    <mergeCell ref="P581:P584"/>
    <mergeCell ref="L579:L580"/>
    <mergeCell ref="M579:O579"/>
    <mergeCell ref="P579:P580"/>
    <mergeCell ref="Q579:Q580"/>
    <mergeCell ref="R579:R580"/>
    <mergeCell ref="S579:S580"/>
    <mergeCell ref="L571:L574"/>
    <mergeCell ref="M571:M574"/>
    <mergeCell ref="N571:N574"/>
    <mergeCell ref="O571:O574"/>
    <mergeCell ref="W571:W574"/>
    <mergeCell ref="L575:L578"/>
    <mergeCell ref="M575:M578"/>
    <mergeCell ref="N575:N578"/>
    <mergeCell ref="O575:O578"/>
    <mergeCell ref="W575:W578"/>
    <mergeCell ref="W563:W566"/>
    <mergeCell ref="L567:L570"/>
    <mergeCell ref="M567:M570"/>
    <mergeCell ref="N567:N570"/>
    <mergeCell ref="O567:O570"/>
    <mergeCell ref="W567:W570"/>
    <mergeCell ref="L559:L562"/>
    <mergeCell ref="M559:M562"/>
    <mergeCell ref="N559:N562"/>
    <mergeCell ref="O559:O562"/>
    <mergeCell ref="L563:L566"/>
    <mergeCell ref="M563:M566"/>
    <mergeCell ref="N563:N566"/>
    <mergeCell ref="O563:O566"/>
    <mergeCell ref="L551:L554"/>
    <mergeCell ref="M551:M554"/>
    <mergeCell ref="N551:N554"/>
    <mergeCell ref="O551:O554"/>
    <mergeCell ref="W551:W554"/>
    <mergeCell ref="L555:L558"/>
    <mergeCell ref="M555:M558"/>
    <mergeCell ref="N555:N558"/>
    <mergeCell ref="O555:O558"/>
    <mergeCell ref="W555:W558"/>
    <mergeCell ref="S549:S550"/>
    <mergeCell ref="T549:T550"/>
    <mergeCell ref="U549:U550"/>
    <mergeCell ref="V549:V550"/>
    <mergeCell ref="W549:W550"/>
    <mergeCell ref="M550:O550"/>
    <mergeCell ref="L545:L548"/>
    <mergeCell ref="M545:M548"/>
    <mergeCell ref="N545:N548"/>
    <mergeCell ref="O545:O548"/>
    <mergeCell ref="W545:W548"/>
    <mergeCell ref="L549:L550"/>
    <mergeCell ref="M549:O549"/>
    <mergeCell ref="P549:P550"/>
    <mergeCell ref="Q549:Q550"/>
    <mergeCell ref="R549:R550"/>
    <mergeCell ref="L537:L540"/>
    <mergeCell ref="M537:M540"/>
    <mergeCell ref="N537:N540"/>
    <mergeCell ref="O537:O540"/>
    <mergeCell ref="W537:W540"/>
    <mergeCell ref="L541:L544"/>
    <mergeCell ref="M541:M544"/>
    <mergeCell ref="N541:N544"/>
    <mergeCell ref="O541:O544"/>
    <mergeCell ref="W541:W544"/>
    <mergeCell ref="S535:S536"/>
    <mergeCell ref="T535:T536"/>
    <mergeCell ref="U535:U536"/>
    <mergeCell ref="V535:V536"/>
    <mergeCell ref="W535:W536"/>
    <mergeCell ref="M536:O536"/>
    <mergeCell ref="M534:O534"/>
    <mergeCell ref="L535:L536"/>
    <mergeCell ref="M535:O535"/>
    <mergeCell ref="P535:P536"/>
    <mergeCell ref="Q535:Q536"/>
    <mergeCell ref="R535:R536"/>
    <mergeCell ref="L530:L533"/>
    <mergeCell ref="M530:M533"/>
    <mergeCell ref="N530:N533"/>
    <mergeCell ref="O530:O533"/>
    <mergeCell ref="P530:P533"/>
    <mergeCell ref="W530:W533"/>
    <mergeCell ref="L526:L529"/>
    <mergeCell ref="M526:M529"/>
    <mergeCell ref="N526:N529"/>
    <mergeCell ref="O526:O529"/>
    <mergeCell ref="P526:P529"/>
    <mergeCell ref="W526:W529"/>
    <mergeCell ref="W518:W521"/>
    <mergeCell ref="L522:L525"/>
    <mergeCell ref="M522:M525"/>
    <mergeCell ref="N522:N525"/>
    <mergeCell ref="O522:O525"/>
    <mergeCell ref="P522:P525"/>
    <mergeCell ref="W522:W525"/>
    <mergeCell ref="L514:L517"/>
    <mergeCell ref="M514:M517"/>
    <mergeCell ref="N514:N517"/>
    <mergeCell ref="O514:O517"/>
    <mergeCell ref="P514:W517"/>
    <mergeCell ref="L518:L521"/>
    <mergeCell ref="M518:M521"/>
    <mergeCell ref="N518:N521"/>
    <mergeCell ref="O518:O521"/>
    <mergeCell ref="P518:P521"/>
    <mergeCell ref="L510:L513"/>
    <mergeCell ref="M510:M513"/>
    <mergeCell ref="N510:N513"/>
    <mergeCell ref="O510:O513"/>
    <mergeCell ref="P510:P513"/>
    <mergeCell ref="W510:W513"/>
    <mergeCell ref="L506:L509"/>
    <mergeCell ref="M506:M509"/>
    <mergeCell ref="N506:N509"/>
    <mergeCell ref="O506:O509"/>
    <mergeCell ref="P506:P509"/>
    <mergeCell ref="W506:W509"/>
    <mergeCell ref="L498:L501"/>
    <mergeCell ref="M498:M501"/>
    <mergeCell ref="N498:N501"/>
    <mergeCell ref="O498:O501"/>
    <mergeCell ref="P498:W501"/>
    <mergeCell ref="L502:L505"/>
    <mergeCell ref="M502:M505"/>
    <mergeCell ref="N502:N505"/>
    <mergeCell ref="O502:O505"/>
    <mergeCell ref="W502:W505"/>
    <mergeCell ref="S496:S497"/>
    <mergeCell ref="T496:T497"/>
    <mergeCell ref="U496:U497"/>
    <mergeCell ref="V496:V497"/>
    <mergeCell ref="W496:W497"/>
    <mergeCell ref="M497:O497"/>
    <mergeCell ref="L492:L495"/>
    <mergeCell ref="M492:M495"/>
    <mergeCell ref="N492:N495"/>
    <mergeCell ref="O492:O495"/>
    <mergeCell ref="W492:W495"/>
    <mergeCell ref="L496:L497"/>
    <mergeCell ref="M496:O496"/>
    <mergeCell ref="P496:P497"/>
    <mergeCell ref="Q496:Q497"/>
    <mergeCell ref="R496:R497"/>
    <mergeCell ref="L484:L487"/>
    <mergeCell ref="M484:M487"/>
    <mergeCell ref="N484:N487"/>
    <mergeCell ref="O484:O487"/>
    <mergeCell ref="W484:W487"/>
    <mergeCell ref="L488:L491"/>
    <mergeCell ref="M488:M491"/>
    <mergeCell ref="N488:N491"/>
    <mergeCell ref="O488:O491"/>
    <mergeCell ref="W488:W491"/>
    <mergeCell ref="L476:L479"/>
    <mergeCell ref="M476:M479"/>
    <mergeCell ref="N476:N479"/>
    <mergeCell ref="O476:O479"/>
    <mergeCell ref="W476:W479"/>
    <mergeCell ref="L480:L483"/>
    <mergeCell ref="M480:M483"/>
    <mergeCell ref="N480:N483"/>
    <mergeCell ref="O480:O483"/>
    <mergeCell ref="W480:W483"/>
    <mergeCell ref="W468:W471"/>
    <mergeCell ref="L472:L475"/>
    <mergeCell ref="M472:M475"/>
    <mergeCell ref="N472:N475"/>
    <mergeCell ref="O472:O475"/>
    <mergeCell ref="P472:W475"/>
    <mergeCell ref="T466:T467"/>
    <mergeCell ref="U466:U467"/>
    <mergeCell ref="V466:V467"/>
    <mergeCell ref="W466:W467"/>
    <mergeCell ref="M467:O467"/>
    <mergeCell ref="L468:L471"/>
    <mergeCell ref="M468:M471"/>
    <mergeCell ref="N468:N471"/>
    <mergeCell ref="O468:O471"/>
    <mergeCell ref="P468:P471"/>
    <mergeCell ref="L466:L467"/>
    <mergeCell ref="M466:O466"/>
    <mergeCell ref="P466:P467"/>
    <mergeCell ref="Q466:Q467"/>
    <mergeCell ref="R466:R467"/>
    <mergeCell ref="S466:S467"/>
    <mergeCell ref="L462:L465"/>
    <mergeCell ref="M462:M465"/>
    <mergeCell ref="N462:N465"/>
    <mergeCell ref="O462:O465"/>
    <mergeCell ref="P462:P465"/>
    <mergeCell ref="W462:W465"/>
    <mergeCell ref="L458:L461"/>
    <mergeCell ref="M458:M461"/>
    <mergeCell ref="N458:N461"/>
    <mergeCell ref="O458:O461"/>
    <mergeCell ref="P458:P461"/>
    <mergeCell ref="W458:W461"/>
    <mergeCell ref="L454:L457"/>
    <mergeCell ref="M454:M457"/>
    <mergeCell ref="N454:N457"/>
    <mergeCell ref="O454:O457"/>
    <mergeCell ref="P454:P457"/>
    <mergeCell ref="W454:W457"/>
    <mergeCell ref="W446:W449"/>
    <mergeCell ref="L450:L453"/>
    <mergeCell ref="M450:M453"/>
    <mergeCell ref="N450:N453"/>
    <mergeCell ref="O450:O453"/>
    <mergeCell ref="P450:P453"/>
    <mergeCell ref="W450:W453"/>
    <mergeCell ref="L442:L445"/>
    <mergeCell ref="M442:M445"/>
    <mergeCell ref="N442:N445"/>
    <mergeCell ref="O442:O445"/>
    <mergeCell ref="P442:W445"/>
    <mergeCell ref="L446:L449"/>
    <mergeCell ref="M446:M449"/>
    <mergeCell ref="N446:N449"/>
    <mergeCell ref="O446:O449"/>
    <mergeCell ref="P446:P449"/>
    <mergeCell ref="L438:L441"/>
    <mergeCell ref="M438:M441"/>
    <mergeCell ref="N438:N441"/>
    <mergeCell ref="O438:O441"/>
    <mergeCell ref="P438:P441"/>
    <mergeCell ref="W438:W441"/>
    <mergeCell ref="L434:L437"/>
    <mergeCell ref="M434:M437"/>
    <mergeCell ref="N434:N437"/>
    <mergeCell ref="O434:O437"/>
    <mergeCell ref="P434:P437"/>
    <mergeCell ref="W434:W437"/>
    <mergeCell ref="S432:S433"/>
    <mergeCell ref="T432:T433"/>
    <mergeCell ref="U432:U433"/>
    <mergeCell ref="V432:V433"/>
    <mergeCell ref="W432:W433"/>
    <mergeCell ref="M433:O433"/>
    <mergeCell ref="L428:L431"/>
    <mergeCell ref="M428:M431"/>
    <mergeCell ref="N428:N431"/>
    <mergeCell ref="O428:O431"/>
    <mergeCell ref="W428:W431"/>
    <mergeCell ref="L432:L433"/>
    <mergeCell ref="M432:O432"/>
    <mergeCell ref="P432:P433"/>
    <mergeCell ref="Q432:Q433"/>
    <mergeCell ref="R432:R433"/>
    <mergeCell ref="L420:L423"/>
    <mergeCell ref="M420:M423"/>
    <mergeCell ref="N420:N423"/>
    <mergeCell ref="O420:O423"/>
    <mergeCell ref="W420:W423"/>
    <mergeCell ref="L424:L427"/>
    <mergeCell ref="M424:M427"/>
    <mergeCell ref="N424:N427"/>
    <mergeCell ref="O424:O427"/>
    <mergeCell ref="W424:W427"/>
    <mergeCell ref="T414:T415"/>
    <mergeCell ref="U414:U415"/>
    <mergeCell ref="V414:V415"/>
    <mergeCell ref="W414:W415"/>
    <mergeCell ref="M415:O415"/>
    <mergeCell ref="L416:L419"/>
    <mergeCell ref="M416:M419"/>
    <mergeCell ref="N416:N419"/>
    <mergeCell ref="O416:O419"/>
    <mergeCell ref="W416:W419"/>
    <mergeCell ref="L414:L415"/>
    <mergeCell ref="M414:O414"/>
    <mergeCell ref="P414:P415"/>
    <mergeCell ref="Q414:Q415"/>
    <mergeCell ref="R414:R415"/>
    <mergeCell ref="S414:S415"/>
    <mergeCell ref="L406:L409"/>
    <mergeCell ref="M406:M409"/>
    <mergeCell ref="N406:N409"/>
    <mergeCell ref="O406:O409"/>
    <mergeCell ref="W406:W409"/>
    <mergeCell ref="L410:L413"/>
    <mergeCell ref="M410:M413"/>
    <mergeCell ref="N410:N413"/>
    <mergeCell ref="O410:O413"/>
    <mergeCell ref="W410:W413"/>
    <mergeCell ref="L398:L401"/>
    <mergeCell ref="M398:M401"/>
    <mergeCell ref="N398:N401"/>
    <mergeCell ref="O398:O401"/>
    <mergeCell ref="W398:W401"/>
    <mergeCell ref="L402:L405"/>
    <mergeCell ref="M402:M405"/>
    <mergeCell ref="N402:N405"/>
    <mergeCell ref="O402:O405"/>
    <mergeCell ref="W402:W405"/>
    <mergeCell ref="L390:L393"/>
    <mergeCell ref="M390:M393"/>
    <mergeCell ref="N390:N393"/>
    <mergeCell ref="O390:O393"/>
    <mergeCell ref="W390:W393"/>
    <mergeCell ref="L394:L397"/>
    <mergeCell ref="M394:M397"/>
    <mergeCell ref="N394:N397"/>
    <mergeCell ref="O394:O397"/>
    <mergeCell ref="W394:W397"/>
    <mergeCell ref="L382:L385"/>
    <mergeCell ref="M382:M385"/>
    <mergeCell ref="N382:N385"/>
    <mergeCell ref="O382:O385"/>
    <mergeCell ref="W382:W385"/>
    <mergeCell ref="L386:L389"/>
    <mergeCell ref="M386:M389"/>
    <mergeCell ref="N386:N389"/>
    <mergeCell ref="O386:O389"/>
    <mergeCell ref="W386:W389"/>
    <mergeCell ref="P375:P376"/>
    <mergeCell ref="L378:L381"/>
    <mergeCell ref="M378:M381"/>
    <mergeCell ref="N378:N381"/>
    <mergeCell ref="O378:O381"/>
    <mergeCell ref="W378:W381"/>
    <mergeCell ref="T372:T373"/>
    <mergeCell ref="U372:U373"/>
    <mergeCell ref="V372:V373"/>
    <mergeCell ref="W372:W373"/>
    <mergeCell ref="M373:O373"/>
    <mergeCell ref="L374:L377"/>
    <mergeCell ref="M374:M377"/>
    <mergeCell ref="N374:N377"/>
    <mergeCell ref="O374:O377"/>
    <mergeCell ref="W374:W377"/>
    <mergeCell ref="L372:L373"/>
    <mergeCell ref="M372:O372"/>
    <mergeCell ref="P372:P373"/>
    <mergeCell ref="Q372:Q373"/>
    <mergeCell ref="R372:R373"/>
    <mergeCell ref="S372:S373"/>
    <mergeCell ref="L364:L367"/>
    <mergeCell ref="M364:M367"/>
    <mergeCell ref="N364:N367"/>
    <mergeCell ref="O364:O367"/>
    <mergeCell ref="W364:W367"/>
    <mergeCell ref="L368:L371"/>
    <mergeCell ref="M368:M371"/>
    <mergeCell ref="N368:N371"/>
    <mergeCell ref="O368:O371"/>
    <mergeCell ref="W368:W371"/>
    <mergeCell ref="L356:L359"/>
    <mergeCell ref="M356:M359"/>
    <mergeCell ref="N356:N359"/>
    <mergeCell ref="O356:O359"/>
    <mergeCell ref="W356:W359"/>
    <mergeCell ref="L360:L363"/>
    <mergeCell ref="M360:M363"/>
    <mergeCell ref="N360:N363"/>
    <mergeCell ref="O360:O363"/>
    <mergeCell ref="W360:W363"/>
    <mergeCell ref="L348:L351"/>
    <mergeCell ref="M348:M351"/>
    <mergeCell ref="N348:N351"/>
    <mergeCell ref="O348:O351"/>
    <mergeCell ref="W348:W351"/>
    <mergeCell ref="L352:L355"/>
    <mergeCell ref="M352:M355"/>
    <mergeCell ref="N352:N355"/>
    <mergeCell ref="O352:O355"/>
    <mergeCell ref="W352:W355"/>
    <mergeCell ref="T342:T343"/>
    <mergeCell ref="U342:U343"/>
    <mergeCell ref="V342:V343"/>
    <mergeCell ref="W342:W343"/>
    <mergeCell ref="M343:O343"/>
    <mergeCell ref="L344:L347"/>
    <mergeCell ref="M344:M347"/>
    <mergeCell ref="N344:N347"/>
    <mergeCell ref="O344:O347"/>
    <mergeCell ref="W344:W347"/>
    <mergeCell ref="L342:L343"/>
    <mergeCell ref="M342:O342"/>
    <mergeCell ref="P342:P343"/>
    <mergeCell ref="Q342:Q343"/>
    <mergeCell ref="R342:R343"/>
    <mergeCell ref="S342:S343"/>
    <mergeCell ref="L338:L341"/>
    <mergeCell ref="M338:M341"/>
    <mergeCell ref="N338:N341"/>
    <mergeCell ref="O338:O341"/>
    <mergeCell ref="P338:P341"/>
    <mergeCell ref="W338:W341"/>
    <mergeCell ref="L334:L337"/>
    <mergeCell ref="M334:M337"/>
    <mergeCell ref="N334:N337"/>
    <mergeCell ref="O334:O337"/>
    <mergeCell ref="P334:P337"/>
    <mergeCell ref="W334:W337"/>
    <mergeCell ref="L330:L333"/>
    <mergeCell ref="M330:M333"/>
    <mergeCell ref="N330:N333"/>
    <mergeCell ref="O330:O333"/>
    <mergeCell ref="P330:P333"/>
    <mergeCell ref="W330:W333"/>
    <mergeCell ref="S328:S329"/>
    <mergeCell ref="T328:T329"/>
    <mergeCell ref="U328:U329"/>
    <mergeCell ref="V328:V329"/>
    <mergeCell ref="W328:W329"/>
    <mergeCell ref="M329:O329"/>
    <mergeCell ref="M327:O327"/>
    <mergeCell ref="L328:L329"/>
    <mergeCell ref="M328:O328"/>
    <mergeCell ref="P328:P329"/>
    <mergeCell ref="Q328:Q329"/>
    <mergeCell ref="R328:R329"/>
    <mergeCell ref="T321:T322"/>
    <mergeCell ref="U321:U322"/>
    <mergeCell ref="V321:V322"/>
    <mergeCell ref="W321:W322"/>
    <mergeCell ref="M322:O322"/>
    <mergeCell ref="L323:L326"/>
    <mergeCell ref="M323:M326"/>
    <mergeCell ref="N323:N326"/>
    <mergeCell ref="O323:O326"/>
    <mergeCell ref="W323:W326"/>
    <mergeCell ref="L321:L322"/>
    <mergeCell ref="M321:O321"/>
    <mergeCell ref="P321:P322"/>
    <mergeCell ref="Q321:Q322"/>
    <mergeCell ref="R321:R322"/>
    <mergeCell ref="S321:S322"/>
    <mergeCell ref="L317:L320"/>
    <mergeCell ref="M317:M320"/>
    <mergeCell ref="N317:N320"/>
    <mergeCell ref="O317:O320"/>
    <mergeCell ref="P317:P319"/>
    <mergeCell ref="W317:W320"/>
    <mergeCell ref="L313:L316"/>
    <mergeCell ref="M313:M316"/>
    <mergeCell ref="N313:N316"/>
    <mergeCell ref="O313:O316"/>
    <mergeCell ref="P313:P316"/>
    <mergeCell ref="W313:W316"/>
    <mergeCell ref="L309:L312"/>
    <mergeCell ref="M309:M312"/>
    <mergeCell ref="N309:N312"/>
    <mergeCell ref="O309:O312"/>
    <mergeCell ref="P309:P312"/>
    <mergeCell ref="W309:W312"/>
    <mergeCell ref="L305:L308"/>
    <mergeCell ref="M305:M308"/>
    <mergeCell ref="N305:N308"/>
    <mergeCell ref="O305:O308"/>
    <mergeCell ref="P305:P308"/>
    <mergeCell ref="W305:W308"/>
    <mergeCell ref="M297:M300"/>
    <mergeCell ref="N297:N300"/>
    <mergeCell ref="O297:O300"/>
    <mergeCell ref="P297:W300"/>
    <mergeCell ref="M301:M304"/>
    <mergeCell ref="N301:N304"/>
    <mergeCell ref="O301:O304"/>
    <mergeCell ref="P301:P304"/>
    <mergeCell ref="W301:W304"/>
    <mergeCell ref="M289:M292"/>
    <mergeCell ref="N289:N292"/>
    <mergeCell ref="O289:O292"/>
    <mergeCell ref="W289:W292"/>
    <mergeCell ref="M293:M296"/>
    <mergeCell ref="N293:N296"/>
    <mergeCell ref="O293:O296"/>
    <mergeCell ref="W293:W296"/>
    <mergeCell ref="M280:M283"/>
    <mergeCell ref="N280:N283"/>
    <mergeCell ref="O280:O283"/>
    <mergeCell ref="W280:W283"/>
    <mergeCell ref="P284:W284"/>
    <mergeCell ref="M285:M288"/>
    <mergeCell ref="N285:N288"/>
    <mergeCell ref="O285:O288"/>
    <mergeCell ref="W285:W288"/>
    <mergeCell ref="L272:L275"/>
    <mergeCell ref="M272:M275"/>
    <mergeCell ref="N272:N275"/>
    <mergeCell ref="O272:O275"/>
    <mergeCell ref="W272:W275"/>
    <mergeCell ref="L276:L279"/>
    <mergeCell ref="M276:M279"/>
    <mergeCell ref="N276:N279"/>
    <mergeCell ref="O276:O279"/>
    <mergeCell ref="W276:W279"/>
    <mergeCell ref="T264:T265"/>
    <mergeCell ref="U264:U265"/>
    <mergeCell ref="V264:V265"/>
    <mergeCell ref="W264:W265"/>
    <mergeCell ref="M265:O265"/>
    <mergeCell ref="L267:L270"/>
    <mergeCell ref="M267:M270"/>
    <mergeCell ref="N267:N270"/>
    <mergeCell ref="O267:O270"/>
    <mergeCell ref="W267:W270"/>
    <mergeCell ref="L264:L265"/>
    <mergeCell ref="M264:O264"/>
    <mergeCell ref="P264:P265"/>
    <mergeCell ref="Q264:Q265"/>
    <mergeCell ref="R264:R265"/>
    <mergeCell ref="S264:S265"/>
    <mergeCell ref="W256:W259"/>
    <mergeCell ref="L260:L263"/>
    <mergeCell ref="M260:M263"/>
    <mergeCell ref="N260:N263"/>
    <mergeCell ref="O260:O263"/>
    <mergeCell ref="P260:P263"/>
    <mergeCell ref="W260:W263"/>
    <mergeCell ref="T254:T255"/>
    <mergeCell ref="U254:U255"/>
    <mergeCell ref="V254:V255"/>
    <mergeCell ref="W254:W255"/>
    <mergeCell ref="M255:O255"/>
    <mergeCell ref="L256:L259"/>
    <mergeCell ref="M256:M259"/>
    <mergeCell ref="N256:N259"/>
    <mergeCell ref="O256:O259"/>
    <mergeCell ref="P256:P259"/>
    <mergeCell ref="L254:L255"/>
    <mergeCell ref="M254:O254"/>
    <mergeCell ref="P254:P255"/>
    <mergeCell ref="Q254:Q255"/>
    <mergeCell ref="R254:R255"/>
    <mergeCell ref="S254:S255"/>
    <mergeCell ref="L249:L252"/>
    <mergeCell ref="M249:M252"/>
    <mergeCell ref="N249:N252"/>
    <mergeCell ref="O249:O252"/>
    <mergeCell ref="W249:W252"/>
    <mergeCell ref="M253:O253"/>
    <mergeCell ref="W241:W244"/>
    <mergeCell ref="L245:L248"/>
    <mergeCell ref="M245:M248"/>
    <mergeCell ref="N245:N248"/>
    <mergeCell ref="O245:O248"/>
    <mergeCell ref="P245:P248"/>
    <mergeCell ref="W245:W248"/>
    <mergeCell ref="T239:T240"/>
    <mergeCell ref="U239:U240"/>
    <mergeCell ref="V239:V240"/>
    <mergeCell ref="W239:W240"/>
    <mergeCell ref="M240:O240"/>
    <mergeCell ref="L241:L244"/>
    <mergeCell ref="M241:M244"/>
    <mergeCell ref="N241:N244"/>
    <mergeCell ref="O241:O244"/>
    <mergeCell ref="P241:P244"/>
    <mergeCell ref="L239:L240"/>
    <mergeCell ref="M239:O239"/>
    <mergeCell ref="P239:P240"/>
    <mergeCell ref="Q239:Q240"/>
    <mergeCell ref="R239:R240"/>
    <mergeCell ref="S239:S240"/>
    <mergeCell ref="L231:L234"/>
    <mergeCell ref="M231:M234"/>
    <mergeCell ref="N231:N234"/>
    <mergeCell ref="O231:O234"/>
    <mergeCell ref="W231:W234"/>
    <mergeCell ref="L235:L238"/>
    <mergeCell ref="M235:M238"/>
    <mergeCell ref="N235:N238"/>
    <mergeCell ref="O235:O238"/>
    <mergeCell ref="W235:W238"/>
    <mergeCell ref="L223:L226"/>
    <mergeCell ref="M223:M226"/>
    <mergeCell ref="N223:N226"/>
    <mergeCell ref="O223:O226"/>
    <mergeCell ref="W223:W226"/>
    <mergeCell ref="L227:L230"/>
    <mergeCell ref="M227:M230"/>
    <mergeCell ref="N227:N230"/>
    <mergeCell ref="O227:O230"/>
    <mergeCell ref="W227:W230"/>
    <mergeCell ref="L215:L218"/>
    <mergeCell ref="M215:M218"/>
    <mergeCell ref="N215:N218"/>
    <mergeCell ref="O215:O218"/>
    <mergeCell ref="W215:W218"/>
    <mergeCell ref="L219:L222"/>
    <mergeCell ref="M219:M222"/>
    <mergeCell ref="N219:N222"/>
    <mergeCell ref="O219:O222"/>
    <mergeCell ref="W219:W222"/>
    <mergeCell ref="L207:L210"/>
    <mergeCell ref="M207:M210"/>
    <mergeCell ref="N207:N210"/>
    <mergeCell ref="O207:O210"/>
    <mergeCell ref="W207:W210"/>
    <mergeCell ref="L211:L214"/>
    <mergeCell ref="M211:M214"/>
    <mergeCell ref="N211:N214"/>
    <mergeCell ref="O211:O214"/>
    <mergeCell ref="W211:W214"/>
    <mergeCell ref="T201:T202"/>
    <mergeCell ref="U201:U202"/>
    <mergeCell ref="V201:V202"/>
    <mergeCell ref="W201:W202"/>
    <mergeCell ref="M202:O202"/>
    <mergeCell ref="L203:L206"/>
    <mergeCell ref="M203:M206"/>
    <mergeCell ref="N203:N206"/>
    <mergeCell ref="O203:O206"/>
    <mergeCell ref="W203:W206"/>
    <mergeCell ref="L201:L202"/>
    <mergeCell ref="M201:O201"/>
    <mergeCell ref="P201:P202"/>
    <mergeCell ref="Q201:Q202"/>
    <mergeCell ref="R201:R202"/>
    <mergeCell ref="S201:S202"/>
    <mergeCell ref="L196:L199"/>
    <mergeCell ref="M196:M199"/>
    <mergeCell ref="N196:N199"/>
    <mergeCell ref="O196:O199"/>
    <mergeCell ref="W196:W199"/>
    <mergeCell ref="M200:O200"/>
    <mergeCell ref="L188:L191"/>
    <mergeCell ref="M188:M191"/>
    <mergeCell ref="N188:N191"/>
    <mergeCell ref="O188:O191"/>
    <mergeCell ref="W188:W191"/>
    <mergeCell ref="L192:L195"/>
    <mergeCell ref="M192:M195"/>
    <mergeCell ref="N192:N195"/>
    <mergeCell ref="O192:O195"/>
    <mergeCell ref="W192:W195"/>
    <mergeCell ref="L180:L183"/>
    <mergeCell ref="M180:M183"/>
    <mergeCell ref="N180:N183"/>
    <mergeCell ref="O180:O183"/>
    <mergeCell ref="W180:W183"/>
    <mergeCell ref="L184:L187"/>
    <mergeCell ref="M184:M187"/>
    <mergeCell ref="N184:N187"/>
    <mergeCell ref="O184:O187"/>
    <mergeCell ref="W184:W187"/>
    <mergeCell ref="W172:W175"/>
    <mergeCell ref="L176:L179"/>
    <mergeCell ref="M176:M179"/>
    <mergeCell ref="N176:N179"/>
    <mergeCell ref="O176:O179"/>
    <mergeCell ref="W176:W179"/>
    <mergeCell ref="L168:L171"/>
    <mergeCell ref="M168:M171"/>
    <mergeCell ref="N168:N171"/>
    <mergeCell ref="O168:O171"/>
    <mergeCell ref="L172:L175"/>
    <mergeCell ref="M172:M175"/>
    <mergeCell ref="N172:N175"/>
    <mergeCell ref="O172:O175"/>
    <mergeCell ref="L160:L163"/>
    <mergeCell ref="M160:M163"/>
    <mergeCell ref="N160:N163"/>
    <mergeCell ref="O160:O163"/>
    <mergeCell ref="W160:W163"/>
    <mergeCell ref="L164:L167"/>
    <mergeCell ref="M164:M167"/>
    <mergeCell ref="N164:N167"/>
    <mergeCell ref="O164:O167"/>
    <mergeCell ref="W164:W167"/>
    <mergeCell ref="L152:L155"/>
    <mergeCell ref="M152:M155"/>
    <mergeCell ref="N152:N155"/>
    <mergeCell ref="O152:O155"/>
    <mergeCell ref="W152:W155"/>
    <mergeCell ref="L156:L159"/>
    <mergeCell ref="M156:M159"/>
    <mergeCell ref="N156:N159"/>
    <mergeCell ref="O156:O159"/>
    <mergeCell ref="W156:W159"/>
    <mergeCell ref="L144:L147"/>
    <mergeCell ref="M144:M147"/>
    <mergeCell ref="N144:N147"/>
    <mergeCell ref="O144:O147"/>
    <mergeCell ref="P144:W147"/>
    <mergeCell ref="L148:L151"/>
    <mergeCell ref="M148:M151"/>
    <mergeCell ref="N148:N151"/>
    <mergeCell ref="O148:O151"/>
    <mergeCell ref="W148:W151"/>
    <mergeCell ref="S142:S143"/>
    <mergeCell ref="T142:T143"/>
    <mergeCell ref="U142:U143"/>
    <mergeCell ref="V142:V143"/>
    <mergeCell ref="W142:W143"/>
    <mergeCell ref="M143:O143"/>
    <mergeCell ref="L138:L141"/>
    <mergeCell ref="M138:M141"/>
    <mergeCell ref="N138:N141"/>
    <mergeCell ref="O138:O141"/>
    <mergeCell ref="W138:W141"/>
    <mergeCell ref="L142:L143"/>
    <mergeCell ref="M142:O142"/>
    <mergeCell ref="P142:P143"/>
    <mergeCell ref="Q142:Q143"/>
    <mergeCell ref="R142:R143"/>
    <mergeCell ref="L129:L132"/>
    <mergeCell ref="M129:M132"/>
    <mergeCell ref="N129:N132"/>
    <mergeCell ref="O129:O132"/>
    <mergeCell ref="W129:W132"/>
    <mergeCell ref="L134:L137"/>
    <mergeCell ref="M134:M137"/>
    <mergeCell ref="N134:N137"/>
    <mergeCell ref="O134:O137"/>
    <mergeCell ref="W134:W137"/>
    <mergeCell ref="T123:T124"/>
    <mergeCell ref="U123:U124"/>
    <mergeCell ref="V123:V124"/>
    <mergeCell ref="W123:W124"/>
    <mergeCell ref="M124:O124"/>
    <mergeCell ref="L125:L128"/>
    <mergeCell ref="M125:M128"/>
    <mergeCell ref="N125:N128"/>
    <mergeCell ref="O125:O128"/>
    <mergeCell ref="W125:W128"/>
    <mergeCell ref="L123:L124"/>
    <mergeCell ref="M123:O123"/>
    <mergeCell ref="P123:P124"/>
    <mergeCell ref="Q123:Q124"/>
    <mergeCell ref="R123:R124"/>
    <mergeCell ref="S123:S124"/>
    <mergeCell ref="L119:L122"/>
    <mergeCell ref="M119:M122"/>
    <mergeCell ref="N119:N122"/>
    <mergeCell ref="O119:O122"/>
    <mergeCell ref="P119:P122"/>
    <mergeCell ref="W119:W122"/>
    <mergeCell ref="L115:L118"/>
    <mergeCell ref="M115:M118"/>
    <mergeCell ref="N115:N118"/>
    <mergeCell ref="O115:O118"/>
    <mergeCell ref="P115:P118"/>
    <mergeCell ref="W115:W118"/>
    <mergeCell ref="L111:L114"/>
    <mergeCell ref="M111:M114"/>
    <mergeCell ref="N111:N114"/>
    <mergeCell ref="O111:O114"/>
    <mergeCell ref="P111:P114"/>
    <mergeCell ref="W111:W114"/>
    <mergeCell ref="L107:L110"/>
    <mergeCell ref="M107:M110"/>
    <mergeCell ref="N107:N110"/>
    <mergeCell ref="O107:O110"/>
    <mergeCell ref="P107:P110"/>
    <mergeCell ref="W107:W110"/>
    <mergeCell ref="S105:S106"/>
    <mergeCell ref="T105:T106"/>
    <mergeCell ref="U105:U106"/>
    <mergeCell ref="V105:V106"/>
    <mergeCell ref="W105:W106"/>
    <mergeCell ref="M106:O106"/>
    <mergeCell ref="M104:O104"/>
    <mergeCell ref="L105:L106"/>
    <mergeCell ref="M105:O105"/>
    <mergeCell ref="P105:P106"/>
    <mergeCell ref="Q105:Q106"/>
    <mergeCell ref="R105:R106"/>
    <mergeCell ref="L100:L103"/>
    <mergeCell ref="M100:M103"/>
    <mergeCell ref="N100:N103"/>
    <mergeCell ref="O100:O103"/>
    <mergeCell ref="P100:P101"/>
    <mergeCell ref="W100:W103"/>
    <mergeCell ref="T94:T95"/>
    <mergeCell ref="U94:U95"/>
    <mergeCell ref="V94:V95"/>
    <mergeCell ref="W94:W95"/>
    <mergeCell ref="M95:O95"/>
    <mergeCell ref="L96:L99"/>
    <mergeCell ref="M96:M99"/>
    <mergeCell ref="N96:N99"/>
    <mergeCell ref="O96:O99"/>
    <mergeCell ref="W96:W99"/>
    <mergeCell ref="L94:L95"/>
    <mergeCell ref="M94:O94"/>
    <mergeCell ref="P94:P95"/>
    <mergeCell ref="Q94:Q95"/>
    <mergeCell ref="R94:R95"/>
    <mergeCell ref="S94:S95"/>
    <mergeCell ref="L86:L89"/>
    <mergeCell ref="M86:M89"/>
    <mergeCell ref="N86:N89"/>
    <mergeCell ref="O86:O89"/>
    <mergeCell ref="W86:W89"/>
    <mergeCell ref="L90:L93"/>
    <mergeCell ref="M90:M93"/>
    <mergeCell ref="N90:N93"/>
    <mergeCell ref="O90:O93"/>
    <mergeCell ref="W90:W93"/>
    <mergeCell ref="T80:T81"/>
    <mergeCell ref="U80:U81"/>
    <mergeCell ref="V80:V81"/>
    <mergeCell ref="W80:W81"/>
    <mergeCell ref="M81:O81"/>
    <mergeCell ref="L82:L85"/>
    <mergeCell ref="M82:M85"/>
    <mergeCell ref="N82:N85"/>
    <mergeCell ref="O82:O85"/>
    <mergeCell ref="W82:W85"/>
    <mergeCell ref="L80:L81"/>
    <mergeCell ref="M80:O80"/>
    <mergeCell ref="P80:P81"/>
    <mergeCell ref="Q80:Q81"/>
    <mergeCell ref="R80:R81"/>
    <mergeCell ref="S80:S81"/>
    <mergeCell ref="L72:L75"/>
    <mergeCell ref="M72:M75"/>
    <mergeCell ref="N72:N75"/>
    <mergeCell ref="O72:O75"/>
    <mergeCell ref="W72:W75"/>
    <mergeCell ref="L76:L79"/>
    <mergeCell ref="M76:M79"/>
    <mergeCell ref="N76:N79"/>
    <mergeCell ref="O76:O79"/>
    <mergeCell ref="W76:W79"/>
    <mergeCell ref="T66:T67"/>
    <mergeCell ref="U66:U67"/>
    <mergeCell ref="V66:V67"/>
    <mergeCell ref="W66:W67"/>
    <mergeCell ref="M67:O67"/>
    <mergeCell ref="L68:L71"/>
    <mergeCell ref="M68:M71"/>
    <mergeCell ref="N68:N71"/>
    <mergeCell ref="O68:O71"/>
    <mergeCell ref="W68:W71"/>
    <mergeCell ref="L66:L67"/>
    <mergeCell ref="M66:O66"/>
    <mergeCell ref="P66:P67"/>
    <mergeCell ref="Q66:Q67"/>
    <mergeCell ref="R66:R67"/>
    <mergeCell ref="S66:S67"/>
    <mergeCell ref="L62:L65"/>
    <mergeCell ref="M62:M65"/>
    <mergeCell ref="N62:N65"/>
    <mergeCell ref="O62:O65"/>
    <mergeCell ref="P62:P65"/>
    <mergeCell ref="W62:W65"/>
    <mergeCell ref="P57:W57"/>
    <mergeCell ref="L58:L61"/>
    <mergeCell ref="M58:M61"/>
    <mergeCell ref="N58:N61"/>
    <mergeCell ref="O58:O61"/>
    <mergeCell ref="P58:P61"/>
    <mergeCell ref="W58:W61"/>
    <mergeCell ref="S55:S56"/>
    <mergeCell ref="T55:T56"/>
    <mergeCell ref="U55:U56"/>
    <mergeCell ref="V55:V56"/>
    <mergeCell ref="W55:W56"/>
    <mergeCell ref="M56:O56"/>
    <mergeCell ref="M54:O54"/>
    <mergeCell ref="L55:L56"/>
    <mergeCell ref="M55:O55"/>
    <mergeCell ref="P55:P56"/>
    <mergeCell ref="Q55:Q56"/>
    <mergeCell ref="R55:R56"/>
    <mergeCell ref="L50:L53"/>
    <mergeCell ref="M50:M53"/>
    <mergeCell ref="N50:N53"/>
    <mergeCell ref="O50:O53"/>
    <mergeCell ref="W50:W53"/>
    <mergeCell ref="P51:P53"/>
    <mergeCell ref="W42:W45"/>
    <mergeCell ref="L46:L49"/>
    <mergeCell ref="M46:M49"/>
    <mergeCell ref="N46:N49"/>
    <mergeCell ref="O46:O49"/>
    <mergeCell ref="W46:W49"/>
    <mergeCell ref="P47:P49"/>
    <mergeCell ref="T40:T41"/>
    <mergeCell ref="U40:U41"/>
    <mergeCell ref="V40:V41"/>
    <mergeCell ref="W40:W41"/>
    <mergeCell ref="M41:O41"/>
    <mergeCell ref="L42:L45"/>
    <mergeCell ref="M42:M45"/>
    <mergeCell ref="N42:N45"/>
    <mergeCell ref="O42:O45"/>
    <mergeCell ref="P42:P45"/>
    <mergeCell ref="L40:L41"/>
    <mergeCell ref="M40:O40"/>
    <mergeCell ref="P40:P41"/>
    <mergeCell ref="Q40:Q41"/>
    <mergeCell ref="R40:R41"/>
    <mergeCell ref="S40:S41"/>
    <mergeCell ref="L36:L39"/>
    <mergeCell ref="M36:M39"/>
    <mergeCell ref="N36:N39"/>
    <mergeCell ref="O36:O39"/>
    <mergeCell ref="W36:W39"/>
    <mergeCell ref="P37:P39"/>
    <mergeCell ref="L32:L35"/>
    <mergeCell ref="M32:M35"/>
    <mergeCell ref="N32:N35"/>
    <mergeCell ref="O32:O35"/>
    <mergeCell ref="W32:W35"/>
    <mergeCell ref="P33:P35"/>
    <mergeCell ref="P24:P26"/>
    <mergeCell ref="W24:W27"/>
    <mergeCell ref="L28:L31"/>
    <mergeCell ref="M28:M31"/>
    <mergeCell ref="N28:N31"/>
    <mergeCell ref="O28:O31"/>
    <mergeCell ref="W28:W31"/>
    <mergeCell ref="P29:P31"/>
    <mergeCell ref="L20:L23"/>
    <mergeCell ref="M20:M23"/>
    <mergeCell ref="N20:N23"/>
    <mergeCell ref="O20:O23"/>
    <mergeCell ref="L24:L27"/>
    <mergeCell ref="M24:M27"/>
    <mergeCell ref="N24:N27"/>
    <mergeCell ref="O24:O27"/>
    <mergeCell ref="L16:L19"/>
    <mergeCell ref="M16:M19"/>
    <mergeCell ref="N16:N19"/>
    <mergeCell ref="O16:O19"/>
    <mergeCell ref="W16:W19"/>
    <mergeCell ref="P17:P19"/>
    <mergeCell ref="L12:L15"/>
    <mergeCell ref="M12:M15"/>
    <mergeCell ref="N12:N15"/>
    <mergeCell ref="O12:O15"/>
    <mergeCell ref="P12:P15"/>
    <mergeCell ref="W12:W15"/>
    <mergeCell ref="L1:W1"/>
    <mergeCell ref="L7:L8"/>
    <mergeCell ref="M7:M8"/>
    <mergeCell ref="N7:N8"/>
    <mergeCell ref="O7:O8"/>
    <mergeCell ref="P7:P8"/>
    <mergeCell ref="Q7:Q8"/>
    <mergeCell ref="W7:W8"/>
    <mergeCell ref="S10:S11"/>
    <mergeCell ref="T10:T11"/>
    <mergeCell ref="U10:U11"/>
    <mergeCell ref="V10:V11"/>
    <mergeCell ref="W10:W11"/>
    <mergeCell ref="M11:O11"/>
    <mergeCell ref="M9:O9"/>
    <mergeCell ref="L10:L11"/>
    <mergeCell ref="M10:O10"/>
    <mergeCell ref="P10:P11"/>
    <mergeCell ref="Q10:Q11"/>
    <mergeCell ref="R10:R11"/>
  </mergeCells>
  <conditionalFormatting sqref="A1">
    <cfRule type="duplicateValues" dxfId="2193" priority="2"/>
  </conditionalFormatting>
  <conditionalFormatting sqref="A2:J591">
    <cfRule type="notContainsBlanks" dxfId="2192" priority="1">
      <formula>LEN(TRIM(A2))&gt;0</formula>
    </cfRule>
  </conditionalFormatting>
  <dataValidations count="2">
    <dataValidation type="list" allowBlank="1" showInputMessage="1" showErrorMessage="1" sqref="I12:I591" xr:uid="{00000000-0002-0000-0000-000000000000}">
      <formula1>TB_implementare</formula1>
    </dataValidation>
    <dataValidation type="list" allowBlank="1" showInputMessage="1" showErrorMessage="1" sqref="G12:G591" xr:uid="{00000000-0002-0000-0000-000001000000}">
      <formula1>TB_sursa_finant_Ro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Nom_activ_2!$H$2:$H$88</xm:f>
          </x14:formula1>
          <xm:sqref>J12:J591</xm:sqref>
        </x14:dataValidation>
      </x14:dataValidations>
    </ext>
  </extLst>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2"/>
  <sheetViews>
    <sheetView topLeftCell="B1" workbookViewId="0">
      <selection activeCell="K27" sqref="K27"/>
    </sheetView>
  </sheetViews>
  <sheetFormatPr baseColWidth="10" defaultColWidth="8.83203125" defaultRowHeight="15"/>
  <cols>
    <col min="1" max="1" width="26.33203125" customWidth="1"/>
    <col min="3" max="3" width="19.6640625" style="734" bestFit="1" customWidth="1"/>
    <col min="4" max="4" width="15.33203125" style="734" bestFit="1" customWidth="1"/>
    <col min="5" max="5" width="13.6640625" style="734" bestFit="1" customWidth="1"/>
    <col min="6" max="6" width="13.6640625" style="1808" customWidth="1"/>
    <col min="7" max="7" width="27.6640625" bestFit="1" customWidth="1"/>
    <col min="8" max="8" width="15.33203125" bestFit="1" customWidth="1"/>
    <col min="10" max="10" width="15.33203125" bestFit="1" customWidth="1"/>
    <col min="12" max="12" width="14.33203125" customWidth="1"/>
  </cols>
  <sheetData>
    <row r="1" spans="1:13">
      <c r="C1" s="1941" t="s">
        <v>3324</v>
      </c>
      <c r="D1" s="1941" t="s">
        <v>2993</v>
      </c>
    </row>
    <row r="2" spans="1:13">
      <c r="A2" s="438" t="s">
        <v>3618</v>
      </c>
      <c r="C2" s="1941">
        <f ca="1">SUM(C3:C29)</f>
        <v>1339488523.6366773</v>
      </c>
      <c r="D2" s="1941">
        <f ca="1">SUM(D3:D29)</f>
        <v>1337042974.6366773</v>
      </c>
    </row>
    <row r="3" spans="1:13">
      <c r="A3" s="1380" t="s">
        <v>335</v>
      </c>
      <c r="C3" s="1394">
        <f t="shared" ref="C3:C23" ca="1" si="0">IFERROR(INDIRECT(A3&amp;"!"&amp;$D$1,TRUE),0)</f>
        <v>0</v>
      </c>
      <c r="D3" s="1394">
        <f>SUMIF(Buget_detaliat!I:I,A3,Buget_detaliat!BC:BC)</f>
        <v>0</v>
      </c>
      <c r="E3" s="1394">
        <f t="shared" ref="E3:E23" ca="1" si="1">C3-D3</f>
        <v>0</v>
      </c>
      <c r="F3" s="836"/>
    </row>
    <row r="4" spans="1:13">
      <c r="A4" s="438" t="s">
        <v>3315</v>
      </c>
      <c r="C4" s="1394">
        <f t="shared" ca="1" si="0"/>
        <v>626464.80000000005</v>
      </c>
      <c r="D4" s="1394">
        <f ca="1">SUMIF(Buget_detaliat!I:I,A4,Buget_detaliat!BC:BC)</f>
        <v>626464.80000000005</v>
      </c>
      <c r="E4" s="1394">
        <f t="shared" ca="1" si="1"/>
        <v>0</v>
      </c>
      <c r="F4" s="836"/>
    </row>
    <row r="5" spans="1:13" ht="16" thickBot="1">
      <c r="A5" s="438" t="s">
        <v>3310</v>
      </c>
      <c r="C5" s="1394">
        <f t="shared" ca="1" si="0"/>
        <v>96872198.769999996</v>
      </c>
      <c r="D5" s="1394">
        <f ca="1">SUMIF(Buget_detaliat!I:I,A5,Buget_detaliat!BC:BC)</f>
        <v>96872198.769999981</v>
      </c>
      <c r="E5" s="1394">
        <f t="shared" ca="1" si="1"/>
        <v>0</v>
      </c>
      <c r="F5" s="836"/>
    </row>
    <row r="6" spans="1:13">
      <c r="A6" s="1381" t="s">
        <v>1833</v>
      </c>
      <c r="C6" s="1394">
        <f t="shared" ca="1" si="0"/>
        <v>0</v>
      </c>
      <c r="D6" s="1394">
        <f>SUMIF(Buget_detaliat!I:I,A6,Buget_detaliat!BC:BC)</f>
        <v>0</v>
      </c>
      <c r="E6" s="1394">
        <f t="shared" ca="1" si="1"/>
        <v>0</v>
      </c>
      <c r="F6" s="836"/>
      <c r="G6" s="2041" t="s">
        <v>3321</v>
      </c>
      <c r="H6" s="1767"/>
      <c r="I6" s="1767"/>
      <c r="J6" s="1767"/>
      <c r="K6" s="1767"/>
      <c r="L6" s="2042">
        <v>9398343</v>
      </c>
      <c r="M6" t="s">
        <v>447</v>
      </c>
    </row>
    <row r="7" spans="1:13">
      <c r="A7" s="1380" t="s">
        <v>1806</v>
      </c>
      <c r="C7" s="1394">
        <f t="shared" ca="1" si="0"/>
        <v>0</v>
      </c>
      <c r="D7" s="1394">
        <f>SUMIF(Buget_detaliat!I:I,A7,Buget_detaliat!BC:BC)</f>
        <v>0</v>
      </c>
      <c r="E7" s="1394">
        <f t="shared" ca="1" si="1"/>
        <v>0</v>
      </c>
      <c r="F7" s="836"/>
      <c r="G7" s="1539" t="s">
        <v>3908</v>
      </c>
      <c r="H7" s="958"/>
      <c r="I7" s="958"/>
      <c r="J7" s="958"/>
      <c r="K7" s="958"/>
      <c r="L7" s="2043">
        <f>ROUND(L6*9%,0)</f>
        <v>845851</v>
      </c>
      <c r="M7" s="1808" t="s">
        <v>447</v>
      </c>
    </row>
    <row r="8" spans="1:13" ht="16" thickBot="1">
      <c r="A8" s="1380" t="s">
        <v>1805</v>
      </c>
      <c r="C8" s="1394">
        <f t="shared" ca="1" si="0"/>
        <v>0</v>
      </c>
      <c r="D8" s="1394">
        <f>SUMIF(Buget_detaliat!I:I,A8,Buget_detaliat!BC:BC)</f>
        <v>0</v>
      </c>
      <c r="E8" s="1394">
        <f t="shared" ca="1" si="1"/>
        <v>0</v>
      </c>
      <c r="F8" s="836"/>
      <c r="G8" s="1539" t="s">
        <v>3322</v>
      </c>
      <c r="H8" s="958"/>
      <c r="I8" s="958"/>
      <c r="J8" s="958"/>
      <c r="K8" s="958"/>
      <c r="L8" s="2043">
        <f>L6-L7</f>
        <v>8552492</v>
      </c>
      <c r="M8" s="1808" t="s">
        <v>447</v>
      </c>
    </row>
    <row r="9" spans="1:13" ht="16" thickBot="1">
      <c r="A9" s="848" t="s">
        <v>1848</v>
      </c>
      <c r="C9" s="1394">
        <f t="shared" ca="1" si="0"/>
        <v>3385582.852</v>
      </c>
      <c r="D9" s="1394">
        <f ca="1">SUMIF(Buget_detaliat!I:I,A9,Buget_detaliat!BC:BC)</f>
        <v>3385582.8520000004</v>
      </c>
      <c r="E9" s="1394">
        <f t="shared" ca="1" si="1"/>
        <v>0</v>
      </c>
      <c r="F9" s="836"/>
      <c r="G9" s="1049" t="s">
        <v>351</v>
      </c>
      <c r="H9" s="960"/>
      <c r="I9" s="960"/>
      <c r="J9" s="960"/>
      <c r="K9" s="960"/>
      <c r="L9" s="1798">
        <f ca="1">Buget_sumar_EUR!AE94</f>
        <v>8506203.1670407187</v>
      </c>
      <c r="M9" s="1808" t="s">
        <v>447</v>
      </c>
    </row>
    <row r="10" spans="1:13">
      <c r="A10" s="848" t="s">
        <v>357</v>
      </c>
      <c r="C10" s="1394">
        <f t="shared" ca="1" si="0"/>
        <v>0</v>
      </c>
      <c r="D10" s="1394">
        <f>SUMIF(Buget_detaliat!I:I,A10,Buget_detaliat!BC:BC)</f>
        <v>0</v>
      </c>
      <c r="E10" s="1394">
        <f t="shared" ca="1" si="1"/>
        <v>0</v>
      </c>
      <c r="F10" s="836"/>
      <c r="G10" s="2044" t="s">
        <v>3323</v>
      </c>
      <c r="H10" s="2045"/>
      <c r="I10" s="2045"/>
      <c r="J10" s="2045"/>
      <c r="K10" s="2045"/>
      <c r="L10" s="2046">
        <f ca="1">L8-L9</f>
        <v>46288.832959281281</v>
      </c>
      <c r="M10" s="1808" t="s">
        <v>447</v>
      </c>
    </row>
    <row r="11" spans="1:13">
      <c r="A11" s="438" t="s">
        <v>3225</v>
      </c>
      <c r="C11" s="1394">
        <f t="shared" ca="1" si="0"/>
        <v>116484693.46146873</v>
      </c>
      <c r="D11" s="1394">
        <f ca="1">SUMIF(Buget_detaliat!I:I,A11,Buget_detaliat!BC:BC)</f>
        <v>116484693.46146871</v>
      </c>
      <c r="E11" s="1394">
        <f t="shared" ca="1" si="1"/>
        <v>0</v>
      </c>
      <c r="F11" s="836"/>
      <c r="G11" s="2047"/>
      <c r="H11" s="2048"/>
      <c r="I11" s="2048"/>
      <c r="J11" s="2048"/>
      <c r="K11" s="2048"/>
      <c r="L11" s="2049"/>
      <c r="M11" s="1808" t="s">
        <v>447</v>
      </c>
    </row>
    <row r="12" spans="1:13">
      <c r="A12" s="848" t="s">
        <v>2378</v>
      </c>
      <c r="C12" s="1394">
        <f t="shared" ca="1" si="0"/>
        <v>3259525.6742112404</v>
      </c>
      <c r="D12" s="1394">
        <f ca="1">SUMIF(Buget_detaliat!I:I,A12,Buget_detaliat!BC:BC)</f>
        <v>3259525.6742112404</v>
      </c>
      <c r="E12" s="1394">
        <f t="shared" ca="1" si="1"/>
        <v>0</v>
      </c>
      <c r="F12" s="836"/>
      <c r="G12" s="2051"/>
      <c r="H12" s="2048"/>
      <c r="I12" s="2048"/>
      <c r="J12" s="2048"/>
      <c r="K12" s="2048"/>
      <c r="L12" s="2052"/>
      <c r="M12" s="1808" t="s">
        <v>447</v>
      </c>
    </row>
    <row r="13" spans="1:13" ht="16" thickBot="1">
      <c r="A13" s="848" t="s">
        <v>2013</v>
      </c>
      <c r="C13" s="1394">
        <f t="shared" ca="1" si="0"/>
        <v>208241387.69999993</v>
      </c>
      <c r="D13" s="1394">
        <f ca="1">SUMIF(Buget_detaliat!I:I,A13,Buget_detaliat!BC:BC)</f>
        <v>208241387.69999999</v>
      </c>
      <c r="E13" s="1394">
        <f t="shared" ca="1" si="1"/>
        <v>0</v>
      </c>
      <c r="F13" s="836"/>
      <c r="G13" s="2053"/>
      <c r="H13" s="2054"/>
      <c r="I13" s="2054"/>
      <c r="J13" s="2054"/>
      <c r="K13" s="2054"/>
      <c r="L13" s="2055"/>
      <c r="M13" s="1808" t="s">
        <v>447</v>
      </c>
    </row>
    <row r="14" spans="1:13">
      <c r="A14" s="848" t="s">
        <v>2035</v>
      </c>
      <c r="C14" s="1394">
        <f t="shared" ca="1" si="0"/>
        <v>31959402.344507355</v>
      </c>
      <c r="D14" s="1394">
        <f ca="1">SUMIF(Buget_detaliat!I:I,A14,Buget_detaliat!BC:BC)</f>
        <v>31959402.34450734</v>
      </c>
      <c r="E14" s="1394">
        <f t="shared" ca="1" si="1"/>
        <v>0</v>
      </c>
      <c r="F14" s="836"/>
      <c r="G14" s="2050"/>
      <c r="H14" s="2050"/>
      <c r="I14" s="2050"/>
      <c r="J14" s="2050"/>
      <c r="K14" s="2050"/>
      <c r="L14" s="2050"/>
      <c r="M14" s="2050"/>
    </row>
    <row r="15" spans="1:13">
      <c r="A15" s="848" t="s">
        <v>423</v>
      </c>
      <c r="C15" s="1394">
        <f t="shared" ca="1" si="0"/>
        <v>0</v>
      </c>
      <c r="D15" s="1394">
        <f>SUMIF(Buget_detaliat!I:I,A15,Buget_detaliat!BC:BC)</f>
        <v>0</v>
      </c>
      <c r="E15" s="1394">
        <f t="shared" ca="1" si="1"/>
        <v>0</v>
      </c>
      <c r="F15" s="836"/>
    </row>
    <row r="16" spans="1:13">
      <c r="A16" s="848" t="s">
        <v>3124</v>
      </c>
      <c r="C16" s="1394">
        <f t="shared" ca="1" si="0"/>
        <v>12523721.385133939</v>
      </c>
      <c r="D16" s="1394">
        <f ca="1">SUMIF(Buget_detaliat!I:I,A16,Buget_detaliat!BC:BC)</f>
        <v>12523721.385133941</v>
      </c>
      <c r="E16" s="1394">
        <f t="shared" ca="1" si="1"/>
        <v>0</v>
      </c>
      <c r="F16" s="836"/>
    </row>
    <row r="17" spans="1:6">
      <c r="A17" s="848" t="s">
        <v>387</v>
      </c>
      <c r="C17" s="1394">
        <f t="shared" ca="1" si="0"/>
        <v>0</v>
      </c>
      <c r="D17" s="1394">
        <f>SUMIF(Buget_detaliat!I:I,A17,Buget_detaliat!BC:BC)</f>
        <v>0</v>
      </c>
      <c r="E17" s="1394">
        <f t="shared" ca="1" si="1"/>
        <v>0</v>
      </c>
      <c r="F17" s="836"/>
    </row>
    <row r="18" spans="1:6">
      <c r="A18" s="848" t="s">
        <v>3088</v>
      </c>
      <c r="C18" s="1394">
        <f t="shared" ca="1" si="0"/>
        <v>949197.77</v>
      </c>
      <c r="D18" s="1394">
        <f ca="1">SUMIF(Buget_detaliat!I:I,A18,Buget_detaliat!BC:BC)</f>
        <v>949197.77</v>
      </c>
      <c r="E18" s="1394">
        <f t="shared" ca="1" si="1"/>
        <v>0</v>
      </c>
      <c r="F18" s="836"/>
    </row>
    <row r="19" spans="1:6">
      <c r="A19" s="848" t="s">
        <v>422</v>
      </c>
      <c r="C19" s="1394">
        <f t="shared" ca="1" si="0"/>
        <v>141834359.8765623</v>
      </c>
      <c r="D19" s="1394">
        <f ca="1">SUMIF(Buget_detaliat!I:I,A19,Buget_detaliat!BC:BC)</f>
        <v>141834359.87656236</v>
      </c>
      <c r="E19" s="1394">
        <f t="shared" ca="1" si="1"/>
        <v>0</v>
      </c>
      <c r="F19" s="836"/>
    </row>
    <row r="20" spans="1:6">
      <c r="A20" s="438" t="s">
        <v>3147</v>
      </c>
      <c r="C20" s="1394">
        <f t="shared" ca="1" si="0"/>
        <v>1596901.4839999997</v>
      </c>
      <c r="D20" s="1394">
        <f ca="1">SUMIF(Buget_detaliat!I:I,A20,Buget_detaliat!BC:BC)</f>
        <v>1596901.4839999999</v>
      </c>
      <c r="E20" s="1394">
        <f t="shared" ca="1" si="1"/>
        <v>0</v>
      </c>
      <c r="F20" s="836"/>
    </row>
    <row r="21" spans="1:6">
      <c r="A21" s="848" t="s">
        <v>2014</v>
      </c>
      <c r="C21" s="1394">
        <f t="shared" ca="1" si="0"/>
        <v>2896557.8800000004</v>
      </c>
      <c r="D21" s="1394">
        <f ca="1">SUMIF(Buget_detaliat!I:I,A21,Buget_detaliat!BC:BC)</f>
        <v>2896557.8799999994</v>
      </c>
      <c r="E21" s="1394">
        <f t="shared" ca="1" si="1"/>
        <v>0</v>
      </c>
      <c r="F21" s="836"/>
    </row>
    <row r="22" spans="1:6">
      <c r="A22" s="438" t="s">
        <v>3386</v>
      </c>
      <c r="C22" s="1394">
        <f t="shared" ca="1" si="0"/>
        <v>2895221.47</v>
      </c>
      <c r="D22" s="1394">
        <f ca="1">SUMIF(Buget_detaliat!I:I,A22,Buget_detaliat!BC:BC)</f>
        <v>2895221.4699999997</v>
      </c>
      <c r="E22" s="1394">
        <f t="shared" ca="1" si="1"/>
        <v>0</v>
      </c>
      <c r="F22" s="836"/>
    </row>
    <row r="23" spans="1:6">
      <c r="A23" s="438" t="s">
        <v>3468</v>
      </c>
      <c r="C23" s="1394">
        <f t="shared" ca="1" si="0"/>
        <v>650168323.58379364</v>
      </c>
      <c r="D23" s="1394">
        <f ca="1">SUMIF(Buget_detaliat!I:I,A23,Buget_detaliat!BC:BC)</f>
        <v>650168323.58379364</v>
      </c>
      <c r="E23" s="1394">
        <f t="shared" ca="1" si="1"/>
        <v>0</v>
      </c>
      <c r="F23" s="836"/>
    </row>
    <row r="24" spans="1:6">
      <c r="A24" s="438" t="s">
        <v>3628</v>
      </c>
      <c r="C24" s="1394">
        <f ca="1">IFERROR(INDIRECT(A24&amp;"!"&amp;$D$1,TRUE),0)</f>
        <v>65794984.585000008</v>
      </c>
      <c r="D24" s="1394">
        <f ca="1">SUMIF(Buget_detaliat!I:I,A24,Buget_detaliat!BC:BC)</f>
        <v>63349435.585000008</v>
      </c>
      <c r="E24" s="1394">
        <f t="shared" ref="E24" ca="1" si="2">C24-D24</f>
        <v>2445549</v>
      </c>
    </row>
    <row r="25" spans="1:6">
      <c r="C25" s="1941"/>
      <c r="D25" s="1941"/>
      <c r="E25" s="1941"/>
    </row>
    <row r="26" spans="1:6">
      <c r="C26" s="1941"/>
      <c r="D26" s="1941"/>
      <c r="E26" s="1941"/>
    </row>
    <row r="29" spans="1:6">
      <c r="A29" s="438" t="s">
        <v>3148</v>
      </c>
    </row>
    <row r="30" spans="1:6">
      <c r="A30" s="1799" t="s">
        <v>3118</v>
      </c>
    </row>
    <row r="31" spans="1:6">
      <c r="A31" s="1382" t="s">
        <v>1825</v>
      </c>
    </row>
    <row r="32" spans="1:6">
      <c r="A32" s="1382" t="s">
        <v>460</v>
      </c>
      <c r="C32" s="1941">
        <f ca="1">IFERROR(INDIRECT(A32&amp;"!"&amp;$D$1,TRUE),0)</f>
        <v>0</v>
      </c>
      <c r="D32" s="1941">
        <f>SUMIF(Buget_detaliat!I:I,A32,Buget_detaliat!BC:BC)</f>
        <v>0</v>
      </c>
      <c r="E32" s="1941">
        <f ca="1">C32-D32</f>
        <v>0</v>
      </c>
    </row>
  </sheetData>
  <sortState ref="A4:A31">
    <sortCondition ref="A3"/>
  </sortState>
  <hyperlinks>
    <hyperlink ref="A3" location="'SUMAR'!A1" display="'SUMAR'!A1" xr:uid="{00000000-0004-0000-0900-000000000000}"/>
    <hyperlink ref="A16" location="PNCT!A1" display="PNCT" xr:uid="{00000000-0004-0000-0900-000001000000}"/>
    <hyperlink ref="A6" location="'Buget_detaliat'!A1" display="'Buget_detaliat'!A1" xr:uid="{00000000-0004-0000-0900-000002000000}"/>
    <hyperlink ref="A8" location="'Buget_sumar_MDL'!A1" display="'Buget_sumar_MDL'!A1" xr:uid="{00000000-0004-0000-0900-000003000000}"/>
    <hyperlink ref="A7" location="'Buget_sumar_EUR'!A1" display="'Buget_sumar_EUR'!A1" xr:uid="{00000000-0004-0000-0900-000004000000}"/>
    <hyperlink ref="A10" location="'Estimare cazuri'!A1" display="'Estimare cazuri'!A1" xr:uid="{00000000-0004-0000-0900-000005000000}"/>
    <hyperlink ref="A19" location="'Tratament_FLD_SLD'!A1" display="'Tratament_FLD_SLD'!A1" xr:uid="{00000000-0004-0000-0900-000006000000}"/>
    <hyperlink ref="A18" location="'RA_farmacovigilenta'!A1" display="'RA_farmacovigilenta'!A1" xr:uid="{00000000-0004-0000-0900-000007000000}"/>
    <hyperlink ref="A14" location="'ITL'!A1" display="'ITL'!A1" xr:uid="{00000000-0004-0000-0900-000008000000}"/>
    <hyperlink ref="A12" location="'Estimare_laborator'!A1" display="'Estimare_laborator'!A1" xr:uid="{00000000-0004-0000-0900-000009000000}"/>
    <hyperlink ref="A13" location="'Exam_grup_risc'!A1" display="'Exam_grup_risc'!A1" xr:uid="{00000000-0004-0000-0900-00000A000000}"/>
    <hyperlink ref="A30" location="'Preturi altele'!A1" display="'Preturi altele'!A1" xr:uid="{00000000-0004-0000-0900-00000B000000}"/>
    <hyperlink ref="A9" location="'Curierat_sputa_medic'!A1" display="'Curierat_sputa_medic'!A1" xr:uid="{00000000-0004-0000-0900-00000C000000}"/>
    <hyperlink ref="A21" location="'Vizite_monitorizare'!A1" display="'Vizite_monitorizare'!A1" xr:uid="{00000000-0004-0000-0900-00000D000000}"/>
    <hyperlink ref="A31" location="'Preturi_medicamente'!A1" display="'Preturi_medicamente'!A1" xr:uid="{00000000-0004-0000-0900-00000E000000}"/>
    <hyperlink ref="A32" location="'intrebari comentarii'!A1" display="'intrebari comentarii'!A1" xr:uid="{00000000-0004-0000-0900-00000F000000}"/>
    <hyperlink ref="A17" location="'Populatie'!A1" display="'Populatie'!A1" xr:uid="{00000000-0004-0000-0900-000010000000}"/>
    <hyperlink ref="A15" location="'Management caz'!A1" display="'Management caz'!A1" xr:uid="{00000000-0004-0000-0900-000011000000}"/>
    <hyperlink ref="A20" location="Tratament_Scheme_scurte!A1" display="Tratament_Scheme_scurte" xr:uid="{00000000-0004-0000-0900-000012000000}"/>
    <hyperlink ref="A11" location="Estimare_lab_2!A1" display="Estimare_lab_2" xr:uid="{00000000-0004-0000-0900-000013000000}"/>
    <hyperlink ref="A5" location="Aderenta_VOT!A1" display="Aderenta_VOT" xr:uid="{00000000-0004-0000-0900-000014000000}"/>
    <hyperlink ref="A4" location="Activ_colaborative!A1" display="Activ_colaborative" xr:uid="{00000000-0004-0000-0900-000015000000}"/>
    <hyperlink ref="A22" location="Informare!A1" display="Informare" xr:uid="{00000000-0004-0000-0900-000016000000}"/>
    <hyperlink ref="A23" location="Sisteme_de_sanatate!A1" display="Sisteme_de_sanatate" xr:uid="{00000000-0004-0000-0900-000017000000}"/>
    <hyperlink ref="A29" location="verificare!A1" display="verificare" xr:uid="{00000000-0004-0000-0900-000018000000}"/>
    <hyperlink ref="A2" location="Pivot_sumar!A1" display="Pivot_sumar" xr:uid="{00000000-0004-0000-0900-000019000000}"/>
    <hyperlink ref="A24" location="ONG_TB!A1" display="ONG_TB" xr:uid="{00000000-0004-0000-0900-00001A000000}"/>
  </hyperlinks>
  <pageMargins left="0.7" right="0.7" top="0.75" bottom="0.75" header="0.3" footer="0.3"/>
  <pageSetup paperSize="9"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AS666"/>
  <sheetViews>
    <sheetView zoomScale="70" zoomScaleNormal="70" workbookViewId="0">
      <pane xSplit="8" ySplit="1" topLeftCell="I394" activePane="bottomRight" state="frozen"/>
      <selection pane="topRight" activeCell="I1" sqref="I1"/>
      <selection pane="bottomLeft" activeCell="A2" sqref="A2"/>
      <selection pane="bottomRight" activeCell="AY414" sqref="AY414"/>
    </sheetView>
  </sheetViews>
  <sheetFormatPr baseColWidth="10" defaultColWidth="8.83203125" defaultRowHeight="15" outlineLevelCol="1"/>
  <cols>
    <col min="1" max="1" width="32.6640625" style="67" hidden="1" customWidth="1" outlineLevel="1"/>
    <col min="2" max="2" width="9" style="67" hidden="1" customWidth="1" outlineLevel="1"/>
    <col min="3" max="3" width="8.33203125" style="68" hidden="1" customWidth="1" outlineLevel="1"/>
    <col min="4" max="4" width="15.33203125" style="68" hidden="1" customWidth="1" outlineLevel="1"/>
    <col min="5" max="5" width="12.6640625" style="68" hidden="1" customWidth="1" outlineLevel="1"/>
    <col min="6" max="6" width="9.6640625" style="68" bestFit="1" customWidth="1" collapsed="1"/>
    <col min="7" max="8" width="8.5" style="68" customWidth="1"/>
    <col min="9" max="9" width="44.5" style="67" bestFit="1" customWidth="1"/>
    <col min="10" max="10" width="12.6640625" style="67" bestFit="1" customWidth="1"/>
    <col min="11" max="11" width="13" style="89" bestFit="1" customWidth="1"/>
    <col min="12" max="12" width="12.6640625" style="67" bestFit="1" customWidth="1"/>
    <col min="13" max="13" width="7.5" style="67" bestFit="1" customWidth="1"/>
    <col min="14" max="14" width="10.6640625" style="67" customWidth="1"/>
    <col min="15" max="18" width="9.33203125" style="67" customWidth="1"/>
    <col min="19" max="21" width="7.5" style="67" bestFit="1" customWidth="1"/>
    <col min="22" max="22" width="1.1640625" style="67" customWidth="1"/>
    <col min="23" max="31" width="9.33203125" style="67" hidden="1" customWidth="1" outlineLevel="1"/>
    <col min="32" max="33" width="13.6640625" style="67" hidden="1" customWidth="1" outlineLevel="1"/>
    <col min="34" max="34" width="18" style="67" hidden="1" customWidth="1" outlineLevel="1"/>
    <col min="35" max="35" width="3.33203125" style="73" hidden="1" customWidth="1" outlineLevel="1"/>
    <col min="36" max="36" width="3.33203125" style="67" hidden="1" customWidth="1" outlineLevel="1"/>
    <col min="37" max="37" width="10" style="94" hidden="1" customWidth="1" outlineLevel="1"/>
    <col min="38" max="42" width="6.6640625" style="94" hidden="1" customWidth="1" outlineLevel="1"/>
    <col min="43" max="43" width="11.5" style="67" hidden="1" customWidth="1" outlineLevel="1"/>
    <col min="44" max="44" width="82.6640625" style="67" hidden="1" customWidth="1" outlineLevel="1"/>
    <col min="45" max="45" width="2" style="67" bestFit="1" customWidth="1" collapsed="1"/>
    <col min="46" max="16384" width="8.83203125" style="67"/>
  </cols>
  <sheetData>
    <row r="1" spans="1:45">
      <c r="A1" s="65">
        <v>1</v>
      </c>
      <c r="B1" s="65">
        <v>2</v>
      </c>
      <c r="C1" s="65">
        <v>3</v>
      </c>
      <c r="D1" s="65">
        <v>4</v>
      </c>
      <c r="E1" s="65">
        <v>5</v>
      </c>
      <c r="F1" s="65">
        <v>6</v>
      </c>
      <c r="G1" s="65">
        <v>7</v>
      </c>
      <c r="H1" s="65">
        <v>8</v>
      </c>
      <c r="I1" s="65">
        <v>9</v>
      </c>
      <c r="J1" s="65">
        <v>10</v>
      </c>
      <c r="K1" s="65">
        <v>11</v>
      </c>
      <c r="L1" s="65">
        <v>12</v>
      </c>
      <c r="M1" s="65">
        <v>13</v>
      </c>
      <c r="N1" s="65">
        <v>14</v>
      </c>
      <c r="O1" s="65">
        <v>15</v>
      </c>
      <c r="P1" s="65">
        <v>16</v>
      </c>
      <c r="Q1" s="65">
        <v>17</v>
      </c>
      <c r="R1" s="65">
        <v>18</v>
      </c>
      <c r="S1" s="65">
        <v>19</v>
      </c>
      <c r="T1" s="65">
        <v>20</v>
      </c>
      <c r="U1" s="65">
        <v>21</v>
      </c>
      <c r="V1" s="65">
        <v>22</v>
      </c>
      <c r="W1" s="65">
        <v>23</v>
      </c>
      <c r="X1" s="65">
        <v>24</v>
      </c>
      <c r="Y1" s="65">
        <v>25</v>
      </c>
      <c r="Z1" s="65">
        <v>26</v>
      </c>
      <c r="AA1" s="65">
        <v>27</v>
      </c>
      <c r="AB1" s="65">
        <v>28</v>
      </c>
      <c r="AC1" s="65">
        <v>29</v>
      </c>
      <c r="AD1" s="65">
        <v>30</v>
      </c>
      <c r="AE1" s="65">
        <v>31</v>
      </c>
      <c r="AF1" s="65">
        <v>32</v>
      </c>
      <c r="AG1" s="65">
        <v>33</v>
      </c>
      <c r="AH1" s="65">
        <v>34</v>
      </c>
      <c r="AI1" s="66">
        <v>35</v>
      </c>
      <c r="AJ1" s="65">
        <v>36</v>
      </c>
      <c r="AK1" s="65">
        <v>37</v>
      </c>
      <c r="AL1" s="65">
        <v>38</v>
      </c>
      <c r="AM1" s="65">
        <v>39</v>
      </c>
      <c r="AN1" s="65">
        <v>40</v>
      </c>
      <c r="AO1" s="65">
        <v>41</v>
      </c>
      <c r="AP1" s="65">
        <v>42</v>
      </c>
      <c r="AQ1" s="65">
        <v>43</v>
      </c>
      <c r="AR1" s="65">
        <v>44</v>
      </c>
    </row>
    <row r="2" spans="1:45" ht="22" thickBot="1">
      <c r="F2" s="227" t="s">
        <v>2392</v>
      </c>
      <c r="G2" s="69" t="s">
        <v>100</v>
      </c>
      <c r="I2" s="70"/>
      <c r="J2" s="70"/>
      <c r="K2" s="71"/>
      <c r="L2" s="70"/>
      <c r="M2" s="70"/>
      <c r="N2" s="70"/>
      <c r="O2" s="70"/>
      <c r="P2" s="70"/>
      <c r="Q2" s="70"/>
      <c r="R2" s="70"/>
      <c r="S2" s="70"/>
      <c r="T2" s="70"/>
      <c r="V2" s="72"/>
      <c r="AJ2" s="72"/>
      <c r="AK2" s="74" t="s">
        <v>141</v>
      </c>
      <c r="AL2" s="75"/>
      <c r="AM2" s="75"/>
      <c r="AN2" s="75"/>
      <c r="AO2" s="75"/>
      <c r="AP2" s="75"/>
      <c r="AQ2" s="70"/>
      <c r="AR2" s="70"/>
    </row>
    <row r="3" spans="1:45" s="76" customFormat="1" ht="32">
      <c r="C3" s="77"/>
      <c r="D3" s="77"/>
      <c r="E3" s="77"/>
      <c r="F3" s="77"/>
      <c r="G3" s="77"/>
      <c r="H3" s="77"/>
      <c r="J3" s="78"/>
      <c r="K3" s="74"/>
      <c r="L3" s="79">
        <v>2010</v>
      </c>
      <c r="M3" s="79">
        <v>2011</v>
      </c>
      <c r="N3" s="79">
        <v>2012</v>
      </c>
      <c r="O3" s="79">
        <v>2013</v>
      </c>
      <c r="P3" s="79">
        <v>2014</v>
      </c>
      <c r="Q3" s="79">
        <v>2015</v>
      </c>
      <c r="R3" s="79">
        <v>2016</v>
      </c>
      <c r="S3" s="79">
        <v>2017</v>
      </c>
      <c r="T3" s="79">
        <v>2018</v>
      </c>
      <c r="U3" s="79">
        <v>2019</v>
      </c>
      <c r="V3" s="80"/>
      <c r="W3" s="81" t="s">
        <v>129</v>
      </c>
      <c r="X3" s="81" t="s">
        <v>130</v>
      </c>
      <c r="Y3" s="81" t="s">
        <v>131</v>
      </c>
      <c r="Z3" s="82" t="s">
        <v>132</v>
      </c>
      <c r="AA3" s="82" t="s">
        <v>133</v>
      </c>
      <c r="AB3" s="81" t="s">
        <v>134</v>
      </c>
      <c r="AC3" s="81" t="s">
        <v>135</v>
      </c>
      <c r="AD3" s="81" t="s">
        <v>136</v>
      </c>
      <c r="AE3" s="81" t="s">
        <v>137</v>
      </c>
      <c r="AF3" s="83" t="s">
        <v>138</v>
      </c>
      <c r="AG3" s="83" t="s">
        <v>139</v>
      </c>
      <c r="AH3" s="84" t="s">
        <v>140</v>
      </c>
      <c r="AI3" s="73"/>
      <c r="AJ3" s="72"/>
      <c r="AK3" s="85">
        <v>2020</v>
      </c>
      <c r="AL3" s="86">
        <v>2021</v>
      </c>
      <c r="AM3" s="87">
        <v>2022</v>
      </c>
      <c r="AN3" s="87">
        <v>2023</v>
      </c>
      <c r="AO3" s="87">
        <v>2024</v>
      </c>
      <c r="AP3" s="88">
        <v>2025</v>
      </c>
      <c r="AQ3" s="87" t="s">
        <v>194</v>
      </c>
      <c r="AR3" s="88" t="s">
        <v>98</v>
      </c>
    </row>
    <row r="4" spans="1:45">
      <c r="I4" s="70"/>
      <c r="M4" s="70"/>
      <c r="N4" s="70"/>
      <c r="O4" s="70"/>
      <c r="P4" s="70"/>
      <c r="Q4" s="70"/>
      <c r="R4" s="70"/>
      <c r="S4" s="70"/>
      <c r="T4" s="70"/>
      <c r="U4" s="70"/>
      <c r="V4" s="72"/>
      <c r="AJ4" s="72"/>
      <c r="AK4" s="75"/>
      <c r="AL4" s="90"/>
      <c r="AM4" s="91"/>
      <c r="AN4" s="91"/>
      <c r="AO4" s="91"/>
      <c r="AP4" s="92"/>
      <c r="AQ4" s="70"/>
      <c r="AR4" s="70"/>
    </row>
    <row r="5" spans="1:45" ht="16">
      <c r="A5" s="68" t="s">
        <v>204</v>
      </c>
      <c r="B5" s="68" t="s">
        <v>239</v>
      </c>
      <c r="C5" s="68" t="s">
        <v>240</v>
      </c>
      <c r="D5" s="68" t="s">
        <v>231</v>
      </c>
      <c r="E5" s="68" t="s">
        <v>241</v>
      </c>
      <c r="I5" s="93" t="s">
        <v>101</v>
      </c>
      <c r="J5" s="67" t="s">
        <v>238</v>
      </c>
      <c r="K5" s="89" t="s">
        <v>238</v>
      </c>
      <c r="V5" s="72"/>
      <c r="AJ5" s="72"/>
      <c r="AL5" s="95"/>
      <c r="AM5" s="96"/>
      <c r="AN5" s="96"/>
      <c r="AO5" s="96"/>
      <c r="AP5" s="97"/>
      <c r="AS5" s="67" t="s">
        <v>238</v>
      </c>
    </row>
    <row r="6" spans="1:45">
      <c r="A6" s="68" t="str">
        <f>B6&amp;"_"&amp;C6&amp;"_"&amp;D6&amp;"_"&amp;E6</f>
        <v>RB(civil)_New__</v>
      </c>
      <c r="B6" s="68" t="s">
        <v>242</v>
      </c>
      <c r="C6" s="68" t="s">
        <v>102</v>
      </c>
      <c r="I6" s="98" t="s">
        <v>102</v>
      </c>
      <c r="J6" s="98"/>
      <c r="K6" s="99"/>
      <c r="L6" s="100">
        <v>2992</v>
      </c>
      <c r="M6" s="100">
        <v>3103</v>
      </c>
      <c r="N6" s="100">
        <v>3048</v>
      </c>
      <c r="O6" s="100">
        <v>2971</v>
      </c>
      <c r="P6" s="100">
        <v>2687</v>
      </c>
      <c r="Q6" s="100">
        <v>2307</v>
      </c>
      <c r="R6" s="100">
        <v>2230</v>
      </c>
      <c r="S6" s="100">
        <v>2124</v>
      </c>
      <c r="T6" s="100">
        <v>1983</v>
      </c>
      <c r="U6" s="100">
        <v>1838</v>
      </c>
      <c r="V6" s="72"/>
      <c r="W6" s="101">
        <f t="shared" ref="W6:W18" si="0">IFERROR(M6/L6-100%,0)</f>
        <v>3.7098930481283432E-2</v>
      </c>
      <c r="X6" s="101">
        <f t="shared" ref="X6:X18" si="1">IFERROR(N6/M6-100%,0)</f>
        <v>-1.7724782468578781E-2</v>
      </c>
      <c r="Y6" s="101">
        <f t="shared" ref="Y6:Y18" si="2">IFERROR(O6/N6-100%,0)</f>
        <v>-2.5262467191601079E-2</v>
      </c>
      <c r="Z6" s="101">
        <f t="shared" ref="Z6:Z18" si="3">IFERROR(P6/O6-100%,0)</f>
        <v>-9.5590710198586337E-2</v>
      </c>
      <c r="AA6" s="101">
        <f t="shared" ref="AA6:AA18" si="4">IFERROR(Q6/P6-100%,0)</f>
        <v>-0.14142165984369182</v>
      </c>
      <c r="AB6" s="101">
        <f t="shared" ref="AB6:AB18" si="5">IFERROR(R6/Q6-100%,0)</f>
        <v>-3.3376679670567788E-2</v>
      </c>
      <c r="AC6" s="101">
        <f t="shared" ref="AC6:AC18" si="6">IFERROR(S6/R6-100%,0)</f>
        <v>-4.7533632286995475E-2</v>
      </c>
      <c r="AD6" s="101">
        <f t="shared" ref="AD6:AD18" si="7">IFERROR(T6/S6-100%,0)</f>
        <v>-6.6384180790960423E-2</v>
      </c>
      <c r="AE6" s="101">
        <f t="shared" ref="AE6:AE18" si="8">IFERROR(U6/T6-100%,0)</f>
        <v>-7.3121533030761521E-2</v>
      </c>
      <c r="AF6" s="102">
        <f>AVERAGE(W6:AE6)</f>
        <v>-5.1479635000051087E-2</v>
      </c>
      <c r="AG6" s="102">
        <f>AVERAGE(AB6:AE6)</f>
        <v>-5.5104006444821302E-2</v>
      </c>
      <c r="AH6" s="103">
        <f t="shared" ref="AH6:AH18" si="9">AVERAGE(W6:Y6,AB6:AE6)</f>
        <v>-3.2329192136883088E-2</v>
      </c>
      <c r="AJ6" s="72"/>
      <c r="AK6" s="104">
        <f t="shared" ref="AK6" si="10">SUM(AK7:AK9)</f>
        <v>1782</v>
      </c>
      <c r="AL6" s="105">
        <f t="shared" ref="AL6:AP6" si="11">SUM(AL7:AL9)</f>
        <v>1728</v>
      </c>
      <c r="AM6" s="106">
        <f t="shared" si="11"/>
        <v>1675</v>
      </c>
      <c r="AN6" s="106">
        <f t="shared" si="11"/>
        <v>1625</v>
      </c>
      <c r="AO6" s="106">
        <f t="shared" si="11"/>
        <v>1576</v>
      </c>
      <c r="AP6" s="107">
        <f t="shared" si="11"/>
        <v>1530</v>
      </c>
      <c r="AQ6" s="70"/>
      <c r="AR6" s="70"/>
      <c r="AS6" s="67" t="s">
        <v>238</v>
      </c>
    </row>
    <row r="7" spans="1:45">
      <c r="A7" s="68" t="str">
        <f>B7&amp;"_"&amp;C7&amp;"_"&amp;D7&amp;"_"&amp;E7</f>
        <v>RB(civil)_New_P_SS+</v>
      </c>
      <c r="B7" s="68" t="s">
        <v>242</v>
      </c>
      <c r="C7" s="68" t="s">
        <v>102</v>
      </c>
      <c r="D7" s="68" t="s">
        <v>225</v>
      </c>
      <c r="E7" s="68" t="s">
        <v>227</v>
      </c>
      <c r="I7" s="70" t="s">
        <v>103</v>
      </c>
      <c r="J7" s="70"/>
      <c r="K7" s="71"/>
      <c r="L7" s="108">
        <v>1467</v>
      </c>
      <c r="M7" s="108">
        <v>1495</v>
      </c>
      <c r="N7" s="108">
        <v>1565</v>
      </c>
      <c r="O7" s="108">
        <v>1561</v>
      </c>
      <c r="P7" s="108">
        <v>1467</v>
      </c>
      <c r="Q7" s="108">
        <v>1341</v>
      </c>
      <c r="R7" s="108">
        <v>1281</v>
      </c>
      <c r="S7" s="108">
        <v>1225</v>
      </c>
      <c r="T7" s="108">
        <v>1165</v>
      </c>
      <c r="U7" s="108">
        <v>1079</v>
      </c>
      <c r="V7" s="72"/>
      <c r="W7" s="109">
        <f t="shared" si="0"/>
        <v>1.9086571233810412E-2</v>
      </c>
      <c r="X7" s="109">
        <f t="shared" si="1"/>
        <v>4.6822742474916357E-2</v>
      </c>
      <c r="Y7" s="109">
        <f t="shared" si="2"/>
        <v>-2.5559105431309792E-3</v>
      </c>
      <c r="Z7" s="109">
        <f t="shared" si="3"/>
        <v>-6.021780909673291E-2</v>
      </c>
      <c r="AA7" s="109">
        <f t="shared" si="4"/>
        <v>-8.5889570552147187E-2</v>
      </c>
      <c r="AB7" s="109">
        <f t="shared" si="5"/>
        <v>-4.4742729306487705E-2</v>
      </c>
      <c r="AC7" s="109">
        <f t="shared" si="6"/>
        <v>-4.3715846994535568E-2</v>
      </c>
      <c r="AD7" s="109">
        <f t="shared" si="7"/>
        <v>-4.8979591836734726E-2</v>
      </c>
      <c r="AE7" s="109">
        <f t="shared" si="8"/>
        <v>-7.3819742489270368E-2</v>
      </c>
      <c r="AF7" s="110">
        <f t="shared" ref="AF7:AF18" si="12">AVERAGE(W7:AE7)</f>
        <v>-3.2667987456701408E-2</v>
      </c>
      <c r="AG7" s="110">
        <f t="shared" ref="AG7:AG18" si="13">AVERAGE(AB7:AE7)</f>
        <v>-5.2814477656757092E-2</v>
      </c>
      <c r="AH7" s="111">
        <f>AVERAGE(W7:Y7,AB7:AE7)</f>
        <v>-2.1129215351633226E-2</v>
      </c>
      <c r="AJ7" s="72"/>
      <c r="AK7" s="112">
        <f>ROUND(U7*(100%+$AH7),0)</f>
        <v>1056</v>
      </c>
      <c r="AL7" s="113">
        <f t="shared" ref="AL7:AP7" si="14">ROUND(AK7*(100%+$AH7),0)</f>
        <v>1034</v>
      </c>
      <c r="AM7" s="114">
        <f t="shared" si="14"/>
        <v>1012</v>
      </c>
      <c r="AN7" s="114">
        <f t="shared" si="14"/>
        <v>991</v>
      </c>
      <c r="AO7" s="114">
        <f t="shared" si="14"/>
        <v>970</v>
      </c>
      <c r="AP7" s="115">
        <f t="shared" si="14"/>
        <v>950</v>
      </c>
      <c r="AQ7" s="70"/>
      <c r="AR7" s="70"/>
      <c r="AS7" s="67" t="s">
        <v>238</v>
      </c>
    </row>
    <row r="8" spans="1:45">
      <c r="A8" s="68" t="str">
        <f t="shared" ref="A8:A18" si="15">B8&amp;"_"&amp;C8&amp;"_"&amp;D8&amp;"_"&amp;E8</f>
        <v>RB(civil)_New_P_SS-</v>
      </c>
      <c r="B8" s="68" t="s">
        <v>242</v>
      </c>
      <c r="C8" s="68" t="s">
        <v>102</v>
      </c>
      <c r="D8" s="68" t="s">
        <v>225</v>
      </c>
      <c r="E8" s="68" t="s">
        <v>228</v>
      </c>
      <c r="I8" s="70" t="s">
        <v>104</v>
      </c>
      <c r="J8" s="70"/>
      <c r="K8" s="71"/>
      <c r="L8" s="108">
        <v>1179</v>
      </c>
      <c r="M8" s="108">
        <v>1246</v>
      </c>
      <c r="N8" s="108">
        <v>1138</v>
      </c>
      <c r="O8" s="108">
        <v>1109</v>
      </c>
      <c r="P8" s="108">
        <v>911</v>
      </c>
      <c r="Q8" s="108">
        <v>692</v>
      </c>
      <c r="R8" s="108">
        <v>668</v>
      </c>
      <c r="S8" s="108">
        <v>636</v>
      </c>
      <c r="T8" s="108">
        <v>582</v>
      </c>
      <c r="U8" s="108">
        <v>543</v>
      </c>
      <c r="V8" s="72"/>
      <c r="W8" s="109">
        <f t="shared" si="0"/>
        <v>5.6827820186598821E-2</v>
      </c>
      <c r="X8" s="109">
        <f t="shared" si="1"/>
        <v>-8.6677367576244002E-2</v>
      </c>
      <c r="Y8" s="109">
        <f t="shared" si="2"/>
        <v>-2.5483304042179244E-2</v>
      </c>
      <c r="Z8" s="109">
        <f t="shared" si="3"/>
        <v>-0.17853922452660054</v>
      </c>
      <c r="AA8" s="109">
        <f t="shared" si="4"/>
        <v>-0.24039517014270029</v>
      </c>
      <c r="AB8" s="109">
        <f t="shared" si="5"/>
        <v>-3.4682080924855474E-2</v>
      </c>
      <c r="AC8" s="109">
        <f t="shared" si="6"/>
        <v>-4.7904191616766512E-2</v>
      </c>
      <c r="AD8" s="109">
        <f t="shared" si="7"/>
        <v>-8.4905660377358472E-2</v>
      </c>
      <c r="AE8" s="109">
        <f t="shared" si="8"/>
        <v>-6.7010309278350499E-2</v>
      </c>
      <c r="AF8" s="110">
        <f t="shared" si="12"/>
        <v>-7.8752165366495139E-2</v>
      </c>
      <c r="AG8" s="110">
        <f t="shared" si="13"/>
        <v>-5.8625560549332739E-2</v>
      </c>
      <c r="AH8" s="111">
        <f t="shared" si="9"/>
        <v>-4.1405013375593623E-2</v>
      </c>
      <c r="AJ8" s="72"/>
      <c r="AK8" s="112">
        <f>ROUND(U8*(100%+$AH8),0)</f>
        <v>521</v>
      </c>
      <c r="AL8" s="113">
        <f t="shared" ref="AL8:AP9" si="16">ROUND(AK8*(100%+$AH8),0)</f>
        <v>499</v>
      </c>
      <c r="AM8" s="114">
        <f t="shared" si="16"/>
        <v>478</v>
      </c>
      <c r="AN8" s="114">
        <f t="shared" si="16"/>
        <v>458</v>
      </c>
      <c r="AO8" s="114">
        <f t="shared" si="16"/>
        <v>439</v>
      </c>
      <c r="AP8" s="115">
        <f t="shared" si="16"/>
        <v>421</v>
      </c>
      <c r="AQ8" s="70"/>
      <c r="AR8" s="70"/>
      <c r="AS8" s="67" t="s">
        <v>238</v>
      </c>
    </row>
    <row r="9" spans="1:45">
      <c r="A9" s="68" t="str">
        <f t="shared" si="15"/>
        <v>RB(civil)_New_EP_</v>
      </c>
      <c r="B9" s="68" t="s">
        <v>242</v>
      </c>
      <c r="C9" s="68" t="s">
        <v>102</v>
      </c>
      <c r="D9" s="68" t="s">
        <v>226</v>
      </c>
      <c r="I9" s="70" t="s">
        <v>105</v>
      </c>
      <c r="J9" s="70"/>
      <c r="K9" s="71"/>
      <c r="L9" s="108">
        <v>346</v>
      </c>
      <c r="M9" s="108">
        <v>362</v>
      </c>
      <c r="N9" s="108">
        <v>345</v>
      </c>
      <c r="O9" s="108">
        <v>301</v>
      </c>
      <c r="P9" s="108">
        <v>309</v>
      </c>
      <c r="Q9" s="108">
        <v>274</v>
      </c>
      <c r="R9" s="108">
        <v>281</v>
      </c>
      <c r="S9" s="108">
        <v>263</v>
      </c>
      <c r="T9" s="108">
        <v>236</v>
      </c>
      <c r="U9" s="108">
        <v>216</v>
      </c>
      <c r="V9" s="72"/>
      <c r="W9" s="109">
        <f t="shared" si="0"/>
        <v>4.6242774566473965E-2</v>
      </c>
      <c r="X9" s="109">
        <f t="shared" si="1"/>
        <v>-4.6961325966850875E-2</v>
      </c>
      <c r="Y9" s="109">
        <f t="shared" si="2"/>
        <v>-0.12753623188405794</v>
      </c>
      <c r="Z9" s="109">
        <f t="shared" si="3"/>
        <v>2.6578073089700949E-2</v>
      </c>
      <c r="AA9" s="109">
        <f t="shared" si="4"/>
        <v>-0.11326860841423947</v>
      </c>
      <c r="AB9" s="109">
        <f t="shared" si="5"/>
        <v>2.5547445255474477E-2</v>
      </c>
      <c r="AC9" s="109">
        <f t="shared" si="6"/>
        <v>-6.4056939501779375E-2</v>
      </c>
      <c r="AD9" s="109">
        <f t="shared" si="7"/>
        <v>-0.10266159695817489</v>
      </c>
      <c r="AE9" s="109">
        <f t="shared" si="8"/>
        <v>-8.4745762711864403E-2</v>
      </c>
      <c r="AF9" s="110">
        <f t="shared" si="12"/>
        <v>-4.8984685836146395E-2</v>
      </c>
      <c r="AG9" s="110">
        <f t="shared" si="13"/>
        <v>-5.6479213479086049E-2</v>
      </c>
      <c r="AH9" s="111">
        <f t="shared" si="9"/>
        <v>-5.059594817153986E-2</v>
      </c>
      <c r="AJ9" s="72"/>
      <c r="AK9" s="112">
        <f>ROUND(U9*(100%+$AH9),0)</f>
        <v>205</v>
      </c>
      <c r="AL9" s="113">
        <f t="shared" si="16"/>
        <v>195</v>
      </c>
      <c r="AM9" s="114">
        <f t="shared" si="16"/>
        <v>185</v>
      </c>
      <c r="AN9" s="114">
        <f t="shared" si="16"/>
        <v>176</v>
      </c>
      <c r="AO9" s="114">
        <f t="shared" si="16"/>
        <v>167</v>
      </c>
      <c r="AP9" s="115">
        <f t="shared" si="16"/>
        <v>159</v>
      </c>
      <c r="AQ9" s="70"/>
      <c r="AR9" s="70"/>
      <c r="AS9" s="67" t="s">
        <v>238</v>
      </c>
    </row>
    <row r="10" spans="1:45">
      <c r="A10" s="68" t="str">
        <f t="shared" si="15"/>
        <v>RB(civil)_R/Oth_total_</v>
      </c>
      <c r="B10" s="68" t="s">
        <v>242</v>
      </c>
      <c r="C10" s="68" t="s">
        <v>234</v>
      </c>
      <c r="D10" s="68" t="s">
        <v>232</v>
      </c>
      <c r="I10" s="98" t="s">
        <v>106</v>
      </c>
      <c r="J10" s="98"/>
      <c r="K10" s="99"/>
      <c r="L10" s="100">
        <v>1331</v>
      </c>
      <c r="M10" s="100">
        <v>1153</v>
      </c>
      <c r="N10" s="100">
        <v>1220</v>
      </c>
      <c r="O10" s="100">
        <v>1125</v>
      </c>
      <c r="P10" s="100">
        <v>1048</v>
      </c>
      <c r="Q10" s="100">
        <v>974</v>
      </c>
      <c r="R10" s="100">
        <v>921</v>
      </c>
      <c r="S10" s="100">
        <v>839</v>
      </c>
      <c r="T10" s="100">
        <v>714</v>
      </c>
      <c r="U10" s="100">
        <v>756</v>
      </c>
      <c r="V10" s="72"/>
      <c r="W10" s="101">
        <f t="shared" si="0"/>
        <v>-0.13373403456048083</v>
      </c>
      <c r="X10" s="101">
        <f t="shared" si="1"/>
        <v>5.8109280138768371E-2</v>
      </c>
      <c r="Y10" s="101">
        <f t="shared" si="2"/>
        <v>-7.7868852459016424E-2</v>
      </c>
      <c r="Z10" s="101">
        <f t="shared" si="3"/>
        <v>-6.8444444444444419E-2</v>
      </c>
      <c r="AA10" s="101">
        <f t="shared" si="4"/>
        <v>-7.0610687022900742E-2</v>
      </c>
      <c r="AB10" s="101">
        <f t="shared" si="5"/>
        <v>-5.4414784394250515E-2</v>
      </c>
      <c r="AC10" s="101">
        <f t="shared" si="6"/>
        <v>-8.9033659066232396E-2</v>
      </c>
      <c r="AD10" s="101">
        <f t="shared" si="7"/>
        <v>-0.14898688915375446</v>
      </c>
      <c r="AE10" s="101">
        <f t="shared" si="8"/>
        <v>5.8823529411764719E-2</v>
      </c>
      <c r="AF10" s="102">
        <f t="shared" si="12"/>
        <v>-5.846228239450519E-2</v>
      </c>
      <c r="AG10" s="102">
        <f t="shared" si="13"/>
        <v>-5.8402950800618164E-2</v>
      </c>
      <c r="AH10" s="103">
        <f t="shared" si="9"/>
        <v>-5.5300772869028791E-2</v>
      </c>
      <c r="AJ10" s="72"/>
      <c r="AK10" s="104">
        <f t="shared" ref="AK10" si="17">SUM(AK11,AK15)</f>
        <v>722</v>
      </c>
      <c r="AL10" s="105">
        <f>SUM(AL11,AL15)</f>
        <v>691</v>
      </c>
      <c r="AM10" s="106">
        <f t="shared" ref="AM10:AP10" si="18">SUM(AM11,AM15)</f>
        <v>662</v>
      </c>
      <c r="AN10" s="106">
        <f t="shared" si="18"/>
        <v>635</v>
      </c>
      <c r="AO10" s="106">
        <f t="shared" si="18"/>
        <v>612</v>
      </c>
      <c r="AP10" s="107">
        <f t="shared" si="18"/>
        <v>590</v>
      </c>
      <c r="AQ10" s="70"/>
      <c r="AR10" s="70"/>
      <c r="AS10" s="67" t="s">
        <v>238</v>
      </c>
    </row>
    <row r="11" spans="1:45">
      <c r="A11" s="68" t="str">
        <f t="shared" si="15"/>
        <v>RB(civil)_R_total_</v>
      </c>
      <c r="B11" s="68" t="s">
        <v>242</v>
      </c>
      <c r="C11" s="68" t="s">
        <v>229</v>
      </c>
      <c r="D11" s="68" t="s">
        <v>232</v>
      </c>
      <c r="I11" s="116" t="s">
        <v>107</v>
      </c>
      <c r="J11" s="116"/>
      <c r="K11" s="117"/>
      <c r="L11" s="118">
        <v>671</v>
      </c>
      <c r="M11" s="118">
        <v>630</v>
      </c>
      <c r="N11" s="118">
        <v>679</v>
      </c>
      <c r="O11" s="118">
        <v>690</v>
      </c>
      <c r="P11" s="118">
        <v>618</v>
      </c>
      <c r="Q11" s="118">
        <v>575</v>
      </c>
      <c r="R11" s="118">
        <v>554</v>
      </c>
      <c r="S11" s="118">
        <v>507</v>
      </c>
      <c r="T11" s="118">
        <v>425</v>
      </c>
      <c r="U11" s="118">
        <v>459</v>
      </c>
      <c r="V11" s="72"/>
      <c r="W11" s="109">
        <f t="shared" si="0"/>
        <v>-6.1102831594634921E-2</v>
      </c>
      <c r="X11" s="109">
        <f t="shared" si="1"/>
        <v>7.7777777777777724E-2</v>
      </c>
      <c r="Y11" s="109">
        <f t="shared" si="2"/>
        <v>1.6200294550809957E-2</v>
      </c>
      <c r="Z11" s="109">
        <f t="shared" si="3"/>
        <v>-0.10434782608695647</v>
      </c>
      <c r="AA11" s="109">
        <f t="shared" si="4"/>
        <v>-6.9579288025889974E-2</v>
      </c>
      <c r="AB11" s="109">
        <f t="shared" si="5"/>
        <v>-3.6521739130434772E-2</v>
      </c>
      <c r="AC11" s="109">
        <f t="shared" si="6"/>
        <v>-8.4837545126353775E-2</v>
      </c>
      <c r="AD11" s="109">
        <f t="shared" si="7"/>
        <v>-0.16173570019723871</v>
      </c>
      <c r="AE11" s="109">
        <f t="shared" si="8"/>
        <v>8.0000000000000071E-2</v>
      </c>
      <c r="AF11" s="119">
        <f t="shared" si="12"/>
        <v>-3.823853975921343E-2</v>
      </c>
      <c r="AG11" s="119">
        <f t="shared" si="13"/>
        <v>-5.0773746113506796E-2</v>
      </c>
      <c r="AH11" s="103">
        <f t="shared" si="9"/>
        <v>-2.4317106245724918E-2</v>
      </c>
      <c r="AJ11" s="72"/>
      <c r="AK11" s="120">
        <f t="shared" ref="AK11" si="19">SUM(AK12:AK14)</f>
        <v>452</v>
      </c>
      <c r="AL11" s="121">
        <f t="shared" ref="AL11:AP11" si="20">SUM(AL12:AL14)</f>
        <v>445</v>
      </c>
      <c r="AM11" s="122">
        <f t="shared" si="20"/>
        <v>438</v>
      </c>
      <c r="AN11" s="122">
        <f t="shared" si="20"/>
        <v>432</v>
      </c>
      <c r="AO11" s="122">
        <f t="shared" si="20"/>
        <v>427</v>
      </c>
      <c r="AP11" s="123">
        <f t="shared" si="20"/>
        <v>422</v>
      </c>
      <c r="AQ11" s="70"/>
      <c r="AR11" s="70"/>
      <c r="AS11" s="67" t="s">
        <v>238</v>
      </c>
    </row>
    <row r="12" spans="1:45">
      <c r="A12" s="68" t="str">
        <f t="shared" si="15"/>
        <v>RB(civil)_R_P_SS+</v>
      </c>
      <c r="B12" s="68" t="s">
        <v>242</v>
      </c>
      <c r="C12" s="68" t="s">
        <v>229</v>
      </c>
      <c r="D12" s="68" t="s">
        <v>225</v>
      </c>
      <c r="E12" s="68" t="s">
        <v>227</v>
      </c>
      <c r="I12" s="70" t="s">
        <v>108</v>
      </c>
      <c r="J12" s="70"/>
      <c r="K12" s="71"/>
      <c r="L12" s="108">
        <v>389</v>
      </c>
      <c r="M12" s="108">
        <v>377</v>
      </c>
      <c r="N12" s="108">
        <v>423</v>
      </c>
      <c r="O12" s="108">
        <v>434</v>
      </c>
      <c r="P12" s="108">
        <v>375</v>
      </c>
      <c r="Q12" s="108">
        <v>354</v>
      </c>
      <c r="R12" s="108">
        <v>331</v>
      </c>
      <c r="S12" s="108">
        <v>291</v>
      </c>
      <c r="T12" s="108">
        <v>290</v>
      </c>
      <c r="U12" s="108">
        <v>274</v>
      </c>
      <c r="V12" s="72"/>
      <c r="W12" s="109">
        <f t="shared" si="0"/>
        <v>-3.0848329048843159E-2</v>
      </c>
      <c r="X12" s="109">
        <f t="shared" si="1"/>
        <v>0.12201591511936338</v>
      </c>
      <c r="Y12" s="109">
        <f t="shared" si="2"/>
        <v>2.6004728132387633E-2</v>
      </c>
      <c r="Z12" s="109">
        <f t="shared" si="3"/>
        <v>-0.13594470046082952</v>
      </c>
      <c r="AA12" s="109">
        <f t="shared" si="4"/>
        <v>-5.600000000000005E-2</v>
      </c>
      <c r="AB12" s="109">
        <f t="shared" si="5"/>
        <v>-6.497175141242939E-2</v>
      </c>
      <c r="AC12" s="109">
        <f t="shared" si="6"/>
        <v>-0.12084592145015105</v>
      </c>
      <c r="AD12" s="109">
        <f t="shared" si="7"/>
        <v>-3.4364261168384758E-3</v>
      </c>
      <c r="AE12" s="109">
        <f t="shared" si="8"/>
        <v>-5.5172413793103448E-2</v>
      </c>
      <c r="AF12" s="110">
        <f t="shared" si="12"/>
        <v>-3.5466544336716005E-2</v>
      </c>
      <c r="AG12" s="110">
        <f t="shared" si="13"/>
        <v>-6.1106628193130591E-2</v>
      </c>
      <c r="AH12" s="111">
        <f t="shared" si="9"/>
        <v>-1.8179171224230645E-2</v>
      </c>
      <c r="AJ12" s="72"/>
      <c r="AK12" s="112">
        <f>ROUND(U12*(100%+$AH12),0)</f>
        <v>269</v>
      </c>
      <c r="AL12" s="113">
        <f t="shared" ref="AL12:AP14" si="21">ROUND(AK12*(100%+$AH12),0)</f>
        <v>264</v>
      </c>
      <c r="AM12" s="114">
        <f t="shared" si="21"/>
        <v>259</v>
      </c>
      <c r="AN12" s="114">
        <f t="shared" si="21"/>
        <v>254</v>
      </c>
      <c r="AO12" s="114">
        <f t="shared" si="21"/>
        <v>249</v>
      </c>
      <c r="AP12" s="115">
        <f t="shared" si="21"/>
        <v>244</v>
      </c>
      <c r="AQ12" s="70"/>
      <c r="AR12" s="70"/>
      <c r="AS12" s="67" t="s">
        <v>238</v>
      </c>
    </row>
    <row r="13" spans="1:45">
      <c r="A13" s="68" t="str">
        <f t="shared" si="15"/>
        <v>RB(civil)_R_P_SS-</v>
      </c>
      <c r="B13" s="68" t="s">
        <v>242</v>
      </c>
      <c r="C13" s="68" t="s">
        <v>229</v>
      </c>
      <c r="D13" s="68" t="s">
        <v>225</v>
      </c>
      <c r="E13" s="68" t="s">
        <v>228</v>
      </c>
      <c r="I13" s="70" t="s">
        <v>109</v>
      </c>
      <c r="J13" s="70"/>
      <c r="K13" s="71"/>
      <c r="L13" s="108">
        <v>260</v>
      </c>
      <c r="M13" s="108">
        <v>233</v>
      </c>
      <c r="N13" s="108">
        <v>235</v>
      </c>
      <c r="O13" s="108">
        <v>231</v>
      </c>
      <c r="P13" s="108">
        <v>219</v>
      </c>
      <c r="Q13" s="108">
        <v>193</v>
      </c>
      <c r="R13" s="108">
        <v>203</v>
      </c>
      <c r="S13" s="108">
        <v>184</v>
      </c>
      <c r="T13" s="108">
        <v>118</v>
      </c>
      <c r="U13" s="108">
        <v>159</v>
      </c>
      <c r="V13" s="72"/>
      <c r="W13" s="109">
        <f t="shared" si="0"/>
        <v>-0.10384615384615381</v>
      </c>
      <c r="X13" s="109">
        <f t="shared" si="1"/>
        <v>8.5836909871244149E-3</v>
      </c>
      <c r="Y13" s="109">
        <f t="shared" si="2"/>
        <v>-1.7021276595744705E-2</v>
      </c>
      <c r="Z13" s="109">
        <f t="shared" si="3"/>
        <v>-5.1948051948051965E-2</v>
      </c>
      <c r="AA13" s="109">
        <f t="shared" si="4"/>
        <v>-0.11872146118721461</v>
      </c>
      <c r="AB13" s="109">
        <f t="shared" si="5"/>
        <v>5.1813471502590636E-2</v>
      </c>
      <c r="AC13" s="109">
        <f t="shared" si="6"/>
        <v>-9.3596059113300489E-2</v>
      </c>
      <c r="AD13" s="109">
        <f t="shared" si="7"/>
        <v>-0.35869565217391308</v>
      </c>
      <c r="AE13" s="109">
        <f t="shared" si="8"/>
        <v>0.34745762711864403</v>
      </c>
      <c r="AF13" s="110">
        <f t="shared" si="12"/>
        <v>-3.7330429472891065E-2</v>
      </c>
      <c r="AG13" s="110">
        <f t="shared" si="13"/>
        <v>-1.3255153166494726E-2</v>
      </c>
      <c r="AH13" s="111">
        <f t="shared" si="9"/>
        <v>-2.361490744582186E-2</v>
      </c>
      <c r="AJ13" s="72"/>
      <c r="AK13" s="112">
        <f>ROUND(U13*(100%+$AH13),0)</f>
        <v>155</v>
      </c>
      <c r="AL13" s="113">
        <f t="shared" si="21"/>
        <v>151</v>
      </c>
      <c r="AM13" s="114">
        <f t="shared" si="21"/>
        <v>147</v>
      </c>
      <c r="AN13" s="114">
        <f t="shared" si="21"/>
        <v>144</v>
      </c>
      <c r="AO13" s="114">
        <f t="shared" si="21"/>
        <v>141</v>
      </c>
      <c r="AP13" s="115">
        <f t="shared" si="21"/>
        <v>138</v>
      </c>
      <c r="AQ13" s="70"/>
      <c r="AR13" s="70"/>
      <c r="AS13" s="67" t="s">
        <v>238</v>
      </c>
    </row>
    <row r="14" spans="1:45">
      <c r="A14" s="68" t="str">
        <f t="shared" si="15"/>
        <v>RB(civil)_R_EP_</v>
      </c>
      <c r="B14" s="68" t="s">
        <v>242</v>
      </c>
      <c r="C14" s="68" t="s">
        <v>229</v>
      </c>
      <c r="D14" s="68" t="s">
        <v>226</v>
      </c>
      <c r="I14" s="70" t="s">
        <v>110</v>
      </c>
      <c r="J14" s="70"/>
      <c r="K14" s="71"/>
      <c r="L14" s="108">
        <v>22</v>
      </c>
      <c r="M14" s="108">
        <v>20</v>
      </c>
      <c r="N14" s="108">
        <v>21</v>
      </c>
      <c r="O14" s="108">
        <v>25</v>
      </c>
      <c r="P14" s="108">
        <v>24</v>
      </c>
      <c r="Q14" s="108">
        <v>28</v>
      </c>
      <c r="R14" s="108">
        <v>20</v>
      </c>
      <c r="S14" s="108">
        <v>32</v>
      </c>
      <c r="T14" s="108">
        <v>17</v>
      </c>
      <c r="U14" s="108">
        <v>26</v>
      </c>
      <c r="V14" s="72"/>
      <c r="W14" s="109">
        <f t="shared" si="0"/>
        <v>-9.0909090909090939E-2</v>
      </c>
      <c r="X14" s="109">
        <f t="shared" si="1"/>
        <v>5.0000000000000044E-2</v>
      </c>
      <c r="Y14" s="109">
        <f t="shared" si="2"/>
        <v>0.19047619047619047</v>
      </c>
      <c r="Z14" s="109">
        <f t="shared" si="3"/>
        <v>-4.0000000000000036E-2</v>
      </c>
      <c r="AA14" s="109">
        <f t="shared" si="4"/>
        <v>0.16666666666666674</v>
      </c>
      <c r="AB14" s="109">
        <f t="shared" si="5"/>
        <v>-0.2857142857142857</v>
      </c>
      <c r="AC14" s="109">
        <f t="shared" si="6"/>
        <v>0.60000000000000009</v>
      </c>
      <c r="AD14" s="109">
        <f t="shared" si="7"/>
        <v>-0.46875</v>
      </c>
      <c r="AE14" s="109">
        <f t="shared" si="8"/>
        <v>0.52941176470588225</v>
      </c>
      <c r="AF14" s="110">
        <f t="shared" si="12"/>
        <v>7.2353471691706986E-2</v>
      </c>
      <c r="AG14" s="110">
        <f t="shared" si="13"/>
        <v>9.373686974789916E-2</v>
      </c>
      <c r="AH14" s="111">
        <f t="shared" si="9"/>
        <v>7.4930654079813738E-2</v>
      </c>
      <c r="AJ14" s="72"/>
      <c r="AK14" s="112">
        <f>ROUND(U14*(100%+$AH14),0)</f>
        <v>28</v>
      </c>
      <c r="AL14" s="113">
        <f t="shared" si="21"/>
        <v>30</v>
      </c>
      <c r="AM14" s="114">
        <f t="shared" si="21"/>
        <v>32</v>
      </c>
      <c r="AN14" s="114">
        <f t="shared" si="21"/>
        <v>34</v>
      </c>
      <c r="AO14" s="114">
        <f t="shared" si="21"/>
        <v>37</v>
      </c>
      <c r="AP14" s="115">
        <f t="shared" si="21"/>
        <v>40</v>
      </c>
      <c r="AQ14" s="70"/>
      <c r="AR14" s="70"/>
      <c r="AS14" s="67" t="s">
        <v>238</v>
      </c>
    </row>
    <row r="15" spans="1:45">
      <c r="A15" s="68" t="str">
        <f t="shared" si="15"/>
        <v>RB(civil)_Oth_total_</v>
      </c>
      <c r="B15" s="68" t="s">
        <v>242</v>
      </c>
      <c r="C15" s="68" t="s">
        <v>230</v>
      </c>
      <c r="D15" s="68" t="s">
        <v>232</v>
      </c>
      <c r="I15" s="124" t="s">
        <v>111</v>
      </c>
      <c r="J15" s="124"/>
      <c r="K15" s="125"/>
      <c r="L15" s="126">
        <v>660</v>
      </c>
      <c r="M15" s="126">
        <v>523</v>
      </c>
      <c r="N15" s="126">
        <v>541</v>
      </c>
      <c r="O15" s="126">
        <v>435</v>
      </c>
      <c r="P15" s="126">
        <v>430</v>
      </c>
      <c r="Q15" s="126">
        <v>399</v>
      </c>
      <c r="R15" s="126">
        <v>367</v>
      </c>
      <c r="S15" s="126">
        <v>332</v>
      </c>
      <c r="T15" s="126">
        <v>289</v>
      </c>
      <c r="U15" s="126">
        <v>297</v>
      </c>
      <c r="V15" s="72"/>
      <c r="W15" s="109">
        <f t="shared" si="0"/>
        <v>-0.20757575757575752</v>
      </c>
      <c r="X15" s="109">
        <f t="shared" si="1"/>
        <v>3.4416826003824008E-2</v>
      </c>
      <c r="Y15" s="109">
        <f t="shared" si="2"/>
        <v>-0.1959334565619224</v>
      </c>
      <c r="Z15" s="109">
        <f t="shared" si="3"/>
        <v>-1.1494252873563204E-2</v>
      </c>
      <c r="AA15" s="109">
        <f t="shared" si="4"/>
        <v>-7.2093023255813904E-2</v>
      </c>
      <c r="AB15" s="109">
        <f t="shared" si="5"/>
        <v>-8.0200501253132828E-2</v>
      </c>
      <c r="AC15" s="109">
        <f t="shared" si="6"/>
        <v>-9.5367847411444107E-2</v>
      </c>
      <c r="AD15" s="109">
        <f t="shared" si="7"/>
        <v>-0.12951807228915657</v>
      </c>
      <c r="AE15" s="109">
        <f t="shared" si="8"/>
        <v>2.7681660899653959E-2</v>
      </c>
      <c r="AF15" s="119">
        <f t="shared" si="12"/>
        <v>-8.1120491590812513E-2</v>
      </c>
      <c r="AG15" s="119">
        <f t="shared" si="13"/>
        <v>-6.9351190013519887E-2</v>
      </c>
      <c r="AH15" s="103">
        <f t="shared" si="9"/>
        <v>-9.235673545541935E-2</v>
      </c>
      <c r="AJ15" s="72"/>
      <c r="AK15" s="127">
        <f t="shared" ref="AK15" si="22">SUM(AK16:AK17)</f>
        <v>270</v>
      </c>
      <c r="AL15" s="128">
        <f t="shared" ref="AL15:AP15" si="23">SUM(AL16:AL17)</f>
        <v>246</v>
      </c>
      <c r="AM15" s="129">
        <f t="shared" si="23"/>
        <v>224</v>
      </c>
      <c r="AN15" s="129">
        <f t="shared" si="23"/>
        <v>203</v>
      </c>
      <c r="AO15" s="129">
        <f t="shared" si="23"/>
        <v>185</v>
      </c>
      <c r="AP15" s="130">
        <f t="shared" si="23"/>
        <v>168</v>
      </c>
      <c r="AQ15" s="70"/>
      <c r="AR15" s="70"/>
      <c r="AS15" s="67" t="s">
        <v>238</v>
      </c>
    </row>
    <row r="16" spans="1:45">
      <c r="A16" s="68" t="str">
        <f t="shared" si="15"/>
        <v>RB(civil)_Oth_P_SS+</v>
      </c>
      <c r="B16" s="68" t="s">
        <v>242</v>
      </c>
      <c r="C16" s="68" t="s">
        <v>230</v>
      </c>
      <c r="D16" s="68" t="s">
        <v>225</v>
      </c>
      <c r="E16" s="68" t="s">
        <v>227</v>
      </c>
      <c r="I16" s="70" t="s">
        <v>112</v>
      </c>
      <c r="J16" s="70"/>
      <c r="K16" s="71"/>
      <c r="L16" s="108">
        <v>502</v>
      </c>
      <c r="M16" s="108">
        <v>414</v>
      </c>
      <c r="N16" s="108">
        <v>414</v>
      </c>
      <c r="O16" s="108">
        <v>345</v>
      </c>
      <c r="P16" s="108">
        <v>350</v>
      </c>
      <c r="Q16" s="108">
        <v>316</v>
      </c>
      <c r="R16" s="108">
        <v>278</v>
      </c>
      <c r="S16" s="108">
        <v>252</v>
      </c>
      <c r="T16" s="108">
        <v>215</v>
      </c>
      <c r="U16" s="108">
        <v>224</v>
      </c>
      <c r="V16" s="72"/>
      <c r="W16" s="109">
        <f t="shared" si="0"/>
        <v>-0.17529880478087645</v>
      </c>
      <c r="X16" s="109">
        <f t="shared" si="1"/>
        <v>0</v>
      </c>
      <c r="Y16" s="109">
        <f t="shared" si="2"/>
        <v>-0.16666666666666663</v>
      </c>
      <c r="Z16" s="109">
        <f t="shared" si="3"/>
        <v>1.449275362318847E-2</v>
      </c>
      <c r="AA16" s="109">
        <f t="shared" si="4"/>
        <v>-9.7142857142857197E-2</v>
      </c>
      <c r="AB16" s="109">
        <f t="shared" si="5"/>
        <v>-0.120253164556962</v>
      </c>
      <c r="AC16" s="109">
        <f t="shared" si="6"/>
        <v>-9.3525179856115082E-2</v>
      </c>
      <c r="AD16" s="109">
        <f t="shared" si="7"/>
        <v>-0.14682539682539686</v>
      </c>
      <c r="AE16" s="109">
        <f t="shared" si="8"/>
        <v>4.1860465116279055E-2</v>
      </c>
      <c r="AF16" s="110">
        <f t="shared" si="12"/>
        <v>-8.259542789882296E-2</v>
      </c>
      <c r="AG16" s="110">
        <f t="shared" si="13"/>
        <v>-7.9685819030548721E-2</v>
      </c>
      <c r="AH16" s="111">
        <f t="shared" si="9"/>
        <v>-9.4386963938533991E-2</v>
      </c>
      <c r="AJ16" s="72"/>
      <c r="AK16" s="112">
        <f>ROUND(U16*(100%+$AH16),0)</f>
        <v>203</v>
      </c>
      <c r="AL16" s="113">
        <f t="shared" ref="AL16:AP17" si="24">ROUND(AK16*(100%+$AH16),0)</f>
        <v>184</v>
      </c>
      <c r="AM16" s="114">
        <f t="shared" si="24"/>
        <v>167</v>
      </c>
      <c r="AN16" s="114">
        <f t="shared" si="24"/>
        <v>151</v>
      </c>
      <c r="AO16" s="114">
        <f t="shared" si="24"/>
        <v>137</v>
      </c>
      <c r="AP16" s="115">
        <f t="shared" si="24"/>
        <v>124</v>
      </c>
      <c r="AQ16" s="70"/>
      <c r="AR16" s="70"/>
      <c r="AS16" s="67" t="s">
        <v>238</v>
      </c>
    </row>
    <row r="17" spans="1:45">
      <c r="A17" s="68" t="str">
        <f t="shared" si="15"/>
        <v>RB(civil)_Oth_P/EP_SS-</v>
      </c>
      <c r="B17" s="68" t="s">
        <v>242</v>
      </c>
      <c r="C17" s="68" t="s">
        <v>230</v>
      </c>
      <c r="D17" s="68" t="s">
        <v>231</v>
      </c>
      <c r="E17" s="68" t="s">
        <v>228</v>
      </c>
      <c r="I17" s="70" t="s">
        <v>113</v>
      </c>
      <c r="J17" s="70"/>
      <c r="K17" s="71"/>
      <c r="L17" s="108">
        <v>158</v>
      </c>
      <c r="M17" s="108">
        <v>109</v>
      </c>
      <c r="N17" s="108">
        <v>127</v>
      </c>
      <c r="O17" s="108">
        <v>90</v>
      </c>
      <c r="P17" s="108">
        <v>80</v>
      </c>
      <c r="Q17" s="108">
        <v>83</v>
      </c>
      <c r="R17" s="108">
        <v>89</v>
      </c>
      <c r="S17" s="108">
        <v>80</v>
      </c>
      <c r="T17" s="108">
        <v>74</v>
      </c>
      <c r="U17" s="108">
        <v>73</v>
      </c>
      <c r="V17" s="72"/>
      <c r="W17" s="109">
        <f t="shared" si="0"/>
        <v>-0.310126582278481</v>
      </c>
      <c r="X17" s="109">
        <f t="shared" si="1"/>
        <v>0.16513761467889898</v>
      </c>
      <c r="Y17" s="109">
        <f t="shared" si="2"/>
        <v>-0.29133858267716539</v>
      </c>
      <c r="Z17" s="109">
        <f t="shared" si="3"/>
        <v>-0.11111111111111116</v>
      </c>
      <c r="AA17" s="109">
        <f t="shared" si="4"/>
        <v>3.7500000000000089E-2</v>
      </c>
      <c r="AB17" s="109">
        <f t="shared" si="5"/>
        <v>7.2289156626506035E-2</v>
      </c>
      <c r="AC17" s="109">
        <f t="shared" si="6"/>
        <v>-0.101123595505618</v>
      </c>
      <c r="AD17" s="109">
        <f t="shared" si="7"/>
        <v>-7.4999999999999956E-2</v>
      </c>
      <c r="AE17" s="109">
        <f t="shared" si="8"/>
        <v>-1.3513513513513487E-2</v>
      </c>
      <c r="AF17" s="110">
        <f t="shared" si="12"/>
        <v>-6.9698512642275987E-2</v>
      </c>
      <c r="AG17" s="110">
        <f t="shared" si="13"/>
        <v>-2.9336988098156352E-2</v>
      </c>
      <c r="AH17" s="111">
        <f t="shared" si="9"/>
        <v>-7.9096500381338974E-2</v>
      </c>
      <c r="AJ17" s="72"/>
      <c r="AK17" s="112">
        <f>ROUND(U17*(100%+$AH17),0)</f>
        <v>67</v>
      </c>
      <c r="AL17" s="113">
        <f t="shared" si="24"/>
        <v>62</v>
      </c>
      <c r="AM17" s="114">
        <f t="shared" si="24"/>
        <v>57</v>
      </c>
      <c r="AN17" s="114">
        <f t="shared" si="24"/>
        <v>52</v>
      </c>
      <c r="AO17" s="114">
        <f t="shared" si="24"/>
        <v>48</v>
      </c>
      <c r="AP17" s="115">
        <f t="shared" si="24"/>
        <v>44</v>
      </c>
      <c r="AQ17" s="70"/>
      <c r="AR17" s="70"/>
      <c r="AS17" s="67" t="s">
        <v>238</v>
      </c>
    </row>
    <row r="18" spans="1:45">
      <c r="A18" s="68" t="str">
        <f t="shared" si="15"/>
        <v>RB(civil)_All_total_</v>
      </c>
      <c r="B18" s="68" t="s">
        <v>242</v>
      </c>
      <c r="C18" s="68" t="s">
        <v>233</v>
      </c>
      <c r="D18" s="68" t="s">
        <v>232</v>
      </c>
      <c r="I18" s="131" t="s">
        <v>114</v>
      </c>
      <c r="J18" s="131"/>
      <c r="K18" s="132"/>
      <c r="L18" s="133">
        <v>4323</v>
      </c>
      <c r="M18" s="133">
        <v>4256</v>
      </c>
      <c r="N18" s="133">
        <v>4268</v>
      </c>
      <c r="O18" s="133">
        <v>4096</v>
      </c>
      <c r="P18" s="133">
        <v>3735</v>
      </c>
      <c r="Q18" s="133">
        <v>3281</v>
      </c>
      <c r="R18" s="133">
        <v>3151</v>
      </c>
      <c r="S18" s="133">
        <v>2963</v>
      </c>
      <c r="T18" s="133">
        <v>2697</v>
      </c>
      <c r="U18" s="133">
        <v>2594</v>
      </c>
      <c r="V18" s="72"/>
      <c r="W18" s="102">
        <f t="shared" si="0"/>
        <v>-1.5498496414526941E-2</v>
      </c>
      <c r="X18" s="102">
        <f t="shared" si="1"/>
        <v>2.8195488721804995E-3</v>
      </c>
      <c r="Y18" s="102">
        <f t="shared" si="2"/>
        <v>-4.0299906279287701E-2</v>
      </c>
      <c r="Z18" s="102">
        <f t="shared" si="3"/>
        <v>-8.8134765625E-2</v>
      </c>
      <c r="AA18" s="102">
        <f t="shared" si="4"/>
        <v>-0.12155287817938421</v>
      </c>
      <c r="AB18" s="102">
        <f t="shared" si="5"/>
        <v>-3.9622066443157578E-2</v>
      </c>
      <c r="AC18" s="102">
        <f t="shared" si="6"/>
        <v>-5.9663598857505606E-2</v>
      </c>
      <c r="AD18" s="102">
        <f t="shared" si="7"/>
        <v>-8.9773877826527126E-2</v>
      </c>
      <c r="AE18" s="102">
        <f t="shared" si="8"/>
        <v>-3.819058212829074E-2</v>
      </c>
      <c r="AF18" s="102">
        <f t="shared" si="12"/>
        <v>-5.4435180320166601E-2</v>
      </c>
      <c r="AG18" s="102">
        <f t="shared" si="13"/>
        <v>-5.6812531313870263E-2</v>
      </c>
      <c r="AH18" s="103">
        <f t="shared" si="9"/>
        <v>-4.0032711296730743E-2</v>
      </c>
      <c r="AJ18" s="72"/>
      <c r="AK18" s="134">
        <f t="shared" ref="AK18" si="25">SUM(AK6,AK10)</f>
        <v>2504</v>
      </c>
      <c r="AL18" s="135">
        <f>SUM(AL6,AL10)</f>
        <v>2419</v>
      </c>
      <c r="AM18" s="136">
        <f t="shared" ref="AM18:AP18" si="26">SUM(AM6,AM10)</f>
        <v>2337</v>
      </c>
      <c r="AN18" s="136">
        <f t="shared" si="26"/>
        <v>2260</v>
      </c>
      <c r="AO18" s="136">
        <f t="shared" si="26"/>
        <v>2188</v>
      </c>
      <c r="AP18" s="137">
        <f t="shared" si="26"/>
        <v>2120</v>
      </c>
      <c r="AQ18" s="138"/>
      <c r="AR18" s="70"/>
      <c r="AS18" s="67" t="s">
        <v>238</v>
      </c>
    </row>
    <row r="19" spans="1:45" ht="16">
      <c r="A19" s="68"/>
      <c r="B19" s="68" t="s">
        <v>238</v>
      </c>
      <c r="C19" s="68" t="s">
        <v>238</v>
      </c>
      <c r="D19" s="68" t="s">
        <v>238</v>
      </c>
      <c r="E19" s="68" t="s">
        <v>238</v>
      </c>
      <c r="H19" s="68" t="s">
        <v>238</v>
      </c>
      <c r="I19" s="93" t="s">
        <v>115</v>
      </c>
      <c r="J19" s="85"/>
      <c r="K19" s="139"/>
      <c r="L19" s="85"/>
      <c r="M19" s="85"/>
      <c r="N19" s="85"/>
      <c r="O19" s="85"/>
      <c r="P19" s="85"/>
      <c r="Q19" s="85"/>
      <c r="R19" s="85"/>
      <c r="S19" s="85"/>
      <c r="T19" s="85"/>
      <c r="U19" s="85"/>
      <c r="V19" s="72"/>
      <c r="W19" s="140"/>
      <c r="X19" s="140"/>
      <c r="Y19" s="140"/>
      <c r="Z19" s="140"/>
      <c r="AA19" s="140"/>
      <c r="AB19" s="140"/>
      <c r="AC19" s="140"/>
      <c r="AD19" s="140"/>
      <c r="AE19" s="140"/>
      <c r="AF19" s="124"/>
      <c r="AG19" s="124"/>
      <c r="AJ19" s="72"/>
      <c r="AK19" s="85"/>
      <c r="AL19" s="141"/>
      <c r="AM19" s="142"/>
      <c r="AN19" s="142"/>
      <c r="AO19" s="142"/>
      <c r="AP19" s="143"/>
      <c r="AQ19" s="70"/>
      <c r="AR19" s="70"/>
      <c r="AS19" s="67" t="s">
        <v>238</v>
      </c>
    </row>
    <row r="20" spans="1:45">
      <c r="A20" s="68" t="str">
        <f t="shared" ref="A20:A83" si="27">B20&amp;"_"&amp;C20&amp;"_"&amp;D20&amp;"_"&amp;E20</f>
        <v>RB(penit)_New__</v>
      </c>
      <c r="B20" s="68" t="s">
        <v>243</v>
      </c>
      <c r="C20" s="68" t="s">
        <v>102</v>
      </c>
      <c r="I20" s="98" t="s">
        <v>102</v>
      </c>
      <c r="J20" s="98"/>
      <c r="K20" s="99"/>
      <c r="L20" s="100">
        <v>117</v>
      </c>
      <c r="M20" s="100">
        <v>76</v>
      </c>
      <c r="N20" s="100">
        <v>117</v>
      </c>
      <c r="O20" s="100">
        <v>78</v>
      </c>
      <c r="P20" s="100">
        <v>59</v>
      </c>
      <c r="Q20" s="100">
        <v>64</v>
      </c>
      <c r="R20" s="100">
        <v>78</v>
      </c>
      <c r="S20" s="100">
        <v>48</v>
      </c>
      <c r="T20" s="100">
        <v>64</v>
      </c>
      <c r="U20" s="100">
        <v>65</v>
      </c>
      <c r="V20" s="72"/>
      <c r="W20" s="101">
        <f t="shared" ref="W20:W32" si="28">IFERROR(M20/L20-100%,0)</f>
        <v>-0.3504273504273504</v>
      </c>
      <c r="X20" s="101">
        <f t="shared" ref="X20:X32" si="29">IFERROR(N20/M20-100%,0)</f>
        <v>0.53947368421052633</v>
      </c>
      <c r="Y20" s="101">
        <f t="shared" ref="Y20:Y32" si="30">IFERROR(O20/N20-100%,0)</f>
        <v>-0.33333333333333337</v>
      </c>
      <c r="Z20" s="101">
        <f t="shared" ref="Z20:Z32" si="31">IFERROR(P20/O20-100%,0)</f>
        <v>-0.24358974358974361</v>
      </c>
      <c r="AA20" s="101">
        <f t="shared" ref="AA20:AA32" si="32">IFERROR(Q20/P20-100%,0)</f>
        <v>8.4745762711864403E-2</v>
      </c>
      <c r="AB20" s="101">
        <f t="shared" ref="AB20:AB32" si="33">IFERROR(R20/Q20-100%,0)</f>
        <v>0.21875</v>
      </c>
      <c r="AC20" s="101">
        <f t="shared" ref="AC20:AC32" si="34">IFERROR(S20/R20-100%,0)</f>
        <v>-0.38461538461538458</v>
      </c>
      <c r="AD20" s="101">
        <f t="shared" ref="AD20:AD32" si="35">IFERROR(T20/S20-100%,0)</f>
        <v>0.33333333333333326</v>
      </c>
      <c r="AE20" s="101">
        <f t="shared" ref="AE20:AE32" si="36">IFERROR(U20/T20-100%,0)</f>
        <v>1.5625E-2</v>
      </c>
      <c r="AF20" s="144">
        <f>AVERAGE(W20:AE20)</f>
        <v>-1.3337559078898664E-2</v>
      </c>
      <c r="AG20" s="101">
        <f>AVERAGE(AB20:AE20)</f>
        <v>4.577323717948717E-2</v>
      </c>
      <c r="AJ20" s="72"/>
      <c r="AK20" s="104">
        <f t="shared" ref="AK20" si="37">SUM(AK21:AK23)</f>
        <v>66</v>
      </c>
      <c r="AL20" s="105">
        <f t="shared" ref="AL20:AP20" si="38">SUM(AL21:AL23)</f>
        <v>67</v>
      </c>
      <c r="AM20" s="106">
        <f t="shared" si="38"/>
        <v>68</v>
      </c>
      <c r="AN20" s="106">
        <f t="shared" si="38"/>
        <v>69</v>
      </c>
      <c r="AO20" s="106">
        <f t="shared" si="38"/>
        <v>70</v>
      </c>
      <c r="AP20" s="107">
        <f t="shared" si="38"/>
        <v>71</v>
      </c>
      <c r="AQ20" s="70"/>
      <c r="AR20" s="70"/>
      <c r="AS20" s="67" t="s">
        <v>238</v>
      </c>
    </row>
    <row r="21" spans="1:45">
      <c r="A21" s="68" t="str">
        <f t="shared" si="27"/>
        <v>RB(penit)_New_P_SS+</v>
      </c>
      <c r="B21" s="68" t="s">
        <v>243</v>
      </c>
      <c r="C21" s="68" t="s">
        <v>102</v>
      </c>
      <c r="D21" s="68" t="s">
        <v>225</v>
      </c>
      <c r="E21" s="68" t="s">
        <v>227</v>
      </c>
      <c r="I21" s="70" t="s">
        <v>103</v>
      </c>
      <c r="J21" s="70"/>
      <c r="K21" s="71"/>
      <c r="L21" s="108">
        <v>54</v>
      </c>
      <c r="M21" s="108">
        <v>25</v>
      </c>
      <c r="N21" s="108">
        <v>37</v>
      </c>
      <c r="O21" s="108">
        <v>24</v>
      </c>
      <c r="P21" s="108">
        <v>26</v>
      </c>
      <c r="Q21" s="108">
        <v>36</v>
      </c>
      <c r="R21" s="108">
        <v>39</v>
      </c>
      <c r="S21" s="108">
        <v>26</v>
      </c>
      <c r="T21" s="108">
        <v>31</v>
      </c>
      <c r="U21" s="108">
        <v>31</v>
      </c>
      <c r="V21" s="72"/>
      <c r="W21" s="109">
        <f t="shared" si="28"/>
        <v>-0.53703703703703698</v>
      </c>
      <c r="X21" s="109">
        <f t="shared" si="29"/>
        <v>0.48</v>
      </c>
      <c r="Y21" s="109">
        <f t="shared" si="30"/>
        <v>-0.35135135135135132</v>
      </c>
      <c r="Z21" s="109">
        <f t="shared" si="31"/>
        <v>8.3333333333333259E-2</v>
      </c>
      <c r="AA21" s="109">
        <f t="shared" si="32"/>
        <v>0.38461538461538458</v>
      </c>
      <c r="AB21" s="109">
        <f t="shared" si="33"/>
        <v>8.3333333333333259E-2</v>
      </c>
      <c r="AC21" s="109">
        <f t="shared" si="34"/>
        <v>-0.33333333333333337</v>
      </c>
      <c r="AD21" s="109">
        <f t="shared" si="35"/>
        <v>0.19230769230769229</v>
      </c>
      <c r="AE21" s="109">
        <f t="shared" si="36"/>
        <v>0</v>
      </c>
      <c r="AF21" s="145">
        <f>AVERAGE(W21:AE21)</f>
        <v>2.0755798533574529E-4</v>
      </c>
      <c r="AG21" s="109">
        <f t="shared" ref="AG21:AG32" si="39">AVERAGE(AB21:AE21)</f>
        <v>-1.4423076923076955E-2</v>
      </c>
      <c r="AJ21" s="72"/>
      <c r="AK21" s="112">
        <f>ROUND(U21*(100%+$AF21),0)</f>
        <v>31</v>
      </c>
      <c r="AL21" s="113">
        <f>ROUND(AK21*(100%+$AF21),0)</f>
        <v>31</v>
      </c>
      <c r="AM21" s="114">
        <f t="shared" ref="AM21:AP21" si="40">ROUND(AL21*(100%+$AF21),0)</f>
        <v>31</v>
      </c>
      <c r="AN21" s="114">
        <f t="shared" si="40"/>
        <v>31</v>
      </c>
      <c r="AO21" s="114">
        <f t="shared" si="40"/>
        <v>31</v>
      </c>
      <c r="AP21" s="115">
        <f t="shared" si="40"/>
        <v>31</v>
      </c>
      <c r="AQ21" s="70"/>
      <c r="AR21" s="70"/>
      <c r="AS21" s="67" t="s">
        <v>238</v>
      </c>
    </row>
    <row r="22" spans="1:45">
      <c r="A22" s="68" t="str">
        <f t="shared" si="27"/>
        <v>RB(penit)_New_P_SS-</v>
      </c>
      <c r="B22" s="68" t="s">
        <v>243</v>
      </c>
      <c r="C22" s="68" t="s">
        <v>102</v>
      </c>
      <c r="D22" s="68" t="s">
        <v>225</v>
      </c>
      <c r="E22" s="68" t="s">
        <v>228</v>
      </c>
      <c r="I22" s="70" t="s">
        <v>104</v>
      </c>
      <c r="J22" s="70"/>
      <c r="K22" s="71"/>
      <c r="L22" s="108">
        <v>55</v>
      </c>
      <c r="M22" s="108">
        <v>42</v>
      </c>
      <c r="N22" s="108">
        <v>80</v>
      </c>
      <c r="O22" s="108">
        <v>54</v>
      </c>
      <c r="P22" s="108">
        <v>32</v>
      </c>
      <c r="Q22" s="108">
        <v>25</v>
      </c>
      <c r="R22" s="108">
        <v>38</v>
      </c>
      <c r="S22" s="108">
        <v>22</v>
      </c>
      <c r="T22" s="108">
        <v>33</v>
      </c>
      <c r="U22" s="108">
        <v>32</v>
      </c>
      <c r="V22" s="72"/>
      <c r="W22" s="109">
        <f t="shared" si="28"/>
        <v>-0.23636363636363633</v>
      </c>
      <c r="X22" s="109">
        <f t="shared" si="29"/>
        <v>0.90476190476190466</v>
      </c>
      <c r="Y22" s="109">
        <f t="shared" si="30"/>
        <v>-0.32499999999999996</v>
      </c>
      <c r="Z22" s="109">
        <f t="shared" si="31"/>
        <v>-0.40740740740740744</v>
      </c>
      <c r="AA22" s="109">
        <f t="shared" si="32"/>
        <v>-0.21875</v>
      </c>
      <c r="AB22" s="109">
        <f t="shared" si="33"/>
        <v>0.52</v>
      </c>
      <c r="AC22" s="109">
        <f t="shared" si="34"/>
        <v>-0.42105263157894735</v>
      </c>
      <c r="AD22" s="109">
        <f t="shared" si="35"/>
        <v>0.5</v>
      </c>
      <c r="AE22" s="109">
        <f t="shared" si="36"/>
        <v>-3.0303030303030276E-2</v>
      </c>
      <c r="AF22" s="145">
        <f t="shared" ref="AF22:AF32" si="41">AVERAGE(W22:AE22)</f>
        <v>3.1765022123209259E-2</v>
      </c>
      <c r="AG22" s="109">
        <f t="shared" si="39"/>
        <v>0.1421610845295056</v>
      </c>
      <c r="AJ22" s="72"/>
      <c r="AK22" s="112">
        <f>ROUND(U22*(100%+$AF22),0)</f>
        <v>33</v>
      </c>
      <c r="AL22" s="113">
        <f t="shared" ref="AL22:AP23" si="42">ROUND(AK22*(100%+$AF22),0)</f>
        <v>34</v>
      </c>
      <c r="AM22" s="114">
        <f t="shared" si="42"/>
        <v>35</v>
      </c>
      <c r="AN22" s="114">
        <f t="shared" si="42"/>
        <v>36</v>
      </c>
      <c r="AO22" s="114">
        <f t="shared" si="42"/>
        <v>37</v>
      </c>
      <c r="AP22" s="115">
        <f t="shared" si="42"/>
        <v>38</v>
      </c>
      <c r="AQ22" s="70"/>
      <c r="AR22" s="70"/>
      <c r="AS22" s="67" t="s">
        <v>238</v>
      </c>
    </row>
    <row r="23" spans="1:45">
      <c r="A23" s="68" t="str">
        <f t="shared" si="27"/>
        <v>RB(penit)_New_EP_</v>
      </c>
      <c r="B23" s="68" t="s">
        <v>243</v>
      </c>
      <c r="C23" s="68" t="s">
        <v>102</v>
      </c>
      <c r="D23" s="68" t="s">
        <v>226</v>
      </c>
      <c r="I23" s="70" t="s">
        <v>105</v>
      </c>
      <c r="J23" s="70"/>
      <c r="K23" s="71"/>
      <c r="L23" s="108">
        <v>8</v>
      </c>
      <c r="M23" s="108">
        <v>9</v>
      </c>
      <c r="N23" s="108">
        <v>0</v>
      </c>
      <c r="O23" s="108">
        <v>0</v>
      </c>
      <c r="P23" s="108">
        <v>1</v>
      </c>
      <c r="Q23" s="108">
        <v>3</v>
      </c>
      <c r="R23" s="108">
        <v>1</v>
      </c>
      <c r="S23" s="108">
        <v>0</v>
      </c>
      <c r="T23" s="108">
        <v>0</v>
      </c>
      <c r="U23" s="108">
        <v>2</v>
      </c>
      <c r="V23" s="72"/>
      <c r="W23" s="109">
        <f t="shared" si="28"/>
        <v>0.125</v>
      </c>
      <c r="X23" s="109">
        <f t="shared" si="29"/>
        <v>-1</v>
      </c>
      <c r="Y23" s="109">
        <f t="shared" si="30"/>
        <v>0</v>
      </c>
      <c r="Z23" s="109">
        <f t="shared" si="31"/>
        <v>0</v>
      </c>
      <c r="AA23" s="109">
        <f t="shared" si="32"/>
        <v>2</v>
      </c>
      <c r="AB23" s="109">
        <f t="shared" si="33"/>
        <v>-0.66666666666666674</v>
      </c>
      <c r="AC23" s="109">
        <f t="shared" si="34"/>
        <v>-1</v>
      </c>
      <c r="AD23" s="109">
        <f t="shared" si="35"/>
        <v>0</v>
      </c>
      <c r="AE23" s="109">
        <f t="shared" si="36"/>
        <v>0</v>
      </c>
      <c r="AF23" s="145">
        <f t="shared" si="41"/>
        <v>-6.0185185185185196E-2</v>
      </c>
      <c r="AG23" s="109">
        <f t="shared" si="39"/>
        <v>-0.41666666666666669</v>
      </c>
      <c r="AJ23" s="72"/>
      <c r="AK23" s="112">
        <f>ROUND(U23*(100%+$AF23),0)</f>
        <v>2</v>
      </c>
      <c r="AL23" s="113">
        <f t="shared" si="42"/>
        <v>2</v>
      </c>
      <c r="AM23" s="114">
        <f t="shared" si="42"/>
        <v>2</v>
      </c>
      <c r="AN23" s="114">
        <f t="shared" si="42"/>
        <v>2</v>
      </c>
      <c r="AO23" s="114">
        <f t="shared" si="42"/>
        <v>2</v>
      </c>
      <c r="AP23" s="115">
        <f t="shared" si="42"/>
        <v>2</v>
      </c>
      <c r="AQ23" s="70"/>
      <c r="AR23" s="70"/>
      <c r="AS23" s="67" t="s">
        <v>238</v>
      </c>
    </row>
    <row r="24" spans="1:45">
      <c r="A24" s="68" t="str">
        <f t="shared" si="27"/>
        <v>RB(penit)_R/Oth_total_</v>
      </c>
      <c r="B24" s="68" t="s">
        <v>243</v>
      </c>
      <c r="C24" s="68" t="s">
        <v>234</v>
      </c>
      <c r="D24" s="68" t="s">
        <v>232</v>
      </c>
      <c r="I24" s="98" t="s">
        <v>106</v>
      </c>
      <c r="J24" s="98"/>
      <c r="K24" s="99"/>
      <c r="L24" s="100">
        <v>86</v>
      </c>
      <c r="M24" s="100">
        <v>77</v>
      </c>
      <c r="N24" s="100">
        <v>68</v>
      </c>
      <c r="O24" s="100">
        <v>70</v>
      </c>
      <c r="P24" s="100">
        <v>52</v>
      </c>
      <c r="Q24" s="100">
        <v>46</v>
      </c>
      <c r="R24" s="100">
        <v>54</v>
      </c>
      <c r="S24" s="100">
        <v>38</v>
      </c>
      <c r="T24" s="100">
        <v>39</v>
      </c>
      <c r="U24" s="100">
        <v>39</v>
      </c>
      <c r="V24" s="72"/>
      <c r="W24" s="101">
        <f t="shared" si="28"/>
        <v>-0.10465116279069764</v>
      </c>
      <c r="X24" s="101">
        <f t="shared" si="29"/>
        <v>-0.11688311688311692</v>
      </c>
      <c r="Y24" s="101">
        <f t="shared" si="30"/>
        <v>2.9411764705882248E-2</v>
      </c>
      <c r="Z24" s="101">
        <f t="shared" si="31"/>
        <v>-0.25714285714285712</v>
      </c>
      <c r="AA24" s="101">
        <f t="shared" si="32"/>
        <v>-0.11538461538461542</v>
      </c>
      <c r="AB24" s="101">
        <f t="shared" si="33"/>
        <v>0.17391304347826098</v>
      </c>
      <c r="AC24" s="101">
        <f t="shared" si="34"/>
        <v>-0.29629629629629628</v>
      </c>
      <c r="AD24" s="101">
        <f t="shared" si="35"/>
        <v>2.6315789473684292E-2</v>
      </c>
      <c r="AE24" s="101">
        <f t="shared" si="36"/>
        <v>0</v>
      </c>
      <c r="AF24" s="144">
        <f t="shared" si="41"/>
        <v>-7.3413050093306204E-2</v>
      </c>
      <c r="AG24" s="101">
        <f t="shared" si="39"/>
        <v>-2.4016865836087753E-2</v>
      </c>
      <c r="AJ24" s="72"/>
      <c r="AK24" s="104">
        <f t="shared" ref="AK24" si="43">SUM(AK25,AK29)</f>
        <v>40</v>
      </c>
      <c r="AL24" s="105">
        <f t="shared" ref="AL24:AP24" si="44">SUM(AL25,AL29)</f>
        <v>41</v>
      </c>
      <c r="AM24" s="106">
        <f t="shared" si="44"/>
        <v>42</v>
      </c>
      <c r="AN24" s="106">
        <f t="shared" si="44"/>
        <v>44</v>
      </c>
      <c r="AO24" s="106">
        <f t="shared" si="44"/>
        <v>46</v>
      </c>
      <c r="AP24" s="107">
        <f t="shared" si="44"/>
        <v>48</v>
      </c>
      <c r="AQ24" s="70"/>
      <c r="AR24" s="70"/>
      <c r="AS24" s="67" t="s">
        <v>238</v>
      </c>
    </row>
    <row r="25" spans="1:45">
      <c r="A25" s="68" t="str">
        <f t="shared" si="27"/>
        <v>RB(penit)_R_total_</v>
      </c>
      <c r="B25" s="68" t="s">
        <v>243</v>
      </c>
      <c r="C25" s="68" t="s">
        <v>229</v>
      </c>
      <c r="D25" s="68" t="s">
        <v>232</v>
      </c>
      <c r="I25" s="116" t="s">
        <v>107</v>
      </c>
      <c r="J25" s="116"/>
      <c r="K25" s="117"/>
      <c r="L25" s="118">
        <v>46</v>
      </c>
      <c r="M25" s="118">
        <v>56</v>
      </c>
      <c r="N25" s="118">
        <v>45</v>
      </c>
      <c r="O25" s="118">
        <v>51</v>
      </c>
      <c r="P25" s="118">
        <v>31</v>
      </c>
      <c r="Q25" s="118">
        <v>35</v>
      </c>
      <c r="R25" s="118">
        <v>33</v>
      </c>
      <c r="S25" s="118">
        <v>21</v>
      </c>
      <c r="T25" s="118">
        <v>28</v>
      </c>
      <c r="U25" s="118">
        <v>19</v>
      </c>
      <c r="V25" s="72"/>
      <c r="W25" s="109">
        <f t="shared" si="28"/>
        <v>0.21739130434782616</v>
      </c>
      <c r="X25" s="109">
        <f t="shared" si="29"/>
        <v>-0.1964285714285714</v>
      </c>
      <c r="Y25" s="109">
        <f t="shared" si="30"/>
        <v>0.1333333333333333</v>
      </c>
      <c r="Z25" s="109">
        <f t="shared" si="31"/>
        <v>-0.39215686274509809</v>
      </c>
      <c r="AA25" s="109">
        <f t="shared" si="32"/>
        <v>0.12903225806451624</v>
      </c>
      <c r="AB25" s="109">
        <f t="shared" si="33"/>
        <v>-5.7142857142857162E-2</v>
      </c>
      <c r="AC25" s="109">
        <f t="shared" si="34"/>
        <v>-0.36363636363636365</v>
      </c>
      <c r="AD25" s="109">
        <f t="shared" si="35"/>
        <v>0.33333333333333326</v>
      </c>
      <c r="AE25" s="109">
        <f t="shared" si="36"/>
        <v>-0.3214285714285714</v>
      </c>
      <c r="AF25" s="144">
        <f t="shared" si="41"/>
        <v>-5.7522555255828084E-2</v>
      </c>
      <c r="AG25" s="109">
        <f t="shared" si="39"/>
        <v>-0.10221861471861474</v>
      </c>
      <c r="AJ25" s="72"/>
      <c r="AK25" s="120">
        <f t="shared" ref="AK25" si="45">SUM(AK26:AK28)</f>
        <v>19</v>
      </c>
      <c r="AL25" s="121">
        <f t="shared" ref="AL25:AP25" si="46">SUM(AL26:AL28)</f>
        <v>19</v>
      </c>
      <c r="AM25" s="122">
        <f t="shared" si="46"/>
        <v>19</v>
      </c>
      <c r="AN25" s="122">
        <f t="shared" si="46"/>
        <v>19</v>
      </c>
      <c r="AO25" s="122">
        <f t="shared" si="46"/>
        <v>19</v>
      </c>
      <c r="AP25" s="123">
        <f t="shared" si="46"/>
        <v>19</v>
      </c>
      <c r="AQ25" s="70"/>
      <c r="AR25" s="70"/>
      <c r="AS25" s="67" t="s">
        <v>238</v>
      </c>
    </row>
    <row r="26" spans="1:45">
      <c r="A26" s="68" t="str">
        <f t="shared" si="27"/>
        <v>RB(penit)_R_P_SS+</v>
      </c>
      <c r="B26" s="68" t="s">
        <v>243</v>
      </c>
      <c r="C26" s="68" t="s">
        <v>229</v>
      </c>
      <c r="D26" s="68" t="s">
        <v>225</v>
      </c>
      <c r="E26" s="68" t="s">
        <v>227</v>
      </c>
      <c r="I26" s="70" t="s">
        <v>108</v>
      </c>
      <c r="J26" s="70"/>
      <c r="K26" s="71"/>
      <c r="L26" s="108">
        <v>32</v>
      </c>
      <c r="M26" s="108">
        <v>33</v>
      </c>
      <c r="N26" s="108">
        <v>19</v>
      </c>
      <c r="O26" s="108">
        <v>22</v>
      </c>
      <c r="P26" s="108">
        <v>16</v>
      </c>
      <c r="Q26" s="108">
        <v>18</v>
      </c>
      <c r="R26" s="108">
        <v>16</v>
      </c>
      <c r="S26" s="108">
        <v>8</v>
      </c>
      <c r="T26" s="108">
        <v>17</v>
      </c>
      <c r="U26" s="108">
        <v>9</v>
      </c>
      <c r="V26" s="72"/>
      <c r="W26" s="109">
        <f t="shared" si="28"/>
        <v>3.125E-2</v>
      </c>
      <c r="X26" s="109">
        <f t="shared" si="29"/>
        <v>-0.4242424242424242</v>
      </c>
      <c r="Y26" s="109">
        <f t="shared" si="30"/>
        <v>0.15789473684210531</v>
      </c>
      <c r="Z26" s="109">
        <f t="shared" si="31"/>
        <v>-0.27272727272727271</v>
      </c>
      <c r="AA26" s="109">
        <f t="shared" si="32"/>
        <v>0.125</v>
      </c>
      <c r="AB26" s="109">
        <f t="shared" si="33"/>
        <v>-0.11111111111111116</v>
      </c>
      <c r="AC26" s="109">
        <f t="shared" si="34"/>
        <v>-0.5</v>
      </c>
      <c r="AD26" s="109">
        <f t="shared" si="35"/>
        <v>1.125</v>
      </c>
      <c r="AE26" s="109">
        <f t="shared" si="36"/>
        <v>-0.47058823529411764</v>
      </c>
      <c r="AF26" s="145">
        <f t="shared" si="41"/>
        <v>-3.7724922948091155E-2</v>
      </c>
      <c r="AG26" s="109">
        <f t="shared" si="39"/>
        <v>1.08251633986928E-2</v>
      </c>
      <c r="AJ26" s="72"/>
      <c r="AK26" s="112">
        <f>ROUND(U26*(100%+$AF26),0)</f>
        <v>9</v>
      </c>
      <c r="AL26" s="113">
        <f t="shared" ref="AL26:AP26" si="47">ROUND(AK26*(100%+$AF26),0)</f>
        <v>9</v>
      </c>
      <c r="AM26" s="114">
        <f t="shared" si="47"/>
        <v>9</v>
      </c>
      <c r="AN26" s="114">
        <f t="shared" si="47"/>
        <v>9</v>
      </c>
      <c r="AO26" s="114">
        <f t="shared" si="47"/>
        <v>9</v>
      </c>
      <c r="AP26" s="115">
        <f t="shared" si="47"/>
        <v>9</v>
      </c>
      <c r="AQ26" s="70"/>
      <c r="AR26" s="70"/>
      <c r="AS26" s="67" t="s">
        <v>238</v>
      </c>
    </row>
    <row r="27" spans="1:45">
      <c r="A27" s="68" t="str">
        <f t="shared" si="27"/>
        <v>RB(penit)_R_P_SS-</v>
      </c>
      <c r="B27" s="68" t="s">
        <v>243</v>
      </c>
      <c r="C27" s="68" t="s">
        <v>229</v>
      </c>
      <c r="D27" s="68" t="s">
        <v>225</v>
      </c>
      <c r="E27" s="68" t="s">
        <v>228</v>
      </c>
      <c r="I27" s="70" t="s">
        <v>109</v>
      </c>
      <c r="J27" s="70"/>
      <c r="K27" s="71"/>
      <c r="L27" s="108">
        <v>13</v>
      </c>
      <c r="M27" s="108">
        <v>22</v>
      </c>
      <c r="N27" s="108">
        <v>26</v>
      </c>
      <c r="O27" s="108">
        <v>29</v>
      </c>
      <c r="P27" s="108">
        <v>15</v>
      </c>
      <c r="Q27" s="108">
        <v>16</v>
      </c>
      <c r="R27" s="108">
        <v>17</v>
      </c>
      <c r="S27" s="108">
        <v>13</v>
      </c>
      <c r="T27" s="108">
        <v>10</v>
      </c>
      <c r="U27" s="108">
        <v>10</v>
      </c>
      <c r="V27" s="72"/>
      <c r="W27" s="109">
        <f t="shared" si="28"/>
        <v>0.69230769230769229</v>
      </c>
      <c r="X27" s="109">
        <f t="shared" si="29"/>
        <v>0.18181818181818188</v>
      </c>
      <c r="Y27" s="109">
        <f t="shared" si="30"/>
        <v>0.11538461538461542</v>
      </c>
      <c r="Z27" s="109">
        <f t="shared" si="31"/>
        <v>-0.48275862068965514</v>
      </c>
      <c r="AA27" s="109">
        <f t="shared" si="32"/>
        <v>6.6666666666666652E-2</v>
      </c>
      <c r="AB27" s="109">
        <f t="shared" si="33"/>
        <v>6.25E-2</v>
      </c>
      <c r="AC27" s="109">
        <f t="shared" si="34"/>
        <v>-0.23529411764705888</v>
      </c>
      <c r="AD27" s="109">
        <f t="shared" si="35"/>
        <v>-0.23076923076923073</v>
      </c>
      <c r="AE27" s="109">
        <f t="shared" si="36"/>
        <v>0</v>
      </c>
      <c r="AF27" s="145">
        <f t="shared" si="41"/>
        <v>1.8872798563467946E-2</v>
      </c>
      <c r="AG27" s="109">
        <f t="shared" si="39"/>
        <v>-0.1008908371040724</v>
      </c>
      <c r="AJ27" s="72"/>
      <c r="AK27" s="112">
        <f>ROUND(U27*(100%+$AF27),0)</f>
        <v>10</v>
      </c>
      <c r="AL27" s="113">
        <f t="shared" ref="AL27:AP28" si="48">ROUND(AK27*(100%+$AF27),0)</f>
        <v>10</v>
      </c>
      <c r="AM27" s="114">
        <f t="shared" si="48"/>
        <v>10</v>
      </c>
      <c r="AN27" s="114">
        <f t="shared" si="48"/>
        <v>10</v>
      </c>
      <c r="AO27" s="114">
        <f t="shared" si="48"/>
        <v>10</v>
      </c>
      <c r="AP27" s="115">
        <f t="shared" si="48"/>
        <v>10</v>
      </c>
      <c r="AQ27" s="70"/>
      <c r="AR27" s="70"/>
      <c r="AS27" s="67" t="s">
        <v>238</v>
      </c>
    </row>
    <row r="28" spans="1:45">
      <c r="A28" s="68" t="str">
        <f t="shared" si="27"/>
        <v>RB(penit)_R_EP_</v>
      </c>
      <c r="B28" s="68" t="s">
        <v>243</v>
      </c>
      <c r="C28" s="68" t="s">
        <v>229</v>
      </c>
      <c r="D28" s="68" t="s">
        <v>226</v>
      </c>
      <c r="I28" s="70" t="s">
        <v>110</v>
      </c>
      <c r="J28" s="70"/>
      <c r="K28" s="71"/>
      <c r="L28" s="108">
        <v>1</v>
      </c>
      <c r="M28" s="108">
        <v>1</v>
      </c>
      <c r="N28" s="108">
        <v>0</v>
      </c>
      <c r="O28" s="108">
        <v>0</v>
      </c>
      <c r="P28" s="108">
        <v>0</v>
      </c>
      <c r="Q28" s="108">
        <v>1</v>
      </c>
      <c r="R28" s="108">
        <v>0</v>
      </c>
      <c r="S28" s="108">
        <v>0</v>
      </c>
      <c r="T28" s="108">
        <v>1</v>
      </c>
      <c r="U28" s="108">
        <v>0</v>
      </c>
      <c r="V28" s="72"/>
      <c r="W28" s="109">
        <f t="shared" si="28"/>
        <v>0</v>
      </c>
      <c r="X28" s="109">
        <f t="shared" si="29"/>
        <v>-1</v>
      </c>
      <c r="Y28" s="109">
        <f t="shared" si="30"/>
        <v>0</v>
      </c>
      <c r="Z28" s="109">
        <f t="shared" si="31"/>
        <v>0</v>
      </c>
      <c r="AA28" s="109">
        <f t="shared" si="32"/>
        <v>0</v>
      </c>
      <c r="AB28" s="109">
        <f t="shared" si="33"/>
        <v>-1</v>
      </c>
      <c r="AC28" s="109">
        <f t="shared" si="34"/>
        <v>0</v>
      </c>
      <c r="AD28" s="109">
        <f t="shared" si="35"/>
        <v>0</v>
      </c>
      <c r="AE28" s="109">
        <f t="shared" si="36"/>
        <v>-1</v>
      </c>
      <c r="AF28" s="145">
        <f t="shared" si="41"/>
        <v>-0.33333333333333331</v>
      </c>
      <c r="AG28" s="109">
        <f t="shared" si="39"/>
        <v>-0.5</v>
      </c>
      <c r="AJ28" s="72"/>
      <c r="AK28" s="112">
        <f>ROUND(U28*(100%+$AF28),0)</f>
        <v>0</v>
      </c>
      <c r="AL28" s="113">
        <f t="shared" si="48"/>
        <v>0</v>
      </c>
      <c r="AM28" s="114">
        <f t="shared" si="48"/>
        <v>0</v>
      </c>
      <c r="AN28" s="114">
        <f t="shared" si="48"/>
        <v>0</v>
      </c>
      <c r="AO28" s="114">
        <f t="shared" si="48"/>
        <v>0</v>
      </c>
      <c r="AP28" s="115">
        <f t="shared" si="48"/>
        <v>0</v>
      </c>
      <c r="AQ28" s="70"/>
      <c r="AR28" s="70"/>
      <c r="AS28" s="67" t="s">
        <v>238</v>
      </c>
    </row>
    <row r="29" spans="1:45">
      <c r="A29" s="68" t="str">
        <f t="shared" si="27"/>
        <v>RB(penit)_Oth_total_</v>
      </c>
      <c r="B29" s="68" t="s">
        <v>243</v>
      </c>
      <c r="C29" s="68" t="s">
        <v>230</v>
      </c>
      <c r="D29" s="68" t="s">
        <v>232</v>
      </c>
      <c r="I29" s="124" t="s">
        <v>111</v>
      </c>
      <c r="J29" s="124"/>
      <c r="K29" s="125"/>
      <c r="L29" s="126">
        <v>40</v>
      </c>
      <c r="M29" s="126">
        <v>21</v>
      </c>
      <c r="N29" s="126">
        <v>23</v>
      </c>
      <c r="O29" s="126">
        <v>19</v>
      </c>
      <c r="P29" s="126">
        <v>21</v>
      </c>
      <c r="Q29" s="126">
        <v>11</v>
      </c>
      <c r="R29" s="126">
        <v>21</v>
      </c>
      <c r="S29" s="126">
        <v>17</v>
      </c>
      <c r="T29" s="126">
        <v>11</v>
      </c>
      <c r="U29" s="126">
        <v>20</v>
      </c>
      <c r="V29" s="72"/>
      <c r="W29" s="109">
        <f t="shared" si="28"/>
        <v>-0.47499999999999998</v>
      </c>
      <c r="X29" s="109">
        <f t="shared" si="29"/>
        <v>9.5238095238095344E-2</v>
      </c>
      <c r="Y29" s="109">
        <f t="shared" si="30"/>
        <v>-0.17391304347826086</v>
      </c>
      <c r="Z29" s="109">
        <f t="shared" si="31"/>
        <v>0.10526315789473695</v>
      </c>
      <c r="AA29" s="109">
        <f t="shared" si="32"/>
        <v>-0.47619047619047616</v>
      </c>
      <c r="AB29" s="109">
        <f t="shared" si="33"/>
        <v>0.90909090909090917</v>
      </c>
      <c r="AC29" s="109">
        <f t="shared" si="34"/>
        <v>-0.19047619047619047</v>
      </c>
      <c r="AD29" s="109">
        <f t="shared" si="35"/>
        <v>-0.3529411764705882</v>
      </c>
      <c r="AE29" s="109">
        <f t="shared" si="36"/>
        <v>0.81818181818181812</v>
      </c>
      <c r="AF29" s="144">
        <f t="shared" si="41"/>
        <v>2.8805899310004879E-2</v>
      </c>
      <c r="AG29" s="109">
        <f t="shared" si="39"/>
        <v>0.29596384008148713</v>
      </c>
      <c r="AJ29" s="72"/>
      <c r="AK29" s="127">
        <f t="shared" ref="AK29" si="49">SUM(AK30:AK31)</f>
        <v>21</v>
      </c>
      <c r="AL29" s="128">
        <f t="shared" ref="AL29:AP29" si="50">SUM(AL30:AL31)</f>
        <v>22</v>
      </c>
      <c r="AM29" s="129">
        <f t="shared" si="50"/>
        <v>23</v>
      </c>
      <c r="AN29" s="129">
        <f t="shared" si="50"/>
        <v>25</v>
      </c>
      <c r="AO29" s="129">
        <f t="shared" si="50"/>
        <v>27</v>
      </c>
      <c r="AP29" s="130">
        <f t="shared" si="50"/>
        <v>29</v>
      </c>
      <c r="AQ29" s="70"/>
      <c r="AR29" s="70"/>
      <c r="AS29" s="67" t="s">
        <v>238</v>
      </c>
    </row>
    <row r="30" spans="1:45">
      <c r="A30" s="68" t="str">
        <f t="shared" si="27"/>
        <v>RB(penit)_Oth_P_SS+</v>
      </c>
      <c r="B30" s="68" t="s">
        <v>243</v>
      </c>
      <c r="C30" s="68" t="s">
        <v>230</v>
      </c>
      <c r="D30" s="68" t="s">
        <v>225</v>
      </c>
      <c r="E30" s="68" t="s">
        <v>227</v>
      </c>
      <c r="I30" s="70" t="s">
        <v>112</v>
      </c>
      <c r="J30" s="70"/>
      <c r="K30" s="71"/>
      <c r="L30" s="108">
        <v>28</v>
      </c>
      <c r="M30" s="108">
        <v>16</v>
      </c>
      <c r="N30" s="108">
        <v>15</v>
      </c>
      <c r="O30" s="108">
        <v>10</v>
      </c>
      <c r="P30" s="108">
        <v>15</v>
      </c>
      <c r="Q30" s="108">
        <v>7</v>
      </c>
      <c r="R30" s="108">
        <v>13</v>
      </c>
      <c r="S30" s="108">
        <v>11</v>
      </c>
      <c r="T30" s="108">
        <v>7</v>
      </c>
      <c r="U30" s="108">
        <v>11</v>
      </c>
      <c r="V30" s="72"/>
      <c r="W30" s="109">
        <f t="shared" si="28"/>
        <v>-0.4285714285714286</v>
      </c>
      <c r="X30" s="109">
        <f t="shared" si="29"/>
        <v>-6.25E-2</v>
      </c>
      <c r="Y30" s="109">
        <f t="shared" si="30"/>
        <v>-0.33333333333333337</v>
      </c>
      <c r="Z30" s="109">
        <f t="shared" si="31"/>
        <v>0.5</v>
      </c>
      <c r="AA30" s="109">
        <f t="shared" si="32"/>
        <v>-0.53333333333333333</v>
      </c>
      <c r="AB30" s="109">
        <f t="shared" si="33"/>
        <v>0.85714285714285721</v>
      </c>
      <c r="AC30" s="109">
        <f t="shared" si="34"/>
        <v>-0.15384615384615385</v>
      </c>
      <c r="AD30" s="109">
        <f t="shared" si="35"/>
        <v>-0.36363636363636365</v>
      </c>
      <c r="AE30" s="109">
        <f t="shared" si="36"/>
        <v>0.5714285714285714</v>
      </c>
      <c r="AF30" s="145">
        <f t="shared" si="41"/>
        <v>5.9278684278684223E-3</v>
      </c>
      <c r="AG30" s="109">
        <f t="shared" si="39"/>
        <v>0.22777222777222778</v>
      </c>
      <c r="AJ30" s="72"/>
      <c r="AK30" s="112">
        <f>ROUND(U30*(100%+$AF30),0)</f>
        <v>11</v>
      </c>
      <c r="AL30" s="113">
        <f t="shared" ref="AL30:AP31" si="51">ROUND(AK30*(100%+$AF30),0)</f>
        <v>11</v>
      </c>
      <c r="AM30" s="114">
        <f t="shared" si="51"/>
        <v>11</v>
      </c>
      <c r="AN30" s="114">
        <f t="shared" si="51"/>
        <v>11</v>
      </c>
      <c r="AO30" s="114">
        <f t="shared" si="51"/>
        <v>11</v>
      </c>
      <c r="AP30" s="115">
        <f t="shared" si="51"/>
        <v>11</v>
      </c>
      <c r="AQ30" s="70"/>
      <c r="AR30" s="70"/>
      <c r="AS30" s="67" t="s">
        <v>238</v>
      </c>
    </row>
    <row r="31" spans="1:45">
      <c r="A31" s="68" t="str">
        <f t="shared" si="27"/>
        <v>RB(penit)_Oth_P/EP_SS-</v>
      </c>
      <c r="B31" s="68" t="s">
        <v>243</v>
      </c>
      <c r="C31" s="68" t="s">
        <v>230</v>
      </c>
      <c r="D31" s="68" t="s">
        <v>231</v>
      </c>
      <c r="E31" s="68" t="s">
        <v>228</v>
      </c>
      <c r="I31" s="70" t="s">
        <v>113</v>
      </c>
      <c r="J31" s="70"/>
      <c r="K31" s="71"/>
      <c r="L31" s="108">
        <v>12</v>
      </c>
      <c r="M31" s="108">
        <v>5</v>
      </c>
      <c r="N31" s="108">
        <v>8</v>
      </c>
      <c r="O31" s="108">
        <v>9</v>
      </c>
      <c r="P31" s="108">
        <v>6</v>
      </c>
      <c r="Q31" s="108">
        <v>4</v>
      </c>
      <c r="R31" s="108">
        <v>8</v>
      </c>
      <c r="S31" s="108">
        <v>6</v>
      </c>
      <c r="T31" s="108">
        <v>4</v>
      </c>
      <c r="U31" s="108">
        <v>9</v>
      </c>
      <c r="V31" s="72"/>
      <c r="W31" s="109">
        <f t="shared" si="28"/>
        <v>-0.58333333333333326</v>
      </c>
      <c r="X31" s="109">
        <f t="shared" si="29"/>
        <v>0.60000000000000009</v>
      </c>
      <c r="Y31" s="109">
        <f t="shared" si="30"/>
        <v>0.125</v>
      </c>
      <c r="Z31" s="109">
        <f t="shared" si="31"/>
        <v>-0.33333333333333337</v>
      </c>
      <c r="AA31" s="109">
        <f t="shared" si="32"/>
        <v>-0.33333333333333337</v>
      </c>
      <c r="AB31" s="109">
        <f t="shared" si="33"/>
        <v>1</v>
      </c>
      <c r="AC31" s="109">
        <f t="shared" si="34"/>
        <v>-0.25</v>
      </c>
      <c r="AD31" s="109">
        <f t="shared" si="35"/>
        <v>-0.33333333333333337</v>
      </c>
      <c r="AE31" s="109">
        <f t="shared" si="36"/>
        <v>1.25</v>
      </c>
      <c r="AF31" s="145">
        <f t="shared" si="41"/>
        <v>0.12685185185185185</v>
      </c>
      <c r="AG31" s="109">
        <f t="shared" si="39"/>
        <v>0.41666666666666663</v>
      </c>
      <c r="AJ31" s="72"/>
      <c r="AK31" s="112">
        <f>ROUND(U31*(100%+$AF31),0)</f>
        <v>10</v>
      </c>
      <c r="AL31" s="113">
        <f t="shared" si="51"/>
        <v>11</v>
      </c>
      <c r="AM31" s="114">
        <f t="shared" si="51"/>
        <v>12</v>
      </c>
      <c r="AN31" s="114">
        <f t="shared" si="51"/>
        <v>14</v>
      </c>
      <c r="AO31" s="114">
        <f t="shared" si="51"/>
        <v>16</v>
      </c>
      <c r="AP31" s="115">
        <f t="shared" si="51"/>
        <v>18</v>
      </c>
      <c r="AQ31" s="70"/>
      <c r="AR31" s="70"/>
      <c r="AS31" s="67" t="s">
        <v>238</v>
      </c>
    </row>
    <row r="32" spans="1:45">
      <c r="A32" s="68" t="str">
        <f t="shared" si="27"/>
        <v>RB(penit)_All_total_</v>
      </c>
      <c r="B32" s="68" t="s">
        <v>243</v>
      </c>
      <c r="C32" s="68" t="s">
        <v>233</v>
      </c>
      <c r="D32" s="68" t="s">
        <v>232</v>
      </c>
      <c r="I32" s="131" t="s">
        <v>114</v>
      </c>
      <c r="J32" s="131"/>
      <c r="K32" s="132"/>
      <c r="L32" s="133">
        <v>203</v>
      </c>
      <c r="M32" s="133">
        <v>153</v>
      </c>
      <c r="N32" s="133">
        <v>185</v>
      </c>
      <c r="O32" s="133">
        <v>148</v>
      </c>
      <c r="P32" s="133">
        <v>111</v>
      </c>
      <c r="Q32" s="133">
        <v>110</v>
      </c>
      <c r="R32" s="133">
        <v>132</v>
      </c>
      <c r="S32" s="133">
        <v>86</v>
      </c>
      <c r="T32" s="133">
        <v>103</v>
      </c>
      <c r="U32" s="133">
        <v>104</v>
      </c>
      <c r="V32" s="72"/>
      <c r="W32" s="102">
        <f t="shared" si="28"/>
        <v>-0.24630541871921185</v>
      </c>
      <c r="X32" s="102">
        <f t="shared" si="29"/>
        <v>0.20915032679738554</v>
      </c>
      <c r="Y32" s="102">
        <f t="shared" si="30"/>
        <v>-0.19999999999999996</v>
      </c>
      <c r="Z32" s="102">
        <f t="shared" si="31"/>
        <v>-0.25</v>
      </c>
      <c r="AA32" s="102">
        <f t="shared" si="32"/>
        <v>-9.009009009009028E-3</v>
      </c>
      <c r="AB32" s="102">
        <f t="shared" si="33"/>
        <v>0.19999999999999996</v>
      </c>
      <c r="AC32" s="102">
        <f t="shared" si="34"/>
        <v>-0.34848484848484851</v>
      </c>
      <c r="AD32" s="102">
        <f t="shared" si="35"/>
        <v>0.19767441860465107</v>
      </c>
      <c r="AE32" s="102">
        <f t="shared" si="36"/>
        <v>9.7087378640776656E-3</v>
      </c>
      <c r="AF32" s="144">
        <f t="shared" si="41"/>
        <v>-4.8585088105217236E-2</v>
      </c>
      <c r="AG32" s="102">
        <f t="shared" si="39"/>
        <v>1.4724576995970046E-2</v>
      </c>
      <c r="AJ32" s="72"/>
      <c r="AK32" s="134">
        <f t="shared" ref="AK32" si="52">SUM(AK20,AK24)</f>
        <v>106</v>
      </c>
      <c r="AL32" s="135">
        <f t="shared" ref="AL32:AP32" si="53">SUM(AL20,AL24)</f>
        <v>108</v>
      </c>
      <c r="AM32" s="136">
        <f t="shared" si="53"/>
        <v>110</v>
      </c>
      <c r="AN32" s="136">
        <f t="shared" si="53"/>
        <v>113</v>
      </c>
      <c r="AO32" s="136">
        <f t="shared" si="53"/>
        <v>116</v>
      </c>
      <c r="AP32" s="137">
        <f t="shared" si="53"/>
        <v>119</v>
      </c>
      <c r="AQ32" s="138"/>
      <c r="AR32" s="70"/>
      <c r="AS32" s="67" t="s">
        <v>238</v>
      </c>
    </row>
    <row r="33" spans="1:45" ht="17" thickBot="1">
      <c r="A33" s="68"/>
      <c r="B33" s="68" t="s">
        <v>238</v>
      </c>
      <c r="C33" s="68" t="s">
        <v>238</v>
      </c>
      <c r="D33" s="68" t="s">
        <v>238</v>
      </c>
      <c r="E33" s="68" t="s">
        <v>238</v>
      </c>
      <c r="H33" s="68" t="s">
        <v>238</v>
      </c>
      <c r="I33" s="93" t="s">
        <v>116</v>
      </c>
      <c r="J33" s="85"/>
      <c r="K33" s="139"/>
      <c r="L33" s="85"/>
      <c r="M33" s="85"/>
      <c r="N33" s="85"/>
      <c r="O33" s="85"/>
      <c r="P33" s="85"/>
      <c r="Q33" s="85"/>
      <c r="R33" s="85"/>
      <c r="S33" s="85"/>
      <c r="T33" s="85"/>
      <c r="U33" s="85"/>
      <c r="V33" s="72"/>
      <c r="W33" s="140"/>
      <c r="X33" s="140"/>
      <c r="Y33" s="140"/>
      <c r="Z33" s="140"/>
      <c r="AA33" s="140"/>
      <c r="AB33" s="140"/>
      <c r="AC33" s="140"/>
      <c r="AD33" s="140"/>
      <c r="AE33" s="140"/>
      <c r="AF33" s="124"/>
      <c r="AG33" s="124"/>
      <c r="AJ33" s="72"/>
      <c r="AK33" s="85"/>
      <c r="AL33" s="141"/>
      <c r="AM33" s="142"/>
      <c r="AN33" s="142"/>
      <c r="AO33" s="142"/>
      <c r="AP33" s="143"/>
      <c r="AQ33" s="70"/>
      <c r="AR33" s="70"/>
      <c r="AS33" s="67" t="s">
        <v>238</v>
      </c>
    </row>
    <row r="34" spans="1:45">
      <c r="A34" s="68" t="str">
        <f t="shared" ref="A34" si="54">B34&amp;"_"&amp;C34&amp;"_"&amp;D34&amp;"_"&amp;E34</f>
        <v>RB_New__</v>
      </c>
      <c r="B34" s="68" t="s">
        <v>235</v>
      </c>
      <c r="C34" s="68" t="s">
        <v>102</v>
      </c>
      <c r="I34" s="146" t="s">
        <v>102</v>
      </c>
      <c r="J34" s="147"/>
      <c r="K34" s="148"/>
      <c r="L34" s="147">
        <v>3109</v>
      </c>
      <c r="M34" s="147">
        <v>3179</v>
      </c>
      <c r="N34" s="147">
        <v>3165</v>
      </c>
      <c r="O34" s="147">
        <v>3049</v>
      </c>
      <c r="P34" s="147">
        <v>2746</v>
      </c>
      <c r="Q34" s="147">
        <v>2371</v>
      </c>
      <c r="R34" s="147">
        <v>2308</v>
      </c>
      <c r="S34" s="147">
        <v>2172</v>
      </c>
      <c r="T34" s="147">
        <v>2047</v>
      </c>
      <c r="U34" s="149">
        <v>1903</v>
      </c>
      <c r="V34" s="72"/>
      <c r="W34" s="101">
        <f t="shared" ref="W34:W46" si="55">IFERROR(M34/L34-100%,0)</f>
        <v>2.2515278224509494E-2</v>
      </c>
      <c r="X34" s="101">
        <f t="shared" ref="X34:X46" si="56">IFERROR(N34/M34-100%,0)</f>
        <v>-4.4039005976722612E-3</v>
      </c>
      <c r="Y34" s="101">
        <f t="shared" ref="Y34:Y46" si="57">IFERROR(O34/N34-100%,0)</f>
        <v>-3.6650868878357001E-2</v>
      </c>
      <c r="Z34" s="101">
        <f t="shared" ref="Z34:Z46" si="58">IFERROR(P34/O34-100%,0)</f>
        <v>-9.9376844867169578E-2</v>
      </c>
      <c r="AA34" s="101">
        <f t="shared" ref="AA34:AA46" si="59">IFERROR(Q34/P34-100%,0)</f>
        <v>-0.13656227239621266</v>
      </c>
      <c r="AB34" s="101">
        <f t="shared" ref="AB34:AB46" si="60">IFERROR(R34/Q34-100%,0)</f>
        <v>-2.6571067060312092E-2</v>
      </c>
      <c r="AC34" s="101">
        <f t="shared" ref="AC34:AC46" si="61">IFERROR(S34/R34-100%,0)</f>
        <v>-5.8925476603119531E-2</v>
      </c>
      <c r="AD34" s="101">
        <f t="shared" ref="AD34:AD46" si="62">IFERROR(T34/S34-100%,0)</f>
        <v>-5.7550644567219145E-2</v>
      </c>
      <c r="AE34" s="101">
        <f t="shared" ref="AE34:AE46" si="63">IFERROR(U34/T34-100%,0)</f>
        <v>-7.0346849047386417E-2</v>
      </c>
      <c r="AF34" s="102">
        <f>AVERAGE(W34:AE34)</f>
        <v>-5.1985849532548797E-2</v>
      </c>
      <c r="AG34" s="102">
        <f>AVERAGE(AB34:AE34)</f>
        <v>-5.3348509319509296E-2</v>
      </c>
      <c r="AJ34" s="72"/>
      <c r="AK34" s="104">
        <f t="shared" ref="AK34:AP34" si="64">SUM(AK35:AK37)</f>
        <v>1848</v>
      </c>
      <c r="AL34" s="105">
        <f t="shared" si="64"/>
        <v>1795</v>
      </c>
      <c r="AM34" s="106">
        <f t="shared" si="64"/>
        <v>1743</v>
      </c>
      <c r="AN34" s="106">
        <f t="shared" si="64"/>
        <v>1694</v>
      </c>
      <c r="AO34" s="106">
        <f t="shared" si="64"/>
        <v>1646</v>
      </c>
      <c r="AP34" s="107">
        <f t="shared" si="64"/>
        <v>1601</v>
      </c>
      <c r="AQ34" s="70"/>
      <c r="AR34" s="70"/>
      <c r="AS34" s="67" t="s">
        <v>238</v>
      </c>
    </row>
    <row r="35" spans="1:45">
      <c r="A35" s="68" t="str">
        <f t="shared" si="27"/>
        <v>RB_New_P_SS+</v>
      </c>
      <c r="B35" s="68" t="s">
        <v>235</v>
      </c>
      <c r="C35" s="68" t="s">
        <v>102</v>
      </c>
      <c r="D35" s="68" t="s">
        <v>225</v>
      </c>
      <c r="E35" s="68" t="s">
        <v>227</v>
      </c>
      <c r="I35" s="150" t="s">
        <v>103</v>
      </c>
      <c r="J35" s="151"/>
      <c r="K35" s="152"/>
      <c r="L35" s="151">
        <v>1521</v>
      </c>
      <c r="M35" s="151">
        <v>1520</v>
      </c>
      <c r="N35" s="151">
        <v>1602</v>
      </c>
      <c r="O35" s="151">
        <v>1585</v>
      </c>
      <c r="P35" s="151">
        <v>1493</v>
      </c>
      <c r="Q35" s="151">
        <v>1377</v>
      </c>
      <c r="R35" s="151">
        <v>1320</v>
      </c>
      <c r="S35" s="151">
        <v>1251</v>
      </c>
      <c r="T35" s="151">
        <v>1196</v>
      </c>
      <c r="U35" s="153">
        <v>1110</v>
      </c>
      <c r="V35" s="72"/>
      <c r="W35" s="109">
        <f t="shared" si="55"/>
        <v>-6.5746219592377475E-4</v>
      </c>
      <c r="X35" s="109">
        <f t="shared" si="56"/>
        <v>5.3947368421052522E-2</v>
      </c>
      <c r="Y35" s="109">
        <f t="shared" si="57"/>
        <v>-1.061173533083648E-2</v>
      </c>
      <c r="Z35" s="109">
        <f t="shared" si="58"/>
        <v>-5.804416403785484E-2</v>
      </c>
      <c r="AA35" s="109">
        <f t="shared" si="59"/>
        <v>-7.7695914266577404E-2</v>
      </c>
      <c r="AB35" s="109">
        <f t="shared" si="60"/>
        <v>-4.1394335511982572E-2</v>
      </c>
      <c r="AC35" s="109">
        <f t="shared" si="61"/>
        <v>-5.2272727272727249E-2</v>
      </c>
      <c r="AD35" s="109">
        <f t="shared" si="62"/>
        <v>-4.3964828137490031E-2</v>
      </c>
      <c r="AE35" s="109">
        <f t="shared" si="63"/>
        <v>-7.1906354515050119E-2</v>
      </c>
      <c r="AF35" s="110">
        <f t="shared" ref="AF35:AF46" si="65">AVERAGE(W35:AE35)</f>
        <v>-3.3622239205265553E-2</v>
      </c>
      <c r="AG35" s="110">
        <f t="shared" ref="AG35:AG46" si="66">AVERAGE(AB35:AE35)</f>
        <v>-5.2384561359312493E-2</v>
      </c>
      <c r="AJ35" s="72"/>
      <c r="AK35" s="112">
        <f t="shared" ref="AK35:AP37" si="67">AK7+AK21</f>
        <v>1087</v>
      </c>
      <c r="AL35" s="113">
        <f t="shared" si="67"/>
        <v>1065</v>
      </c>
      <c r="AM35" s="114">
        <f t="shared" si="67"/>
        <v>1043</v>
      </c>
      <c r="AN35" s="114">
        <f t="shared" si="67"/>
        <v>1022</v>
      </c>
      <c r="AO35" s="114">
        <f t="shared" si="67"/>
        <v>1001</v>
      </c>
      <c r="AP35" s="115">
        <f t="shared" si="67"/>
        <v>981</v>
      </c>
      <c r="AQ35" s="70"/>
      <c r="AR35" s="70"/>
      <c r="AS35" s="67" t="s">
        <v>238</v>
      </c>
    </row>
    <row r="36" spans="1:45">
      <c r="A36" s="68" t="str">
        <f t="shared" si="27"/>
        <v>RB_New_P_SS-</v>
      </c>
      <c r="B36" s="68" t="s">
        <v>235</v>
      </c>
      <c r="C36" s="68" t="s">
        <v>102</v>
      </c>
      <c r="D36" s="68" t="s">
        <v>225</v>
      </c>
      <c r="E36" s="68" t="s">
        <v>228</v>
      </c>
      <c r="I36" s="150" t="s">
        <v>104</v>
      </c>
      <c r="J36" s="151"/>
      <c r="K36" s="152"/>
      <c r="L36" s="151">
        <v>1234</v>
      </c>
      <c r="M36" s="151">
        <v>1288</v>
      </c>
      <c r="N36" s="151">
        <v>1218</v>
      </c>
      <c r="O36" s="151">
        <v>1163</v>
      </c>
      <c r="P36" s="151">
        <v>943</v>
      </c>
      <c r="Q36" s="151">
        <v>717</v>
      </c>
      <c r="R36" s="151">
        <v>706</v>
      </c>
      <c r="S36" s="151">
        <v>658</v>
      </c>
      <c r="T36" s="151">
        <v>615</v>
      </c>
      <c r="U36" s="153">
        <v>575</v>
      </c>
      <c r="V36" s="72"/>
      <c r="W36" s="109">
        <f t="shared" si="55"/>
        <v>4.3760129659643487E-2</v>
      </c>
      <c r="X36" s="109">
        <f t="shared" si="56"/>
        <v>-5.4347826086956541E-2</v>
      </c>
      <c r="Y36" s="109">
        <f t="shared" si="57"/>
        <v>-4.5155993431855501E-2</v>
      </c>
      <c r="Z36" s="109">
        <f t="shared" si="58"/>
        <v>-0.18916595012897675</v>
      </c>
      <c r="AA36" s="109">
        <f t="shared" si="59"/>
        <v>-0.23966065747613996</v>
      </c>
      <c r="AB36" s="109">
        <f t="shared" si="60"/>
        <v>-1.5341701534170138E-2</v>
      </c>
      <c r="AC36" s="109">
        <f t="shared" si="61"/>
        <v>-6.7988668555240772E-2</v>
      </c>
      <c r="AD36" s="109">
        <f t="shared" si="62"/>
        <v>-6.5349544072948351E-2</v>
      </c>
      <c r="AE36" s="109">
        <f t="shared" si="63"/>
        <v>-6.5040650406504086E-2</v>
      </c>
      <c r="AF36" s="110">
        <f t="shared" si="65"/>
        <v>-7.758787355923874E-2</v>
      </c>
      <c r="AG36" s="110">
        <f t="shared" si="66"/>
        <v>-5.3430141142215837E-2</v>
      </c>
      <c r="AJ36" s="72"/>
      <c r="AK36" s="75">
        <f t="shared" si="67"/>
        <v>554</v>
      </c>
      <c r="AL36" s="90">
        <f t="shared" si="67"/>
        <v>533</v>
      </c>
      <c r="AM36" s="91">
        <f t="shared" si="67"/>
        <v>513</v>
      </c>
      <c r="AN36" s="91">
        <f t="shared" si="67"/>
        <v>494</v>
      </c>
      <c r="AO36" s="91">
        <f t="shared" si="67"/>
        <v>476</v>
      </c>
      <c r="AP36" s="92">
        <f t="shared" si="67"/>
        <v>459</v>
      </c>
      <c r="AQ36" s="70"/>
      <c r="AR36" s="70"/>
      <c r="AS36" s="67" t="s">
        <v>238</v>
      </c>
    </row>
    <row r="37" spans="1:45">
      <c r="A37" s="68" t="str">
        <f t="shared" si="27"/>
        <v>RB_New_EP_</v>
      </c>
      <c r="B37" s="68" t="s">
        <v>235</v>
      </c>
      <c r="C37" s="68" t="s">
        <v>102</v>
      </c>
      <c r="D37" s="68" t="s">
        <v>226</v>
      </c>
      <c r="I37" s="150" t="s">
        <v>105</v>
      </c>
      <c r="J37" s="151"/>
      <c r="K37" s="152"/>
      <c r="L37" s="151">
        <v>354</v>
      </c>
      <c r="M37" s="151">
        <v>371</v>
      </c>
      <c r="N37" s="151">
        <v>345</v>
      </c>
      <c r="O37" s="151">
        <v>301</v>
      </c>
      <c r="P37" s="151">
        <v>310</v>
      </c>
      <c r="Q37" s="151">
        <v>277</v>
      </c>
      <c r="R37" s="151">
        <v>282</v>
      </c>
      <c r="S37" s="151">
        <v>263</v>
      </c>
      <c r="T37" s="151">
        <v>236</v>
      </c>
      <c r="U37" s="153">
        <v>218</v>
      </c>
      <c r="V37" s="72"/>
      <c r="W37" s="109">
        <f t="shared" si="55"/>
        <v>4.8022598870056443E-2</v>
      </c>
      <c r="X37" s="109">
        <f t="shared" si="56"/>
        <v>-7.0080862533692723E-2</v>
      </c>
      <c r="Y37" s="109">
        <f t="shared" si="57"/>
        <v>-0.12753623188405794</v>
      </c>
      <c r="Z37" s="109">
        <f t="shared" si="58"/>
        <v>2.9900332225913706E-2</v>
      </c>
      <c r="AA37" s="109">
        <f t="shared" si="59"/>
        <v>-0.1064516129032258</v>
      </c>
      <c r="AB37" s="109">
        <f t="shared" si="60"/>
        <v>1.8050541516245522E-2</v>
      </c>
      <c r="AC37" s="109">
        <f t="shared" si="61"/>
        <v>-6.7375886524822737E-2</v>
      </c>
      <c r="AD37" s="109">
        <f t="shared" si="62"/>
        <v>-0.10266159695817489</v>
      </c>
      <c r="AE37" s="109">
        <f t="shared" si="63"/>
        <v>-7.6271186440677985E-2</v>
      </c>
      <c r="AF37" s="110">
        <f t="shared" si="65"/>
        <v>-5.0489322736937375E-2</v>
      </c>
      <c r="AG37" s="110">
        <f t="shared" si="66"/>
        <v>-5.7064532101857524E-2</v>
      </c>
      <c r="AJ37" s="72"/>
      <c r="AK37" s="75">
        <f t="shared" si="67"/>
        <v>207</v>
      </c>
      <c r="AL37" s="90">
        <f t="shared" si="67"/>
        <v>197</v>
      </c>
      <c r="AM37" s="91">
        <f t="shared" si="67"/>
        <v>187</v>
      </c>
      <c r="AN37" s="91">
        <f t="shared" si="67"/>
        <v>178</v>
      </c>
      <c r="AO37" s="91">
        <f t="shared" si="67"/>
        <v>169</v>
      </c>
      <c r="AP37" s="92">
        <f t="shared" si="67"/>
        <v>161</v>
      </c>
      <c r="AQ37" s="70"/>
      <c r="AR37" s="70"/>
      <c r="AS37" s="67" t="s">
        <v>238</v>
      </c>
    </row>
    <row r="38" spans="1:45">
      <c r="A38" s="68" t="str">
        <f t="shared" si="27"/>
        <v>RB_R/Oth_total_</v>
      </c>
      <c r="B38" s="68" t="s">
        <v>235</v>
      </c>
      <c r="C38" s="68" t="s">
        <v>234</v>
      </c>
      <c r="D38" s="68" t="s">
        <v>232</v>
      </c>
      <c r="I38" s="154" t="s">
        <v>106</v>
      </c>
      <c r="J38" s="155"/>
      <c r="K38" s="156"/>
      <c r="L38" s="155">
        <v>1417</v>
      </c>
      <c r="M38" s="155">
        <v>1230</v>
      </c>
      <c r="N38" s="155">
        <v>1288</v>
      </c>
      <c r="O38" s="155">
        <v>1195</v>
      </c>
      <c r="P38" s="155">
        <v>1100</v>
      </c>
      <c r="Q38" s="155">
        <v>1020</v>
      </c>
      <c r="R38" s="155">
        <v>975</v>
      </c>
      <c r="S38" s="155">
        <v>877</v>
      </c>
      <c r="T38" s="155">
        <v>753</v>
      </c>
      <c r="U38" s="157">
        <v>795</v>
      </c>
      <c r="V38" s="72"/>
      <c r="W38" s="101">
        <f t="shared" si="55"/>
        <v>-0.1319689484827099</v>
      </c>
      <c r="X38" s="101">
        <f t="shared" si="56"/>
        <v>4.7154471544715415E-2</v>
      </c>
      <c r="Y38" s="101">
        <f t="shared" si="57"/>
        <v>-7.2204968944099335E-2</v>
      </c>
      <c r="Z38" s="101">
        <f t="shared" si="58"/>
        <v>-7.9497907949790836E-2</v>
      </c>
      <c r="AA38" s="101">
        <f t="shared" si="59"/>
        <v>-7.2727272727272751E-2</v>
      </c>
      <c r="AB38" s="101">
        <f t="shared" si="60"/>
        <v>-4.4117647058823484E-2</v>
      </c>
      <c r="AC38" s="101">
        <f t="shared" si="61"/>
        <v>-0.10051282051282051</v>
      </c>
      <c r="AD38" s="101">
        <f t="shared" si="62"/>
        <v>-0.1413911060433295</v>
      </c>
      <c r="AE38" s="101">
        <f t="shared" si="63"/>
        <v>5.5776892430278835E-2</v>
      </c>
      <c r="AF38" s="102">
        <f t="shared" si="65"/>
        <v>-5.994325641598356E-2</v>
      </c>
      <c r="AG38" s="102">
        <f t="shared" si="66"/>
        <v>-5.7561170296173664E-2</v>
      </c>
      <c r="AJ38" s="72"/>
      <c r="AK38" s="104">
        <f t="shared" ref="AK38:AP38" si="68">SUM(AK39,AK43)</f>
        <v>762</v>
      </c>
      <c r="AL38" s="105">
        <f t="shared" si="68"/>
        <v>732</v>
      </c>
      <c r="AM38" s="106">
        <f t="shared" si="68"/>
        <v>704</v>
      </c>
      <c r="AN38" s="106">
        <f t="shared" si="68"/>
        <v>679</v>
      </c>
      <c r="AO38" s="106">
        <f t="shared" si="68"/>
        <v>658</v>
      </c>
      <c r="AP38" s="107">
        <f t="shared" si="68"/>
        <v>638</v>
      </c>
      <c r="AQ38" s="70"/>
      <c r="AR38" s="70"/>
      <c r="AS38" s="67" t="s">
        <v>238</v>
      </c>
    </row>
    <row r="39" spans="1:45">
      <c r="A39" s="68" t="str">
        <f t="shared" si="27"/>
        <v>RB_R_total_</v>
      </c>
      <c r="B39" s="68" t="s">
        <v>235</v>
      </c>
      <c r="C39" s="68" t="s">
        <v>229</v>
      </c>
      <c r="D39" s="68" t="s">
        <v>232</v>
      </c>
      <c r="I39" s="158" t="s">
        <v>107</v>
      </c>
      <c r="J39" s="159"/>
      <c r="K39" s="160"/>
      <c r="L39" s="159">
        <v>717</v>
      </c>
      <c r="M39" s="159">
        <v>686</v>
      </c>
      <c r="N39" s="159">
        <v>724</v>
      </c>
      <c r="O39" s="159">
        <v>741</v>
      </c>
      <c r="P39" s="159">
        <v>649</v>
      </c>
      <c r="Q39" s="159">
        <v>610</v>
      </c>
      <c r="R39" s="159">
        <v>587</v>
      </c>
      <c r="S39" s="159">
        <v>528</v>
      </c>
      <c r="T39" s="159">
        <v>453</v>
      </c>
      <c r="U39" s="161">
        <v>478</v>
      </c>
      <c r="V39" s="72"/>
      <c r="W39" s="109">
        <f t="shared" si="55"/>
        <v>-4.3235704323570379E-2</v>
      </c>
      <c r="X39" s="109">
        <f t="shared" si="56"/>
        <v>5.5393586005830997E-2</v>
      </c>
      <c r="Y39" s="109">
        <f t="shared" si="57"/>
        <v>2.3480662983425438E-2</v>
      </c>
      <c r="Z39" s="109">
        <f t="shared" si="58"/>
        <v>-0.12415654520917674</v>
      </c>
      <c r="AA39" s="109">
        <f t="shared" si="59"/>
        <v>-6.0092449922958369E-2</v>
      </c>
      <c r="AB39" s="109">
        <f t="shared" si="60"/>
        <v>-3.770491803278686E-2</v>
      </c>
      <c r="AC39" s="109">
        <f t="shared" si="61"/>
        <v>-0.10051107325383302</v>
      </c>
      <c r="AD39" s="109">
        <f t="shared" si="62"/>
        <v>-0.14204545454545459</v>
      </c>
      <c r="AE39" s="109">
        <f t="shared" si="63"/>
        <v>5.5187637969094983E-2</v>
      </c>
      <c r="AF39" s="119">
        <f t="shared" si="65"/>
        <v>-4.152047314771428E-2</v>
      </c>
      <c r="AG39" s="119">
        <f t="shared" si="66"/>
        <v>-5.626845196574487E-2</v>
      </c>
      <c r="AJ39" s="72"/>
      <c r="AK39" s="120">
        <f t="shared" ref="AK39:AP39" si="69">SUM(AK40:AK42)</f>
        <v>471</v>
      </c>
      <c r="AL39" s="121">
        <f t="shared" si="69"/>
        <v>464</v>
      </c>
      <c r="AM39" s="122">
        <f t="shared" si="69"/>
        <v>457</v>
      </c>
      <c r="AN39" s="122">
        <f t="shared" si="69"/>
        <v>451</v>
      </c>
      <c r="AO39" s="122">
        <f t="shared" si="69"/>
        <v>446</v>
      </c>
      <c r="AP39" s="123">
        <f t="shared" si="69"/>
        <v>441</v>
      </c>
      <c r="AQ39" s="70"/>
      <c r="AR39" s="70"/>
      <c r="AS39" s="67" t="s">
        <v>238</v>
      </c>
    </row>
    <row r="40" spans="1:45">
      <c r="A40" s="68" t="str">
        <f t="shared" si="27"/>
        <v>RB_R_P_SS+</v>
      </c>
      <c r="B40" s="68" t="s">
        <v>235</v>
      </c>
      <c r="C40" s="68" t="s">
        <v>229</v>
      </c>
      <c r="D40" s="68" t="s">
        <v>225</v>
      </c>
      <c r="E40" s="68" t="s">
        <v>227</v>
      </c>
      <c r="I40" s="150" t="s">
        <v>108</v>
      </c>
      <c r="J40" s="151"/>
      <c r="K40" s="152"/>
      <c r="L40" s="151">
        <v>421</v>
      </c>
      <c r="M40" s="151">
        <v>410</v>
      </c>
      <c r="N40" s="151">
        <v>442</v>
      </c>
      <c r="O40" s="151">
        <v>456</v>
      </c>
      <c r="P40" s="151">
        <v>391</v>
      </c>
      <c r="Q40" s="151">
        <v>372</v>
      </c>
      <c r="R40" s="151">
        <v>347</v>
      </c>
      <c r="S40" s="151">
        <v>299</v>
      </c>
      <c r="T40" s="151">
        <v>307</v>
      </c>
      <c r="U40" s="153">
        <v>283</v>
      </c>
      <c r="V40" s="72"/>
      <c r="W40" s="109">
        <f t="shared" si="55"/>
        <v>-2.6128266033254133E-2</v>
      </c>
      <c r="X40" s="109">
        <f t="shared" si="56"/>
        <v>7.8048780487804947E-2</v>
      </c>
      <c r="Y40" s="109">
        <f t="shared" si="57"/>
        <v>3.167420814479649E-2</v>
      </c>
      <c r="Z40" s="109">
        <f t="shared" si="58"/>
        <v>-0.14254385964912286</v>
      </c>
      <c r="AA40" s="109">
        <f t="shared" si="59"/>
        <v>-4.8593350383631662E-2</v>
      </c>
      <c r="AB40" s="109">
        <f t="shared" si="60"/>
        <v>-6.7204301075268869E-2</v>
      </c>
      <c r="AC40" s="109">
        <f t="shared" si="61"/>
        <v>-0.13832853025936598</v>
      </c>
      <c r="AD40" s="109">
        <f t="shared" si="62"/>
        <v>2.6755852842809347E-2</v>
      </c>
      <c r="AE40" s="109">
        <f t="shared" si="63"/>
        <v>-7.8175895765472347E-2</v>
      </c>
      <c r="AF40" s="110">
        <f t="shared" si="65"/>
        <v>-4.0499484632300561E-2</v>
      </c>
      <c r="AG40" s="110">
        <f t="shared" si="66"/>
        <v>-6.4238218564324462E-2</v>
      </c>
      <c r="AJ40" s="72"/>
      <c r="AK40" s="75">
        <f t="shared" ref="AK40:AP42" si="70">AK12+AK26</f>
        <v>278</v>
      </c>
      <c r="AL40" s="90">
        <f t="shared" si="70"/>
        <v>273</v>
      </c>
      <c r="AM40" s="91">
        <f t="shared" si="70"/>
        <v>268</v>
      </c>
      <c r="AN40" s="91">
        <f t="shared" si="70"/>
        <v>263</v>
      </c>
      <c r="AO40" s="91">
        <f t="shared" si="70"/>
        <v>258</v>
      </c>
      <c r="AP40" s="92">
        <f t="shared" si="70"/>
        <v>253</v>
      </c>
      <c r="AQ40" s="70"/>
      <c r="AR40" s="70"/>
      <c r="AS40" s="67" t="s">
        <v>238</v>
      </c>
    </row>
    <row r="41" spans="1:45">
      <c r="A41" s="68" t="str">
        <f t="shared" si="27"/>
        <v>RB_R_P_SS-</v>
      </c>
      <c r="B41" s="68" t="s">
        <v>235</v>
      </c>
      <c r="C41" s="68" t="s">
        <v>229</v>
      </c>
      <c r="D41" s="68" t="s">
        <v>225</v>
      </c>
      <c r="E41" s="68" t="s">
        <v>228</v>
      </c>
      <c r="I41" s="150" t="s">
        <v>109</v>
      </c>
      <c r="J41" s="151"/>
      <c r="K41" s="152"/>
      <c r="L41" s="151">
        <v>273</v>
      </c>
      <c r="M41" s="151">
        <v>255</v>
      </c>
      <c r="N41" s="151">
        <v>261</v>
      </c>
      <c r="O41" s="151">
        <v>260</v>
      </c>
      <c r="P41" s="151">
        <v>234</v>
      </c>
      <c r="Q41" s="151">
        <v>209</v>
      </c>
      <c r="R41" s="151">
        <v>220</v>
      </c>
      <c r="S41" s="151">
        <v>197</v>
      </c>
      <c r="T41" s="151">
        <v>128</v>
      </c>
      <c r="U41" s="153">
        <v>169</v>
      </c>
      <c r="V41" s="72"/>
      <c r="W41" s="109">
        <f t="shared" si="55"/>
        <v>-6.5934065934065922E-2</v>
      </c>
      <c r="X41" s="109">
        <f t="shared" si="56"/>
        <v>2.3529411764705799E-2</v>
      </c>
      <c r="Y41" s="109">
        <f t="shared" si="57"/>
        <v>-3.8314176245211051E-3</v>
      </c>
      <c r="Z41" s="109">
        <f t="shared" si="58"/>
        <v>-9.9999999999999978E-2</v>
      </c>
      <c r="AA41" s="109">
        <f t="shared" si="59"/>
        <v>-0.10683760683760679</v>
      </c>
      <c r="AB41" s="109">
        <f t="shared" si="60"/>
        <v>5.2631578947368363E-2</v>
      </c>
      <c r="AC41" s="109">
        <f t="shared" si="61"/>
        <v>-0.1045454545454545</v>
      </c>
      <c r="AD41" s="109">
        <f t="shared" si="62"/>
        <v>-0.35025380710659904</v>
      </c>
      <c r="AE41" s="109">
        <f t="shared" si="63"/>
        <v>0.3203125</v>
      </c>
      <c r="AF41" s="110">
        <f t="shared" si="65"/>
        <v>-3.7214317926241462E-2</v>
      </c>
      <c r="AG41" s="110">
        <f t="shared" si="66"/>
        <v>-2.0463795676171292E-2</v>
      </c>
      <c r="AJ41" s="72"/>
      <c r="AK41" s="75">
        <f t="shared" si="70"/>
        <v>165</v>
      </c>
      <c r="AL41" s="90">
        <f t="shared" si="70"/>
        <v>161</v>
      </c>
      <c r="AM41" s="91">
        <f t="shared" si="70"/>
        <v>157</v>
      </c>
      <c r="AN41" s="91">
        <f t="shared" si="70"/>
        <v>154</v>
      </c>
      <c r="AO41" s="91">
        <f t="shared" si="70"/>
        <v>151</v>
      </c>
      <c r="AP41" s="92">
        <f t="shared" si="70"/>
        <v>148</v>
      </c>
      <c r="AQ41" s="70"/>
      <c r="AR41" s="70"/>
      <c r="AS41" s="67" t="s">
        <v>238</v>
      </c>
    </row>
    <row r="42" spans="1:45">
      <c r="A42" s="68" t="str">
        <f t="shared" si="27"/>
        <v>RB_R_EP_</v>
      </c>
      <c r="B42" s="68" t="s">
        <v>235</v>
      </c>
      <c r="C42" s="68" t="s">
        <v>229</v>
      </c>
      <c r="D42" s="68" t="s">
        <v>226</v>
      </c>
      <c r="I42" s="150" t="s">
        <v>110</v>
      </c>
      <c r="J42" s="151"/>
      <c r="K42" s="152"/>
      <c r="L42" s="151">
        <v>23</v>
      </c>
      <c r="M42" s="151">
        <v>21</v>
      </c>
      <c r="N42" s="151">
        <v>21</v>
      </c>
      <c r="O42" s="151">
        <v>25</v>
      </c>
      <c r="P42" s="151">
        <v>24</v>
      </c>
      <c r="Q42" s="151">
        <v>29</v>
      </c>
      <c r="R42" s="151">
        <v>20</v>
      </c>
      <c r="S42" s="151">
        <v>32</v>
      </c>
      <c r="T42" s="151">
        <v>18</v>
      </c>
      <c r="U42" s="153">
        <v>26</v>
      </c>
      <c r="V42" s="72"/>
      <c r="W42" s="109">
        <f t="shared" si="55"/>
        <v>-8.6956521739130488E-2</v>
      </c>
      <c r="X42" s="109">
        <f t="shared" si="56"/>
        <v>0</v>
      </c>
      <c r="Y42" s="109">
        <f t="shared" si="57"/>
        <v>0.19047619047619047</v>
      </c>
      <c r="Z42" s="109">
        <f t="shared" si="58"/>
        <v>-4.0000000000000036E-2</v>
      </c>
      <c r="AA42" s="109">
        <f t="shared" si="59"/>
        <v>0.20833333333333326</v>
      </c>
      <c r="AB42" s="109">
        <f t="shared" si="60"/>
        <v>-0.31034482758620685</v>
      </c>
      <c r="AC42" s="109">
        <f t="shared" si="61"/>
        <v>0.60000000000000009</v>
      </c>
      <c r="AD42" s="109">
        <f t="shared" si="62"/>
        <v>-0.4375</v>
      </c>
      <c r="AE42" s="109">
        <f t="shared" si="63"/>
        <v>0.44444444444444442</v>
      </c>
      <c r="AF42" s="110">
        <f t="shared" si="65"/>
        <v>6.3161402103181205E-2</v>
      </c>
      <c r="AG42" s="110">
        <f t="shared" si="66"/>
        <v>7.4149904214559414E-2</v>
      </c>
      <c r="AJ42" s="72"/>
      <c r="AK42" s="75">
        <f t="shared" si="70"/>
        <v>28</v>
      </c>
      <c r="AL42" s="90">
        <f t="shared" si="70"/>
        <v>30</v>
      </c>
      <c r="AM42" s="91">
        <f t="shared" si="70"/>
        <v>32</v>
      </c>
      <c r="AN42" s="91">
        <f t="shared" si="70"/>
        <v>34</v>
      </c>
      <c r="AO42" s="91">
        <f t="shared" si="70"/>
        <v>37</v>
      </c>
      <c r="AP42" s="92">
        <f t="shared" si="70"/>
        <v>40</v>
      </c>
      <c r="AQ42" s="70"/>
      <c r="AR42" s="70"/>
      <c r="AS42" s="67" t="s">
        <v>238</v>
      </c>
    </row>
    <row r="43" spans="1:45">
      <c r="A43" s="68" t="str">
        <f t="shared" si="27"/>
        <v>RB_Oth_total_</v>
      </c>
      <c r="B43" s="68" t="s">
        <v>235</v>
      </c>
      <c r="C43" s="68" t="s">
        <v>230</v>
      </c>
      <c r="D43" s="68" t="s">
        <v>232</v>
      </c>
      <c r="I43" s="162" t="s">
        <v>111</v>
      </c>
      <c r="J43" s="163"/>
      <c r="K43" s="164"/>
      <c r="L43" s="163">
        <v>700</v>
      </c>
      <c r="M43" s="163">
        <v>544</v>
      </c>
      <c r="N43" s="163">
        <v>564</v>
      </c>
      <c r="O43" s="163">
        <v>454</v>
      </c>
      <c r="P43" s="163">
        <v>451</v>
      </c>
      <c r="Q43" s="163">
        <v>410</v>
      </c>
      <c r="R43" s="163">
        <v>388</v>
      </c>
      <c r="S43" s="163">
        <v>349</v>
      </c>
      <c r="T43" s="163">
        <v>300</v>
      </c>
      <c r="U43" s="165">
        <v>317</v>
      </c>
      <c r="V43" s="72"/>
      <c r="W43" s="109">
        <f t="shared" si="55"/>
        <v>-0.22285714285714286</v>
      </c>
      <c r="X43" s="109">
        <f t="shared" si="56"/>
        <v>3.6764705882353033E-2</v>
      </c>
      <c r="Y43" s="109">
        <f t="shared" si="57"/>
        <v>-0.19503546099290781</v>
      </c>
      <c r="Z43" s="109">
        <f t="shared" si="58"/>
        <v>-6.6079295154185536E-3</v>
      </c>
      <c r="AA43" s="109">
        <f t="shared" si="59"/>
        <v>-9.0909090909090939E-2</v>
      </c>
      <c r="AB43" s="109">
        <f t="shared" si="60"/>
        <v>-5.3658536585365901E-2</v>
      </c>
      <c r="AC43" s="109">
        <f t="shared" si="61"/>
        <v>-0.10051546391752575</v>
      </c>
      <c r="AD43" s="109">
        <f t="shared" si="62"/>
        <v>-0.14040114613180521</v>
      </c>
      <c r="AE43" s="109">
        <f t="shared" si="63"/>
        <v>5.6666666666666643E-2</v>
      </c>
      <c r="AF43" s="119">
        <f t="shared" si="65"/>
        <v>-7.9617044262248596E-2</v>
      </c>
      <c r="AG43" s="119">
        <f t="shared" si="66"/>
        <v>-5.9477119992007554E-2</v>
      </c>
      <c r="AJ43" s="72"/>
      <c r="AK43" s="127">
        <f t="shared" ref="AK43:AP43" si="71">SUM(AK44:AK45)</f>
        <v>291</v>
      </c>
      <c r="AL43" s="128">
        <f t="shared" si="71"/>
        <v>268</v>
      </c>
      <c r="AM43" s="129">
        <f t="shared" si="71"/>
        <v>247</v>
      </c>
      <c r="AN43" s="129">
        <f t="shared" si="71"/>
        <v>228</v>
      </c>
      <c r="AO43" s="129">
        <f t="shared" si="71"/>
        <v>212</v>
      </c>
      <c r="AP43" s="130">
        <f t="shared" si="71"/>
        <v>197</v>
      </c>
      <c r="AQ43" s="70"/>
      <c r="AR43" s="70"/>
      <c r="AS43" s="67" t="s">
        <v>238</v>
      </c>
    </row>
    <row r="44" spans="1:45">
      <c r="A44" s="68" t="str">
        <f t="shared" si="27"/>
        <v>RB_Oth_P_SS+</v>
      </c>
      <c r="B44" s="68" t="s">
        <v>235</v>
      </c>
      <c r="C44" s="68" t="s">
        <v>230</v>
      </c>
      <c r="D44" s="68" t="s">
        <v>225</v>
      </c>
      <c r="E44" s="68" t="s">
        <v>227</v>
      </c>
      <c r="I44" s="150" t="s">
        <v>112</v>
      </c>
      <c r="J44" s="151"/>
      <c r="K44" s="152"/>
      <c r="L44" s="151">
        <v>530</v>
      </c>
      <c r="M44" s="151">
        <v>430</v>
      </c>
      <c r="N44" s="151">
        <v>429</v>
      </c>
      <c r="O44" s="151">
        <v>355</v>
      </c>
      <c r="P44" s="151">
        <v>365</v>
      </c>
      <c r="Q44" s="151">
        <v>323</v>
      </c>
      <c r="R44" s="151">
        <v>291</v>
      </c>
      <c r="S44" s="151">
        <v>263</v>
      </c>
      <c r="T44" s="151">
        <v>222</v>
      </c>
      <c r="U44" s="153">
        <v>235</v>
      </c>
      <c r="V44" s="72"/>
      <c r="W44" s="109">
        <f t="shared" si="55"/>
        <v>-0.18867924528301883</v>
      </c>
      <c r="X44" s="109">
        <f t="shared" si="56"/>
        <v>-2.3255813953488857E-3</v>
      </c>
      <c r="Y44" s="109">
        <f t="shared" si="57"/>
        <v>-0.17249417249417254</v>
      </c>
      <c r="Z44" s="109">
        <f t="shared" si="58"/>
        <v>2.8169014084507005E-2</v>
      </c>
      <c r="AA44" s="109">
        <f t="shared" si="59"/>
        <v>-0.1150684931506849</v>
      </c>
      <c r="AB44" s="109">
        <f t="shared" si="60"/>
        <v>-9.9071207430340591E-2</v>
      </c>
      <c r="AC44" s="109">
        <f t="shared" si="61"/>
        <v>-9.6219931271477654E-2</v>
      </c>
      <c r="AD44" s="109">
        <f t="shared" si="62"/>
        <v>-0.155893536121673</v>
      </c>
      <c r="AE44" s="109">
        <f t="shared" si="63"/>
        <v>5.8558558558558627E-2</v>
      </c>
      <c r="AF44" s="110">
        <f t="shared" si="65"/>
        <v>-8.2558288278183414E-2</v>
      </c>
      <c r="AG44" s="110">
        <f t="shared" si="66"/>
        <v>-7.3156529066233156E-2</v>
      </c>
      <c r="AJ44" s="72"/>
      <c r="AK44" s="75">
        <f t="shared" ref="AK44:AP45" si="72">AK16+AK30</f>
        <v>214</v>
      </c>
      <c r="AL44" s="90">
        <f t="shared" si="72"/>
        <v>195</v>
      </c>
      <c r="AM44" s="91">
        <f t="shared" si="72"/>
        <v>178</v>
      </c>
      <c r="AN44" s="91">
        <f t="shared" si="72"/>
        <v>162</v>
      </c>
      <c r="AO44" s="91">
        <f t="shared" si="72"/>
        <v>148</v>
      </c>
      <c r="AP44" s="92">
        <f t="shared" si="72"/>
        <v>135</v>
      </c>
      <c r="AQ44" s="70"/>
      <c r="AR44" s="70"/>
      <c r="AS44" s="67" t="s">
        <v>238</v>
      </c>
    </row>
    <row r="45" spans="1:45">
      <c r="A45" s="68" t="str">
        <f t="shared" si="27"/>
        <v>RB_Oth_P/EP_SS-</v>
      </c>
      <c r="B45" s="68" t="s">
        <v>235</v>
      </c>
      <c r="C45" s="68" t="s">
        <v>230</v>
      </c>
      <c r="D45" s="68" t="s">
        <v>231</v>
      </c>
      <c r="E45" s="68" t="s">
        <v>228</v>
      </c>
      <c r="I45" s="150" t="s">
        <v>113</v>
      </c>
      <c r="J45" s="151"/>
      <c r="K45" s="152"/>
      <c r="L45" s="151">
        <v>170</v>
      </c>
      <c r="M45" s="151">
        <v>114</v>
      </c>
      <c r="N45" s="151">
        <v>135</v>
      </c>
      <c r="O45" s="151">
        <v>99</v>
      </c>
      <c r="P45" s="151">
        <v>86</v>
      </c>
      <c r="Q45" s="151">
        <v>87</v>
      </c>
      <c r="R45" s="151">
        <v>97</v>
      </c>
      <c r="S45" s="151">
        <v>86</v>
      </c>
      <c r="T45" s="151">
        <v>78</v>
      </c>
      <c r="U45" s="153">
        <v>82</v>
      </c>
      <c r="V45" s="72"/>
      <c r="W45" s="109">
        <f t="shared" si="55"/>
        <v>-0.3294117647058824</v>
      </c>
      <c r="X45" s="109">
        <f t="shared" si="56"/>
        <v>0.18421052631578938</v>
      </c>
      <c r="Y45" s="109">
        <f t="shared" si="57"/>
        <v>-0.26666666666666672</v>
      </c>
      <c r="Z45" s="109">
        <f t="shared" si="58"/>
        <v>-0.13131313131313127</v>
      </c>
      <c r="AA45" s="109">
        <f t="shared" si="59"/>
        <v>1.1627906976744207E-2</v>
      </c>
      <c r="AB45" s="109">
        <f t="shared" si="60"/>
        <v>0.11494252873563227</v>
      </c>
      <c r="AC45" s="109">
        <f t="shared" si="61"/>
        <v>-0.11340206185567014</v>
      </c>
      <c r="AD45" s="109">
        <f t="shared" si="62"/>
        <v>-9.3023255813953543E-2</v>
      </c>
      <c r="AE45" s="109">
        <f t="shared" si="63"/>
        <v>5.1282051282051322E-2</v>
      </c>
      <c r="AF45" s="110">
        <f t="shared" si="65"/>
        <v>-6.3528207449454102E-2</v>
      </c>
      <c r="AG45" s="110">
        <f t="shared" si="66"/>
        <v>-1.0050184412985025E-2</v>
      </c>
      <c r="AJ45" s="72"/>
      <c r="AK45" s="75">
        <f t="shared" si="72"/>
        <v>77</v>
      </c>
      <c r="AL45" s="90">
        <f t="shared" si="72"/>
        <v>73</v>
      </c>
      <c r="AM45" s="91">
        <f t="shared" si="72"/>
        <v>69</v>
      </c>
      <c r="AN45" s="91">
        <f t="shared" si="72"/>
        <v>66</v>
      </c>
      <c r="AO45" s="91">
        <f t="shared" si="72"/>
        <v>64</v>
      </c>
      <c r="AP45" s="92">
        <f t="shared" si="72"/>
        <v>62</v>
      </c>
      <c r="AQ45" s="70"/>
      <c r="AR45" s="70"/>
      <c r="AS45" s="67" t="s">
        <v>238</v>
      </c>
    </row>
    <row r="46" spans="1:45" ht="16" thickBot="1">
      <c r="A46" s="68" t="str">
        <f t="shared" si="27"/>
        <v>RB_All_total_</v>
      </c>
      <c r="B46" s="68" t="s">
        <v>235</v>
      </c>
      <c r="C46" s="68" t="s">
        <v>233</v>
      </c>
      <c r="D46" s="68" t="s">
        <v>232</v>
      </c>
      <c r="I46" s="166" t="s">
        <v>114</v>
      </c>
      <c r="J46" s="167"/>
      <c r="K46" s="168"/>
      <c r="L46" s="167">
        <v>4526</v>
      </c>
      <c r="M46" s="167">
        <v>4409</v>
      </c>
      <c r="N46" s="167">
        <v>4453</v>
      </c>
      <c r="O46" s="167">
        <v>4244</v>
      </c>
      <c r="P46" s="167">
        <v>3846</v>
      </c>
      <c r="Q46" s="167">
        <v>3391</v>
      </c>
      <c r="R46" s="167">
        <v>3283</v>
      </c>
      <c r="S46" s="167">
        <v>3049</v>
      </c>
      <c r="T46" s="167">
        <v>2800</v>
      </c>
      <c r="U46" s="169">
        <v>2698</v>
      </c>
      <c r="V46" s="72"/>
      <c r="W46" s="102">
        <f t="shared" si="55"/>
        <v>-2.5850640742377418E-2</v>
      </c>
      <c r="X46" s="102">
        <f t="shared" si="56"/>
        <v>9.9795872079837533E-3</v>
      </c>
      <c r="Y46" s="102">
        <f t="shared" si="57"/>
        <v>-4.6934650797215371E-2</v>
      </c>
      <c r="Z46" s="102">
        <f t="shared" si="58"/>
        <v>-9.3779453345900099E-2</v>
      </c>
      <c r="AA46" s="102">
        <f t="shared" si="59"/>
        <v>-0.11830473218928761</v>
      </c>
      <c r="AB46" s="102">
        <f t="shared" si="60"/>
        <v>-3.1849012090828688E-2</v>
      </c>
      <c r="AC46" s="102">
        <f t="shared" si="61"/>
        <v>-7.1276271702710892E-2</v>
      </c>
      <c r="AD46" s="102">
        <f t="shared" si="62"/>
        <v>-8.1666120039357137E-2</v>
      </c>
      <c r="AE46" s="102">
        <f t="shared" si="63"/>
        <v>-3.6428571428571477E-2</v>
      </c>
      <c r="AF46" s="102">
        <f t="shared" si="65"/>
        <v>-5.5123318347584993E-2</v>
      </c>
      <c r="AG46" s="102">
        <f t="shared" si="66"/>
        <v>-5.5304993815367048E-2</v>
      </c>
      <c r="AJ46" s="72"/>
      <c r="AK46" s="134">
        <f t="shared" ref="AK46:AP46" si="73">SUM(AK34,AK38)</f>
        <v>2610</v>
      </c>
      <c r="AL46" s="135">
        <f t="shared" si="73"/>
        <v>2527</v>
      </c>
      <c r="AM46" s="136">
        <f t="shared" si="73"/>
        <v>2447</v>
      </c>
      <c r="AN46" s="136">
        <f t="shared" si="73"/>
        <v>2373</v>
      </c>
      <c r="AO46" s="136">
        <f t="shared" si="73"/>
        <v>2304</v>
      </c>
      <c r="AP46" s="137">
        <f t="shared" si="73"/>
        <v>2239</v>
      </c>
      <c r="AQ46" s="138"/>
      <c r="AR46" s="70"/>
      <c r="AS46" s="67" t="s">
        <v>238</v>
      </c>
    </row>
    <row r="47" spans="1:45" ht="16">
      <c r="A47" s="68"/>
      <c r="B47" s="68" t="s">
        <v>238</v>
      </c>
      <c r="C47" s="68" t="s">
        <v>238</v>
      </c>
      <c r="D47" s="68" t="s">
        <v>238</v>
      </c>
      <c r="E47" s="68" t="s">
        <v>238</v>
      </c>
      <c r="H47" s="68" t="s">
        <v>238</v>
      </c>
      <c r="I47" s="170" t="s">
        <v>117</v>
      </c>
      <c r="J47" s="85"/>
      <c r="K47" s="139"/>
      <c r="L47" s="85"/>
      <c r="M47" s="85"/>
      <c r="N47" s="85"/>
      <c r="O47" s="85"/>
      <c r="P47" s="85"/>
      <c r="Q47" s="85"/>
      <c r="R47" s="85"/>
      <c r="S47" s="85"/>
      <c r="T47" s="85"/>
      <c r="U47" s="85"/>
      <c r="V47" s="72"/>
      <c r="W47" s="140"/>
      <c r="X47" s="140"/>
      <c r="Y47" s="140"/>
      <c r="Z47" s="140"/>
      <c r="AA47" s="140"/>
      <c r="AB47" s="140"/>
      <c r="AC47" s="140"/>
      <c r="AD47" s="140"/>
      <c r="AE47" s="140"/>
      <c r="AF47" s="124"/>
      <c r="AG47" s="124"/>
      <c r="AJ47" s="72"/>
      <c r="AK47" s="85"/>
      <c r="AL47" s="141"/>
      <c r="AM47" s="142"/>
      <c r="AN47" s="142"/>
      <c r="AO47" s="142"/>
      <c r="AP47" s="143"/>
      <c r="AQ47" s="70"/>
      <c r="AR47" s="70"/>
      <c r="AS47" s="67" t="s">
        <v>238</v>
      </c>
    </row>
    <row r="48" spans="1:45">
      <c r="A48" s="68" t="str">
        <f t="shared" ref="A48" si="74">B48&amp;"_"&amp;C48&amp;"_"&amp;D48&amp;"_"&amp;E48</f>
        <v>LB(civil)_New__</v>
      </c>
      <c r="B48" s="68" t="s">
        <v>244</v>
      </c>
      <c r="C48" s="68" t="s">
        <v>102</v>
      </c>
      <c r="I48" s="98" t="s">
        <v>102</v>
      </c>
      <c r="J48" s="98"/>
      <c r="K48" s="99"/>
      <c r="L48" s="100">
        <v>593</v>
      </c>
      <c r="M48" s="100">
        <v>625</v>
      </c>
      <c r="N48" s="100">
        <v>614</v>
      </c>
      <c r="O48" s="100">
        <v>533</v>
      </c>
      <c r="P48" s="100">
        <v>507</v>
      </c>
      <c r="Q48" s="100">
        <v>473</v>
      </c>
      <c r="R48" s="100">
        <v>503</v>
      </c>
      <c r="S48" s="100">
        <v>490</v>
      </c>
      <c r="T48" s="100">
        <v>386</v>
      </c>
      <c r="U48" s="100">
        <v>357</v>
      </c>
      <c r="V48" s="72"/>
      <c r="W48" s="101">
        <f t="shared" ref="W48:W60" si="75">IFERROR(M48/L48-100%,0)</f>
        <v>5.3962900505902134E-2</v>
      </c>
      <c r="X48" s="101">
        <f t="shared" ref="X48:X60" si="76">IFERROR(N48/M48-100%,0)</f>
        <v>-1.7599999999999949E-2</v>
      </c>
      <c r="Y48" s="101">
        <f t="shared" ref="Y48:Y60" si="77">IFERROR(O48/N48-100%,0)</f>
        <v>-0.13192182410423448</v>
      </c>
      <c r="Z48" s="101">
        <f t="shared" ref="Z48:Z60" si="78">IFERROR(P48/O48-100%,0)</f>
        <v>-4.8780487804878092E-2</v>
      </c>
      <c r="AA48" s="101">
        <f t="shared" ref="AA48:AA60" si="79">IFERROR(Q48/P48-100%,0)</f>
        <v>-6.7061143984220917E-2</v>
      </c>
      <c r="AB48" s="101">
        <f t="shared" ref="AB48:AB60" si="80">IFERROR(R48/Q48-100%,0)</f>
        <v>6.3424947145877431E-2</v>
      </c>
      <c r="AC48" s="101">
        <f t="shared" ref="AC48:AC60" si="81">IFERROR(S48/R48-100%,0)</f>
        <v>-2.5844930417495027E-2</v>
      </c>
      <c r="AD48" s="101">
        <f t="shared" ref="AD48:AD60" si="82">IFERROR(T48/S48-100%,0)</f>
        <v>-0.21224489795918366</v>
      </c>
      <c r="AE48" s="101">
        <f t="shared" ref="AE48:AE60" si="83">IFERROR(U48/T48-100%,0)</f>
        <v>-7.5129533678756522E-2</v>
      </c>
      <c r="AF48" s="144">
        <f>AVERAGE(W48:AE48)</f>
        <v>-5.124388558855434E-2</v>
      </c>
      <c r="AG48" s="101">
        <f>AVERAGE(AB48:AE48)</f>
        <v>-6.2448603727389446E-2</v>
      </c>
      <c r="AJ48" s="72"/>
      <c r="AK48" s="104">
        <f t="shared" ref="AK48" si="84">SUM(AK49:AK51)</f>
        <v>341</v>
      </c>
      <c r="AL48" s="105">
        <f t="shared" ref="AL48:AP48" si="85">SUM(AL49:AL51)</f>
        <v>325</v>
      </c>
      <c r="AM48" s="106">
        <f t="shared" si="85"/>
        <v>310</v>
      </c>
      <c r="AN48" s="106">
        <f t="shared" si="85"/>
        <v>295</v>
      </c>
      <c r="AO48" s="106">
        <f t="shared" si="85"/>
        <v>282</v>
      </c>
      <c r="AP48" s="107">
        <f t="shared" si="85"/>
        <v>269</v>
      </c>
      <c r="AQ48" s="70"/>
      <c r="AR48" s="70"/>
      <c r="AS48" s="67" t="s">
        <v>238</v>
      </c>
    </row>
    <row r="49" spans="1:45">
      <c r="A49" s="68" t="str">
        <f t="shared" si="27"/>
        <v>LB(civil)_New_P_SS+</v>
      </c>
      <c r="B49" s="68" t="s">
        <v>244</v>
      </c>
      <c r="C49" s="68" t="s">
        <v>102</v>
      </c>
      <c r="D49" s="68" t="s">
        <v>225</v>
      </c>
      <c r="E49" s="68" t="s">
        <v>227</v>
      </c>
      <c r="I49" s="70" t="s">
        <v>103</v>
      </c>
      <c r="J49" s="70"/>
      <c r="K49" s="71"/>
      <c r="L49" s="108">
        <v>283</v>
      </c>
      <c r="M49" s="108">
        <v>294</v>
      </c>
      <c r="N49" s="108">
        <v>276</v>
      </c>
      <c r="O49" s="108">
        <v>259</v>
      </c>
      <c r="P49" s="108">
        <v>264</v>
      </c>
      <c r="Q49" s="108">
        <v>232</v>
      </c>
      <c r="R49" s="108">
        <v>254</v>
      </c>
      <c r="S49" s="108">
        <v>229</v>
      </c>
      <c r="T49" s="108">
        <v>211</v>
      </c>
      <c r="U49" s="108">
        <v>196</v>
      </c>
      <c r="V49" s="72"/>
      <c r="W49" s="109">
        <f t="shared" si="75"/>
        <v>3.8869257950530089E-2</v>
      </c>
      <c r="X49" s="109">
        <f t="shared" si="76"/>
        <v>-6.1224489795918324E-2</v>
      </c>
      <c r="Y49" s="109">
        <f t="shared" si="77"/>
        <v>-6.1594202898550776E-2</v>
      </c>
      <c r="Z49" s="109">
        <f t="shared" si="78"/>
        <v>1.9305019305019266E-2</v>
      </c>
      <c r="AA49" s="109">
        <f t="shared" si="79"/>
        <v>-0.12121212121212122</v>
      </c>
      <c r="AB49" s="109">
        <f t="shared" si="80"/>
        <v>9.4827586206896575E-2</v>
      </c>
      <c r="AC49" s="109">
        <f t="shared" si="81"/>
        <v>-9.8425196850393748E-2</v>
      </c>
      <c r="AD49" s="109">
        <f t="shared" si="82"/>
        <v>-7.8602620087336206E-2</v>
      </c>
      <c r="AE49" s="109">
        <f t="shared" si="83"/>
        <v>-7.1090047393364886E-2</v>
      </c>
      <c r="AF49" s="145">
        <f t="shared" ref="AF49:AF60" si="86">AVERAGE(W49:AE49)</f>
        <v>-3.7682979419471026E-2</v>
      </c>
      <c r="AG49" s="109">
        <f t="shared" ref="AG49:AG60" si="87">AVERAGE(AB49:AE49)</f>
        <v>-3.8322569531049566E-2</v>
      </c>
      <c r="AJ49" s="72"/>
      <c r="AK49" s="112">
        <f>ROUND(U49*(100%+$AF49),0)</f>
        <v>189</v>
      </c>
      <c r="AL49" s="113">
        <f t="shared" ref="AL49:AP49" si="88">ROUND(AK49*(100%+$AF49),0)</f>
        <v>182</v>
      </c>
      <c r="AM49" s="114">
        <f t="shared" si="88"/>
        <v>175</v>
      </c>
      <c r="AN49" s="114">
        <f t="shared" si="88"/>
        <v>168</v>
      </c>
      <c r="AO49" s="114">
        <f t="shared" si="88"/>
        <v>162</v>
      </c>
      <c r="AP49" s="115">
        <f t="shared" si="88"/>
        <v>156</v>
      </c>
      <c r="AQ49" s="70"/>
      <c r="AR49" s="70"/>
      <c r="AS49" s="67" t="s">
        <v>238</v>
      </c>
    </row>
    <row r="50" spans="1:45">
      <c r="A50" s="68" t="str">
        <f t="shared" si="27"/>
        <v>LB(civil)_New_P_SS-</v>
      </c>
      <c r="B50" s="68" t="s">
        <v>244</v>
      </c>
      <c r="C50" s="68" t="s">
        <v>102</v>
      </c>
      <c r="D50" s="68" t="s">
        <v>225</v>
      </c>
      <c r="E50" s="68" t="s">
        <v>228</v>
      </c>
      <c r="I50" s="70" t="s">
        <v>104</v>
      </c>
      <c r="J50" s="70"/>
      <c r="K50" s="71"/>
      <c r="L50" s="108">
        <v>261</v>
      </c>
      <c r="M50" s="108">
        <v>282</v>
      </c>
      <c r="N50" s="108">
        <v>288</v>
      </c>
      <c r="O50" s="108">
        <v>243</v>
      </c>
      <c r="P50" s="108">
        <v>212</v>
      </c>
      <c r="Q50" s="108">
        <v>210</v>
      </c>
      <c r="R50" s="108">
        <v>225</v>
      </c>
      <c r="S50" s="108">
        <v>217</v>
      </c>
      <c r="T50" s="108">
        <v>146</v>
      </c>
      <c r="U50" s="108">
        <v>142</v>
      </c>
      <c r="V50" s="72"/>
      <c r="W50" s="109">
        <f t="shared" si="75"/>
        <v>8.0459770114942541E-2</v>
      </c>
      <c r="X50" s="109">
        <f t="shared" si="76"/>
        <v>2.1276595744680771E-2</v>
      </c>
      <c r="Y50" s="109">
        <f t="shared" si="77"/>
        <v>-0.15625</v>
      </c>
      <c r="Z50" s="109">
        <f t="shared" si="78"/>
        <v>-0.12757201646090532</v>
      </c>
      <c r="AA50" s="109">
        <f t="shared" si="79"/>
        <v>-9.4339622641509413E-3</v>
      </c>
      <c r="AB50" s="109">
        <f t="shared" si="80"/>
        <v>7.1428571428571397E-2</v>
      </c>
      <c r="AC50" s="109">
        <f t="shared" si="81"/>
        <v>-3.5555555555555562E-2</v>
      </c>
      <c r="AD50" s="109">
        <f t="shared" si="82"/>
        <v>-0.32718894009216593</v>
      </c>
      <c r="AE50" s="109">
        <f t="shared" si="83"/>
        <v>-2.7397260273972601E-2</v>
      </c>
      <c r="AF50" s="145">
        <f t="shared" si="86"/>
        <v>-5.6692533039839517E-2</v>
      </c>
      <c r="AG50" s="109">
        <f t="shared" si="87"/>
        <v>-7.9678296123280673E-2</v>
      </c>
      <c r="AJ50" s="72"/>
      <c r="AK50" s="112">
        <f>ROUND(U50*(100%+$AF50),0)</f>
        <v>134</v>
      </c>
      <c r="AL50" s="113">
        <f t="shared" ref="AL50:AP51" si="89">ROUND(AK50*(100%+$AF50),0)</f>
        <v>126</v>
      </c>
      <c r="AM50" s="114">
        <f t="shared" si="89"/>
        <v>119</v>
      </c>
      <c r="AN50" s="114">
        <f t="shared" si="89"/>
        <v>112</v>
      </c>
      <c r="AO50" s="114">
        <f t="shared" si="89"/>
        <v>106</v>
      </c>
      <c r="AP50" s="115">
        <f t="shared" si="89"/>
        <v>100</v>
      </c>
      <c r="AQ50" s="70"/>
      <c r="AR50" s="70"/>
      <c r="AS50" s="67" t="s">
        <v>238</v>
      </c>
    </row>
    <row r="51" spans="1:45">
      <c r="A51" s="68" t="str">
        <f t="shared" si="27"/>
        <v>LB(civil)_New_EP_</v>
      </c>
      <c r="B51" s="68" t="s">
        <v>244</v>
      </c>
      <c r="C51" s="68" t="s">
        <v>102</v>
      </c>
      <c r="D51" s="68" t="s">
        <v>226</v>
      </c>
      <c r="I51" s="70" t="s">
        <v>105</v>
      </c>
      <c r="J51" s="70"/>
      <c r="K51" s="71"/>
      <c r="L51" s="108">
        <v>49</v>
      </c>
      <c r="M51" s="108">
        <v>49</v>
      </c>
      <c r="N51" s="108">
        <v>50</v>
      </c>
      <c r="O51" s="108">
        <v>31</v>
      </c>
      <c r="P51" s="108">
        <v>31</v>
      </c>
      <c r="Q51" s="108">
        <v>31</v>
      </c>
      <c r="R51" s="108">
        <v>24</v>
      </c>
      <c r="S51" s="108">
        <v>44</v>
      </c>
      <c r="T51" s="108">
        <v>29</v>
      </c>
      <c r="U51" s="108">
        <v>19</v>
      </c>
      <c r="V51" s="72"/>
      <c r="W51" s="109">
        <f t="shared" si="75"/>
        <v>0</v>
      </c>
      <c r="X51" s="109">
        <f t="shared" si="76"/>
        <v>2.0408163265306145E-2</v>
      </c>
      <c r="Y51" s="109">
        <f t="shared" si="77"/>
        <v>-0.38</v>
      </c>
      <c r="Z51" s="109">
        <f t="shared" si="78"/>
        <v>0</v>
      </c>
      <c r="AA51" s="109">
        <f t="shared" si="79"/>
        <v>0</v>
      </c>
      <c r="AB51" s="109">
        <f t="shared" si="80"/>
        <v>-0.22580645161290325</v>
      </c>
      <c r="AC51" s="109">
        <f t="shared" si="81"/>
        <v>0.83333333333333326</v>
      </c>
      <c r="AD51" s="109">
        <f t="shared" si="82"/>
        <v>-0.34090909090909094</v>
      </c>
      <c r="AE51" s="109">
        <f t="shared" si="83"/>
        <v>-0.34482758620689657</v>
      </c>
      <c r="AF51" s="145">
        <f t="shared" si="86"/>
        <v>-4.8644625792250151E-2</v>
      </c>
      <c r="AG51" s="109">
        <f t="shared" si="87"/>
        <v>-1.9552448848889376E-2</v>
      </c>
      <c r="AJ51" s="72"/>
      <c r="AK51" s="112">
        <f>ROUND(U51*(100%+$AF51),0)</f>
        <v>18</v>
      </c>
      <c r="AL51" s="113">
        <f t="shared" si="89"/>
        <v>17</v>
      </c>
      <c r="AM51" s="114">
        <f t="shared" si="89"/>
        <v>16</v>
      </c>
      <c r="AN51" s="114">
        <f t="shared" si="89"/>
        <v>15</v>
      </c>
      <c r="AO51" s="114">
        <f t="shared" si="89"/>
        <v>14</v>
      </c>
      <c r="AP51" s="115">
        <f t="shared" si="89"/>
        <v>13</v>
      </c>
      <c r="AQ51" s="70"/>
      <c r="AR51" s="70"/>
      <c r="AS51" s="67" t="s">
        <v>238</v>
      </c>
    </row>
    <row r="52" spans="1:45">
      <c r="A52" s="68" t="str">
        <f t="shared" si="27"/>
        <v>LB(civil)_R/Oth_total_</v>
      </c>
      <c r="B52" s="68" t="s">
        <v>244</v>
      </c>
      <c r="C52" s="68" t="s">
        <v>234</v>
      </c>
      <c r="D52" s="68" t="s">
        <v>232</v>
      </c>
      <c r="I52" s="98" t="s">
        <v>106</v>
      </c>
      <c r="J52" s="98"/>
      <c r="K52" s="99"/>
      <c r="L52" s="100">
        <v>261</v>
      </c>
      <c r="M52" s="100">
        <v>258</v>
      </c>
      <c r="N52" s="100">
        <v>241</v>
      </c>
      <c r="O52" s="100">
        <v>238</v>
      </c>
      <c r="P52" s="100">
        <v>235</v>
      </c>
      <c r="Q52" s="100">
        <v>303</v>
      </c>
      <c r="R52" s="100">
        <v>264</v>
      </c>
      <c r="S52" s="100">
        <v>260</v>
      </c>
      <c r="T52" s="100">
        <v>228</v>
      </c>
      <c r="U52" s="100">
        <v>217</v>
      </c>
      <c r="V52" s="72"/>
      <c r="W52" s="101">
        <f t="shared" si="75"/>
        <v>-1.1494252873563204E-2</v>
      </c>
      <c r="X52" s="101">
        <f t="shared" si="76"/>
        <v>-6.589147286821706E-2</v>
      </c>
      <c r="Y52" s="101">
        <f t="shared" si="77"/>
        <v>-1.2448132780082943E-2</v>
      </c>
      <c r="Z52" s="101">
        <f t="shared" si="78"/>
        <v>-1.2605042016806678E-2</v>
      </c>
      <c r="AA52" s="101">
        <f t="shared" si="79"/>
        <v>0.28936170212765955</v>
      </c>
      <c r="AB52" s="101">
        <f t="shared" si="80"/>
        <v>-0.12871287128712872</v>
      </c>
      <c r="AC52" s="101">
        <f t="shared" si="81"/>
        <v>-1.5151515151515138E-2</v>
      </c>
      <c r="AD52" s="101">
        <f t="shared" si="82"/>
        <v>-0.12307692307692308</v>
      </c>
      <c r="AE52" s="101">
        <f t="shared" si="83"/>
        <v>-4.8245614035087758E-2</v>
      </c>
      <c r="AF52" s="144">
        <f t="shared" si="86"/>
        <v>-1.425156910685167E-2</v>
      </c>
      <c r="AG52" s="101">
        <f t="shared" si="87"/>
        <v>-7.8796730887663674E-2</v>
      </c>
      <c r="AJ52" s="72"/>
      <c r="AK52" s="104">
        <f t="shared" ref="AK52" si="90">SUM(AK53,AK57)</f>
        <v>218</v>
      </c>
      <c r="AL52" s="105">
        <f t="shared" ref="AL52:AP52" si="91">SUM(AL53,AL57)</f>
        <v>220</v>
      </c>
      <c r="AM52" s="106">
        <f t="shared" si="91"/>
        <v>222</v>
      </c>
      <c r="AN52" s="106">
        <f t="shared" si="91"/>
        <v>225</v>
      </c>
      <c r="AO52" s="106">
        <f t="shared" si="91"/>
        <v>228</v>
      </c>
      <c r="AP52" s="107">
        <f t="shared" si="91"/>
        <v>231</v>
      </c>
      <c r="AQ52" s="70"/>
      <c r="AR52" s="70"/>
      <c r="AS52" s="67" t="s">
        <v>238</v>
      </c>
    </row>
    <row r="53" spans="1:45">
      <c r="A53" s="68" t="str">
        <f t="shared" si="27"/>
        <v>LB(civil)_R_total_</v>
      </c>
      <c r="B53" s="68" t="s">
        <v>244</v>
      </c>
      <c r="C53" s="68" t="s">
        <v>229</v>
      </c>
      <c r="D53" s="68" t="s">
        <v>232</v>
      </c>
      <c r="I53" s="116" t="s">
        <v>107</v>
      </c>
      <c r="J53" s="116"/>
      <c r="K53" s="117"/>
      <c r="L53" s="118">
        <v>147</v>
      </c>
      <c r="M53" s="118">
        <v>141</v>
      </c>
      <c r="N53" s="118">
        <v>140</v>
      </c>
      <c r="O53" s="118">
        <v>131</v>
      </c>
      <c r="P53" s="118">
        <v>122</v>
      </c>
      <c r="Q53" s="118">
        <v>128</v>
      </c>
      <c r="R53" s="118">
        <v>110</v>
      </c>
      <c r="S53" s="118">
        <v>133</v>
      </c>
      <c r="T53" s="118">
        <v>107</v>
      </c>
      <c r="U53" s="118">
        <v>109</v>
      </c>
      <c r="V53" s="72"/>
      <c r="W53" s="109">
        <f t="shared" si="75"/>
        <v>-4.081632653061229E-2</v>
      </c>
      <c r="X53" s="109">
        <f t="shared" si="76"/>
        <v>-7.0921985815602939E-3</v>
      </c>
      <c r="Y53" s="109">
        <f t="shared" si="77"/>
        <v>-6.4285714285714279E-2</v>
      </c>
      <c r="Z53" s="109">
        <f t="shared" si="78"/>
        <v>-6.8702290076335881E-2</v>
      </c>
      <c r="AA53" s="109">
        <f t="shared" si="79"/>
        <v>4.9180327868852514E-2</v>
      </c>
      <c r="AB53" s="109">
        <f t="shared" si="80"/>
        <v>-0.140625</v>
      </c>
      <c r="AC53" s="109">
        <f t="shared" si="81"/>
        <v>0.20909090909090899</v>
      </c>
      <c r="AD53" s="109">
        <f t="shared" si="82"/>
        <v>-0.19548872180451127</v>
      </c>
      <c r="AE53" s="109">
        <f t="shared" si="83"/>
        <v>1.8691588785046731E-2</v>
      </c>
      <c r="AF53" s="144">
        <f t="shared" si="86"/>
        <v>-2.6671936170436197E-2</v>
      </c>
      <c r="AG53" s="109">
        <f t="shared" si="87"/>
        <v>-2.7082805982138886E-2</v>
      </c>
      <c r="AJ53" s="72"/>
      <c r="AK53" s="120">
        <f t="shared" ref="AK53" si="92">SUM(AK54:AK56)</f>
        <v>107</v>
      </c>
      <c r="AL53" s="121">
        <f t="shared" ref="AL53:AP53" si="93">SUM(AL54:AL56)</f>
        <v>106</v>
      </c>
      <c r="AM53" s="122">
        <f t="shared" si="93"/>
        <v>105</v>
      </c>
      <c r="AN53" s="122">
        <f t="shared" si="93"/>
        <v>104</v>
      </c>
      <c r="AO53" s="122">
        <f t="shared" si="93"/>
        <v>103</v>
      </c>
      <c r="AP53" s="123">
        <f t="shared" si="93"/>
        <v>102</v>
      </c>
      <c r="AQ53" s="70"/>
      <c r="AR53" s="70"/>
      <c r="AS53" s="67" t="s">
        <v>238</v>
      </c>
    </row>
    <row r="54" spans="1:45">
      <c r="A54" s="68" t="str">
        <f t="shared" si="27"/>
        <v>LB(civil)_R_P_SS+</v>
      </c>
      <c r="B54" s="68" t="s">
        <v>244</v>
      </c>
      <c r="C54" s="68" t="s">
        <v>229</v>
      </c>
      <c r="D54" s="68" t="s">
        <v>225</v>
      </c>
      <c r="E54" s="68" t="s">
        <v>227</v>
      </c>
      <c r="I54" s="70" t="s">
        <v>108</v>
      </c>
      <c r="J54" s="70"/>
      <c r="K54" s="71"/>
      <c r="L54" s="108">
        <v>90</v>
      </c>
      <c r="M54" s="108">
        <v>81</v>
      </c>
      <c r="N54" s="108">
        <v>83</v>
      </c>
      <c r="O54" s="108">
        <v>78</v>
      </c>
      <c r="P54" s="108">
        <v>78</v>
      </c>
      <c r="Q54" s="108">
        <v>81</v>
      </c>
      <c r="R54" s="108">
        <v>59</v>
      </c>
      <c r="S54" s="108">
        <v>80</v>
      </c>
      <c r="T54" s="108">
        <v>70</v>
      </c>
      <c r="U54" s="108">
        <v>76</v>
      </c>
      <c r="V54" s="72"/>
      <c r="W54" s="109">
        <f t="shared" si="75"/>
        <v>-9.9999999999999978E-2</v>
      </c>
      <c r="X54" s="109">
        <f t="shared" si="76"/>
        <v>2.4691358024691468E-2</v>
      </c>
      <c r="Y54" s="109">
        <f t="shared" si="77"/>
        <v>-6.0240963855421659E-2</v>
      </c>
      <c r="Z54" s="109">
        <f t="shared" si="78"/>
        <v>0</v>
      </c>
      <c r="AA54" s="109">
        <f t="shared" si="79"/>
        <v>3.8461538461538547E-2</v>
      </c>
      <c r="AB54" s="109">
        <f t="shared" si="80"/>
        <v>-0.27160493827160492</v>
      </c>
      <c r="AC54" s="109">
        <f t="shared" si="81"/>
        <v>0.35593220338983045</v>
      </c>
      <c r="AD54" s="109">
        <f t="shared" si="82"/>
        <v>-0.125</v>
      </c>
      <c r="AE54" s="109">
        <f t="shared" si="83"/>
        <v>8.5714285714285632E-2</v>
      </c>
      <c r="AF54" s="145">
        <f t="shared" si="86"/>
        <v>-5.782946281853385E-3</v>
      </c>
      <c r="AG54" s="109">
        <f t="shared" si="87"/>
        <v>1.1260387708127789E-2</v>
      </c>
      <c r="AJ54" s="72"/>
      <c r="AK54" s="112">
        <f>ROUND(U54*(100%+$AF54),0)</f>
        <v>76</v>
      </c>
      <c r="AL54" s="113">
        <f t="shared" ref="AL54:AP54" si="94">ROUND(AK54*(100%+$AF54),0)</f>
        <v>76</v>
      </c>
      <c r="AM54" s="114">
        <f t="shared" si="94"/>
        <v>76</v>
      </c>
      <c r="AN54" s="114">
        <f t="shared" si="94"/>
        <v>76</v>
      </c>
      <c r="AO54" s="114">
        <f t="shared" si="94"/>
        <v>76</v>
      </c>
      <c r="AP54" s="115">
        <f t="shared" si="94"/>
        <v>76</v>
      </c>
      <c r="AQ54" s="70"/>
      <c r="AR54" s="70"/>
      <c r="AS54" s="67" t="s">
        <v>238</v>
      </c>
    </row>
    <row r="55" spans="1:45">
      <c r="A55" s="68" t="str">
        <f t="shared" si="27"/>
        <v>LB(civil)_R_P_SS-</v>
      </c>
      <c r="B55" s="68" t="s">
        <v>244</v>
      </c>
      <c r="C55" s="68" t="s">
        <v>229</v>
      </c>
      <c r="D55" s="68" t="s">
        <v>225</v>
      </c>
      <c r="E55" s="68" t="s">
        <v>228</v>
      </c>
      <c r="I55" s="70" t="s">
        <v>109</v>
      </c>
      <c r="J55" s="70"/>
      <c r="K55" s="71"/>
      <c r="L55" s="108">
        <v>52</v>
      </c>
      <c r="M55" s="108">
        <v>59</v>
      </c>
      <c r="N55" s="108">
        <v>54</v>
      </c>
      <c r="O55" s="108">
        <v>48</v>
      </c>
      <c r="P55" s="108">
        <v>39</v>
      </c>
      <c r="Q55" s="108">
        <v>44</v>
      </c>
      <c r="R55" s="108">
        <v>42</v>
      </c>
      <c r="S55" s="108">
        <v>47</v>
      </c>
      <c r="T55" s="108">
        <v>34</v>
      </c>
      <c r="U55" s="108">
        <v>29</v>
      </c>
      <c r="V55" s="72"/>
      <c r="W55" s="109">
        <f t="shared" si="75"/>
        <v>0.13461538461538458</v>
      </c>
      <c r="X55" s="109">
        <f t="shared" si="76"/>
        <v>-8.4745762711864403E-2</v>
      </c>
      <c r="Y55" s="109">
        <f t="shared" si="77"/>
        <v>-0.11111111111111116</v>
      </c>
      <c r="Z55" s="109">
        <f t="shared" si="78"/>
        <v>-0.1875</v>
      </c>
      <c r="AA55" s="109">
        <f t="shared" si="79"/>
        <v>0.12820512820512819</v>
      </c>
      <c r="AB55" s="109">
        <f t="shared" si="80"/>
        <v>-4.5454545454545414E-2</v>
      </c>
      <c r="AC55" s="109">
        <f t="shared" si="81"/>
        <v>0.11904761904761907</v>
      </c>
      <c r="AD55" s="109">
        <f t="shared" si="82"/>
        <v>-0.27659574468085102</v>
      </c>
      <c r="AE55" s="109">
        <f t="shared" si="83"/>
        <v>-0.1470588235294118</v>
      </c>
      <c r="AF55" s="145">
        <f t="shared" si="86"/>
        <v>-5.2288650624405769E-2</v>
      </c>
      <c r="AG55" s="109">
        <f t="shared" si="87"/>
        <v>-8.751537365429729E-2</v>
      </c>
      <c r="AJ55" s="72"/>
      <c r="AK55" s="112">
        <f>ROUND(U55*(100%+$AF55),0)</f>
        <v>27</v>
      </c>
      <c r="AL55" s="113">
        <f>ROUND(AK55*(100%+$AF55),0)</f>
        <v>26</v>
      </c>
      <c r="AM55" s="114">
        <f>ROUND(AL55*(100%+$AF55),0)</f>
        <v>25</v>
      </c>
      <c r="AN55" s="114">
        <f>ROUND(AM55*(100%+$AF55),0)</f>
        <v>24</v>
      </c>
      <c r="AO55" s="114">
        <f>ROUND(AN55*(100%+$AF55),0)</f>
        <v>23</v>
      </c>
      <c r="AP55" s="115">
        <f>ROUND(AO55*(100%+$AF55),0)</f>
        <v>22</v>
      </c>
      <c r="AQ55" s="70"/>
      <c r="AR55" s="70"/>
      <c r="AS55" s="67" t="s">
        <v>238</v>
      </c>
    </row>
    <row r="56" spans="1:45">
      <c r="A56" s="68" t="str">
        <f t="shared" si="27"/>
        <v>LB(civil)_R_EP_</v>
      </c>
      <c r="B56" s="68" t="s">
        <v>244</v>
      </c>
      <c r="C56" s="68" t="s">
        <v>229</v>
      </c>
      <c r="D56" s="68" t="s">
        <v>226</v>
      </c>
      <c r="I56" s="70" t="s">
        <v>110</v>
      </c>
      <c r="J56" s="70"/>
      <c r="K56" s="71"/>
      <c r="L56" s="108">
        <v>5</v>
      </c>
      <c r="M56" s="108">
        <v>1</v>
      </c>
      <c r="N56" s="108">
        <v>3</v>
      </c>
      <c r="O56" s="108">
        <v>5</v>
      </c>
      <c r="P56" s="108">
        <v>5</v>
      </c>
      <c r="Q56" s="108">
        <v>3</v>
      </c>
      <c r="R56" s="108">
        <v>9</v>
      </c>
      <c r="S56" s="108">
        <v>6</v>
      </c>
      <c r="T56" s="108">
        <v>3</v>
      </c>
      <c r="U56" s="108">
        <v>4</v>
      </c>
      <c r="V56" s="72"/>
      <c r="W56" s="109">
        <f t="shared" si="75"/>
        <v>-0.8</v>
      </c>
      <c r="X56" s="109">
        <f t="shared" si="76"/>
        <v>2</v>
      </c>
      <c r="Y56" s="109">
        <f t="shared" si="77"/>
        <v>0.66666666666666674</v>
      </c>
      <c r="Z56" s="109">
        <f t="shared" si="78"/>
        <v>0</v>
      </c>
      <c r="AA56" s="109">
        <f t="shared" si="79"/>
        <v>-0.4</v>
      </c>
      <c r="AB56" s="109">
        <f t="shared" si="80"/>
        <v>2</v>
      </c>
      <c r="AC56" s="109">
        <f t="shared" si="81"/>
        <v>-0.33333333333333337</v>
      </c>
      <c r="AD56" s="109">
        <f t="shared" si="82"/>
        <v>-0.5</v>
      </c>
      <c r="AE56" s="109">
        <f t="shared" si="83"/>
        <v>0.33333333333333326</v>
      </c>
      <c r="AF56" s="171">
        <f t="shared" si="86"/>
        <v>0.32962962962962966</v>
      </c>
      <c r="AG56" s="109">
        <f t="shared" si="87"/>
        <v>0.37499999999999994</v>
      </c>
      <c r="AJ56" s="72"/>
      <c r="AK56" s="112">
        <f>ROUND(SUM(AK54:AK55)*($AQ$56),0)</f>
        <v>4</v>
      </c>
      <c r="AL56" s="113">
        <f t="shared" ref="AL56:AP56" si="95">ROUND(SUM(AL54:AL55)*($AQ$56),0)</f>
        <v>4</v>
      </c>
      <c r="AM56" s="114">
        <f t="shared" si="95"/>
        <v>4</v>
      </c>
      <c r="AN56" s="114">
        <f t="shared" si="95"/>
        <v>4</v>
      </c>
      <c r="AO56" s="114">
        <f t="shared" si="95"/>
        <v>4</v>
      </c>
      <c r="AP56" s="115">
        <f t="shared" si="95"/>
        <v>4</v>
      </c>
      <c r="AQ56" s="172">
        <f>ROUND(U56/SUM(U54:U55),2)</f>
        <v>0.04</v>
      </c>
      <c r="AR56" s="173" t="s">
        <v>142</v>
      </c>
      <c r="AS56" s="67" t="s">
        <v>238</v>
      </c>
    </row>
    <row r="57" spans="1:45">
      <c r="A57" s="68" t="str">
        <f t="shared" si="27"/>
        <v>LB(civil)_Oth_total_</v>
      </c>
      <c r="B57" s="68" t="s">
        <v>244</v>
      </c>
      <c r="C57" s="68" t="s">
        <v>230</v>
      </c>
      <c r="D57" s="68" t="s">
        <v>232</v>
      </c>
      <c r="I57" s="124" t="s">
        <v>111</v>
      </c>
      <c r="J57" s="124"/>
      <c r="K57" s="125"/>
      <c r="L57" s="126">
        <v>114</v>
      </c>
      <c r="M57" s="126">
        <v>117</v>
      </c>
      <c r="N57" s="126">
        <v>101</v>
      </c>
      <c r="O57" s="126">
        <v>107</v>
      </c>
      <c r="P57" s="126">
        <v>113</v>
      </c>
      <c r="Q57" s="126">
        <v>175</v>
      </c>
      <c r="R57" s="126">
        <v>154</v>
      </c>
      <c r="S57" s="126">
        <v>127</v>
      </c>
      <c r="T57" s="126">
        <v>121</v>
      </c>
      <c r="U57" s="126">
        <v>108</v>
      </c>
      <c r="V57" s="72"/>
      <c r="W57" s="109">
        <f t="shared" si="75"/>
        <v>2.6315789473684292E-2</v>
      </c>
      <c r="X57" s="109">
        <f t="shared" si="76"/>
        <v>-0.13675213675213671</v>
      </c>
      <c r="Y57" s="109">
        <f t="shared" si="77"/>
        <v>5.9405940594059459E-2</v>
      </c>
      <c r="Z57" s="109">
        <f t="shared" si="78"/>
        <v>5.6074766355140193E-2</v>
      </c>
      <c r="AA57" s="109">
        <f t="shared" si="79"/>
        <v>0.54867256637168138</v>
      </c>
      <c r="AB57" s="109">
        <f t="shared" si="80"/>
        <v>-0.12</v>
      </c>
      <c r="AC57" s="109">
        <f t="shared" si="81"/>
        <v>-0.17532467532467533</v>
      </c>
      <c r="AD57" s="109">
        <f t="shared" si="82"/>
        <v>-4.7244094488189003E-2</v>
      </c>
      <c r="AE57" s="109">
        <f t="shared" si="83"/>
        <v>-0.1074380165289256</v>
      </c>
      <c r="AF57" s="144">
        <f t="shared" si="86"/>
        <v>1.1523348855626522E-2</v>
      </c>
      <c r="AG57" s="109">
        <f t="shared" si="87"/>
        <v>-0.11250169658544748</v>
      </c>
      <c r="AJ57" s="72"/>
      <c r="AK57" s="127">
        <f t="shared" ref="AK57" si="96">SUM(AK58:AK59)</f>
        <v>111</v>
      </c>
      <c r="AL57" s="128">
        <f t="shared" ref="AL57:AP57" si="97">SUM(AL58:AL59)</f>
        <v>114</v>
      </c>
      <c r="AM57" s="129">
        <f t="shared" si="97"/>
        <v>117</v>
      </c>
      <c r="AN57" s="129">
        <f t="shared" si="97"/>
        <v>121</v>
      </c>
      <c r="AO57" s="129">
        <f t="shared" si="97"/>
        <v>125</v>
      </c>
      <c r="AP57" s="130">
        <f t="shared" si="97"/>
        <v>129</v>
      </c>
      <c r="AQ57" s="70"/>
      <c r="AR57" s="70"/>
      <c r="AS57" s="67" t="s">
        <v>238</v>
      </c>
    </row>
    <row r="58" spans="1:45">
      <c r="A58" s="68" t="str">
        <f t="shared" si="27"/>
        <v>LB(civil)_Oth_P_SS+</v>
      </c>
      <c r="B58" s="68" t="s">
        <v>244</v>
      </c>
      <c r="C58" s="68" t="s">
        <v>230</v>
      </c>
      <c r="D58" s="68" t="s">
        <v>225</v>
      </c>
      <c r="E58" s="68" t="s">
        <v>227</v>
      </c>
      <c r="I58" s="70" t="s">
        <v>112</v>
      </c>
      <c r="J58" s="70"/>
      <c r="K58" s="71"/>
      <c r="L58" s="108">
        <v>92</v>
      </c>
      <c r="M58" s="108">
        <v>99</v>
      </c>
      <c r="N58" s="108">
        <v>75</v>
      </c>
      <c r="O58" s="108">
        <v>81</v>
      </c>
      <c r="P58" s="108">
        <v>86</v>
      </c>
      <c r="Q58" s="108">
        <v>141</v>
      </c>
      <c r="R58" s="108">
        <v>127</v>
      </c>
      <c r="S58" s="108">
        <v>104</v>
      </c>
      <c r="T58" s="108">
        <v>99</v>
      </c>
      <c r="U58" s="108">
        <v>100</v>
      </c>
      <c r="V58" s="72"/>
      <c r="W58" s="109">
        <f t="shared" si="75"/>
        <v>7.6086956521739024E-2</v>
      </c>
      <c r="X58" s="109">
        <f t="shared" si="76"/>
        <v>-0.24242424242424243</v>
      </c>
      <c r="Y58" s="109">
        <f t="shared" si="77"/>
        <v>8.0000000000000071E-2</v>
      </c>
      <c r="Z58" s="109">
        <f t="shared" si="78"/>
        <v>6.1728395061728447E-2</v>
      </c>
      <c r="AA58" s="109">
        <f t="shared" si="79"/>
        <v>0.63953488372093026</v>
      </c>
      <c r="AB58" s="109">
        <f t="shared" si="80"/>
        <v>-9.9290780141844004E-2</v>
      </c>
      <c r="AC58" s="109">
        <f t="shared" si="81"/>
        <v>-0.18110236220472442</v>
      </c>
      <c r="AD58" s="109">
        <f t="shared" si="82"/>
        <v>-4.8076923076923128E-2</v>
      </c>
      <c r="AE58" s="109">
        <f t="shared" si="83"/>
        <v>1.0101010101010166E-2</v>
      </c>
      <c r="AF58" s="145">
        <f t="shared" si="86"/>
        <v>3.2950770839741551E-2</v>
      </c>
      <c r="AG58" s="109">
        <f t="shared" si="87"/>
        <v>-7.9592263830620347E-2</v>
      </c>
      <c r="AJ58" s="72"/>
      <c r="AK58" s="112">
        <f>ROUND(U58*(100%+$AF58),0)</f>
        <v>103</v>
      </c>
      <c r="AL58" s="113">
        <f t="shared" ref="AL58:AP59" si="98">ROUND(AK58*(100%+$AF58),0)</f>
        <v>106</v>
      </c>
      <c r="AM58" s="114">
        <f t="shared" si="98"/>
        <v>109</v>
      </c>
      <c r="AN58" s="114">
        <f t="shared" si="98"/>
        <v>113</v>
      </c>
      <c r="AO58" s="114">
        <f t="shared" si="98"/>
        <v>117</v>
      </c>
      <c r="AP58" s="115">
        <f t="shared" si="98"/>
        <v>121</v>
      </c>
      <c r="AQ58" s="70"/>
      <c r="AR58" s="70"/>
      <c r="AS58" s="67" t="s">
        <v>238</v>
      </c>
    </row>
    <row r="59" spans="1:45">
      <c r="A59" s="68" t="str">
        <f t="shared" si="27"/>
        <v>LB(civil)_Oth_P/EP_SS-</v>
      </c>
      <c r="B59" s="68" t="s">
        <v>244</v>
      </c>
      <c r="C59" s="68" t="s">
        <v>230</v>
      </c>
      <c r="D59" s="68" t="s">
        <v>231</v>
      </c>
      <c r="E59" s="68" t="s">
        <v>228</v>
      </c>
      <c r="I59" s="70" t="s">
        <v>113</v>
      </c>
      <c r="J59" s="70"/>
      <c r="K59" s="71"/>
      <c r="L59" s="108">
        <v>22</v>
      </c>
      <c r="M59" s="108">
        <v>18</v>
      </c>
      <c r="N59" s="108">
        <v>26</v>
      </c>
      <c r="O59" s="108">
        <v>26</v>
      </c>
      <c r="P59" s="108">
        <v>27</v>
      </c>
      <c r="Q59" s="108">
        <v>34</v>
      </c>
      <c r="R59" s="108">
        <v>27</v>
      </c>
      <c r="S59" s="108">
        <v>23</v>
      </c>
      <c r="T59" s="108">
        <v>22</v>
      </c>
      <c r="U59" s="108">
        <v>8</v>
      </c>
      <c r="V59" s="72"/>
      <c r="W59" s="109">
        <f t="shared" si="75"/>
        <v>-0.18181818181818177</v>
      </c>
      <c r="X59" s="109">
        <f t="shared" si="76"/>
        <v>0.44444444444444442</v>
      </c>
      <c r="Y59" s="109">
        <f t="shared" si="77"/>
        <v>0</v>
      </c>
      <c r="Z59" s="109">
        <f t="shared" si="78"/>
        <v>3.8461538461538547E-2</v>
      </c>
      <c r="AA59" s="109">
        <f t="shared" si="79"/>
        <v>0.2592592592592593</v>
      </c>
      <c r="AB59" s="109">
        <f t="shared" si="80"/>
        <v>-0.20588235294117652</v>
      </c>
      <c r="AC59" s="109">
        <f t="shared" si="81"/>
        <v>-0.14814814814814814</v>
      </c>
      <c r="AD59" s="109">
        <f t="shared" si="82"/>
        <v>-4.3478260869565188E-2</v>
      </c>
      <c r="AE59" s="109">
        <f t="shared" si="83"/>
        <v>-0.63636363636363635</v>
      </c>
      <c r="AF59" s="145">
        <f t="shared" si="86"/>
        <v>-5.261392644171841E-2</v>
      </c>
      <c r="AG59" s="109">
        <f t="shared" si="87"/>
        <v>-0.25846809958063155</v>
      </c>
      <c r="AJ59" s="72"/>
      <c r="AK59" s="112">
        <f>ROUND(U59*(100%+$AF59),0)</f>
        <v>8</v>
      </c>
      <c r="AL59" s="113">
        <f t="shared" si="98"/>
        <v>8</v>
      </c>
      <c r="AM59" s="114">
        <f t="shared" si="98"/>
        <v>8</v>
      </c>
      <c r="AN59" s="114">
        <f t="shared" si="98"/>
        <v>8</v>
      </c>
      <c r="AO59" s="114">
        <f t="shared" si="98"/>
        <v>8</v>
      </c>
      <c r="AP59" s="115">
        <f t="shared" si="98"/>
        <v>8</v>
      </c>
      <c r="AQ59" s="70"/>
      <c r="AR59" s="70"/>
      <c r="AS59" s="67" t="s">
        <v>238</v>
      </c>
    </row>
    <row r="60" spans="1:45">
      <c r="A60" s="68" t="str">
        <f t="shared" si="27"/>
        <v>LB(civil)_All_total_</v>
      </c>
      <c r="B60" s="68" t="s">
        <v>244</v>
      </c>
      <c r="C60" s="68" t="s">
        <v>233</v>
      </c>
      <c r="D60" s="68" t="s">
        <v>232</v>
      </c>
      <c r="I60" s="131" t="s">
        <v>114</v>
      </c>
      <c r="J60" s="131"/>
      <c r="K60" s="132"/>
      <c r="L60" s="133">
        <v>854</v>
      </c>
      <c r="M60" s="133">
        <v>883</v>
      </c>
      <c r="N60" s="133">
        <v>855</v>
      </c>
      <c r="O60" s="133">
        <v>771</v>
      </c>
      <c r="P60" s="133">
        <v>742</v>
      </c>
      <c r="Q60" s="133">
        <v>776</v>
      </c>
      <c r="R60" s="133">
        <v>767</v>
      </c>
      <c r="S60" s="133">
        <v>750</v>
      </c>
      <c r="T60" s="133">
        <v>614</v>
      </c>
      <c r="U60" s="133">
        <v>574</v>
      </c>
      <c r="V60" s="72"/>
      <c r="W60" s="102">
        <f t="shared" si="75"/>
        <v>3.3957845433255196E-2</v>
      </c>
      <c r="X60" s="102">
        <f t="shared" si="76"/>
        <v>-3.17100792751982E-2</v>
      </c>
      <c r="Y60" s="102">
        <f t="shared" si="77"/>
        <v>-9.8245614035087692E-2</v>
      </c>
      <c r="Z60" s="102">
        <f t="shared" si="78"/>
        <v>-3.7613488975356657E-2</v>
      </c>
      <c r="AA60" s="102">
        <f t="shared" si="79"/>
        <v>4.5822102425876032E-2</v>
      </c>
      <c r="AB60" s="102">
        <f t="shared" si="80"/>
        <v>-1.1597938144329856E-2</v>
      </c>
      <c r="AC60" s="102">
        <f t="shared" si="81"/>
        <v>-2.2164276401564487E-2</v>
      </c>
      <c r="AD60" s="102">
        <f t="shared" si="82"/>
        <v>-0.18133333333333335</v>
      </c>
      <c r="AE60" s="102">
        <f t="shared" si="83"/>
        <v>-6.514657980456029E-2</v>
      </c>
      <c r="AF60" s="144">
        <f t="shared" si="86"/>
        <v>-4.089237356781103E-2</v>
      </c>
      <c r="AG60" s="102">
        <f t="shared" si="87"/>
        <v>-7.0060531920946995E-2</v>
      </c>
      <c r="AJ60" s="72"/>
      <c r="AK60" s="134">
        <f t="shared" ref="AK60" si="99">SUM(AK48,AK52)</f>
        <v>559</v>
      </c>
      <c r="AL60" s="135">
        <f t="shared" ref="AL60:AP60" si="100">SUM(AL48,AL52)</f>
        <v>545</v>
      </c>
      <c r="AM60" s="136">
        <f t="shared" si="100"/>
        <v>532</v>
      </c>
      <c r="AN60" s="136">
        <f t="shared" si="100"/>
        <v>520</v>
      </c>
      <c r="AO60" s="136">
        <f t="shared" si="100"/>
        <v>510</v>
      </c>
      <c r="AP60" s="137">
        <f t="shared" si="100"/>
        <v>500</v>
      </c>
      <c r="AQ60" s="138"/>
      <c r="AR60" s="70"/>
      <c r="AS60" s="67" t="s">
        <v>238</v>
      </c>
    </row>
    <row r="61" spans="1:45" ht="16">
      <c r="A61" s="68"/>
      <c r="B61" s="68" t="s">
        <v>238</v>
      </c>
      <c r="C61" s="68" t="s">
        <v>238</v>
      </c>
      <c r="D61" s="68" t="s">
        <v>238</v>
      </c>
      <c r="E61" s="68" t="s">
        <v>238</v>
      </c>
      <c r="H61" s="68" t="s">
        <v>238</v>
      </c>
      <c r="I61" s="170" t="s">
        <v>118</v>
      </c>
      <c r="J61" s="85"/>
      <c r="K61" s="139"/>
      <c r="L61" s="85"/>
      <c r="M61" s="85"/>
      <c r="N61" s="85"/>
      <c r="O61" s="85"/>
      <c r="P61" s="85"/>
      <c r="Q61" s="85"/>
      <c r="R61" s="85"/>
      <c r="S61" s="85"/>
      <c r="T61" s="85"/>
      <c r="U61" s="85"/>
      <c r="V61" s="72"/>
      <c r="W61" s="140"/>
      <c r="X61" s="140"/>
      <c r="Y61" s="140"/>
      <c r="Z61" s="140"/>
      <c r="AA61" s="140"/>
      <c r="AB61" s="140"/>
      <c r="AC61" s="140"/>
      <c r="AD61" s="140"/>
      <c r="AE61" s="140"/>
      <c r="AF61" s="124"/>
      <c r="AG61" s="124"/>
      <c r="AJ61" s="72"/>
      <c r="AK61" s="85"/>
      <c r="AL61" s="141"/>
      <c r="AM61" s="142"/>
      <c r="AN61" s="142"/>
      <c r="AO61" s="142"/>
      <c r="AP61" s="143"/>
      <c r="AQ61" s="70"/>
      <c r="AR61" s="70"/>
      <c r="AS61" s="67" t="s">
        <v>238</v>
      </c>
    </row>
    <row r="62" spans="1:45">
      <c r="A62" s="68" t="str">
        <f t="shared" ref="A62" si="101">B62&amp;"_"&amp;C62&amp;"_"&amp;D62&amp;"_"&amp;E62</f>
        <v>LB(penit)_New__</v>
      </c>
      <c r="B62" s="68" t="s">
        <v>245</v>
      </c>
      <c r="C62" s="68" t="s">
        <v>102</v>
      </c>
      <c r="I62" s="98" t="s">
        <v>102</v>
      </c>
      <c r="J62" s="98"/>
      <c r="K62" s="99"/>
      <c r="L62" s="100">
        <v>42</v>
      </c>
      <c r="M62" s="100">
        <v>31</v>
      </c>
      <c r="N62" s="100">
        <v>23</v>
      </c>
      <c r="O62" s="100">
        <v>20</v>
      </c>
      <c r="P62" s="100">
        <v>22</v>
      </c>
      <c r="Q62" s="100">
        <v>16</v>
      </c>
      <c r="R62" s="100">
        <v>33</v>
      </c>
      <c r="S62" s="100">
        <v>20</v>
      </c>
      <c r="T62" s="100">
        <v>18</v>
      </c>
      <c r="U62" s="100">
        <v>23</v>
      </c>
      <c r="V62" s="72"/>
      <c r="W62" s="101">
        <f t="shared" ref="W62:W74" si="102">IFERROR(M62/L62-100%,0)</f>
        <v>-0.26190476190476186</v>
      </c>
      <c r="X62" s="101">
        <f t="shared" ref="X62:X74" si="103">IFERROR(N62/M62-100%,0)</f>
        <v>-0.25806451612903225</v>
      </c>
      <c r="Y62" s="101">
        <f t="shared" ref="Y62:Y74" si="104">IFERROR(O62/N62-100%,0)</f>
        <v>-0.13043478260869568</v>
      </c>
      <c r="Z62" s="101">
        <f t="shared" ref="Z62:Z74" si="105">IFERROR(P62/O62-100%,0)</f>
        <v>0.10000000000000009</v>
      </c>
      <c r="AA62" s="101">
        <f t="shared" ref="AA62:AA74" si="106">IFERROR(Q62/P62-100%,0)</f>
        <v>-0.27272727272727271</v>
      </c>
      <c r="AB62" s="101">
        <f t="shared" ref="AB62:AB74" si="107">IFERROR(R62/Q62-100%,0)</f>
        <v>1.0625</v>
      </c>
      <c r="AC62" s="101">
        <f t="shared" ref="AC62:AC74" si="108">IFERROR(S62/R62-100%,0)</f>
        <v>-0.39393939393939392</v>
      </c>
      <c r="AD62" s="101">
        <f t="shared" ref="AD62:AD74" si="109">IFERROR(T62/S62-100%,0)</f>
        <v>-9.9999999999999978E-2</v>
      </c>
      <c r="AE62" s="101">
        <f t="shared" ref="AE62:AE74" si="110">IFERROR(U62/T62-100%,0)</f>
        <v>0.27777777777777768</v>
      </c>
      <c r="AF62" s="101">
        <f>AVERAGE(W62:AE62)</f>
        <v>2.5785611631801522E-3</v>
      </c>
      <c r="AG62" s="101">
        <f>AVERAGE(AB62:AE62)</f>
        <v>0.21158459595959594</v>
      </c>
      <c r="AJ62" s="72"/>
      <c r="AK62" s="104">
        <f t="shared" ref="AK62:AP62" si="111">SUM(AK63:AK65)</f>
        <v>22</v>
      </c>
      <c r="AL62" s="105">
        <f t="shared" si="111"/>
        <v>23</v>
      </c>
      <c r="AM62" s="106">
        <f t="shared" si="111"/>
        <v>24</v>
      </c>
      <c r="AN62" s="106">
        <f t="shared" si="111"/>
        <v>26</v>
      </c>
      <c r="AO62" s="106">
        <f t="shared" si="111"/>
        <v>27</v>
      </c>
      <c r="AP62" s="107">
        <f t="shared" si="111"/>
        <v>28</v>
      </c>
      <c r="AQ62" s="70"/>
      <c r="AR62" s="70"/>
      <c r="AS62" s="67" t="s">
        <v>238</v>
      </c>
    </row>
    <row r="63" spans="1:45">
      <c r="A63" s="68" t="str">
        <f t="shared" si="27"/>
        <v>LB(penit)_New_P_SS+</v>
      </c>
      <c r="B63" s="68" t="s">
        <v>245</v>
      </c>
      <c r="C63" s="68" t="s">
        <v>102</v>
      </c>
      <c r="D63" s="68" t="s">
        <v>225</v>
      </c>
      <c r="E63" s="68" t="s">
        <v>227</v>
      </c>
      <c r="I63" s="70" t="s">
        <v>103</v>
      </c>
      <c r="J63" s="70"/>
      <c r="K63" s="71"/>
      <c r="L63" s="108">
        <v>24</v>
      </c>
      <c r="M63" s="108">
        <v>13</v>
      </c>
      <c r="N63" s="108">
        <v>10</v>
      </c>
      <c r="O63" s="108">
        <v>16</v>
      </c>
      <c r="P63" s="108">
        <v>11</v>
      </c>
      <c r="Q63" s="108">
        <v>12</v>
      </c>
      <c r="R63" s="108">
        <v>23</v>
      </c>
      <c r="S63" s="108">
        <v>12</v>
      </c>
      <c r="T63" s="108">
        <v>13</v>
      </c>
      <c r="U63" s="108">
        <v>15</v>
      </c>
      <c r="V63" s="72"/>
      <c r="W63" s="109">
        <f t="shared" si="102"/>
        <v>-0.45833333333333337</v>
      </c>
      <c r="X63" s="109">
        <f t="shared" si="103"/>
        <v>-0.23076923076923073</v>
      </c>
      <c r="Y63" s="109">
        <f t="shared" si="104"/>
        <v>0.60000000000000009</v>
      </c>
      <c r="Z63" s="109">
        <f t="shared" si="105"/>
        <v>-0.3125</v>
      </c>
      <c r="AA63" s="109">
        <f t="shared" si="106"/>
        <v>9.0909090909090828E-2</v>
      </c>
      <c r="AB63" s="109">
        <f t="shared" si="107"/>
        <v>0.91666666666666674</v>
      </c>
      <c r="AC63" s="109">
        <f t="shared" si="108"/>
        <v>-0.47826086956521741</v>
      </c>
      <c r="AD63" s="109">
        <f t="shared" si="109"/>
        <v>8.3333333333333259E-2</v>
      </c>
      <c r="AE63" s="109">
        <f t="shared" si="110"/>
        <v>0.15384615384615374</v>
      </c>
      <c r="AF63" s="109">
        <f t="shared" ref="AF63:AF74" si="112">AVERAGE(W63:AE63)</f>
        <v>4.0543534565273681E-2</v>
      </c>
      <c r="AG63" s="109">
        <f t="shared" ref="AG63:AG74" si="113">AVERAGE(AB63:AE63)</f>
        <v>0.16889632107023408</v>
      </c>
      <c r="AJ63" s="72"/>
      <c r="AK63" s="112">
        <f>ROUND(U63*(100%+$AF63),0)</f>
        <v>16</v>
      </c>
      <c r="AL63" s="113">
        <f>ROUND(AK63*(100%+$AF63),0)</f>
        <v>17</v>
      </c>
      <c r="AM63" s="114">
        <f>ROUND(AL63*(100%+$AF63),0)</f>
        <v>18</v>
      </c>
      <c r="AN63" s="114">
        <f>ROUND(AM63*(100%+$AF63),0)</f>
        <v>19</v>
      </c>
      <c r="AO63" s="114">
        <f>ROUND(AN63*(100%+$AF63),0)</f>
        <v>20</v>
      </c>
      <c r="AP63" s="115">
        <f>ROUND(AO63*(100%+$AF63),0)</f>
        <v>21</v>
      </c>
      <c r="AQ63" s="174"/>
      <c r="AR63" s="70"/>
      <c r="AS63" s="67" t="s">
        <v>238</v>
      </c>
    </row>
    <row r="64" spans="1:45">
      <c r="A64" s="68" t="str">
        <f t="shared" si="27"/>
        <v>LB(penit)_New_P_SS-</v>
      </c>
      <c r="B64" s="68" t="s">
        <v>245</v>
      </c>
      <c r="C64" s="68" t="s">
        <v>102</v>
      </c>
      <c r="D64" s="68" t="s">
        <v>225</v>
      </c>
      <c r="E64" s="68" t="s">
        <v>228</v>
      </c>
      <c r="I64" s="70" t="s">
        <v>104</v>
      </c>
      <c r="J64" s="70"/>
      <c r="K64" s="71"/>
      <c r="L64" s="108">
        <v>17</v>
      </c>
      <c r="M64" s="108">
        <v>16</v>
      </c>
      <c r="N64" s="108">
        <v>12</v>
      </c>
      <c r="O64" s="108">
        <v>2</v>
      </c>
      <c r="P64" s="108">
        <v>8</v>
      </c>
      <c r="Q64" s="108">
        <v>2</v>
      </c>
      <c r="R64" s="108">
        <v>10</v>
      </c>
      <c r="S64" s="108">
        <v>8</v>
      </c>
      <c r="T64" s="108">
        <v>5</v>
      </c>
      <c r="U64" s="108">
        <v>8</v>
      </c>
      <c r="V64" s="72"/>
      <c r="W64" s="109">
        <f t="shared" si="102"/>
        <v>-5.8823529411764719E-2</v>
      </c>
      <c r="X64" s="109">
        <f t="shared" si="103"/>
        <v>-0.25</v>
      </c>
      <c r="Y64" s="109">
        <f t="shared" si="104"/>
        <v>-0.83333333333333337</v>
      </c>
      <c r="Z64" s="109">
        <f t="shared" si="105"/>
        <v>3</v>
      </c>
      <c r="AA64" s="109">
        <f t="shared" si="106"/>
        <v>-0.75</v>
      </c>
      <c r="AB64" s="109">
        <f t="shared" si="107"/>
        <v>4</v>
      </c>
      <c r="AC64" s="109">
        <f t="shared" si="108"/>
        <v>-0.19999999999999996</v>
      </c>
      <c r="AD64" s="109">
        <f t="shared" si="109"/>
        <v>-0.375</v>
      </c>
      <c r="AE64" s="109">
        <f t="shared" si="110"/>
        <v>0.60000000000000009</v>
      </c>
      <c r="AF64" s="109">
        <f t="shared" si="112"/>
        <v>0.57031590413943356</v>
      </c>
      <c r="AG64" s="109">
        <f t="shared" si="113"/>
        <v>1.0062500000000001</v>
      </c>
      <c r="AJ64" s="72"/>
      <c r="AK64" s="175">
        <f>ROUND(AK63*($AQ$64),0)</f>
        <v>6</v>
      </c>
      <c r="AL64" s="176">
        <f t="shared" ref="AL64:AP64" si="114">ROUND(AL63*($AQ$64),0)</f>
        <v>6</v>
      </c>
      <c r="AM64" s="177">
        <f t="shared" si="114"/>
        <v>6</v>
      </c>
      <c r="AN64" s="177">
        <f t="shared" si="114"/>
        <v>7</v>
      </c>
      <c r="AO64" s="177">
        <f t="shared" si="114"/>
        <v>7</v>
      </c>
      <c r="AP64" s="178">
        <f t="shared" si="114"/>
        <v>7</v>
      </c>
      <c r="AQ64" s="172">
        <f>ROUND(U64/SUM(U63:U64),2)</f>
        <v>0.35</v>
      </c>
      <c r="AR64" s="179" t="s">
        <v>143</v>
      </c>
      <c r="AS64" s="67" t="s">
        <v>238</v>
      </c>
    </row>
    <row r="65" spans="1:45">
      <c r="A65" s="68" t="str">
        <f t="shared" si="27"/>
        <v>LB(penit)_New_EP_</v>
      </c>
      <c r="B65" s="68" t="s">
        <v>245</v>
      </c>
      <c r="C65" s="68" t="s">
        <v>102</v>
      </c>
      <c r="D65" s="68" t="s">
        <v>226</v>
      </c>
      <c r="I65" s="70" t="s">
        <v>105</v>
      </c>
      <c r="J65" s="70"/>
      <c r="K65" s="71"/>
      <c r="L65" s="108">
        <v>1</v>
      </c>
      <c r="M65" s="108">
        <v>2</v>
      </c>
      <c r="N65" s="108">
        <v>1</v>
      </c>
      <c r="O65" s="108">
        <v>2</v>
      </c>
      <c r="P65" s="108">
        <v>3</v>
      </c>
      <c r="Q65" s="108">
        <v>2</v>
      </c>
      <c r="R65" s="108">
        <v>0</v>
      </c>
      <c r="S65" s="108">
        <v>0</v>
      </c>
      <c r="T65" s="108">
        <v>0</v>
      </c>
      <c r="U65" s="108">
        <v>0</v>
      </c>
      <c r="V65" s="72"/>
      <c r="W65" s="109">
        <f t="shared" si="102"/>
        <v>1</v>
      </c>
      <c r="X65" s="109">
        <f t="shared" si="103"/>
        <v>-0.5</v>
      </c>
      <c r="Y65" s="109">
        <f t="shared" si="104"/>
        <v>1</v>
      </c>
      <c r="Z65" s="109">
        <f t="shared" si="105"/>
        <v>0.5</v>
      </c>
      <c r="AA65" s="109">
        <f t="shared" si="106"/>
        <v>-0.33333333333333337</v>
      </c>
      <c r="AB65" s="109">
        <f t="shared" si="107"/>
        <v>-1</v>
      </c>
      <c r="AC65" s="109">
        <f t="shared" si="108"/>
        <v>0</v>
      </c>
      <c r="AD65" s="109">
        <f t="shared" si="109"/>
        <v>0</v>
      </c>
      <c r="AE65" s="109">
        <f t="shared" si="110"/>
        <v>0</v>
      </c>
      <c r="AF65" s="109">
        <f t="shared" si="112"/>
        <v>7.4074074074074056E-2</v>
      </c>
      <c r="AG65" s="109">
        <f t="shared" si="113"/>
        <v>-0.25</v>
      </c>
      <c r="AJ65" s="72"/>
      <c r="AK65" s="112">
        <f>ROUND(U65*(100%+$AF65),0)</f>
        <v>0</v>
      </c>
      <c r="AL65" s="113">
        <f>ROUND(AK65*(100%+$AF65),0)</f>
        <v>0</v>
      </c>
      <c r="AM65" s="114">
        <f>ROUND(AL65*(100%+$AF65),0)</f>
        <v>0</v>
      </c>
      <c r="AN65" s="114">
        <f>ROUND(AM65*(100%+$AF65),0)</f>
        <v>0</v>
      </c>
      <c r="AO65" s="114">
        <f>ROUND(AN65*(100%+$AF65),0)</f>
        <v>0</v>
      </c>
      <c r="AP65" s="115">
        <f>ROUND(AO65*(100%+$AF65),0)</f>
        <v>0</v>
      </c>
      <c r="AQ65" s="174"/>
      <c r="AR65" s="70"/>
      <c r="AS65" s="67" t="s">
        <v>238</v>
      </c>
    </row>
    <row r="66" spans="1:45">
      <c r="A66" s="68" t="str">
        <f t="shared" si="27"/>
        <v>LB(penit)_R/Oth_total_</v>
      </c>
      <c r="B66" s="68" t="s">
        <v>245</v>
      </c>
      <c r="C66" s="68" t="s">
        <v>234</v>
      </c>
      <c r="D66" s="68" t="s">
        <v>232</v>
      </c>
      <c r="I66" s="98" t="s">
        <v>106</v>
      </c>
      <c r="J66" s="98"/>
      <c r="K66" s="99"/>
      <c r="L66" s="100">
        <v>25</v>
      </c>
      <c r="M66" s="100">
        <v>25</v>
      </c>
      <c r="N66" s="100">
        <v>18</v>
      </c>
      <c r="O66" s="100">
        <v>25</v>
      </c>
      <c r="P66" s="100">
        <v>25</v>
      </c>
      <c r="Q66" s="100">
        <v>28</v>
      </c>
      <c r="R66" s="100">
        <v>43</v>
      </c>
      <c r="S66" s="100">
        <v>38</v>
      </c>
      <c r="T66" s="100">
        <v>26</v>
      </c>
      <c r="U66" s="100">
        <v>28</v>
      </c>
      <c r="V66" s="72"/>
      <c r="W66" s="101">
        <f t="shared" si="102"/>
        <v>0</v>
      </c>
      <c r="X66" s="101">
        <f t="shared" si="103"/>
        <v>-0.28000000000000003</v>
      </c>
      <c r="Y66" s="101">
        <f t="shared" si="104"/>
        <v>0.38888888888888884</v>
      </c>
      <c r="Z66" s="101">
        <f t="shared" si="105"/>
        <v>0</v>
      </c>
      <c r="AA66" s="101">
        <f t="shared" si="106"/>
        <v>0.12000000000000011</v>
      </c>
      <c r="AB66" s="101">
        <f t="shared" si="107"/>
        <v>0.53571428571428581</v>
      </c>
      <c r="AC66" s="101">
        <f t="shared" si="108"/>
        <v>-0.11627906976744184</v>
      </c>
      <c r="AD66" s="101">
        <f t="shared" si="109"/>
        <v>-0.31578947368421051</v>
      </c>
      <c r="AE66" s="101">
        <f t="shared" si="110"/>
        <v>7.6923076923076872E-2</v>
      </c>
      <c r="AF66" s="101">
        <f t="shared" si="112"/>
        <v>4.5495300897177696E-2</v>
      </c>
      <c r="AG66" s="101">
        <f t="shared" si="113"/>
        <v>4.5142204796427582E-2</v>
      </c>
      <c r="AJ66" s="72"/>
      <c r="AK66" s="104">
        <f t="shared" ref="AK66" si="115">SUM(AK67,AK71)</f>
        <v>34</v>
      </c>
      <c r="AL66" s="105">
        <f t="shared" ref="AL66:AP66" si="116">SUM(AL67,AL71)</f>
        <v>40</v>
      </c>
      <c r="AM66" s="106">
        <f t="shared" si="116"/>
        <v>43</v>
      </c>
      <c r="AN66" s="106">
        <f t="shared" si="116"/>
        <v>50</v>
      </c>
      <c r="AO66" s="106">
        <f t="shared" si="116"/>
        <v>62</v>
      </c>
      <c r="AP66" s="107">
        <f t="shared" si="116"/>
        <v>71</v>
      </c>
      <c r="AQ66" s="174"/>
      <c r="AR66" s="70"/>
      <c r="AS66" s="67" t="s">
        <v>238</v>
      </c>
    </row>
    <row r="67" spans="1:45">
      <c r="A67" s="68" t="str">
        <f t="shared" si="27"/>
        <v>LB(penit)_R_total_</v>
      </c>
      <c r="B67" s="68" t="s">
        <v>245</v>
      </c>
      <c r="C67" s="68" t="s">
        <v>229</v>
      </c>
      <c r="D67" s="68" t="s">
        <v>232</v>
      </c>
      <c r="I67" s="116" t="s">
        <v>107</v>
      </c>
      <c r="J67" s="116"/>
      <c r="K67" s="117"/>
      <c r="L67" s="118">
        <v>16</v>
      </c>
      <c r="M67" s="118">
        <v>12</v>
      </c>
      <c r="N67" s="118">
        <v>13</v>
      </c>
      <c r="O67" s="118">
        <v>14</v>
      </c>
      <c r="P67" s="118">
        <v>7</v>
      </c>
      <c r="Q67" s="118">
        <v>9</v>
      </c>
      <c r="R67" s="118">
        <v>28</v>
      </c>
      <c r="S67" s="118">
        <v>10</v>
      </c>
      <c r="T67" s="118">
        <v>6</v>
      </c>
      <c r="U67" s="118">
        <v>9</v>
      </c>
      <c r="V67" s="72"/>
      <c r="W67" s="109">
        <f t="shared" si="102"/>
        <v>-0.25</v>
      </c>
      <c r="X67" s="109">
        <f t="shared" si="103"/>
        <v>8.3333333333333259E-2</v>
      </c>
      <c r="Y67" s="109">
        <f t="shared" si="104"/>
        <v>7.6923076923076872E-2</v>
      </c>
      <c r="Z67" s="109">
        <f t="shared" si="105"/>
        <v>-0.5</v>
      </c>
      <c r="AA67" s="109">
        <f t="shared" si="106"/>
        <v>0.28571428571428581</v>
      </c>
      <c r="AB67" s="109">
        <f t="shared" si="107"/>
        <v>2.1111111111111112</v>
      </c>
      <c r="AC67" s="109">
        <f t="shared" si="108"/>
        <v>-0.64285714285714279</v>
      </c>
      <c r="AD67" s="109">
        <f t="shared" si="109"/>
        <v>-0.4</v>
      </c>
      <c r="AE67" s="109">
        <f t="shared" si="110"/>
        <v>0.5</v>
      </c>
      <c r="AF67" s="109">
        <f t="shared" si="112"/>
        <v>0.14046940713607381</v>
      </c>
      <c r="AG67" s="109">
        <f t="shared" si="113"/>
        <v>0.39206349206349211</v>
      </c>
      <c r="AJ67" s="72"/>
      <c r="AK67" s="120">
        <f t="shared" ref="AK67" si="117">SUM(AK68:AK70)</f>
        <v>11</v>
      </c>
      <c r="AL67" s="121">
        <f t="shared" ref="AL67:AP67" si="118">SUM(AL68:AL70)</f>
        <v>13</v>
      </c>
      <c r="AM67" s="122">
        <f t="shared" si="118"/>
        <v>14</v>
      </c>
      <c r="AN67" s="122">
        <f t="shared" si="118"/>
        <v>16</v>
      </c>
      <c r="AO67" s="122">
        <f t="shared" si="118"/>
        <v>20</v>
      </c>
      <c r="AP67" s="123">
        <f t="shared" si="118"/>
        <v>23</v>
      </c>
      <c r="AQ67" s="174"/>
      <c r="AR67" s="70"/>
      <c r="AS67" s="67" t="s">
        <v>238</v>
      </c>
    </row>
    <row r="68" spans="1:45">
      <c r="A68" s="68" t="str">
        <f t="shared" si="27"/>
        <v>LB(penit)_R_P_SS+</v>
      </c>
      <c r="B68" s="68" t="s">
        <v>245</v>
      </c>
      <c r="C68" s="68" t="s">
        <v>229</v>
      </c>
      <c r="D68" s="68" t="s">
        <v>225</v>
      </c>
      <c r="E68" s="68" t="s">
        <v>227</v>
      </c>
      <c r="I68" s="70" t="s">
        <v>108</v>
      </c>
      <c r="J68" s="70"/>
      <c r="K68" s="71"/>
      <c r="L68" s="108">
        <v>12</v>
      </c>
      <c r="M68" s="108">
        <v>8</v>
      </c>
      <c r="N68" s="108">
        <v>10</v>
      </c>
      <c r="O68" s="108">
        <v>8</v>
      </c>
      <c r="P68" s="108">
        <v>6</v>
      </c>
      <c r="Q68" s="108">
        <v>5</v>
      </c>
      <c r="R68" s="108">
        <v>22</v>
      </c>
      <c r="S68" s="108">
        <v>9</v>
      </c>
      <c r="T68" s="108">
        <v>5</v>
      </c>
      <c r="U68" s="108">
        <v>5</v>
      </c>
      <c r="V68" s="72"/>
      <c r="W68" s="109">
        <f t="shared" si="102"/>
        <v>-0.33333333333333337</v>
      </c>
      <c r="X68" s="109">
        <f t="shared" si="103"/>
        <v>0.25</v>
      </c>
      <c r="Y68" s="109">
        <f t="shared" si="104"/>
        <v>-0.19999999999999996</v>
      </c>
      <c r="Z68" s="109">
        <f t="shared" si="105"/>
        <v>-0.25</v>
      </c>
      <c r="AA68" s="109">
        <f t="shared" si="106"/>
        <v>-0.16666666666666663</v>
      </c>
      <c r="AB68" s="109">
        <f t="shared" si="107"/>
        <v>3.4000000000000004</v>
      </c>
      <c r="AC68" s="109">
        <f t="shared" si="108"/>
        <v>-0.59090909090909083</v>
      </c>
      <c r="AD68" s="109">
        <f t="shared" si="109"/>
        <v>-0.44444444444444442</v>
      </c>
      <c r="AE68" s="109">
        <f t="shared" si="110"/>
        <v>0</v>
      </c>
      <c r="AF68" s="109">
        <f t="shared" si="112"/>
        <v>0.18496071829405167</v>
      </c>
      <c r="AG68" s="109">
        <f t="shared" si="113"/>
        <v>0.59116161616161622</v>
      </c>
      <c r="AJ68" s="72"/>
      <c r="AK68" s="112">
        <f>ROUND(U68*(100%+$AF68),0)</f>
        <v>6</v>
      </c>
      <c r="AL68" s="113">
        <f t="shared" ref="AL68:AP68" si="119">ROUND(AK68*(100%+$AF68),0)</f>
        <v>7</v>
      </c>
      <c r="AM68" s="114">
        <f t="shared" si="119"/>
        <v>8</v>
      </c>
      <c r="AN68" s="114">
        <f t="shared" si="119"/>
        <v>9</v>
      </c>
      <c r="AO68" s="114">
        <f t="shared" si="119"/>
        <v>11</v>
      </c>
      <c r="AP68" s="115">
        <f t="shared" si="119"/>
        <v>13</v>
      </c>
      <c r="AQ68" s="174"/>
      <c r="AR68" s="70"/>
      <c r="AS68" s="67" t="s">
        <v>238</v>
      </c>
    </row>
    <row r="69" spans="1:45">
      <c r="A69" s="68" t="str">
        <f t="shared" si="27"/>
        <v>LB(penit)_R_P_SS-</v>
      </c>
      <c r="B69" s="68" t="s">
        <v>245</v>
      </c>
      <c r="C69" s="68" t="s">
        <v>229</v>
      </c>
      <c r="D69" s="68" t="s">
        <v>225</v>
      </c>
      <c r="E69" s="68" t="s">
        <v>228</v>
      </c>
      <c r="I69" s="70" t="s">
        <v>109</v>
      </c>
      <c r="J69" s="70"/>
      <c r="K69" s="71"/>
      <c r="L69" s="108">
        <v>3</v>
      </c>
      <c r="M69" s="108">
        <v>4</v>
      </c>
      <c r="N69" s="108">
        <v>3</v>
      </c>
      <c r="O69" s="108">
        <v>6</v>
      </c>
      <c r="P69" s="108">
        <v>1</v>
      </c>
      <c r="Q69" s="108">
        <v>3</v>
      </c>
      <c r="R69" s="108">
        <v>6</v>
      </c>
      <c r="S69" s="108">
        <v>1</v>
      </c>
      <c r="T69" s="108">
        <v>1</v>
      </c>
      <c r="U69" s="108">
        <v>4</v>
      </c>
      <c r="V69" s="72"/>
      <c r="W69" s="109">
        <f t="shared" si="102"/>
        <v>0.33333333333333326</v>
      </c>
      <c r="X69" s="109">
        <f t="shared" si="103"/>
        <v>-0.25</v>
      </c>
      <c r="Y69" s="109">
        <f t="shared" si="104"/>
        <v>1</v>
      </c>
      <c r="Z69" s="109">
        <f t="shared" si="105"/>
        <v>-0.83333333333333337</v>
      </c>
      <c r="AA69" s="109">
        <f t="shared" si="106"/>
        <v>2</v>
      </c>
      <c r="AB69" s="109">
        <f t="shared" si="107"/>
        <v>1</v>
      </c>
      <c r="AC69" s="109">
        <f t="shared" si="108"/>
        <v>-0.83333333333333337</v>
      </c>
      <c r="AD69" s="109">
        <f t="shared" si="109"/>
        <v>0</v>
      </c>
      <c r="AE69" s="109">
        <f t="shared" si="110"/>
        <v>3</v>
      </c>
      <c r="AF69" s="109">
        <f t="shared" si="112"/>
        <v>0.60185185185185175</v>
      </c>
      <c r="AG69" s="109">
        <f t="shared" si="113"/>
        <v>0.79166666666666663</v>
      </c>
      <c r="AJ69" s="72"/>
      <c r="AK69" s="175">
        <f>ROUND(AK68*($AQ$69),0)</f>
        <v>5</v>
      </c>
      <c r="AL69" s="176">
        <f t="shared" ref="AL69:AP69" si="120">ROUND(AL68*($AQ$69),0)</f>
        <v>6</v>
      </c>
      <c r="AM69" s="177">
        <f t="shared" si="120"/>
        <v>6</v>
      </c>
      <c r="AN69" s="177">
        <f t="shared" si="120"/>
        <v>7</v>
      </c>
      <c r="AO69" s="177">
        <f t="shared" si="120"/>
        <v>9</v>
      </c>
      <c r="AP69" s="178">
        <f t="shared" si="120"/>
        <v>10</v>
      </c>
      <c r="AQ69" s="172">
        <f>ROUND(U69/U68,2)</f>
        <v>0.8</v>
      </c>
      <c r="AR69" s="173" t="s">
        <v>144</v>
      </c>
      <c r="AS69" s="67" t="s">
        <v>238</v>
      </c>
    </row>
    <row r="70" spans="1:45">
      <c r="A70" s="68" t="str">
        <f t="shared" si="27"/>
        <v>LB(penit)_R_EP_</v>
      </c>
      <c r="B70" s="68" t="s">
        <v>245</v>
      </c>
      <c r="C70" s="68" t="s">
        <v>229</v>
      </c>
      <c r="D70" s="68" t="s">
        <v>226</v>
      </c>
      <c r="I70" s="70" t="s">
        <v>110</v>
      </c>
      <c r="J70" s="70"/>
      <c r="K70" s="71"/>
      <c r="L70" s="108">
        <v>1</v>
      </c>
      <c r="M70" s="108">
        <v>0</v>
      </c>
      <c r="N70" s="108">
        <v>0</v>
      </c>
      <c r="O70" s="108">
        <v>0</v>
      </c>
      <c r="P70" s="108">
        <v>0</v>
      </c>
      <c r="Q70" s="108">
        <v>1</v>
      </c>
      <c r="R70" s="108">
        <v>0</v>
      </c>
      <c r="S70" s="108">
        <v>0</v>
      </c>
      <c r="T70" s="108">
        <v>0</v>
      </c>
      <c r="U70" s="108">
        <v>0</v>
      </c>
      <c r="V70" s="72"/>
      <c r="W70" s="109">
        <f t="shared" si="102"/>
        <v>-1</v>
      </c>
      <c r="X70" s="109">
        <f t="shared" si="103"/>
        <v>0</v>
      </c>
      <c r="Y70" s="109">
        <f t="shared" si="104"/>
        <v>0</v>
      </c>
      <c r="Z70" s="109">
        <f t="shared" si="105"/>
        <v>0</v>
      </c>
      <c r="AA70" s="109">
        <f t="shared" si="106"/>
        <v>0</v>
      </c>
      <c r="AB70" s="109">
        <f t="shared" si="107"/>
        <v>-1</v>
      </c>
      <c r="AC70" s="109">
        <f t="shared" si="108"/>
        <v>0</v>
      </c>
      <c r="AD70" s="109">
        <f t="shared" si="109"/>
        <v>0</v>
      </c>
      <c r="AE70" s="109">
        <f t="shared" si="110"/>
        <v>0</v>
      </c>
      <c r="AF70" s="109">
        <f t="shared" si="112"/>
        <v>-0.22222222222222221</v>
      </c>
      <c r="AG70" s="109">
        <f t="shared" si="113"/>
        <v>-0.25</v>
      </c>
      <c r="AJ70" s="72"/>
      <c r="AK70" s="112">
        <f>ROUND(U70*(100%+$AF70),0)</f>
        <v>0</v>
      </c>
      <c r="AL70" s="113">
        <f>ROUND(AK70*(100%+$AF70),0)</f>
        <v>0</v>
      </c>
      <c r="AM70" s="114">
        <f>ROUND(AL70*(100%+$AF70),0)</f>
        <v>0</v>
      </c>
      <c r="AN70" s="114">
        <f>ROUND(AM70*(100%+$AF70),0)</f>
        <v>0</v>
      </c>
      <c r="AO70" s="114">
        <f>ROUND(AN70*(100%+$AF70),0)</f>
        <v>0</v>
      </c>
      <c r="AP70" s="115">
        <f>ROUND(AO70*(100%+$AF70),0)</f>
        <v>0</v>
      </c>
      <c r="AQ70" s="174"/>
      <c r="AR70" s="70"/>
      <c r="AS70" s="67" t="s">
        <v>238</v>
      </c>
    </row>
    <row r="71" spans="1:45">
      <c r="A71" s="68" t="str">
        <f t="shared" si="27"/>
        <v>LB(penit)_Oth_total_</v>
      </c>
      <c r="B71" s="68" t="s">
        <v>245</v>
      </c>
      <c r="C71" s="68" t="s">
        <v>230</v>
      </c>
      <c r="D71" s="68" t="s">
        <v>232</v>
      </c>
      <c r="I71" s="124" t="s">
        <v>111</v>
      </c>
      <c r="J71" s="124"/>
      <c r="K71" s="125"/>
      <c r="L71" s="126">
        <v>9</v>
      </c>
      <c r="M71" s="126">
        <v>13</v>
      </c>
      <c r="N71" s="126">
        <v>5</v>
      </c>
      <c r="O71" s="126">
        <v>11</v>
      </c>
      <c r="P71" s="126">
        <v>18</v>
      </c>
      <c r="Q71" s="126">
        <v>19</v>
      </c>
      <c r="R71" s="126">
        <v>15</v>
      </c>
      <c r="S71" s="126">
        <v>28</v>
      </c>
      <c r="T71" s="126">
        <v>20</v>
      </c>
      <c r="U71" s="126">
        <v>19</v>
      </c>
      <c r="V71" s="72"/>
      <c r="W71" s="109">
        <f t="shared" si="102"/>
        <v>0.44444444444444442</v>
      </c>
      <c r="X71" s="109">
        <f t="shared" si="103"/>
        <v>-0.61538461538461542</v>
      </c>
      <c r="Y71" s="109">
        <f t="shared" si="104"/>
        <v>1.2000000000000002</v>
      </c>
      <c r="Z71" s="109">
        <f t="shared" si="105"/>
        <v>0.63636363636363646</v>
      </c>
      <c r="AA71" s="109">
        <f t="shared" si="106"/>
        <v>5.555555555555558E-2</v>
      </c>
      <c r="AB71" s="109">
        <f t="shared" si="107"/>
        <v>-0.21052631578947367</v>
      </c>
      <c r="AC71" s="109">
        <f t="shared" si="108"/>
        <v>0.8666666666666667</v>
      </c>
      <c r="AD71" s="109">
        <f t="shared" si="109"/>
        <v>-0.2857142857142857</v>
      </c>
      <c r="AE71" s="109">
        <f t="shared" si="110"/>
        <v>-5.0000000000000044E-2</v>
      </c>
      <c r="AF71" s="109">
        <f t="shared" si="112"/>
        <v>0.22682278734910316</v>
      </c>
      <c r="AG71" s="109">
        <f t="shared" si="113"/>
        <v>8.010651629072682E-2</v>
      </c>
      <c r="AJ71" s="72"/>
      <c r="AK71" s="127">
        <f t="shared" ref="AK71" si="121">SUM(AK72:AK73)</f>
        <v>23</v>
      </c>
      <c r="AL71" s="128">
        <f t="shared" ref="AL71:AP71" si="122">SUM(AL72:AL73)</f>
        <v>27</v>
      </c>
      <c r="AM71" s="129">
        <f t="shared" si="122"/>
        <v>29</v>
      </c>
      <c r="AN71" s="129">
        <f t="shared" si="122"/>
        <v>34</v>
      </c>
      <c r="AO71" s="129">
        <f t="shared" si="122"/>
        <v>42</v>
      </c>
      <c r="AP71" s="130">
        <f t="shared" si="122"/>
        <v>48</v>
      </c>
      <c r="AQ71" s="174"/>
      <c r="AR71" s="70"/>
      <c r="AS71" s="67" t="s">
        <v>238</v>
      </c>
    </row>
    <row r="72" spans="1:45">
      <c r="A72" s="68" t="str">
        <f t="shared" si="27"/>
        <v>LB(penit)_Oth_P_SS+</v>
      </c>
      <c r="B72" s="68" t="s">
        <v>245</v>
      </c>
      <c r="C72" s="68" t="s">
        <v>230</v>
      </c>
      <c r="D72" s="68" t="s">
        <v>225</v>
      </c>
      <c r="E72" s="68" t="s">
        <v>227</v>
      </c>
      <c r="I72" s="70" t="s">
        <v>112</v>
      </c>
      <c r="J72" s="70"/>
      <c r="K72" s="71"/>
      <c r="L72" s="108">
        <v>8</v>
      </c>
      <c r="M72" s="108">
        <v>10</v>
      </c>
      <c r="N72" s="108">
        <v>3</v>
      </c>
      <c r="O72" s="108">
        <v>9</v>
      </c>
      <c r="P72" s="108">
        <v>16</v>
      </c>
      <c r="Q72" s="108">
        <v>17</v>
      </c>
      <c r="R72" s="108">
        <v>15</v>
      </c>
      <c r="S72" s="108">
        <v>27</v>
      </c>
      <c r="T72" s="108">
        <v>19</v>
      </c>
      <c r="U72" s="108">
        <v>19</v>
      </c>
      <c r="V72" s="72"/>
      <c r="W72" s="109">
        <f t="shared" si="102"/>
        <v>0.25</v>
      </c>
      <c r="X72" s="109">
        <f t="shared" si="103"/>
        <v>-0.7</v>
      </c>
      <c r="Y72" s="109">
        <f t="shared" si="104"/>
        <v>2</v>
      </c>
      <c r="Z72" s="109">
        <f t="shared" si="105"/>
        <v>0.77777777777777768</v>
      </c>
      <c r="AA72" s="109">
        <f t="shared" si="106"/>
        <v>6.25E-2</v>
      </c>
      <c r="AB72" s="109">
        <f t="shared" si="107"/>
        <v>-0.11764705882352944</v>
      </c>
      <c r="AC72" s="109">
        <f t="shared" si="108"/>
        <v>0.8</v>
      </c>
      <c r="AD72" s="109">
        <f t="shared" si="109"/>
        <v>-0.29629629629629628</v>
      </c>
      <c r="AE72" s="109">
        <f t="shared" si="110"/>
        <v>0</v>
      </c>
      <c r="AF72" s="109">
        <f t="shared" si="112"/>
        <v>0.30848160251755025</v>
      </c>
      <c r="AG72" s="109">
        <f t="shared" si="113"/>
        <v>9.6514161220043582E-2</v>
      </c>
      <c r="AJ72" s="72"/>
      <c r="AK72" s="175">
        <f>ROUND(AK67*($AQ$72),0)</f>
        <v>23</v>
      </c>
      <c r="AL72" s="176">
        <f t="shared" ref="AL72:AP72" si="123">ROUND(AL67*($AQ$72),0)</f>
        <v>27</v>
      </c>
      <c r="AM72" s="177">
        <f t="shared" si="123"/>
        <v>29</v>
      </c>
      <c r="AN72" s="177">
        <f t="shared" si="123"/>
        <v>34</v>
      </c>
      <c r="AO72" s="177">
        <f t="shared" si="123"/>
        <v>42</v>
      </c>
      <c r="AP72" s="178">
        <f t="shared" si="123"/>
        <v>48</v>
      </c>
      <c r="AQ72" s="172">
        <f>ROUND(U72/U67,1)</f>
        <v>2.1</v>
      </c>
      <c r="AR72" s="173" t="s">
        <v>145</v>
      </c>
      <c r="AS72" s="67" t="s">
        <v>238</v>
      </c>
    </row>
    <row r="73" spans="1:45">
      <c r="A73" s="68" t="str">
        <f t="shared" si="27"/>
        <v>LB(penit)_Oth_P/EP_SS-</v>
      </c>
      <c r="B73" s="68" t="s">
        <v>245</v>
      </c>
      <c r="C73" s="68" t="s">
        <v>230</v>
      </c>
      <c r="D73" s="68" t="s">
        <v>231</v>
      </c>
      <c r="E73" s="68" t="s">
        <v>228</v>
      </c>
      <c r="I73" s="70" t="s">
        <v>113</v>
      </c>
      <c r="J73" s="70"/>
      <c r="K73" s="71"/>
      <c r="L73" s="108">
        <v>1</v>
      </c>
      <c r="M73" s="108">
        <v>3</v>
      </c>
      <c r="N73" s="108">
        <v>2</v>
      </c>
      <c r="O73" s="108">
        <v>2</v>
      </c>
      <c r="P73" s="108">
        <v>2</v>
      </c>
      <c r="Q73" s="108">
        <v>2</v>
      </c>
      <c r="R73" s="108">
        <v>0</v>
      </c>
      <c r="S73" s="108">
        <v>1</v>
      </c>
      <c r="T73" s="108">
        <v>1</v>
      </c>
      <c r="U73" s="108">
        <v>0</v>
      </c>
      <c r="V73" s="72"/>
      <c r="W73" s="109">
        <f t="shared" si="102"/>
        <v>2</v>
      </c>
      <c r="X73" s="109">
        <f t="shared" si="103"/>
        <v>-0.33333333333333337</v>
      </c>
      <c r="Y73" s="109">
        <f t="shared" si="104"/>
        <v>0</v>
      </c>
      <c r="Z73" s="109">
        <f t="shared" si="105"/>
        <v>0</v>
      </c>
      <c r="AA73" s="109">
        <f t="shared" si="106"/>
        <v>0</v>
      </c>
      <c r="AB73" s="109">
        <f t="shared" si="107"/>
        <v>-1</v>
      </c>
      <c r="AC73" s="109">
        <f t="shared" si="108"/>
        <v>0</v>
      </c>
      <c r="AD73" s="109">
        <f t="shared" si="109"/>
        <v>0</v>
      </c>
      <c r="AE73" s="109">
        <f t="shared" si="110"/>
        <v>-1</v>
      </c>
      <c r="AF73" s="109">
        <f t="shared" si="112"/>
        <v>-3.7037037037037056E-2</v>
      </c>
      <c r="AG73" s="109">
        <f t="shared" si="113"/>
        <v>-0.5</v>
      </c>
      <c r="AJ73" s="72"/>
      <c r="AK73" s="112">
        <f>ROUND(U73*(100%+$AF73),0)</f>
        <v>0</v>
      </c>
      <c r="AL73" s="113">
        <f>ROUND(AK73*(100%+$AF73),0)</f>
        <v>0</v>
      </c>
      <c r="AM73" s="114">
        <f>ROUND(AL73*(100%+$AF73),0)</f>
        <v>0</v>
      </c>
      <c r="AN73" s="114">
        <f>ROUND(AM73*(100%+$AF73),0)</f>
        <v>0</v>
      </c>
      <c r="AO73" s="114">
        <f>ROUND(AN73*(100%+$AF73),0)</f>
        <v>0</v>
      </c>
      <c r="AP73" s="115">
        <f>ROUND(AO73*(100%+$AF73),0)</f>
        <v>0</v>
      </c>
      <c r="AQ73" s="70"/>
      <c r="AR73" s="70"/>
      <c r="AS73" s="67" t="s">
        <v>238</v>
      </c>
    </row>
    <row r="74" spans="1:45">
      <c r="A74" s="68" t="str">
        <f t="shared" si="27"/>
        <v>LB(penit)_All_total_</v>
      </c>
      <c r="B74" s="68" t="s">
        <v>245</v>
      </c>
      <c r="C74" s="68" t="s">
        <v>233</v>
      </c>
      <c r="D74" s="68" t="s">
        <v>232</v>
      </c>
      <c r="I74" s="131" t="s">
        <v>114</v>
      </c>
      <c r="J74" s="131"/>
      <c r="K74" s="132"/>
      <c r="L74" s="133">
        <v>67</v>
      </c>
      <c r="M74" s="133">
        <v>56</v>
      </c>
      <c r="N74" s="133">
        <v>41</v>
      </c>
      <c r="O74" s="133">
        <v>45</v>
      </c>
      <c r="P74" s="133">
        <v>47</v>
      </c>
      <c r="Q74" s="133">
        <v>44</v>
      </c>
      <c r="R74" s="133">
        <v>76</v>
      </c>
      <c r="S74" s="133">
        <v>58</v>
      </c>
      <c r="T74" s="133">
        <v>44</v>
      </c>
      <c r="U74" s="133">
        <v>51</v>
      </c>
      <c r="V74" s="72"/>
      <c r="W74" s="102">
        <f t="shared" si="102"/>
        <v>-0.16417910447761197</v>
      </c>
      <c r="X74" s="102">
        <f t="shared" si="103"/>
        <v>-0.2678571428571429</v>
      </c>
      <c r="Y74" s="102">
        <f t="shared" si="104"/>
        <v>9.7560975609756184E-2</v>
      </c>
      <c r="Z74" s="102">
        <f t="shared" si="105"/>
        <v>4.4444444444444509E-2</v>
      </c>
      <c r="AA74" s="102">
        <f t="shared" si="106"/>
        <v>-6.3829787234042534E-2</v>
      </c>
      <c r="AB74" s="102">
        <f t="shared" si="107"/>
        <v>0.72727272727272729</v>
      </c>
      <c r="AC74" s="102">
        <f t="shared" si="108"/>
        <v>-0.23684210526315785</v>
      </c>
      <c r="AD74" s="102">
        <f t="shared" si="109"/>
        <v>-0.24137931034482762</v>
      </c>
      <c r="AE74" s="102">
        <f t="shared" si="110"/>
        <v>0.15909090909090917</v>
      </c>
      <c r="AF74" s="102">
        <f t="shared" si="112"/>
        <v>6.0312895823393629E-3</v>
      </c>
      <c r="AG74" s="102">
        <f t="shared" si="113"/>
        <v>0.10203555518891275</v>
      </c>
      <c r="AJ74" s="72"/>
      <c r="AK74" s="134">
        <f t="shared" ref="AK74" si="124">SUM(AK62,AK66)</f>
        <v>56</v>
      </c>
      <c r="AL74" s="135">
        <f t="shared" ref="AL74:AP74" si="125">SUM(AL62,AL66)</f>
        <v>63</v>
      </c>
      <c r="AM74" s="136">
        <f t="shared" si="125"/>
        <v>67</v>
      </c>
      <c r="AN74" s="136">
        <f t="shared" si="125"/>
        <v>76</v>
      </c>
      <c r="AO74" s="136">
        <f t="shared" si="125"/>
        <v>89</v>
      </c>
      <c r="AP74" s="137">
        <f t="shared" si="125"/>
        <v>99</v>
      </c>
      <c r="AQ74" s="138"/>
      <c r="AR74" s="70"/>
      <c r="AS74" s="67" t="s">
        <v>238</v>
      </c>
    </row>
    <row r="75" spans="1:45" ht="17" thickBot="1">
      <c r="A75" s="68"/>
      <c r="B75" s="68" t="s">
        <v>238</v>
      </c>
      <c r="C75" s="68" t="s">
        <v>238</v>
      </c>
      <c r="D75" s="68" t="s">
        <v>238</v>
      </c>
      <c r="E75" s="68" t="s">
        <v>238</v>
      </c>
      <c r="H75" s="68" t="s">
        <v>238</v>
      </c>
      <c r="I75" s="180" t="s">
        <v>119</v>
      </c>
      <c r="J75" s="85"/>
      <c r="K75" s="139"/>
      <c r="L75" s="85"/>
      <c r="M75" s="85"/>
      <c r="N75" s="85"/>
      <c r="O75" s="85"/>
      <c r="P75" s="85"/>
      <c r="Q75" s="85"/>
      <c r="R75" s="85"/>
      <c r="S75" s="85"/>
      <c r="T75" s="85"/>
      <c r="U75" s="85"/>
      <c r="V75" s="72"/>
      <c r="W75" s="140"/>
      <c r="X75" s="140"/>
      <c r="Y75" s="140"/>
      <c r="Z75" s="140"/>
      <c r="AA75" s="140"/>
      <c r="AB75" s="140"/>
      <c r="AC75" s="140"/>
      <c r="AD75" s="140"/>
      <c r="AE75" s="140"/>
      <c r="AF75" s="124"/>
      <c r="AG75" s="124"/>
      <c r="AJ75" s="72"/>
      <c r="AK75" s="85"/>
      <c r="AL75" s="141"/>
      <c r="AM75" s="142"/>
      <c r="AN75" s="142"/>
      <c r="AO75" s="142"/>
      <c r="AP75" s="143"/>
      <c r="AQ75" s="70"/>
      <c r="AR75" s="70"/>
      <c r="AS75" s="67" t="s">
        <v>238</v>
      </c>
    </row>
    <row r="76" spans="1:45">
      <c r="A76" s="68" t="str">
        <f t="shared" ref="A76" si="126">B76&amp;"_"&amp;C76&amp;"_"&amp;D76&amp;"_"&amp;E76</f>
        <v>LB_New__</v>
      </c>
      <c r="B76" s="68" t="s">
        <v>236</v>
      </c>
      <c r="C76" s="68" t="s">
        <v>102</v>
      </c>
      <c r="I76" s="146" t="s">
        <v>102</v>
      </c>
      <c r="J76" s="147"/>
      <c r="K76" s="148"/>
      <c r="L76" s="147">
        <v>635</v>
      </c>
      <c r="M76" s="147">
        <v>656</v>
      </c>
      <c r="N76" s="147">
        <v>637</v>
      </c>
      <c r="O76" s="147">
        <v>553</v>
      </c>
      <c r="P76" s="147">
        <v>529</v>
      </c>
      <c r="Q76" s="147">
        <v>489</v>
      </c>
      <c r="R76" s="147">
        <v>536</v>
      </c>
      <c r="S76" s="147">
        <v>510</v>
      </c>
      <c r="T76" s="147">
        <v>404</v>
      </c>
      <c r="U76" s="149">
        <v>380</v>
      </c>
      <c r="V76" s="72"/>
      <c r="W76" s="101">
        <f>IFERROR(M76/L76-100%,0)</f>
        <v>3.3070866141732269E-2</v>
      </c>
      <c r="X76" s="101">
        <f t="shared" ref="X76:X88" si="127">N76/M76-100%</f>
        <v>-2.8963414634146312E-2</v>
      </c>
      <c r="Y76" s="101">
        <f t="shared" ref="Y76:Y88" si="128">O76/N76-100%</f>
        <v>-0.13186813186813184</v>
      </c>
      <c r="Z76" s="101">
        <f t="shared" ref="Z76:Z88" si="129">P76/O76-100%</f>
        <v>-4.339963833634719E-2</v>
      </c>
      <c r="AA76" s="101">
        <f t="shared" ref="AA76:AA88" si="130">Q76/P76-100%</f>
        <v>-7.5614366729678584E-2</v>
      </c>
      <c r="AB76" s="101">
        <f t="shared" ref="AB76:AB88" si="131">R76/Q76-100%</f>
        <v>9.61145194274029E-2</v>
      </c>
      <c r="AC76" s="101">
        <f t="shared" ref="AC76:AC88" si="132">S76/R76-100%</f>
        <v>-4.8507462686567138E-2</v>
      </c>
      <c r="AD76" s="101">
        <f t="shared" ref="AD76:AD88" si="133">T76/S76-100%</f>
        <v>-0.207843137254902</v>
      </c>
      <c r="AE76" s="101">
        <f t="shared" ref="AE76:AE88" si="134">U76/T76-100%</f>
        <v>-5.9405940594059459E-2</v>
      </c>
      <c r="AF76" s="101">
        <f>AVERAGE(W76:AE76)</f>
        <v>-5.1824078503855259E-2</v>
      </c>
      <c r="AG76" s="101">
        <f>AVERAGE(AB76:AE76)</f>
        <v>-5.4910505277031424E-2</v>
      </c>
      <c r="AJ76" s="72"/>
      <c r="AK76" s="104">
        <f t="shared" ref="AK76:AP76" si="135">SUM(AK77:AK79)</f>
        <v>363</v>
      </c>
      <c r="AL76" s="105">
        <f t="shared" si="135"/>
        <v>348</v>
      </c>
      <c r="AM76" s="106">
        <f t="shared" si="135"/>
        <v>334</v>
      </c>
      <c r="AN76" s="106">
        <f t="shared" si="135"/>
        <v>321</v>
      </c>
      <c r="AO76" s="106">
        <f t="shared" si="135"/>
        <v>309</v>
      </c>
      <c r="AP76" s="107">
        <f t="shared" si="135"/>
        <v>297</v>
      </c>
      <c r="AQ76" s="70"/>
      <c r="AR76" s="70"/>
      <c r="AS76" s="67" t="s">
        <v>238</v>
      </c>
    </row>
    <row r="77" spans="1:45">
      <c r="A77" s="68" t="str">
        <f t="shared" si="27"/>
        <v>LB_New_P_SS+</v>
      </c>
      <c r="B77" s="68" t="s">
        <v>236</v>
      </c>
      <c r="C77" s="68" t="s">
        <v>102</v>
      </c>
      <c r="D77" s="68" t="s">
        <v>225</v>
      </c>
      <c r="E77" s="68" t="s">
        <v>227</v>
      </c>
      <c r="I77" s="150" t="s">
        <v>103</v>
      </c>
      <c r="J77" s="151"/>
      <c r="K77" s="152"/>
      <c r="L77" s="151">
        <v>307</v>
      </c>
      <c r="M77" s="151">
        <v>307</v>
      </c>
      <c r="N77" s="151">
        <v>286</v>
      </c>
      <c r="O77" s="151">
        <v>275</v>
      </c>
      <c r="P77" s="151">
        <v>275</v>
      </c>
      <c r="Q77" s="151">
        <v>244</v>
      </c>
      <c r="R77" s="151">
        <v>277</v>
      </c>
      <c r="S77" s="151">
        <v>241</v>
      </c>
      <c r="T77" s="151">
        <v>224</v>
      </c>
      <c r="U77" s="153">
        <v>211</v>
      </c>
      <c r="V77" s="72"/>
      <c r="W77" s="109">
        <f t="shared" ref="W77:W88" si="136">M77/L77-100%</f>
        <v>0</v>
      </c>
      <c r="X77" s="109">
        <f t="shared" si="127"/>
        <v>-6.8403908794788304E-2</v>
      </c>
      <c r="Y77" s="109">
        <f t="shared" si="128"/>
        <v>-3.8461538461538436E-2</v>
      </c>
      <c r="Z77" s="109">
        <f t="shared" si="129"/>
        <v>0</v>
      </c>
      <c r="AA77" s="109">
        <f t="shared" si="130"/>
        <v>-0.11272727272727268</v>
      </c>
      <c r="AB77" s="109">
        <f t="shared" si="131"/>
        <v>0.13524590163934436</v>
      </c>
      <c r="AC77" s="109">
        <f t="shared" si="132"/>
        <v>-0.12996389891696747</v>
      </c>
      <c r="AD77" s="109">
        <f t="shared" si="133"/>
        <v>-7.0539419087136901E-2</v>
      </c>
      <c r="AE77" s="109">
        <f t="shared" si="134"/>
        <v>-5.8035714285714302E-2</v>
      </c>
      <c r="AF77" s="109">
        <f t="shared" ref="AF77:AF88" si="137">AVERAGE(W77:AE77)</f>
        <v>-3.8098427848230414E-2</v>
      </c>
      <c r="AG77" s="109">
        <f t="shared" ref="AG77:AG88" si="138">AVERAGE(AB77:AE77)</f>
        <v>-3.0823282662618579E-2</v>
      </c>
      <c r="AJ77" s="72"/>
      <c r="AK77" s="75">
        <f t="shared" ref="AK77:AP79" si="139">AK49+AK63</f>
        <v>205</v>
      </c>
      <c r="AL77" s="90">
        <f t="shared" si="139"/>
        <v>199</v>
      </c>
      <c r="AM77" s="91">
        <f t="shared" si="139"/>
        <v>193</v>
      </c>
      <c r="AN77" s="91">
        <f t="shared" si="139"/>
        <v>187</v>
      </c>
      <c r="AO77" s="91">
        <f t="shared" si="139"/>
        <v>182</v>
      </c>
      <c r="AP77" s="92">
        <f t="shared" si="139"/>
        <v>177</v>
      </c>
      <c r="AQ77" s="70"/>
      <c r="AR77" s="70"/>
      <c r="AS77" s="67" t="s">
        <v>238</v>
      </c>
    </row>
    <row r="78" spans="1:45">
      <c r="A78" s="68" t="str">
        <f t="shared" si="27"/>
        <v>LB_New_P_SS-</v>
      </c>
      <c r="B78" s="68" t="s">
        <v>236</v>
      </c>
      <c r="C78" s="68" t="s">
        <v>102</v>
      </c>
      <c r="D78" s="68" t="s">
        <v>225</v>
      </c>
      <c r="E78" s="68" t="s">
        <v>228</v>
      </c>
      <c r="I78" s="150" t="s">
        <v>104</v>
      </c>
      <c r="J78" s="151"/>
      <c r="K78" s="152"/>
      <c r="L78" s="151">
        <v>278</v>
      </c>
      <c r="M78" s="151">
        <v>298</v>
      </c>
      <c r="N78" s="151">
        <v>300</v>
      </c>
      <c r="O78" s="151">
        <v>245</v>
      </c>
      <c r="P78" s="151">
        <v>220</v>
      </c>
      <c r="Q78" s="151">
        <v>212</v>
      </c>
      <c r="R78" s="151">
        <v>235</v>
      </c>
      <c r="S78" s="151">
        <v>225</v>
      </c>
      <c r="T78" s="151">
        <v>151</v>
      </c>
      <c r="U78" s="153">
        <v>150</v>
      </c>
      <c r="V78" s="72"/>
      <c r="W78" s="109">
        <f t="shared" si="136"/>
        <v>7.1942446043165464E-2</v>
      </c>
      <c r="X78" s="109">
        <f t="shared" si="127"/>
        <v>6.7114093959732557E-3</v>
      </c>
      <c r="Y78" s="109">
        <f t="shared" si="128"/>
        <v>-0.18333333333333335</v>
      </c>
      <c r="Z78" s="109">
        <f t="shared" si="129"/>
        <v>-0.10204081632653061</v>
      </c>
      <c r="AA78" s="109">
        <f t="shared" si="130"/>
        <v>-3.6363636363636376E-2</v>
      </c>
      <c r="AB78" s="109">
        <f t="shared" si="131"/>
        <v>0.10849056603773577</v>
      </c>
      <c r="AC78" s="109">
        <f t="shared" si="132"/>
        <v>-4.2553191489361653E-2</v>
      </c>
      <c r="AD78" s="109">
        <f t="shared" si="133"/>
        <v>-0.3288888888888889</v>
      </c>
      <c r="AE78" s="109">
        <f t="shared" si="134"/>
        <v>-6.6225165562914245E-3</v>
      </c>
      <c r="AF78" s="109">
        <f t="shared" si="137"/>
        <v>-5.6961995720129756E-2</v>
      </c>
      <c r="AG78" s="109">
        <f t="shared" si="138"/>
        <v>-6.7393507724201551E-2</v>
      </c>
      <c r="AJ78" s="72"/>
      <c r="AK78" s="75">
        <f t="shared" si="139"/>
        <v>140</v>
      </c>
      <c r="AL78" s="90">
        <f t="shared" si="139"/>
        <v>132</v>
      </c>
      <c r="AM78" s="91">
        <f t="shared" si="139"/>
        <v>125</v>
      </c>
      <c r="AN78" s="91">
        <f t="shared" si="139"/>
        <v>119</v>
      </c>
      <c r="AO78" s="91">
        <f t="shared" si="139"/>
        <v>113</v>
      </c>
      <c r="AP78" s="92">
        <f t="shared" si="139"/>
        <v>107</v>
      </c>
      <c r="AQ78" s="70"/>
      <c r="AR78" s="70"/>
      <c r="AS78" s="67" t="s">
        <v>238</v>
      </c>
    </row>
    <row r="79" spans="1:45">
      <c r="A79" s="68" t="str">
        <f t="shared" si="27"/>
        <v>LB_New_EP_</v>
      </c>
      <c r="B79" s="68" t="s">
        <v>236</v>
      </c>
      <c r="C79" s="68" t="s">
        <v>102</v>
      </c>
      <c r="D79" s="68" t="s">
        <v>226</v>
      </c>
      <c r="I79" s="150" t="s">
        <v>105</v>
      </c>
      <c r="J79" s="151"/>
      <c r="K79" s="152"/>
      <c r="L79" s="151">
        <v>50</v>
      </c>
      <c r="M79" s="151">
        <v>51</v>
      </c>
      <c r="N79" s="151">
        <v>51</v>
      </c>
      <c r="O79" s="151">
        <v>33</v>
      </c>
      <c r="P79" s="151">
        <v>34</v>
      </c>
      <c r="Q79" s="151">
        <v>33</v>
      </c>
      <c r="R79" s="151">
        <v>24</v>
      </c>
      <c r="S79" s="151">
        <v>44</v>
      </c>
      <c r="T79" s="151">
        <v>29</v>
      </c>
      <c r="U79" s="153">
        <v>19</v>
      </c>
      <c r="V79" s="72"/>
      <c r="W79" s="109">
        <f t="shared" si="136"/>
        <v>2.0000000000000018E-2</v>
      </c>
      <c r="X79" s="109">
        <f t="shared" si="127"/>
        <v>0</v>
      </c>
      <c r="Y79" s="109">
        <f t="shared" si="128"/>
        <v>-0.3529411764705882</v>
      </c>
      <c r="Z79" s="109">
        <f t="shared" si="129"/>
        <v>3.0303030303030276E-2</v>
      </c>
      <c r="AA79" s="109">
        <f t="shared" si="130"/>
        <v>-2.9411764705882359E-2</v>
      </c>
      <c r="AB79" s="109">
        <f t="shared" si="131"/>
        <v>-0.27272727272727271</v>
      </c>
      <c r="AC79" s="109">
        <f t="shared" si="132"/>
        <v>0.83333333333333326</v>
      </c>
      <c r="AD79" s="109">
        <f t="shared" si="133"/>
        <v>-0.34090909090909094</v>
      </c>
      <c r="AE79" s="109">
        <f t="shared" si="134"/>
        <v>-0.34482758620689657</v>
      </c>
      <c r="AF79" s="109">
        <f t="shared" si="137"/>
        <v>-5.0797836375929689E-2</v>
      </c>
      <c r="AG79" s="109">
        <f t="shared" si="138"/>
        <v>-3.128265412748174E-2</v>
      </c>
      <c r="AJ79" s="72"/>
      <c r="AK79" s="75">
        <f t="shared" si="139"/>
        <v>18</v>
      </c>
      <c r="AL79" s="90">
        <f t="shared" si="139"/>
        <v>17</v>
      </c>
      <c r="AM79" s="91">
        <f t="shared" si="139"/>
        <v>16</v>
      </c>
      <c r="AN79" s="91">
        <f t="shared" si="139"/>
        <v>15</v>
      </c>
      <c r="AO79" s="91">
        <f t="shared" si="139"/>
        <v>14</v>
      </c>
      <c r="AP79" s="92">
        <f t="shared" si="139"/>
        <v>13</v>
      </c>
      <c r="AQ79" s="70"/>
      <c r="AR79" s="70"/>
      <c r="AS79" s="67" t="s">
        <v>238</v>
      </c>
    </row>
    <row r="80" spans="1:45">
      <c r="A80" s="68" t="str">
        <f t="shared" si="27"/>
        <v>LB_R/Oth_total_</v>
      </c>
      <c r="B80" s="68" t="s">
        <v>236</v>
      </c>
      <c r="C80" s="68" t="s">
        <v>234</v>
      </c>
      <c r="D80" s="68" t="s">
        <v>232</v>
      </c>
      <c r="I80" s="154" t="s">
        <v>106</v>
      </c>
      <c r="J80" s="155"/>
      <c r="K80" s="156"/>
      <c r="L80" s="155">
        <v>286</v>
      </c>
      <c r="M80" s="155">
        <v>283</v>
      </c>
      <c r="N80" s="155">
        <v>259</v>
      </c>
      <c r="O80" s="155">
        <v>263</v>
      </c>
      <c r="P80" s="155">
        <v>260</v>
      </c>
      <c r="Q80" s="155">
        <v>331</v>
      </c>
      <c r="R80" s="155">
        <v>307</v>
      </c>
      <c r="S80" s="155">
        <v>298</v>
      </c>
      <c r="T80" s="155">
        <v>254</v>
      </c>
      <c r="U80" s="157">
        <v>245</v>
      </c>
      <c r="V80" s="72"/>
      <c r="W80" s="101">
        <f t="shared" si="136"/>
        <v>-1.0489510489510523E-2</v>
      </c>
      <c r="X80" s="101">
        <f t="shared" si="127"/>
        <v>-8.4805653710247397E-2</v>
      </c>
      <c r="Y80" s="101">
        <f t="shared" si="128"/>
        <v>1.5444015444015413E-2</v>
      </c>
      <c r="Z80" s="101">
        <f t="shared" si="129"/>
        <v>-1.1406844106463865E-2</v>
      </c>
      <c r="AA80" s="101">
        <f t="shared" si="130"/>
        <v>0.27307692307692299</v>
      </c>
      <c r="AB80" s="101">
        <f t="shared" si="131"/>
        <v>-7.2507552870090586E-2</v>
      </c>
      <c r="AC80" s="101">
        <f t="shared" si="132"/>
        <v>-2.931596091205213E-2</v>
      </c>
      <c r="AD80" s="101">
        <f t="shared" si="133"/>
        <v>-0.1476510067114094</v>
      </c>
      <c r="AE80" s="101">
        <f t="shared" si="134"/>
        <v>-3.543307086614178E-2</v>
      </c>
      <c r="AF80" s="101">
        <f t="shared" si="137"/>
        <v>-1.1454295682775253E-2</v>
      </c>
      <c r="AG80" s="101">
        <f t="shared" si="138"/>
        <v>-7.1226897839923475E-2</v>
      </c>
      <c r="AJ80" s="72"/>
      <c r="AK80" s="104">
        <f t="shared" ref="AK80:AP80" si="140">SUM(AK81,AK85)</f>
        <v>252</v>
      </c>
      <c r="AL80" s="105">
        <f t="shared" si="140"/>
        <v>260</v>
      </c>
      <c r="AM80" s="106">
        <f t="shared" si="140"/>
        <v>265</v>
      </c>
      <c r="AN80" s="106">
        <f t="shared" si="140"/>
        <v>275</v>
      </c>
      <c r="AO80" s="106">
        <f t="shared" si="140"/>
        <v>290</v>
      </c>
      <c r="AP80" s="107">
        <f t="shared" si="140"/>
        <v>302</v>
      </c>
      <c r="AQ80" s="70"/>
      <c r="AR80" s="70"/>
      <c r="AS80" s="67" t="s">
        <v>238</v>
      </c>
    </row>
    <row r="81" spans="1:45">
      <c r="A81" s="68" t="str">
        <f t="shared" si="27"/>
        <v>LB_R_total_</v>
      </c>
      <c r="B81" s="68" t="s">
        <v>236</v>
      </c>
      <c r="C81" s="68" t="s">
        <v>229</v>
      </c>
      <c r="D81" s="68" t="s">
        <v>232</v>
      </c>
      <c r="I81" s="158" t="s">
        <v>107</v>
      </c>
      <c r="J81" s="159"/>
      <c r="K81" s="160"/>
      <c r="L81" s="159">
        <v>163</v>
      </c>
      <c r="M81" s="159">
        <v>153</v>
      </c>
      <c r="N81" s="159">
        <v>153</v>
      </c>
      <c r="O81" s="159">
        <v>145</v>
      </c>
      <c r="P81" s="159">
        <v>129</v>
      </c>
      <c r="Q81" s="159">
        <v>137</v>
      </c>
      <c r="R81" s="159">
        <v>138</v>
      </c>
      <c r="S81" s="159">
        <v>143</v>
      </c>
      <c r="T81" s="159">
        <v>113</v>
      </c>
      <c r="U81" s="161">
        <v>118</v>
      </c>
      <c r="V81" s="72"/>
      <c r="W81" s="109">
        <f t="shared" si="136"/>
        <v>-6.1349693251533721E-2</v>
      </c>
      <c r="X81" s="109">
        <f t="shared" si="127"/>
        <v>0</v>
      </c>
      <c r="Y81" s="109">
        <f t="shared" si="128"/>
        <v>-5.2287581699346442E-2</v>
      </c>
      <c r="Z81" s="109">
        <f t="shared" si="129"/>
        <v>-0.1103448275862069</v>
      </c>
      <c r="AA81" s="109">
        <f t="shared" si="130"/>
        <v>6.2015503875969102E-2</v>
      </c>
      <c r="AB81" s="109">
        <f t="shared" si="131"/>
        <v>7.2992700729928028E-3</v>
      </c>
      <c r="AC81" s="109">
        <f t="shared" si="132"/>
        <v>3.6231884057970953E-2</v>
      </c>
      <c r="AD81" s="109">
        <f t="shared" si="133"/>
        <v>-0.20979020979020979</v>
      </c>
      <c r="AE81" s="109">
        <f t="shared" si="134"/>
        <v>4.4247787610619538E-2</v>
      </c>
      <c r="AF81" s="109">
        <f t="shared" si="137"/>
        <v>-3.1553096301082717E-2</v>
      </c>
      <c r="AG81" s="109">
        <f t="shared" si="138"/>
        <v>-3.0502817012156624E-2</v>
      </c>
      <c r="AJ81" s="72"/>
      <c r="AK81" s="120">
        <f t="shared" ref="AK81:AP81" si="141">SUM(AK82:AK84)</f>
        <v>118</v>
      </c>
      <c r="AL81" s="121">
        <f t="shared" si="141"/>
        <v>119</v>
      </c>
      <c r="AM81" s="122">
        <f t="shared" si="141"/>
        <v>119</v>
      </c>
      <c r="AN81" s="122">
        <f t="shared" si="141"/>
        <v>120</v>
      </c>
      <c r="AO81" s="122">
        <f t="shared" si="141"/>
        <v>123</v>
      </c>
      <c r="AP81" s="123">
        <f t="shared" si="141"/>
        <v>125</v>
      </c>
      <c r="AQ81" s="70"/>
      <c r="AR81" s="70"/>
      <c r="AS81" s="67" t="s">
        <v>238</v>
      </c>
    </row>
    <row r="82" spans="1:45">
      <c r="A82" s="68" t="str">
        <f t="shared" si="27"/>
        <v>LB_R_P_SS+</v>
      </c>
      <c r="B82" s="68" t="s">
        <v>236</v>
      </c>
      <c r="C82" s="68" t="s">
        <v>229</v>
      </c>
      <c r="D82" s="68" t="s">
        <v>225</v>
      </c>
      <c r="E82" s="68" t="s">
        <v>227</v>
      </c>
      <c r="I82" s="150" t="s">
        <v>108</v>
      </c>
      <c r="J82" s="151"/>
      <c r="K82" s="152"/>
      <c r="L82" s="151">
        <v>102</v>
      </c>
      <c r="M82" s="151">
        <v>89</v>
      </c>
      <c r="N82" s="151">
        <v>93</v>
      </c>
      <c r="O82" s="151">
        <v>86</v>
      </c>
      <c r="P82" s="151">
        <v>84</v>
      </c>
      <c r="Q82" s="151">
        <v>86</v>
      </c>
      <c r="R82" s="151">
        <v>81</v>
      </c>
      <c r="S82" s="151">
        <v>89</v>
      </c>
      <c r="T82" s="151">
        <v>75</v>
      </c>
      <c r="U82" s="153">
        <v>81</v>
      </c>
      <c r="V82" s="72"/>
      <c r="W82" s="109">
        <f t="shared" si="136"/>
        <v>-0.12745098039215685</v>
      </c>
      <c r="X82" s="109">
        <f t="shared" si="127"/>
        <v>4.4943820224719211E-2</v>
      </c>
      <c r="Y82" s="109">
        <f t="shared" si="128"/>
        <v>-7.5268817204301119E-2</v>
      </c>
      <c r="Z82" s="109">
        <f t="shared" si="129"/>
        <v>-2.3255813953488413E-2</v>
      </c>
      <c r="AA82" s="109">
        <f t="shared" si="130"/>
        <v>2.3809523809523725E-2</v>
      </c>
      <c r="AB82" s="109">
        <f t="shared" si="131"/>
        <v>-5.8139534883720922E-2</v>
      </c>
      <c r="AC82" s="109">
        <f t="shared" si="132"/>
        <v>9.8765432098765427E-2</v>
      </c>
      <c r="AD82" s="109">
        <f t="shared" si="133"/>
        <v>-0.15730337078651691</v>
      </c>
      <c r="AE82" s="109">
        <f t="shared" si="134"/>
        <v>8.0000000000000071E-2</v>
      </c>
      <c r="AF82" s="109">
        <f t="shared" si="137"/>
        <v>-2.1544415676352863E-2</v>
      </c>
      <c r="AG82" s="109">
        <f t="shared" si="138"/>
        <v>-9.1693683928680825E-3</v>
      </c>
      <c r="AJ82" s="72"/>
      <c r="AK82" s="75">
        <f t="shared" ref="AK82:AP84" si="142">AK54+AK68</f>
        <v>82</v>
      </c>
      <c r="AL82" s="90">
        <f t="shared" si="142"/>
        <v>83</v>
      </c>
      <c r="AM82" s="91">
        <f t="shared" si="142"/>
        <v>84</v>
      </c>
      <c r="AN82" s="91">
        <f t="shared" si="142"/>
        <v>85</v>
      </c>
      <c r="AO82" s="91">
        <f t="shared" si="142"/>
        <v>87</v>
      </c>
      <c r="AP82" s="92">
        <f t="shared" si="142"/>
        <v>89</v>
      </c>
      <c r="AQ82" s="70"/>
      <c r="AR82" s="70"/>
      <c r="AS82" s="67" t="s">
        <v>238</v>
      </c>
    </row>
    <row r="83" spans="1:45">
      <c r="A83" s="68" t="str">
        <f t="shared" si="27"/>
        <v>LB_R_P_SS-</v>
      </c>
      <c r="B83" s="68" t="s">
        <v>236</v>
      </c>
      <c r="C83" s="68" t="s">
        <v>229</v>
      </c>
      <c r="D83" s="68" t="s">
        <v>225</v>
      </c>
      <c r="E83" s="68" t="s">
        <v>228</v>
      </c>
      <c r="I83" s="150" t="s">
        <v>109</v>
      </c>
      <c r="J83" s="151"/>
      <c r="K83" s="152"/>
      <c r="L83" s="151">
        <v>55</v>
      </c>
      <c r="M83" s="151">
        <v>63</v>
      </c>
      <c r="N83" s="151">
        <v>57</v>
      </c>
      <c r="O83" s="151">
        <v>54</v>
      </c>
      <c r="P83" s="151">
        <v>40</v>
      </c>
      <c r="Q83" s="151">
        <v>47</v>
      </c>
      <c r="R83" s="151">
        <v>48</v>
      </c>
      <c r="S83" s="151">
        <v>48</v>
      </c>
      <c r="T83" s="151">
        <v>35</v>
      </c>
      <c r="U83" s="153">
        <v>33</v>
      </c>
      <c r="V83" s="72"/>
      <c r="W83" s="109">
        <f t="shared" si="136"/>
        <v>0.1454545454545455</v>
      </c>
      <c r="X83" s="109">
        <f t="shared" si="127"/>
        <v>-9.5238095238095233E-2</v>
      </c>
      <c r="Y83" s="109">
        <f t="shared" si="128"/>
        <v>-5.2631578947368474E-2</v>
      </c>
      <c r="Z83" s="109">
        <f t="shared" si="129"/>
        <v>-0.2592592592592593</v>
      </c>
      <c r="AA83" s="109">
        <f t="shared" si="130"/>
        <v>0.17500000000000004</v>
      </c>
      <c r="AB83" s="109">
        <f t="shared" si="131"/>
        <v>2.1276595744680771E-2</v>
      </c>
      <c r="AC83" s="109">
        <f t="shared" si="132"/>
        <v>0</v>
      </c>
      <c r="AD83" s="109">
        <f t="shared" si="133"/>
        <v>-0.27083333333333337</v>
      </c>
      <c r="AE83" s="109">
        <f t="shared" si="134"/>
        <v>-5.7142857142857162E-2</v>
      </c>
      <c r="AF83" s="109">
        <f t="shared" si="137"/>
        <v>-4.3708220302409694E-2</v>
      </c>
      <c r="AG83" s="109">
        <f t="shared" si="138"/>
        <v>-7.667489868287744E-2</v>
      </c>
      <c r="AJ83" s="72"/>
      <c r="AK83" s="75">
        <f t="shared" si="142"/>
        <v>32</v>
      </c>
      <c r="AL83" s="90">
        <f t="shared" si="142"/>
        <v>32</v>
      </c>
      <c r="AM83" s="91">
        <f t="shared" si="142"/>
        <v>31</v>
      </c>
      <c r="AN83" s="91">
        <f t="shared" si="142"/>
        <v>31</v>
      </c>
      <c r="AO83" s="91">
        <f t="shared" si="142"/>
        <v>32</v>
      </c>
      <c r="AP83" s="92">
        <f t="shared" si="142"/>
        <v>32</v>
      </c>
      <c r="AQ83" s="70"/>
      <c r="AR83" s="70"/>
      <c r="AS83" s="67" t="s">
        <v>238</v>
      </c>
    </row>
    <row r="84" spans="1:45">
      <c r="A84" s="68" t="str">
        <f t="shared" ref="A84:A102" si="143">B84&amp;"_"&amp;C84&amp;"_"&amp;D84&amp;"_"&amp;E84</f>
        <v>LB_R_EP_</v>
      </c>
      <c r="B84" s="68" t="s">
        <v>236</v>
      </c>
      <c r="C84" s="68" t="s">
        <v>229</v>
      </c>
      <c r="D84" s="68" t="s">
        <v>226</v>
      </c>
      <c r="I84" s="150" t="s">
        <v>110</v>
      </c>
      <c r="J84" s="151"/>
      <c r="K84" s="152"/>
      <c r="L84" s="151">
        <v>6</v>
      </c>
      <c r="M84" s="151">
        <v>1</v>
      </c>
      <c r="N84" s="151">
        <v>3</v>
      </c>
      <c r="O84" s="151">
        <v>5</v>
      </c>
      <c r="P84" s="151">
        <v>5</v>
      </c>
      <c r="Q84" s="151">
        <v>4</v>
      </c>
      <c r="R84" s="151">
        <v>9</v>
      </c>
      <c r="S84" s="151">
        <v>6</v>
      </c>
      <c r="T84" s="151">
        <v>3</v>
      </c>
      <c r="U84" s="153">
        <v>4</v>
      </c>
      <c r="V84" s="72"/>
      <c r="W84" s="109">
        <f t="shared" si="136"/>
        <v>-0.83333333333333337</v>
      </c>
      <c r="X84" s="109">
        <f t="shared" si="127"/>
        <v>2</v>
      </c>
      <c r="Y84" s="109">
        <f t="shared" si="128"/>
        <v>0.66666666666666674</v>
      </c>
      <c r="Z84" s="109">
        <f t="shared" si="129"/>
        <v>0</v>
      </c>
      <c r="AA84" s="109">
        <f t="shared" si="130"/>
        <v>-0.19999999999999996</v>
      </c>
      <c r="AB84" s="109">
        <f t="shared" si="131"/>
        <v>1.25</v>
      </c>
      <c r="AC84" s="109">
        <f t="shared" si="132"/>
        <v>-0.33333333333333337</v>
      </c>
      <c r="AD84" s="109">
        <f t="shared" si="133"/>
        <v>-0.5</v>
      </c>
      <c r="AE84" s="109">
        <f t="shared" si="134"/>
        <v>0.33333333333333326</v>
      </c>
      <c r="AF84" s="109">
        <f t="shared" si="137"/>
        <v>0.26481481481481478</v>
      </c>
      <c r="AG84" s="109">
        <f t="shared" si="138"/>
        <v>0.18749999999999997</v>
      </c>
      <c r="AJ84" s="72"/>
      <c r="AK84" s="75">
        <f t="shared" si="142"/>
        <v>4</v>
      </c>
      <c r="AL84" s="90">
        <f t="shared" si="142"/>
        <v>4</v>
      </c>
      <c r="AM84" s="91">
        <f t="shared" si="142"/>
        <v>4</v>
      </c>
      <c r="AN84" s="91">
        <f t="shared" si="142"/>
        <v>4</v>
      </c>
      <c r="AO84" s="91">
        <f t="shared" si="142"/>
        <v>4</v>
      </c>
      <c r="AP84" s="92">
        <f t="shared" si="142"/>
        <v>4</v>
      </c>
      <c r="AQ84" s="70"/>
      <c r="AR84" s="70"/>
      <c r="AS84" s="67" t="s">
        <v>238</v>
      </c>
    </row>
    <row r="85" spans="1:45">
      <c r="A85" s="68" t="str">
        <f t="shared" si="143"/>
        <v>LB_Oth_total_</v>
      </c>
      <c r="B85" s="68" t="s">
        <v>236</v>
      </c>
      <c r="C85" s="68" t="s">
        <v>230</v>
      </c>
      <c r="D85" s="68" t="s">
        <v>232</v>
      </c>
      <c r="I85" s="162" t="s">
        <v>111</v>
      </c>
      <c r="J85" s="163"/>
      <c r="K85" s="164"/>
      <c r="L85" s="163">
        <v>123</v>
      </c>
      <c r="M85" s="163">
        <v>130</v>
      </c>
      <c r="N85" s="163">
        <v>106</v>
      </c>
      <c r="O85" s="163">
        <v>118</v>
      </c>
      <c r="P85" s="163">
        <v>131</v>
      </c>
      <c r="Q85" s="163">
        <v>194</v>
      </c>
      <c r="R85" s="163">
        <v>169</v>
      </c>
      <c r="S85" s="163">
        <v>155</v>
      </c>
      <c r="T85" s="163">
        <v>141</v>
      </c>
      <c r="U85" s="165">
        <v>127</v>
      </c>
      <c r="V85" s="72"/>
      <c r="W85" s="109">
        <f t="shared" si="136"/>
        <v>5.6910569105691033E-2</v>
      </c>
      <c r="X85" s="109">
        <f t="shared" si="127"/>
        <v>-0.18461538461538463</v>
      </c>
      <c r="Y85" s="109">
        <f t="shared" si="128"/>
        <v>0.1132075471698113</v>
      </c>
      <c r="Z85" s="109">
        <f t="shared" si="129"/>
        <v>0.11016949152542366</v>
      </c>
      <c r="AA85" s="109">
        <f t="shared" si="130"/>
        <v>0.48091603053435117</v>
      </c>
      <c r="AB85" s="109">
        <f t="shared" si="131"/>
        <v>-0.12886597938144329</v>
      </c>
      <c r="AC85" s="109">
        <f t="shared" si="132"/>
        <v>-8.2840236686390512E-2</v>
      </c>
      <c r="AD85" s="109">
        <f t="shared" si="133"/>
        <v>-9.0322580645161299E-2</v>
      </c>
      <c r="AE85" s="109">
        <f t="shared" si="134"/>
        <v>-9.9290780141844004E-2</v>
      </c>
      <c r="AF85" s="109">
        <f t="shared" si="137"/>
        <v>1.947429742945038E-2</v>
      </c>
      <c r="AG85" s="109">
        <f t="shared" si="138"/>
        <v>-0.10032989421370977</v>
      </c>
      <c r="AJ85" s="72"/>
      <c r="AK85" s="127">
        <f t="shared" ref="AK85:AP85" si="144">SUM(AK86:AK87)</f>
        <v>134</v>
      </c>
      <c r="AL85" s="128">
        <f t="shared" si="144"/>
        <v>141</v>
      </c>
      <c r="AM85" s="129">
        <f t="shared" si="144"/>
        <v>146</v>
      </c>
      <c r="AN85" s="129">
        <f t="shared" si="144"/>
        <v>155</v>
      </c>
      <c r="AO85" s="129">
        <f t="shared" si="144"/>
        <v>167</v>
      </c>
      <c r="AP85" s="130">
        <f t="shared" si="144"/>
        <v>177</v>
      </c>
      <c r="AQ85" s="70"/>
      <c r="AR85" s="70"/>
      <c r="AS85" s="67" t="s">
        <v>238</v>
      </c>
    </row>
    <row r="86" spans="1:45">
      <c r="A86" s="68" t="str">
        <f t="shared" si="143"/>
        <v>LB_Oth_P_SS+</v>
      </c>
      <c r="B86" s="68" t="s">
        <v>236</v>
      </c>
      <c r="C86" s="68" t="s">
        <v>230</v>
      </c>
      <c r="D86" s="68" t="s">
        <v>225</v>
      </c>
      <c r="E86" s="68" t="s">
        <v>227</v>
      </c>
      <c r="I86" s="150" t="s">
        <v>112</v>
      </c>
      <c r="J86" s="151"/>
      <c r="K86" s="152"/>
      <c r="L86" s="151">
        <v>100</v>
      </c>
      <c r="M86" s="151">
        <v>109</v>
      </c>
      <c r="N86" s="151">
        <v>78</v>
      </c>
      <c r="O86" s="151">
        <v>90</v>
      </c>
      <c r="P86" s="151">
        <v>102</v>
      </c>
      <c r="Q86" s="151">
        <v>158</v>
      </c>
      <c r="R86" s="151">
        <v>142</v>
      </c>
      <c r="S86" s="151">
        <v>131</v>
      </c>
      <c r="T86" s="151">
        <v>118</v>
      </c>
      <c r="U86" s="153">
        <v>119</v>
      </c>
      <c r="V86" s="72"/>
      <c r="W86" s="109">
        <f t="shared" si="136"/>
        <v>9.000000000000008E-2</v>
      </c>
      <c r="X86" s="109">
        <f t="shared" si="127"/>
        <v>-0.2844036697247706</v>
      </c>
      <c r="Y86" s="109">
        <f t="shared" si="128"/>
        <v>0.15384615384615374</v>
      </c>
      <c r="Z86" s="109">
        <f t="shared" si="129"/>
        <v>0.1333333333333333</v>
      </c>
      <c r="AA86" s="109">
        <f t="shared" si="130"/>
        <v>0.5490196078431373</v>
      </c>
      <c r="AB86" s="109">
        <f t="shared" si="131"/>
        <v>-0.10126582278481011</v>
      </c>
      <c r="AC86" s="109">
        <f t="shared" si="132"/>
        <v>-7.7464788732394374E-2</v>
      </c>
      <c r="AD86" s="109">
        <f t="shared" si="133"/>
        <v>-9.92366412213741E-2</v>
      </c>
      <c r="AE86" s="109">
        <f t="shared" si="134"/>
        <v>8.4745762711864181E-3</v>
      </c>
      <c r="AF86" s="109">
        <f t="shared" si="137"/>
        <v>4.1366972092273517E-2</v>
      </c>
      <c r="AG86" s="109">
        <f t="shared" si="138"/>
        <v>-6.7373169116848042E-2</v>
      </c>
      <c r="AJ86" s="72"/>
      <c r="AK86" s="75">
        <f t="shared" ref="AK86:AP87" si="145">AK58+AK72</f>
        <v>126</v>
      </c>
      <c r="AL86" s="90">
        <f t="shared" si="145"/>
        <v>133</v>
      </c>
      <c r="AM86" s="91">
        <f t="shared" si="145"/>
        <v>138</v>
      </c>
      <c r="AN86" s="91">
        <f t="shared" si="145"/>
        <v>147</v>
      </c>
      <c r="AO86" s="91">
        <f t="shared" si="145"/>
        <v>159</v>
      </c>
      <c r="AP86" s="92">
        <f t="shared" si="145"/>
        <v>169</v>
      </c>
      <c r="AQ86" s="70"/>
      <c r="AR86" s="70"/>
      <c r="AS86" s="67" t="s">
        <v>238</v>
      </c>
    </row>
    <row r="87" spans="1:45">
      <c r="A87" s="68" t="str">
        <f t="shared" si="143"/>
        <v>LB_Oth_P/EP_SS-</v>
      </c>
      <c r="B87" s="68" t="s">
        <v>236</v>
      </c>
      <c r="C87" s="68" t="s">
        <v>230</v>
      </c>
      <c r="D87" s="68" t="s">
        <v>231</v>
      </c>
      <c r="E87" s="68" t="s">
        <v>228</v>
      </c>
      <c r="I87" s="150" t="s">
        <v>113</v>
      </c>
      <c r="J87" s="151"/>
      <c r="K87" s="152"/>
      <c r="L87" s="151">
        <v>23</v>
      </c>
      <c r="M87" s="151">
        <v>21</v>
      </c>
      <c r="N87" s="151">
        <v>28</v>
      </c>
      <c r="O87" s="151">
        <v>28</v>
      </c>
      <c r="P87" s="151">
        <v>29</v>
      </c>
      <c r="Q87" s="151">
        <v>36</v>
      </c>
      <c r="R87" s="151">
        <v>27</v>
      </c>
      <c r="S87" s="151">
        <v>24</v>
      </c>
      <c r="T87" s="151">
        <v>23</v>
      </c>
      <c r="U87" s="153">
        <v>8</v>
      </c>
      <c r="V87" s="72"/>
      <c r="W87" s="109">
        <f t="shared" si="136"/>
        <v>-8.6956521739130488E-2</v>
      </c>
      <c r="X87" s="109">
        <f t="shared" si="127"/>
        <v>0.33333333333333326</v>
      </c>
      <c r="Y87" s="109">
        <f t="shared" si="128"/>
        <v>0</v>
      </c>
      <c r="Z87" s="109">
        <f t="shared" si="129"/>
        <v>3.5714285714285809E-2</v>
      </c>
      <c r="AA87" s="109">
        <f t="shared" si="130"/>
        <v>0.24137931034482762</v>
      </c>
      <c r="AB87" s="109">
        <f t="shared" si="131"/>
        <v>-0.25</v>
      </c>
      <c r="AC87" s="109">
        <f t="shared" si="132"/>
        <v>-0.11111111111111116</v>
      </c>
      <c r="AD87" s="109">
        <f t="shared" si="133"/>
        <v>-4.166666666666663E-2</v>
      </c>
      <c r="AE87" s="109">
        <f t="shared" si="134"/>
        <v>-0.65217391304347827</v>
      </c>
      <c r="AF87" s="109">
        <f t="shared" si="137"/>
        <v>-5.905347590754887E-2</v>
      </c>
      <c r="AG87" s="109">
        <f t="shared" si="138"/>
        <v>-0.26373792270531404</v>
      </c>
      <c r="AJ87" s="72"/>
      <c r="AK87" s="75">
        <f t="shared" si="145"/>
        <v>8</v>
      </c>
      <c r="AL87" s="90">
        <f t="shared" si="145"/>
        <v>8</v>
      </c>
      <c r="AM87" s="91">
        <f t="shared" si="145"/>
        <v>8</v>
      </c>
      <c r="AN87" s="91">
        <f t="shared" si="145"/>
        <v>8</v>
      </c>
      <c r="AO87" s="91">
        <f t="shared" si="145"/>
        <v>8</v>
      </c>
      <c r="AP87" s="92">
        <f t="shared" si="145"/>
        <v>8</v>
      </c>
      <c r="AQ87" s="70"/>
      <c r="AR87" s="70"/>
      <c r="AS87" s="67" t="s">
        <v>238</v>
      </c>
    </row>
    <row r="88" spans="1:45" ht="16" thickBot="1">
      <c r="A88" s="68" t="str">
        <f t="shared" si="143"/>
        <v>LB_All_total_</v>
      </c>
      <c r="B88" s="68" t="s">
        <v>236</v>
      </c>
      <c r="C88" s="68" t="s">
        <v>233</v>
      </c>
      <c r="D88" s="68" t="s">
        <v>232</v>
      </c>
      <c r="I88" s="166" t="s">
        <v>114</v>
      </c>
      <c r="J88" s="167"/>
      <c r="K88" s="168"/>
      <c r="L88" s="167">
        <v>921</v>
      </c>
      <c r="M88" s="167">
        <v>939</v>
      </c>
      <c r="N88" s="167">
        <v>896</v>
      </c>
      <c r="O88" s="167">
        <v>816</v>
      </c>
      <c r="P88" s="167">
        <v>789</v>
      </c>
      <c r="Q88" s="167">
        <v>820</v>
      </c>
      <c r="R88" s="167">
        <v>843</v>
      </c>
      <c r="S88" s="167">
        <v>808</v>
      </c>
      <c r="T88" s="167">
        <v>658</v>
      </c>
      <c r="U88" s="169">
        <v>625</v>
      </c>
      <c r="V88" s="72"/>
      <c r="W88" s="102">
        <f t="shared" si="136"/>
        <v>1.9543973941368087E-2</v>
      </c>
      <c r="X88" s="102">
        <f t="shared" si="127"/>
        <v>-4.5793397231096877E-2</v>
      </c>
      <c r="Y88" s="102">
        <f t="shared" si="128"/>
        <v>-8.9285714285714302E-2</v>
      </c>
      <c r="Z88" s="102">
        <f t="shared" si="129"/>
        <v>-3.3088235294117641E-2</v>
      </c>
      <c r="AA88" s="102">
        <f t="shared" si="130"/>
        <v>3.9290240811153287E-2</v>
      </c>
      <c r="AB88" s="102">
        <f t="shared" si="131"/>
        <v>2.8048780487804903E-2</v>
      </c>
      <c r="AC88" s="102">
        <f t="shared" si="132"/>
        <v>-4.1518386714116229E-2</v>
      </c>
      <c r="AD88" s="102">
        <f t="shared" si="133"/>
        <v>-0.1856435643564357</v>
      </c>
      <c r="AE88" s="102">
        <f t="shared" si="134"/>
        <v>-5.0151975683890626E-2</v>
      </c>
      <c r="AF88" s="102">
        <f t="shared" si="137"/>
        <v>-3.9844253147227233E-2</v>
      </c>
      <c r="AG88" s="102">
        <f t="shared" si="138"/>
        <v>-6.2316286566659412E-2</v>
      </c>
      <c r="AJ88" s="72"/>
      <c r="AK88" s="134">
        <f t="shared" ref="AK88:AP88" si="146">SUM(AK76,AK80)</f>
        <v>615</v>
      </c>
      <c r="AL88" s="135">
        <f t="shared" si="146"/>
        <v>608</v>
      </c>
      <c r="AM88" s="136">
        <f t="shared" si="146"/>
        <v>599</v>
      </c>
      <c r="AN88" s="136">
        <f t="shared" si="146"/>
        <v>596</v>
      </c>
      <c r="AO88" s="136">
        <f t="shared" si="146"/>
        <v>599</v>
      </c>
      <c r="AP88" s="137">
        <f t="shared" si="146"/>
        <v>599</v>
      </c>
      <c r="AQ88" s="138"/>
      <c r="AR88" s="70"/>
      <c r="AS88" s="67" t="s">
        <v>238</v>
      </c>
    </row>
    <row r="89" spans="1:45" ht="17" thickBot="1">
      <c r="A89" s="68"/>
      <c r="B89" s="68" t="s">
        <v>238</v>
      </c>
      <c r="C89" s="68" t="s">
        <v>238</v>
      </c>
      <c r="D89" s="68" t="s">
        <v>238</v>
      </c>
      <c r="E89" s="68" t="s">
        <v>238</v>
      </c>
      <c r="H89" s="68" t="s">
        <v>238</v>
      </c>
      <c r="I89" s="181" t="s">
        <v>120</v>
      </c>
      <c r="J89" s="85"/>
      <c r="K89" s="139"/>
      <c r="L89" s="85"/>
      <c r="M89" s="85"/>
      <c r="N89" s="85"/>
      <c r="O89" s="85"/>
      <c r="P89" s="85"/>
      <c r="Q89" s="85"/>
      <c r="R89" s="85"/>
      <c r="S89" s="85"/>
      <c r="T89" s="85"/>
      <c r="U89" s="85"/>
      <c r="V89" s="72"/>
      <c r="W89" s="140"/>
      <c r="X89" s="140"/>
      <c r="Y89" s="140"/>
      <c r="Z89" s="140"/>
      <c r="AA89" s="140"/>
      <c r="AB89" s="140"/>
      <c r="AC89" s="140"/>
      <c r="AD89" s="140"/>
      <c r="AE89" s="140"/>
      <c r="AF89" s="124"/>
      <c r="AG89" s="124"/>
      <c r="AJ89" s="72"/>
      <c r="AK89" s="85"/>
      <c r="AL89" s="141"/>
      <c r="AM89" s="142"/>
      <c r="AN89" s="142"/>
      <c r="AO89" s="142"/>
      <c r="AP89" s="143"/>
      <c r="AQ89" s="70"/>
      <c r="AR89" s="70"/>
      <c r="AS89" s="67" t="s">
        <v>238</v>
      </c>
    </row>
    <row r="90" spans="1:45">
      <c r="A90" s="68" t="str">
        <f t="shared" ref="A90" si="147">B90&amp;"_"&amp;C90&amp;"_"&amp;D90&amp;"_"&amp;E90</f>
        <v>MDA_New__</v>
      </c>
      <c r="B90" s="68" t="s">
        <v>237</v>
      </c>
      <c r="C90" s="68" t="s">
        <v>102</v>
      </c>
      <c r="I90" s="146" t="s">
        <v>102</v>
      </c>
      <c r="J90" s="147"/>
      <c r="K90" s="148"/>
      <c r="L90" s="147">
        <v>3744</v>
      </c>
      <c r="M90" s="147">
        <v>3835</v>
      </c>
      <c r="N90" s="147">
        <v>3802</v>
      </c>
      <c r="O90" s="147">
        <v>3602</v>
      </c>
      <c r="P90" s="147">
        <v>3275</v>
      </c>
      <c r="Q90" s="147">
        <v>2860</v>
      </c>
      <c r="R90" s="147">
        <v>2844</v>
      </c>
      <c r="S90" s="147">
        <v>2682</v>
      </c>
      <c r="T90" s="147">
        <v>2451</v>
      </c>
      <c r="U90" s="149">
        <v>2283</v>
      </c>
      <c r="V90" s="72"/>
      <c r="W90" s="101">
        <f>IFERROR(M90/L90-100%,0)</f>
        <v>2.430555555555558E-2</v>
      </c>
      <c r="X90" s="101">
        <f t="shared" ref="X90:X102" si="148">N90/M90-100%</f>
        <v>-8.6049543676662843E-3</v>
      </c>
      <c r="Y90" s="101">
        <f t="shared" ref="Y90:Y102" si="149">O90/N90-100%</f>
        <v>-5.2603892688058873E-2</v>
      </c>
      <c r="Z90" s="101">
        <f t="shared" ref="Z90:Z102" si="150">P90/O90-100%</f>
        <v>-9.0782898389783484E-2</v>
      </c>
      <c r="AA90" s="101">
        <f t="shared" ref="AA90:AA102" si="151">Q90/P90-100%</f>
        <v>-0.12671755725190836</v>
      </c>
      <c r="AB90" s="101">
        <f t="shared" ref="AB90:AB102" si="152">R90/Q90-100%</f>
        <v>-5.5944055944056048E-3</v>
      </c>
      <c r="AC90" s="101">
        <f t="shared" ref="AC90:AC102" si="153">S90/R90-100%</f>
        <v>-5.6962025316455667E-2</v>
      </c>
      <c r="AD90" s="101">
        <f t="shared" ref="AD90:AD102" si="154">T90/S90-100%</f>
        <v>-8.6129753914988783E-2</v>
      </c>
      <c r="AE90" s="101">
        <f t="shared" ref="AE90:AE102" si="155">U90/T90-100%</f>
        <v>-6.8543451652386733E-2</v>
      </c>
      <c r="AF90" s="101">
        <f>AVERAGE(W90:AE90)</f>
        <v>-5.2403709291122022E-2</v>
      </c>
      <c r="AG90" s="101">
        <f>AVERAGE(AB90:AE90)</f>
        <v>-5.4307409119559197E-2</v>
      </c>
      <c r="AJ90" s="72"/>
      <c r="AK90" s="104">
        <f t="shared" ref="AK90:AP90" si="156">SUM(AK91:AK93)</f>
        <v>2211</v>
      </c>
      <c r="AL90" s="105">
        <f t="shared" si="156"/>
        <v>2143</v>
      </c>
      <c r="AM90" s="106">
        <f t="shared" si="156"/>
        <v>2077</v>
      </c>
      <c r="AN90" s="106">
        <f t="shared" si="156"/>
        <v>2015</v>
      </c>
      <c r="AO90" s="106">
        <f t="shared" si="156"/>
        <v>1955</v>
      </c>
      <c r="AP90" s="107">
        <f t="shared" si="156"/>
        <v>1898</v>
      </c>
      <c r="AQ90" s="70"/>
      <c r="AR90" s="70"/>
      <c r="AS90" s="67" t="s">
        <v>238</v>
      </c>
    </row>
    <row r="91" spans="1:45">
      <c r="A91" s="68" t="str">
        <f t="shared" si="143"/>
        <v>MDA_New_P_SS+</v>
      </c>
      <c r="B91" s="68" t="s">
        <v>237</v>
      </c>
      <c r="C91" s="68" t="s">
        <v>102</v>
      </c>
      <c r="D91" s="68" t="s">
        <v>225</v>
      </c>
      <c r="E91" s="68" t="s">
        <v>227</v>
      </c>
      <c r="I91" s="150" t="s">
        <v>103</v>
      </c>
      <c r="J91" s="151"/>
      <c r="K91" s="152"/>
      <c r="L91" s="151">
        <v>1828</v>
      </c>
      <c r="M91" s="151">
        <v>1827</v>
      </c>
      <c r="N91" s="151">
        <v>1888</v>
      </c>
      <c r="O91" s="151">
        <v>1860</v>
      </c>
      <c r="P91" s="151">
        <v>1768</v>
      </c>
      <c r="Q91" s="151">
        <v>1621</v>
      </c>
      <c r="R91" s="151">
        <v>1597</v>
      </c>
      <c r="S91" s="151">
        <v>1492</v>
      </c>
      <c r="T91" s="151">
        <v>1420</v>
      </c>
      <c r="U91" s="153">
        <v>1321</v>
      </c>
      <c r="V91" s="72"/>
      <c r="W91" s="109">
        <f t="shared" ref="W91:W102" si="157">M91/L91-100%</f>
        <v>-5.4704595185994798E-4</v>
      </c>
      <c r="X91" s="109">
        <f t="shared" si="148"/>
        <v>3.3388067870826488E-2</v>
      </c>
      <c r="Y91" s="109">
        <f t="shared" si="149"/>
        <v>-1.4830508474576232E-2</v>
      </c>
      <c r="Z91" s="109">
        <f t="shared" si="150"/>
        <v>-4.9462365591397828E-2</v>
      </c>
      <c r="AA91" s="109">
        <f t="shared" si="151"/>
        <v>-8.3144796380090535E-2</v>
      </c>
      <c r="AB91" s="109">
        <f t="shared" si="152"/>
        <v>-1.4805675508945071E-2</v>
      </c>
      <c r="AC91" s="109">
        <f t="shared" si="153"/>
        <v>-6.5748278021289908E-2</v>
      </c>
      <c r="AD91" s="109">
        <f t="shared" si="154"/>
        <v>-4.8257372654155528E-2</v>
      </c>
      <c r="AE91" s="109">
        <f t="shared" si="155"/>
        <v>-6.9718309859154948E-2</v>
      </c>
      <c r="AF91" s="109">
        <f t="shared" ref="AF91:AF102" si="158">AVERAGE(W91:AE91)</f>
        <v>-3.479180939673817E-2</v>
      </c>
      <c r="AG91" s="109">
        <f t="shared" ref="AG91:AG102" si="159">AVERAGE(AB91:AE91)</f>
        <v>-4.9632409010886364E-2</v>
      </c>
      <c r="AJ91" s="72"/>
      <c r="AK91" s="112">
        <f t="shared" ref="AK91:AP93" si="160">AK35+AK77</f>
        <v>1292</v>
      </c>
      <c r="AL91" s="113">
        <f t="shared" si="160"/>
        <v>1264</v>
      </c>
      <c r="AM91" s="114">
        <f t="shared" si="160"/>
        <v>1236</v>
      </c>
      <c r="AN91" s="114">
        <f t="shared" si="160"/>
        <v>1209</v>
      </c>
      <c r="AO91" s="114">
        <f t="shared" si="160"/>
        <v>1183</v>
      </c>
      <c r="AP91" s="115">
        <f t="shared" si="160"/>
        <v>1158</v>
      </c>
      <c r="AQ91" s="70"/>
      <c r="AR91" s="70"/>
      <c r="AS91" s="67" t="s">
        <v>238</v>
      </c>
    </row>
    <row r="92" spans="1:45">
      <c r="A92" s="68" t="str">
        <f t="shared" si="143"/>
        <v>MDA_New_P_SS-</v>
      </c>
      <c r="B92" s="68" t="s">
        <v>237</v>
      </c>
      <c r="C92" s="68" t="s">
        <v>102</v>
      </c>
      <c r="D92" s="68" t="s">
        <v>225</v>
      </c>
      <c r="E92" s="68" t="s">
        <v>228</v>
      </c>
      <c r="I92" s="150" t="s">
        <v>104</v>
      </c>
      <c r="J92" s="151"/>
      <c r="K92" s="152"/>
      <c r="L92" s="151">
        <v>1512</v>
      </c>
      <c r="M92" s="151">
        <v>1586</v>
      </c>
      <c r="N92" s="151">
        <v>1518</v>
      </c>
      <c r="O92" s="151">
        <v>1408</v>
      </c>
      <c r="P92" s="151">
        <v>1163</v>
      </c>
      <c r="Q92" s="151">
        <v>929</v>
      </c>
      <c r="R92" s="151">
        <v>941</v>
      </c>
      <c r="S92" s="151">
        <v>883</v>
      </c>
      <c r="T92" s="151">
        <v>766</v>
      </c>
      <c r="U92" s="153">
        <v>725</v>
      </c>
      <c r="V92" s="72"/>
      <c r="W92" s="109">
        <f t="shared" si="157"/>
        <v>4.8941798941798842E-2</v>
      </c>
      <c r="X92" s="109">
        <f t="shared" si="148"/>
        <v>-4.2875157629255978E-2</v>
      </c>
      <c r="Y92" s="109">
        <f t="shared" si="149"/>
        <v>-7.2463768115942018E-2</v>
      </c>
      <c r="Z92" s="109">
        <f t="shared" si="150"/>
        <v>-0.17400568181818177</v>
      </c>
      <c r="AA92" s="109">
        <f t="shared" si="151"/>
        <v>-0.20120378331900257</v>
      </c>
      <c r="AB92" s="109">
        <f t="shared" si="152"/>
        <v>1.2917115177610405E-2</v>
      </c>
      <c r="AC92" s="109">
        <f t="shared" si="153"/>
        <v>-6.1636556854410163E-2</v>
      </c>
      <c r="AD92" s="109">
        <f t="shared" si="154"/>
        <v>-0.13250283125707818</v>
      </c>
      <c r="AE92" s="109">
        <f t="shared" si="155"/>
        <v>-5.3524804177545682E-2</v>
      </c>
      <c r="AF92" s="109">
        <f t="shared" si="158"/>
        <v>-7.5150407672445241E-2</v>
      </c>
      <c r="AG92" s="109">
        <f t="shared" si="159"/>
        <v>-5.8686769277855905E-2</v>
      </c>
      <c r="AJ92" s="72"/>
      <c r="AK92" s="75">
        <f t="shared" si="160"/>
        <v>694</v>
      </c>
      <c r="AL92" s="90">
        <f t="shared" si="160"/>
        <v>665</v>
      </c>
      <c r="AM92" s="91">
        <f t="shared" si="160"/>
        <v>638</v>
      </c>
      <c r="AN92" s="91">
        <f t="shared" si="160"/>
        <v>613</v>
      </c>
      <c r="AO92" s="91">
        <f t="shared" si="160"/>
        <v>589</v>
      </c>
      <c r="AP92" s="92">
        <f t="shared" si="160"/>
        <v>566</v>
      </c>
      <c r="AQ92" s="70"/>
      <c r="AR92" s="70"/>
      <c r="AS92" s="67" t="s">
        <v>238</v>
      </c>
    </row>
    <row r="93" spans="1:45">
      <c r="A93" s="68" t="str">
        <f t="shared" si="143"/>
        <v>MDA_New_EP_</v>
      </c>
      <c r="B93" s="68" t="s">
        <v>237</v>
      </c>
      <c r="C93" s="68" t="s">
        <v>102</v>
      </c>
      <c r="D93" s="68" t="s">
        <v>226</v>
      </c>
      <c r="I93" s="150" t="s">
        <v>105</v>
      </c>
      <c r="J93" s="151"/>
      <c r="K93" s="152"/>
      <c r="L93" s="151">
        <v>404</v>
      </c>
      <c r="M93" s="151">
        <v>422</v>
      </c>
      <c r="N93" s="151">
        <v>396</v>
      </c>
      <c r="O93" s="151">
        <v>334</v>
      </c>
      <c r="P93" s="151">
        <v>344</v>
      </c>
      <c r="Q93" s="151">
        <v>310</v>
      </c>
      <c r="R93" s="151">
        <v>306</v>
      </c>
      <c r="S93" s="151">
        <v>307</v>
      </c>
      <c r="T93" s="151">
        <v>265</v>
      </c>
      <c r="U93" s="153">
        <v>237</v>
      </c>
      <c r="V93" s="72"/>
      <c r="W93" s="109">
        <f t="shared" si="157"/>
        <v>4.4554455445544594E-2</v>
      </c>
      <c r="X93" s="109">
        <f t="shared" si="148"/>
        <v>-6.1611374407582908E-2</v>
      </c>
      <c r="Y93" s="109">
        <f t="shared" si="149"/>
        <v>-0.15656565656565657</v>
      </c>
      <c r="Z93" s="109">
        <f t="shared" si="150"/>
        <v>2.9940119760478945E-2</v>
      </c>
      <c r="AA93" s="109">
        <f t="shared" si="151"/>
        <v>-9.8837209302325535E-2</v>
      </c>
      <c r="AB93" s="109">
        <f t="shared" si="152"/>
        <v>-1.2903225806451646E-2</v>
      </c>
      <c r="AC93" s="109">
        <f t="shared" si="153"/>
        <v>3.2679738562091387E-3</v>
      </c>
      <c r="AD93" s="109">
        <f t="shared" si="154"/>
        <v>-0.1368078175895765</v>
      </c>
      <c r="AE93" s="109">
        <f t="shared" si="155"/>
        <v>-0.10566037735849054</v>
      </c>
      <c r="AF93" s="109">
        <f t="shared" si="158"/>
        <v>-5.495812355198345E-2</v>
      </c>
      <c r="AG93" s="109">
        <f t="shared" si="159"/>
        <v>-6.3025861724577387E-2</v>
      </c>
      <c r="AJ93" s="72"/>
      <c r="AK93" s="75">
        <f t="shared" si="160"/>
        <v>225</v>
      </c>
      <c r="AL93" s="90">
        <f t="shared" si="160"/>
        <v>214</v>
      </c>
      <c r="AM93" s="91">
        <f t="shared" si="160"/>
        <v>203</v>
      </c>
      <c r="AN93" s="91">
        <f t="shared" si="160"/>
        <v>193</v>
      </c>
      <c r="AO93" s="91">
        <f t="shared" si="160"/>
        <v>183</v>
      </c>
      <c r="AP93" s="92">
        <f t="shared" si="160"/>
        <v>174</v>
      </c>
      <c r="AQ93" s="70"/>
      <c r="AR93" s="70"/>
      <c r="AS93" s="67" t="s">
        <v>238</v>
      </c>
    </row>
    <row r="94" spans="1:45">
      <c r="A94" s="68" t="str">
        <f t="shared" si="143"/>
        <v>MDA_R/Oth_total_</v>
      </c>
      <c r="B94" s="68" t="s">
        <v>237</v>
      </c>
      <c r="C94" s="68" t="s">
        <v>234</v>
      </c>
      <c r="D94" s="68" t="s">
        <v>232</v>
      </c>
      <c r="I94" s="154" t="s">
        <v>106</v>
      </c>
      <c r="J94" s="155"/>
      <c r="K94" s="156"/>
      <c r="L94" s="155">
        <v>1703</v>
      </c>
      <c r="M94" s="155">
        <v>1513</v>
      </c>
      <c r="N94" s="155">
        <v>1547</v>
      </c>
      <c r="O94" s="155">
        <v>1458</v>
      </c>
      <c r="P94" s="155">
        <v>1360</v>
      </c>
      <c r="Q94" s="155">
        <v>1351</v>
      </c>
      <c r="R94" s="155">
        <v>1282</v>
      </c>
      <c r="S94" s="155">
        <v>1175</v>
      </c>
      <c r="T94" s="155">
        <v>1007</v>
      </c>
      <c r="U94" s="157">
        <v>1040</v>
      </c>
      <c r="V94" s="72"/>
      <c r="W94" s="101">
        <f t="shared" si="157"/>
        <v>-0.11156782149148559</v>
      </c>
      <c r="X94" s="101">
        <f t="shared" si="148"/>
        <v>2.2471910112359605E-2</v>
      </c>
      <c r="Y94" s="101">
        <f t="shared" si="149"/>
        <v>-5.7530704589528137E-2</v>
      </c>
      <c r="Z94" s="101">
        <f t="shared" si="150"/>
        <v>-6.7215363511659798E-2</v>
      </c>
      <c r="AA94" s="101">
        <f t="shared" si="151"/>
        <v>-6.6176470588235059E-3</v>
      </c>
      <c r="AB94" s="101">
        <f t="shared" si="152"/>
        <v>-5.1073279052553655E-2</v>
      </c>
      <c r="AC94" s="101">
        <f t="shared" si="153"/>
        <v>-8.3463338533541376E-2</v>
      </c>
      <c r="AD94" s="101">
        <f t="shared" si="154"/>
        <v>-0.14297872340425533</v>
      </c>
      <c r="AE94" s="101">
        <f t="shared" si="155"/>
        <v>3.2770605759682159E-2</v>
      </c>
      <c r="AF94" s="101">
        <f t="shared" si="158"/>
        <v>-5.1689373529978405E-2</v>
      </c>
      <c r="AG94" s="101">
        <f t="shared" si="159"/>
        <v>-6.1186183807667049E-2</v>
      </c>
      <c r="AJ94" s="72"/>
      <c r="AK94" s="104">
        <f t="shared" ref="AK94:AP94" si="161">SUM(AK95,AK99)</f>
        <v>1014</v>
      </c>
      <c r="AL94" s="105">
        <f t="shared" si="161"/>
        <v>992</v>
      </c>
      <c r="AM94" s="106">
        <f t="shared" si="161"/>
        <v>969</v>
      </c>
      <c r="AN94" s="106">
        <f t="shared" si="161"/>
        <v>954</v>
      </c>
      <c r="AO94" s="106">
        <f t="shared" si="161"/>
        <v>948</v>
      </c>
      <c r="AP94" s="107">
        <f t="shared" si="161"/>
        <v>940</v>
      </c>
      <c r="AQ94" s="70"/>
      <c r="AR94" s="70"/>
      <c r="AS94" s="67" t="s">
        <v>238</v>
      </c>
    </row>
    <row r="95" spans="1:45">
      <c r="A95" s="68" t="str">
        <f t="shared" si="143"/>
        <v>MDA_R_total_</v>
      </c>
      <c r="B95" s="68" t="s">
        <v>237</v>
      </c>
      <c r="C95" s="68" t="s">
        <v>229</v>
      </c>
      <c r="D95" s="68" t="s">
        <v>232</v>
      </c>
      <c r="I95" s="158" t="s">
        <v>107</v>
      </c>
      <c r="J95" s="159"/>
      <c r="K95" s="160"/>
      <c r="L95" s="159">
        <v>880</v>
      </c>
      <c r="M95" s="159">
        <v>839</v>
      </c>
      <c r="N95" s="159">
        <v>877</v>
      </c>
      <c r="O95" s="159">
        <v>886</v>
      </c>
      <c r="P95" s="159">
        <v>778</v>
      </c>
      <c r="Q95" s="159">
        <v>747</v>
      </c>
      <c r="R95" s="159">
        <v>725</v>
      </c>
      <c r="S95" s="159">
        <v>671</v>
      </c>
      <c r="T95" s="159">
        <v>566</v>
      </c>
      <c r="U95" s="161">
        <v>596</v>
      </c>
      <c r="V95" s="72"/>
      <c r="W95" s="109">
        <f t="shared" si="157"/>
        <v>-4.6590909090909127E-2</v>
      </c>
      <c r="X95" s="109">
        <f t="shared" si="148"/>
        <v>4.5292014302741324E-2</v>
      </c>
      <c r="Y95" s="109">
        <f t="shared" si="149"/>
        <v>1.0262257696693311E-2</v>
      </c>
      <c r="Z95" s="109">
        <f t="shared" si="150"/>
        <v>-0.12189616252821667</v>
      </c>
      <c r="AA95" s="109">
        <f t="shared" si="151"/>
        <v>-3.9845758354755789E-2</v>
      </c>
      <c r="AB95" s="109">
        <f t="shared" si="152"/>
        <v>-2.9451137884872858E-2</v>
      </c>
      <c r="AC95" s="109">
        <f t="shared" si="153"/>
        <v>-7.4482758620689649E-2</v>
      </c>
      <c r="AD95" s="109">
        <f t="shared" si="154"/>
        <v>-0.15648286140089418</v>
      </c>
      <c r="AE95" s="109">
        <f t="shared" si="155"/>
        <v>5.3003533568904526E-2</v>
      </c>
      <c r="AF95" s="109">
        <f t="shared" si="158"/>
        <v>-4.002130914577768E-2</v>
      </c>
      <c r="AG95" s="109">
        <f t="shared" si="159"/>
        <v>-5.185330608438804E-2</v>
      </c>
      <c r="AJ95" s="72"/>
      <c r="AK95" s="120">
        <f>SUM(AK96:AK98)</f>
        <v>589</v>
      </c>
      <c r="AL95" s="121">
        <f t="shared" ref="AL95:AP95" si="162">SUM(AL96:AL98)</f>
        <v>583</v>
      </c>
      <c r="AM95" s="122">
        <f t="shared" si="162"/>
        <v>576</v>
      </c>
      <c r="AN95" s="122">
        <f t="shared" si="162"/>
        <v>571</v>
      </c>
      <c r="AO95" s="122">
        <f t="shared" si="162"/>
        <v>569</v>
      </c>
      <c r="AP95" s="123">
        <f t="shared" si="162"/>
        <v>566</v>
      </c>
      <c r="AQ95" s="70"/>
      <c r="AR95" s="70"/>
      <c r="AS95" s="67" t="s">
        <v>238</v>
      </c>
    </row>
    <row r="96" spans="1:45">
      <c r="A96" s="68" t="str">
        <f t="shared" si="143"/>
        <v>MDA_R_P_SS+</v>
      </c>
      <c r="B96" s="68" t="s">
        <v>237</v>
      </c>
      <c r="C96" s="68" t="s">
        <v>229</v>
      </c>
      <c r="D96" s="68" t="s">
        <v>225</v>
      </c>
      <c r="E96" s="68" t="s">
        <v>227</v>
      </c>
      <c r="I96" s="150" t="s">
        <v>108</v>
      </c>
      <c r="J96" s="151"/>
      <c r="K96" s="152"/>
      <c r="L96" s="151">
        <v>523</v>
      </c>
      <c r="M96" s="151">
        <v>499</v>
      </c>
      <c r="N96" s="151">
        <v>535</v>
      </c>
      <c r="O96" s="151">
        <v>542</v>
      </c>
      <c r="P96" s="151">
        <v>475</v>
      </c>
      <c r="Q96" s="151">
        <v>458</v>
      </c>
      <c r="R96" s="151">
        <v>428</v>
      </c>
      <c r="S96" s="151">
        <v>388</v>
      </c>
      <c r="T96" s="151">
        <v>382</v>
      </c>
      <c r="U96" s="153">
        <v>364</v>
      </c>
      <c r="V96" s="72"/>
      <c r="W96" s="109">
        <f t="shared" si="157"/>
        <v>-4.5889101338432159E-2</v>
      </c>
      <c r="X96" s="109">
        <f t="shared" si="148"/>
        <v>7.2144288577154381E-2</v>
      </c>
      <c r="Y96" s="109">
        <f t="shared" si="149"/>
        <v>1.3084112149532645E-2</v>
      </c>
      <c r="Z96" s="109">
        <f t="shared" si="150"/>
        <v>-0.12361623616236161</v>
      </c>
      <c r="AA96" s="109">
        <f t="shared" si="151"/>
        <v>-3.5789473684210482E-2</v>
      </c>
      <c r="AB96" s="109">
        <f t="shared" si="152"/>
        <v>-6.5502183406113579E-2</v>
      </c>
      <c r="AC96" s="109">
        <f t="shared" si="153"/>
        <v>-9.3457943925233655E-2</v>
      </c>
      <c r="AD96" s="109">
        <f t="shared" si="154"/>
        <v>-1.5463917525773141E-2</v>
      </c>
      <c r="AE96" s="109">
        <f t="shared" si="155"/>
        <v>-4.7120418848167533E-2</v>
      </c>
      <c r="AF96" s="109">
        <f t="shared" si="158"/>
        <v>-3.7956763795956125E-2</v>
      </c>
      <c r="AG96" s="109">
        <f t="shared" si="159"/>
        <v>-5.5386115926321977E-2</v>
      </c>
      <c r="AJ96" s="72"/>
      <c r="AK96" s="75">
        <f>AK40+AK82</f>
        <v>360</v>
      </c>
      <c r="AL96" s="90">
        <f t="shared" ref="AK96:AP98" si="163">AL40+AL82</f>
        <v>356</v>
      </c>
      <c r="AM96" s="91">
        <f t="shared" si="163"/>
        <v>352</v>
      </c>
      <c r="AN96" s="91">
        <f t="shared" si="163"/>
        <v>348</v>
      </c>
      <c r="AO96" s="91">
        <f t="shared" si="163"/>
        <v>345</v>
      </c>
      <c r="AP96" s="92">
        <f t="shared" si="163"/>
        <v>342</v>
      </c>
      <c r="AQ96" s="70"/>
      <c r="AR96" s="70"/>
      <c r="AS96" s="67" t="s">
        <v>238</v>
      </c>
    </row>
    <row r="97" spans="1:45">
      <c r="A97" s="68" t="str">
        <f t="shared" si="143"/>
        <v>MDA_R_P_SS-</v>
      </c>
      <c r="B97" s="68" t="s">
        <v>237</v>
      </c>
      <c r="C97" s="68" t="s">
        <v>229</v>
      </c>
      <c r="D97" s="68" t="s">
        <v>225</v>
      </c>
      <c r="E97" s="68" t="s">
        <v>228</v>
      </c>
      <c r="I97" s="150" t="s">
        <v>109</v>
      </c>
      <c r="J97" s="151"/>
      <c r="K97" s="152"/>
      <c r="L97" s="151">
        <v>328</v>
      </c>
      <c r="M97" s="151">
        <v>318</v>
      </c>
      <c r="N97" s="151">
        <v>318</v>
      </c>
      <c r="O97" s="151">
        <v>314</v>
      </c>
      <c r="P97" s="151">
        <v>274</v>
      </c>
      <c r="Q97" s="151">
        <v>256</v>
      </c>
      <c r="R97" s="151">
        <v>268</v>
      </c>
      <c r="S97" s="151">
        <v>245</v>
      </c>
      <c r="T97" s="151">
        <v>163</v>
      </c>
      <c r="U97" s="153">
        <v>202</v>
      </c>
      <c r="V97" s="72"/>
      <c r="W97" s="109">
        <f t="shared" si="157"/>
        <v>-3.0487804878048808E-2</v>
      </c>
      <c r="X97" s="109">
        <f t="shared" si="148"/>
        <v>0</v>
      </c>
      <c r="Y97" s="109">
        <f t="shared" si="149"/>
        <v>-1.2578616352201255E-2</v>
      </c>
      <c r="Z97" s="109">
        <f t="shared" si="150"/>
        <v>-0.12738853503184711</v>
      </c>
      <c r="AA97" s="109">
        <f t="shared" si="151"/>
        <v>-6.5693430656934337E-2</v>
      </c>
      <c r="AB97" s="109">
        <f t="shared" si="152"/>
        <v>4.6875E-2</v>
      </c>
      <c r="AC97" s="109">
        <f t="shared" si="153"/>
        <v>-8.582089552238803E-2</v>
      </c>
      <c r="AD97" s="109">
        <f t="shared" si="154"/>
        <v>-0.33469387755102042</v>
      </c>
      <c r="AE97" s="109">
        <f t="shared" si="155"/>
        <v>0.23926380368098155</v>
      </c>
      <c r="AF97" s="109">
        <f t="shared" si="158"/>
        <v>-4.116937292349538E-2</v>
      </c>
      <c r="AG97" s="109">
        <f t="shared" si="159"/>
        <v>-3.3593992348106727E-2</v>
      </c>
      <c r="AJ97" s="72"/>
      <c r="AK97" s="75">
        <f t="shared" si="163"/>
        <v>197</v>
      </c>
      <c r="AL97" s="90">
        <f t="shared" si="163"/>
        <v>193</v>
      </c>
      <c r="AM97" s="91">
        <f t="shared" si="163"/>
        <v>188</v>
      </c>
      <c r="AN97" s="91">
        <f t="shared" si="163"/>
        <v>185</v>
      </c>
      <c r="AO97" s="91">
        <f t="shared" si="163"/>
        <v>183</v>
      </c>
      <c r="AP97" s="92">
        <f t="shared" si="163"/>
        <v>180</v>
      </c>
      <c r="AQ97" s="70"/>
      <c r="AR97" s="70"/>
      <c r="AS97" s="67" t="s">
        <v>238</v>
      </c>
    </row>
    <row r="98" spans="1:45">
      <c r="A98" s="68" t="str">
        <f t="shared" si="143"/>
        <v>MDA_R_EP_</v>
      </c>
      <c r="B98" s="68" t="s">
        <v>237</v>
      </c>
      <c r="C98" s="68" t="s">
        <v>229</v>
      </c>
      <c r="D98" s="68" t="s">
        <v>226</v>
      </c>
      <c r="I98" s="150" t="s">
        <v>110</v>
      </c>
      <c r="J98" s="151"/>
      <c r="K98" s="152"/>
      <c r="L98" s="151">
        <v>29</v>
      </c>
      <c r="M98" s="151">
        <v>22</v>
      </c>
      <c r="N98" s="151">
        <v>24</v>
      </c>
      <c r="O98" s="151">
        <v>30</v>
      </c>
      <c r="P98" s="151">
        <v>29</v>
      </c>
      <c r="Q98" s="151">
        <v>33</v>
      </c>
      <c r="R98" s="151">
        <v>29</v>
      </c>
      <c r="S98" s="151">
        <v>38</v>
      </c>
      <c r="T98" s="151">
        <v>21</v>
      </c>
      <c r="U98" s="153">
        <v>30</v>
      </c>
      <c r="V98" s="72"/>
      <c r="W98" s="109">
        <f t="shared" si="157"/>
        <v>-0.24137931034482762</v>
      </c>
      <c r="X98" s="109">
        <f t="shared" si="148"/>
        <v>9.0909090909090828E-2</v>
      </c>
      <c r="Y98" s="109">
        <f t="shared" si="149"/>
        <v>0.25</v>
      </c>
      <c r="Z98" s="109">
        <f t="shared" si="150"/>
        <v>-3.3333333333333326E-2</v>
      </c>
      <c r="AA98" s="109">
        <f t="shared" si="151"/>
        <v>0.13793103448275867</v>
      </c>
      <c r="AB98" s="109">
        <f t="shared" si="152"/>
        <v>-0.12121212121212122</v>
      </c>
      <c r="AC98" s="109">
        <f t="shared" si="153"/>
        <v>0.31034482758620685</v>
      </c>
      <c r="AD98" s="109">
        <f t="shared" si="154"/>
        <v>-0.44736842105263153</v>
      </c>
      <c r="AE98" s="109">
        <f t="shared" si="155"/>
        <v>0.4285714285714286</v>
      </c>
      <c r="AF98" s="109">
        <f t="shared" si="158"/>
        <v>4.1607021734063471E-2</v>
      </c>
      <c r="AG98" s="109">
        <f t="shared" si="159"/>
        <v>4.2583928473220678E-2</v>
      </c>
      <c r="AJ98" s="72"/>
      <c r="AK98" s="75">
        <f t="shared" si="163"/>
        <v>32</v>
      </c>
      <c r="AL98" s="90">
        <f t="shared" si="163"/>
        <v>34</v>
      </c>
      <c r="AM98" s="91">
        <f t="shared" si="163"/>
        <v>36</v>
      </c>
      <c r="AN98" s="91">
        <f t="shared" si="163"/>
        <v>38</v>
      </c>
      <c r="AO98" s="91">
        <f t="shared" si="163"/>
        <v>41</v>
      </c>
      <c r="AP98" s="92">
        <f t="shared" si="163"/>
        <v>44</v>
      </c>
      <c r="AQ98" s="70"/>
      <c r="AR98" s="70"/>
      <c r="AS98" s="67" t="s">
        <v>238</v>
      </c>
    </row>
    <row r="99" spans="1:45">
      <c r="A99" s="68" t="str">
        <f t="shared" si="143"/>
        <v>MDA_Oth_total_</v>
      </c>
      <c r="B99" s="68" t="s">
        <v>237</v>
      </c>
      <c r="C99" s="68" t="s">
        <v>230</v>
      </c>
      <c r="D99" s="68" t="s">
        <v>232</v>
      </c>
      <c r="I99" s="162" t="s">
        <v>111</v>
      </c>
      <c r="J99" s="163"/>
      <c r="K99" s="164"/>
      <c r="L99" s="163">
        <v>823</v>
      </c>
      <c r="M99" s="163">
        <v>674</v>
      </c>
      <c r="N99" s="163">
        <v>670</v>
      </c>
      <c r="O99" s="163">
        <v>572</v>
      </c>
      <c r="P99" s="163">
        <v>582</v>
      </c>
      <c r="Q99" s="163">
        <v>604</v>
      </c>
      <c r="R99" s="163">
        <v>557</v>
      </c>
      <c r="S99" s="163">
        <v>504</v>
      </c>
      <c r="T99" s="163">
        <v>441</v>
      </c>
      <c r="U99" s="165">
        <v>444</v>
      </c>
      <c r="V99" s="72"/>
      <c r="W99" s="109">
        <f t="shared" si="157"/>
        <v>-0.18104495747266103</v>
      </c>
      <c r="X99" s="109">
        <f t="shared" si="148"/>
        <v>-5.9347181008901906E-3</v>
      </c>
      <c r="Y99" s="109">
        <f t="shared" si="149"/>
        <v>-0.14626865671641787</v>
      </c>
      <c r="Z99" s="109">
        <f t="shared" si="150"/>
        <v>1.7482517482517501E-2</v>
      </c>
      <c r="AA99" s="109">
        <f t="shared" si="151"/>
        <v>3.7800687285223455E-2</v>
      </c>
      <c r="AB99" s="109">
        <f t="shared" si="152"/>
        <v>-7.781456953642385E-2</v>
      </c>
      <c r="AC99" s="109">
        <f t="shared" si="153"/>
        <v>-9.5152603231597799E-2</v>
      </c>
      <c r="AD99" s="109">
        <f t="shared" si="154"/>
        <v>-0.125</v>
      </c>
      <c r="AE99" s="109">
        <f t="shared" si="155"/>
        <v>6.8027210884353817E-3</v>
      </c>
      <c r="AF99" s="109">
        <f t="shared" si="158"/>
        <v>-6.3236619911312714E-2</v>
      </c>
      <c r="AG99" s="109">
        <f t="shared" si="159"/>
        <v>-7.2791112919896567E-2</v>
      </c>
      <c r="AJ99" s="72"/>
      <c r="AK99" s="127">
        <f t="shared" ref="AK99:AP99" si="164">SUM(AK100:AK101)</f>
        <v>425</v>
      </c>
      <c r="AL99" s="128">
        <f t="shared" si="164"/>
        <v>409</v>
      </c>
      <c r="AM99" s="129">
        <f t="shared" si="164"/>
        <v>393</v>
      </c>
      <c r="AN99" s="129">
        <f t="shared" si="164"/>
        <v>383</v>
      </c>
      <c r="AO99" s="129">
        <f t="shared" si="164"/>
        <v>379</v>
      </c>
      <c r="AP99" s="130">
        <f t="shared" si="164"/>
        <v>374</v>
      </c>
      <c r="AQ99" s="70"/>
      <c r="AR99" s="70"/>
      <c r="AS99" s="67" t="s">
        <v>238</v>
      </c>
    </row>
    <row r="100" spans="1:45">
      <c r="A100" s="68" t="str">
        <f t="shared" si="143"/>
        <v>MDA_Oth_P_SS+</v>
      </c>
      <c r="B100" s="68" t="s">
        <v>237</v>
      </c>
      <c r="C100" s="68" t="s">
        <v>230</v>
      </c>
      <c r="D100" s="68" t="s">
        <v>225</v>
      </c>
      <c r="E100" s="68" t="s">
        <v>227</v>
      </c>
      <c r="I100" s="150" t="s">
        <v>112</v>
      </c>
      <c r="J100" s="151"/>
      <c r="K100" s="152"/>
      <c r="L100" s="151">
        <v>630</v>
      </c>
      <c r="M100" s="151">
        <v>539</v>
      </c>
      <c r="N100" s="151">
        <v>507</v>
      </c>
      <c r="O100" s="151">
        <v>445</v>
      </c>
      <c r="P100" s="151">
        <v>467</v>
      </c>
      <c r="Q100" s="151">
        <v>481</v>
      </c>
      <c r="R100" s="151">
        <v>433</v>
      </c>
      <c r="S100" s="151">
        <v>394</v>
      </c>
      <c r="T100" s="151">
        <v>340</v>
      </c>
      <c r="U100" s="153">
        <v>354</v>
      </c>
      <c r="V100" s="72"/>
      <c r="W100" s="109">
        <f t="shared" si="157"/>
        <v>-0.14444444444444449</v>
      </c>
      <c r="X100" s="109">
        <f t="shared" si="148"/>
        <v>-5.9369202226345119E-2</v>
      </c>
      <c r="Y100" s="109">
        <f t="shared" si="149"/>
        <v>-0.12228796844181455</v>
      </c>
      <c r="Z100" s="109">
        <f t="shared" si="150"/>
        <v>4.9438202247191088E-2</v>
      </c>
      <c r="AA100" s="109">
        <f t="shared" si="151"/>
        <v>2.9978586723768741E-2</v>
      </c>
      <c r="AB100" s="109">
        <f t="shared" si="152"/>
        <v>-9.9792099792099798E-2</v>
      </c>
      <c r="AC100" s="109">
        <f t="shared" si="153"/>
        <v>-9.0069284064665078E-2</v>
      </c>
      <c r="AD100" s="109">
        <f t="shared" si="154"/>
        <v>-0.13705583756345174</v>
      </c>
      <c r="AE100" s="109">
        <f t="shared" si="155"/>
        <v>4.117647058823537E-2</v>
      </c>
      <c r="AF100" s="109">
        <f t="shared" si="158"/>
        <v>-5.9158397441513952E-2</v>
      </c>
      <c r="AG100" s="109">
        <f t="shared" si="159"/>
        <v>-7.1435187707995312E-2</v>
      </c>
      <c r="AJ100" s="72"/>
      <c r="AK100" s="75">
        <f t="shared" ref="AK100:AP101" si="165">AK44+AK86</f>
        <v>340</v>
      </c>
      <c r="AL100" s="90">
        <f t="shared" si="165"/>
        <v>328</v>
      </c>
      <c r="AM100" s="91">
        <f t="shared" si="165"/>
        <v>316</v>
      </c>
      <c r="AN100" s="91">
        <f t="shared" si="165"/>
        <v>309</v>
      </c>
      <c r="AO100" s="91">
        <f t="shared" si="165"/>
        <v>307</v>
      </c>
      <c r="AP100" s="92">
        <f t="shared" si="165"/>
        <v>304</v>
      </c>
      <c r="AQ100" s="70"/>
      <c r="AR100" s="70"/>
      <c r="AS100" s="67" t="s">
        <v>238</v>
      </c>
    </row>
    <row r="101" spans="1:45">
      <c r="A101" s="68" t="str">
        <f t="shared" si="143"/>
        <v>MDA_Oth_P/EP_SS-</v>
      </c>
      <c r="B101" s="68" t="s">
        <v>237</v>
      </c>
      <c r="C101" s="68" t="s">
        <v>230</v>
      </c>
      <c r="D101" s="68" t="s">
        <v>231</v>
      </c>
      <c r="E101" s="68" t="s">
        <v>228</v>
      </c>
      <c r="I101" s="150" t="s">
        <v>113</v>
      </c>
      <c r="J101" s="151"/>
      <c r="K101" s="152"/>
      <c r="L101" s="151">
        <v>193</v>
      </c>
      <c r="M101" s="151">
        <v>135</v>
      </c>
      <c r="N101" s="151">
        <v>163</v>
      </c>
      <c r="O101" s="151">
        <v>127</v>
      </c>
      <c r="P101" s="151">
        <v>115</v>
      </c>
      <c r="Q101" s="151">
        <v>123</v>
      </c>
      <c r="R101" s="151">
        <v>124</v>
      </c>
      <c r="S101" s="151">
        <v>110</v>
      </c>
      <c r="T101" s="151">
        <v>101</v>
      </c>
      <c r="U101" s="153">
        <v>90</v>
      </c>
      <c r="V101" s="72"/>
      <c r="W101" s="109">
        <f t="shared" si="157"/>
        <v>-0.30051813471502586</v>
      </c>
      <c r="X101" s="109">
        <f t="shared" si="148"/>
        <v>0.20740740740740748</v>
      </c>
      <c r="Y101" s="109">
        <f t="shared" si="149"/>
        <v>-0.22085889570552142</v>
      </c>
      <c r="Z101" s="109">
        <f t="shared" si="150"/>
        <v>-9.4488188976378007E-2</v>
      </c>
      <c r="AA101" s="109">
        <f t="shared" si="151"/>
        <v>6.956521739130439E-2</v>
      </c>
      <c r="AB101" s="109">
        <f t="shared" si="152"/>
        <v>8.1300813008129413E-3</v>
      </c>
      <c r="AC101" s="109">
        <f t="shared" si="153"/>
        <v>-0.11290322580645162</v>
      </c>
      <c r="AD101" s="109">
        <f t="shared" si="154"/>
        <v>-8.181818181818179E-2</v>
      </c>
      <c r="AE101" s="109">
        <f t="shared" si="155"/>
        <v>-0.1089108910891089</v>
      </c>
      <c r="AF101" s="109">
        <f t="shared" si="158"/>
        <v>-7.048831244568253E-2</v>
      </c>
      <c r="AG101" s="109">
        <f t="shared" si="159"/>
        <v>-7.3875554353232342E-2</v>
      </c>
      <c r="AJ101" s="72"/>
      <c r="AK101" s="75">
        <f t="shared" si="165"/>
        <v>85</v>
      </c>
      <c r="AL101" s="90">
        <f t="shared" si="165"/>
        <v>81</v>
      </c>
      <c r="AM101" s="91">
        <f t="shared" si="165"/>
        <v>77</v>
      </c>
      <c r="AN101" s="91">
        <f t="shared" si="165"/>
        <v>74</v>
      </c>
      <c r="AO101" s="91">
        <f t="shared" si="165"/>
        <v>72</v>
      </c>
      <c r="AP101" s="92">
        <f t="shared" si="165"/>
        <v>70</v>
      </c>
      <c r="AQ101" s="70"/>
      <c r="AR101" s="70"/>
      <c r="AS101" s="67" t="s">
        <v>238</v>
      </c>
    </row>
    <row r="102" spans="1:45" ht="16" thickBot="1">
      <c r="A102" s="68" t="str">
        <f t="shared" si="143"/>
        <v>MDA_All_total_</v>
      </c>
      <c r="B102" s="68" t="s">
        <v>237</v>
      </c>
      <c r="C102" s="68" t="s">
        <v>233</v>
      </c>
      <c r="D102" s="68" t="s">
        <v>232</v>
      </c>
      <c r="I102" s="166" t="s">
        <v>114</v>
      </c>
      <c r="J102" s="167"/>
      <c r="K102" s="168"/>
      <c r="L102" s="167">
        <v>5447</v>
      </c>
      <c r="M102" s="167">
        <v>5348</v>
      </c>
      <c r="N102" s="167">
        <v>5349</v>
      </c>
      <c r="O102" s="167">
        <v>5060</v>
      </c>
      <c r="P102" s="167">
        <v>4635</v>
      </c>
      <c r="Q102" s="167">
        <v>4211</v>
      </c>
      <c r="R102" s="167">
        <v>4126</v>
      </c>
      <c r="S102" s="167">
        <v>3857</v>
      </c>
      <c r="T102" s="167">
        <v>3458</v>
      </c>
      <c r="U102" s="169">
        <v>3323</v>
      </c>
      <c r="V102" s="72"/>
      <c r="W102" s="102">
        <f t="shared" si="157"/>
        <v>-1.8175142280154266E-2</v>
      </c>
      <c r="X102" s="102">
        <f t="shared" si="148"/>
        <v>1.869857890799409E-4</v>
      </c>
      <c r="Y102" s="102">
        <f t="shared" si="149"/>
        <v>-5.4028790428117368E-2</v>
      </c>
      <c r="Z102" s="102">
        <f t="shared" si="150"/>
        <v>-8.3992094861660038E-2</v>
      </c>
      <c r="AA102" s="102">
        <f t="shared" si="151"/>
        <v>-9.1477885652642921E-2</v>
      </c>
      <c r="AB102" s="102">
        <f t="shared" si="152"/>
        <v>-2.0185229161719276E-2</v>
      </c>
      <c r="AC102" s="102">
        <f t="shared" si="153"/>
        <v>-6.5196316044595304E-2</v>
      </c>
      <c r="AD102" s="102">
        <f t="shared" si="154"/>
        <v>-0.10344827586206895</v>
      </c>
      <c r="AE102" s="102">
        <f t="shared" si="155"/>
        <v>-3.9039907460960088E-2</v>
      </c>
      <c r="AF102" s="102">
        <f t="shared" si="158"/>
        <v>-5.2817406218093138E-2</v>
      </c>
      <c r="AG102" s="102">
        <f t="shared" si="159"/>
        <v>-5.6967432132335905E-2</v>
      </c>
      <c r="AJ102" s="72"/>
      <c r="AK102" s="134">
        <f t="shared" ref="AK102:AP102" si="166">SUM(AK90,AK94)</f>
        <v>3225</v>
      </c>
      <c r="AL102" s="182">
        <f t="shared" si="166"/>
        <v>3135</v>
      </c>
      <c r="AM102" s="183">
        <f t="shared" si="166"/>
        <v>3046</v>
      </c>
      <c r="AN102" s="183">
        <f t="shared" si="166"/>
        <v>2969</v>
      </c>
      <c r="AO102" s="183">
        <f t="shared" si="166"/>
        <v>2903</v>
      </c>
      <c r="AP102" s="184">
        <f t="shared" si="166"/>
        <v>2838</v>
      </c>
      <c r="AQ102" s="138"/>
      <c r="AR102" s="70"/>
      <c r="AS102" s="67" t="s">
        <v>238</v>
      </c>
    </row>
    <row r="103" spans="1:45" collapsed="1">
      <c r="V103" s="72"/>
      <c r="AJ103" s="72"/>
      <c r="AS103" s="67" t="s">
        <v>238</v>
      </c>
    </row>
    <row r="104" spans="1:45" ht="6" customHeight="1">
      <c r="A104" s="185"/>
      <c r="B104" s="185"/>
      <c r="C104" s="186"/>
      <c r="D104" s="186"/>
      <c r="E104" s="186"/>
      <c r="F104" s="186"/>
      <c r="G104" s="186"/>
      <c r="H104" s="186"/>
      <c r="I104" s="187"/>
      <c r="J104" s="187"/>
      <c r="K104" s="188"/>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9"/>
      <c r="AL104" s="189"/>
      <c r="AM104" s="189"/>
      <c r="AN104" s="189"/>
      <c r="AO104" s="189"/>
      <c r="AP104" s="189"/>
      <c r="AQ104" s="187"/>
      <c r="AR104" s="185"/>
      <c r="AS104" s="67" t="s">
        <v>238</v>
      </c>
    </row>
    <row r="105" spans="1:45" ht="21">
      <c r="F105" s="69" t="s">
        <v>2393</v>
      </c>
      <c r="G105" s="69" t="s">
        <v>168</v>
      </c>
      <c r="V105" s="72"/>
      <c r="AJ105" s="72"/>
      <c r="AS105" s="67" t="s">
        <v>238</v>
      </c>
    </row>
    <row r="106" spans="1:45" ht="21">
      <c r="F106" s="69" t="s">
        <v>2394</v>
      </c>
      <c r="G106" s="191"/>
      <c r="H106" s="192" t="s">
        <v>170</v>
      </c>
      <c r="I106" s="193"/>
      <c r="V106" s="72"/>
      <c r="AJ106" s="72"/>
      <c r="AS106" s="67" t="s">
        <v>238</v>
      </c>
    </row>
    <row r="107" spans="1:45" ht="17" thickBot="1">
      <c r="I107" s="181" t="s">
        <v>120</v>
      </c>
      <c r="K107" s="125"/>
      <c r="L107" s="85"/>
      <c r="M107" s="85"/>
      <c r="N107" s="85"/>
      <c r="O107" s="85"/>
      <c r="P107" s="85"/>
      <c r="Q107" s="85"/>
      <c r="R107" s="85"/>
      <c r="S107" s="85"/>
      <c r="T107" s="85"/>
      <c r="U107" s="85"/>
      <c r="V107" s="72"/>
      <c r="AJ107" s="72"/>
      <c r="AS107" s="67" t="s">
        <v>238</v>
      </c>
    </row>
    <row r="108" spans="1:45" ht="16">
      <c r="I108" s="194" t="s">
        <v>121</v>
      </c>
      <c r="J108" s="195"/>
      <c r="K108" s="196" t="s">
        <v>122</v>
      </c>
      <c r="L108" s="197">
        <v>0.24803664921465968</v>
      </c>
      <c r="M108" s="197">
        <v>0.27395411605937919</v>
      </c>
      <c r="N108" s="197">
        <v>0.26080892608089262</v>
      </c>
      <c r="O108" s="197">
        <v>0.26154769046190762</v>
      </c>
      <c r="P108" s="197">
        <v>0.2547814207650273</v>
      </c>
      <c r="Q108" s="197">
        <v>0.25855790240349602</v>
      </c>
      <c r="R108" s="197">
        <v>0.26323867996930161</v>
      </c>
      <c r="S108" s="197">
        <v>0.26623897353648757</v>
      </c>
      <c r="T108" s="197">
        <v>0.24036850921273031</v>
      </c>
      <c r="U108" s="198">
        <v>0.23425196850393701</v>
      </c>
      <c r="V108" s="72"/>
      <c r="AJ108" s="72"/>
      <c r="AS108" s="67" t="s">
        <v>238</v>
      </c>
    </row>
    <row r="109" spans="1:45" ht="16">
      <c r="I109" s="199" t="s">
        <v>121</v>
      </c>
      <c r="J109" s="200"/>
      <c r="K109" s="201" t="s">
        <v>123</v>
      </c>
      <c r="L109" s="202">
        <v>0.60273972602739723</v>
      </c>
      <c r="M109" s="202">
        <v>0.62127107652399483</v>
      </c>
      <c r="N109" s="202">
        <v>0.63164721141374836</v>
      </c>
      <c r="O109" s="202">
        <v>0.60573476702508966</v>
      </c>
      <c r="P109" s="202">
        <v>0.62797619047619047</v>
      </c>
      <c r="Q109" s="202">
        <v>0.63386396526772792</v>
      </c>
      <c r="R109" s="202">
        <v>0.65494137353433834</v>
      </c>
      <c r="S109" s="202">
        <v>0.62794918330308525</v>
      </c>
      <c r="T109" s="202">
        <v>0.63829787234042556</v>
      </c>
      <c r="U109" s="203">
        <v>0.57258064516129037</v>
      </c>
      <c r="V109" s="72"/>
      <c r="AJ109" s="72"/>
      <c r="AS109" s="67" t="s">
        <v>238</v>
      </c>
    </row>
    <row r="110" spans="1:45" ht="16">
      <c r="A110" s="68" t="str">
        <f>B110&amp;"_"&amp;C110&amp;"_"&amp;D110&amp;"_"&amp;E110</f>
        <v>MDA_New_RR/MDR_%</v>
      </c>
      <c r="B110" s="68" t="s">
        <v>237</v>
      </c>
      <c r="C110" s="68" t="s">
        <v>102</v>
      </c>
      <c r="D110" s="68" t="s">
        <v>125</v>
      </c>
      <c r="E110" s="68" t="s">
        <v>216</v>
      </c>
      <c r="I110" s="199" t="s">
        <v>124</v>
      </c>
      <c r="J110" s="200"/>
      <c r="K110" s="201" t="s">
        <v>122</v>
      </c>
      <c r="L110" s="202">
        <v>0.2650523560209424</v>
      </c>
      <c r="M110" s="202">
        <v>0.28407557354925778</v>
      </c>
      <c r="N110" s="202">
        <v>0.26499302649930268</v>
      </c>
      <c r="O110" s="202">
        <v>0.27164887307236063</v>
      </c>
      <c r="P110" s="202">
        <v>0.26713124274099886</v>
      </c>
      <c r="Q110" s="202">
        <v>0.26757934038581205</v>
      </c>
      <c r="R110" s="202">
        <v>0.27030378177309361</v>
      </c>
      <c r="S110" s="202">
        <v>0.27602108036890644</v>
      </c>
      <c r="T110" s="202">
        <v>0.27773900907187721</v>
      </c>
      <c r="U110" s="203">
        <v>0.26914329037149354</v>
      </c>
      <c r="V110" s="72"/>
      <c r="AJ110" s="72"/>
      <c r="AS110" s="67" t="s">
        <v>238</v>
      </c>
    </row>
    <row r="111" spans="1:45" ht="17" thickBot="1">
      <c r="A111" s="68" t="str">
        <f>B111&amp;"_"&amp;C111&amp;"_"&amp;D111&amp;"_"&amp;E111</f>
        <v>MDA_R_RR/MDR_%</v>
      </c>
      <c r="B111" s="68" t="s">
        <v>237</v>
      </c>
      <c r="C111" s="68" t="s">
        <v>229</v>
      </c>
      <c r="D111" s="68" t="s">
        <v>125</v>
      </c>
      <c r="E111" s="68" t="s">
        <v>216</v>
      </c>
      <c r="I111" s="204" t="s">
        <v>124</v>
      </c>
      <c r="J111" s="205"/>
      <c r="K111" s="206" t="s">
        <v>123</v>
      </c>
      <c r="L111" s="207">
        <v>0.61757990867579904</v>
      </c>
      <c r="M111" s="207">
        <v>0.63035019455252916</v>
      </c>
      <c r="N111" s="207">
        <v>0.63683527885862512</v>
      </c>
      <c r="O111" s="207">
        <v>0.61684460260972718</v>
      </c>
      <c r="P111" s="207">
        <v>0.60804020100502509</v>
      </c>
      <c r="Q111" s="207">
        <v>0.60918114143920599</v>
      </c>
      <c r="R111" s="207">
        <v>0.63243243243243241</v>
      </c>
      <c r="S111" s="207">
        <v>0.62410329985652802</v>
      </c>
      <c r="T111" s="207">
        <v>0.61619190404797597</v>
      </c>
      <c r="U111" s="208">
        <v>0.56132075471698117</v>
      </c>
      <c r="V111" s="72"/>
      <c r="AJ111" s="72"/>
      <c r="AS111" s="67" t="s">
        <v>238</v>
      </c>
    </row>
    <row r="112" spans="1:45" ht="17" thickBot="1">
      <c r="A112" s="68"/>
      <c r="B112" s="68"/>
      <c r="I112" s="93" t="s">
        <v>116</v>
      </c>
      <c r="K112" s="125"/>
      <c r="L112" s="209"/>
      <c r="M112" s="209"/>
      <c r="N112" s="209"/>
      <c r="O112" s="209"/>
      <c r="P112" s="209"/>
      <c r="Q112" s="209"/>
      <c r="R112" s="209"/>
      <c r="S112" s="209"/>
      <c r="T112" s="209"/>
      <c r="U112" s="209"/>
      <c r="V112" s="72"/>
      <c r="AJ112" s="72"/>
      <c r="AS112" s="67" t="s">
        <v>238</v>
      </c>
    </row>
    <row r="113" spans="1:45" ht="16">
      <c r="A113" s="68"/>
      <c r="B113" s="68"/>
      <c r="I113" s="194" t="s">
        <v>121</v>
      </c>
      <c r="J113" s="195"/>
      <c r="K113" s="196" t="s">
        <v>122</v>
      </c>
      <c r="L113" s="197">
        <v>0.23076923076923078</v>
      </c>
      <c r="M113" s="197">
        <v>0.25763508222396242</v>
      </c>
      <c r="N113" s="197">
        <v>0.24376508447304907</v>
      </c>
      <c r="O113" s="197">
        <v>0.24019270474879559</v>
      </c>
      <c r="P113" s="197">
        <v>0.22815533980582525</v>
      </c>
      <c r="Q113" s="197">
        <v>0.23449447748513169</v>
      </c>
      <c r="R113" s="197">
        <v>0.24206708975521304</v>
      </c>
      <c r="S113" s="197">
        <v>0.24362606232294617</v>
      </c>
      <c r="T113" s="197">
        <v>0.20348837209302326</v>
      </c>
      <c r="U113" s="198">
        <v>0.20045558086560364</v>
      </c>
      <c r="V113" s="72"/>
      <c r="AJ113" s="72"/>
      <c r="AS113" s="67" t="s">
        <v>238</v>
      </c>
    </row>
    <row r="114" spans="1:45" ht="16">
      <c r="A114" s="68"/>
      <c r="B114" s="68"/>
      <c r="I114" s="199" t="s">
        <v>121</v>
      </c>
      <c r="J114" s="200"/>
      <c r="K114" s="201" t="s">
        <v>123</v>
      </c>
      <c r="L114" s="202">
        <v>0.60220994475138123</v>
      </c>
      <c r="M114" s="202">
        <v>0.60089686098654704</v>
      </c>
      <c r="N114" s="202">
        <v>0.61492537313432838</v>
      </c>
      <c r="O114" s="202">
        <v>0.58106169296987087</v>
      </c>
      <c r="P114" s="202">
        <v>0.58790170132325137</v>
      </c>
      <c r="Q114" s="202">
        <v>0.57676348547717837</v>
      </c>
      <c r="R114" s="202">
        <v>0.58823529411764708</v>
      </c>
      <c r="S114" s="202">
        <v>0.54353562005277045</v>
      </c>
      <c r="T114" s="202">
        <v>0.55361596009975067</v>
      </c>
      <c r="U114" s="203">
        <v>0.51884057971014497</v>
      </c>
      <c r="V114" s="72"/>
      <c r="AJ114" s="72"/>
      <c r="AS114" s="67" t="s">
        <v>238</v>
      </c>
    </row>
    <row r="115" spans="1:45" ht="16">
      <c r="A115" s="68" t="str">
        <f t="shared" ref="A115:A116" si="167">B115&amp;"_"&amp;C115&amp;"_"&amp;D115&amp;"_"&amp;E115</f>
        <v>RB_New_RR/MDR_%</v>
      </c>
      <c r="B115" s="68" t="s">
        <v>235</v>
      </c>
      <c r="C115" s="68" t="s">
        <v>102</v>
      </c>
      <c r="D115" s="68" t="s">
        <v>125</v>
      </c>
      <c r="E115" s="68" t="s">
        <v>216</v>
      </c>
      <c r="I115" s="199" t="s">
        <v>124</v>
      </c>
      <c r="J115" s="200"/>
      <c r="K115" s="201" t="s">
        <v>122</v>
      </c>
      <c r="L115" s="202">
        <v>0.24960753532182103</v>
      </c>
      <c r="M115" s="202">
        <v>0.26703210649960846</v>
      </c>
      <c r="N115" s="202">
        <v>0.24778761061946902</v>
      </c>
      <c r="O115" s="202">
        <v>0.25135869565217389</v>
      </c>
      <c r="P115" s="202">
        <v>0.24385245901639344</v>
      </c>
      <c r="Q115" s="202">
        <v>0.24218181818181819</v>
      </c>
      <c r="R115" s="202">
        <v>0.24306076519129782</v>
      </c>
      <c r="S115" s="202">
        <v>0.25413060582218727</v>
      </c>
      <c r="T115" s="202">
        <v>0.23407775020678245</v>
      </c>
      <c r="U115" s="203">
        <v>0.22944896115627822</v>
      </c>
      <c r="V115" s="72"/>
      <c r="AJ115" s="72"/>
      <c r="AS115" s="67" t="s">
        <v>238</v>
      </c>
    </row>
    <row r="116" spans="1:45" ht="17" thickBot="1">
      <c r="A116" s="68" t="str">
        <f t="shared" si="167"/>
        <v>RB_R_RR/MDR_%</v>
      </c>
      <c r="B116" s="68" t="s">
        <v>235</v>
      </c>
      <c r="C116" s="68" t="s">
        <v>229</v>
      </c>
      <c r="D116" s="68" t="s">
        <v>125</v>
      </c>
      <c r="E116" s="68" t="s">
        <v>216</v>
      </c>
      <c r="I116" s="204" t="s">
        <v>124</v>
      </c>
      <c r="J116" s="205"/>
      <c r="K116" s="206" t="s">
        <v>123</v>
      </c>
      <c r="L116" s="207">
        <v>0.61740331491712708</v>
      </c>
      <c r="M116" s="207">
        <v>0.6113602391629297</v>
      </c>
      <c r="N116" s="207">
        <v>0.61940298507462688</v>
      </c>
      <c r="O116" s="207">
        <v>0.59317211948790893</v>
      </c>
      <c r="P116" s="210">
        <v>0.57704402515723274</v>
      </c>
      <c r="Q116" s="210">
        <v>0.55574614065180106</v>
      </c>
      <c r="R116" s="210">
        <v>0.56546489563567359</v>
      </c>
      <c r="S116" s="207">
        <v>0.55186721991701249</v>
      </c>
      <c r="T116" s="210">
        <v>0.53878406708595383</v>
      </c>
      <c r="U116" s="211">
        <v>0.50660792951541855</v>
      </c>
      <c r="V116" s="72"/>
      <c r="AJ116" s="72"/>
      <c r="AS116" s="67" t="s">
        <v>238</v>
      </c>
    </row>
    <row r="117" spans="1:45" ht="17" thickBot="1">
      <c r="A117" s="68"/>
      <c r="B117" s="68"/>
      <c r="I117" s="180" t="s">
        <v>119</v>
      </c>
      <c r="K117" s="125"/>
      <c r="L117" s="209"/>
      <c r="M117" s="209"/>
      <c r="N117" s="209"/>
      <c r="O117" s="209"/>
      <c r="P117" s="209"/>
      <c r="Q117" s="209"/>
      <c r="R117" s="209"/>
      <c r="S117" s="209"/>
      <c r="T117" s="209"/>
      <c r="U117" s="209"/>
      <c r="V117" s="72"/>
      <c r="AJ117" s="72"/>
      <c r="AS117" s="67" t="s">
        <v>238</v>
      </c>
    </row>
    <row r="118" spans="1:45" ht="16">
      <c r="A118" s="68"/>
      <c r="B118" s="68"/>
      <c r="I118" s="212" t="s">
        <v>121</v>
      </c>
      <c r="J118" s="195"/>
      <c r="K118" s="213" t="s">
        <v>122</v>
      </c>
      <c r="L118" s="197">
        <v>0.3346456692913386</v>
      </c>
      <c r="M118" s="197">
        <v>0.37560975609756098</v>
      </c>
      <c r="N118" s="197">
        <v>0.37172774869109948</v>
      </c>
      <c r="O118" s="197">
        <v>0.40654205607476634</v>
      </c>
      <c r="P118" s="197">
        <v>0.39912280701754388</v>
      </c>
      <c r="Q118" s="197">
        <v>0.40306122448979592</v>
      </c>
      <c r="R118" s="197">
        <v>0.38</v>
      </c>
      <c r="S118" s="197">
        <v>0.39361702127659576</v>
      </c>
      <c r="T118" s="197">
        <v>0.47530864197530864</v>
      </c>
      <c r="U118" s="198">
        <v>0.44927536231884058</v>
      </c>
      <c r="V118" s="72"/>
      <c r="AJ118" s="72"/>
      <c r="AS118" s="67" t="s">
        <v>238</v>
      </c>
    </row>
    <row r="119" spans="1:45" ht="16">
      <c r="A119" s="68"/>
      <c r="B119" s="68"/>
      <c r="I119" s="214" t="s">
        <v>121</v>
      </c>
      <c r="J119" s="200"/>
      <c r="K119" s="215" t="s">
        <v>123</v>
      </c>
      <c r="L119" s="202">
        <v>0.60526315789473684</v>
      </c>
      <c r="M119" s="202">
        <v>0.75490196078431371</v>
      </c>
      <c r="N119" s="202">
        <v>0.74257425742574257</v>
      </c>
      <c r="O119" s="202">
        <v>0.72857142857142854</v>
      </c>
      <c r="P119" s="202">
        <v>0.77622377622377625</v>
      </c>
      <c r="Q119" s="202">
        <v>0.76555023923444976</v>
      </c>
      <c r="R119" s="202">
        <v>0.81976744186046513</v>
      </c>
      <c r="S119" s="202">
        <v>0.81395348837209303</v>
      </c>
      <c r="T119" s="202">
        <v>0.84662576687116564</v>
      </c>
      <c r="U119" s="203">
        <v>0.69536423841059603</v>
      </c>
      <c r="V119" s="72"/>
      <c r="AJ119" s="72"/>
      <c r="AS119" s="67" t="s">
        <v>238</v>
      </c>
    </row>
    <row r="120" spans="1:45" ht="16">
      <c r="A120" s="68" t="str">
        <f t="shared" ref="A120:A121" si="168">B120&amp;"_"&amp;C120&amp;"_"&amp;D120&amp;"_"&amp;E120</f>
        <v>LB_New_RR/MDR_%</v>
      </c>
      <c r="B120" s="68" t="s">
        <v>236</v>
      </c>
      <c r="C120" s="68" t="s">
        <v>102</v>
      </c>
      <c r="D120" s="68" t="s">
        <v>125</v>
      </c>
      <c r="E120" s="68" t="s">
        <v>216</v>
      </c>
      <c r="I120" s="214" t="s">
        <v>124</v>
      </c>
      <c r="J120" s="200"/>
      <c r="K120" s="215" t="s">
        <v>122</v>
      </c>
      <c r="L120" s="202">
        <v>0.34251968503937008</v>
      </c>
      <c r="M120" s="202">
        <v>0.3902439024390244</v>
      </c>
      <c r="N120" s="202">
        <v>0.37696335078534032</v>
      </c>
      <c r="O120" s="202">
        <v>0.41121495327102803</v>
      </c>
      <c r="P120" s="202">
        <v>0.39922480620155038</v>
      </c>
      <c r="Q120" s="202">
        <v>0.41810344827586204</v>
      </c>
      <c r="R120" s="202">
        <v>0.4</v>
      </c>
      <c r="S120" s="216">
        <v>0.38866396761133604</v>
      </c>
      <c r="T120" s="202">
        <v>0.5133928571428571</v>
      </c>
      <c r="U120" s="203">
        <v>0.47641509433962265</v>
      </c>
      <c r="V120" s="72"/>
      <c r="AJ120" s="72"/>
      <c r="AS120" s="67" t="s">
        <v>238</v>
      </c>
    </row>
    <row r="121" spans="1:45" ht="17" thickBot="1">
      <c r="A121" s="68" t="str">
        <f t="shared" si="168"/>
        <v>LB_R_RR/MDR_%</v>
      </c>
      <c r="B121" s="68" t="s">
        <v>236</v>
      </c>
      <c r="C121" s="68" t="s">
        <v>229</v>
      </c>
      <c r="D121" s="68" t="s">
        <v>125</v>
      </c>
      <c r="E121" s="68" t="s">
        <v>216</v>
      </c>
      <c r="I121" s="217" t="s">
        <v>124</v>
      </c>
      <c r="J121" s="205"/>
      <c r="K121" s="218" t="s">
        <v>123</v>
      </c>
      <c r="L121" s="207">
        <v>0.61842105263157898</v>
      </c>
      <c r="M121" s="207">
        <v>0.75490196078431371</v>
      </c>
      <c r="N121" s="207">
        <v>0.75247524752475248</v>
      </c>
      <c r="O121" s="207">
        <v>0.73571428571428577</v>
      </c>
      <c r="P121" s="210">
        <v>0.73124999999999996</v>
      </c>
      <c r="Q121" s="210">
        <v>0.7488789237668162</v>
      </c>
      <c r="R121" s="210">
        <v>0.7981220657276995</v>
      </c>
      <c r="S121" s="210">
        <v>0.78604651162790695</v>
      </c>
      <c r="T121" s="210">
        <v>0.81052631578947365</v>
      </c>
      <c r="U121" s="208">
        <v>0.69780219780219777</v>
      </c>
      <c r="V121" s="72"/>
      <c r="AJ121" s="72"/>
      <c r="AS121" s="67" t="s">
        <v>238</v>
      </c>
    </row>
    <row r="122" spans="1:45" collapsed="1">
      <c r="A122" s="68"/>
      <c r="I122" s="70"/>
      <c r="J122" s="71"/>
      <c r="K122" s="71"/>
      <c r="L122" s="70"/>
      <c r="M122" s="70"/>
      <c r="N122" s="70"/>
      <c r="O122" s="70"/>
      <c r="P122" s="70"/>
      <c r="Q122" s="70"/>
      <c r="R122" s="70"/>
      <c r="S122" s="70"/>
      <c r="T122" s="70"/>
      <c r="U122" s="219"/>
      <c r="V122" s="72"/>
      <c r="AJ122" s="72"/>
      <c r="AS122" s="67" t="s">
        <v>238</v>
      </c>
    </row>
    <row r="123" spans="1:45" ht="21">
      <c r="F123" s="69" t="s">
        <v>2395</v>
      </c>
      <c r="G123" s="191"/>
      <c r="H123" s="192" t="s">
        <v>171</v>
      </c>
      <c r="I123" s="220"/>
      <c r="J123" s="71"/>
      <c r="K123" s="71"/>
      <c r="L123" s="70"/>
      <c r="M123" s="70"/>
      <c r="N123" s="70"/>
      <c r="O123" s="70"/>
      <c r="P123" s="70"/>
      <c r="Q123" s="70"/>
      <c r="R123" s="70"/>
      <c r="S123" s="70"/>
      <c r="T123" s="70"/>
      <c r="U123" s="219"/>
      <c r="V123" s="72"/>
      <c r="AJ123" s="72"/>
      <c r="AS123" s="67" t="s">
        <v>238</v>
      </c>
    </row>
    <row r="124" spans="1:45" ht="17" thickBot="1">
      <c r="I124" s="181" t="s">
        <v>120</v>
      </c>
      <c r="J124" s="124"/>
      <c r="K124" s="71"/>
      <c r="L124" s="85"/>
      <c r="M124" s="85"/>
      <c r="N124" s="85"/>
      <c r="O124" s="85"/>
      <c r="P124" s="85"/>
      <c r="Q124" s="85"/>
      <c r="R124" s="85"/>
      <c r="S124" s="85"/>
      <c r="T124" s="85"/>
      <c r="U124" s="85"/>
      <c r="V124" s="221"/>
      <c r="AJ124" s="72"/>
      <c r="AS124" s="67" t="s">
        <v>238</v>
      </c>
    </row>
    <row r="125" spans="1:45" ht="16">
      <c r="A125" s="68" t="str">
        <f>B125&amp;"_"&amp;C125&amp;"_"&amp;D125&amp;"_"&amp;E125&amp;"_"&amp;F125</f>
        <v>MDA_New_poly_H (± S)_%</v>
      </c>
      <c r="B125" s="68" t="s">
        <v>237</v>
      </c>
      <c r="C125" s="68" t="s">
        <v>102</v>
      </c>
      <c r="D125" s="68" t="s">
        <v>249</v>
      </c>
      <c r="E125" s="68" t="str">
        <f>J125</f>
        <v>H (± S)</v>
      </c>
      <c r="F125" s="68" t="s">
        <v>216</v>
      </c>
      <c r="I125" s="194" t="s">
        <v>173</v>
      </c>
      <c r="J125" s="222" t="s">
        <v>126</v>
      </c>
      <c r="K125" s="196" t="s">
        <v>122</v>
      </c>
      <c r="L125" s="197">
        <v>9.717662508207485E-2</v>
      </c>
      <c r="M125" s="197">
        <v>0.10206896551724139</v>
      </c>
      <c r="N125" s="197">
        <v>0.10183150183150183</v>
      </c>
      <c r="O125" s="197">
        <v>0.11764705882352941</v>
      </c>
      <c r="P125" s="197">
        <v>0.10973936899862825</v>
      </c>
      <c r="Q125" s="197">
        <v>9.919766593727207E-2</v>
      </c>
      <c r="R125" s="197">
        <v>9.9154496541122211E-2</v>
      </c>
      <c r="S125" s="197">
        <v>9.6385542168674704E-2</v>
      </c>
      <c r="T125" s="197">
        <v>8.298407376362113E-2</v>
      </c>
      <c r="U125" s="198">
        <v>8.8669950738916259E-2</v>
      </c>
      <c r="V125" s="223"/>
      <c r="AJ125" s="72"/>
      <c r="AS125" s="67" t="s">
        <v>238</v>
      </c>
    </row>
    <row r="126" spans="1:45" ht="16">
      <c r="A126" s="68" t="str">
        <f t="shared" ref="A126:A138" si="169">B126&amp;"_"&amp;C126&amp;"_"&amp;D126&amp;"_"&amp;E126&amp;"_"&amp;F126</f>
        <v>MDA_R_poly_H (± S)_%</v>
      </c>
      <c r="B126" s="68" t="s">
        <v>237</v>
      </c>
      <c r="C126" s="68" t="s">
        <v>229</v>
      </c>
      <c r="D126" s="68" t="s">
        <v>249</v>
      </c>
      <c r="E126" s="68" t="str">
        <f>J126</f>
        <v>H (± S)</v>
      </c>
      <c r="F126" s="68" t="s">
        <v>216</v>
      </c>
      <c r="I126" s="199"/>
      <c r="J126" s="224" t="s">
        <v>126</v>
      </c>
      <c r="K126" s="201" t="s">
        <v>123</v>
      </c>
      <c r="L126" s="202">
        <v>9.8152424942263283E-2</v>
      </c>
      <c r="M126" s="202">
        <v>7.2386058981233251E-2</v>
      </c>
      <c r="N126" s="202">
        <v>6.4383561643835616E-2</v>
      </c>
      <c r="O126" s="202">
        <v>6.9682151589242056E-2</v>
      </c>
      <c r="P126" s="202">
        <v>6.485671191553545E-2</v>
      </c>
      <c r="Q126" s="202">
        <v>7.2463768115942032E-2</v>
      </c>
      <c r="R126" s="202">
        <v>6.2080536912751678E-2</v>
      </c>
      <c r="S126" s="202">
        <v>5.9891107078039928E-2</v>
      </c>
      <c r="T126" s="202">
        <v>3.2085561497326207E-2</v>
      </c>
      <c r="U126" s="203">
        <v>5.8585858585858588E-2</v>
      </c>
      <c r="V126" s="223"/>
      <c r="AJ126" s="72"/>
      <c r="AS126" s="67" t="s">
        <v>238</v>
      </c>
    </row>
    <row r="127" spans="1:45" ht="16">
      <c r="A127" s="68" t="str">
        <f t="shared" si="169"/>
        <v>MDA_New_poly_H and E (+/-S)_%</v>
      </c>
      <c r="B127" s="68" t="s">
        <v>237</v>
      </c>
      <c r="C127" s="68" t="s">
        <v>102</v>
      </c>
      <c r="D127" s="68" t="s">
        <v>249</v>
      </c>
      <c r="E127" s="68" t="str">
        <f>J127</f>
        <v>H and E (+/-S)</v>
      </c>
      <c r="F127" s="68" t="s">
        <v>216</v>
      </c>
      <c r="I127" s="199"/>
      <c r="J127" s="224" t="s">
        <v>127</v>
      </c>
      <c r="K127" s="201" t="s">
        <v>122</v>
      </c>
      <c r="L127" s="202">
        <v>2.1011162179908074E-2</v>
      </c>
      <c r="M127" s="202">
        <v>2.0689655172413793E-2</v>
      </c>
      <c r="N127" s="202">
        <v>1.8315018315018316E-2</v>
      </c>
      <c r="O127" s="202">
        <v>1.758641600970285E-2</v>
      </c>
      <c r="P127" s="202">
        <v>1.0973936899862825E-2</v>
      </c>
      <c r="Q127" s="202">
        <v>1.3129102844638949E-2</v>
      </c>
      <c r="R127" s="202">
        <v>9.9923136049192927E-3</v>
      </c>
      <c r="S127" s="202">
        <v>1.0441767068273093E-2</v>
      </c>
      <c r="T127" s="202">
        <v>8.3822296730930428E-3</v>
      </c>
      <c r="U127" s="203">
        <v>4.9261083743842365E-3</v>
      </c>
      <c r="V127" s="223"/>
      <c r="AJ127" s="72"/>
      <c r="AS127" s="67" t="s">
        <v>238</v>
      </c>
    </row>
    <row r="128" spans="1:45" ht="17" thickBot="1">
      <c r="A128" s="68" t="str">
        <f t="shared" si="169"/>
        <v>MDA_R_poly_H and E (+/-S)_%</v>
      </c>
      <c r="B128" s="68" t="s">
        <v>237</v>
      </c>
      <c r="C128" s="68" t="s">
        <v>229</v>
      </c>
      <c r="D128" s="68" t="s">
        <v>249</v>
      </c>
      <c r="E128" s="68" t="str">
        <f>J128</f>
        <v>H and E (+/-S)</v>
      </c>
      <c r="F128" s="68" t="s">
        <v>216</v>
      </c>
      <c r="I128" s="204"/>
      <c r="J128" s="225" t="s">
        <v>127</v>
      </c>
      <c r="K128" s="206" t="s">
        <v>123</v>
      </c>
      <c r="L128" s="207">
        <v>1.9630484988452657E-2</v>
      </c>
      <c r="M128" s="207">
        <v>1.7426273458445041E-2</v>
      </c>
      <c r="N128" s="207">
        <v>1.9178082191780823E-2</v>
      </c>
      <c r="O128" s="207">
        <v>1.4669926650366748E-2</v>
      </c>
      <c r="P128" s="207">
        <v>4.5248868778280547E-3</v>
      </c>
      <c r="Q128" s="207">
        <v>5.7971014492753624E-3</v>
      </c>
      <c r="R128" s="207">
        <v>3.3557046979865771E-3</v>
      </c>
      <c r="S128" s="207">
        <v>1.8148820326678765E-3</v>
      </c>
      <c r="T128" s="207">
        <v>1.7825311942959001E-3</v>
      </c>
      <c r="U128" s="208">
        <v>2.0202020202020202E-3</v>
      </c>
      <c r="V128" s="223"/>
      <c r="AJ128" s="72"/>
      <c r="AS128" s="67" t="s">
        <v>238</v>
      </c>
    </row>
    <row r="129" spans="1:45" ht="17" thickBot="1">
      <c r="A129" s="68"/>
      <c r="B129" s="68"/>
      <c r="I129" s="93" t="s">
        <v>116</v>
      </c>
      <c r="J129" s="124"/>
      <c r="K129" s="71"/>
      <c r="L129" s="209"/>
      <c r="M129" s="209"/>
      <c r="N129" s="209"/>
      <c r="O129" s="209"/>
      <c r="P129" s="209"/>
      <c r="Q129" s="209"/>
      <c r="R129" s="209"/>
      <c r="S129" s="209"/>
      <c r="T129" s="209"/>
      <c r="U129" s="209"/>
      <c r="V129" s="223"/>
      <c r="AJ129" s="72"/>
      <c r="AS129" s="67" t="s">
        <v>238</v>
      </c>
    </row>
    <row r="130" spans="1:45" ht="16">
      <c r="A130" s="68" t="str">
        <f t="shared" si="169"/>
        <v>RB_New_poly_H (± S)_%</v>
      </c>
      <c r="B130" s="68" t="s">
        <v>235</v>
      </c>
      <c r="C130" s="68" t="s">
        <v>102</v>
      </c>
      <c r="D130" s="68" t="s">
        <v>249</v>
      </c>
      <c r="E130" s="68" t="str">
        <f>J130</f>
        <v>H (± S)</v>
      </c>
      <c r="F130" s="68" t="s">
        <v>216</v>
      </c>
      <c r="I130" s="194" t="s">
        <v>173</v>
      </c>
      <c r="J130" s="222" t="s">
        <v>126</v>
      </c>
      <c r="K130" s="196" t="s">
        <v>122</v>
      </c>
      <c r="L130" s="197">
        <v>9.6926713947990545E-2</v>
      </c>
      <c r="M130" s="197">
        <v>0.10526315789473684</v>
      </c>
      <c r="N130" s="197">
        <v>0.10243492863140219</v>
      </c>
      <c r="O130" s="197">
        <v>0.11118832522585129</v>
      </c>
      <c r="P130" s="197">
        <v>0.11201298701298701</v>
      </c>
      <c r="Q130" s="197">
        <v>0.10468085106382979</v>
      </c>
      <c r="R130" s="197">
        <v>0.10535876475930972</v>
      </c>
      <c r="S130" s="197">
        <v>9.7445600756859041E-2</v>
      </c>
      <c r="T130" s="197">
        <v>8.3414161008729393E-2</v>
      </c>
      <c r="U130" s="198">
        <v>9.1220068415051314E-2</v>
      </c>
      <c r="V130" s="223"/>
      <c r="AJ130" s="72"/>
      <c r="AS130" s="67" t="s">
        <v>238</v>
      </c>
    </row>
    <row r="131" spans="1:45" ht="16">
      <c r="A131" s="68" t="str">
        <f t="shared" si="169"/>
        <v>RB_R_poly_H (± S)_%</v>
      </c>
      <c r="B131" s="68" t="s">
        <v>235</v>
      </c>
      <c r="C131" s="68" t="s">
        <v>229</v>
      </c>
      <c r="D131" s="68" t="s">
        <v>249</v>
      </c>
      <c r="E131" s="68" t="str">
        <f>J131</f>
        <v>H (± S)</v>
      </c>
      <c r="F131" s="68" t="s">
        <v>216</v>
      </c>
      <c r="I131" s="199"/>
      <c r="J131" s="224" t="s">
        <v>126</v>
      </c>
      <c r="K131" s="201" t="s">
        <v>123</v>
      </c>
      <c r="L131" s="202">
        <v>0.10069930069930071</v>
      </c>
      <c r="M131" s="202">
        <v>7.5617283950617287E-2</v>
      </c>
      <c r="N131" s="202">
        <v>6.4263322884012541E-2</v>
      </c>
      <c r="O131" s="202">
        <v>6.9117647058823534E-2</v>
      </c>
      <c r="P131" s="202">
        <v>7.0881226053639848E-2</v>
      </c>
      <c r="Q131" s="202">
        <v>7.9002079002079006E-2</v>
      </c>
      <c r="R131" s="202">
        <v>7.5471698113207544E-2</v>
      </c>
      <c r="S131" s="202">
        <v>6.860158311345646E-2</v>
      </c>
      <c r="T131" s="202">
        <v>3.2663316582914576E-2</v>
      </c>
      <c r="U131" s="203">
        <v>5.5232558139534885E-2</v>
      </c>
      <c r="V131" s="223"/>
      <c r="AJ131" s="72"/>
      <c r="AS131" s="67" t="s">
        <v>238</v>
      </c>
    </row>
    <row r="132" spans="1:45" ht="16">
      <c r="A132" s="68" t="str">
        <f t="shared" si="169"/>
        <v>RB_New_poly_H and E (+/-S)_%</v>
      </c>
      <c r="B132" s="68" t="s">
        <v>235</v>
      </c>
      <c r="C132" s="68" t="s">
        <v>102</v>
      </c>
      <c r="D132" s="68" t="s">
        <v>249</v>
      </c>
      <c r="E132" s="68" t="str">
        <f>J132</f>
        <v>H and E (+/-S)</v>
      </c>
      <c r="F132" s="68" t="s">
        <v>216</v>
      </c>
      <c r="I132" s="199"/>
      <c r="J132" s="224" t="s">
        <v>127</v>
      </c>
      <c r="K132" s="201" t="s">
        <v>122</v>
      </c>
      <c r="L132" s="202">
        <v>1.9700551615445233E-2</v>
      </c>
      <c r="M132" s="202">
        <v>2.1531100478468901E-2</v>
      </c>
      <c r="N132" s="202">
        <v>1.6792611251049538E-2</v>
      </c>
      <c r="O132" s="202">
        <v>1.8763029881862403E-2</v>
      </c>
      <c r="P132" s="202">
        <v>1.2175324675324676E-2</v>
      </c>
      <c r="Q132" s="202">
        <v>1.5319148936170212E-2</v>
      </c>
      <c r="R132" s="202">
        <v>1.0899182561307902E-2</v>
      </c>
      <c r="S132" s="202">
        <v>1.1352885525070956E-2</v>
      </c>
      <c r="T132" s="202">
        <v>9.6993210475266739E-3</v>
      </c>
      <c r="U132" s="203">
        <v>5.7012542759407071E-3</v>
      </c>
      <c r="V132" s="223"/>
      <c r="AJ132" s="72"/>
      <c r="AS132" s="67" t="s">
        <v>238</v>
      </c>
    </row>
    <row r="133" spans="1:45" ht="17" thickBot="1">
      <c r="A133" s="68" t="str">
        <f t="shared" si="169"/>
        <v>RB_R_poly_H and E (+/-S)_%</v>
      </c>
      <c r="B133" s="68" t="s">
        <v>235</v>
      </c>
      <c r="C133" s="68" t="s">
        <v>229</v>
      </c>
      <c r="D133" s="68" t="s">
        <v>249</v>
      </c>
      <c r="E133" s="68" t="str">
        <f>J133</f>
        <v>H and E (+/-S)</v>
      </c>
      <c r="F133" s="68" t="s">
        <v>216</v>
      </c>
      <c r="I133" s="204"/>
      <c r="J133" s="225" t="s">
        <v>127</v>
      </c>
      <c r="K133" s="206" t="s">
        <v>123</v>
      </c>
      <c r="L133" s="207">
        <v>1.9580419580419582E-2</v>
      </c>
      <c r="M133" s="207">
        <v>1.8518518518518517E-2</v>
      </c>
      <c r="N133" s="207">
        <v>2.037617554858934E-2</v>
      </c>
      <c r="O133" s="207">
        <v>1.4705882352941176E-2</v>
      </c>
      <c r="P133" s="207">
        <v>5.7471264367816091E-3</v>
      </c>
      <c r="Q133" s="207">
        <v>8.3160083160083165E-3</v>
      </c>
      <c r="R133" s="207">
        <v>4.7169811320754715E-3</v>
      </c>
      <c r="S133" s="207">
        <v>2.6385224274406332E-3</v>
      </c>
      <c r="T133" s="207">
        <v>2.5125628140703518E-3</v>
      </c>
      <c r="U133" s="208">
        <v>0</v>
      </c>
      <c r="V133" s="223"/>
      <c r="AJ133" s="72"/>
      <c r="AS133" s="67" t="s">
        <v>238</v>
      </c>
    </row>
    <row r="134" spans="1:45" ht="17" thickBot="1">
      <c r="A134" s="68"/>
      <c r="B134" s="68"/>
      <c r="I134" s="180" t="s">
        <v>119</v>
      </c>
      <c r="J134" s="124"/>
      <c r="K134" s="71"/>
      <c r="L134" s="209"/>
      <c r="M134" s="209"/>
      <c r="N134" s="209"/>
      <c r="O134" s="209"/>
      <c r="P134" s="209"/>
      <c r="Q134" s="209"/>
      <c r="R134" s="209"/>
      <c r="S134" s="209"/>
      <c r="T134" s="209"/>
      <c r="U134" s="209"/>
      <c r="V134" s="223"/>
      <c r="AJ134" s="72"/>
      <c r="AS134" s="67" t="s">
        <v>238</v>
      </c>
    </row>
    <row r="135" spans="1:45" ht="16">
      <c r="A135" s="68" t="str">
        <f t="shared" si="169"/>
        <v>LB_New_poly_H (± S)_%</v>
      </c>
      <c r="B135" s="68" t="s">
        <v>236</v>
      </c>
      <c r="C135" s="68" t="s">
        <v>102</v>
      </c>
      <c r="D135" s="68" t="s">
        <v>249</v>
      </c>
      <c r="E135" s="68" t="str">
        <f>J135</f>
        <v>H (± S)</v>
      </c>
      <c r="F135" s="68" t="s">
        <v>216</v>
      </c>
      <c r="I135" s="194" t="s">
        <v>173</v>
      </c>
      <c r="J135" s="222" t="s">
        <v>126</v>
      </c>
      <c r="K135" s="196" t="s">
        <v>122</v>
      </c>
      <c r="L135" s="197">
        <v>9.8425196850393706E-2</v>
      </c>
      <c r="M135" s="197">
        <v>8.1632653061224483E-2</v>
      </c>
      <c r="N135" s="197">
        <v>9.7701149425287362E-2</v>
      </c>
      <c r="O135" s="197">
        <v>0.16190476190476191</v>
      </c>
      <c r="P135" s="197">
        <v>9.7345132743362831E-2</v>
      </c>
      <c r="Q135" s="197">
        <v>6.6326530612244902E-2</v>
      </c>
      <c r="R135" s="197">
        <v>6.5000000000000002E-2</v>
      </c>
      <c r="S135" s="197">
        <v>9.0425531914893623E-2</v>
      </c>
      <c r="T135" s="197">
        <v>8.0246913580246909E-2</v>
      </c>
      <c r="U135" s="198">
        <v>7.2463768115942032E-2</v>
      </c>
      <c r="V135" s="223"/>
      <c r="AJ135" s="72"/>
      <c r="AS135" s="67" t="s">
        <v>238</v>
      </c>
    </row>
    <row r="136" spans="1:45" ht="16">
      <c r="A136" s="68" t="str">
        <f t="shared" si="169"/>
        <v>LB_R_poly_H (± S)_%</v>
      </c>
      <c r="B136" s="68" t="s">
        <v>236</v>
      </c>
      <c r="C136" s="68" t="s">
        <v>229</v>
      </c>
      <c r="D136" s="68" t="s">
        <v>249</v>
      </c>
      <c r="E136" s="68" t="str">
        <f>J136</f>
        <v>H (± S)</v>
      </c>
      <c r="F136" s="68" t="s">
        <v>216</v>
      </c>
      <c r="I136" s="199"/>
      <c r="J136" s="224" t="s">
        <v>126</v>
      </c>
      <c r="K136" s="201" t="s">
        <v>123</v>
      </c>
      <c r="L136" s="202">
        <v>8.6092715231788075E-2</v>
      </c>
      <c r="M136" s="202">
        <v>5.1020408163265307E-2</v>
      </c>
      <c r="N136" s="202">
        <v>6.5217391304347824E-2</v>
      </c>
      <c r="O136" s="202">
        <v>7.2463768115942032E-2</v>
      </c>
      <c r="P136" s="202">
        <v>4.2553191489361701E-2</v>
      </c>
      <c r="Q136" s="202">
        <v>5.7416267942583733E-2</v>
      </c>
      <c r="R136" s="202">
        <v>2.9069767441860465E-2</v>
      </c>
      <c r="S136" s="202">
        <v>4.0697674418604654E-2</v>
      </c>
      <c r="T136" s="202">
        <v>3.0674846625766871E-2</v>
      </c>
      <c r="U136" s="203">
        <v>6.6225165562913912E-2</v>
      </c>
      <c r="V136" s="223"/>
      <c r="AJ136" s="72"/>
      <c r="AS136" s="67" t="s">
        <v>238</v>
      </c>
    </row>
    <row r="137" spans="1:45" ht="16">
      <c r="A137" s="68" t="str">
        <f t="shared" si="169"/>
        <v>LB_New_poly_H and E (+/-S)_%</v>
      </c>
      <c r="B137" s="68" t="s">
        <v>236</v>
      </c>
      <c r="C137" s="68" t="s">
        <v>102</v>
      </c>
      <c r="D137" s="68" t="s">
        <v>249</v>
      </c>
      <c r="E137" s="68" t="str">
        <f>J137</f>
        <v>H and E (+/-S)</v>
      </c>
      <c r="F137" s="68" t="s">
        <v>216</v>
      </c>
      <c r="I137" s="199"/>
      <c r="J137" s="224" t="s">
        <v>127</v>
      </c>
      <c r="K137" s="201" t="s">
        <v>122</v>
      </c>
      <c r="L137" s="202">
        <v>2.7559055118110236E-2</v>
      </c>
      <c r="M137" s="202">
        <v>1.5306122448979591E-2</v>
      </c>
      <c r="N137" s="202">
        <v>2.8735632183908046E-2</v>
      </c>
      <c r="O137" s="202">
        <v>9.5238095238095247E-3</v>
      </c>
      <c r="P137" s="202">
        <v>4.4247787610619468E-3</v>
      </c>
      <c r="Q137" s="202">
        <v>0</v>
      </c>
      <c r="R137" s="202">
        <v>5.0000000000000001E-3</v>
      </c>
      <c r="S137" s="202">
        <v>5.3191489361702126E-3</v>
      </c>
      <c r="T137" s="202">
        <v>0</v>
      </c>
      <c r="U137" s="203">
        <v>0</v>
      </c>
      <c r="V137" s="223"/>
      <c r="AJ137" s="72"/>
      <c r="AS137" s="67" t="s">
        <v>238</v>
      </c>
    </row>
    <row r="138" spans="1:45" ht="17" thickBot="1">
      <c r="A138" s="68" t="str">
        <f t="shared" si="169"/>
        <v>LB_R_poly_H and E (+/-S)_%</v>
      </c>
      <c r="B138" s="68" t="s">
        <v>236</v>
      </c>
      <c r="C138" s="68" t="s">
        <v>229</v>
      </c>
      <c r="D138" s="68" t="s">
        <v>249</v>
      </c>
      <c r="E138" s="68" t="str">
        <f>J138</f>
        <v>H and E (+/-S)</v>
      </c>
      <c r="F138" s="68" t="s">
        <v>216</v>
      </c>
      <c r="I138" s="204"/>
      <c r="J138" s="225" t="s">
        <v>127</v>
      </c>
      <c r="K138" s="206" t="s">
        <v>123</v>
      </c>
      <c r="L138" s="207">
        <v>1.9867549668874173E-2</v>
      </c>
      <c r="M138" s="207">
        <v>1.020408163265306E-2</v>
      </c>
      <c r="N138" s="207">
        <v>1.0869565217391304E-2</v>
      </c>
      <c r="O138" s="207">
        <v>1.4492753623188406E-2</v>
      </c>
      <c r="P138" s="207">
        <v>0</v>
      </c>
      <c r="Q138" s="207">
        <v>0</v>
      </c>
      <c r="R138" s="207">
        <v>0</v>
      </c>
      <c r="S138" s="207">
        <v>0</v>
      </c>
      <c r="T138" s="207">
        <v>0</v>
      </c>
      <c r="U138" s="208">
        <v>6.6225165562913907E-3</v>
      </c>
      <c r="V138" s="223"/>
      <c r="AJ138" s="72"/>
      <c r="AS138" s="67" t="s">
        <v>238</v>
      </c>
    </row>
    <row r="139" spans="1:45" collapsed="1">
      <c r="V139" s="72"/>
      <c r="AJ139" s="72"/>
      <c r="AL139" s="226"/>
      <c r="AS139" s="67" t="s">
        <v>238</v>
      </c>
    </row>
    <row r="140" spans="1:45" ht="21">
      <c r="F140" s="69" t="s">
        <v>2396</v>
      </c>
      <c r="G140" s="191"/>
      <c r="H140" s="192" t="s">
        <v>172</v>
      </c>
      <c r="I140" s="193"/>
      <c r="V140" s="72"/>
      <c r="AJ140" s="72"/>
      <c r="AS140" s="67" t="s">
        <v>238</v>
      </c>
    </row>
    <row r="141" spans="1:45" ht="17" thickBot="1">
      <c r="I141" s="181" t="s">
        <v>120</v>
      </c>
      <c r="J141" s="124"/>
      <c r="K141" s="71"/>
      <c r="L141" s="85"/>
      <c r="M141" s="85"/>
      <c r="N141" s="85"/>
      <c r="O141" s="85"/>
      <c r="P141" s="85"/>
      <c r="Q141" s="85"/>
      <c r="R141" s="85"/>
      <c r="S141" s="85"/>
      <c r="T141" s="85"/>
      <c r="U141" s="85"/>
      <c r="V141" s="72"/>
      <c r="AJ141" s="72"/>
      <c r="AS141" s="67" t="s">
        <v>238</v>
      </c>
    </row>
    <row r="142" spans="1:45" ht="16">
      <c r="I142" s="194" t="s">
        <v>174</v>
      </c>
      <c r="J142" s="222" t="s">
        <v>169</v>
      </c>
      <c r="K142" s="196" t="s">
        <v>122</v>
      </c>
      <c r="L142" s="197">
        <v>3.1914893617021274E-2</v>
      </c>
      <c r="M142" s="197">
        <v>2.7777777777777776E-2</v>
      </c>
      <c r="N142" s="197">
        <v>3.6036036036036036E-2</v>
      </c>
      <c r="O142" s="197">
        <v>5.2083333333333336E-2</v>
      </c>
      <c r="P142" s="197">
        <v>8.6538461538461536E-2</v>
      </c>
      <c r="Q142" s="197">
        <v>0.11764705882352941</v>
      </c>
      <c r="R142" s="197">
        <v>0.1</v>
      </c>
      <c r="S142" s="197">
        <v>9.7791798107255523E-2</v>
      </c>
      <c r="T142" s="197">
        <v>0.15636363636363637</v>
      </c>
      <c r="U142" s="198">
        <v>0.12217194570135746</v>
      </c>
      <c r="V142" s="72"/>
      <c r="AJ142" s="72"/>
      <c r="AS142" s="67" t="s">
        <v>238</v>
      </c>
    </row>
    <row r="143" spans="1:45" ht="16">
      <c r="I143" s="199"/>
      <c r="J143" s="224"/>
      <c r="K143" s="201" t="s">
        <v>123</v>
      </c>
      <c r="L143" s="202">
        <v>0.10964912280701754</v>
      </c>
      <c r="M143" s="202">
        <v>0.21226415094339623</v>
      </c>
      <c r="N143" s="202">
        <v>0.19680851063829788</v>
      </c>
      <c r="O143" s="202">
        <v>0.27814569536423839</v>
      </c>
      <c r="P143" s="202">
        <v>0.21134020618556701</v>
      </c>
      <c r="Q143" s="202">
        <v>0.28354430379746837</v>
      </c>
      <c r="R143" s="202">
        <v>0.28242074927953892</v>
      </c>
      <c r="S143" s="202">
        <v>0.33846153846153848</v>
      </c>
      <c r="T143" s="202">
        <v>0.35276967930029157</v>
      </c>
      <c r="U143" s="203">
        <v>0.28015564202334631</v>
      </c>
      <c r="V143" s="72"/>
      <c r="AJ143" s="72"/>
      <c r="AS143" s="67" t="s">
        <v>238</v>
      </c>
    </row>
    <row r="144" spans="1:45" ht="16">
      <c r="A144" s="68" t="str">
        <f t="shared" ref="A144:A145" si="170">B144&amp;"_"&amp;C144&amp;"_"&amp;D144&amp;"_"&amp;E144</f>
        <v>MDA_New_FQrez_%</v>
      </c>
      <c r="B144" s="68" t="s">
        <v>237</v>
      </c>
      <c r="C144" s="68" t="s">
        <v>102</v>
      </c>
      <c r="D144" s="68" t="s">
        <v>250</v>
      </c>
      <c r="E144" s="68" t="s">
        <v>216</v>
      </c>
      <c r="I144" s="199"/>
      <c r="J144" s="224" t="s">
        <v>125</v>
      </c>
      <c r="K144" s="201" t="s">
        <v>122</v>
      </c>
      <c r="L144" s="202">
        <v>3.0927835051546393E-2</v>
      </c>
      <c r="M144" s="202">
        <v>2.7522935779816515E-2</v>
      </c>
      <c r="N144" s="202">
        <v>3.5714285714285712E-2</v>
      </c>
      <c r="O144" s="202">
        <v>5.1546391752577317E-2</v>
      </c>
      <c r="P144" s="202">
        <v>8.5972850678733032E-2</v>
      </c>
      <c r="Q144" s="202">
        <v>0.11572700296735905</v>
      </c>
      <c r="R144" s="202">
        <v>9.49367088607595E-2</v>
      </c>
      <c r="S144" s="202">
        <v>9.4674556213017749E-2</v>
      </c>
      <c r="T144" s="202">
        <v>0.14576271186440679</v>
      </c>
      <c r="U144" s="203">
        <v>0.11637931034482758</v>
      </c>
      <c r="V144" s="72"/>
      <c r="AJ144" s="72"/>
      <c r="AS144" s="67" t="s">
        <v>238</v>
      </c>
    </row>
    <row r="145" spans="1:45" ht="17" thickBot="1">
      <c r="A145" s="68" t="str">
        <f t="shared" si="170"/>
        <v>MDA_R_FQrez_%</v>
      </c>
      <c r="B145" s="68" t="s">
        <v>237</v>
      </c>
      <c r="C145" s="68" t="s">
        <v>229</v>
      </c>
      <c r="D145" s="68" t="s">
        <v>250</v>
      </c>
      <c r="E145" s="68" t="s">
        <v>216</v>
      </c>
      <c r="I145" s="204"/>
      <c r="J145" s="225"/>
      <c r="K145" s="206" t="s">
        <v>123</v>
      </c>
      <c r="L145" s="207">
        <v>0.10964912280701754</v>
      </c>
      <c r="M145" s="207">
        <v>0.21226415094339623</v>
      </c>
      <c r="N145" s="207">
        <v>0.19680851063829788</v>
      </c>
      <c r="O145" s="207">
        <v>0.28289473684210525</v>
      </c>
      <c r="P145" s="207">
        <v>0.23267326732673269</v>
      </c>
      <c r="Q145" s="207">
        <v>0.28883495145631066</v>
      </c>
      <c r="R145" s="207">
        <v>0.28184281842818426</v>
      </c>
      <c r="S145" s="207">
        <v>0.34502923976608185</v>
      </c>
      <c r="T145" s="207">
        <v>0.3504273504273504</v>
      </c>
      <c r="U145" s="208">
        <v>0.27340823970037453</v>
      </c>
      <c r="V145" s="72"/>
      <c r="AJ145" s="72"/>
      <c r="AS145" s="67" t="s">
        <v>238</v>
      </c>
    </row>
    <row r="146" spans="1:45" ht="17" thickBot="1">
      <c r="A146" s="68"/>
      <c r="B146" s="68"/>
      <c r="I146" s="93" t="s">
        <v>116</v>
      </c>
      <c r="J146" s="124"/>
      <c r="K146" s="71"/>
      <c r="L146" s="85"/>
      <c r="M146" s="85"/>
      <c r="N146" s="85"/>
      <c r="O146" s="85"/>
      <c r="P146" s="85"/>
      <c r="Q146" s="85"/>
      <c r="R146" s="85"/>
      <c r="S146" s="85"/>
      <c r="T146" s="85"/>
      <c r="U146" s="85"/>
      <c r="V146" s="72"/>
      <c r="AJ146" s="72"/>
      <c r="AS146" s="67" t="s">
        <v>238</v>
      </c>
    </row>
    <row r="147" spans="1:45" ht="16">
      <c r="A147" s="68"/>
      <c r="B147" s="68"/>
      <c r="I147" s="194" t="s">
        <v>174</v>
      </c>
      <c r="J147" s="222" t="s">
        <v>169</v>
      </c>
      <c r="K147" s="196" t="s">
        <v>122</v>
      </c>
      <c r="L147" s="197">
        <v>3.896103896103896E-2</v>
      </c>
      <c r="M147" s="197">
        <v>3.0927835051546393E-2</v>
      </c>
      <c r="N147" s="197">
        <v>0.03</v>
      </c>
      <c r="O147" s="197">
        <v>5.7142857142857141E-2</v>
      </c>
      <c r="P147" s="197">
        <v>0.1</v>
      </c>
      <c r="Q147" s="197">
        <v>0.12096774193548387</v>
      </c>
      <c r="R147" s="197">
        <v>7.7586206896551727E-2</v>
      </c>
      <c r="S147" s="197">
        <v>8.5714285714285715E-2</v>
      </c>
      <c r="T147" s="197">
        <v>0.14285714285714285</v>
      </c>
      <c r="U147" s="198">
        <v>0.10843373493975904</v>
      </c>
      <c r="V147" s="72"/>
      <c r="AJ147" s="72"/>
      <c r="AS147" s="67" t="s">
        <v>238</v>
      </c>
    </row>
    <row r="148" spans="1:45" ht="16">
      <c r="A148" s="68"/>
      <c r="B148" s="68"/>
      <c r="I148" s="199"/>
      <c r="J148" s="224"/>
      <c r="K148" s="201" t="s">
        <v>123</v>
      </c>
      <c r="L148" s="202">
        <v>0.10552763819095477</v>
      </c>
      <c r="M148" s="202">
        <v>0.20108695652173914</v>
      </c>
      <c r="N148" s="202">
        <v>0.16167664670658682</v>
      </c>
      <c r="O148" s="202">
        <v>0.22018348623853212</v>
      </c>
      <c r="P148" s="202">
        <v>0.22047244094488189</v>
      </c>
      <c r="Q148" s="202">
        <v>0.2151394422310757</v>
      </c>
      <c r="R148" s="202">
        <v>0.23766816143497757</v>
      </c>
      <c r="S148" s="202">
        <v>0.30102040816326531</v>
      </c>
      <c r="T148" s="202">
        <v>0.32380952380952382</v>
      </c>
      <c r="U148" s="203">
        <v>0.28749999999999998</v>
      </c>
      <c r="V148" s="72"/>
      <c r="AJ148" s="72"/>
      <c r="AS148" s="67" t="s">
        <v>238</v>
      </c>
    </row>
    <row r="149" spans="1:45" ht="16">
      <c r="A149" s="68" t="str">
        <f t="shared" ref="A149:A150" si="171">B149&amp;"_"&amp;C149&amp;"_"&amp;D149&amp;"_"&amp;E149</f>
        <v>RB_New_FQrez_%</v>
      </c>
      <c r="B149" s="68" t="s">
        <v>235</v>
      </c>
      <c r="C149" s="68" t="s">
        <v>102</v>
      </c>
      <c r="D149" s="68" t="s">
        <v>250</v>
      </c>
      <c r="E149" s="68" t="s">
        <v>216</v>
      </c>
      <c r="I149" s="199"/>
      <c r="J149" s="224" t="s">
        <v>125</v>
      </c>
      <c r="K149" s="201" t="s">
        <v>122</v>
      </c>
      <c r="L149" s="202">
        <v>3.7974683544303799E-2</v>
      </c>
      <c r="M149" s="202">
        <v>3.0612244897959183E-2</v>
      </c>
      <c r="N149" s="202">
        <v>2.9702970297029702E-2</v>
      </c>
      <c r="O149" s="202">
        <v>5.6338028169014086E-2</v>
      </c>
      <c r="P149" s="202">
        <v>9.2715231788079472E-2</v>
      </c>
      <c r="Q149" s="202">
        <v>0.11969111969111969</v>
      </c>
      <c r="R149" s="202">
        <v>7.407407407407407E-2</v>
      </c>
      <c r="S149" s="202">
        <v>7.9545454545454544E-2</v>
      </c>
      <c r="T149" s="216">
        <v>0.13181818181818181</v>
      </c>
      <c r="U149" s="203">
        <v>0.10169491525423729</v>
      </c>
      <c r="V149" s="72"/>
      <c r="AJ149" s="72"/>
      <c r="AS149" s="67" t="s">
        <v>238</v>
      </c>
    </row>
    <row r="150" spans="1:45" ht="17" thickBot="1">
      <c r="A150" s="68" t="str">
        <f t="shared" si="171"/>
        <v>RB_R_FQrez_%</v>
      </c>
      <c r="B150" s="68" t="s">
        <v>235</v>
      </c>
      <c r="C150" s="68" t="s">
        <v>229</v>
      </c>
      <c r="D150" s="68" t="s">
        <v>250</v>
      </c>
      <c r="E150" s="68" t="s">
        <v>216</v>
      </c>
      <c r="I150" s="204"/>
      <c r="J150" s="225"/>
      <c r="K150" s="206" t="s">
        <v>123</v>
      </c>
      <c r="L150" s="207">
        <v>0.10552763819095477</v>
      </c>
      <c r="M150" s="207">
        <v>0.20108695652173914</v>
      </c>
      <c r="N150" s="207">
        <v>0.16167664670658682</v>
      </c>
      <c r="O150" s="207">
        <v>0.22727272727272727</v>
      </c>
      <c r="P150" s="207">
        <v>0.25185185185185183</v>
      </c>
      <c r="Q150" s="207">
        <v>0.2247191011235955</v>
      </c>
      <c r="R150" s="207">
        <v>0.24066390041493776</v>
      </c>
      <c r="S150" s="207">
        <v>0.31455399061032863</v>
      </c>
      <c r="T150" s="210">
        <v>0.32258064516129031</v>
      </c>
      <c r="U150" s="208">
        <v>0.27647058823529413</v>
      </c>
      <c r="V150" s="72"/>
      <c r="AJ150" s="72"/>
      <c r="AS150" s="67" t="s">
        <v>238</v>
      </c>
    </row>
    <row r="151" spans="1:45" ht="17" thickBot="1">
      <c r="A151" s="68"/>
      <c r="B151" s="68"/>
      <c r="I151" s="180" t="s">
        <v>119</v>
      </c>
      <c r="J151" s="124"/>
      <c r="K151" s="71"/>
      <c r="L151" s="85"/>
      <c r="M151" s="85"/>
      <c r="N151" s="85"/>
      <c r="O151" s="85"/>
      <c r="P151" s="85"/>
      <c r="Q151" s="85"/>
      <c r="R151" s="85"/>
      <c r="S151" s="85"/>
      <c r="T151" s="85"/>
      <c r="U151" s="85"/>
      <c r="V151" s="72"/>
      <c r="AJ151" s="72"/>
      <c r="AS151" s="67" t="s">
        <v>238</v>
      </c>
    </row>
    <row r="152" spans="1:45" ht="16">
      <c r="A152" s="68"/>
      <c r="B152" s="68"/>
      <c r="I152" s="194" t="s">
        <v>174</v>
      </c>
      <c r="J152" s="222" t="s">
        <v>169</v>
      </c>
      <c r="K152" s="196" t="s">
        <v>122</v>
      </c>
      <c r="L152" s="197">
        <v>0</v>
      </c>
      <c r="M152" s="197">
        <v>0</v>
      </c>
      <c r="N152" s="197">
        <v>9.0909090909090912E-2</v>
      </c>
      <c r="O152" s="197">
        <v>3.8461538461538464E-2</v>
      </c>
      <c r="P152" s="197">
        <v>5.8823529411764705E-2</v>
      </c>
      <c r="Q152" s="197">
        <v>0.10666666666666667</v>
      </c>
      <c r="R152" s="197">
        <v>0.17647058823529413</v>
      </c>
      <c r="S152" s="197">
        <v>0.1388888888888889</v>
      </c>
      <c r="T152" s="197">
        <v>0.19444444444444445</v>
      </c>
      <c r="U152" s="198">
        <v>0.16363636363636364</v>
      </c>
      <c r="V152" s="72"/>
      <c r="AJ152" s="72"/>
      <c r="AS152" s="67" t="s">
        <v>238</v>
      </c>
    </row>
    <row r="153" spans="1:45" ht="16">
      <c r="A153" s="68"/>
      <c r="B153" s="68"/>
      <c r="I153" s="199"/>
      <c r="J153" s="224"/>
      <c r="K153" s="201" t="s">
        <v>123</v>
      </c>
      <c r="L153" s="202">
        <v>0.13793103448275862</v>
      </c>
      <c r="M153" s="202">
        <v>0.2857142857142857</v>
      </c>
      <c r="N153" s="202">
        <v>0.47619047619047616</v>
      </c>
      <c r="O153" s="202">
        <v>0.42857142857142855</v>
      </c>
      <c r="P153" s="202">
        <v>0.19402985074626866</v>
      </c>
      <c r="Q153" s="202">
        <v>0.40277777777777779</v>
      </c>
      <c r="R153" s="202">
        <v>0.36290322580645162</v>
      </c>
      <c r="S153" s="202">
        <v>0.39534883720930231</v>
      </c>
      <c r="T153" s="202">
        <v>0.39849624060150374</v>
      </c>
      <c r="U153" s="203">
        <v>0.26804123711340205</v>
      </c>
      <c r="V153" s="72"/>
      <c r="AJ153" s="72"/>
      <c r="AS153" s="67" t="s">
        <v>238</v>
      </c>
    </row>
    <row r="154" spans="1:45" ht="16">
      <c r="A154" s="68" t="str">
        <f t="shared" ref="A154:A155" si="172">B154&amp;"_"&amp;C154&amp;"_"&amp;D154&amp;"_"&amp;E154</f>
        <v>LB_New_FQrez_%</v>
      </c>
      <c r="B154" s="68" t="s">
        <v>236</v>
      </c>
      <c r="C154" s="68" t="s">
        <v>102</v>
      </c>
      <c r="D154" s="68" t="s">
        <v>250</v>
      </c>
      <c r="E154" s="68" t="s">
        <v>216</v>
      </c>
      <c r="I154" s="199"/>
      <c r="J154" s="224" t="s">
        <v>125</v>
      </c>
      <c r="K154" s="201" t="s">
        <v>122</v>
      </c>
      <c r="L154" s="202">
        <v>0</v>
      </c>
      <c r="M154" s="202">
        <v>0</v>
      </c>
      <c r="N154" s="202">
        <v>9.0909090909090912E-2</v>
      </c>
      <c r="O154" s="202">
        <v>3.8461538461538464E-2</v>
      </c>
      <c r="P154" s="202">
        <v>7.1428571428571425E-2</v>
      </c>
      <c r="Q154" s="202">
        <v>0.10256410256410256</v>
      </c>
      <c r="R154" s="202">
        <v>0.16438356164383561</v>
      </c>
      <c r="S154" s="202">
        <v>0.14864864864864866</v>
      </c>
      <c r="T154" s="216">
        <v>0.18666666666666668</v>
      </c>
      <c r="U154" s="203">
        <v>0.16363636363636364</v>
      </c>
      <c r="V154" s="72"/>
      <c r="AJ154" s="72"/>
      <c r="AS154" s="67" t="s">
        <v>238</v>
      </c>
    </row>
    <row r="155" spans="1:45" ht="17" thickBot="1">
      <c r="A155" s="68" t="str">
        <f t="shared" si="172"/>
        <v>LB_R_FQrez_%</v>
      </c>
      <c r="B155" s="68" t="s">
        <v>236</v>
      </c>
      <c r="C155" s="68" t="s">
        <v>229</v>
      </c>
      <c r="D155" s="68" t="s">
        <v>250</v>
      </c>
      <c r="E155" s="68" t="s">
        <v>216</v>
      </c>
      <c r="I155" s="204"/>
      <c r="J155" s="225"/>
      <c r="K155" s="206" t="s">
        <v>123</v>
      </c>
      <c r="L155" s="207">
        <v>0.13793103448275862</v>
      </c>
      <c r="M155" s="207">
        <v>0.2857142857142857</v>
      </c>
      <c r="N155" s="207">
        <v>0.47619047619047616</v>
      </c>
      <c r="O155" s="207">
        <v>0.42857142857142855</v>
      </c>
      <c r="P155" s="207">
        <v>0.19402985074626866</v>
      </c>
      <c r="Q155" s="207">
        <v>0.40689655172413791</v>
      </c>
      <c r="R155" s="207">
        <v>0.359375</v>
      </c>
      <c r="S155" s="207">
        <v>0.39534883720930231</v>
      </c>
      <c r="T155" s="210">
        <v>0.39552238805970147</v>
      </c>
      <c r="U155" s="208">
        <v>0.26804123711340205</v>
      </c>
      <c r="V155" s="72"/>
      <c r="AJ155" s="72"/>
      <c r="AS155" s="67" t="s">
        <v>238</v>
      </c>
    </row>
    <row r="156" spans="1:45" collapsed="1">
      <c r="V156" s="72"/>
      <c r="AJ156" s="72"/>
      <c r="AS156" s="67" t="s">
        <v>238</v>
      </c>
    </row>
    <row r="157" spans="1:45" ht="6" customHeight="1">
      <c r="A157" s="185"/>
      <c r="B157" s="185"/>
      <c r="C157" s="186"/>
      <c r="D157" s="186"/>
      <c r="E157" s="186"/>
      <c r="F157" s="186"/>
      <c r="G157" s="186"/>
      <c r="H157" s="186"/>
      <c r="I157" s="187"/>
      <c r="J157" s="187"/>
      <c r="K157" s="188"/>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74"/>
      <c r="AJ157" s="187"/>
      <c r="AK157" s="189"/>
      <c r="AL157" s="189"/>
      <c r="AM157" s="189"/>
      <c r="AN157" s="189"/>
      <c r="AO157" s="189"/>
      <c r="AP157" s="189"/>
      <c r="AQ157" s="187"/>
      <c r="AR157" s="185"/>
      <c r="AS157" s="67" t="s">
        <v>238</v>
      </c>
    </row>
    <row r="158" spans="1:45" ht="21">
      <c r="F158" s="227" t="s">
        <v>2397</v>
      </c>
      <c r="G158" s="69" t="s">
        <v>94</v>
      </c>
      <c r="H158" s="228"/>
      <c r="V158" s="72"/>
      <c r="AE158"/>
      <c r="AF158"/>
      <c r="AG158" s="124" t="s">
        <v>146</v>
      </c>
      <c r="AH158" s="124" t="s">
        <v>147</v>
      </c>
      <c r="AJ158" s="72"/>
      <c r="AS158" s="67" t="s">
        <v>238</v>
      </c>
    </row>
    <row r="159" spans="1:45">
      <c r="H159" s="1436" t="s">
        <v>2399</v>
      </c>
      <c r="I159"/>
      <c r="J159" s="277"/>
      <c r="K159" s="1407"/>
      <c r="L159" s="277"/>
      <c r="M159" s="277"/>
      <c r="N159" s="277"/>
      <c r="O159" s="277"/>
      <c r="P159" s="277"/>
      <c r="Q159" s="277"/>
      <c r="R159" s="277"/>
      <c r="S159" s="277"/>
      <c r="T159" s="277"/>
      <c r="U159" s="277"/>
      <c r="V159" s="72"/>
      <c r="W159" s="237"/>
      <c r="X159" s="237"/>
      <c r="Y159" s="237"/>
      <c r="Z159" s="237"/>
      <c r="AA159" s="237"/>
      <c r="AB159" s="237"/>
      <c r="AC159" s="237"/>
      <c r="AD159" s="237"/>
      <c r="AE159"/>
      <c r="AF159"/>
      <c r="AG159" s="240"/>
      <c r="AJ159" s="72"/>
      <c r="AK159" s="242"/>
      <c r="AL159" s="243"/>
      <c r="AM159" s="243"/>
      <c r="AN159" s="243"/>
      <c r="AO159" s="243"/>
      <c r="AP159" s="243"/>
      <c r="AS159" s="67" t="s">
        <v>238</v>
      </c>
    </row>
    <row r="160" spans="1:45">
      <c r="H160" s="1436"/>
      <c r="I160"/>
      <c r="J160" s="277"/>
      <c r="K160" s="1407"/>
      <c r="L160" s="277"/>
      <c r="M160" s="277"/>
      <c r="N160" s="277"/>
      <c r="O160" s="277"/>
      <c r="P160" s="277"/>
      <c r="Q160" s="277"/>
      <c r="R160" s="277"/>
      <c r="S160" s="277"/>
      <c r="T160" s="277"/>
      <c r="U160" s="277"/>
      <c r="V160" s="72"/>
      <c r="W160" s="237"/>
      <c r="X160" s="237"/>
      <c r="Y160" s="237"/>
      <c r="Z160" s="237"/>
      <c r="AA160" s="237"/>
      <c r="AB160" s="237"/>
      <c r="AC160" s="237"/>
      <c r="AD160" s="237"/>
      <c r="AE160"/>
      <c r="AF160"/>
      <c r="AG160" s="240"/>
      <c r="AJ160" s="72"/>
      <c r="AK160" s="242"/>
      <c r="AL160" s="243"/>
      <c r="AM160" s="243"/>
      <c r="AN160" s="243"/>
      <c r="AO160" s="243"/>
      <c r="AP160" s="243"/>
    </row>
    <row r="161" spans="8:45" ht="17" thickBot="1">
      <c r="H161" s="228"/>
      <c r="I161" s="1408" t="s">
        <v>116</v>
      </c>
      <c r="J161" s="1409"/>
      <c r="K161" s="1409"/>
      <c r="L161" s="1409">
        <v>2010</v>
      </c>
      <c r="M161" s="1409">
        <v>2011</v>
      </c>
      <c r="N161" s="1409">
        <v>2012</v>
      </c>
      <c r="O161" s="1409">
        <v>2013</v>
      </c>
      <c r="P161" s="1409">
        <v>2014</v>
      </c>
      <c r="Q161" s="1409">
        <v>2015</v>
      </c>
      <c r="R161" s="1409">
        <v>2016</v>
      </c>
      <c r="S161" s="1409">
        <v>2017</v>
      </c>
      <c r="T161" s="1409">
        <v>2018</v>
      </c>
      <c r="U161" s="1409">
        <v>2019</v>
      </c>
      <c r="V161" s="72"/>
      <c r="W161" s="237"/>
      <c r="X161" s="237"/>
      <c r="Y161" s="237"/>
      <c r="Z161" s="237"/>
      <c r="AA161" s="237"/>
      <c r="AB161" s="237"/>
      <c r="AC161" s="237"/>
      <c r="AD161" s="237"/>
      <c r="AE161"/>
      <c r="AF161"/>
      <c r="AG161" s="240"/>
      <c r="AJ161" s="72"/>
      <c r="AK161" s="242"/>
      <c r="AL161" s="243"/>
      <c r="AM161" s="243"/>
      <c r="AN161" s="243"/>
      <c r="AO161" s="243"/>
      <c r="AP161" s="243"/>
      <c r="AS161" s="67" t="s">
        <v>238</v>
      </c>
    </row>
    <row r="162" spans="8:45" ht="23" customHeight="1">
      <c r="H162" s="228"/>
      <c r="I162" s="1416" t="s">
        <v>102</v>
      </c>
      <c r="J162" s="1417"/>
      <c r="K162" s="1417"/>
      <c r="L162" s="1417">
        <v>123</v>
      </c>
      <c r="M162" s="1417">
        <v>138</v>
      </c>
      <c r="N162" s="1417">
        <v>131</v>
      </c>
      <c r="O162" s="1417">
        <v>129</v>
      </c>
      <c r="P162" s="1417">
        <v>133</v>
      </c>
      <c r="Q162" s="1417">
        <v>148</v>
      </c>
      <c r="R162" s="1417">
        <v>147</v>
      </c>
      <c r="S162" s="1417">
        <v>137</v>
      </c>
      <c r="T162" s="1417">
        <v>127</v>
      </c>
      <c r="U162" s="1428">
        <v>162</v>
      </c>
      <c r="V162" s="72"/>
      <c r="W162" s="101">
        <f>IFERROR(M162/L162-100%,0)</f>
        <v>0.12195121951219523</v>
      </c>
      <c r="X162" s="101">
        <f t="shared" ref="X162:X164" si="173">N162/M162-100%</f>
        <v>-5.0724637681159424E-2</v>
      </c>
      <c r="Y162" s="101">
        <f t="shared" ref="Y162:Y164" si="174">O162/N162-100%</f>
        <v>-1.5267175572519109E-2</v>
      </c>
      <c r="Z162" s="101">
        <f t="shared" ref="Z162:Z164" si="175">P162/O162-100%</f>
        <v>3.1007751937984551E-2</v>
      </c>
      <c r="AA162" s="101">
        <f t="shared" ref="AA162:AA164" si="176">Q162/P162-100%</f>
        <v>0.11278195488721798</v>
      </c>
      <c r="AB162" s="101">
        <f t="shared" ref="AB162:AB164" si="177">R162/Q162-100%</f>
        <v>-6.7567567567567988E-3</v>
      </c>
      <c r="AC162" s="101">
        <f t="shared" ref="AC162:AC164" si="178">S162/R162-100%</f>
        <v>-6.8027210884353706E-2</v>
      </c>
      <c r="AD162" s="101">
        <f t="shared" ref="AD162:AD164" si="179">T162/S162-100%</f>
        <v>-7.2992700729927029E-2</v>
      </c>
      <c r="AE162" s="101">
        <f t="shared" ref="AE162:AE164" si="180">U162/T162-100%</f>
        <v>0.27559055118110232</v>
      </c>
      <c r="AF162" s="101">
        <f>AVERAGE(W162:AE162)</f>
        <v>3.6395888432642666E-2</v>
      </c>
      <c r="AG162" s="101">
        <f>AVERAGE(AB162:AE162)</f>
        <v>3.1953470702516196E-2</v>
      </c>
      <c r="AJ162" s="72"/>
      <c r="AK162" s="112">
        <f>ROUND(U162*(100%+$AF162),0)</f>
        <v>168</v>
      </c>
      <c r="AL162" s="113">
        <f>ROUND(AK162*(100%+$AG162),0)</f>
        <v>173</v>
      </c>
      <c r="AM162" s="114">
        <f t="shared" ref="AM162:AP162" si="181">ROUND(AL162*(100%+$AG162),0)</f>
        <v>179</v>
      </c>
      <c r="AN162" s="114">
        <f t="shared" si="181"/>
        <v>185</v>
      </c>
      <c r="AO162" s="114">
        <f t="shared" si="181"/>
        <v>191</v>
      </c>
      <c r="AP162" s="114">
        <f t="shared" si="181"/>
        <v>197</v>
      </c>
      <c r="AS162" s="67" t="s">
        <v>238</v>
      </c>
    </row>
    <row r="163" spans="8:45">
      <c r="H163" s="228"/>
      <c r="I163" s="1420" t="s">
        <v>106</v>
      </c>
      <c r="J163" s="1421"/>
      <c r="K163" s="1421"/>
      <c r="L163" s="1421">
        <v>79</v>
      </c>
      <c r="M163" s="1421">
        <v>61</v>
      </c>
      <c r="N163" s="1421">
        <v>87</v>
      </c>
      <c r="O163" s="1421">
        <v>85</v>
      </c>
      <c r="P163" s="1421">
        <v>83</v>
      </c>
      <c r="Q163" s="1421">
        <v>91</v>
      </c>
      <c r="R163" s="1421">
        <v>87</v>
      </c>
      <c r="S163" s="1421">
        <v>71</v>
      </c>
      <c r="T163" s="1421">
        <v>64</v>
      </c>
      <c r="U163" s="1429">
        <v>87</v>
      </c>
      <c r="V163" s="72"/>
      <c r="W163" s="101">
        <f t="shared" ref="W163:W164" si="182">M163/L163-100%</f>
        <v>-0.22784810126582278</v>
      </c>
      <c r="X163" s="101">
        <f t="shared" si="173"/>
        <v>0.42622950819672134</v>
      </c>
      <c r="Y163" s="101">
        <f t="shared" si="174"/>
        <v>-2.2988505747126409E-2</v>
      </c>
      <c r="Z163" s="101">
        <f t="shared" si="175"/>
        <v>-2.352941176470591E-2</v>
      </c>
      <c r="AA163" s="101">
        <f t="shared" si="176"/>
        <v>9.6385542168674787E-2</v>
      </c>
      <c r="AB163" s="101">
        <f t="shared" si="177"/>
        <v>-4.3956043956043911E-2</v>
      </c>
      <c r="AC163" s="101">
        <f t="shared" si="178"/>
        <v>-0.18390804597701149</v>
      </c>
      <c r="AD163" s="101">
        <f t="shared" si="179"/>
        <v>-9.8591549295774628E-2</v>
      </c>
      <c r="AE163" s="101">
        <f t="shared" si="180"/>
        <v>0.359375</v>
      </c>
      <c r="AF163" s="101">
        <f t="shared" ref="AF163:AF164" si="183">AVERAGE(W163:AE163)</f>
        <v>3.1240932484323445E-2</v>
      </c>
      <c r="AG163" s="101">
        <f t="shared" ref="AG163:AG164" si="184">AVERAGE(AB163:AE163)</f>
        <v>8.2298401927924925E-3</v>
      </c>
      <c r="AJ163" s="72"/>
      <c r="AK163" s="112">
        <f t="shared" ref="AK163:AK164" si="185">ROUND(U163*(100%+$AF163),0)</f>
        <v>90</v>
      </c>
      <c r="AL163" s="113">
        <f t="shared" ref="AL163:AP163" si="186">ROUND(AK163*(100%+$AG163),0)</f>
        <v>91</v>
      </c>
      <c r="AM163" s="114">
        <f t="shared" si="186"/>
        <v>92</v>
      </c>
      <c r="AN163" s="114">
        <f t="shared" si="186"/>
        <v>93</v>
      </c>
      <c r="AO163" s="114">
        <f t="shared" si="186"/>
        <v>94</v>
      </c>
      <c r="AP163" s="114">
        <f t="shared" si="186"/>
        <v>95</v>
      </c>
      <c r="AS163" s="67" t="s">
        <v>238</v>
      </c>
    </row>
    <row r="164" spans="8:45" ht="16" thickBot="1">
      <c r="H164" s="228"/>
      <c r="I164" s="1424" t="s">
        <v>114</v>
      </c>
      <c r="J164" s="1425"/>
      <c r="K164" s="1425"/>
      <c r="L164" s="1425">
        <v>202</v>
      </c>
      <c r="M164" s="1425">
        <v>199</v>
      </c>
      <c r="N164" s="1425">
        <v>218</v>
      </c>
      <c r="O164" s="1425">
        <v>214</v>
      </c>
      <c r="P164" s="1425">
        <v>216</v>
      </c>
      <c r="Q164" s="1425">
        <v>239</v>
      </c>
      <c r="R164" s="1425">
        <v>234</v>
      </c>
      <c r="S164" s="1425">
        <v>208</v>
      </c>
      <c r="T164" s="1425">
        <v>191</v>
      </c>
      <c r="U164" s="1430">
        <v>249</v>
      </c>
      <c r="V164" s="72"/>
      <c r="W164" s="102">
        <f t="shared" si="182"/>
        <v>-1.4851485148514865E-2</v>
      </c>
      <c r="X164" s="102">
        <f t="shared" si="173"/>
        <v>9.5477386934673447E-2</v>
      </c>
      <c r="Y164" s="102">
        <f t="shared" si="174"/>
        <v>-1.834862385321101E-2</v>
      </c>
      <c r="Z164" s="102">
        <f t="shared" si="175"/>
        <v>9.3457943925232545E-3</v>
      </c>
      <c r="AA164" s="102">
        <f t="shared" si="176"/>
        <v>0.1064814814814814</v>
      </c>
      <c r="AB164" s="102">
        <f t="shared" si="177"/>
        <v>-2.0920502092050208E-2</v>
      </c>
      <c r="AC164" s="102">
        <f t="shared" si="178"/>
        <v>-0.11111111111111116</v>
      </c>
      <c r="AD164" s="102">
        <f t="shared" si="179"/>
        <v>-8.1730769230769273E-2</v>
      </c>
      <c r="AE164" s="102">
        <f t="shared" si="180"/>
        <v>0.30366492146596857</v>
      </c>
      <c r="AF164" s="102">
        <f t="shared" si="183"/>
        <v>2.9778565870998905E-2</v>
      </c>
      <c r="AG164" s="102">
        <f t="shared" si="184"/>
        <v>2.2475634758009483E-2</v>
      </c>
      <c r="AJ164" s="72"/>
      <c r="AK164" s="112">
        <f t="shared" si="185"/>
        <v>256</v>
      </c>
      <c r="AL164" s="113">
        <f t="shared" ref="AL164:AP164" si="187">ROUND(AK164*(100%+$AG164),0)</f>
        <v>262</v>
      </c>
      <c r="AM164" s="114">
        <f t="shared" si="187"/>
        <v>268</v>
      </c>
      <c r="AN164" s="114">
        <f t="shared" si="187"/>
        <v>274</v>
      </c>
      <c r="AO164" s="114">
        <f t="shared" si="187"/>
        <v>280</v>
      </c>
      <c r="AP164" s="114">
        <f t="shared" si="187"/>
        <v>286</v>
      </c>
      <c r="AS164" s="67" t="s">
        <v>238</v>
      </c>
    </row>
    <row r="165" spans="8:45">
      <c r="H165" s="228"/>
      <c r="I165"/>
      <c r="J165" s="277"/>
      <c r="K165" s="277"/>
      <c r="L165" s="277"/>
      <c r="M165" s="277"/>
      <c r="N165" s="277"/>
      <c r="O165" s="277"/>
      <c r="P165" s="277"/>
      <c r="Q165" s="277"/>
      <c r="R165" s="277"/>
      <c r="S165" s="277"/>
      <c r="T165" s="277"/>
      <c r="U165" s="277"/>
      <c r="V165" s="72"/>
      <c r="W165" s="237"/>
      <c r="X165" s="237"/>
      <c r="Y165" s="237"/>
      <c r="Z165" s="237"/>
      <c r="AA165" s="237"/>
      <c r="AB165" s="237"/>
      <c r="AC165" s="237"/>
      <c r="AD165" s="237"/>
      <c r="AE165"/>
      <c r="AF165"/>
      <c r="AG165" s="240"/>
      <c r="AJ165" s="72"/>
      <c r="AK165"/>
      <c r="AL165"/>
      <c r="AM165"/>
      <c r="AN165"/>
      <c r="AO165"/>
      <c r="AP165"/>
      <c r="AS165" s="67" t="s">
        <v>238</v>
      </c>
    </row>
    <row r="166" spans="8:45">
      <c r="H166" s="228"/>
      <c r="I166"/>
      <c r="J166" s="277"/>
      <c r="K166" s="277"/>
      <c r="L166" s="277"/>
      <c r="M166" s="277"/>
      <c r="N166" s="277"/>
      <c r="O166" s="277"/>
      <c r="P166" s="277"/>
      <c r="Q166" s="277"/>
      <c r="R166" s="277"/>
      <c r="S166" s="277"/>
      <c r="T166" s="277"/>
      <c r="U166" s="277"/>
      <c r="V166" s="72"/>
      <c r="W166" s="237"/>
      <c r="X166" s="237"/>
      <c r="Y166" s="237"/>
      <c r="Z166" s="237"/>
      <c r="AA166" s="237"/>
      <c r="AB166" s="237"/>
      <c r="AC166" s="237"/>
      <c r="AD166" s="237"/>
      <c r="AE166"/>
      <c r="AF166"/>
      <c r="AG166" s="240"/>
      <c r="AJ166" s="72"/>
      <c r="AK166"/>
      <c r="AL166"/>
      <c r="AM166"/>
      <c r="AN166"/>
      <c r="AO166"/>
      <c r="AP166"/>
      <c r="AS166" s="67" t="s">
        <v>238</v>
      </c>
    </row>
    <row r="167" spans="8:45" ht="17" thickBot="1">
      <c r="H167" s="228"/>
      <c r="I167" s="1412" t="s">
        <v>119</v>
      </c>
      <c r="J167" s="1409"/>
      <c r="K167" s="1409"/>
      <c r="L167" s="1409">
        <v>2010</v>
      </c>
      <c r="M167" s="1409">
        <v>2011</v>
      </c>
      <c r="N167" s="1409">
        <v>2012</v>
      </c>
      <c r="O167" s="1409">
        <v>2013</v>
      </c>
      <c r="P167" s="1409">
        <v>2014</v>
      </c>
      <c r="Q167" s="1409">
        <v>2015</v>
      </c>
      <c r="R167" s="1409">
        <v>2016</v>
      </c>
      <c r="S167" s="1409">
        <v>2017</v>
      </c>
      <c r="T167" s="1409">
        <v>2018</v>
      </c>
      <c r="U167" s="1409">
        <v>2019</v>
      </c>
      <c r="V167" s="72"/>
      <c r="W167" s="237"/>
      <c r="X167" s="237"/>
      <c r="Y167" s="237"/>
      <c r="Z167" s="237"/>
      <c r="AA167" s="237"/>
      <c r="AB167" s="237"/>
      <c r="AC167" s="237"/>
      <c r="AD167" s="237"/>
      <c r="AE167"/>
      <c r="AF167"/>
      <c r="AG167" s="240"/>
      <c r="AJ167" s="72"/>
      <c r="AK167"/>
      <c r="AL167"/>
      <c r="AM167"/>
      <c r="AN167"/>
      <c r="AO167"/>
      <c r="AP167"/>
      <c r="AS167" s="67" t="s">
        <v>238</v>
      </c>
    </row>
    <row r="168" spans="8:45">
      <c r="H168" s="228"/>
      <c r="I168" s="1416" t="s">
        <v>102</v>
      </c>
      <c r="J168" s="1417"/>
      <c r="K168" s="1417"/>
      <c r="L168" s="1417">
        <v>70</v>
      </c>
      <c r="M168" s="1417">
        <v>56</v>
      </c>
      <c r="N168" s="1417">
        <v>64</v>
      </c>
      <c r="O168" s="1417">
        <v>57</v>
      </c>
      <c r="P168" s="1417">
        <v>86</v>
      </c>
      <c r="Q168" s="1417">
        <v>80</v>
      </c>
      <c r="R168" s="1417">
        <v>81</v>
      </c>
      <c r="S168" s="1417">
        <v>82</v>
      </c>
      <c r="T168" s="1417">
        <v>71</v>
      </c>
      <c r="U168" s="1428">
        <v>58</v>
      </c>
      <c r="V168" s="72"/>
      <c r="W168" s="101">
        <f>IFERROR(M168/L168-100%,0)</f>
        <v>-0.19999999999999996</v>
      </c>
      <c r="X168" s="101">
        <f t="shared" ref="X168:X170" si="188">N168/M168-100%</f>
        <v>0.14285714285714279</v>
      </c>
      <c r="Y168" s="101">
        <f t="shared" ref="Y168:Y170" si="189">O168/N168-100%</f>
        <v>-0.109375</v>
      </c>
      <c r="Z168" s="101">
        <f t="shared" ref="Z168:Z170" si="190">P168/O168-100%</f>
        <v>0.50877192982456143</v>
      </c>
      <c r="AA168" s="101">
        <f t="shared" ref="AA168:AA170" si="191">Q168/P168-100%</f>
        <v>-6.9767441860465129E-2</v>
      </c>
      <c r="AB168" s="101">
        <f t="shared" ref="AB168:AB170" si="192">R168/Q168-100%</f>
        <v>1.2499999999999956E-2</v>
      </c>
      <c r="AC168" s="101">
        <f t="shared" ref="AC168:AC170" si="193">S168/R168-100%</f>
        <v>1.2345679012345734E-2</v>
      </c>
      <c r="AD168" s="101">
        <f t="shared" ref="AD168:AD170" si="194">T168/S168-100%</f>
        <v>-0.13414634146341464</v>
      </c>
      <c r="AE168" s="101">
        <f t="shared" ref="AE168:AE170" si="195">U168/T168-100%</f>
        <v>-0.18309859154929575</v>
      </c>
      <c r="AF168" s="101">
        <f>AVERAGE(W168:AE168)</f>
        <v>-2.2125136865695071E-3</v>
      </c>
      <c r="AG168" s="101">
        <f>AVERAGE(AB168:AE168)</f>
        <v>-7.3099813500091176E-2</v>
      </c>
      <c r="AJ168" s="72"/>
      <c r="AK168" s="112">
        <f>ROUND(U168*(100%+$AF168),0)</f>
        <v>58</v>
      </c>
      <c r="AL168" s="113">
        <f>ROUND(AK168*(100%+$AG168),0)</f>
        <v>54</v>
      </c>
      <c r="AM168" s="114">
        <f t="shared" ref="AM168:AP168" si="196">ROUND(AL168*(100%+$AG168),0)</f>
        <v>50</v>
      </c>
      <c r="AN168" s="114">
        <f t="shared" si="196"/>
        <v>46</v>
      </c>
      <c r="AO168" s="114">
        <f t="shared" si="196"/>
        <v>43</v>
      </c>
      <c r="AP168" s="114">
        <f t="shared" si="196"/>
        <v>40</v>
      </c>
      <c r="AS168" s="67" t="s">
        <v>238</v>
      </c>
    </row>
    <row r="169" spans="8:45">
      <c r="H169" s="228"/>
      <c r="I169" s="1420" t="s">
        <v>106</v>
      </c>
      <c r="J169" s="1421"/>
      <c r="K169" s="1421"/>
      <c r="L169" s="1421">
        <v>32</v>
      </c>
      <c r="M169" s="1421">
        <v>33</v>
      </c>
      <c r="N169" s="1421">
        <v>28</v>
      </c>
      <c r="O169" s="1421">
        <v>46</v>
      </c>
      <c r="P169" s="1421">
        <v>43</v>
      </c>
      <c r="Q169" s="1421">
        <v>68</v>
      </c>
      <c r="R169" s="1421">
        <v>63</v>
      </c>
      <c r="S169" s="1421">
        <v>68</v>
      </c>
      <c r="T169" s="1421">
        <v>63</v>
      </c>
      <c r="U169" s="1429">
        <v>62</v>
      </c>
      <c r="V169" s="72"/>
      <c r="W169" s="101">
        <f t="shared" ref="W169:W170" si="197">M169/L169-100%</f>
        <v>3.125E-2</v>
      </c>
      <c r="X169" s="101">
        <f t="shared" si="188"/>
        <v>-0.15151515151515149</v>
      </c>
      <c r="Y169" s="101">
        <f t="shared" si="189"/>
        <v>0.64285714285714279</v>
      </c>
      <c r="Z169" s="101">
        <f t="shared" si="190"/>
        <v>-6.5217391304347783E-2</v>
      </c>
      <c r="AA169" s="101">
        <f t="shared" si="191"/>
        <v>0.58139534883720922</v>
      </c>
      <c r="AB169" s="101">
        <f t="shared" si="192"/>
        <v>-7.3529411764705843E-2</v>
      </c>
      <c r="AC169" s="101">
        <f t="shared" si="193"/>
        <v>7.9365079365079305E-2</v>
      </c>
      <c r="AD169" s="101">
        <f t="shared" si="194"/>
        <v>-7.3529411764705843E-2</v>
      </c>
      <c r="AE169" s="101">
        <f t="shared" si="195"/>
        <v>-1.5873015873015928E-2</v>
      </c>
      <c r="AF169" s="101">
        <f t="shared" ref="AF169:AF170" si="198">AVERAGE(W169:AE169)</f>
        <v>0.1061336876486116</v>
      </c>
      <c r="AG169" s="101">
        <f t="shared" ref="AG169:AG170" si="199">AVERAGE(AB169:AE169)</f>
        <v>-2.0891690009337077E-2</v>
      </c>
      <c r="AJ169" s="72"/>
      <c r="AK169" s="112">
        <f t="shared" ref="AK169:AK170" si="200">ROUND(U169*(100%+$AF169),0)</f>
        <v>69</v>
      </c>
      <c r="AL169" s="113">
        <f t="shared" ref="AL169:AP169" si="201">ROUND(AK169*(100%+$AG169),0)</f>
        <v>68</v>
      </c>
      <c r="AM169" s="114">
        <f t="shared" si="201"/>
        <v>67</v>
      </c>
      <c r="AN169" s="114">
        <f t="shared" si="201"/>
        <v>66</v>
      </c>
      <c r="AO169" s="114">
        <f t="shared" si="201"/>
        <v>65</v>
      </c>
      <c r="AP169" s="114">
        <f t="shared" si="201"/>
        <v>64</v>
      </c>
      <c r="AS169" s="67" t="s">
        <v>238</v>
      </c>
    </row>
    <row r="170" spans="8:45" ht="16" thickBot="1">
      <c r="H170" s="228"/>
      <c r="I170" s="1424" t="s">
        <v>114</v>
      </c>
      <c r="J170" s="1425"/>
      <c r="K170" s="1425"/>
      <c r="L170" s="1425">
        <v>102</v>
      </c>
      <c r="M170" s="1425">
        <v>89</v>
      </c>
      <c r="N170" s="1425">
        <v>92</v>
      </c>
      <c r="O170" s="1425">
        <v>103</v>
      </c>
      <c r="P170" s="1425">
        <v>129</v>
      </c>
      <c r="Q170" s="1425">
        <v>148</v>
      </c>
      <c r="R170" s="1425">
        <v>144</v>
      </c>
      <c r="S170" s="1425">
        <v>150</v>
      </c>
      <c r="T170" s="1425">
        <v>134</v>
      </c>
      <c r="U170" s="1430">
        <v>120</v>
      </c>
      <c r="V170" s="72"/>
      <c r="W170" s="102">
        <f t="shared" si="197"/>
        <v>-0.12745098039215685</v>
      </c>
      <c r="X170" s="102">
        <f t="shared" si="188"/>
        <v>3.3707865168539408E-2</v>
      </c>
      <c r="Y170" s="102">
        <f t="shared" si="189"/>
        <v>0.11956521739130443</v>
      </c>
      <c r="Z170" s="102">
        <f t="shared" si="190"/>
        <v>0.25242718446601953</v>
      </c>
      <c r="AA170" s="102">
        <f t="shared" si="191"/>
        <v>0.1472868217054264</v>
      </c>
      <c r="AB170" s="102">
        <f t="shared" si="192"/>
        <v>-2.7027027027026973E-2</v>
      </c>
      <c r="AC170" s="102">
        <f t="shared" si="193"/>
        <v>4.1666666666666741E-2</v>
      </c>
      <c r="AD170" s="102">
        <f t="shared" si="194"/>
        <v>-0.10666666666666669</v>
      </c>
      <c r="AE170" s="102">
        <f t="shared" si="195"/>
        <v>-0.10447761194029848</v>
      </c>
      <c r="AF170" s="102">
        <f t="shared" si="198"/>
        <v>2.5447941041311945E-2</v>
      </c>
      <c r="AG170" s="102">
        <f t="shared" si="199"/>
        <v>-4.9126159741831349E-2</v>
      </c>
      <c r="AJ170" s="72"/>
      <c r="AK170" s="112">
        <f t="shared" si="200"/>
        <v>123</v>
      </c>
      <c r="AL170" s="113">
        <f t="shared" ref="AL170:AP170" si="202">ROUND(AK170*(100%+$AG170),0)</f>
        <v>117</v>
      </c>
      <c r="AM170" s="114">
        <f t="shared" si="202"/>
        <v>111</v>
      </c>
      <c r="AN170" s="114">
        <f t="shared" si="202"/>
        <v>106</v>
      </c>
      <c r="AO170" s="114">
        <f t="shared" si="202"/>
        <v>101</v>
      </c>
      <c r="AP170" s="114">
        <f t="shared" si="202"/>
        <v>96</v>
      </c>
      <c r="AS170" s="67" t="s">
        <v>238</v>
      </c>
    </row>
    <row r="171" spans="8:45">
      <c r="H171" s="228"/>
      <c r="I171" s="1410"/>
      <c r="J171" s="1411"/>
      <c r="K171" s="1411"/>
      <c r="L171" s="1411"/>
      <c r="M171" s="1411"/>
      <c r="N171" s="1411"/>
      <c r="O171" s="1411"/>
      <c r="P171" s="1411"/>
      <c r="Q171" s="1411"/>
      <c r="R171" s="1411"/>
      <c r="S171" s="1411"/>
      <c r="T171" s="1411"/>
      <c r="U171" s="1411"/>
      <c r="V171" s="72"/>
      <c r="W171" s="237"/>
      <c r="X171" s="237"/>
      <c r="Y171" s="237"/>
      <c r="Z171" s="237"/>
      <c r="AA171" s="237"/>
      <c r="AB171" s="237"/>
      <c r="AC171" s="237"/>
      <c r="AD171" s="237"/>
      <c r="AE171"/>
      <c r="AF171"/>
      <c r="AG171" s="240"/>
      <c r="AJ171" s="72"/>
      <c r="AK171"/>
      <c r="AL171"/>
      <c r="AM171"/>
      <c r="AN171"/>
      <c r="AO171"/>
      <c r="AP171"/>
      <c r="AS171" s="67" t="s">
        <v>238</v>
      </c>
    </row>
    <row r="172" spans="8:45">
      <c r="H172" s="228"/>
      <c r="I172" s="1410"/>
      <c r="J172" s="1411"/>
      <c r="K172" s="1411"/>
      <c r="L172" s="1411"/>
      <c r="M172" s="1411"/>
      <c r="N172" s="1411"/>
      <c r="O172" s="1411"/>
      <c r="P172" s="1411"/>
      <c r="Q172" s="1411"/>
      <c r="R172" s="1411"/>
      <c r="S172" s="1411"/>
      <c r="T172" s="1411"/>
      <c r="U172" s="1411"/>
      <c r="V172" s="72"/>
      <c r="W172" s="237"/>
      <c r="X172" s="237"/>
      <c r="Y172" s="237"/>
      <c r="Z172" s="237"/>
      <c r="AA172" s="237"/>
      <c r="AB172" s="237"/>
      <c r="AC172" s="237"/>
      <c r="AD172" s="237"/>
      <c r="AE172"/>
      <c r="AF172"/>
      <c r="AG172" s="240"/>
      <c r="AJ172" s="72"/>
      <c r="AK172"/>
      <c r="AL172"/>
      <c r="AM172"/>
      <c r="AN172"/>
      <c r="AO172"/>
      <c r="AP172"/>
      <c r="AS172" s="67" t="s">
        <v>238</v>
      </c>
    </row>
    <row r="173" spans="8:45" ht="17" thickBot="1">
      <c r="H173" s="228"/>
      <c r="I173" s="1413" t="s">
        <v>120</v>
      </c>
      <c r="J173" s="1409"/>
      <c r="K173" s="1409"/>
      <c r="L173" s="1409">
        <v>2010</v>
      </c>
      <c r="M173" s="1409">
        <v>2011</v>
      </c>
      <c r="N173" s="1409">
        <v>2012</v>
      </c>
      <c r="O173" s="1409">
        <v>2013</v>
      </c>
      <c r="P173" s="1409">
        <v>2014</v>
      </c>
      <c r="Q173" s="1409">
        <v>2015</v>
      </c>
      <c r="R173" s="1409">
        <v>2016</v>
      </c>
      <c r="S173" s="1409">
        <v>2017</v>
      </c>
      <c r="T173" s="1409">
        <v>2018</v>
      </c>
      <c r="U173" s="1409">
        <v>2019</v>
      </c>
      <c r="V173" s="72"/>
      <c r="W173" s="237"/>
      <c r="X173" s="237"/>
      <c r="Y173" s="237"/>
      <c r="Z173" s="237"/>
      <c r="AA173" s="237"/>
      <c r="AB173" s="237"/>
      <c r="AC173" s="237"/>
      <c r="AD173" s="237"/>
      <c r="AE173"/>
      <c r="AF173"/>
      <c r="AG173" s="240"/>
      <c r="AJ173" s="72"/>
      <c r="AK173"/>
      <c r="AL173"/>
      <c r="AM173"/>
      <c r="AN173"/>
      <c r="AO173"/>
      <c r="AP173"/>
      <c r="AS173" s="67" t="s">
        <v>238</v>
      </c>
    </row>
    <row r="174" spans="8:45">
      <c r="H174" s="228"/>
      <c r="I174" s="1416" t="s">
        <v>102</v>
      </c>
      <c r="J174" s="1417"/>
      <c r="K174" s="1417"/>
      <c r="L174" s="1417">
        <v>193</v>
      </c>
      <c r="M174" s="1417">
        <v>194</v>
      </c>
      <c r="N174" s="1417">
        <v>195</v>
      </c>
      <c r="O174" s="1417">
        <v>186</v>
      </c>
      <c r="P174" s="1417">
        <v>219</v>
      </c>
      <c r="Q174" s="1417">
        <v>228</v>
      </c>
      <c r="R174" s="1417">
        <v>228</v>
      </c>
      <c r="S174" s="1417">
        <v>219</v>
      </c>
      <c r="T174" s="1417">
        <v>198</v>
      </c>
      <c r="U174" s="1428">
        <v>220</v>
      </c>
      <c r="V174" s="72"/>
      <c r="W174" s="101">
        <f>IFERROR(M174/L174-100%,0)</f>
        <v>5.1813471502590858E-3</v>
      </c>
      <c r="X174" s="101">
        <f t="shared" ref="X174:X176" si="203">N174/M174-100%</f>
        <v>5.1546391752577136E-3</v>
      </c>
      <c r="Y174" s="101">
        <f t="shared" ref="Y174:Y176" si="204">O174/N174-100%</f>
        <v>-4.6153846153846101E-2</v>
      </c>
      <c r="Z174" s="101">
        <f t="shared" ref="Z174:Z176" si="205">P174/O174-100%</f>
        <v>0.17741935483870974</v>
      </c>
      <c r="AA174" s="101">
        <f t="shared" ref="AA174:AA176" si="206">Q174/P174-100%</f>
        <v>4.1095890410958846E-2</v>
      </c>
      <c r="AB174" s="101">
        <f t="shared" ref="AB174:AB176" si="207">R174/Q174-100%</f>
        <v>0</v>
      </c>
      <c r="AC174" s="101">
        <f t="shared" ref="AC174:AC176" si="208">S174/R174-100%</f>
        <v>-3.9473684210526327E-2</v>
      </c>
      <c r="AD174" s="101">
        <f t="shared" ref="AD174:AD176" si="209">T174/S174-100%</f>
        <v>-9.589041095890416E-2</v>
      </c>
      <c r="AE174" s="101">
        <f t="shared" ref="AE174:AE176" si="210">U174/T174-100%</f>
        <v>0.11111111111111116</v>
      </c>
      <c r="AF174" s="101">
        <f>AVERAGE(W174:AE174)</f>
        <v>1.7604933484779997E-2</v>
      </c>
      <c r="AG174" s="101">
        <f>AVERAGE(AB174:AE174)</f>
        <v>-6.0632460145798317E-3</v>
      </c>
      <c r="AJ174" s="72"/>
      <c r="AK174" s="112">
        <f>AK162+AK168</f>
        <v>226</v>
      </c>
      <c r="AL174" s="113">
        <f t="shared" ref="AL174:AP174" si="211">AL162+AL168</f>
        <v>227</v>
      </c>
      <c r="AM174" s="114">
        <f t="shared" si="211"/>
        <v>229</v>
      </c>
      <c r="AN174" s="114">
        <f t="shared" si="211"/>
        <v>231</v>
      </c>
      <c r="AO174" s="114">
        <f t="shared" si="211"/>
        <v>234</v>
      </c>
      <c r="AP174" s="114">
        <f t="shared" si="211"/>
        <v>237</v>
      </c>
      <c r="AS174" s="67" t="s">
        <v>238</v>
      </c>
    </row>
    <row r="175" spans="8:45">
      <c r="H175" s="228"/>
      <c r="I175" s="1420" t="s">
        <v>106</v>
      </c>
      <c r="J175" s="1421"/>
      <c r="K175" s="1421"/>
      <c r="L175" s="1421">
        <v>111</v>
      </c>
      <c r="M175" s="1421">
        <v>94</v>
      </c>
      <c r="N175" s="1421">
        <v>115</v>
      </c>
      <c r="O175" s="1421">
        <v>131</v>
      </c>
      <c r="P175" s="1421">
        <v>126</v>
      </c>
      <c r="Q175" s="1421">
        <v>159</v>
      </c>
      <c r="R175" s="1421">
        <v>150</v>
      </c>
      <c r="S175" s="1421">
        <v>139</v>
      </c>
      <c r="T175" s="1421">
        <v>127</v>
      </c>
      <c r="U175" s="1429">
        <v>149</v>
      </c>
      <c r="V175" s="72"/>
      <c r="W175" s="101">
        <f t="shared" ref="W175:W176" si="212">M175/L175-100%</f>
        <v>-0.15315315315315314</v>
      </c>
      <c r="X175" s="101">
        <f t="shared" si="203"/>
        <v>0.22340425531914887</v>
      </c>
      <c r="Y175" s="101">
        <f t="shared" si="204"/>
        <v>0.13913043478260878</v>
      </c>
      <c r="Z175" s="101">
        <f t="shared" si="205"/>
        <v>-3.8167938931297662E-2</v>
      </c>
      <c r="AA175" s="101">
        <f t="shared" si="206"/>
        <v>0.26190476190476186</v>
      </c>
      <c r="AB175" s="101">
        <f t="shared" si="207"/>
        <v>-5.6603773584905648E-2</v>
      </c>
      <c r="AC175" s="101">
        <f t="shared" si="208"/>
        <v>-7.3333333333333361E-2</v>
      </c>
      <c r="AD175" s="101">
        <f t="shared" si="209"/>
        <v>-8.633093525179858E-2</v>
      </c>
      <c r="AE175" s="101">
        <f t="shared" si="210"/>
        <v>0.17322834645669283</v>
      </c>
      <c r="AF175" s="101">
        <f t="shared" ref="AF175:AF176" si="213">AVERAGE(W175:AE175)</f>
        <v>4.3342073800969327E-2</v>
      </c>
      <c r="AG175" s="101">
        <f t="shared" ref="AG175:AG176" si="214">AVERAGE(AB175:AE175)</f>
        <v>-1.075992392833619E-2</v>
      </c>
      <c r="AJ175" s="72"/>
      <c r="AK175" s="112">
        <f t="shared" ref="AK175:AP175" si="215">AK163+AK169</f>
        <v>159</v>
      </c>
      <c r="AL175" s="113">
        <f t="shared" si="215"/>
        <v>159</v>
      </c>
      <c r="AM175" s="114">
        <f t="shared" si="215"/>
        <v>159</v>
      </c>
      <c r="AN175" s="114">
        <f t="shared" si="215"/>
        <v>159</v>
      </c>
      <c r="AO175" s="114">
        <f t="shared" si="215"/>
        <v>159</v>
      </c>
      <c r="AP175" s="114">
        <f t="shared" si="215"/>
        <v>159</v>
      </c>
      <c r="AS175" s="67" t="s">
        <v>238</v>
      </c>
    </row>
    <row r="176" spans="8:45" ht="16" thickBot="1">
      <c r="H176" s="228"/>
      <c r="I176" s="1424" t="s">
        <v>114</v>
      </c>
      <c r="J176" s="1425"/>
      <c r="K176" s="1425"/>
      <c r="L176" s="1425">
        <v>304</v>
      </c>
      <c r="M176" s="1425">
        <v>288</v>
      </c>
      <c r="N176" s="1425">
        <v>310</v>
      </c>
      <c r="O176" s="1425">
        <v>317</v>
      </c>
      <c r="P176" s="1425">
        <v>345</v>
      </c>
      <c r="Q176" s="1425">
        <v>387</v>
      </c>
      <c r="R176" s="1425">
        <v>378</v>
      </c>
      <c r="S176" s="1425">
        <v>358</v>
      </c>
      <c r="T176" s="1425">
        <v>325</v>
      </c>
      <c r="U176" s="1430">
        <v>369</v>
      </c>
      <c r="V176" s="72"/>
      <c r="W176" s="102">
        <f t="shared" si="212"/>
        <v>-5.2631578947368474E-2</v>
      </c>
      <c r="X176" s="102">
        <f t="shared" si="203"/>
        <v>7.638888888888884E-2</v>
      </c>
      <c r="Y176" s="102">
        <f t="shared" si="204"/>
        <v>2.2580645161290214E-2</v>
      </c>
      <c r="Z176" s="102">
        <f t="shared" si="205"/>
        <v>8.8328075709779075E-2</v>
      </c>
      <c r="AA176" s="102">
        <f t="shared" si="206"/>
        <v>0.12173913043478257</v>
      </c>
      <c r="AB176" s="102">
        <f t="shared" si="207"/>
        <v>-2.3255813953488413E-2</v>
      </c>
      <c r="AC176" s="102">
        <f t="shared" si="208"/>
        <v>-5.2910052910052907E-2</v>
      </c>
      <c r="AD176" s="102">
        <f t="shared" si="209"/>
        <v>-9.2178770949720712E-2</v>
      </c>
      <c r="AE176" s="102">
        <f t="shared" si="210"/>
        <v>0.13538461538461544</v>
      </c>
      <c r="AF176" s="102">
        <f t="shared" si="213"/>
        <v>2.4827237646525072E-2</v>
      </c>
      <c r="AG176" s="102">
        <f t="shared" si="214"/>
        <v>-8.240005607161649E-3</v>
      </c>
      <c r="AJ176" s="72"/>
      <c r="AK176" s="112">
        <f t="shared" ref="AK176:AP176" si="216">AK164+AK170</f>
        <v>379</v>
      </c>
      <c r="AL176" s="113">
        <f t="shared" si="216"/>
        <v>379</v>
      </c>
      <c r="AM176" s="114">
        <f t="shared" si="216"/>
        <v>379</v>
      </c>
      <c r="AN176" s="114">
        <f t="shared" si="216"/>
        <v>380</v>
      </c>
      <c r="AO176" s="114">
        <f t="shared" si="216"/>
        <v>381</v>
      </c>
      <c r="AP176" s="114">
        <f t="shared" si="216"/>
        <v>382</v>
      </c>
      <c r="AS176" s="67" t="s">
        <v>238</v>
      </c>
    </row>
    <row r="177" spans="8:45">
      <c r="H177" s="228"/>
      <c r="I177" s="1414"/>
      <c r="J177" s="1415"/>
      <c r="K177" s="1415"/>
      <c r="L177" s="1415"/>
      <c r="M177" s="1415"/>
      <c r="N177" s="1415"/>
      <c r="O177" s="1415"/>
      <c r="P177" s="1415"/>
      <c r="Q177" s="1415"/>
      <c r="R177" s="1415"/>
      <c r="S177" s="1415"/>
      <c r="T177" s="1415"/>
      <c r="U177" s="1415"/>
      <c r="V177" s="72"/>
      <c r="W177"/>
      <c r="X177"/>
      <c r="Y177"/>
      <c r="Z177"/>
      <c r="AA177"/>
      <c r="AB177"/>
      <c r="AC177"/>
      <c r="AD177"/>
      <c r="AE177"/>
      <c r="AF177"/>
      <c r="AG177"/>
      <c r="AJ177" s="72"/>
      <c r="AK177"/>
      <c r="AL177"/>
      <c r="AM177"/>
      <c r="AN177"/>
      <c r="AO177"/>
      <c r="AP177"/>
      <c r="AS177" s="67" t="s">
        <v>238</v>
      </c>
    </row>
    <row r="178" spans="8:45">
      <c r="H178" s="1436" t="s">
        <v>2398</v>
      </c>
      <c r="I178" s="1414"/>
      <c r="J178" s="1415"/>
      <c r="K178" s="1415"/>
      <c r="L178" s="1415"/>
      <c r="M178" s="1415"/>
      <c r="N178" s="1415"/>
      <c r="O178" s="1415"/>
      <c r="P178" s="1415"/>
      <c r="Q178" s="1415"/>
      <c r="R178" s="1415"/>
      <c r="S178" s="1415"/>
      <c r="T178" s="1415"/>
      <c r="U178" s="1415"/>
      <c r="V178" s="72"/>
      <c r="W178"/>
      <c r="X178"/>
      <c r="Y178"/>
      <c r="Z178"/>
      <c r="AA178"/>
      <c r="AB178"/>
      <c r="AC178"/>
      <c r="AD178"/>
      <c r="AE178"/>
      <c r="AF178"/>
      <c r="AG178"/>
      <c r="AJ178" s="72"/>
      <c r="AK178"/>
      <c r="AL178"/>
      <c r="AM178"/>
      <c r="AN178"/>
      <c r="AO178"/>
      <c r="AP178"/>
      <c r="AS178" s="67" t="s">
        <v>238</v>
      </c>
    </row>
    <row r="179" spans="8:45">
      <c r="H179" s="228"/>
      <c r="I179" s="1414"/>
      <c r="J179" s="1415"/>
      <c r="K179" s="1415"/>
      <c r="L179" s="1415"/>
      <c r="M179" s="1415"/>
      <c r="N179" s="1415"/>
      <c r="O179" s="1415"/>
      <c r="P179" s="1415"/>
      <c r="Q179" s="1415"/>
      <c r="R179" s="1415"/>
      <c r="S179" s="1415"/>
      <c r="T179" s="1415"/>
      <c r="U179" s="1415"/>
      <c r="V179" s="72"/>
      <c r="W179"/>
      <c r="X179"/>
      <c r="Y179"/>
      <c r="Z179"/>
      <c r="AA179"/>
      <c r="AB179"/>
      <c r="AC179"/>
      <c r="AD179"/>
      <c r="AE179"/>
      <c r="AF179"/>
      <c r="AG179"/>
      <c r="AJ179" s="72"/>
      <c r="AK179"/>
      <c r="AL179"/>
      <c r="AM179"/>
      <c r="AN179"/>
      <c r="AO179"/>
      <c r="AP179"/>
      <c r="AS179" s="67" t="s">
        <v>238</v>
      </c>
    </row>
    <row r="180" spans="8:45" ht="17" thickBot="1">
      <c r="H180" s="228"/>
      <c r="I180" s="1408" t="s">
        <v>116</v>
      </c>
      <c r="J180" s="1409"/>
      <c r="K180" s="1409"/>
      <c r="L180" s="1409">
        <v>2010</v>
      </c>
      <c r="M180" s="1409">
        <v>2011</v>
      </c>
      <c r="N180" s="1409">
        <v>2012</v>
      </c>
      <c r="O180" s="1409">
        <v>2013</v>
      </c>
      <c r="P180" s="1409">
        <v>2014</v>
      </c>
      <c r="Q180" s="1409">
        <v>2015</v>
      </c>
      <c r="R180" s="1409">
        <v>2016</v>
      </c>
      <c r="S180" s="1409">
        <v>2017</v>
      </c>
      <c r="T180" s="1409">
        <v>2018</v>
      </c>
      <c r="U180" s="1409">
        <v>2019</v>
      </c>
      <c r="V180" s="72"/>
      <c r="W180"/>
      <c r="X180"/>
      <c r="Y180"/>
      <c r="Z180"/>
      <c r="AA180"/>
      <c r="AB180"/>
      <c r="AC180"/>
      <c r="AD180"/>
      <c r="AE180"/>
      <c r="AF180"/>
      <c r="AG180"/>
      <c r="AJ180" s="72"/>
      <c r="AK180"/>
      <c r="AL180"/>
      <c r="AM180"/>
      <c r="AN180"/>
      <c r="AO180"/>
      <c r="AP180"/>
      <c r="AS180" s="67" t="s">
        <v>238</v>
      </c>
    </row>
    <row r="181" spans="8:45">
      <c r="H181" s="228"/>
      <c r="I181" s="1416" t="s">
        <v>102</v>
      </c>
      <c r="J181" s="1417"/>
      <c r="K181" s="1417"/>
      <c r="L181" s="1418">
        <f>L162/L6</f>
        <v>4.1109625668449196E-2</v>
      </c>
      <c r="M181" s="1418">
        <f t="shared" ref="M181:U181" si="217">M162/M6</f>
        <v>4.4473090557524977E-2</v>
      </c>
      <c r="N181" s="1418">
        <f t="shared" si="217"/>
        <v>4.2979002624671914E-2</v>
      </c>
      <c r="O181" s="1418">
        <f t="shared" si="217"/>
        <v>4.3419723998653653E-2</v>
      </c>
      <c r="P181" s="1418">
        <f t="shared" si="217"/>
        <v>4.9497580945292149E-2</v>
      </c>
      <c r="Q181" s="1418">
        <f t="shared" si="217"/>
        <v>6.4152579107065455E-2</v>
      </c>
      <c r="R181" s="1418">
        <f t="shared" si="217"/>
        <v>6.5919282511210764E-2</v>
      </c>
      <c r="S181" s="1418">
        <f t="shared" si="217"/>
        <v>6.4500941619585681E-2</v>
      </c>
      <c r="T181" s="1418">
        <f t="shared" si="217"/>
        <v>6.4044377206253153E-2</v>
      </c>
      <c r="U181" s="1419">
        <f t="shared" si="217"/>
        <v>8.8139281828073998E-2</v>
      </c>
      <c r="V181" s="72"/>
      <c r="W181"/>
      <c r="X181"/>
      <c r="Y181"/>
      <c r="Z181"/>
      <c r="AA181"/>
      <c r="AB181"/>
      <c r="AC181"/>
      <c r="AD181"/>
      <c r="AE181"/>
      <c r="AF181"/>
      <c r="AG181"/>
      <c r="AJ181" s="72"/>
      <c r="AK181"/>
      <c r="AL181"/>
      <c r="AM181"/>
      <c r="AN181"/>
      <c r="AO181"/>
      <c r="AP181"/>
      <c r="AS181" s="67" t="s">
        <v>238</v>
      </c>
    </row>
    <row r="182" spans="8:45">
      <c r="H182" s="228"/>
      <c r="I182" s="1420" t="s">
        <v>106</v>
      </c>
      <c r="J182" s="1421"/>
      <c r="K182" s="1421"/>
      <c r="L182" s="1422">
        <f t="shared" ref="L182:T182" si="218">L163/L10</f>
        <v>5.9353869271224644E-2</v>
      </c>
      <c r="M182" s="1422">
        <f t="shared" si="218"/>
        <v>5.2905464006938421E-2</v>
      </c>
      <c r="N182" s="1422">
        <f t="shared" si="218"/>
        <v>7.1311475409836067E-2</v>
      </c>
      <c r="O182" s="1422">
        <f t="shared" si="218"/>
        <v>7.5555555555555556E-2</v>
      </c>
      <c r="P182" s="1422">
        <f t="shared" si="218"/>
        <v>7.9198473282442741E-2</v>
      </c>
      <c r="Q182" s="1422">
        <f t="shared" si="218"/>
        <v>9.3429158110882954E-2</v>
      </c>
      <c r="R182" s="1422">
        <f t="shared" si="218"/>
        <v>9.4462540716612378E-2</v>
      </c>
      <c r="S182" s="1422">
        <f t="shared" si="218"/>
        <v>8.4624553039332542E-2</v>
      </c>
      <c r="T182" s="1422">
        <f t="shared" si="218"/>
        <v>8.9635854341736695E-2</v>
      </c>
      <c r="U182" s="1423">
        <f>U163/U10</f>
        <v>0.11507936507936507</v>
      </c>
      <c r="V182" s="72"/>
      <c r="W182"/>
      <c r="X182"/>
      <c r="Y182"/>
      <c r="Z182"/>
      <c r="AA182"/>
      <c r="AB182"/>
      <c r="AC182"/>
      <c r="AD182"/>
      <c r="AE182"/>
      <c r="AF182"/>
      <c r="AG182"/>
      <c r="AJ182" s="72"/>
      <c r="AK182"/>
      <c r="AL182"/>
      <c r="AM182"/>
      <c r="AN182"/>
      <c r="AO182"/>
      <c r="AP182"/>
      <c r="AS182" s="67" t="s">
        <v>238</v>
      </c>
    </row>
    <row r="183" spans="8:45" ht="16" thickBot="1">
      <c r="H183" s="228"/>
      <c r="I183" s="1424" t="s">
        <v>114</v>
      </c>
      <c r="J183" s="1425"/>
      <c r="K183" s="1425"/>
      <c r="L183" s="1426">
        <f t="shared" ref="L183:U183" si="219">L164/L18</f>
        <v>4.672681008558871E-2</v>
      </c>
      <c r="M183" s="1426">
        <f t="shared" si="219"/>
        <v>4.6757518796992484E-2</v>
      </c>
      <c r="N183" s="1426">
        <f t="shared" si="219"/>
        <v>5.107778819119025E-2</v>
      </c>
      <c r="O183" s="1426">
        <f t="shared" si="219"/>
        <v>5.224609375E-2</v>
      </c>
      <c r="P183" s="1426">
        <f t="shared" si="219"/>
        <v>5.7831325301204821E-2</v>
      </c>
      <c r="Q183" s="1426">
        <f t="shared" si="219"/>
        <v>7.2843645230112775E-2</v>
      </c>
      <c r="R183" s="1426">
        <f t="shared" si="219"/>
        <v>7.4262139003490948E-2</v>
      </c>
      <c r="S183" s="1426">
        <f t="shared" si="219"/>
        <v>7.0199122510968617E-2</v>
      </c>
      <c r="T183" s="1426">
        <f t="shared" si="219"/>
        <v>7.0819428995179831E-2</v>
      </c>
      <c r="U183" s="1427">
        <f t="shared" si="219"/>
        <v>9.5990747879722435E-2</v>
      </c>
      <c r="V183" s="72"/>
      <c r="W183"/>
      <c r="X183"/>
      <c r="Y183"/>
      <c r="Z183"/>
      <c r="AA183"/>
      <c r="AB183"/>
      <c r="AC183"/>
      <c r="AD183"/>
      <c r="AE183"/>
      <c r="AF183"/>
      <c r="AG183"/>
      <c r="AJ183" s="72"/>
      <c r="AK183"/>
      <c r="AL183"/>
      <c r="AM183"/>
      <c r="AN183"/>
      <c r="AO183"/>
      <c r="AP183"/>
      <c r="AS183" s="67" t="s">
        <v>238</v>
      </c>
    </row>
    <row r="184" spans="8:45">
      <c r="H184" s="228"/>
      <c r="I184"/>
      <c r="J184"/>
      <c r="K184"/>
      <c r="L184"/>
      <c r="M184"/>
      <c r="N184"/>
      <c r="O184"/>
      <c r="P184"/>
      <c r="Q184"/>
      <c r="R184"/>
      <c r="S184"/>
      <c r="T184"/>
      <c r="U184"/>
      <c r="V184" s="72"/>
      <c r="W184"/>
      <c r="X184"/>
      <c r="Y184"/>
      <c r="Z184"/>
      <c r="AA184"/>
      <c r="AB184"/>
      <c r="AC184"/>
      <c r="AD184"/>
      <c r="AE184"/>
      <c r="AF184"/>
      <c r="AG184"/>
      <c r="AJ184" s="72"/>
      <c r="AK184"/>
      <c r="AL184"/>
      <c r="AM184"/>
      <c r="AN184"/>
      <c r="AO184"/>
      <c r="AP184"/>
      <c r="AS184" s="67" t="s">
        <v>238</v>
      </c>
    </row>
    <row r="185" spans="8:45">
      <c r="H185" s="228"/>
      <c r="I185"/>
      <c r="J185"/>
      <c r="K185"/>
      <c r="L185"/>
      <c r="M185"/>
      <c r="N185"/>
      <c r="O185"/>
      <c r="P185"/>
      <c r="Q185"/>
      <c r="R185"/>
      <c r="S185"/>
      <c r="T185"/>
      <c r="U185"/>
      <c r="V185" s="72"/>
      <c r="W185"/>
      <c r="X185"/>
      <c r="Y185"/>
      <c r="Z185"/>
      <c r="AA185"/>
      <c r="AB185"/>
      <c r="AC185"/>
      <c r="AD185"/>
      <c r="AE185"/>
      <c r="AF185"/>
      <c r="AG185"/>
      <c r="AJ185" s="72"/>
      <c r="AK185"/>
      <c r="AL185"/>
      <c r="AM185"/>
      <c r="AN185"/>
      <c r="AO185"/>
      <c r="AP185"/>
      <c r="AS185" s="67" t="s">
        <v>238</v>
      </c>
    </row>
    <row r="186" spans="8:45" ht="17" thickBot="1">
      <c r="H186" s="228"/>
      <c r="I186" s="1412" t="s">
        <v>119</v>
      </c>
      <c r="J186" s="1409"/>
      <c r="K186" s="1409"/>
      <c r="L186" s="1409">
        <v>2010</v>
      </c>
      <c r="M186" s="1409">
        <v>2011</v>
      </c>
      <c r="N186" s="1409">
        <v>2012</v>
      </c>
      <c r="O186" s="1409">
        <v>2013</v>
      </c>
      <c r="P186" s="1409">
        <v>2014</v>
      </c>
      <c r="Q186" s="1409">
        <v>2015</v>
      </c>
      <c r="R186" s="1409">
        <v>2016</v>
      </c>
      <c r="S186" s="1409">
        <v>2017</v>
      </c>
      <c r="T186" s="1409">
        <v>2018</v>
      </c>
      <c r="U186" s="1409">
        <v>2019</v>
      </c>
      <c r="V186" s="72"/>
      <c r="W186"/>
      <c r="X186"/>
      <c r="Y186"/>
      <c r="Z186"/>
      <c r="AA186"/>
      <c r="AB186"/>
      <c r="AC186"/>
      <c r="AD186"/>
      <c r="AE186"/>
      <c r="AF186"/>
      <c r="AG186"/>
      <c r="AJ186" s="72"/>
      <c r="AK186"/>
      <c r="AL186"/>
      <c r="AM186"/>
      <c r="AN186"/>
      <c r="AO186"/>
      <c r="AP186"/>
      <c r="AS186" s="67" t="s">
        <v>238</v>
      </c>
    </row>
    <row r="187" spans="8:45">
      <c r="H187" s="228"/>
      <c r="I187" s="1416" t="s">
        <v>102</v>
      </c>
      <c r="J187" s="1417"/>
      <c r="K187" s="1417"/>
      <c r="L187" s="1418">
        <f>L168/L76</f>
        <v>0.11023622047244094</v>
      </c>
      <c r="M187" s="1418">
        <f t="shared" ref="M187:U187" si="220">M168/M76</f>
        <v>8.5365853658536592E-2</v>
      </c>
      <c r="N187" s="1418">
        <f t="shared" si="220"/>
        <v>0.10047095761381476</v>
      </c>
      <c r="O187" s="1418">
        <f t="shared" si="220"/>
        <v>0.10307414104882459</v>
      </c>
      <c r="P187" s="1418">
        <f t="shared" si="220"/>
        <v>0.16257088846880907</v>
      </c>
      <c r="Q187" s="1418">
        <f t="shared" si="220"/>
        <v>0.16359918200408999</v>
      </c>
      <c r="R187" s="1418">
        <f t="shared" si="220"/>
        <v>0.15111940298507462</v>
      </c>
      <c r="S187" s="1418">
        <f t="shared" si="220"/>
        <v>0.16078431372549021</v>
      </c>
      <c r="T187" s="1418">
        <f t="shared" si="220"/>
        <v>0.17574257425742573</v>
      </c>
      <c r="U187" s="1419">
        <f t="shared" si="220"/>
        <v>0.15263157894736842</v>
      </c>
      <c r="V187" s="72"/>
      <c r="W187"/>
      <c r="X187"/>
      <c r="Y187"/>
      <c r="Z187"/>
      <c r="AA187"/>
      <c r="AB187"/>
      <c r="AC187"/>
      <c r="AD187"/>
      <c r="AE187"/>
      <c r="AF187"/>
      <c r="AG187"/>
      <c r="AJ187" s="72"/>
      <c r="AK187"/>
      <c r="AL187"/>
      <c r="AM187"/>
      <c r="AN187"/>
      <c r="AO187"/>
      <c r="AP187"/>
      <c r="AS187" s="67" t="s">
        <v>238</v>
      </c>
    </row>
    <row r="188" spans="8:45">
      <c r="H188" s="228"/>
      <c r="I188" s="1420" t="s">
        <v>106</v>
      </c>
      <c r="J188" s="1421"/>
      <c r="K188" s="1421"/>
      <c r="L188" s="1422">
        <f t="shared" ref="L188:U188" si="221">L169/L80</f>
        <v>0.11188811188811189</v>
      </c>
      <c r="M188" s="1422">
        <f t="shared" si="221"/>
        <v>0.1166077738515901</v>
      </c>
      <c r="N188" s="1422">
        <f t="shared" si="221"/>
        <v>0.10810810810810811</v>
      </c>
      <c r="O188" s="1422">
        <f t="shared" si="221"/>
        <v>0.17490494296577946</v>
      </c>
      <c r="P188" s="1422">
        <f t="shared" si="221"/>
        <v>0.16538461538461538</v>
      </c>
      <c r="Q188" s="1422">
        <f t="shared" si="221"/>
        <v>0.20543806646525681</v>
      </c>
      <c r="R188" s="1422">
        <f t="shared" si="221"/>
        <v>0.20521172638436483</v>
      </c>
      <c r="S188" s="1422">
        <f t="shared" si="221"/>
        <v>0.22818791946308725</v>
      </c>
      <c r="T188" s="1422">
        <f t="shared" si="221"/>
        <v>0.24803149606299213</v>
      </c>
      <c r="U188" s="1423">
        <f t="shared" si="221"/>
        <v>0.2530612244897959</v>
      </c>
      <c r="V188" s="72"/>
      <c r="W188"/>
      <c r="X188"/>
      <c r="Y188"/>
      <c r="Z188"/>
      <c r="AA188"/>
      <c r="AB188"/>
      <c r="AC188"/>
      <c r="AD188"/>
      <c r="AE188"/>
      <c r="AF188"/>
      <c r="AG188"/>
      <c r="AJ188" s="72"/>
      <c r="AK188"/>
      <c r="AL188"/>
      <c r="AM188"/>
      <c r="AN188"/>
      <c r="AO188"/>
      <c r="AP188"/>
      <c r="AS188" s="67" t="s">
        <v>238</v>
      </c>
    </row>
    <row r="189" spans="8:45" ht="16" thickBot="1">
      <c r="H189" s="228"/>
      <c r="I189" s="1424" t="s">
        <v>114</v>
      </c>
      <c r="J189" s="1425"/>
      <c r="K189" s="1425"/>
      <c r="L189" s="1426">
        <f t="shared" ref="L189:U189" si="222">L170/L88</f>
        <v>0.11074918566775244</v>
      </c>
      <c r="M189" s="1426">
        <f t="shared" si="222"/>
        <v>9.4781682641107562E-2</v>
      </c>
      <c r="N189" s="1426">
        <f t="shared" si="222"/>
        <v>0.10267857142857142</v>
      </c>
      <c r="O189" s="1426">
        <f t="shared" si="222"/>
        <v>0.12622549019607843</v>
      </c>
      <c r="P189" s="1426">
        <f t="shared" si="222"/>
        <v>0.1634980988593156</v>
      </c>
      <c r="Q189" s="1426">
        <f t="shared" si="222"/>
        <v>0.18048780487804877</v>
      </c>
      <c r="R189" s="1426">
        <f t="shared" si="222"/>
        <v>0.1708185053380783</v>
      </c>
      <c r="S189" s="1426">
        <f t="shared" si="222"/>
        <v>0.18564356435643564</v>
      </c>
      <c r="T189" s="1426">
        <f t="shared" si="222"/>
        <v>0.20364741641337386</v>
      </c>
      <c r="U189" s="1427">
        <f t="shared" si="222"/>
        <v>0.192</v>
      </c>
      <c r="V189" s="72"/>
      <c r="W189"/>
      <c r="X189"/>
      <c r="Y189"/>
      <c r="Z189"/>
      <c r="AA189"/>
      <c r="AB189"/>
      <c r="AC189"/>
      <c r="AD189"/>
      <c r="AE189"/>
      <c r="AF189"/>
      <c r="AG189"/>
      <c r="AJ189" s="72"/>
      <c r="AK189"/>
      <c r="AL189"/>
      <c r="AM189"/>
      <c r="AN189"/>
      <c r="AO189"/>
      <c r="AP189"/>
      <c r="AS189" s="67" t="s">
        <v>238</v>
      </c>
    </row>
    <row r="190" spans="8:45">
      <c r="H190" s="228"/>
      <c r="I190"/>
      <c r="J190"/>
      <c r="K190"/>
      <c r="L190"/>
      <c r="M190"/>
      <c r="N190"/>
      <c r="O190"/>
      <c r="P190"/>
      <c r="Q190"/>
      <c r="R190"/>
      <c r="S190"/>
      <c r="T190"/>
      <c r="U190"/>
      <c r="V190" s="72"/>
      <c r="W190"/>
      <c r="X190"/>
      <c r="Y190"/>
      <c r="Z190"/>
      <c r="AA190"/>
      <c r="AB190"/>
      <c r="AC190"/>
      <c r="AD190"/>
      <c r="AE190"/>
      <c r="AF190"/>
      <c r="AG190"/>
      <c r="AJ190" s="72"/>
      <c r="AK190"/>
      <c r="AL190"/>
      <c r="AM190"/>
      <c r="AN190"/>
      <c r="AO190"/>
      <c r="AP190"/>
      <c r="AS190" s="67" t="s">
        <v>238</v>
      </c>
    </row>
    <row r="191" spans="8:45">
      <c r="H191" s="228"/>
      <c r="I191"/>
      <c r="J191"/>
      <c r="K191"/>
      <c r="L191"/>
      <c r="M191"/>
      <c r="N191"/>
      <c r="O191"/>
      <c r="P191"/>
      <c r="Q191"/>
      <c r="R191"/>
      <c r="S191"/>
      <c r="T191"/>
      <c r="U191"/>
      <c r="V191" s="72"/>
      <c r="W191"/>
      <c r="X191"/>
      <c r="Y191"/>
      <c r="Z191"/>
      <c r="AA191"/>
      <c r="AB191"/>
      <c r="AC191"/>
      <c r="AD191"/>
      <c r="AE191"/>
      <c r="AF191"/>
      <c r="AG191"/>
      <c r="AJ191" s="72"/>
      <c r="AK191"/>
      <c r="AL191"/>
      <c r="AM191"/>
      <c r="AN191"/>
      <c r="AO191"/>
      <c r="AP191"/>
      <c r="AS191" s="67" t="s">
        <v>238</v>
      </c>
    </row>
    <row r="192" spans="8:45" ht="17" thickBot="1">
      <c r="H192" s="228"/>
      <c r="I192" s="1413" t="s">
        <v>120</v>
      </c>
      <c r="J192" s="1409"/>
      <c r="K192" s="1409"/>
      <c r="L192" s="1409">
        <v>2010</v>
      </c>
      <c r="M192" s="1409">
        <v>2011</v>
      </c>
      <c r="N192" s="1409">
        <v>2012</v>
      </c>
      <c r="O192" s="1409">
        <v>2013</v>
      </c>
      <c r="P192" s="1409">
        <v>2014</v>
      </c>
      <c r="Q192" s="1409">
        <v>2015</v>
      </c>
      <c r="R192" s="1409">
        <v>2016</v>
      </c>
      <c r="S192" s="1409">
        <v>2017</v>
      </c>
      <c r="T192" s="1409">
        <v>2018</v>
      </c>
      <c r="U192" s="1409">
        <v>2019</v>
      </c>
      <c r="V192" s="72"/>
      <c r="W192"/>
      <c r="X192"/>
      <c r="Y192"/>
      <c r="Z192"/>
      <c r="AA192"/>
      <c r="AB192"/>
      <c r="AC192"/>
      <c r="AD192"/>
      <c r="AE192"/>
      <c r="AF192"/>
      <c r="AG192"/>
      <c r="AJ192" s="72"/>
      <c r="AK192"/>
      <c r="AL192"/>
      <c r="AM192"/>
      <c r="AN192"/>
      <c r="AO192"/>
      <c r="AP192"/>
      <c r="AS192" s="67" t="s">
        <v>238</v>
      </c>
    </row>
    <row r="193" spans="1:45">
      <c r="H193" s="228"/>
      <c r="I193" s="1416" t="s">
        <v>102</v>
      </c>
      <c r="J193" s="1417"/>
      <c r="K193" s="1417"/>
      <c r="L193" s="1418">
        <f>L174/L90</f>
        <v>5.1549145299145296E-2</v>
      </c>
      <c r="M193" s="1418">
        <f t="shared" ref="M193:U193" si="223">M174/M90</f>
        <v>5.0586701434159061E-2</v>
      </c>
      <c r="N193" s="1418">
        <f t="shared" si="223"/>
        <v>5.128879537085744E-2</v>
      </c>
      <c r="O193" s="1418">
        <f t="shared" si="223"/>
        <v>5.1637978900610775E-2</v>
      </c>
      <c r="P193" s="1418">
        <f t="shared" si="223"/>
        <v>6.6870229007633591E-2</v>
      </c>
      <c r="Q193" s="1418">
        <f t="shared" si="223"/>
        <v>7.9720279720279716E-2</v>
      </c>
      <c r="R193" s="1418">
        <f t="shared" si="223"/>
        <v>8.0168776371308023E-2</v>
      </c>
      <c r="S193" s="1418">
        <f t="shared" si="223"/>
        <v>8.1655480984340043E-2</v>
      </c>
      <c r="T193" s="1418">
        <f t="shared" si="223"/>
        <v>8.0783353733170138E-2</v>
      </c>
      <c r="U193" s="1419">
        <f t="shared" si="223"/>
        <v>9.6364432763907146E-2</v>
      </c>
      <c r="V193" s="72"/>
      <c r="W193"/>
      <c r="X193"/>
      <c r="Y193"/>
      <c r="Z193"/>
      <c r="AA193"/>
      <c r="AB193"/>
      <c r="AC193"/>
      <c r="AD193"/>
      <c r="AE193"/>
      <c r="AF193"/>
      <c r="AG193"/>
      <c r="AJ193" s="72"/>
      <c r="AK193"/>
      <c r="AL193"/>
      <c r="AM193"/>
      <c r="AN193"/>
      <c r="AO193"/>
      <c r="AP193"/>
      <c r="AS193" s="67" t="s">
        <v>238</v>
      </c>
    </row>
    <row r="194" spans="1:45">
      <c r="H194" s="228"/>
      <c r="I194" s="1420" t="s">
        <v>106</v>
      </c>
      <c r="J194" s="1421"/>
      <c r="K194" s="1421"/>
      <c r="L194" s="1422">
        <f>L175/L94</f>
        <v>6.5179095713446863E-2</v>
      </c>
      <c r="M194" s="1422">
        <f t="shared" ref="M194:U194" si="224">M175/M94</f>
        <v>6.2128222075346989E-2</v>
      </c>
      <c r="N194" s="1422">
        <f t="shared" si="224"/>
        <v>7.4337427278603749E-2</v>
      </c>
      <c r="O194" s="1422">
        <f t="shared" si="224"/>
        <v>8.9849108367626884E-2</v>
      </c>
      <c r="P194" s="1422">
        <f t="shared" si="224"/>
        <v>9.2647058823529416E-2</v>
      </c>
      <c r="Q194" s="1422">
        <f t="shared" si="224"/>
        <v>0.11769059955588453</v>
      </c>
      <c r="R194" s="1422">
        <f t="shared" si="224"/>
        <v>0.11700468018720749</v>
      </c>
      <c r="S194" s="1422">
        <f t="shared" si="224"/>
        <v>0.11829787234042553</v>
      </c>
      <c r="T194" s="1422">
        <f t="shared" si="224"/>
        <v>0.12611717974180736</v>
      </c>
      <c r="U194" s="1423">
        <f t="shared" si="224"/>
        <v>0.14326923076923076</v>
      </c>
      <c r="V194" s="72"/>
      <c r="W194"/>
      <c r="X194"/>
      <c r="Y194"/>
      <c r="Z194"/>
      <c r="AA194"/>
      <c r="AB194"/>
      <c r="AC194"/>
      <c r="AD194"/>
      <c r="AE194"/>
      <c r="AF194"/>
      <c r="AG194"/>
      <c r="AJ194" s="72"/>
      <c r="AK194"/>
      <c r="AL194"/>
      <c r="AM194"/>
      <c r="AN194"/>
      <c r="AO194"/>
      <c r="AP194"/>
      <c r="AS194" s="67" t="s">
        <v>238</v>
      </c>
    </row>
    <row r="195" spans="1:45" ht="16" thickBot="1">
      <c r="H195" s="228"/>
      <c r="I195" s="1424" t="s">
        <v>114</v>
      </c>
      <c r="J195" s="1425"/>
      <c r="K195" s="1425"/>
      <c r="L195" s="1426">
        <f>L176/L102</f>
        <v>5.5810537910776573E-2</v>
      </c>
      <c r="M195" s="1426">
        <f t="shared" ref="M195:U195" si="225">M176/M102</f>
        <v>5.3851907255048619E-2</v>
      </c>
      <c r="N195" s="1426">
        <f t="shared" si="225"/>
        <v>5.7954757898672646E-2</v>
      </c>
      <c r="O195" s="1426">
        <f t="shared" si="225"/>
        <v>6.2648221343873517E-2</v>
      </c>
      <c r="P195" s="1426">
        <f t="shared" si="225"/>
        <v>7.4433656957928807E-2</v>
      </c>
      <c r="Q195" s="1426">
        <f t="shared" si="225"/>
        <v>9.1902161006886723E-2</v>
      </c>
      <c r="R195" s="1426">
        <f t="shared" si="225"/>
        <v>9.161415414444983E-2</v>
      </c>
      <c r="S195" s="1426">
        <f t="shared" si="225"/>
        <v>9.2818252527871403E-2</v>
      </c>
      <c r="T195" s="1426">
        <f t="shared" si="225"/>
        <v>9.3984962406015032E-2</v>
      </c>
      <c r="U195" s="1427">
        <f t="shared" si="225"/>
        <v>0.11104423713511886</v>
      </c>
      <c r="V195" s="72"/>
      <c r="W195"/>
      <c r="X195"/>
      <c r="Y195"/>
      <c r="Z195"/>
      <c r="AA195"/>
      <c r="AB195"/>
      <c r="AC195"/>
      <c r="AD195"/>
      <c r="AE195"/>
      <c r="AF195"/>
      <c r="AG195"/>
      <c r="AJ195" s="72"/>
      <c r="AK195"/>
      <c r="AL195"/>
      <c r="AM195"/>
      <c r="AN195"/>
      <c r="AO195"/>
      <c r="AP195"/>
      <c r="AS195" s="67" t="s">
        <v>238</v>
      </c>
    </row>
    <row r="196" spans="1:45">
      <c r="H196" s="228"/>
      <c r="I196"/>
      <c r="J196"/>
      <c r="K196"/>
      <c r="L196"/>
      <c r="M196"/>
      <c r="N196"/>
      <c r="O196"/>
      <c r="P196"/>
      <c r="Q196"/>
      <c r="R196"/>
      <c r="S196"/>
      <c r="T196"/>
      <c r="U196"/>
      <c r="V196" s="72"/>
      <c r="W196"/>
      <c r="X196"/>
      <c r="Y196"/>
      <c r="Z196"/>
      <c r="AA196"/>
      <c r="AB196"/>
      <c r="AC196"/>
      <c r="AD196"/>
      <c r="AE196"/>
      <c r="AF196"/>
      <c r="AG196"/>
      <c r="AJ196" s="72"/>
      <c r="AK196"/>
      <c r="AL196"/>
      <c r="AM196"/>
      <c r="AN196"/>
      <c r="AO196"/>
      <c r="AP196"/>
      <c r="AS196" s="67" t="s">
        <v>238</v>
      </c>
    </row>
    <row r="197" spans="1:45">
      <c r="H197" s="228"/>
      <c r="I197" t="s">
        <v>2400</v>
      </c>
      <c r="J197" s="67" t="s">
        <v>3251</v>
      </c>
      <c r="K197" t="s">
        <v>3252</v>
      </c>
      <c r="L197"/>
      <c r="M197"/>
      <c r="N197"/>
      <c r="O197"/>
      <c r="P197"/>
      <c r="Q197"/>
      <c r="R197"/>
      <c r="S197"/>
      <c r="T197"/>
      <c r="U197"/>
      <c r="V197" s="72"/>
      <c r="W197"/>
      <c r="X197"/>
      <c r="Y197"/>
      <c r="Z197"/>
      <c r="AA197"/>
      <c r="AB197"/>
      <c r="AC197"/>
      <c r="AD197"/>
      <c r="AE197"/>
      <c r="AF197"/>
      <c r="AG197"/>
      <c r="AJ197" s="72"/>
      <c r="AK197"/>
      <c r="AL197"/>
      <c r="AM197"/>
      <c r="AN197"/>
      <c r="AO197"/>
      <c r="AP197"/>
      <c r="AS197" s="67" t="s">
        <v>238</v>
      </c>
    </row>
    <row r="198" spans="1:45">
      <c r="A198" s="68" t="str">
        <f t="shared" ref="A198:A199" si="226">B198&amp;"_"&amp;C198&amp;"_"&amp;D198&amp;"_"&amp;E201</f>
        <v>RB_TB/HIV__</v>
      </c>
      <c r="B198" s="67" t="s">
        <v>235</v>
      </c>
      <c r="C198" s="68" t="s">
        <v>94</v>
      </c>
      <c r="H198" s="228"/>
      <c r="I198" s="1437">
        <f>U183</f>
        <v>9.5990747879722435E-2</v>
      </c>
      <c r="J198" s="1242">
        <v>0.7</v>
      </c>
      <c r="K198" s="1079">
        <f>I198*J198</f>
        <v>6.7193523515805695E-2</v>
      </c>
      <c r="L198"/>
      <c r="M198"/>
      <c r="N198"/>
      <c r="O198"/>
      <c r="P198"/>
      <c r="Q198"/>
      <c r="R198"/>
      <c r="S198"/>
      <c r="T198"/>
      <c r="U198"/>
      <c r="V198" s="72"/>
      <c r="W198"/>
      <c r="X198"/>
      <c r="Y198"/>
      <c r="Z198"/>
      <c r="AA198"/>
      <c r="AB198"/>
      <c r="AC198"/>
      <c r="AD198"/>
      <c r="AE198"/>
      <c r="AF198"/>
      <c r="AG198"/>
      <c r="AJ198" s="72"/>
      <c r="AK198"/>
      <c r="AL198"/>
      <c r="AM198"/>
      <c r="AN198"/>
      <c r="AO198"/>
      <c r="AP198"/>
      <c r="AS198" s="67" t="s">
        <v>238</v>
      </c>
    </row>
    <row r="199" spans="1:45">
      <c r="A199" s="68" t="str">
        <f t="shared" si="226"/>
        <v>LB_TB/HIV__</v>
      </c>
      <c r="B199" s="67" t="s">
        <v>236</v>
      </c>
      <c r="C199" s="68" t="s">
        <v>94</v>
      </c>
      <c r="H199" s="228"/>
      <c r="I199" s="1437">
        <f>U189</f>
        <v>0.192</v>
      </c>
      <c r="J199" s="1242">
        <v>0.7</v>
      </c>
      <c r="K199" s="1079">
        <f>I199*J199</f>
        <v>0.13439999999999999</v>
      </c>
      <c r="L199"/>
      <c r="M199"/>
      <c r="N199"/>
      <c r="O199"/>
      <c r="P199"/>
      <c r="Q199"/>
      <c r="R199"/>
      <c r="S199"/>
      <c r="T199"/>
      <c r="U199"/>
      <c r="V199" s="72"/>
      <c r="W199"/>
      <c r="X199"/>
      <c r="Y199"/>
      <c r="Z199"/>
      <c r="AA199"/>
      <c r="AB199"/>
      <c r="AC199"/>
      <c r="AD199"/>
      <c r="AE199"/>
      <c r="AF199"/>
      <c r="AG199"/>
      <c r="AJ199" s="72"/>
      <c r="AK199"/>
      <c r="AL199"/>
      <c r="AM199"/>
      <c r="AN199"/>
      <c r="AO199"/>
      <c r="AP199"/>
      <c r="AS199" s="67" t="s">
        <v>238</v>
      </c>
    </row>
    <row r="200" spans="1:45">
      <c r="H200" s="228"/>
      <c r="I200" s="1437">
        <f>U195</f>
        <v>0.11104423713511886</v>
      </c>
      <c r="J200" s="1242">
        <v>0.7</v>
      </c>
      <c r="K200" s="1079">
        <f>I200*J200</f>
        <v>7.7730965994583207E-2</v>
      </c>
      <c r="L200"/>
      <c r="M200"/>
      <c r="N200"/>
      <c r="O200"/>
      <c r="P200"/>
      <c r="Q200"/>
      <c r="R200"/>
      <c r="S200"/>
      <c r="T200"/>
      <c r="U200"/>
      <c r="V200" s="72"/>
      <c r="W200"/>
      <c r="X200"/>
      <c r="Y200"/>
      <c r="Z200"/>
      <c r="AA200"/>
      <c r="AB200"/>
      <c r="AC200"/>
      <c r="AD200"/>
      <c r="AE200"/>
      <c r="AF200"/>
      <c r="AG200"/>
      <c r="AJ200" s="72"/>
      <c r="AK200"/>
      <c r="AL200"/>
      <c r="AM200"/>
      <c r="AN200"/>
      <c r="AO200"/>
      <c r="AP200"/>
      <c r="AS200" s="67" t="s">
        <v>238</v>
      </c>
    </row>
    <row r="201" spans="1:45">
      <c r="H201" s="228"/>
      <c r="I201"/>
      <c r="J201"/>
      <c r="K201"/>
      <c r="L201"/>
      <c r="M201"/>
      <c r="N201"/>
      <c r="O201"/>
      <c r="P201"/>
      <c r="Q201"/>
      <c r="R201"/>
      <c r="S201"/>
      <c r="T201"/>
      <c r="U201"/>
      <c r="V201" s="72"/>
      <c r="W201" s="237"/>
      <c r="X201" s="237"/>
      <c r="Y201" s="237"/>
      <c r="Z201" s="237"/>
      <c r="AA201" s="237"/>
      <c r="AB201" s="237"/>
      <c r="AC201" s="237"/>
      <c r="AD201" s="237"/>
      <c r="AE201"/>
      <c r="AF201"/>
      <c r="AG201" s="240"/>
      <c r="AJ201" s="72"/>
      <c r="AK201"/>
      <c r="AL201"/>
      <c r="AM201"/>
      <c r="AN201"/>
      <c r="AO201"/>
      <c r="AP201"/>
      <c r="AS201" s="67" t="s">
        <v>238</v>
      </c>
    </row>
    <row r="202" spans="1:45">
      <c r="H202" s="228"/>
      <c r="I202"/>
      <c r="J202"/>
      <c r="K202"/>
      <c r="L202"/>
      <c r="M202" s="277"/>
      <c r="N202" s="277"/>
      <c r="O202" s="277"/>
      <c r="P202" s="277"/>
      <c r="Q202" s="277"/>
      <c r="R202" s="277"/>
      <c r="S202" s="277"/>
      <c r="T202" s="277"/>
      <c r="U202" s="277"/>
      <c r="V202" s="72"/>
      <c r="W202" s="237"/>
      <c r="X202" s="237"/>
      <c r="Y202" s="237"/>
      <c r="Z202" s="237"/>
      <c r="AA202" s="237"/>
      <c r="AB202" s="237"/>
      <c r="AC202" s="237"/>
      <c r="AD202" s="237"/>
      <c r="AE202"/>
      <c r="AF202"/>
      <c r="AG202" s="240"/>
      <c r="AJ202" s="72"/>
      <c r="AK202"/>
      <c r="AL202"/>
      <c r="AM202"/>
      <c r="AN202"/>
      <c r="AO202"/>
      <c r="AP202"/>
      <c r="AS202" s="67" t="s">
        <v>238</v>
      </c>
    </row>
    <row r="203" spans="1:45">
      <c r="H203" s="228"/>
      <c r="I203"/>
      <c r="J203"/>
      <c r="K203"/>
      <c r="L203"/>
      <c r="M203" s="277"/>
      <c r="N203" s="277"/>
      <c r="O203" s="277"/>
      <c r="P203" s="277"/>
      <c r="Q203" s="277"/>
      <c r="R203" s="277"/>
      <c r="S203" s="277"/>
      <c r="T203" s="277"/>
      <c r="U203" s="277"/>
      <c r="V203" s="72"/>
      <c r="W203" s="237"/>
      <c r="X203" s="237"/>
      <c r="Y203" s="237"/>
      <c r="Z203" s="237"/>
      <c r="AA203" s="237"/>
      <c r="AB203" s="237"/>
      <c r="AC203" s="237"/>
      <c r="AD203" s="237"/>
      <c r="AE203"/>
      <c r="AF203"/>
      <c r="AG203" s="240"/>
      <c r="AJ203" s="72"/>
      <c r="AK203"/>
      <c r="AL203"/>
      <c r="AM203"/>
      <c r="AN203"/>
      <c r="AO203"/>
      <c r="AP203"/>
      <c r="AS203" s="67" t="s">
        <v>238</v>
      </c>
    </row>
    <row r="204" spans="1:45">
      <c r="H204" s="228"/>
      <c r="I204"/>
      <c r="J204"/>
      <c r="K204"/>
      <c r="L204"/>
      <c r="M204" s="277"/>
      <c r="N204" s="277"/>
      <c r="O204" s="277"/>
      <c r="P204" s="277"/>
      <c r="Q204" s="277"/>
      <c r="R204" s="277"/>
      <c r="S204" s="277"/>
      <c r="T204" s="277"/>
      <c r="U204" s="277"/>
      <c r="V204" s="72"/>
      <c r="W204" s="237"/>
      <c r="X204" s="237"/>
      <c r="Y204" s="237"/>
      <c r="Z204" s="237"/>
      <c r="AA204" s="237"/>
      <c r="AB204" s="237"/>
      <c r="AC204" s="237"/>
      <c r="AD204" s="237"/>
      <c r="AE204"/>
      <c r="AF204"/>
      <c r="AG204" s="240"/>
      <c r="AJ204" s="72"/>
      <c r="AK204"/>
      <c r="AL204"/>
      <c r="AM204"/>
      <c r="AN204"/>
      <c r="AO204"/>
      <c r="AP204"/>
      <c r="AS204" s="67" t="s">
        <v>238</v>
      </c>
    </row>
    <row r="205" spans="1:45" ht="6" customHeight="1" collapsed="1">
      <c r="A205" s="185"/>
      <c r="B205" s="185"/>
      <c r="C205" s="186"/>
      <c r="D205" s="186"/>
      <c r="E205" s="186"/>
      <c r="F205" s="186"/>
      <c r="G205" s="186"/>
      <c r="H205" s="186"/>
      <c r="I205" s="187"/>
      <c r="J205" s="187"/>
      <c r="K205" s="188"/>
      <c r="L205" s="187"/>
      <c r="M205" s="187"/>
      <c r="N205" s="187"/>
      <c r="O205" s="187"/>
      <c r="P205" s="187"/>
      <c r="Q205" s="187"/>
      <c r="R205" s="187"/>
      <c r="S205" s="187"/>
      <c r="T205" s="187"/>
      <c r="U205" s="187"/>
      <c r="V205" s="72"/>
      <c r="W205" s="187"/>
      <c r="X205" s="187"/>
      <c r="Y205" s="187"/>
      <c r="Z205" s="187"/>
      <c r="AA205" s="187"/>
      <c r="AB205" s="187"/>
      <c r="AC205" s="187"/>
      <c r="AD205" s="187"/>
      <c r="AE205" s="187"/>
      <c r="AF205" s="187"/>
      <c r="AG205" s="187"/>
      <c r="AH205" s="187"/>
      <c r="AI205" s="174"/>
      <c r="AJ205" s="187"/>
      <c r="AK205" s="189"/>
      <c r="AL205" s="189"/>
      <c r="AM205" s="189"/>
      <c r="AN205" s="189"/>
      <c r="AO205" s="189"/>
      <c r="AP205" s="189"/>
      <c r="AQ205" s="187"/>
      <c r="AR205" s="185"/>
      <c r="AS205" s="67" t="s">
        <v>238</v>
      </c>
    </row>
    <row r="206" spans="1:45">
      <c r="H206" s="228"/>
      <c r="I206"/>
      <c r="J206"/>
      <c r="K206"/>
      <c r="L206"/>
      <c r="M206" s="277"/>
      <c r="N206" s="277"/>
      <c r="O206" s="277"/>
      <c r="P206" s="277"/>
      <c r="Q206" s="277"/>
      <c r="R206" s="277"/>
      <c r="S206" s="277"/>
      <c r="T206" s="277"/>
      <c r="U206" s="277"/>
      <c r="V206" s="72"/>
      <c r="W206" s="237"/>
      <c r="X206" s="237"/>
      <c r="Y206" s="237"/>
      <c r="Z206" s="237"/>
      <c r="AA206" s="237"/>
      <c r="AB206" s="237"/>
      <c r="AC206" s="237"/>
      <c r="AD206" s="237"/>
      <c r="AE206"/>
      <c r="AF206"/>
      <c r="AG206" s="240"/>
      <c r="AJ206" s="72"/>
      <c r="AK206"/>
      <c r="AL206"/>
      <c r="AM206"/>
      <c r="AN206"/>
      <c r="AO206"/>
      <c r="AP206"/>
      <c r="AS206" s="67" t="s">
        <v>238</v>
      </c>
    </row>
    <row r="207" spans="1:45" ht="21">
      <c r="F207" s="227" t="s">
        <v>248</v>
      </c>
      <c r="G207" s="69" t="s">
        <v>128</v>
      </c>
      <c r="H207" s="228"/>
      <c r="V207" s="72"/>
      <c r="AG207" s="124" t="s">
        <v>146</v>
      </c>
      <c r="AH207" s="124" t="s">
        <v>147</v>
      </c>
      <c r="AJ207" s="72"/>
      <c r="AS207" s="67" t="s">
        <v>238</v>
      </c>
    </row>
    <row r="208" spans="1:45" ht="16" thickBot="1">
      <c r="H208" s="228"/>
      <c r="I208" s="73"/>
      <c r="J208" s="73"/>
      <c r="K208" s="229"/>
      <c r="L208" s="230"/>
      <c r="M208" s="230"/>
      <c r="N208" s="230"/>
      <c r="O208" s="230"/>
      <c r="P208" s="230"/>
      <c r="Q208" s="230"/>
      <c r="R208" s="230"/>
      <c r="S208" s="230"/>
      <c r="T208" s="230"/>
      <c r="U208" s="230"/>
      <c r="V208" s="72"/>
      <c r="AJ208" s="72"/>
      <c r="AK208" s="231"/>
      <c r="AL208" s="232"/>
      <c r="AM208" s="232"/>
      <c r="AN208" s="232"/>
      <c r="AO208" s="232"/>
      <c r="AP208" s="232"/>
      <c r="AS208" s="67" t="s">
        <v>238</v>
      </c>
    </row>
    <row r="209" spans="1:45" ht="16">
      <c r="H209" s="228"/>
      <c r="I209" s="233" t="s">
        <v>116</v>
      </c>
      <c r="J209" s="234"/>
      <c r="K209" s="235"/>
      <c r="L209" s="234">
        <v>587</v>
      </c>
      <c r="M209" s="234">
        <v>499</v>
      </c>
      <c r="N209" s="234">
        <v>466</v>
      </c>
      <c r="O209" s="234">
        <v>354</v>
      </c>
      <c r="P209" s="234">
        <v>375</v>
      </c>
      <c r="Q209" s="234">
        <v>317</v>
      </c>
      <c r="R209" s="234">
        <v>286</v>
      </c>
      <c r="S209" s="234">
        <v>252</v>
      </c>
      <c r="T209" s="234">
        <v>232</v>
      </c>
      <c r="U209" s="236">
        <f>ROUND(T209*(100%+AD209),0)</f>
        <v>214</v>
      </c>
      <c r="V209" s="72"/>
      <c r="W209" s="237">
        <v>-0.14991482112436116</v>
      </c>
      <c r="X209" s="237">
        <v>-6.6132264529058071E-2</v>
      </c>
      <c r="Y209" s="237">
        <v>-0.24034334763948495</v>
      </c>
      <c r="Z209" s="237">
        <v>5.9322033898305149E-2</v>
      </c>
      <c r="AA209" s="237">
        <v>-0.15466666666666662</v>
      </c>
      <c r="AB209" s="237">
        <v>-9.7791798107255468E-2</v>
      </c>
      <c r="AC209" s="237">
        <v>-0.11888111888111885</v>
      </c>
      <c r="AD209" s="237">
        <v>-7.9365079365079416E-2</v>
      </c>
      <c r="AE209" s="238">
        <v>-0.11637931034482762</v>
      </c>
      <c r="AF209" s="239"/>
      <c r="AG209" s="240">
        <f>AVERAGE(W209:AD209)</f>
        <v>-0.10597163280183992</v>
      </c>
      <c r="AH209" s="241">
        <v>-7.0000000000000007E-2</v>
      </c>
      <c r="AJ209" s="72"/>
      <c r="AK209" s="242">
        <f>ROUND(U209*(100%+AH209),0)</f>
        <v>199</v>
      </c>
      <c r="AL209" s="243">
        <f>ROUND(AK209*(100%+$AH209),0)</f>
        <v>185</v>
      </c>
      <c r="AM209" s="243">
        <f t="shared" ref="AM209:AP209" si="227">ROUND(AL209*(100%+$AH209),0)</f>
        <v>172</v>
      </c>
      <c r="AN209" s="243">
        <f t="shared" si="227"/>
        <v>160</v>
      </c>
      <c r="AO209" s="243">
        <f t="shared" si="227"/>
        <v>149</v>
      </c>
      <c r="AP209" s="243">
        <f t="shared" si="227"/>
        <v>139</v>
      </c>
      <c r="AS209" s="67" t="s">
        <v>238</v>
      </c>
    </row>
    <row r="210" spans="1:45" ht="16">
      <c r="H210" s="228"/>
      <c r="I210" s="244" t="s">
        <v>119</v>
      </c>
      <c r="J210" s="245"/>
      <c r="K210" s="246"/>
      <c r="L210" s="245">
        <v>141</v>
      </c>
      <c r="M210" s="245">
        <v>158</v>
      </c>
      <c r="N210" s="245">
        <v>122</v>
      </c>
      <c r="O210" s="245">
        <v>106</v>
      </c>
      <c r="P210" s="245">
        <v>135</v>
      </c>
      <c r="Q210" s="245">
        <v>91</v>
      </c>
      <c r="R210" s="245">
        <v>86</v>
      </c>
      <c r="S210" s="245">
        <v>68</v>
      </c>
      <c r="T210" s="245">
        <v>72</v>
      </c>
      <c r="U210" s="247">
        <f>T210</f>
        <v>72</v>
      </c>
      <c r="V210" s="72"/>
      <c r="W210" s="237">
        <v>0.12056737588652489</v>
      </c>
      <c r="X210" s="237">
        <v>-0.22784810126582278</v>
      </c>
      <c r="Y210" s="237">
        <v>-0.13114754098360659</v>
      </c>
      <c r="Z210" s="237">
        <v>0.27358490566037741</v>
      </c>
      <c r="AA210" s="237">
        <v>-0.32592592592592595</v>
      </c>
      <c r="AB210" s="237">
        <v>-5.4945054945054972E-2</v>
      </c>
      <c r="AC210" s="237">
        <v>-0.20930232558139539</v>
      </c>
      <c r="AD210" s="237">
        <v>5.8823529411764719E-2</v>
      </c>
      <c r="AE210" s="238">
        <v>-0.45833333333333337</v>
      </c>
      <c r="AF210" s="239"/>
      <c r="AG210" s="240">
        <f>AVERAGE(W210:AD210)</f>
        <v>-6.2024142217892334E-2</v>
      </c>
      <c r="AH210" s="241">
        <v>-0.02</v>
      </c>
      <c r="AJ210" s="72"/>
      <c r="AK210" s="242">
        <f>ROUND(U210*(100%+AH210),0)</f>
        <v>71</v>
      </c>
      <c r="AL210" s="243">
        <f t="shared" ref="AL210:AP210" si="228">ROUND(AK210*(100%+$AH210),0)</f>
        <v>70</v>
      </c>
      <c r="AM210" s="243">
        <f t="shared" si="228"/>
        <v>69</v>
      </c>
      <c r="AN210" s="243">
        <f t="shared" si="228"/>
        <v>68</v>
      </c>
      <c r="AO210" s="243">
        <f t="shared" si="228"/>
        <v>67</v>
      </c>
      <c r="AP210" s="243">
        <f t="shared" si="228"/>
        <v>66</v>
      </c>
      <c r="AS210" s="67" t="s">
        <v>238</v>
      </c>
    </row>
    <row r="211" spans="1:45" ht="17" thickBot="1">
      <c r="H211" s="228"/>
      <c r="I211" s="248" t="s">
        <v>120</v>
      </c>
      <c r="J211" s="249"/>
      <c r="K211" s="250"/>
      <c r="L211" s="249">
        <v>728</v>
      </c>
      <c r="M211" s="249">
        <v>657</v>
      </c>
      <c r="N211" s="249">
        <v>588</v>
      </c>
      <c r="O211" s="249">
        <v>460</v>
      </c>
      <c r="P211" s="249">
        <v>510</v>
      </c>
      <c r="Q211" s="249">
        <v>408</v>
      </c>
      <c r="R211" s="249">
        <v>372</v>
      </c>
      <c r="S211" s="249">
        <v>320</v>
      </c>
      <c r="T211" s="249">
        <v>304</v>
      </c>
      <c r="U211" s="251">
        <f>SUM(U209,U210)</f>
        <v>286</v>
      </c>
      <c r="V211" s="72"/>
      <c r="W211" s="237">
        <v>-9.7527472527472514E-2</v>
      </c>
      <c r="X211" s="237">
        <v>-0.10502283105022836</v>
      </c>
      <c r="Y211" s="237">
        <v>-0.21768707482993199</v>
      </c>
      <c r="Z211" s="237">
        <v>0.10869565217391308</v>
      </c>
      <c r="AA211" s="237">
        <v>-0.19999999999999996</v>
      </c>
      <c r="AB211" s="237">
        <v>-8.8235294117647078E-2</v>
      </c>
      <c r="AC211" s="237">
        <v>-0.13978494623655913</v>
      </c>
      <c r="AD211" s="237">
        <v>-5.0000000000000044E-2</v>
      </c>
      <c r="AE211" s="238">
        <v>-0.19736842105263153</v>
      </c>
      <c r="AF211" s="239"/>
      <c r="AG211" s="240">
        <f>AVERAGE(W211:AD211)</f>
        <v>-9.8695245823490749E-2</v>
      </c>
      <c r="AJ211" s="72"/>
      <c r="AK211" s="242">
        <f t="shared" ref="AK211:AP211" si="229">SUM(AK209,AK210)</f>
        <v>270</v>
      </c>
      <c r="AL211" s="243">
        <f t="shared" si="229"/>
        <v>255</v>
      </c>
      <c r="AM211" s="243">
        <f t="shared" si="229"/>
        <v>241</v>
      </c>
      <c r="AN211" s="243">
        <f t="shared" si="229"/>
        <v>228</v>
      </c>
      <c r="AO211" s="243">
        <f t="shared" si="229"/>
        <v>216</v>
      </c>
      <c r="AP211" s="243">
        <f t="shared" si="229"/>
        <v>205</v>
      </c>
      <c r="AS211" s="67" t="s">
        <v>238</v>
      </c>
    </row>
    <row r="212" spans="1:45">
      <c r="H212" s="228"/>
      <c r="I212"/>
      <c r="J212" s="277"/>
      <c r="K212" s="1407"/>
      <c r="L212" s="277"/>
      <c r="M212" s="277"/>
      <c r="N212" s="277"/>
      <c r="O212" s="277"/>
      <c r="P212" s="277"/>
      <c r="Q212" s="277"/>
      <c r="R212" s="277"/>
      <c r="S212" s="277"/>
      <c r="T212" s="277"/>
      <c r="U212" s="277"/>
      <c r="V212" s="72"/>
      <c r="W212" s="237"/>
      <c r="X212" s="237"/>
      <c r="Y212" s="237"/>
      <c r="Z212" s="237"/>
      <c r="AA212" s="237"/>
      <c r="AB212" s="237"/>
      <c r="AC212" s="237"/>
      <c r="AD212" s="237"/>
      <c r="AE212"/>
      <c r="AF212"/>
      <c r="AG212" s="240"/>
      <c r="AJ212" s="72"/>
      <c r="AK212" s="242"/>
      <c r="AL212" s="243"/>
      <c r="AM212" s="243"/>
      <c r="AN212" s="243"/>
      <c r="AO212" s="243"/>
      <c r="AP212" s="243"/>
      <c r="AS212" s="67" t="s">
        <v>238</v>
      </c>
    </row>
    <row r="213" spans="1:45">
      <c r="H213" s="228"/>
      <c r="I213"/>
      <c r="J213" s="277"/>
      <c r="K213" s="1407"/>
      <c r="L213" s="277"/>
      <c r="M213" s="277"/>
      <c r="N213" s="277"/>
      <c r="O213" s="277"/>
      <c r="P213" s="277"/>
      <c r="Q213" s="277"/>
      <c r="R213" s="277"/>
      <c r="S213" s="277"/>
      <c r="T213" s="277"/>
      <c r="U213" s="277"/>
      <c r="V213" s="72"/>
      <c r="W213" s="237"/>
      <c r="X213" s="237"/>
      <c r="Y213" s="237"/>
      <c r="Z213" s="237"/>
      <c r="AA213" s="237"/>
      <c r="AB213" s="237"/>
      <c r="AC213" s="237"/>
      <c r="AD213" s="237"/>
      <c r="AE213"/>
      <c r="AF213"/>
      <c r="AG213" s="240"/>
      <c r="AJ213" s="72"/>
      <c r="AK213" s="242"/>
      <c r="AL213" s="243"/>
      <c r="AM213" s="243"/>
      <c r="AN213" s="243"/>
      <c r="AO213" s="243"/>
      <c r="AP213" s="243"/>
      <c r="AS213" s="67" t="s">
        <v>238</v>
      </c>
    </row>
    <row r="214" spans="1:45">
      <c r="H214" s="228"/>
      <c r="I214"/>
      <c r="J214" s="277"/>
      <c r="K214" s="1407"/>
      <c r="L214" s="277"/>
      <c r="M214" s="277"/>
      <c r="N214" s="277"/>
      <c r="O214" s="277"/>
      <c r="P214" s="277"/>
      <c r="Q214" s="277"/>
      <c r="R214" s="277"/>
      <c r="S214" s="277"/>
      <c r="T214" s="277"/>
      <c r="U214" s="277"/>
      <c r="V214" s="72"/>
      <c r="W214" s="237"/>
      <c r="X214" s="237"/>
      <c r="Y214" s="237"/>
      <c r="Z214" s="237"/>
      <c r="AA214" s="237"/>
      <c r="AB214" s="237"/>
      <c r="AC214" s="237"/>
      <c r="AD214" s="237"/>
      <c r="AE214"/>
      <c r="AF214"/>
      <c r="AG214" s="240"/>
      <c r="AJ214" s="72"/>
      <c r="AK214" s="242"/>
      <c r="AL214" s="243"/>
      <c r="AM214" s="243"/>
      <c r="AN214" s="243"/>
      <c r="AO214" s="243"/>
      <c r="AP214" s="243"/>
      <c r="AS214" s="67" t="s">
        <v>238</v>
      </c>
    </row>
    <row r="215" spans="1:45">
      <c r="H215" s="228"/>
      <c r="I215"/>
      <c r="J215" s="277"/>
      <c r="K215" s="1407"/>
      <c r="L215" s="277"/>
      <c r="M215" s="277"/>
      <c r="N215" s="277"/>
      <c r="O215" s="277"/>
      <c r="P215" s="277"/>
      <c r="Q215" s="277"/>
      <c r="R215" s="277"/>
      <c r="S215" s="277"/>
      <c r="T215" s="277"/>
      <c r="U215" s="277"/>
      <c r="V215" s="72"/>
      <c r="W215" s="237"/>
      <c r="X215" s="237"/>
      <c r="Y215" s="237"/>
      <c r="Z215" s="237"/>
      <c r="AA215" s="237"/>
      <c r="AB215" s="237"/>
      <c r="AC215" s="237"/>
      <c r="AD215" s="237"/>
      <c r="AE215"/>
      <c r="AF215"/>
      <c r="AG215" s="240"/>
      <c r="AJ215" s="72"/>
      <c r="AK215" s="242"/>
      <c r="AL215" s="243"/>
      <c r="AM215" s="243"/>
      <c r="AN215" s="243"/>
      <c r="AO215" s="243"/>
      <c r="AP215" s="243"/>
      <c r="AS215" s="67" t="s">
        <v>238</v>
      </c>
    </row>
    <row r="216" spans="1:45">
      <c r="V216" s="72"/>
      <c r="AJ216" s="72"/>
      <c r="AS216" s="67" t="s">
        <v>238</v>
      </c>
    </row>
    <row r="217" spans="1:45" ht="6" customHeight="1" collapsed="1">
      <c r="A217" s="185"/>
      <c r="B217" s="185"/>
      <c r="C217" s="186"/>
      <c r="D217" s="186"/>
      <c r="E217" s="186"/>
      <c r="F217" s="186"/>
      <c r="G217" s="186"/>
      <c r="H217" s="186"/>
      <c r="I217" s="187"/>
      <c r="J217" s="187"/>
      <c r="K217" s="188"/>
      <c r="L217" s="187"/>
      <c r="M217" s="187"/>
      <c r="N217" s="187"/>
      <c r="O217" s="187"/>
      <c r="P217" s="187"/>
      <c r="Q217" s="187"/>
      <c r="R217" s="187"/>
      <c r="S217" s="187"/>
      <c r="T217" s="187"/>
      <c r="U217" s="187"/>
      <c r="V217" s="72"/>
      <c r="W217" s="187"/>
      <c r="X217" s="187"/>
      <c r="Y217" s="187"/>
      <c r="Z217" s="187"/>
      <c r="AA217" s="187"/>
      <c r="AB217" s="187"/>
      <c r="AC217" s="187"/>
      <c r="AD217" s="187"/>
      <c r="AE217" s="187"/>
      <c r="AF217" s="187"/>
      <c r="AG217" s="187"/>
      <c r="AH217" s="187"/>
      <c r="AI217" s="174"/>
      <c r="AJ217" s="187"/>
      <c r="AK217" s="189"/>
      <c r="AL217" s="189"/>
      <c r="AM217" s="189"/>
      <c r="AN217" s="189"/>
      <c r="AO217" s="189"/>
      <c r="AP217" s="189"/>
      <c r="AQ217" s="187"/>
      <c r="AR217" s="185"/>
      <c r="AS217" s="67" t="s">
        <v>238</v>
      </c>
    </row>
    <row r="218" spans="1:45" s="73" customFormat="1" ht="22" thickBot="1">
      <c r="C218" s="228"/>
      <c r="D218" s="228"/>
      <c r="E218" s="228"/>
      <c r="F218" s="69" t="s">
        <v>252</v>
      </c>
      <c r="G218" s="1280" t="s">
        <v>224</v>
      </c>
      <c r="H218" s="228"/>
      <c r="I218" s="174"/>
      <c r="J218" s="174"/>
      <c r="K218" s="253"/>
      <c r="L218" s="174"/>
      <c r="M218" s="174"/>
      <c r="N218" s="174"/>
      <c r="O218" s="174"/>
      <c r="P218" s="174"/>
      <c r="Q218" s="174"/>
      <c r="R218" s="174"/>
      <c r="S218" s="174"/>
      <c r="T218" s="174"/>
      <c r="U218" s="174"/>
      <c r="V218" s="72"/>
      <c r="W218" s="174"/>
      <c r="X218" s="174"/>
      <c r="Y218" s="174"/>
      <c r="Z218" s="174"/>
      <c r="AA218" s="174"/>
      <c r="AB218" s="174"/>
      <c r="AC218" s="174"/>
      <c r="AD218" s="174"/>
      <c r="AE218" s="174"/>
      <c r="AF218" s="174"/>
      <c r="AG218" s="174"/>
      <c r="AH218" s="174"/>
      <c r="AI218" s="174"/>
      <c r="AJ218" s="174"/>
      <c r="AK218" s="254"/>
      <c r="AL218" s="254"/>
      <c r="AM218" s="254"/>
      <c r="AN218" s="254"/>
      <c r="AO218" s="254"/>
      <c r="AP218" s="254"/>
      <c r="AQ218" s="174"/>
      <c r="AS218" s="67" t="s">
        <v>238</v>
      </c>
    </row>
    <row r="219" spans="1:45" s="1284" customFormat="1" ht="20" thickBot="1">
      <c r="C219" s="1285"/>
      <c r="D219" s="1285"/>
      <c r="E219" s="1285"/>
      <c r="G219" s="469"/>
      <c r="H219" s="1285"/>
      <c r="I219" s="1286"/>
      <c r="J219" s="1286"/>
      <c r="K219" s="1287"/>
      <c r="L219" s="1431">
        <v>2019</v>
      </c>
      <c r="M219" s="1432">
        <v>2020</v>
      </c>
      <c r="N219" s="1433">
        <v>2021</v>
      </c>
      <c r="O219" s="1433">
        <v>2022</v>
      </c>
      <c r="P219" s="1433">
        <v>2023</v>
      </c>
      <c r="Q219" s="1433">
        <v>2024</v>
      </c>
      <c r="R219" s="1434">
        <v>2025</v>
      </c>
      <c r="S219" s="1286"/>
      <c r="T219" s="1286"/>
      <c r="U219" s="1286"/>
      <c r="V219" s="1290"/>
      <c r="W219" s="1286"/>
      <c r="X219" s="1286"/>
      <c r="Y219" s="1286"/>
      <c r="Z219" s="1286"/>
      <c r="AA219" s="1286"/>
      <c r="AB219" s="1286"/>
      <c r="AC219" s="1286"/>
      <c r="AD219" s="1286"/>
      <c r="AE219" s="1286"/>
      <c r="AF219" s="1286"/>
      <c r="AG219" s="1286"/>
      <c r="AH219" s="1286"/>
      <c r="AI219" s="1286"/>
      <c r="AJ219" s="1286"/>
      <c r="AK219" s="1291"/>
      <c r="AL219" s="1291"/>
      <c r="AM219" s="1291"/>
      <c r="AN219" s="1291"/>
      <c r="AO219" s="1291"/>
      <c r="AP219" s="1291"/>
      <c r="AQ219" s="1286"/>
      <c r="AS219" s="67" t="s">
        <v>238</v>
      </c>
    </row>
    <row r="220" spans="1:45" s="73" customFormat="1">
      <c r="C220" s="228"/>
      <c r="D220" s="228"/>
      <c r="E220" s="228"/>
      <c r="F220" s="228"/>
      <c r="H220" s="228"/>
      <c r="K220" s="229"/>
      <c r="L220" s="66">
        <v>21</v>
      </c>
      <c r="M220" s="66">
        <v>37</v>
      </c>
      <c r="N220" s="255">
        <v>38</v>
      </c>
      <c r="O220" s="255">
        <v>39</v>
      </c>
      <c r="P220" s="255">
        <v>40</v>
      </c>
      <c r="Q220" s="255">
        <v>41</v>
      </c>
      <c r="R220" s="255">
        <v>42</v>
      </c>
      <c r="V220" s="72"/>
      <c r="AK220" s="256"/>
      <c r="AL220" s="256"/>
      <c r="AM220" s="256"/>
      <c r="AN220" s="256"/>
      <c r="AO220" s="256"/>
      <c r="AP220" s="256"/>
      <c r="AS220" s="67" t="s">
        <v>238</v>
      </c>
    </row>
    <row r="221" spans="1:45" ht="21">
      <c r="F221" s="257" t="s">
        <v>253</v>
      </c>
      <c r="G221" s="258" t="s">
        <v>205</v>
      </c>
      <c r="H221" s="259"/>
      <c r="I221" s="260"/>
      <c r="J221" s="260"/>
      <c r="N221" s="261"/>
      <c r="O221" s="261"/>
      <c r="P221" s="261"/>
      <c r="Q221" s="261"/>
      <c r="R221" s="261"/>
      <c r="V221" s="72"/>
      <c r="AS221" s="67" t="s">
        <v>238</v>
      </c>
    </row>
    <row r="222" spans="1:45">
      <c r="I222" s="262"/>
      <c r="J222" s="262"/>
      <c r="K222" s="263"/>
      <c r="L222" s="262"/>
      <c r="M222" s="262"/>
      <c r="N222" s="261"/>
      <c r="O222" s="261"/>
      <c r="P222" s="261"/>
      <c r="Q222" s="261"/>
      <c r="R222" s="261"/>
      <c r="V222" s="72"/>
      <c r="AS222" s="67" t="s">
        <v>238</v>
      </c>
    </row>
    <row r="223" spans="1:45" ht="22" thickBot="1">
      <c r="A223" s="68" t="str">
        <f>B223&amp;"_"&amp;C223&amp;"_"&amp;D223&amp;"_"&amp;E226</f>
        <v>RB_New_EP_</v>
      </c>
      <c r="B223" s="68" t="s">
        <v>235</v>
      </c>
      <c r="C223" s="68" t="s">
        <v>102</v>
      </c>
      <c r="D223" s="68" t="s">
        <v>226</v>
      </c>
      <c r="F223" s="190" t="s">
        <v>260</v>
      </c>
      <c r="G223" s="264"/>
      <c r="H223" s="265" t="s">
        <v>206</v>
      </c>
      <c r="I223" s="262"/>
      <c r="J223" s="262"/>
      <c r="K223" s="266"/>
      <c r="L223" s="267"/>
      <c r="N223" s="261"/>
      <c r="O223" s="261"/>
      <c r="P223" s="261"/>
      <c r="Q223" s="261"/>
      <c r="R223" s="261"/>
      <c r="V223" s="72"/>
      <c r="AS223" s="67" t="s">
        <v>238</v>
      </c>
    </row>
    <row r="224" spans="1:45">
      <c r="A224" s="68" t="str">
        <f>B224&amp;"_"&amp;C224&amp;"_"&amp;D224&amp;"_"&amp;E224</f>
        <v>RB_New_P_SS+</v>
      </c>
      <c r="B224" s="68" t="s">
        <v>235</v>
      </c>
      <c r="C224" s="68" t="s">
        <v>102</v>
      </c>
      <c r="D224" s="68" t="s">
        <v>225</v>
      </c>
      <c r="E224" s="68" t="s">
        <v>227</v>
      </c>
      <c r="F224" s="191"/>
      <c r="H224" s="70"/>
      <c r="I224" s="268" t="s">
        <v>207</v>
      </c>
      <c r="J224" s="269"/>
      <c r="K224" s="270"/>
      <c r="L224" s="270">
        <f>VLOOKUP($A224,estimation,L$220,0)</f>
        <v>1110</v>
      </c>
      <c r="M224" s="270">
        <f t="shared" ref="M224:R224" si="230">VLOOKUP($A224,estimation,M$220,0)</f>
        <v>1087</v>
      </c>
      <c r="N224" s="270">
        <f>VLOOKUP($A224,estimation,N$220,0)</f>
        <v>1065</v>
      </c>
      <c r="O224" s="270">
        <f t="shared" si="230"/>
        <v>1043</v>
      </c>
      <c r="P224" s="270">
        <f t="shared" si="230"/>
        <v>1022</v>
      </c>
      <c r="Q224" s="270">
        <f t="shared" si="230"/>
        <v>1001</v>
      </c>
      <c r="R224" s="271">
        <f t="shared" si="230"/>
        <v>981</v>
      </c>
      <c r="S224" s="272">
        <f>SUM(N224:R224)</f>
        <v>5112</v>
      </c>
      <c r="V224" s="72"/>
      <c r="AS224" s="67" t="s">
        <v>238</v>
      </c>
    </row>
    <row r="225" spans="1:45">
      <c r="A225" s="68" t="str">
        <f t="shared" ref="A225:A236" si="231">B225&amp;"_"&amp;C225&amp;"_"&amp;D225&amp;"_"&amp;E225</f>
        <v>RB_New_P_SS-</v>
      </c>
      <c r="B225" s="68" t="s">
        <v>235</v>
      </c>
      <c r="C225" s="68" t="s">
        <v>102</v>
      </c>
      <c r="D225" s="68" t="s">
        <v>225</v>
      </c>
      <c r="E225" s="68" t="s">
        <v>228</v>
      </c>
      <c r="F225" s="191"/>
      <c r="H225" s="70"/>
      <c r="I225" s="273" t="s">
        <v>208</v>
      </c>
      <c r="J225" s="274"/>
      <c r="K225" s="272"/>
      <c r="L225" s="272">
        <f>VLOOKUP($A225,estimation,L$220,0)+VLOOKUP($A223,estimation,L$220,0)</f>
        <v>793</v>
      </c>
      <c r="M225" s="272">
        <f t="shared" ref="M225:R225" si="232">VLOOKUP($A225,estimation,M$220,0)+VLOOKUP($A223,estimation,M$220,0)</f>
        <v>761</v>
      </c>
      <c r="N225" s="272">
        <f t="shared" si="232"/>
        <v>730</v>
      </c>
      <c r="O225" s="272">
        <f t="shared" si="232"/>
        <v>700</v>
      </c>
      <c r="P225" s="272">
        <f t="shared" si="232"/>
        <v>672</v>
      </c>
      <c r="Q225" s="272">
        <f t="shared" si="232"/>
        <v>645</v>
      </c>
      <c r="R225" s="275">
        <f t="shared" si="232"/>
        <v>620</v>
      </c>
      <c r="S225" s="272">
        <f t="shared" ref="S225:S231" si="233">SUM(N225:R225)</f>
        <v>3367</v>
      </c>
      <c r="V225" s="72"/>
      <c r="AS225" s="67" t="s">
        <v>238</v>
      </c>
    </row>
    <row r="226" spans="1:45">
      <c r="A226" s="415" t="str">
        <f t="shared" si="231"/>
        <v>RB_New_All_</v>
      </c>
      <c r="B226" s="415" t="s">
        <v>235</v>
      </c>
      <c r="C226" s="415" t="s">
        <v>102</v>
      </c>
      <c r="D226" s="415" t="s">
        <v>233</v>
      </c>
      <c r="F226" s="191"/>
      <c r="H226" s="70"/>
      <c r="I226" s="276" t="s">
        <v>209</v>
      </c>
      <c r="J226" s="274"/>
      <c r="K226" s="272"/>
      <c r="L226" s="277">
        <f>SUM(L224:L225)</f>
        <v>1903</v>
      </c>
      <c r="M226" s="277">
        <f t="shared" ref="M226:R226" si="234">SUM(M224:M225)</f>
        <v>1848</v>
      </c>
      <c r="N226" s="277">
        <f t="shared" si="234"/>
        <v>1795</v>
      </c>
      <c r="O226" s="277">
        <f t="shared" si="234"/>
        <v>1743</v>
      </c>
      <c r="P226" s="277">
        <f t="shared" si="234"/>
        <v>1694</v>
      </c>
      <c r="Q226" s="277">
        <f t="shared" si="234"/>
        <v>1646</v>
      </c>
      <c r="R226" s="278">
        <f t="shared" si="234"/>
        <v>1601</v>
      </c>
      <c r="S226" s="272">
        <f t="shared" si="233"/>
        <v>8479</v>
      </c>
      <c r="V226" s="72"/>
      <c r="AS226" s="67" t="s">
        <v>238</v>
      </c>
    </row>
    <row r="227" spans="1:45">
      <c r="A227" s="68" t="str">
        <f t="shared" si="231"/>
        <v>RB_R_P_SS+</v>
      </c>
      <c r="B227" s="68" t="s">
        <v>235</v>
      </c>
      <c r="C227" s="68" t="s">
        <v>229</v>
      </c>
      <c r="D227" s="68" t="s">
        <v>225</v>
      </c>
      <c r="E227" s="68" t="s">
        <v>227</v>
      </c>
      <c r="F227" s="191"/>
      <c r="H227" s="70"/>
      <c r="I227" s="273" t="s">
        <v>210</v>
      </c>
      <c r="J227" s="274"/>
      <c r="K227" s="272"/>
      <c r="L227" s="272">
        <f>VLOOKUP($A227,estimation,L$220,0)+VLOOKUP($A228,estimation,L$220,0)</f>
        <v>518</v>
      </c>
      <c r="M227" s="272">
        <f t="shared" ref="M227:R227" si="235">VLOOKUP($A227,estimation,M$220,0)+VLOOKUP($A228,estimation,M$220,0)</f>
        <v>492</v>
      </c>
      <c r="N227" s="272">
        <f t="shared" si="235"/>
        <v>468</v>
      </c>
      <c r="O227" s="272">
        <f t="shared" si="235"/>
        <v>446</v>
      </c>
      <c r="P227" s="272">
        <f t="shared" si="235"/>
        <v>425</v>
      </c>
      <c r="Q227" s="272">
        <f t="shared" si="235"/>
        <v>406</v>
      </c>
      <c r="R227" s="275">
        <f t="shared" si="235"/>
        <v>388</v>
      </c>
      <c r="S227" s="272">
        <f t="shared" si="233"/>
        <v>2133</v>
      </c>
      <c r="V227" s="72"/>
      <c r="AS227" s="67" t="s">
        <v>238</v>
      </c>
    </row>
    <row r="228" spans="1:45">
      <c r="A228" s="68" t="str">
        <f>B228&amp;"_"&amp;C228&amp;"_"&amp;D228&amp;"_"&amp;E228</f>
        <v>RB_Oth_P_SS+</v>
      </c>
      <c r="B228" s="68" t="s">
        <v>235</v>
      </c>
      <c r="C228" s="68" t="s">
        <v>230</v>
      </c>
      <c r="D228" s="68" t="s">
        <v>225</v>
      </c>
      <c r="E228" s="68" t="s">
        <v>227</v>
      </c>
      <c r="F228" s="191"/>
      <c r="H228" s="70"/>
      <c r="I228" s="273" t="s">
        <v>211</v>
      </c>
      <c r="J228" s="274"/>
      <c r="K228" s="272"/>
      <c r="L228" s="272">
        <f t="shared" ref="L228:R228" si="236">VLOOKUP($A229,estimation,L$220,0)+VLOOKUP($A230,estimation,L$220,0)+VLOOKUP($A231,estimation,L$220,0)</f>
        <v>277</v>
      </c>
      <c r="M228" s="272">
        <f t="shared" si="236"/>
        <v>270</v>
      </c>
      <c r="N228" s="272">
        <f t="shared" si="236"/>
        <v>264</v>
      </c>
      <c r="O228" s="272">
        <f t="shared" si="236"/>
        <v>258</v>
      </c>
      <c r="P228" s="272">
        <f t="shared" si="236"/>
        <v>254</v>
      </c>
      <c r="Q228" s="272">
        <f t="shared" si="236"/>
        <v>252</v>
      </c>
      <c r="R228" s="275">
        <f t="shared" si="236"/>
        <v>250</v>
      </c>
      <c r="S228" s="272">
        <f t="shared" si="233"/>
        <v>1278</v>
      </c>
      <c r="V228" s="72"/>
      <c r="AS228" s="67" t="s">
        <v>238</v>
      </c>
    </row>
    <row r="229" spans="1:45">
      <c r="A229" s="68" t="str">
        <f>B229&amp;"_"&amp;C229&amp;"_"&amp;D229&amp;"_"&amp;E229</f>
        <v>RB_R_P_SS-</v>
      </c>
      <c r="B229" s="68" t="s">
        <v>235</v>
      </c>
      <c r="C229" s="68" t="s">
        <v>229</v>
      </c>
      <c r="D229" s="68" t="s">
        <v>225</v>
      </c>
      <c r="E229" s="68" t="s">
        <v>228</v>
      </c>
      <c r="F229" s="191"/>
      <c r="H229" s="70"/>
      <c r="I229" s="276" t="s">
        <v>212</v>
      </c>
      <c r="J229" s="279"/>
      <c r="K229" s="272"/>
      <c r="L229" s="277">
        <f>SUM(L227:L228)</f>
        <v>795</v>
      </c>
      <c r="M229" s="277">
        <f t="shared" ref="M229:R229" si="237">SUM(M227:M228)</f>
        <v>762</v>
      </c>
      <c r="N229" s="277">
        <f t="shared" si="237"/>
        <v>732</v>
      </c>
      <c r="O229" s="277">
        <f t="shared" si="237"/>
        <v>704</v>
      </c>
      <c r="P229" s="277">
        <f t="shared" si="237"/>
        <v>679</v>
      </c>
      <c r="Q229" s="277">
        <f t="shared" si="237"/>
        <v>658</v>
      </c>
      <c r="R229" s="278">
        <f t="shared" si="237"/>
        <v>638</v>
      </c>
      <c r="S229" s="272">
        <f t="shared" si="233"/>
        <v>3411</v>
      </c>
      <c r="V229" s="72"/>
      <c r="AS229" s="67" t="s">
        <v>238</v>
      </c>
    </row>
    <row r="230" spans="1:45">
      <c r="A230" s="68" t="str">
        <f>B230&amp;"_"&amp;C230&amp;"_"&amp;D230&amp;"_"&amp;E230</f>
        <v>RB_R_EP_</v>
      </c>
      <c r="B230" s="68" t="s">
        <v>235</v>
      </c>
      <c r="C230" s="68" t="s">
        <v>229</v>
      </c>
      <c r="D230" s="68" t="s">
        <v>226</v>
      </c>
      <c r="F230" s="191"/>
      <c r="H230" s="70"/>
      <c r="I230" s="273"/>
      <c r="J230" s="274"/>
      <c r="K230" s="272"/>
      <c r="L230" s="272"/>
      <c r="M230" s="272"/>
      <c r="N230" s="272"/>
      <c r="O230" s="272"/>
      <c r="P230" s="272"/>
      <c r="Q230" s="272"/>
      <c r="R230" s="275"/>
      <c r="S230" s="272"/>
      <c r="V230" s="72"/>
      <c r="AS230" s="67" t="s">
        <v>238</v>
      </c>
    </row>
    <row r="231" spans="1:45" ht="16" thickBot="1">
      <c r="A231" s="68" t="str">
        <f>B231&amp;"_"&amp;C231&amp;"_"&amp;D231&amp;"_"&amp;E231</f>
        <v>RB_Oth_P/EP_SS-</v>
      </c>
      <c r="B231" s="68" t="s">
        <v>235</v>
      </c>
      <c r="C231" s="68" t="s">
        <v>230</v>
      </c>
      <c r="D231" s="68" t="s">
        <v>231</v>
      </c>
      <c r="E231" s="68" t="s">
        <v>228</v>
      </c>
      <c r="F231" s="191"/>
      <c r="H231" s="70"/>
      <c r="I231" s="280" t="s">
        <v>114</v>
      </c>
      <c r="J231" s="281"/>
      <c r="K231" s="282"/>
      <c r="L231" s="282">
        <f>L226+L229</f>
        <v>2698</v>
      </c>
      <c r="M231" s="282">
        <f t="shared" ref="M231:R231" si="238">M226+M229</f>
        <v>2610</v>
      </c>
      <c r="N231" s="282">
        <f t="shared" si="238"/>
        <v>2527</v>
      </c>
      <c r="O231" s="282">
        <f t="shared" si="238"/>
        <v>2447</v>
      </c>
      <c r="P231" s="282">
        <f t="shared" si="238"/>
        <v>2373</v>
      </c>
      <c r="Q231" s="282">
        <f t="shared" si="238"/>
        <v>2304</v>
      </c>
      <c r="R231" s="283">
        <f t="shared" si="238"/>
        <v>2239</v>
      </c>
      <c r="S231" s="272">
        <f t="shared" si="233"/>
        <v>11890</v>
      </c>
      <c r="V231" s="72"/>
      <c r="AS231" s="67" t="s">
        <v>238</v>
      </c>
    </row>
    <row r="232" spans="1:45">
      <c r="A232" s="68"/>
      <c r="F232" s="191"/>
      <c r="H232" s="70"/>
      <c r="I232" s="262"/>
      <c r="J232" s="262"/>
      <c r="K232" s="263"/>
      <c r="L232" s="262"/>
      <c r="N232" s="261"/>
      <c r="O232" s="261"/>
      <c r="P232" s="261"/>
      <c r="Q232" s="261"/>
      <c r="R232" s="261"/>
      <c r="V232" s="72"/>
      <c r="AS232" s="67" t="s">
        <v>238</v>
      </c>
    </row>
    <row r="233" spans="1:45" ht="22" thickBot="1">
      <c r="A233" s="68"/>
      <c r="F233" s="190" t="s">
        <v>261</v>
      </c>
      <c r="H233" s="284" t="s">
        <v>213</v>
      </c>
      <c r="J233" s="262"/>
      <c r="K233" s="263"/>
      <c r="L233" s="262"/>
      <c r="M233" s="262"/>
      <c r="N233" s="261"/>
      <c r="O233" s="261"/>
      <c r="P233" s="261"/>
      <c r="Q233" s="261"/>
      <c r="R233" s="261"/>
      <c r="V233" s="72"/>
      <c r="AS233" s="67" t="s">
        <v>238</v>
      </c>
    </row>
    <row r="234" spans="1:45">
      <c r="A234" s="68" t="str">
        <f t="shared" si="231"/>
        <v>RB_New_total_</v>
      </c>
      <c r="B234" s="68" t="s">
        <v>235</v>
      </c>
      <c r="C234" s="68" t="s">
        <v>102</v>
      </c>
      <c r="D234" s="68" t="s">
        <v>232</v>
      </c>
      <c r="F234" s="191"/>
      <c r="H234" s="70"/>
      <c r="I234" s="285" t="s">
        <v>102</v>
      </c>
      <c r="J234" s="286"/>
      <c r="K234" s="287"/>
      <c r="L234" s="286">
        <f>L226</f>
        <v>1903</v>
      </c>
      <c r="M234" s="286">
        <f t="shared" ref="M234:R234" si="239">M226</f>
        <v>1848</v>
      </c>
      <c r="N234" s="286">
        <f t="shared" si="239"/>
        <v>1795</v>
      </c>
      <c r="O234" s="286">
        <f t="shared" si="239"/>
        <v>1743</v>
      </c>
      <c r="P234" s="286">
        <f t="shared" si="239"/>
        <v>1694</v>
      </c>
      <c r="Q234" s="286">
        <f t="shared" si="239"/>
        <v>1646</v>
      </c>
      <c r="R234" s="288">
        <f t="shared" si="239"/>
        <v>1601</v>
      </c>
      <c r="S234" s="272">
        <f>SUM(N234:R234)</f>
        <v>8479</v>
      </c>
      <c r="V234" s="72"/>
      <c r="AS234" s="67" t="s">
        <v>238</v>
      </c>
    </row>
    <row r="235" spans="1:45">
      <c r="A235" s="68" t="str">
        <f t="shared" si="231"/>
        <v>RB_R_total_</v>
      </c>
      <c r="B235" s="68" t="s">
        <v>235</v>
      </c>
      <c r="C235" s="68" t="s">
        <v>229</v>
      </c>
      <c r="D235" s="68" t="s">
        <v>232</v>
      </c>
      <c r="F235" s="191"/>
      <c r="H235" s="70"/>
      <c r="I235" s="289" t="s">
        <v>214</v>
      </c>
      <c r="J235" s="290"/>
      <c r="K235" s="291"/>
      <c r="L235" s="290">
        <f>L229</f>
        <v>795</v>
      </c>
      <c r="M235" s="290">
        <f t="shared" ref="M235:R235" si="240">M229</f>
        <v>762</v>
      </c>
      <c r="N235" s="290">
        <f t="shared" si="240"/>
        <v>732</v>
      </c>
      <c r="O235" s="290">
        <f t="shared" si="240"/>
        <v>704</v>
      </c>
      <c r="P235" s="290">
        <f t="shared" si="240"/>
        <v>679</v>
      </c>
      <c r="Q235" s="290">
        <f t="shared" si="240"/>
        <v>658</v>
      </c>
      <c r="R235" s="292">
        <f t="shared" si="240"/>
        <v>638</v>
      </c>
      <c r="S235" s="272">
        <f t="shared" ref="S235:S240" si="241">SUM(N235:R235)</f>
        <v>3411</v>
      </c>
      <c r="V235" s="72"/>
      <c r="AS235" s="67" t="s">
        <v>238</v>
      </c>
    </row>
    <row r="236" spans="1:45" ht="16" thickBot="1">
      <c r="A236" s="68" t="str">
        <f t="shared" si="231"/>
        <v>RB_All_total_</v>
      </c>
      <c r="B236" s="68" t="s">
        <v>235</v>
      </c>
      <c r="C236" s="68" t="s">
        <v>233</v>
      </c>
      <c r="D236" s="68" t="s">
        <v>232</v>
      </c>
      <c r="F236" s="191"/>
      <c r="H236" s="70"/>
      <c r="I236" s="293" t="s">
        <v>97</v>
      </c>
      <c r="J236" s="294"/>
      <c r="K236" s="295"/>
      <c r="L236" s="294">
        <f t="shared" ref="L236:R236" si="242">SUM(L234:L235)</f>
        <v>2698</v>
      </c>
      <c r="M236" s="294">
        <f t="shared" si="242"/>
        <v>2610</v>
      </c>
      <c r="N236" s="294">
        <f t="shared" si="242"/>
        <v>2527</v>
      </c>
      <c r="O236" s="294">
        <f>SUM(O234:O235)</f>
        <v>2447</v>
      </c>
      <c r="P236" s="294">
        <f t="shared" si="242"/>
        <v>2373</v>
      </c>
      <c r="Q236" s="294">
        <f t="shared" si="242"/>
        <v>2304</v>
      </c>
      <c r="R236" s="296">
        <f t="shared" si="242"/>
        <v>2239</v>
      </c>
      <c r="S236" s="272">
        <f t="shared" si="241"/>
        <v>11890</v>
      </c>
      <c r="V236" s="72"/>
      <c r="AS236" s="67" t="s">
        <v>238</v>
      </c>
    </row>
    <row r="237" spans="1:45" ht="22" thickBot="1">
      <c r="F237" s="190" t="s">
        <v>262</v>
      </c>
      <c r="H237" s="284" t="s">
        <v>215</v>
      </c>
      <c r="I237" s="262"/>
      <c r="J237" s="262"/>
      <c r="K237" s="263"/>
      <c r="L237" s="262"/>
      <c r="M237" s="262"/>
      <c r="N237" s="261"/>
      <c r="O237" s="261"/>
      <c r="P237" s="261"/>
      <c r="Q237" s="261"/>
      <c r="R237" s="261"/>
      <c r="S237" s="272"/>
      <c r="V237" s="72"/>
      <c r="AS237" s="67" t="s">
        <v>238</v>
      </c>
    </row>
    <row r="238" spans="1:45">
      <c r="A238" s="68" t="str">
        <f t="shared" ref="A238:A240" si="243">B238&amp;"_"&amp;C238&amp;"_"&amp;D238&amp;"_"&amp;E238</f>
        <v>RB_New_total_projected</v>
      </c>
      <c r="B238" s="68" t="s">
        <v>235</v>
      </c>
      <c r="C238" s="68" t="s">
        <v>102</v>
      </c>
      <c r="D238" s="68" t="s">
        <v>232</v>
      </c>
      <c r="E238" s="68" t="s">
        <v>265</v>
      </c>
      <c r="F238" s="191"/>
      <c r="H238" s="70"/>
      <c r="I238" s="285" t="s">
        <v>102</v>
      </c>
      <c r="J238" s="286"/>
      <c r="K238" s="287"/>
      <c r="L238" s="286"/>
      <c r="M238" s="286"/>
      <c r="N238" s="286">
        <f>ROUND(N224+N225*35%,0)</f>
        <v>1321</v>
      </c>
      <c r="O238" s="286">
        <f>ROUND(O224+O225*35%,0)</f>
        <v>1288</v>
      </c>
      <c r="P238" s="286">
        <f>ROUND(P224+P225*35%,0)</f>
        <v>1257</v>
      </c>
      <c r="Q238" s="286">
        <f>ROUND(Q224+Q225*35%,0)</f>
        <v>1227</v>
      </c>
      <c r="R238" s="288">
        <f>ROUND(R224+R225*35%,0)</f>
        <v>1198</v>
      </c>
      <c r="S238" s="272">
        <f t="shared" si="241"/>
        <v>6291</v>
      </c>
      <c r="V238" s="72"/>
      <c r="AS238" s="67" t="s">
        <v>238</v>
      </c>
    </row>
    <row r="239" spans="1:45">
      <c r="A239" s="68" t="str">
        <f t="shared" si="243"/>
        <v>RB_R_total_projected</v>
      </c>
      <c r="B239" s="68" t="s">
        <v>235</v>
      </c>
      <c r="C239" s="68" t="s">
        <v>229</v>
      </c>
      <c r="D239" s="68" t="s">
        <v>232</v>
      </c>
      <c r="E239" s="68" t="s">
        <v>265</v>
      </c>
      <c r="F239" s="191"/>
      <c r="H239" s="70"/>
      <c r="I239" s="289" t="s">
        <v>214</v>
      </c>
      <c r="J239" s="290"/>
      <c r="K239" s="291"/>
      <c r="L239" s="290"/>
      <c r="M239" s="297"/>
      <c r="N239" s="290">
        <f>ROUND(N227+(N228*35%),0)</f>
        <v>560</v>
      </c>
      <c r="O239" s="290">
        <f t="shared" ref="O239:R239" si="244">ROUND(O227+(O228*35%),0)</f>
        <v>536</v>
      </c>
      <c r="P239" s="290">
        <f t="shared" si="244"/>
        <v>514</v>
      </c>
      <c r="Q239" s="290">
        <f t="shared" si="244"/>
        <v>494</v>
      </c>
      <c r="R239" s="292">
        <f t="shared" si="244"/>
        <v>476</v>
      </c>
      <c r="S239" s="272">
        <f t="shared" si="241"/>
        <v>2580</v>
      </c>
      <c r="V239" s="72"/>
      <c r="AS239" s="67" t="s">
        <v>238</v>
      </c>
    </row>
    <row r="240" spans="1:45" s="260" customFormat="1" ht="16" thickBot="1">
      <c r="A240" s="68" t="str">
        <f t="shared" si="243"/>
        <v>RB_All_total_projected</v>
      </c>
      <c r="B240" s="68" t="s">
        <v>235</v>
      </c>
      <c r="C240" s="68" t="s">
        <v>233</v>
      </c>
      <c r="D240" s="68" t="s">
        <v>232</v>
      </c>
      <c r="E240" s="68" t="s">
        <v>265</v>
      </c>
      <c r="F240" s="191"/>
      <c r="G240" s="259"/>
      <c r="H240" s="124"/>
      <c r="I240" s="298" t="s">
        <v>97</v>
      </c>
      <c r="J240" s="299"/>
      <c r="K240" s="300"/>
      <c r="L240" s="299"/>
      <c r="M240" s="301"/>
      <c r="N240" s="302">
        <f>SUM(N238:N239)</f>
        <v>1881</v>
      </c>
      <c r="O240" s="302">
        <f t="shared" ref="O240:R240" si="245">SUM(O238:O239)</f>
        <v>1824</v>
      </c>
      <c r="P240" s="302">
        <f t="shared" si="245"/>
        <v>1771</v>
      </c>
      <c r="Q240" s="302">
        <f t="shared" si="245"/>
        <v>1721</v>
      </c>
      <c r="R240" s="303">
        <f t="shared" si="245"/>
        <v>1674</v>
      </c>
      <c r="S240" s="272">
        <f t="shared" si="241"/>
        <v>8871</v>
      </c>
      <c r="V240" s="72"/>
      <c r="AI240" s="230"/>
      <c r="AK240" s="304"/>
      <c r="AL240" s="304"/>
      <c r="AM240" s="304"/>
      <c r="AN240" s="304"/>
      <c r="AO240" s="304"/>
      <c r="AP240" s="304"/>
      <c r="AS240" s="67" t="s">
        <v>238</v>
      </c>
    </row>
    <row r="241" spans="1:45">
      <c r="N241" s="261"/>
      <c r="O241" s="261"/>
      <c r="P241" s="261"/>
      <c r="Q241" s="261"/>
      <c r="R241" s="261"/>
      <c r="S241" s="272"/>
      <c r="V241" s="72"/>
      <c r="AS241" s="67" t="s">
        <v>238</v>
      </c>
    </row>
    <row r="242" spans="1:45" ht="22" thickBot="1">
      <c r="F242" s="190" t="s">
        <v>263</v>
      </c>
      <c r="H242" s="284" t="s">
        <v>217</v>
      </c>
      <c r="I242" s="262"/>
      <c r="J242" s="262"/>
      <c r="K242" s="263"/>
      <c r="L242" s="262"/>
      <c r="M242" s="262"/>
      <c r="N242" s="261"/>
      <c r="O242" s="261"/>
      <c r="P242" s="261"/>
      <c r="Q242" s="261"/>
      <c r="R242" s="261"/>
      <c r="V242" s="72"/>
      <c r="AS242" s="67" t="s">
        <v>238</v>
      </c>
    </row>
    <row r="243" spans="1:45">
      <c r="A243" s="68" t="str">
        <f>B243&amp;"_"&amp;C243&amp;"_"&amp;D243&amp;"_"&amp;E243</f>
        <v>RB_New_RR/MDR_%</v>
      </c>
      <c r="B243" s="68" t="s">
        <v>235</v>
      </c>
      <c r="C243" s="68" t="s">
        <v>102</v>
      </c>
      <c r="D243" s="68" t="s">
        <v>125</v>
      </c>
      <c r="E243" s="68" t="s">
        <v>216</v>
      </c>
      <c r="F243" s="191"/>
      <c r="H243" s="70"/>
      <c r="I243" s="285" t="s">
        <v>102</v>
      </c>
      <c r="J243" s="305"/>
      <c r="K243" s="306"/>
      <c r="L243" s="307" t="s">
        <v>268</v>
      </c>
      <c r="M243" s="307"/>
      <c r="N243" s="308">
        <v>0.23</v>
      </c>
      <c r="O243" s="308">
        <v>0.23</v>
      </c>
      <c r="P243" s="308">
        <v>0.23</v>
      </c>
      <c r="Q243" s="308">
        <v>0.23</v>
      </c>
      <c r="R243" s="309">
        <v>0.23</v>
      </c>
      <c r="T243" s="310"/>
      <c r="V243" s="72"/>
      <c r="AS243" s="67" t="s">
        <v>238</v>
      </c>
    </row>
    <row r="244" spans="1:45">
      <c r="A244" s="68" t="str">
        <f>B244&amp;"_"&amp;C244&amp;"_"&amp;D244&amp;"_"&amp;E244</f>
        <v>RB_R_RR/MDR_%</v>
      </c>
      <c r="B244" s="68" t="s">
        <v>235</v>
      </c>
      <c r="C244" s="68" t="s">
        <v>229</v>
      </c>
      <c r="D244" s="68" t="s">
        <v>125</v>
      </c>
      <c r="E244" s="68" t="s">
        <v>216</v>
      </c>
      <c r="F244" s="191"/>
      <c r="H244" s="70"/>
      <c r="I244" s="289" t="s">
        <v>214</v>
      </c>
      <c r="J244" s="297"/>
      <c r="K244" s="311"/>
      <c r="L244" s="261" t="s">
        <v>268</v>
      </c>
      <c r="M244" s="261"/>
      <c r="N244" s="310">
        <v>0.51</v>
      </c>
      <c r="O244" s="310">
        <v>0.51</v>
      </c>
      <c r="P244" s="310">
        <v>0.51</v>
      </c>
      <c r="Q244" s="310">
        <v>0.51</v>
      </c>
      <c r="R244" s="312">
        <v>0.51</v>
      </c>
      <c r="V244" s="72"/>
      <c r="AS244" s="67" t="s">
        <v>238</v>
      </c>
    </row>
    <row r="245" spans="1:45">
      <c r="A245" s="68"/>
      <c r="B245" s="68"/>
      <c r="F245" s="191"/>
      <c r="H245" s="70"/>
      <c r="I245" s="289" t="s">
        <v>102</v>
      </c>
      <c r="J245" s="297" t="s">
        <v>272</v>
      </c>
      <c r="K245" s="311"/>
      <c r="L245" s="261" t="s">
        <v>378</v>
      </c>
      <c r="M245" s="261"/>
      <c r="N245" s="310">
        <v>0.14000000000000001</v>
      </c>
      <c r="O245" s="310">
        <v>0.14000000000000001</v>
      </c>
      <c r="P245" s="310">
        <v>0.14000000000000001</v>
      </c>
      <c r="Q245" s="310">
        <v>0.14000000000000001</v>
      </c>
      <c r="R245" s="312">
        <v>0.14000000000000001</v>
      </c>
      <c r="V245" s="72"/>
      <c r="AS245" s="67" t="s">
        <v>238</v>
      </c>
    </row>
    <row r="246" spans="1:45" ht="16" thickBot="1">
      <c r="A246" s="68"/>
      <c r="B246" s="68"/>
      <c r="F246" s="191"/>
      <c r="H246" s="70"/>
      <c r="I246" s="293" t="s">
        <v>214</v>
      </c>
      <c r="J246" s="313" t="s">
        <v>272</v>
      </c>
      <c r="K246" s="314"/>
      <c r="L246" s="315" t="s">
        <v>378</v>
      </c>
      <c r="M246" s="315"/>
      <c r="N246" s="316">
        <v>0.35</v>
      </c>
      <c r="O246" s="316">
        <v>0.35</v>
      </c>
      <c r="P246" s="316">
        <v>0.35</v>
      </c>
      <c r="Q246" s="316">
        <v>0.35</v>
      </c>
      <c r="R246" s="317">
        <v>0.35</v>
      </c>
      <c r="V246" s="72"/>
      <c r="AS246" s="67" t="s">
        <v>238</v>
      </c>
    </row>
    <row r="247" spans="1:45">
      <c r="F247" s="191"/>
      <c r="H247" s="70"/>
      <c r="J247" s="267"/>
      <c r="K247" s="318"/>
      <c r="L247" s="319"/>
      <c r="M247" s="320"/>
      <c r="N247" s="261"/>
      <c r="O247" s="261"/>
      <c r="P247" s="261"/>
      <c r="Q247" s="261"/>
      <c r="R247" s="261"/>
      <c r="V247" s="72"/>
      <c r="AS247" s="67" t="s">
        <v>238</v>
      </c>
    </row>
    <row r="248" spans="1:45" ht="16" thickBot="1">
      <c r="F248" s="191"/>
      <c r="H248" s="284" t="s">
        <v>255</v>
      </c>
      <c r="J248" s="262"/>
      <c r="K248" s="263"/>
      <c r="L248" s="262"/>
      <c r="M248" s="262"/>
      <c r="N248" s="261"/>
      <c r="O248" s="261"/>
      <c r="P248" s="261"/>
      <c r="Q248" s="261"/>
      <c r="R248" s="261"/>
      <c r="V248" s="72"/>
      <c r="AS248" s="67" t="s">
        <v>238</v>
      </c>
    </row>
    <row r="249" spans="1:45">
      <c r="A249" s="68" t="str">
        <f>B249&amp;"_"&amp;C249&amp;"_"&amp;D249&amp;"_"&amp;E249</f>
        <v>RB_New_RR/MDR_projected</v>
      </c>
      <c r="B249" s="68" t="s">
        <v>235</v>
      </c>
      <c r="C249" s="68" t="s">
        <v>102</v>
      </c>
      <c r="D249" s="68" t="s">
        <v>125</v>
      </c>
      <c r="E249" s="68" t="s">
        <v>265</v>
      </c>
      <c r="F249" s="191"/>
      <c r="H249" s="70"/>
      <c r="I249" s="285" t="s">
        <v>102</v>
      </c>
      <c r="J249" s="305"/>
      <c r="K249" s="321"/>
      <c r="L249" s="305"/>
      <c r="M249" s="305"/>
      <c r="N249" s="307">
        <f>ROUND(N243*N238,0)</f>
        <v>304</v>
      </c>
      <c r="O249" s="307">
        <f t="shared" ref="N249:R250" si="246">ROUND(O243*O238,0)</f>
        <v>296</v>
      </c>
      <c r="P249" s="307">
        <f t="shared" si="246"/>
        <v>289</v>
      </c>
      <c r="Q249" s="307">
        <f t="shared" si="246"/>
        <v>282</v>
      </c>
      <c r="R249" s="322">
        <f t="shared" si="246"/>
        <v>276</v>
      </c>
      <c r="S249" s="272">
        <f t="shared" ref="S249:S253" si="247">SUM(N249:R249)</f>
        <v>1447</v>
      </c>
      <c r="V249" s="72"/>
      <c r="AS249" s="67" t="s">
        <v>238</v>
      </c>
    </row>
    <row r="250" spans="1:45">
      <c r="A250" s="68" t="str">
        <f>B250&amp;"_"&amp;C250&amp;"_"&amp;D250&amp;"_"&amp;E250</f>
        <v>RB_R_RR/MDR_projected</v>
      </c>
      <c r="B250" s="68" t="s">
        <v>235</v>
      </c>
      <c r="C250" s="68" t="s">
        <v>229</v>
      </c>
      <c r="D250" s="68" t="s">
        <v>125</v>
      </c>
      <c r="E250" s="68" t="s">
        <v>265</v>
      </c>
      <c r="F250" s="191"/>
      <c r="H250" s="70"/>
      <c r="I250" s="289" t="s">
        <v>214</v>
      </c>
      <c r="J250" s="290"/>
      <c r="K250" s="291"/>
      <c r="L250" s="290"/>
      <c r="M250" s="297"/>
      <c r="N250" s="261">
        <f t="shared" si="246"/>
        <v>286</v>
      </c>
      <c r="O250" s="261">
        <f t="shared" si="246"/>
        <v>273</v>
      </c>
      <c r="P250" s="261">
        <f t="shared" si="246"/>
        <v>262</v>
      </c>
      <c r="Q250" s="261">
        <f t="shared" si="246"/>
        <v>252</v>
      </c>
      <c r="R250" s="323">
        <f t="shared" si="246"/>
        <v>243</v>
      </c>
      <c r="S250" s="272">
        <f t="shared" si="247"/>
        <v>1316</v>
      </c>
      <c r="V250" s="72"/>
      <c r="AS250" s="67" t="s">
        <v>238</v>
      </c>
    </row>
    <row r="251" spans="1:45">
      <c r="A251" s="68" t="str">
        <f>B251&amp;"_"&amp;C251&amp;"_"&amp;D251&amp;"_"&amp;E251</f>
        <v>RB_New_RR/MDR_rez_FQ_projected</v>
      </c>
      <c r="B251" s="68" t="s">
        <v>235</v>
      </c>
      <c r="C251" s="68" t="s">
        <v>102</v>
      </c>
      <c r="D251" s="68" t="s">
        <v>275</v>
      </c>
      <c r="E251" s="68" t="s">
        <v>265</v>
      </c>
      <c r="F251" s="191"/>
      <c r="H251" s="70"/>
      <c r="I251" s="289" t="s">
        <v>102</v>
      </c>
      <c r="J251" s="261" t="s">
        <v>272</v>
      </c>
      <c r="K251" s="291"/>
      <c r="L251" s="290"/>
      <c r="M251" s="297"/>
      <c r="N251" s="324">
        <f>ROUND(N249*N245,0)</f>
        <v>43</v>
      </c>
      <c r="O251" s="324">
        <f t="shared" ref="O251:R251" si="248">ROUND(O249*O245,0)</f>
        <v>41</v>
      </c>
      <c r="P251" s="324">
        <f t="shared" si="248"/>
        <v>40</v>
      </c>
      <c r="Q251" s="324">
        <f t="shared" si="248"/>
        <v>39</v>
      </c>
      <c r="R251" s="325">
        <f t="shared" si="248"/>
        <v>39</v>
      </c>
      <c r="S251" s="272">
        <f t="shared" si="247"/>
        <v>202</v>
      </c>
      <c r="V251" s="72"/>
      <c r="AS251" s="67" t="s">
        <v>238</v>
      </c>
    </row>
    <row r="252" spans="1:45">
      <c r="A252" s="68" t="str">
        <f>B252&amp;"_"&amp;C252&amp;"_"&amp;D252&amp;"_"&amp;E252</f>
        <v>RB_R_RR/MDR_rez_FQ_projected</v>
      </c>
      <c r="B252" s="68" t="s">
        <v>235</v>
      </c>
      <c r="C252" s="68" t="s">
        <v>229</v>
      </c>
      <c r="D252" s="68" t="s">
        <v>275</v>
      </c>
      <c r="E252" s="68" t="s">
        <v>265</v>
      </c>
      <c r="F252" s="191"/>
      <c r="H252" s="70"/>
      <c r="I252" s="289" t="s">
        <v>214</v>
      </c>
      <c r="J252" s="261" t="s">
        <v>272</v>
      </c>
      <c r="K252" s="291"/>
      <c r="L252" s="290"/>
      <c r="M252" s="297"/>
      <c r="N252" s="324">
        <f>ROUND(N250*N246,0)</f>
        <v>100</v>
      </c>
      <c r="O252" s="324">
        <f t="shared" ref="O252:R252" si="249">ROUND(O250*O246,0)</f>
        <v>96</v>
      </c>
      <c r="P252" s="324">
        <f t="shared" si="249"/>
        <v>92</v>
      </c>
      <c r="Q252" s="324">
        <f t="shared" si="249"/>
        <v>88</v>
      </c>
      <c r="R252" s="325">
        <f t="shared" si="249"/>
        <v>85</v>
      </c>
      <c r="S252" s="272">
        <f t="shared" si="247"/>
        <v>461</v>
      </c>
      <c r="V252" s="72"/>
      <c r="AS252" s="67" t="s">
        <v>238</v>
      </c>
    </row>
    <row r="253" spans="1:45" s="260" customFormat="1" ht="16" thickBot="1">
      <c r="C253" s="259"/>
      <c r="D253" s="259"/>
      <c r="E253" s="259"/>
      <c r="F253" s="259"/>
      <c r="G253" s="259"/>
      <c r="H253" s="124"/>
      <c r="I253" s="298" t="s">
        <v>97</v>
      </c>
      <c r="J253" s="299"/>
      <c r="K253" s="300"/>
      <c r="L253" s="299"/>
      <c r="M253" s="301"/>
      <c r="N253" s="326">
        <f>SUM(N249:N250)</f>
        <v>590</v>
      </c>
      <c r="O253" s="326">
        <f t="shared" ref="O253:R253" si="250">SUM(O249:O250)</f>
        <v>569</v>
      </c>
      <c r="P253" s="326">
        <f t="shared" si="250"/>
        <v>551</v>
      </c>
      <c r="Q253" s="326">
        <f t="shared" si="250"/>
        <v>534</v>
      </c>
      <c r="R253" s="327">
        <f t="shared" si="250"/>
        <v>519</v>
      </c>
      <c r="S253" s="272">
        <f t="shared" si="247"/>
        <v>2763</v>
      </c>
      <c r="V253" s="72"/>
      <c r="AI253" s="230"/>
      <c r="AK253" s="304"/>
      <c r="AL253" s="304"/>
      <c r="AM253" s="304"/>
      <c r="AN253" s="304"/>
      <c r="AO253" s="304"/>
      <c r="AP253" s="304"/>
      <c r="AS253" s="67" t="s">
        <v>238</v>
      </c>
    </row>
    <row r="254" spans="1:45">
      <c r="F254" s="191"/>
      <c r="J254" s="328"/>
      <c r="K254" s="329"/>
      <c r="L254" s="328"/>
      <c r="M254" s="262"/>
      <c r="N254" s="261"/>
      <c r="O254" s="261"/>
      <c r="P254" s="261"/>
      <c r="Q254" s="261"/>
      <c r="R254" s="261"/>
      <c r="V254" s="72"/>
      <c r="AS254" s="67" t="s">
        <v>238</v>
      </c>
    </row>
    <row r="255" spans="1:45" ht="22" thickBot="1">
      <c r="F255" s="190"/>
      <c r="H255" s="284" t="s">
        <v>256</v>
      </c>
      <c r="J255" s="262"/>
      <c r="K255" s="263"/>
      <c r="L255" s="262"/>
      <c r="M255" s="262"/>
      <c r="N255" s="261"/>
      <c r="O255" s="261"/>
      <c r="P255" s="261"/>
      <c r="Q255" s="261"/>
      <c r="R255" s="261"/>
      <c r="V255" s="72"/>
      <c r="AS255" s="67" t="s">
        <v>238</v>
      </c>
    </row>
    <row r="256" spans="1:45">
      <c r="F256" s="191"/>
      <c r="I256" s="285" t="s">
        <v>266</v>
      </c>
      <c r="J256" s="305"/>
      <c r="K256" s="321"/>
      <c r="L256" s="305"/>
      <c r="M256" s="305"/>
      <c r="N256" s="330">
        <v>1</v>
      </c>
      <c r="O256" s="330">
        <v>1</v>
      </c>
      <c r="P256" s="330">
        <v>1</v>
      </c>
      <c r="Q256" s="330">
        <v>1</v>
      </c>
      <c r="R256" s="331">
        <v>1</v>
      </c>
      <c r="V256" s="72"/>
      <c r="AS256" s="67" t="s">
        <v>238</v>
      </c>
    </row>
    <row r="257" spans="1:45" ht="16" thickBot="1">
      <c r="F257" s="191"/>
      <c r="H257" s="70"/>
      <c r="I257" s="293"/>
      <c r="J257" s="313"/>
      <c r="K257" s="332"/>
      <c r="L257" s="313"/>
      <c r="M257" s="313"/>
      <c r="N257" s="315">
        <f>N256*N253</f>
        <v>590</v>
      </c>
      <c r="O257" s="315">
        <f>O256*O253</f>
        <v>569</v>
      </c>
      <c r="P257" s="315">
        <f>P256*P253</f>
        <v>551</v>
      </c>
      <c r="Q257" s="315">
        <f>Q256*Q253</f>
        <v>534</v>
      </c>
      <c r="R257" s="333">
        <f>R256*R253</f>
        <v>519</v>
      </c>
      <c r="S257" s="272">
        <f t="shared" ref="S257" si="251">SUM(N257:R257)</f>
        <v>2763</v>
      </c>
      <c r="V257" s="72"/>
      <c r="AS257" s="67" t="s">
        <v>238</v>
      </c>
    </row>
    <row r="258" spans="1:45">
      <c r="F258" s="191"/>
      <c r="H258" s="70"/>
      <c r="I258" s="297"/>
      <c r="J258" s="297"/>
      <c r="K258" s="334"/>
      <c r="L258" s="297"/>
      <c r="M258" s="297"/>
      <c r="N258" s="261"/>
      <c r="O258" s="261"/>
      <c r="P258" s="261"/>
      <c r="Q258" s="261"/>
      <c r="R258" s="261"/>
      <c r="V258" s="72"/>
      <c r="AS258" s="67" t="s">
        <v>238</v>
      </c>
    </row>
    <row r="259" spans="1:45" ht="22" thickBot="1">
      <c r="F259" s="190"/>
      <c r="H259" s="284" t="s">
        <v>257</v>
      </c>
      <c r="I259" s="262"/>
      <c r="J259" s="262"/>
      <c r="K259" s="263"/>
      <c r="L259" s="262"/>
      <c r="M259" s="262"/>
      <c r="N259" s="261"/>
      <c r="O259" s="261"/>
      <c r="P259" s="261"/>
      <c r="Q259" s="261"/>
      <c r="R259" s="261"/>
      <c r="V259" s="72"/>
      <c r="AS259" s="67" t="s">
        <v>238</v>
      </c>
    </row>
    <row r="260" spans="1:45">
      <c r="F260" s="191"/>
      <c r="H260" s="70"/>
      <c r="I260" s="285" t="s">
        <v>273</v>
      </c>
      <c r="J260" s="305"/>
      <c r="K260" s="321"/>
      <c r="L260" s="305"/>
      <c r="M260" s="305"/>
      <c r="N260" s="330">
        <v>1</v>
      </c>
      <c r="O260" s="330">
        <v>1</v>
      </c>
      <c r="P260" s="330">
        <v>1</v>
      </c>
      <c r="Q260" s="330">
        <v>1</v>
      </c>
      <c r="R260" s="331">
        <v>1</v>
      </c>
      <c r="V260" s="72"/>
      <c r="AS260" s="67" t="s">
        <v>238</v>
      </c>
    </row>
    <row r="261" spans="1:45">
      <c r="A261" s="68" t="str">
        <f>B261&amp;"_"&amp;C261&amp;"_"&amp;D261&amp;"_"&amp;E261</f>
        <v>RB_All_RR/MDR_to_treat</v>
      </c>
      <c r="B261" s="68" t="s">
        <v>235</v>
      </c>
      <c r="C261" s="68" t="s">
        <v>233</v>
      </c>
      <c r="D261" s="68" t="s">
        <v>125</v>
      </c>
      <c r="E261" s="68" t="s">
        <v>271</v>
      </c>
      <c r="F261" s="191"/>
      <c r="H261" s="70"/>
      <c r="I261" s="289"/>
      <c r="J261" s="297"/>
      <c r="K261" s="334"/>
      <c r="L261" s="297"/>
      <c r="M261" s="297"/>
      <c r="N261" s="335">
        <f>ROUND((N253-N252-N251)*N260,0)</f>
        <v>447</v>
      </c>
      <c r="O261" s="335">
        <f t="shared" ref="O261:R261" si="252">ROUND((O253-O252-O251)*O260,0)</f>
        <v>432</v>
      </c>
      <c r="P261" s="335">
        <f t="shared" si="252"/>
        <v>419</v>
      </c>
      <c r="Q261" s="335">
        <f t="shared" si="252"/>
        <v>407</v>
      </c>
      <c r="R261" s="336">
        <f t="shared" si="252"/>
        <v>395</v>
      </c>
      <c r="V261" s="72"/>
      <c r="AS261" s="67" t="s">
        <v>238</v>
      </c>
    </row>
    <row r="262" spans="1:45">
      <c r="F262" s="191"/>
      <c r="H262" s="70"/>
      <c r="I262" s="289" t="s">
        <v>273</v>
      </c>
      <c r="J262" s="297" t="s">
        <v>274</v>
      </c>
      <c r="K262" s="334"/>
      <c r="L262" s="297"/>
      <c r="M262" s="297"/>
      <c r="N262" s="337">
        <v>1</v>
      </c>
      <c r="O262" s="337">
        <v>1</v>
      </c>
      <c r="P262" s="337">
        <v>1</v>
      </c>
      <c r="Q262" s="337">
        <v>1</v>
      </c>
      <c r="R262" s="338">
        <v>1</v>
      </c>
      <c r="V262" s="72"/>
      <c r="AS262" s="67" t="s">
        <v>238</v>
      </c>
    </row>
    <row r="263" spans="1:45" ht="16" thickBot="1">
      <c r="F263" s="191"/>
      <c r="I263" s="293"/>
      <c r="J263" s="313"/>
      <c r="K263" s="332"/>
      <c r="L263" s="313"/>
      <c r="M263" s="313"/>
      <c r="N263" s="315">
        <f>ROUND((N253-N261)*N262,0)</f>
        <v>143</v>
      </c>
      <c r="O263" s="315">
        <f t="shared" ref="O263:R263" si="253">ROUND((O253-O261)*O262,0)</f>
        <v>137</v>
      </c>
      <c r="P263" s="315">
        <f t="shared" si="253"/>
        <v>132</v>
      </c>
      <c r="Q263" s="315">
        <f t="shared" si="253"/>
        <v>127</v>
      </c>
      <c r="R263" s="333">
        <f t="shared" si="253"/>
        <v>124</v>
      </c>
      <c r="S263" s="272">
        <f t="shared" ref="S263" si="254">SUM(N263:R263)</f>
        <v>663</v>
      </c>
      <c r="V263" s="72"/>
      <c r="AS263" s="67" t="s">
        <v>238</v>
      </c>
    </row>
    <row r="264" spans="1:45">
      <c r="D264" s="284"/>
      <c r="H264" s="70"/>
      <c r="I264" s="262"/>
      <c r="J264" s="262"/>
      <c r="K264" s="263"/>
      <c r="L264" s="262"/>
      <c r="M264" s="262"/>
      <c r="N264" s="261"/>
      <c r="O264" s="261"/>
      <c r="P264" s="261"/>
      <c r="Q264" s="261"/>
      <c r="R264" s="261"/>
      <c r="V264" s="72"/>
      <c r="AS264" s="67" t="s">
        <v>238</v>
      </c>
    </row>
    <row r="265" spans="1:45" ht="22" thickBot="1">
      <c r="F265" s="190" t="s">
        <v>264</v>
      </c>
      <c r="H265" s="284" t="s">
        <v>218</v>
      </c>
      <c r="I265" s="262"/>
      <c r="J265" s="262"/>
      <c r="K265" s="263"/>
      <c r="L265" s="262"/>
      <c r="M265" s="262"/>
      <c r="N265" s="261"/>
      <c r="O265" s="261"/>
      <c r="P265" s="261"/>
      <c r="Q265" s="261"/>
      <c r="R265" s="261"/>
      <c r="V265" s="72"/>
      <c r="AS265" s="67" t="s">
        <v>238</v>
      </c>
    </row>
    <row r="266" spans="1:45">
      <c r="A266" s="68" t="str">
        <f>B266&amp;"_"&amp;C266&amp;"_"&amp;D266&amp;"_"&amp;E266</f>
        <v>RB_New_poly_%</v>
      </c>
      <c r="B266" s="68" t="s">
        <v>235</v>
      </c>
      <c r="C266" s="68" t="s">
        <v>102</v>
      </c>
      <c r="D266" s="68" t="s">
        <v>249</v>
      </c>
      <c r="E266" s="68" t="s">
        <v>216</v>
      </c>
      <c r="H266" s="70"/>
      <c r="I266" s="285" t="s">
        <v>102</v>
      </c>
      <c r="J266" s="305"/>
      <c r="K266" s="306"/>
      <c r="L266" s="307" t="s">
        <v>268</v>
      </c>
      <c r="M266" s="270"/>
      <c r="N266" s="330">
        <v>0.1</v>
      </c>
      <c r="O266" s="330">
        <v>0.1</v>
      </c>
      <c r="P266" s="330">
        <v>0.1</v>
      </c>
      <c r="Q266" s="330">
        <v>0.1</v>
      </c>
      <c r="R266" s="331">
        <v>0.1</v>
      </c>
      <c r="V266" s="72"/>
      <c r="AS266" s="67" t="s">
        <v>238</v>
      </c>
    </row>
    <row r="267" spans="1:45" ht="16" thickBot="1">
      <c r="A267" s="68" t="str">
        <f>B267&amp;"_"&amp;C267&amp;"_"&amp;D267&amp;"_"&amp;E267</f>
        <v>RB_R_poly_%</v>
      </c>
      <c r="B267" s="68" t="s">
        <v>235</v>
      </c>
      <c r="C267" s="68" t="s">
        <v>229</v>
      </c>
      <c r="D267" s="68" t="s">
        <v>249</v>
      </c>
      <c r="E267" s="68" t="s">
        <v>216</v>
      </c>
      <c r="H267" s="70"/>
      <c r="I267" s="293" t="s">
        <v>214</v>
      </c>
      <c r="J267" s="313"/>
      <c r="K267" s="314"/>
      <c r="L267" s="315" t="s">
        <v>268</v>
      </c>
      <c r="M267" s="339"/>
      <c r="N267" s="340">
        <v>0.06</v>
      </c>
      <c r="O267" s="340">
        <v>0.06</v>
      </c>
      <c r="P267" s="340">
        <v>0.06</v>
      </c>
      <c r="Q267" s="340">
        <v>0.06</v>
      </c>
      <c r="R267" s="341">
        <v>0.06</v>
      </c>
      <c r="V267" s="72"/>
      <c r="AS267" s="67" t="s">
        <v>238</v>
      </c>
    </row>
    <row r="268" spans="1:45">
      <c r="H268" s="70"/>
      <c r="I268" s="262"/>
      <c r="J268" s="262"/>
      <c r="K268" s="263"/>
      <c r="L268" s="262"/>
      <c r="M268" s="262"/>
      <c r="N268" s="261"/>
      <c r="O268" s="261"/>
      <c r="P268" s="261"/>
      <c r="Q268" s="261"/>
      <c r="R268" s="261"/>
      <c r="V268" s="72"/>
      <c r="AS268" s="67" t="s">
        <v>238</v>
      </c>
    </row>
    <row r="269" spans="1:45" ht="16" thickBot="1">
      <c r="H269" s="284" t="s">
        <v>258</v>
      </c>
      <c r="I269" s="342"/>
      <c r="J269" s="343"/>
      <c r="K269" s="344"/>
      <c r="L269" s="343"/>
      <c r="M269" s="262"/>
      <c r="N269" s="261"/>
      <c r="O269" s="261"/>
      <c r="P269" s="261"/>
      <c r="Q269" s="261"/>
      <c r="R269" s="261"/>
      <c r="V269" s="72"/>
      <c r="AS269" s="67" t="s">
        <v>238</v>
      </c>
    </row>
    <row r="270" spans="1:45">
      <c r="H270" s="70"/>
      <c r="I270" s="285" t="s">
        <v>102</v>
      </c>
      <c r="J270" s="286"/>
      <c r="K270" s="287"/>
      <c r="L270" s="286"/>
      <c r="M270" s="286"/>
      <c r="N270" s="286">
        <f t="shared" ref="N270:R271" si="255">ROUND(N266*N238,0)</f>
        <v>132</v>
      </c>
      <c r="O270" s="286">
        <f t="shared" si="255"/>
        <v>129</v>
      </c>
      <c r="P270" s="286">
        <f t="shared" si="255"/>
        <v>126</v>
      </c>
      <c r="Q270" s="286">
        <f t="shared" si="255"/>
        <v>123</v>
      </c>
      <c r="R270" s="288">
        <f t="shared" si="255"/>
        <v>120</v>
      </c>
      <c r="S270" s="272">
        <f t="shared" ref="S270:S272" si="256">SUM(N270:R270)</f>
        <v>630</v>
      </c>
      <c r="V270" s="72"/>
      <c r="AS270" s="67" t="s">
        <v>238</v>
      </c>
    </row>
    <row r="271" spans="1:45">
      <c r="H271" s="70"/>
      <c r="I271" s="289" t="s">
        <v>214</v>
      </c>
      <c r="J271" s="290"/>
      <c r="K271" s="291"/>
      <c r="L271" s="290"/>
      <c r="M271" s="297"/>
      <c r="N271" s="290">
        <f t="shared" si="255"/>
        <v>34</v>
      </c>
      <c r="O271" s="290">
        <f t="shared" si="255"/>
        <v>32</v>
      </c>
      <c r="P271" s="290">
        <f t="shared" si="255"/>
        <v>31</v>
      </c>
      <c r="Q271" s="290">
        <f t="shared" si="255"/>
        <v>30</v>
      </c>
      <c r="R271" s="292">
        <f t="shared" si="255"/>
        <v>29</v>
      </c>
      <c r="S271" s="272">
        <f t="shared" si="256"/>
        <v>156</v>
      </c>
      <c r="V271" s="72"/>
      <c r="AS271" s="67" t="s">
        <v>238</v>
      </c>
    </row>
    <row r="272" spans="1:45" ht="16" thickBot="1">
      <c r="H272" s="70"/>
      <c r="I272" s="298" t="s">
        <v>97</v>
      </c>
      <c r="J272" s="299"/>
      <c r="K272" s="300"/>
      <c r="L272" s="299"/>
      <c r="M272" s="301"/>
      <c r="N272" s="302">
        <f>SUM(N270:N271)</f>
        <v>166</v>
      </c>
      <c r="O272" s="302">
        <f t="shared" ref="O272:R272" si="257">SUM(O270:O271)</f>
        <v>161</v>
      </c>
      <c r="P272" s="302">
        <f t="shared" si="257"/>
        <v>157</v>
      </c>
      <c r="Q272" s="302">
        <f t="shared" si="257"/>
        <v>153</v>
      </c>
      <c r="R272" s="303">
        <f t="shared" si="257"/>
        <v>149</v>
      </c>
      <c r="S272" s="272">
        <f t="shared" si="256"/>
        <v>786</v>
      </c>
      <c r="V272" s="72"/>
      <c r="AS272" s="67" t="s">
        <v>238</v>
      </c>
    </row>
    <row r="273" spans="1:45" ht="16" thickBot="1">
      <c r="H273" s="284" t="s">
        <v>259</v>
      </c>
      <c r="J273" s="345"/>
      <c r="K273" s="346"/>
      <c r="L273" s="345"/>
      <c r="M273" s="262"/>
      <c r="N273" s="261"/>
      <c r="O273" s="261"/>
      <c r="P273" s="261"/>
      <c r="Q273" s="261"/>
      <c r="R273" s="261"/>
      <c r="V273" s="72"/>
      <c r="AS273" s="67" t="s">
        <v>238</v>
      </c>
    </row>
    <row r="274" spans="1:45">
      <c r="H274" s="70"/>
      <c r="I274" s="285" t="s">
        <v>266</v>
      </c>
      <c r="J274" s="305"/>
      <c r="K274" s="321"/>
      <c r="L274" s="305"/>
      <c r="M274" s="305"/>
      <c r="N274" s="330">
        <v>1</v>
      </c>
      <c r="O274" s="330">
        <v>1</v>
      </c>
      <c r="P274" s="330">
        <v>1</v>
      </c>
      <c r="Q274" s="330">
        <v>1</v>
      </c>
      <c r="R274" s="331">
        <v>1</v>
      </c>
      <c r="V274" s="72"/>
      <c r="AS274" s="67" t="s">
        <v>238</v>
      </c>
    </row>
    <row r="275" spans="1:45" ht="16" thickBot="1">
      <c r="I275" s="293"/>
      <c r="J275" s="313"/>
      <c r="K275" s="332"/>
      <c r="L275" s="313"/>
      <c r="M275" s="313"/>
      <c r="N275" s="315">
        <f>ROUND(N274*N272,0)</f>
        <v>166</v>
      </c>
      <c r="O275" s="315">
        <f t="shared" ref="O275:R275" si="258">ROUND(O274*O272,0)</f>
        <v>161</v>
      </c>
      <c r="P275" s="315">
        <f t="shared" si="258"/>
        <v>157</v>
      </c>
      <c r="Q275" s="315">
        <f t="shared" si="258"/>
        <v>153</v>
      </c>
      <c r="R275" s="315">
        <f t="shared" si="258"/>
        <v>149</v>
      </c>
      <c r="S275" s="272">
        <f t="shared" ref="S275" si="259">SUM(N275:R275)</f>
        <v>786</v>
      </c>
      <c r="V275" s="72"/>
      <c r="AS275" s="67" t="s">
        <v>238</v>
      </c>
    </row>
    <row r="276" spans="1:45">
      <c r="H276" s="70"/>
      <c r="I276" s="262"/>
      <c r="J276" s="262"/>
      <c r="K276" s="347"/>
      <c r="L276" s="320"/>
      <c r="M276" s="262"/>
      <c r="N276" s="261"/>
      <c r="O276" s="261"/>
      <c r="P276" s="261"/>
      <c r="Q276" s="261"/>
      <c r="R276" s="261"/>
      <c r="V276" s="72"/>
      <c r="AS276" s="67" t="s">
        <v>238</v>
      </c>
    </row>
    <row r="277" spans="1:45" ht="16" thickBot="1">
      <c r="H277" s="348" t="s">
        <v>219</v>
      </c>
      <c r="J277" s="349"/>
      <c r="K277" s="266"/>
      <c r="L277" s="319"/>
      <c r="M277" s="262"/>
      <c r="N277" s="261"/>
      <c r="O277" s="261"/>
      <c r="P277" s="261"/>
      <c r="Q277" s="261"/>
      <c r="R277" s="261"/>
      <c r="V277" s="72"/>
      <c r="AS277" s="67" t="s">
        <v>238</v>
      </c>
    </row>
    <row r="278" spans="1:45">
      <c r="H278" s="284"/>
      <c r="I278" s="285" t="s">
        <v>269</v>
      </c>
      <c r="J278" s="305"/>
      <c r="K278" s="321"/>
      <c r="L278" s="305"/>
      <c r="M278" s="305"/>
      <c r="N278" s="330">
        <v>1</v>
      </c>
      <c r="O278" s="330">
        <v>1</v>
      </c>
      <c r="P278" s="330">
        <v>1</v>
      </c>
      <c r="Q278" s="330">
        <v>1</v>
      </c>
      <c r="R278" s="331">
        <v>1</v>
      </c>
      <c r="V278" s="72"/>
      <c r="AS278" s="67" t="s">
        <v>238</v>
      </c>
    </row>
    <row r="279" spans="1:45" ht="16" thickBot="1">
      <c r="H279" s="70"/>
      <c r="I279" s="293"/>
      <c r="J279" s="313"/>
      <c r="K279" s="332"/>
      <c r="L279" s="313"/>
      <c r="M279" s="313"/>
      <c r="N279" s="315">
        <f>ROUND(N272*N278,0)</f>
        <v>166</v>
      </c>
      <c r="O279" s="315">
        <f t="shared" ref="O279:R279" si="260">ROUND(O272*O278,0)</f>
        <v>161</v>
      </c>
      <c r="P279" s="315">
        <f t="shared" si="260"/>
        <v>157</v>
      </c>
      <c r="Q279" s="315">
        <f t="shared" si="260"/>
        <v>153</v>
      </c>
      <c r="R279" s="333">
        <f t="shared" si="260"/>
        <v>149</v>
      </c>
      <c r="S279" s="272">
        <f t="shared" ref="S279" si="261">SUM(N279:R279)</f>
        <v>786</v>
      </c>
      <c r="V279" s="72"/>
      <c r="AS279" s="67" t="s">
        <v>238</v>
      </c>
    </row>
    <row r="280" spans="1:45">
      <c r="H280" s="70"/>
      <c r="J280" s="262"/>
      <c r="K280" s="263"/>
      <c r="L280" s="262"/>
      <c r="M280" s="262"/>
      <c r="N280" s="261"/>
      <c r="O280" s="261"/>
      <c r="P280" s="261"/>
      <c r="Q280" s="261"/>
      <c r="R280" s="261"/>
      <c r="V280" s="72"/>
      <c r="AS280" s="67" t="s">
        <v>238</v>
      </c>
    </row>
    <row r="281" spans="1:45" ht="22" thickBot="1">
      <c r="F281" s="190" t="s">
        <v>267</v>
      </c>
      <c r="H281" s="348" t="s">
        <v>220</v>
      </c>
      <c r="I281" s="262"/>
      <c r="J281" s="262"/>
      <c r="K281" s="263"/>
      <c r="L281" s="262"/>
      <c r="M281" s="262"/>
      <c r="N281" s="261"/>
      <c r="O281" s="261"/>
      <c r="P281" s="261"/>
      <c r="Q281" s="261"/>
      <c r="R281" s="261"/>
      <c r="V281" s="72"/>
      <c r="AS281" s="67" t="s">
        <v>238</v>
      </c>
    </row>
    <row r="282" spans="1:45">
      <c r="A282" s="68" t="str">
        <f>B282&amp;"_"&amp;C282&amp;"_"&amp;D282&amp;"_"&amp;E282</f>
        <v>RB_All_sensit_to_treat</v>
      </c>
      <c r="B282" s="68" t="s">
        <v>235</v>
      </c>
      <c r="C282" s="68" t="s">
        <v>233</v>
      </c>
      <c r="D282" s="68" t="s">
        <v>276</v>
      </c>
      <c r="E282" s="68" t="s">
        <v>271</v>
      </c>
      <c r="H282" s="70"/>
      <c r="I282" s="285" t="s">
        <v>270</v>
      </c>
      <c r="J282" s="286"/>
      <c r="K282" s="287"/>
      <c r="L282" s="286"/>
      <c r="M282" s="305"/>
      <c r="N282" s="350">
        <f>N286-N283-N284-N285</f>
        <v>1771</v>
      </c>
      <c r="O282" s="350">
        <f t="shared" ref="O282:R282" si="262">O286-O283-O284-O285</f>
        <v>1717</v>
      </c>
      <c r="P282" s="350">
        <f t="shared" si="262"/>
        <v>1665</v>
      </c>
      <c r="Q282" s="350">
        <f t="shared" si="262"/>
        <v>1617</v>
      </c>
      <c r="R282" s="351">
        <f t="shared" si="262"/>
        <v>1571</v>
      </c>
      <c r="S282" s="272">
        <f t="shared" ref="S282:S286" si="263">SUM(N282:R282)</f>
        <v>8341</v>
      </c>
      <c r="V282" s="72"/>
      <c r="AS282" s="67" t="s">
        <v>238</v>
      </c>
    </row>
    <row r="283" spans="1:45">
      <c r="A283" s="68" t="str">
        <f>B283&amp;"_"&amp;C283&amp;"_"&amp;D283&amp;"_"&amp;E283</f>
        <v>RB_All_poly_to_treat</v>
      </c>
      <c r="B283" s="68" t="s">
        <v>235</v>
      </c>
      <c r="C283" s="68" t="s">
        <v>233</v>
      </c>
      <c r="D283" s="68" t="s">
        <v>249</v>
      </c>
      <c r="E283" s="68" t="s">
        <v>271</v>
      </c>
      <c r="H283" s="70"/>
      <c r="I283" s="289" t="s">
        <v>221</v>
      </c>
      <c r="J283" s="290"/>
      <c r="K283" s="291"/>
      <c r="L283" s="290"/>
      <c r="M283" s="297"/>
      <c r="N283" s="261">
        <f>N279</f>
        <v>166</v>
      </c>
      <c r="O283" s="261">
        <f t="shared" ref="O283:R283" si="264">O279</f>
        <v>161</v>
      </c>
      <c r="P283" s="261">
        <f t="shared" si="264"/>
        <v>157</v>
      </c>
      <c r="Q283" s="261">
        <f t="shared" si="264"/>
        <v>153</v>
      </c>
      <c r="R283" s="323">
        <f t="shared" si="264"/>
        <v>149</v>
      </c>
      <c r="S283" s="272">
        <f t="shared" si="263"/>
        <v>786</v>
      </c>
      <c r="V283" s="72"/>
      <c r="AS283" s="67" t="s">
        <v>238</v>
      </c>
    </row>
    <row r="284" spans="1:45">
      <c r="A284" s="68" t="str">
        <f t="shared" ref="A284:A285" si="265">B284&amp;"_"&amp;C284&amp;"_"&amp;D284&amp;"_"&amp;E284</f>
        <v>RB_All_RR/MDR_to_treat</v>
      </c>
      <c r="B284" s="68" t="s">
        <v>235</v>
      </c>
      <c r="C284" s="68" t="s">
        <v>233</v>
      </c>
      <c r="D284" s="68" t="s">
        <v>125</v>
      </c>
      <c r="E284" s="68" t="s">
        <v>271</v>
      </c>
      <c r="H284" s="70"/>
      <c r="I284" s="289" t="s">
        <v>222</v>
      </c>
      <c r="J284" s="290"/>
      <c r="K284" s="291"/>
      <c r="L284" s="290"/>
      <c r="M284" s="297"/>
      <c r="N284" s="352">
        <f>N261</f>
        <v>447</v>
      </c>
      <c r="O284" s="352">
        <f t="shared" ref="O284:R284" si="266">O261</f>
        <v>432</v>
      </c>
      <c r="P284" s="352">
        <f t="shared" si="266"/>
        <v>419</v>
      </c>
      <c r="Q284" s="352">
        <f t="shared" si="266"/>
        <v>407</v>
      </c>
      <c r="R284" s="353">
        <f t="shared" si="266"/>
        <v>395</v>
      </c>
      <c r="S284" s="272">
        <f t="shared" si="263"/>
        <v>2100</v>
      </c>
      <c r="V284" s="72"/>
      <c r="AS284" s="67" t="s">
        <v>238</v>
      </c>
    </row>
    <row r="285" spans="1:45">
      <c r="A285" s="68" t="str">
        <f t="shared" si="265"/>
        <v>RB_All_RR/MDR_rez_FQ_to_treat</v>
      </c>
      <c r="B285" s="68" t="s">
        <v>235</v>
      </c>
      <c r="C285" s="68" t="s">
        <v>233</v>
      </c>
      <c r="D285" s="68" t="s">
        <v>275</v>
      </c>
      <c r="E285" s="68" t="s">
        <v>271</v>
      </c>
      <c r="H285" s="70"/>
      <c r="I285" s="289" t="s">
        <v>223</v>
      </c>
      <c r="J285" s="290"/>
      <c r="K285" s="291"/>
      <c r="L285" s="290"/>
      <c r="M285" s="297"/>
      <c r="N285" s="261">
        <f>N263</f>
        <v>143</v>
      </c>
      <c r="O285" s="261">
        <f t="shared" ref="O285:R285" si="267">O263</f>
        <v>137</v>
      </c>
      <c r="P285" s="261">
        <f t="shared" si="267"/>
        <v>132</v>
      </c>
      <c r="Q285" s="261">
        <f t="shared" si="267"/>
        <v>127</v>
      </c>
      <c r="R285" s="323">
        <f t="shared" si="267"/>
        <v>124</v>
      </c>
      <c r="S285" s="272">
        <f t="shared" si="263"/>
        <v>663</v>
      </c>
      <c r="V285" s="72"/>
      <c r="AS285" s="67" t="s">
        <v>238</v>
      </c>
    </row>
    <row r="286" spans="1:45" ht="16" thickBot="1">
      <c r="A286" s="68" t="str">
        <f t="shared" ref="A286" si="268">B286&amp;"_"&amp;C286&amp;"_"&amp;D286&amp;"_"&amp;E286</f>
        <v>RB_All_total_</v>
      </c>
      <c r="B286" s="68" t="s">
        <v>235</v>
      </c>
      <c r="C286" s="68" t="s">
        <v>233</v>
      </c>
      <c r="D286" s="68" t="s">
        <v>232</v>
      </c>
      <c r="H286" s="70"/>
      <c r="I286" s="298" t="s">
        <v>97</v>
      </c>
      <c r="J286" s="301"/>
      <c r="K286" s="354"/>
      <c r="L286" s="301"/>
      <c r="M286" s="301"/>
      <c r="N286" s="326">
        <f>N231</f>
        <v>2527</v>
      </c>
      <c r="O286" s="326">
        <f t="shared" ref="O286:R286" si="269">O231</f>
        <v>2447</v>
      </c>
      <c r="P286" s="326">
        <f t="shared" si="269"/>
        <v>2373</v>
      </c>
      <c r="Q286" s="326">
        <f t="shared" si="269"/>
        <v>2304</v>
      </c>
      <c r="R286" s="327">
        <f t="shared" si="269"/>
        <v>2239</v>
      </c>
      <c r="S286" s="272">
        <f t="shared" si="263"/>
        <v>11890</v>
      </c>
      <c r="V286" s="72"/>
      <c r="AS286" s="67" t="s">
        <v>238</v>
      </c>
    </row>
    <row r="287" spans="1:45" ht="6" customHeight="1" thickBot="1">
      <c r="A287" s="355"/>
      <c r="B287" s="355"/>
      <c r="C287" s="355"/>
      <c r="D287" s="355"/>
      <c r="E287" s="355"/>
      <c r="F287" s="355"/>
      <c r="G287" s="355"/>
      <c r="H287" s="356"/>
      <c r="I287" s="357"/>
      <c r="J287" s="357"/>
      <c r="K287" s="358"/>
      <c r="L287" s="357"/>
      <c r="M287" s="357"/>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359"/>
      <c r="AL287" s="359"/>
      <c r="AM287" s="359"/>
      <c r="AN287" s="359"/>
      <c r="AO287" s="359"/>
      <c r="AP287" s="359"/>
      <c r="AQ287" s="72"/>
      <c r="AR287" s="72"/>
      <c r="AS287" s="67" t="s">
        <v>238</v>
      </c>
    </row>
    <row r="288" spans="1:45" ht="22" thickBot="1">
      <c r="F288" s="257" t="s">
        <v>254</v>
      </c>
      <c r="G288" s="258" t="s">
        <v>283</v>
      </c>
      <c r="H288" s="259"/>
      <c r="I288" s="260"/>
      <c r="J288" s="260"/>
      <c r="L288" s="1431">
        <v>2019</v>
      </c>
      <c r="M288" s="1432">
        <v>2020</v>
      </c>
      <c r="N288" s="1433">
        <v>2021</v>
      </c>
      <c r="O288" s="1433">
        <v>2022</v>
      </c>
      <c r="P288" s="1433">
        <v>2023</v>
      </c>
      <c r="Q288" s="1433">
        <v>2024</v>
      </c>
      <c r="R288" s="1434">
        <v>2025</v>
      </c>
      <c r="V288" s="72"/>
      <c r="AS288" s="67" t="s">
        <v>238</v>
      </c>
    </row>
    <row r="289" spans="1:45">
      <c r="G289" s="252"/>
      <c r="I289" s="262"/>
      <c r="J289" s="262"/>
      <c r="K289" s="263"/>
      <c r="L289" s="262"/>
      <c r="M289" s="262"/>
      <c r="N289" s="261"/>
      <c r="O289" s="261"/>
      <c r="P289" s="261"/>
      <c r="Q289" s="261"/>
      <c r="R289" s="261"/>
      <c r="V289" s="72"/>
      <c r="AS289" s="67" t="s">
        <v>238</v>
      </c>
    </row>
    <row r="290" spans="1:45" ht="22" thickBot="1">
      <c r="F290" s="190" t="s">
        <v>277</v>
      </c>
      <c r="G290" s="264"/>
      <c r="H290" s="265" t="s">
        <v>206</v>
      </c>
      <c r="I290" s="262"/>
      <c r="J290" s="262"/>
      <c r="K290" s="266"/>
      <c r="L290" s="267"/>
      <c r="N290" s="261"/>
      <c r="O290" s="261"/>
      <c r="P290" s="261"/>
      <c r="Q290" s="261"/>
      <c r="R290" s="261"/>
      <c r="V290" s="72"/>
      <c r="AS290" s="67" t="s">
        <v>238</v>
      </c>
    </row>
    <row r="291" spans="1:45">
      <c r="A291" s="68" t="str">
        <f>B291&amp;"_"&amp;C291&amp;"_"&amp;D291&amp;"_"&amp;E291</f>
        <v>LB_New_P_SS+</v>
      </c>
      <c r="B291" s="68" t="s">
        <v>236</v>
      </c>
      <c r="C291" s="68" t="s">
        <v>102</v>
      </c>
      <c r="D291" s="68" t="s">
        <v>225</v>
      </c>
      <c r="E291" s="68" t="s">
        <v>227</v>
      </c>
      <c r="F291" s="191"/>
      <c r="H291" s="70"/>
      <c r="I291" s="268" t="s">
        <v>207</v>
      </c>
      <c r="J291" s="269"/>
      <c r="K291" s="270"/>
      <c r="L291" s="270">
        <f t="shared" ref="L291:R291" si="270">VLOOKUP($A291,estimation,L$220,0)</f>
        <v>211</v>
      </c>
      <c r="M291" s="270">
        <f t="shared" si="270"/>
        <v>205</v>
      </c>
      <c r="N291" s="270">
        <f t="shared" si="270"/>
        <v>199</v>
      </c>
      <c r="O291" s="270">
        <f t="shared" si="270"/>
        <v>193</v>
      </c>
      <c r="P291" s="270">
        <f t="shared" si="270"/>
        <v>187</v>
      </c>
      <c r="Q291" s="270">
        <f t="shared" si="270"/>
        <v>182</v>
      </c>
      <c r="R291" s="271">
        <f t="shared" si="270"/>
        <v>177</v>
      </c>
      <c r="S291" s="272">
        <f>SUM(N291:R291)</f>
        <v>938</v>
      </c>
      <c r="V291" s="72"/>
      <c r="AS291" s="67" t="s">
        <v>238</v>
      </c>
    </row>
    <row r="292" spans="1:45">
      <c r="A292" s="68" t="str">
        <f t="shared" ref="A292:A294" si="271">B292&amp;"_"&amp;C292&amp;"_"&amp;D292&amp;"_"&amp;E292</f>
        <v>LB_New_P_SS-</v>
      </c>
      <c r="B292" s="68" t="s">
        <v>236</v>
      </c>
      <c r="C292" s="68" t="s">
        <v>102</v>
      </c>
      <c r="D292" s="68" t="s">
        <v>225</v>
      </c>
      <c r="E292" s="68" t="s">
        <v>228</v>
      </c>
      <c r="F292" s="191"/>
      <c r="H292" s="70"/>
      <c r="I292" s="273" t="s">
        <v>208</v>
      </c>
      <c r="J292" s="274"/>
      <c r="K292" s="272"/>
      <c r="L292" s="272">
        <f t="shared" ref="L292:R292" si="272">VLOOKUP($A292,estimation,L$220,0)+VLOOKUP($A293,estimation,L$220,0)</f>
        <v>169</v>
      </c>
      <c r="M292" s="272">
        <f t="shared" si="272"/>
        <v>158</v>
      </c>
      <c r="N292" s="272">
        <f t="shared" si="272"/>
        <v>149</v>
      </c>
      <c r="O292" s="272">
        <f t="shared" si="272"/>
        <v>141</v>
      </c>
      <c r="P292" s="272">
        <f t="shared" si="272"/>
        <v>134</v>
      </c>
      <c r="Q292" s="272">
        <f t="shared" si="272"/>
        <v>127</v>
      </c>
      <c r="R292" s="275">
        <f t="shared" si="272"/>
        <v>120</v>
      </c>
      <c r="S292" s="272">
        <f t="shared" ref="S292:S298" si="273">SUM(N292:R292)</f>
        <v>671</v>
      </c>
      <c r="V292" s="72"/>
      <c r="AS292" s="67" t="s">
        <v>238</v>
      </c>
    </row>
    <row r="293" spans="1:45">
      <c r="A293" s="68" t="str">
        <f t="shared" si="271"/>
        <v>LB_New_EP_</v>
      </c>
      <c r="B293" s="68" t="s">
        <v>236</v>
      </c>
      <c r="C293" s="68" t="s">
        <v>102</v>
      </c>
      <c r="D293" s="68" t="s">
        <v>226</v>
      </c>
      <c r="F293" s="191"/>
      <c r="H293" s="70"/>
      <c r="I293" s="276" t="s">
        <v>209</v>
      </c>
      <c r="J293" s="274"/>
      <c r="K293" s="272"/>
      <c r="L293" s="277">
        <f>SUM(L291:L292)</f>
        <v>380</v>
      </c>
      <c r="M293" s="277">
        <f t="shared" ref="M293" si="274">SUM(M291:M292)</f>
        <v>363</v>
      </c>
      <c r="N293" s="277">
        <f>SUM(N291:N292)</f>
        <v>348</v>
      </c>
      <c r="O293" s="277">
        <f t="shared" ref="O293" si="275">SUM(O291:O292)</f>
        <v>334</v>
      </c>
      <c r="P293" s="277">
        <f t="shared" ref="P293" si="276">SUM(P291:P292)</f>
        <v>321</v>
      </c>
      <c r="Q293" s="277">
        <f t="shared" ref="Q293" si="277">SUM(Q291:Q292)</f>
        <v>309</v>
      </c>
      <c r="R293" s="278">
        <f t="shared" ref="R293" si="278">SUM(R291:R292)</f>
        <v>297</v>
      </c>
      <c r="S293" s="272">
        <f t="shared" si="273"/>
        <v>1609</v>
      </c>
      <c r="V293" s="72"/>
      <c r="AS293" s="67" t="s">
        <v>238</v>
      </c>
    </row>
    <row r="294" spans="1:45">
      <c r="A294" s="68" t="str">
        <f t="shared" si="271"/>
        <v>LB_R_P_SS+</v>
      </c>
      <c r="B294" s="68" t="s">
        <v>236</v>
      </c>
      <c r="C294" s="68" t="s">
        <v>229</v>
      </c>
      <c r="D294" s="68" t="s">
        <v>225</v>
      </c>
      <c r="E294" s="68" t="s">
        <v>227</v>
      </c>
      <c r="F294" s="191"/>
      <c r="H294" s="70"/>
      <c r="I294" s="273" t="s">
        <v>210</v>
      </c>
      <c r="J294" s="274"/>
      <c r="K294" s="272"/>
      <c r="L294" s="272">
        <f>VLOOKUP($A294,estimation,L$220,0)+VLOOKUP($A295,estimation,L$220,0)</f>
        <v>200</v>
      </c>
      <c r="M294" s="272">
        <f t="shared" ref="M294:R294" si="279">VLOOKUP($A294,estimation,M$220,0)+VLOOKUP($A295,estimation,M$220,0)</f>
        <v>208</v>
      </c>
      <c r="N294" s="272">
        <f t="shared" si="279"/>
        <v>216</v>
      </c>
      <c r="O294" s="272">
        <f t="shared" si="279"/>
        <v>222</v>
      </c>
      <c r="P294" s="272">
        <f t="shared" si="279"/>
        <v>232</v>
      </c>
      <c r="Q294" s="272">
        <f t="shared" si="279"/>
        <v>246</v>
      </c>
      <c r="R294" s="275">
        <f t="shared" si="279"/>
        <v>258</v>
      </c>
      <c r="S294" s="272">
        <f t="shared" si="273"/>
        <v>1174</v>
      </c>
      <c r="V294" s="72"/>
      <c r="AS294" s="67" t="s">
        <v>238</v>
      </c>
    </row>
    <row r="295" spans="1:45">
      <c r="A295" s="68" t="str">
        <f>B295&amp;"_"&amp;C295&amp;"_"&amp;D295&amp;"_"&amp;E295</f>
        <v>LB_Oth_P_SS+</v>
      </c>
      <c r="B295" s="68" t="s">
        <v>236</v>
      </c>
      <c r="C295" s="68" t="s">
        <v>230</v>
      </c>
      <c r="D295" s="68" t="s">
        <v>225</v>
      </c>
      <c r="E295" s="68" t="s">
        <v>227</v>
      </c>
      <c r="F295" s="191"/>
      <c r="H295" s="70"/>
      <c r="I295" s="273" t="s">
        <v>211</v>
      </c>
      <c r="J295" s="274"/>
      <c r="K295" s="272"/>
      <c r="L295" s="272">
        <f>VLOOKUP($A296,estimation,L$220,0)+VLOOKUP($A297,estimation,L$220,0)+VLOOKUP($A298,estimation,L$220,0)</f>
        <v>45</v>
      </c>
      <c r="M295" s="272">
        <f t="shared" ref="M295:R295" si="280">VLOOKUP($A296,estimation,M$220,0)+VLOOKUP($A297,estimation,M$220,0)+VLOOKUP($A298,estimation,M$220,0)</f>
        <v>44</v>
      </c>
      <c r="N295" s="272">
        <f t="shared" si="280"/>
        <v>44</v>
      </c>
      <c r="O295" s="272">
        <f t="shared" si="280"/>
        <v>43</v>
      </c>
      <c r="P295" s="272">
        <f t="shared" si="280"/>
        <v>43</v>
      </c>
      <c r="Q295" s="272">
        <f t="shared" si="280"/>
        <v>44</v>
      </c>
      <c r="R295" s="275">
        <f t="shared" si="280"/>
        <v>44</v>
      </c>
      <c r="S295" s="272">
        <f t="shared" si="273"/>
        <v>218</v>
      </c>
      <c r="V295" s="72"/>
      <c r="AS295" s="67" t="s">
        <v>238</v>
      </c>
    </row>
    <row r="296" spans="1:45">
      <c r="A296" s="68" t="str">
        <f>B296&amp;"_"&amp;C296&amp;"_"&amp;D296&amp;"_"&amp;E296</f>
        <v>LB_R_P_SS-</v>
      </c>
      <c r="B296" s="68" t="s">
        <v>236</v>
      </c>
      <c r="C296" s="68" t="s">
        <v>229</v>
      </c>
      <c r="D296" s="68" t="s">
        <v>225</v>
      </c>
      <c r="E296" s="68" t="s">
        <v>228</v>
      </c>
      <c r="F296" s="191"/>
      <c r="H296" s="70"/>
      <c r="I296" s="276" t="s">
        <v>212</v>
      </c>
      <c r="J296" s="279"/>
      <c r="K296" s="272"/>
      <c r="L296" s="277">
        <f>SUM(L294:L295)</f>
        <v>245</v>
      </c>
      <c r="M296" s="277">
        <f t="shared" ref="M296" si="281">SUM(M294:M295)</f>
        <v>252</v>
      </c>
      <c r="N296" s="277">
        <f t="shared" ref="N296" si="282">SUM(N294:N295)</f>
        <v>260</v>
      </c>
      <c r="O296" s="277">
        <f t="shared" ref="O296" si="283">SUM(O294:O295)</f>
        <v>265</v>
      </c>
      <c r="P296" s="277">
        <f t="shared" ref="P296" si="284">SUM(P294:P295)</f>
        <v>275</v>
      </c>
      <c r="Q296" s="277">
        <f t="shared" ref="Q296" si="285">SUM(Q294:Q295)</f>
        <v>290</v>
      </c>
      <c r="R296" s="278">
        <f t="shared" ref="R296" si="286">SUM(R294:R295)</f>
        <v>302</v>
      </c>
      <c r="S296" s="272">
        <f t="shared" si="273"/>
        <v>1392</v>
      </c>
      <c r="V296" s="72"/>
      <c r="AS296" s="67" t="s">
        <v>238</v>
      </c>
    </row>
    <row r="297" spans="1:45">
      <c r="A297" s="68" t="str">
        <f>B297&amp;"_"&amp;C297&amp;"_"&amp;D297&amp;"_"&amp;E297</f>
        <v>LB_R_EP_</v>
      </c>
      <c r="B297" s="68" t="s">
        <v>236</v>
      </c>
      <c r="C297" s="68" t="s">
        <v>229</v>
      </c>
      <c r="D297" s="68" t="s">
        <v>226</v>
      </c>
      <c r="F297" s="191"/>
      <c r="H297" s="70"/>
      <c r="I297" s="273"/>
      <c r="J297" s="274"/>
      <c r="K297" s="272"/>
      <c r="L297" s="272"/>
      <c r="M297" s="272"/>
      <c r="N297" s="272"/>
      <c r="O297" s="272"/>
      <c r="P297" s="272"/>
      <c r="Q297" s="272"/>
      <c r="R297" s="275"/>
      <c r="S297" s="272"/>
      <c r="V297" s="72"/>
      <c r="AS297" s="67" t="s">
        <v>238</v>
      </c>
    </row>
    <row r="298" spans="1:45" ht="16" thickBot="1">
      <c r="A298" s="68" t="str">
        <f>B298&amp;"_"&amp;C298&amp;"_"&amp;D298&amp;"_"&amp;E298</f>
        <v>LB_Oth_P/EP_SS-</v>
      </c>
      <c r="B298" s="68" t="s">
        <v>236</v>
      </c>
      <c r="C298" s="68" t="s">
        <v>230</v>
      </c>
      <c r="D298" s="68" t="s">
        <v>231</v>
      </c>
      <c r="E298" s="68" t="s">
        <v>228</v>
      </c>
      <c r="F298" s="191"/>
      <c r="H298" s="70"/>
      <c r="I298" s="280" t="s">
        <v>114</v>
      </c>
      <c r="J298" s="281"/>
      <c r="K298" s="282"/>
      <c r="L298" s="282">
        <f>L293+L296</f>
        <v>625</v>
      </c>
      <c r="M298" s="282">
        <f t="shared" ref="M298:R298" si="287">M293+M296</f>
        <v>615</v>
      </c>
      <c r="N298" s="282">
        <f t="shared" si="287"/>
        <v>608</v>
      </c>
      <c r="O298" s="282">
        <f t="shared" si="287"/>
        <v>599</v>
      </c>
      <c r="P298" s="282">
        <f t="shared" si="287"/>
        <v>596</v>
      </c>
      <c r="Q298" s="282">
        <f t="shared" si="287"/>
        <v>599</v>
      </c>
      <c r="R298" s="283">
        <f t="shared" si="287"/>
        <v>599</v>
      </c>
      <c r="S298" s="272">
        <f t="shared" si="273"/>
        <v>3001</v>
      </c>
      <c r="V298" s="72"/>
      <c r="AS298" s="67" t="s">
        <v>238</v>
      </c>
    </row>
    <row r="299" spans="1:45">
      <c r="A299" s="68"/>
      <c r="F299" s="191"/>
      <c r="H299" s="70"/>
      <c r="I299" s="262"/>
      <c r="J299" s="262"/>
      <c r="K299" s="263"/>
      <c r="L299" s="262"/>
      <c r="N299" s="261"/>
      <c r="O299" s="261"/>
      <c r="P299" s="261"/>
      <c r="Q299" s="261"/>
      <c r="R299" s="261"/>
      <c r="V299" s="72"/>
      <c r="AS299" s="67" t="s">
        <v>238</v>
      </c>
    </row>
    <row r="300" spans="1:45" ht="22" thickBot="1">
      <c r="A300" s="68"/>
      <c r="F300" s="190" t="s">
        <v>279</v>
      </c>
      <c r="H300" s="284" t="s">
        <v>213</v>
      </c>
      <c r="J300" s="262"/>
      <c r="K300" s="263"/>
      <c r="L300" s="262"/>
      <c r="M300" s="262"/>
      <c r="N300" s="261"/>
      <c r="O300" s="261"/>
      <c r="P300" s="261"/>
      <c r="Q300" s="261"/>
      <c r="R300" s="261"/>
      <c r="V300" s="72"/>
      <c r="AS300" s="67" t="s">
        <v>238</v>
      </c>
    </row>
    <row r="301" spans="1:45">
      <c r="A301" s="68" t="str">
        <f t="shared" ref="A301:A303" si="288">B301&amp;"_"&amp;C301&amp;"_"&amp;D301&amp;"_"&amp;E301</f>
        <v>LB_New_total_</v>
      </c>
      <c r="B301" s="68" t="s">
        <v>236</v>
      </c>
      <c r="C301" s="68" t="s">
        <v>102</v>
      </c>
      <c r="D301" s="68" t="s">
        <v>232</v>
      </c>
      <c r="F301" s="191"/>
      <c r="H301" s="70"/>
      <c r="I301" s="285" t="s">
        <v>102</v>
      </c>
      <c r="J301" s="286"/>
      <c r="K301" s="287"/>
      <c r="L301" s="286">
        <f>L293</f>
        <v>380</v>
      </c>
      <c r="M301" s="286">
        <f t="shared" ref="M301:R301" si="289">M293</f>
        <v>363</v>
      </c>
      <c r="N301" s="286">
        <f t="shared" si="289"/>
        <v>348</v>
      </c>
      <c r="O301" s="286">
        <f t="shared" si="289"/>
        <v>334</v>
      </c>
      <c r="P301" s="286">
        <f t="shared" si="289"/>
        <v>321</v>
      </c>
      <c r="Q301" s="286">
        <f t="shared" si="289"/>
        <v>309</v>
      </c>
      <c r="R301" s="288">
        <f t="shared" si="289"/>
        <v>297</v>
      </c>
      <c r="S301" s="272">
        <f>SUM(N301:R301)</f>
        <v>1609</v>
      </c>
      <c r="V301" s="72"/>
      <c r="AS301" s="67" t="s">
        <v>238</v>
      </c>
    </row>
    <row r="302" spans="1:45">
      <c r="A302" s="68" t="str">
        <f t="shared" si="288"/>
        <v>LB_R_total_</v>
      </c>
      <c r="B302" s="68" t="s">
        <v>236</v>
      </c>
      <c r="C302" s="68" t="s">
        <v>229</v>
      </c>
      <c r="D302" s="68" t="s">
        <v>232</v>
      </c>
      <c r="F302" s="191"/>
      <c r="H302" s="70"/>
      <c r="I302" s="289" t="s">
        <v>214</v>
      </c>
      <c r="J302" s="290"/>
      <c r="K302" s="291"/>
      <c r="L302" s="290">
        <f>L296</f>
        <v>245</v>
      </c>
      <c r="M302" s="290">
        <f t="shared" ref="M302:R302" si="290">M296</f>
        <v>252</v>
      </c>
      <c r="N302" s="290">
        <f t="shared" si="290"/>
        <v>260</v>
      </c>
      <c r="O302" s="290">
        <f t="shared" si="290"/>
        <v>265</v>
      </c>
      <c r="P302" s="290">
        <f t="shared" si="290"/>
        <v>275</v>
      </c>
      <c r="Q302" s="290">
        <f t="shared" si="290"/>
        <v>290</v>
      </c>
      <c r="R302" s="292">
        <f t="shared" si="290"/>
        <v>302</v>
      </c>
      <c r="S302" s="272">
        <f t="shared" ref="S302:S307" si="291">SUM(N302:R302)</f>
        <v>1392</v>
      </c>
      <c r="V302" s="72"/>
      <c r="AS302" s="67" t="s">
        <v>238</v>
      </c>
    </row>
    <row r="303" spans="1:45" ht="16" thickBot="1">
      <c r="A303" s="68" t="str">
        <f t="shared" si="288"/>
        <v>LB_All_total_</v>
      </c>
      <c r="B303" s="68" t="s">
        <v>236</v>
      </c>
      <c r="C303" s="68" t="s">
        <v>233</v>
      </c>
      <c r="D303" s="68" t="s">
        <v>232</v>
      </c>
      <c r="F303" s="191"/>
      <c r="H303" s="70"/>
      <c r="I303" s="293" t="s">
        <v>97</v>
      </c>
      <c r="J303" s="294"/>
      <c r="K303" s="295"/>
      <c r="L303" s="294">
        <f t="shared" ref="L303:R303" si="292">SUM(L301:L302)</f>
        <v>625</v>
      </c>
      <c r="M303" s="294">
        <f t="shared" si="292"/>
        <v>615</v>
      </c>
      <c r="N303" s="294">
        <f t="shared" si="292"/>
        <v>608</v>
      </c>
      <c r="O303" s="294">
        <f t="shared" si="292"/>
        <v>599</v>
      </c>
      <c r="P303" s="294">
        <f t="shared" si="292"/>
        <v>596</v>
      </c>
      <c r="Q303" s="294">
        <f t="shared" si="292"/>
        <v>599</v>
      </c>
      <c r="R303" s="296">
        <f t="shared" si="292"/>
        <v>599</v>
      </c>
      <c r="S303" s="272">
        <f t="shared" si="291"/>
        <v>3001</v>
      </c>
      <c r="V303" s="72"/>
      <c r="AS303" s="67" t="s">
        <v>238</v>
      </c>
    </row>
    <row r="304" spans="1:45" ht="22" thickBot="1">
      <c r="F304" s="190" t="s">
        <v>278</v>
      </c>
      <c r="H304" s="284" t="s">
        <v>215</v>
      </c>
      <c r="I304" s="262"/>
      <c r="J304" s="262"/>
      <c r="K304" s="263"/>
      <c r="L304" s="262"/>
      <c r="M304" s="262"/>
      <c r="N304" s="261"/>
      <c r="O304" s="261"/>
      <c r="P304" s="261"/>
      <c r="Q304" s="261"/>
      <c r="R304" s="261"/>
      <c r="S304" s="272"/>
      <c r="V304" s="72"/>
      <c r="AS304" s="67" t="s">
        <v>238</v>
      </c>
    </row>
    <row r="305" spans="1:45">
      <c r="A305" s="68" t="str">
        <f t="shared" ref="A305:A307" si="293">B305&amp;"_"&amp;C305&amp;"_"&amp;D305&amp;"_"&amp;E305</f>
        <v>LB_New_total_projected</v>
      </c>
      <c r="B305" s="68" t="s">
        <v>236</v>
      </c>
      <c r="C305" s="68" t="s">
        <v>102</v>
      </c>
      <c r="D305" s="68" t="s">
        <v>232</v>
      </c>
      <c r="E305" s="68" t="s">
        <v>265</v>
      </c>
      <c r="F305" s="191"/>
      <c r="H305" s="70"/>
      <c r="I305" s="285" t="s">
        <v>102</v>
      </c>
      <c r="J305" s="286"/>
      <c r="K305" s="287"/>
      <c r="L305" s="286"/>
      <c r="M305" s="286"/>
      <c r="N305" s="286">
        <f>ROUND(N291+N292*35%,0)</f>
        <v>251</v>
      </c>
      <c r="O305" s="286">
        <f>ROUND(O291+O292*35%,0)</f>
        <v>242</v>
      </c>
      <c r="P305" s="286">
        <f>ROUND(P291+P292*35%,0)</f>
        <v>234</v>
      </c>
      <c r="Q305" s="286">
        <f>ROUND(Q291+Q292*35%,0)</f>
        <v>226</v>
      </c>
      <c r="R305" s="288">
        <f>ROUND(R291+R292*35%,0)</f>
        <v>219</v>
      </c>
      <c r="S305" s="272">
        <f t="shared" si="291"/>
        <v>1172</v>
      </c>
      <c r="V305" s="72"/>
      <c r="AS305" s="67" t="s">
        <v>238</v>
      </c>
    </row>
    <row r="306" spans="1:45">
      <c r="A306" s="68" t="str">
        <f t="shared" si="293"/>
        <v>LB_R_total_projected</v>
      </c>
      <c r="B306" s="68" t="s">
        <v>236</v>
      </c>
      <c r="C306" s="68" t="s">
        <v>229</v>
      </c>
      <c r="D306" s="68" t="s">
        <v>232</v>
      </c>
      <c r="E306" s="68" t="s">
        <v>265</v>
      </c>
      <c r="F306" s="191"/>
      <c r="H306" s="70"/>
      <c r="I306" s="289" t="s">
        <v>214</v>
      </c>
      <c r="J306" s="290"/>
      <c r="K306" s="291"/>
      <c r="L306" s="290"/>
      <c r="M306" s="297"/>
      <c r="N306" s="290">
        <f>ROUND(N294+(N295*35%),0)</f>
        <v>231</v>
      </c>
      <c r="O306" s="290">
        <f t="shared" ref="O306:R306" si="294">ROUND(O294+(O295*35%),0)</f>
        <v>237</v>
      </c>
      <c r="P306" s="290">
        <f t="shared" si="294"/>
        <v>247</v>
      </c>
      <c r="Q306" s="290">
        <f t="shared" si="294"/>
        <v>261</v>
      </c>
      <c r="R306" s="292">
        <f t="shared" si="294"/>
        <v>273</v>
      </c>
      <c r="S306" s="272">
        <f t="shared" si="291"/>
        <v>1249</v>
      </c>
      <c r="V306" s="72"/>
      <c r="AS306" s="67" t="s">
        <v>238</v>
      </c>
    </row>
    <row r="307" spans="1:45" ht="16" thickBot="1">
      <c r="A307" s="68" t="str">
        <f t="shared" si="293"/>
        <v>LB_All_total_projected</v>
      </c>
      <c r="B307" s="68" t="s">
        <v>236</v>
      </c>
      <c r="C307" s="68" t="s">
        <v>233</v>
      </c>
      <c r="D307" s="68" t="s">
        <v>232</v>
      </c>
      <c r="E307" s="68" t="s">
        <v>265</v>
      </c>
      <c r="F307" s="191"/>
      <c r="G307" s="259"/>
      <c r="H307" s="124"/>
      <c r="I307" s="298" t="s">
        <v>97</v>
      </c>
      <c r="J307" s="299"/>
      <c r="K307" s="300"/>
      <c r="L307" s="299"/>
      <c r="M307" s="301"/>
      <c r="N307" s="302">
        <f>SUM(N305:N306)</f>
        <v>482</v>
      </c>
      <c r="O307" s="302">
        <f t="shared" ref="O307" si="295">SUM(O305:O306)</f>
        <v>479</v>
      </c>
      <c r="P307" s="302">
        <f t="shared" ref="P307" si="296">SUM(P305:P306)</f>
        <v>481</v>
      </c>
      <c r="Q307" s="302">
        <f t="shared" ref="Q307" si="297">SUM(Q305:Q306)</f>
        <v>487</v>
      </c>
      <c r="R307" s="303">
        <f t="shared" ref="R307" si="298">SUM(R305:R306)</f>
        <v>492</v>
      </c>
      <c r="S307" s="272">
        <f t="shared" si="291"/>
        <v>2421</v>
      </c>
      <c r="T307" s="260"/>
      <c r="U307" s="260"/>
      <c r="V307" s="72"/>
      <c r="AS307" s="67" t="s">
        <v>238</v>
      </c>
    </row>
    <row r="308" spans="1:45">
      <c r="N308" s="261"/>
      <c r="O308" s="261"/>
      <c r="P308" s="261"/>
      <c r="Q308" s="261"/>
      <c r="R308" s="261"/>
      <c r="S308" s="272"/>
      <c r="V308" s="72"/>
      <c r="AS308" s="67" t="s">
        <v>238</v>
      </c>
    </row>
    <row r="309" spans="1:45" ht="22" thickBot="1">
      <c r="F309" s="190" t="s">
        <v>280</v>
      </c>
      <c r="H309" s="284" t="s">
        <v>217</v>
      </c>
      <c r="I309" s="262"/>
      <c r="J309" s="262"/>
      <c r="K309" s="263"/>
      <c r="L309" s="262"/>
      <c r="M309" s="262"/>
      <c r="N309" s="261"/>
      <c r="O309" s="261"/>
      <c r="P309" s="261"/>
      <c r="Q309" s="261"/>
      <c r="R309" s="261"/>
      <c r="V309" s="72"/>
      <c r="AS309" s="67" t="s">
        <v>238</v>
      </c>
    </row>
    <row r="310" spans="1:45">
      <c r="A310" s="68" t="str">
        <f>B310&amp;"_"&amp;C310&amp;"_"&amp;D310&amp;"_"&amp;E310</f>
        <v>LB_New_RR/MDR_%</v>
      </c>
      <c r="B310" s="68" t="s">
        <v>236</v>
      </c>
      <c r="C310" s="68" t="s">
        <v>102</v>
      </c>
      <c r="D310" s="68" t="s">
        <v>125</v>
      </c>
      <c r="E310" s="68" t="s">
        <v>216</v>
      </c>
      <c r="F310" s="191"/>
      <c r="H310" s="70"/>
      <c r="I310" s="285" t="s">
        <v>102</v>
      </c>
      <c r="J310" s="305"/>
      <c r="K310" s="306"/>
      <c r="L310" s="307" t="s">
        <v>268</v>
      </c>
      <c r="M310" s="307"/>
      <c r="N310" s="330">
        <v>0.48</v>
      </c>
      <c r="O310" s="330">
        <v>0.48</v>
      </c>
      <c r="P310" s="330">
        <v>0.48</v>
      </c>
      <c r="Q310" s="330">
        <v>0.48</v>
      </c>
      <c r="R310" s="331">
        <v>0.48</v>
      </c>
      <c r="T310" s="310"/>
      <c r="V310" s="72"/>
      <c r="AS310" s="67" t="s">
        <v>238</v>
      </c>
    </row>
    <row r="311" spans="1:45">
      <c r="A311" s="68" t="str">
        <f>B311&amp;"_"&amp;C311&amp;"_"&amp;D311&amp;"_"&amp;E311</f>
        <v>LB_R_RR/MDR_%</v>
      </c>
      <c r="B311" s="68" t="s">
        <v>236</v>
      </c>
      <c r="C311" s="68" t="s">
        <v>229</v>
      </c>
      <c r="D311" s="68" t="s">
        <v>125</v>
      </c>
      <c r="E311" s="68" t="s">
        <v>216</v>
      </c>
      <c r="F311" s="191"/>
      <c r="H311" s="70"/>
      <c r="I311" s="289" t="s">
        <v>214</v>
      </c>
      <c r="J311" s="297"/>
      <c r="K311" s="311"/>
      <c r="L311" s="261" t="s">
        <v>268</v>
      </c>
      <c r="M311" s="261"/>
      <c r="N311" s="337">
        <v>0.7</v>
      </c>
      <c r="O311" s="337">
        <v>0.7</v>
      </c>
      <c r="P311" s="337">
        <v>0.7</v>
      </c>
      <c r="Q311" s="337">
        <v>0.7</v>
      </c>
      <c r="R311" s="338">
        <v>0.7</v>
      </c>
      <c r="V311" s="72"/>
      <c r="AS311" s="67" t="s">
        <v>238</v>
      </c>
    </row>
    <row r="312" spans="1:45">
      <c r="A312" s="68"/>
      <c r="B312" s="68"/>
      <c r="F312" s="191"/>
      <c r="H312" s="70"/>
      <c r="I312" s="289" t="s">
        <v>102</v>
      </c>
      <c r="J312" s="297" t="s">
        <v>272</v>
      </c>
      <c r="K312" s="311"/>
      <c r="L312" s="261" t="s">
        <v>378</v>
      </c>
      <c r="M312" s="261"/>
      <c r="N312" s="337">
        <v>0.19</v>
      </c>
      <c r="O312" s="337">
        <v>0.19</v>
      </c>
      <c r="P312" s="337">
        <v>0.19</v>
      </c>
      <c r="Q312" s="337">
        <v>0.19</v>
      </c>
      <c r="R312" s="338">
        <v>0.19</v>
      </c>
      <c r="V312" s="72"/>
      <c r="AS312" s="67" t="s">
        <v>238</v>
      </c>
    </row>
    <row r="313" spans="1:45" ht="16" thickBot="1">
      <c r="A313" s="68"/>
      <c r="B313" s="68"/>
      <c r="F313" s="191"/>
      <c r="H313" s="70"/>
      <c r="I313" s="293" t="s">
        <v>214</v>
      </c>
      <c r="J313" s="313" t="s">
        <v>272</v>
      </c>
      <c r="K313" s="314"/>
      <c r="L313" s="315" t="s">
        <v>378</v>
      </c>
      <c r="M313" s="315"/>
      <c r="N313" s="340">
        <v>0.4</v>
      </c>
      <c r="O313" s="340">
        <v>0.4</v>
      </c>
      <c r="P313" s="340">
        <v>0.4</v>
      </c>
      <c r="Q313" s="340">
        <v>0.4</v>
      </c>
      <c r="R313" s="341">
        <v>0.4</v>
      </c>
      <c r="V313" s="72"/>
      <c r="AS313" s="67" t="s">
        <v>238</v>
      </c>
    </row>
    <row r="314" spans="1:45">
      <c r="F314" s="191"/>
      <c r="H314" s="70"/>
      <c r="J314" s="267"/>
      <c r="K314" s="318"/>
      <c r="L314" s="319"/>
      <c r="M314" s="320"/>
      <c r="N314" s="261"/>
      <c r="O314" s="261"/>
      <c r="P314" s="261"/>
      <c r="Q314" s="261"/>
      <c r="R314" s="261"/>
      <c r="V314" s="72"/>
      <c r="AS314" s="67" t="s">
        <v>238</v>
      </c>
    </row>
    <row r="315" spans="1:45" ht="16" thickBot="1">
      <c r="F315" s="191"/>
      <c r="H315" s="284" t="s">
        <v>255</v>
      </c>
      <c r="J315" s="262"/>
      <c r="K315" s="263"/>
      <c r="L315" s="262"/>
      <c r="M315" s="262"/>
      <c r="N315" s="261"/>
      <c r="O315" s="261"/>
      <c r="P315" s="261"/>
      <c r="Q315" s="261"/>
      <c r="R315" s="261"/>
      <c r="V315" s="72"/>
      <c r="AS315" s="67" t="s">
        <v>238</v>
      </c>
    </row>
    <row r="316" spans="1:45">
      <c r="A316" s="68" t="str">
        <f>B316&amp;"_"&amp;C316&amp;"_"&amp;D316&amp;"_"&amp;E316</f>
        <v>LB_New_RR/MDR_projected</v>
      </c>
      <c r="B316" s="68" t="s">
        <v>236</v>
      </c>
      <c r="C316" s="68" t="s">
        <v>102</v>
      </c>
      <c r="D316" s="68" t="s">
        <v>125</v>
      </c>
      <c r="E316" s="68" t="s">
        <v>265</v>
      </c>
      <c r="F316" s="191"/>
      <c r="H316" s="70"/>
      <c r="I316" s="285" t="s">
        <v>102</v>
      </c>
      <c r="J316" s="305"/>
      <c r="K316" s="321"/>
      <c r="L316" s="305"/>
      <c r="M316" s="305"/>
      <c r="N316" s="307">
        <f t="shared" ref="N316:R317" si="299">ROUND(N310*N305,0)</f>
        <v>120</v>
      </c>
      <c r="O316" s="307">
        <f t="shared" si="299"/>
        <v>116</v>
      </c>
      <c r="P316" s="307">
        <f t="shared" si="299"/>
        <v>112</v>
      </c>
      <c r="Q316" s="307">
        <f t="shared" si="299"/>
        <v>108</v>
      </c>
      <c r="R316" s="322">
        <f t="shared" si="299"/>
        <v>105</v>
      </c>
      <c r="S316" s="272">
        <f t="shared" ref="S316:S320" si="300">SUM(N316:R316)</f>
        <v>561</v>
      </c>
      <c r="V316" s="72"/>
      <c r="AS316" s="67" t="s">
        <v>238</v>
      </c>
    </row>
    <row r="317" spans="1:45">
      <c r="A317" s="68" t="str">
        <f>B317&amp;"_"&amp;C317&amp;"_"&amp;D317&amp;"_"&amp;E317</f>
        <v>LB_R_RR/MDR_projected</v>
      </c>
      <c r="B317" s="68" t="s">
        <v>236</v>
      </c>
      <c r="C317" s="68" t="s">
        <v>229</v>
      </c>
      <c r="D317" s="68" t="s">
        <v>125</v>
      </c>
      <c r="E317" s="68" t="s">
        <v>265</v>
      </c>
      <c r="F317" s="191"/>
      <c r="H317" s="70"/>
      <c r="I317" s="289" t="s">
        <v>214</v>
      </c>
      <c r="J317" s="290"/>
      <c r="K317" s="291"/>
      <c r="L317" s="290"/>
      <c r="M317" s="297"/>
      <c r="N317" s="261">
        <f t="shared" si="299"/>
        <v>162</v>
      </c>
      <c r="O317" s="261">
        <f t="shared" si="299"/>
        <v>166</v>
      </c>
      <c r="P317" s="261">
        <f t="shared" si="299"/>
        <v>173</v>
      </c>
      <c r="Q317" s="261">
        <f t="shared" si="299"/>
        <v>183</v>
      </c>
      <c r="R317" s="323">
        <f t="shared" si="299"/>
        <v>191</v>
      </c>
      <c r="S317" s="272">
        <f t="shared" si="300"/>
        <v>875</v>
      </c>
      <c r="V317" s="72"/>
      <c r="AS317" s="67" t="s">
        <v>238</v>
      </c>
    </row>
    <row r="318" spans="1:45">
      <c r="A318" s="68" t="str">
        <f>B318&amp;"_"&amp;C318&amp;"_"&amp;D318&amp;"_"&amp;E318</f>
        <v>LB_New_RR/MDR_rez_FQ_projected</v>
      </c>
      <c r="B318" s="68" t="s">
        <v>236</v>
      </c>
      <c r="C318" s="68" t="s">
        <v>102</v>
      </c>
      <c r="D318" s="68" t="s">
        <v>275</v>
      </c>
      <c r="E318" s="68" t="s">
        <v>265</v>
      </c>
      <c r="F318" s="191"/>
      <c r="H318" s="70"/>
      <c r="I318" s="289" t="s">
        <v>102</v>
      </c>
      <c r="J318" s="261" t="s">
        <v>272</v>
      </c>
      <c r="K318" s="291"/>
      <c r="L318" s="290"/>
      <c r="M318" s="297"/>
      <c r="N318" s="324">
        <f>ROUND(N316*N312,0)</f>
        <v>23</v>
      </c>
      <c r="O318" s="324">
        <f t="shared" ref="O318:R318" si="301">ROUND(O316*O312,0)</f>
        <v>22</v>
      </c>
      <c r="P318" s="324">
        <f t="shared" si="301"/>
        <v>21</v>
      </c>
      <c r="Q318" s="324">
        <f t="shared" si="301"/>
        <v>21</v>
      </c>
      <c r="R318" s="325">
        <f t="shared" si="301"/>
        <v>20</v>
      </c>
      <c r="S318" s="272">
        <f t="shared" si="300"/>
        <v>107</v>
      </c>
      <c r="V318" s="72"/>
      <c r="AS318" s="67" t="s">
        <v>238</v>
      </c>
    </row>
    <row r="319" spans="1:45">
      <c r="A319" s="68" t="str">
        <f>B319&amp;"_"&amp;C319&amp;"_"&amp;D319&amp;"_"&amp;E319</f>
        <v>LB_R_RR/MDR_rez_FQ_projected</v>
      </c>
      <c r="B319" s="68" t="s">
        <v>236</v>
      </c>
      <c r="C319" s="68" t="s">
        <v>229</v>
      </c>
      <c r="D319" s="68" t="s">
        <v>275</v>
      </c>
      <c r="E319" s="68" t="s">
        <v>265</v>
      </c>
      <c r="F319" s="191"/>
      <c r="H319" s="70"/>
      <c r="I319" s="289" t="s">
        <v>214</v>
      </c>
      <c r="J319" s="261" t="s">
        <v>272</v>
      </c>
      <c r="K319" s="291"/>
      <c r="L319" s="290"/>
      <c r="M319" s="297"/>
      <c r="N319" s="324">
        <f>ROUND(N317*N313,0)</f>
        <v>65</v>
      </c>
      <c r="O319" s="324">
        <f t="shared" ref="O319:R319" si="302">ROUND(O317*O313,0)</f>
        <v>66</v>
      </c>
      <c r="P319" s="324">
        <f t="shared" si="302"/>
        <v>69</v>
      </c>
      <c r="Q319" s="324">
        <f t="shared" si="302"/>
        <v>73</v>
      </c>
      <c r="R319" s="325">
        <f t="shared" si="302"/>
        <v>76</v>
      </c>
      <c r="S319" s="272">
        <f t="shared" si="300"/>
        <v>349</v>
      </c>
      <c r="V319" s="72"/>
      <c r="AS319" s="67" t="s">
        <v>238</v>
      </c>
    </row>
    <row r="320" spans="1:45" ht="16" thickBot="1">
      <c r="A320" s="260"/>
      <c r="B320" s="260"/>
      <c r="C320" s="259"/>
      <c r="D320" s="259"/>
      <c r="E320" s="259"/>
      <c r="F320" s="259"/>
      <c r="G320" s="259"/>
      <c r="H320" s="124"/>
      <c r="I320" s="298" t="s">
        <v>97</v>
      </c>
      <c r="J320" s="299"/>
      <c r="K320" s="300"/>
      <c r="L320" s="299"/>
      <c r="M320" s="301"/>
      <c r="N320" s="326">
        <f>SUM(N316:N317)</f>
        <v>282</v>
      </c>
      <c r="O320" s="326">
        <f t="shared" ref="O320" si="303">SUM(O316:O317)</f>
        <v>282</v>
      </c>
      <c r="P320" s="326">
        <f t="shared" ref="P320" si="304">SUM(P316:P317)</f>
        <v>285</v>
      </c>
      <c r="Q320" s="326">
        <f t="shared" ref="Q320" si="305">SUM(Q316:Q317)</f>
        <v>291</v>
      </c>
      <c r="R320" s="327">
        <f t="shared" ref="R320" si="306">SUM(R316:R317)</f>
        <v>296</v>
      </c>
      <c r="S320" s="272">
        <f t="shared" si="300"/>
        <v>1436</v>
      </c>
      <c r="T320" s="260"/>
      <c r="U320" s="260"/>
      <c r="V320" s="72"/>
      <c r="AS320" s="67" t="s">
        <v>238</v>
      </c>
    </row>
    <row r="321" spans="1:45">
      <c r="F321" s="191"/>
      <c r="J321" s="328"/>
      <c r="K321" s="329"/>
      <c r="L321" s="328"/>
      <c r="M321" s="262"/>
      <c r="N321" s="261"/>
      <c r="O321" s="261"/>
      <c r="P321" s="261"/>
      <c r="Q321" s="261"/>
      <c r="R321" s="261"/>
      <c r="V321" s="72"/>
      <c r="AS321" s="67" t="s">
        <v>238</v>
      </c>
    </row>
    <row r="322" spans="1:45" ht="22" thickBot="1">
      <c r="F322" s="190"/>
      <c r="H322" s="284" t="s">
        <v>256</v>
      </c>
      <c r="J322" s="262"/>
      <c r="K322" s="263"/>
      <c r="L322" s="262"/>
      <c r="M322" s="262"/>
      <c r="N322" s="261"/>
      <c r="O322" s="261"/>
      <c r="P322" s="261"/>
      <c r="Q322" s="261"/>
      <c r="R322" s="261"/>
      <c r="V322" s="72"/>
      <c r="AS322" s="67" t="s">
        <v>238</v>
      </c>
    </row>
    <row r="323" spans="1:45">
      <c r="F323" s="191"/>
      <c r="I323" s="285" t="s">
        <v>266</v>
      </c>
      <c r="J323" s="305"/>
      <c r="K323" s="321"/>
      <c r="L323" s="305"/>
      <c r="M323" s="305"/>
      <c r="N323" s="330">
        <v>1</v>
      </c>
      <c r="O323" s="330">
        <v>1</v>
      </c>
      <c r="P323" s="330">
        <v>1</v>
      </c>
      <c r="Q323" s="330">
        <v>1</v>
      </c>
      <c r="R323" s="331">
        <v>1</v>
      </c>
      <c r="V323" s="72"/>
      <c r="AS323" s="67" t="s">
        <v>238</v>
      </c>
    </row>
    <row r="324" spans="1:45" ht="16" thickBot="1">
      <c r="F324" s="191"/>
      <c r="H324" s="70"/>
      <c r="I324" s="293"/>
      <c r="J324" s="313"/>
      <c r="K324" s="332"/>
      <c r="L324" s="313"/>
      <c r="M324" s="313"/>
      <c r="N324" s="315">
        <f>N323*N320</f>
        <v>282</v>
      </c>
      <c r="O324" s="315">
        <f>O323*O320</f>
        <v>282</v>
      </c>
      <c r="P324" s="315">
        <f>P323*P320</f>
        <v>285</v>
      </c>
      <c r="Q324" s="315">
        <f>Q323*Q320</f>
        <v>291</v>
      </c>
      <c r="R324" s="333">
        <f>R323*R320</f>
        <v>296</v>
      </c>
      <c r="S324" s="272">
        <f t="shared" ref="S324" si="307">SUM(N324:R324)</f>
        <v>1436</v>
      </c>
      <c r="V324" s="72"/>
      <c r="AS324" s="67" t="s">
        <v>238</v>
      </c>
    </row>
    <row r="325" spans="1:45">
      <c r="F325" s="191"/>
      <c r="H325" s="70"/>
      <c r="I325" s="297"/>
      <c r="J325" s="297"/>
      <c r="K325" s="334"/>
      <c r="L325" s="297"/>
      <c r="M325" s="297"/>
      <c r="N325" s="261"/>
      <c r="O325" s="261"/>
      <c r="P325" s="261"/>
      <c r="Q325" s="261"/>
      <c r="R325" s="261"/>
      <c r="V325" s="72"/>
      <c r="AS325" s="67" t="s">
        <v>238</v>
      </c>
    </row>
    <row r="326" spans="1:45" ht="22" thickBot="1">
      <c r="F326" s="190"/>
      <c r="H326" s="284" t="s">
        <v>257</v>
      </c>
      <c r="I326" s="262"/>
      <c r="J326" s="262"/>
      <c r="K326" s="263"/>
      <c r="L326" s="262"/>
      <c r="M326" s="262"/>
      <c r="N326" s="261"/>
      <c r="O326" s="261"/>
      <c r="P326" s="261"/>
      <c r="Q326" s="261"/>
      <c r="R326" s="261"/>
      <c r="V326" s="72"/>
      <c r="AS326" s="67" t="s">
        <v>238</v>
      </c>
    </row>
    <row r="327" spans="1:45">
      <c r="F327" s="191"/>
      <c r="H327" s="70"/>
      <c r="I327" s="285" t="s">
        <v>273</v>
      </c>
      <c r="J327" s="305"/>
      <c r="K327" s="321"/>
      <c r="L327" s="305"/>
      <c r="M327" s="305"/>
      <c r="N327" s="330">
        <v>1</v>
      </c>
      <c r="O327" s="330">
        <v>1</v>
      </c>
      <c r="P327" s="330">
        <v>1</v>
      </c>
      <c r="Q327" s="330">
        <v>1</v>
      </c>
      <c r="R327" s="331">
        <v>1</v>
      </c>
      <c r="V327" s="72"/>
      <c r="AS327" s="67" t="s">
        <v>238</v>
      </c>
    </row>
    <row r="328" spans="1:45">
      <c r="A328" s="68" t="str">
        <f>B328&amp;"_"&amp;C328&amp;"_"&amp;D328&amp;"_"&amp;E328</f>
        <v>LB_All_RR/MDR_to_treat</v>
      </c>
      <c r="B328" s="68" t="s">
        <v>236</v>
      </c>
      <c r="C328" s="68" t="s">
        <v>233</v>
      </c>
      <c r="D328" s="68" t="s">
        <v>125</v>
      </c>
      <c r="E328" s="68" t="s">
        <v>271</v>
      </c>
      <c r="F328" s="191"/>
      <c r="H328" s="70"/>
      <c r="I328" s="289"/>
      <c r="J328" s="297"/>
      <c r="K328" s="334"/>
      <c r="L328" s="297"/>
      <c r="M328" s="297"/>
      <c r="N328" s="335">
        <f>ROUND((N320-N319-N318)*N327,0)</f>
        <v>194</v>
      </c>
      <c r="O328" s="335">
        <f t="shared" ref="O328" si="308">ROUND((O320-O319-O318)*O327,0)</f>
        <v>194</v>
      </c>
      <c r="P328" s="335">
        <f t="shared" ref="P328" si="309">ROUND((P320-P319-P318)*P327,0)</f>
        <v>195</v>
      </c>
      <c r="Q328" s="335">
        <f t="shared" ref="Q328" si="310">ROUND((Q320-Q319-Q318)*Q327,0)</f>
        <v>197</v>
      </c>
      <c r="R328" s="336">
        <f t="shared" ref="R328" si="311">ROUND((R320-R319-R318)*R327,0)</f>
        <v>200</v>
      </c>
      <c r="V328" s="72"/>
      <c r="AS328" s="67" t="s">
        <v>238</v>
      </c>
    </row>
    <row r="329" spans="1:45">
      <c r="F329" s="191"/>
      <c r="H329" s="70"/>
      <c r="I329" s="289" t="s">
        <v>273</v>
      </c>
      <c r="J329" s="297" t="s">
        <v>274</v>
      </c>
      <c r="K329" s="334"/>
      <c r="L329" s="297"/>
      <c r="M329" s="297"/>
      <c r="N329" s="337">
        <v>1</v>
      </c>
      <c r="O329" s="337">
        <v>1</v>
      </c>
      <c r="P329" s="337">
        <v>1</v>
      </c>
      <c r="Q329" s="337">
        <v>1</v>
      </c>
      <c r="R329" s="338">
        <v>1</v>
      </c>
      <c r="V329" s="72"/>
      <c r="AS329" s="67" t="s">
        <v>238</v>
      </c>
    </row>
    <row r="330" spans="1:45" ht="16" thickBot="1">
      <c r="F330" s="191"/>
      <c r="I330" s="293"/>
      <c r="J330" s="313"/>
      <c r="K330" s="332"/>
      <c r="L330" s="313"/>
      <c r="M330" s="313"/>
      <c r="N330" s="315">
        <f>ROUND((N320-N328)*N329,0)</f>
        <v>88</v>
      </c>
      <c r="O330" s="315">
        <f t="shared" ref="O330" si="312">ROUND((O320-O328)*O329,0)</f>
        <v>88</v>
      </c>
      <c r="P330" s="315">
        <f t="shared" ref="P330" si="313">ROUND((P320-P328)*P329,0)</f>
        <v>90</v>
      </c>
      <c r="Q330" s="315">
        <f t="shared" ref="Q330" si="314">ROUND((Q320-Q328)*Q329,0)</f>
        <v>94</v>
      </c>
      <c r="R330" s="333">
        <f t="shared" ref="R330" si="315">ROUND((R320-R328)*R329,0)</f>
        <v>96</v>
      </c>
      <c r="S330" s="272">
        <f t="shared" ref="S330" si="316">SUM(N330:R330)</f>
        <v>456</v>
      </c>
      <c r="V330" s="72"/>
      <c r="AS330" s="67" t="s">
        <v>238</v>
      </c>
    </row>
    <row r="331" spans="1:45">
      <c r="D331" s="284"/>
      <c r="H331" s="70"/>
      <c r="I331" s="262"/>
      <c r="J331" s="262"/>
      <c r="K331" s="263"/>
      <c r="L331" s="262"/>
      <c r="M331" s="262"/>
      <c r="N331" s="261"/>
      <c r="O331" s="261"/>
      <c r="P331" s="261"/>
      <c r="Q331" s="261"/>
      <c r="R331" s="261"/>
      <c r="V331" s="72"/>
      <c r="AS331" s="67" t="s">
        <v>238</v>
      </c>
    </row>
    <row r="332" spans="1:45" ht="22" thickBot="1">
      <c r="F332" s="190" t="s">
        <v>281</v>
      </c>
      <c r="H332" s="284" t="s">
        <v>218</v>
      </c>
      <c r="I332" s="262"/>
      <c r="J332" s="262"/>
      <c r="K332" s="263"/>
      <c r="L332" s="262"/>
      <c r="M332" s="262"/>
      <c r="N332" s="261"/>
      <c r="O332" s="261"/>
      <c r="P332" s="261"/>
      <c r="Q332" s="261"/>
      <c r="R332" s="261"/>
      <c r="V332" s="72"/>
      <c r="AS332" s="67" t="s">
        <v>238</v>
      </c>
    </row>
    <row r="333" spans="1:45">
      <c r="A333" s="68" t="str">
        <f>B333&amp;"_"&amp;C333&amp;"_"&amp;D333&amp;"_"&amp;E333</f>
        <v>LB_New_poly_%</v>
      </c>
      <c r="B333" s="68" t="s">
        <v>236</v>
      </c>
      <c r="C333" s="68" t="s">
        <v>102</v>
      </c>
      <c r="D333" s="68" t="s">
        <v>249</v>
      </c>
      <c r="E333" s="68" t="s">
        <v>216</v>
      </c>
      <c r="H333" s="70"/>
      <c r="I333" s="285" t="s">
        <v>102</v>
      </c>
      <c r="J333" s="305"/>
      <c r="K333" s="306"/>
      <c r="L333" s="307" t="s">
        <v>268</v>
      </c>
      <c r="M333" s="270"/>
      <c r="N333" s="330">
        <v>7.0000000000000007E-2</v>
      </c>
      <c r="O333" s="330">
        <v>7.0000000000000007E-2</v>
      </c>
      <c r="P333" s="330">
        <v>7.0000000000000007E-2</v>
      </c>
      <c r="Q333" s="330">
        <v>7.0000000000000007E-2</v>
      </c>
      <c r="R333" s="331">
        <v>7.0000000000000007E-2</v>
      </c>
      <c r="V333" s="72"/>
      <c r="AS333" s="67" t="s">
        <v>238</v>
      </c>
    </row>
    <row r="334" spans="1:45" ht="16" thickBot="1">
      <c r="A334" s="68" t="str">
        <f>B334&amp;"_"&amp;C334&amp;"_"&amp;D334&amp;"_"&amp;E334</f>
        <v>LB_R_poly_%</v>
      </c>
      <c r="B334" s="68" t="s">
        <v>236</v>
      </c>
      <c r="C334" s="68" t="s">
        <v>229</v>
      </c>
      <c r="D334" s="68" t="s">
        <v>249</v>
      </c>
      <c r="E334" s="68" t="s">
        <v>216</v>
      </c>
      <c r="H334" s="70"/>
      <c r="I334" s="293" t="s">
        <v>214</v>
      </c>
      <c r="J334" s="313"/>
      <c r="K334" s="314"/>
      <c r="L334" s="315" t="s">
        <v>268</v>
      </c>
      <c r="M334" s="339"/>
      <c r="N334" s="340">
        <v>7.0000000000000007E-2</v>
      </c>
      <c r="O334" s="340">
        <v>7.0000000000000007E-2</v>
      </c>
      <c r="P334" s="340">
        <v>7.0000000000000007E-2</v>
      </c>
      <c r="Q334" s="340">
        <v>7.0000000000000007E-2</v>
      </c>
      <c r="R334" s="341">
        <v>7.0000000000000007E-2</v>
      </c>
      <c r="V334" s="72"/>
      <c r="AS334" s="67" t="s">
        <v>238</v>
      </c>
    </row>
    <row r="335" spans="1:45">
      <c r="H335" s="70"/>
      <c r="I335" s="262"/>
      <c r="J335" s="262"/>
      <c r="K335" s="263"/>
      <c r="L335" s="262"/>
      <c r="M335" s="262"/>
      <c r="N335" s="261"/>
      <c r="O335" s="261"/>
      <c r="P335" s="261"/>
      <c r="Q335" s="261"/>
      <c r="R335" s="261"/>
      <c r="V335" s="72"/>
      <c r="AS335" s="67" t="s">
        <v>238</v>
      </c>
    </row>
    <row r="336" spans="1:45" ht="16" thickBot="1">
      <c r="H336" s="284" t="s">
        <v>258</v>
      </c>
      <c r="I336" s="342"/>
      <c r="J336" s="343"/>
      <c r="K336" s="344"/>
      <c r="L336" s="343"/>
      <c r="M336" s="262"/>
      <c r="N336" s="261"/>
      <c r="O336" s="261"/>
      <c r="P336" s="261"/>
      <c r="Q336" s="261"/>
      <c r="R336" s="261"/>
      <c r="V336" s="72"/>
      <c r="AS336" s="67" t="s">
        <v>238</v>
      </c>
    </row>
    <row r="337" spans="1:45">
      <c r="H337" s="70"/>
      <c r="I337" s="285" t="s">
        <v>102</v>
      </c>
      <c r="J337" s="286"/>
      <c r="K337" s="287"/>
      <c r="L337" s="286"/>
      <c r="M337" s="286"/>
      <c r="N337" s="286">
        <f t="shared" ref="N337:R338" si="317">ROUND(N333*N305,0)</f>
        <v>18</v>
      </c>
      <c r="O337" s="286">
        <f t="shared" si="317"/>
        <v>17</v>
      </c>
      <c r="P337" s="286">
        <f t="shared" si="317"/>
        <v>16</v>
      </c>
      <c r="Q337" s="286">
        <f t="shared" si="317"/>
        <v>16</v>
      </c>
      <c r="R337" s="288">
        <f t="shared" si="317"/>
        <v>15</v>
      </c>
      <c r="S337" s="272">
        <f t="shared" ref="S337:S339" si="318">SUM(N337:R337)</f>
        <v>82</v>
      </c>
      <c r="V337" s="72"/>
      <c r="AS337" s="67" t="s">
        <v>238</v>
      </c>
    </row>
    <row r="338" spans="1:45">
      <c r="H338" s="70"/>
      <c r="I338" s="289" t="s">
        <v>214</v>
      </c>
      <c r="J338" s="290"/>
      <c r="K338" s="291"/>
      <c r="L338" s="290"/>
      <c r="M338" s="297"/>
      <c r="N338" s="290">
        <f t="shared" si="317"/>
        <v>16</v>
      </c>
      <c r="O338" s="290">
        <f t="shared" si="317"/>
        <v>17</v>
      </c>
      <c r="P338" s="290">
        <f t="shared" si="317"/>
        <v>17</v>
      </c>
      <c r="Q338" s="290">
        <f t="shared" si="317"/>
        <v>18</v>
      </c>
      <c r="R338" s="292">
        <f t="shared" si="317"/>
        <v>19</v>
      </c>
      <c r="S338" s="272">
        <f t="shared" si="318"/>
        <v>87</v>
      </c>
      <c r="V338" s="72"/>
      <c r="AS338" s="67" t="s">
        <v>238</v>
      </c>
    </row>
    <row r="339" spans="1:45" ht="16" thickBot="1">
      <c r="H339" s="70"/>
      <c r="I339" s="298" t="s">
        <v>97</v>
      </c>
      <c r="J339" s="299"/>
      <c r="K339" s="300"/>
      <c r="L339" s="299"/>
      <c r="M339" s="301"/>
      <c r="N339" s="302">
        <f>SUM(N337:N338)</f>
        <v>34</v>
      </c>
      <c r="O339" s="302">
        <f t="shared" ref="O339" si="319">SUM(O337:O338)</f>
        <v>34</v>
      </c>
      <c r="P339" s="302">
        <f t="shared" ref="P339" si="320">SUM(P337:P338)</f>
        <v>33</v>
      </c>
      <c r="Q339" s="302">
        <f t="shared" ref="Q339" si="321">SUM(Q337:Q338)</f>
        <v>34</v>
      </c>
      <c r="R339" s="303">
        <f t="shared" ref="R339" si="322">SUM(R337:R338)</f>
        <v>34</v>
      </c>
      <c r="S339" s="272">
        <f t="shared" si="318"/>
        <v>169</v>
      </c>
      <c r="V339" s="72"/>
      <c r="AS339" s="67" t="s">
        <v>238</v>
      </c>
    </row>
    <row r="340" spans="1:45" ht="16" thickBot="1">
      <c r="H340" s="284" t="s">
        <v>259</v>
      </c>
      <c r="J340" s="345"/>
      <c r="K340" s="346"/>
      <c r="L340" s="345"/>
      <c r="M340" s="262"/>
      <c r="N340" s="261"/>
      <c r="O340" s="261"/>
      <c r="P340" s="261"/>
      <c r="Q340" s="261"/>
      <c r="R340" s="261"/>
      <c r="V340" s="72"/>
      <c r="AS340" s="67" t="s">
        <v>238</v>
      </c>
    </row>
    <row r="341" spans="1:45">
      <c r="H341" s="70"/>
      <c r="I341" s="285" t="s">
        <v>266</v>
      </c>
      <c r="J341" s="305"/>
      <c r="K341" s="321"/>
      <c r="L341" s="305"/>
      <c r="M341" s="305"/>
      <c r="N341" s="330">
        <v>1</v>
      </c>
      <c r="O341" s="330">
        <v>1</v>
      </c>
      <c r="P341" s="330">
        <v>1</v>
      </c>
      <c r="Q341" s="330">
        <v>1</v>
      </c>
      <c r="R341" s="331">
        <v>1</v>
      </c>
      <c r="V341" s="72"/>
      <c r="AS341" s="67" t="s">
        <v>238</v>
      </c>
    </row>
    <row r="342" spans="1:45" ht="16" thickBot="1">
      <c r="I342" s="293"/>
      <c r="J342" s="313"/>
      <c r="K342" s="332"/>
      <c r="L342" s="313"/>
      <c r="M342" s="313"/>
      <c r="N342" s="315">
        <f>ROUND(N341*N339,0)</f>
        <v>34</v>
      </c>
      <c r="O342" s="315">
        <f t="shared" ref="O342" si="323">ROUND(O341*O339,0)</f>
        <v>34</v>
      </c>
      <c r="P342" s="315">
        <f t="shared" ref="P342" si="324">ROUND(P341*P339,0)</f>
        <v>33</v>
      </c>
      <c r="Q342" s="315">
        <f t="shared" ref="Q342" si="325">ROUND(Q341*Q339,0)</f>
        <v>34</v>
      </c>
      <c r="R342" s="315">
        <f t="shared" ref="R342" si="326">ROUND(R341*R339,0)</f>
        <v>34</v>
      </c>
      <c r="S342" s="272">
        <f t="shared" ref="S342" si="327">SUM(N342:R342)</f>
        <v>169</v>
      </c>
      <c r="V342" s="72"/>
      <c r="AS342" s="67" t="s">
        <v>238</v>
      </c>
    </row>
    <row r="343" spans="1:45">
      <c r="H343" s="70"/>
      <c r="I343" s="262"/>
      <c r="J343" s="262"/>
      <c r="K343" s="347"/>
      <c r="L343" s="320"/>
      <c r="M343" s="262"/>
      <c r="N343" s="261"/>
      <c r="O343" s="261"/>
      <c r="P343" s="261"/>
      <c r="Q343" s="261"/>
      <c r="R343" s="261"/>
      <c r="V343" s="72"/>
      <c r="AS343" s="67" t="s">
        <v>238</v>
      </c>
    </row>
    <row r="344" spans="1:45" ht="16" thickBot="1">
      <c r="H344" s="348" t="s">
        <v>219</v>
      </c>
      <c r="J344" s="349"/>
      <c r="K344" s="266"/>
      <c r="L344" s="319"/>
      <c r="M344" s="262"/>
      <c r="N344" s="261"/>
      <c r="O344" s="261"/>
      <c r="P344" s="261"/>
      <c r="Q344" s="261"/>
      <c r="R344" s="261"/>
      <c r="V344" s="72"/>
      <c r="AS344" s="67" t="s">
        <v>238</v>
      </c>
    </row>
    <row r="345" spans="1:45">
      <c r="H345" s="284"/>
      <c r="I345" s="285" t="s">
        <v>269</v>
      </c>
      <c r="J345" s="305"/>
      <c r="K345" s="321"/>
      <c r="L345" s="305"/>
      <c r="M345" s="305"/>
      <c r="N345" s="330">
        <v>1</v>
      </c>
      <c r="O345" s="330">
        <v>1</v>
      </c>
      <c r="P345" s="330">
        <v>1</v>
      </c>
      <c r="Q345" s="330">
        <v>1</v>
      </c>
      <c r="R345" s="331">
        <v>1</v>
      </c>
      <c r="V345" s="72"/>
      <c r="AS345" s="67" t="s">
        <v>238</v>
      </c>
    </row>
    <row r="346" spans="1:45" ht="16" thickBot="1">
      <c r="H346" s="70"/>
      <c r="I346" s="293"/>
      <c r="J346" s="313"/>
      <c r="K346" s="332"/>
      <c r="L346" s="313"/>
      <c r="M346" s="313"/>
      <c r="N346" s="315">
        <f>ROUND(N339*N345,0)</f>
        <v>34</v>
      </c>
      <c r="O346" s="315">
        <f t="shared" ref="O346" si="328">ROUND(O339*O345,0)</f>
        <v>34</v>
      </c>
      <c r="P346" s="315">
        <f t="shared" ref="P346" si="329">ROUND(P339*P345,0)</f>
        <v>33</v>
      </c>
      <c r="Q346" s="315">
        <f t="shared" ref="Q346" si="330">ROUND(Q339*Q345,0)</f>
        <v>34</v>
      </c>
      <c r="R346" s="333">
        <f t="shared" ref="R346" si="331">ROUND(R339*R345,0)</f>
        <v>34</v>
      </c>
      <c r="S346" s="272">
        <f t="shared" ref="S346" si="332">SUM(N346:R346)</f>
        <v>169</v>
      </c>
      <c r="V346" s="72"/>
      <c r="AS346" s="67" t="s">
        <v>238</v>
      </c>
    </row>
    <row r="347" spans="1:45">
      <c r="H347" s="70"/>
      <c r="J347" s="262"/>
      <c r="K347" s="263"/>
      <c r="L347" s="262"/>
      <c r="M347" s="262"/>
      <c r="N347" s="261"/>
      <c r="O347" s="261"/>
      <c r="P347" s="261"/>
      <c r="Q347" s="261"/>
      <c r="R347" s="261"/>
      <c r="V347" s="72"/>
      <c r="AS347" s="67" t="s">
        <v>238</v>
      </c>
    </row>
    <row r="348" spans="1:45" ht="22" thickBot="1">
      <c r="F348" s="190" t="s">
        <v>282</v>
      </c>
      <c r="H348" s="348" t="s">
        <v>220</v>
      </c>
      <c r="I348" s="262"/>
      <c r="J348" s="262"/>
      <c r="K348" s="263"/>
      <c r="L348" s="262"/>
      <c r="M348" s="262"/>
      <c r="N348" s="261"/>
      <c r="O348" s="261"/>
      <c r="P348" s="261"/>
      <c r="Q348" s="261"/>
      <c r="R348" s="261"/>
      <c r="V348" s="72"/>
      <c r="AS348" s="67" t="s">
        <v>238</v>
      </c>
    </row>
    <row r="349" spans="1:45">
      <c r="A349" s="68" t="str">
        <f>B349&amp;"_"&amp;C349&amp;"_"&amp;D349&amp;"_"&amp;E349</f>
        <v>LB_All_sensit_to_treat</v>
      </c>
      <c r="B349" s="68" t="s">
        <v>236</v>
      </c>
      <c r="C349" s="68" t="s">
        <v>233</v>
      </c>
      <c r="D349" s="68" t="s">
        <v>276</v>
      </c>
      <c r="E349" s="68" t="s">
        <v>271</v>
      </c>
      <c r="H349" s="70"/>
      <c r="I349" s="285" t="s">
        <v>270</v>
      </c>
      <c r="J349" s="286"/>
      <c r="K349" s="287"/>
      <c r="L349" s="286"/>
      <c r="M349" s="305"/>
      <c r="N349" s="350">
        <f>N353-N350-N351-N352</f>
        <v>292</v>
      </c>
      <c r="O349" s="350">
        <f t="shared" ref="O349" si="333">O353-O350-O351-O352</f>
        <v>283</v>
      </c>
      <c r="P349" s="350">
        <f t="shared" ref="P349" si="334">P353-P350-P351-P352</f>
        <v>278</v>
      </c>
      <c r="Q349" s="350">
        <f t="shared" ref="Q349" si="335">Q353-Q350-Q351-Q352</f>
        <v>274</v>
      </c>
      <c r="R349" s="351">
        <f t="shared" ref="R349" si="336">R353-R350-R351-R352</f>
        <v>269</v>
      </c>
      <c r="S349" s="272">
        <f t="shared" ref="S349:S353" si="337">SUM(N349:R349)</f>
        <v>1396</v>
      </c>
      <c r="V349" s="72"/>
      <c r="AS349" s="67" t="s">
        <v>238</v>
      </c>
    </row>
    <row r="350" spans="1:45">
      <c r="A350" s="68" t="str">
        <f>B350&amp;"_"&amp;C350&amp;"_"&amp;D350&amp;"_"&amp;E350</f>
        <v>LB_All_poly_to_treat</v>
      </c>
      <c r="B350" s="68" t="s">
        <v>236</v>
      </c>
      <c r="C350" s="68" t="s">
        <v>233</v>
      </c>
      <c r="D350" s="68" t="s">
        <v>249</v>
      </c>
      <c r="E350" s="68" t="s">
        <v>271</v>
      </c>
      <c r="H350" s="70"/>
      <c r="I350" s="289" t="s">
        <v>221</v>
      </c>
      <c r="J350" s="290"/>
      <c r="K350" s="291"/>
      <c r="L350" s="290"/>
      <c r="M350" s="297"/>
      <c r="N350" s="261">
        <f>N346</f>
        <v>34</v>
      </c>
      <c r="O350" s="261">
        <f t="shared" ref="O350:R350" si="338">O346</f>
        <v>34</v>
      </c>
      <c r="P350" s="261">
        <f t="shared" si="338"/>
        <v>33</v>
      </c>
      <c r="Q350" s="261">
        <f t="shared" si="338"/>
        <v>34</v>
      </c>
      <c r="R350" s="323">
        <f t="shared" si="338"/>
        <v>34</v>
      </c>
      <c r="S350" s="272">
        <f t="shared" si="337"/>
        <v>169</v>
      </c>
      <c r="V350" s="72"/>
      <c r="AS350" s="67" t="s">
        <v>238</v>
      </c>
    </row>
    <row r="351" spans="1:45">
      <c r="A351" s="68" t="str">
        <f t="shared" ref="A351:A353" si="339">B351&amp;"_"&amp;C351&amp;"_"&amp;D351&amp;"_"&amp;E351</f>
        <v>LB_All_RR/MDR_to_treat</v>
      </c>
      <c r="B351" s="68" t="s">
        <v>236</v>
      </c>
      <c r="C351" s="68" t="s">
        <v>233</v>
      </c>
      <c r="D351" s="68" t="s">
        <v>125</v>
      </c>
      <c r="E351" s="68" t="s">
        <v>271</v>
      </c>
      <c r="H351" s="70"/>
      <c r="I351" s="289" t="s">
        <v>222</v>
      </c>
      <c r="J351" s="290"/>
      <c r="K351" s="291"/>
      <c r="L351" s="290"/>
      <c r="M351" s="297"/>
      <c r="N351" s="352">
        <f>N328</f>
        <v>194</v>
      </c>
      <c r="O351" s="352">
        <f t="shared" ref="O351:R351" si="340">O328</f>
        <v>194</v>
      </c>
      <c r="P351" s="352">
        <f t="shared" si="340"/>
        <v>195</v>
      </c>
      <c r="Q351" s="352">
        <f t="shared" si="340"/>
        <v>197</v>
      </c>
      <c r="R351" s="353">
        <f t="shared" si="340"/>
        <v>200</v>
      </c>
      <c r="S351" s="272">
        <f t="shared" si="337"/>
        <v>980</v>
      </c>
      <c r="V351" s="72"/>
      <c r="AS351" s="67" t="s">
        <v>238</v>
      </c>
    </row>
    <row r="352" spans="1:45">
      <c r="A352" s="68" t="str">
        <f t="shared" si="339"/>
        <v>LB_All_RR/MDR_rez_FQ_to_treat</v>
      </c>
      <c r="B352" s="68" t="s">
        <v>236</v>
      </c>
      <c r="C352" s="68" t="s">
        <v>233</v>
      </c>
      <c r="D352" s="68" t="s">
        <v>275</v>
      </c>
      <c r="E352" s="68" t="s">
        <v>271</v>
      </c>
      <c r="H352" s="70"/>
      <c r="I352" s="289" t="s">
        <v>223</v>
      </c>
      <c r="J352" s="290"/>
      <c r="K352" s="291"/>
      <c r="L352" s="290"/>
      <c r="M352" s="297"/>
      <c r="N352" s="261">
        <f>N330</f>
        <v>88</v>
      </c>
      <c r="O352" s="261">
        <f t="shared" ref="O352:R352" si="341">O330</f>
        <v>88</v>
      </c>
      <c r="P352" s="261">
        <f t="shared" si="341"/>
        <v>90</v>
      </c>
      <c r="Q352" s="261">
        <f t="shared" si="341"/>
        <v>94</v>
      </c>
      <c r="R352" s="323">
        <f t="shared" si="341"/>
        <v>96</v>
      </c>
      <c r="S352" s="272">
        <f t="shared" si="337"/>
        <v>456</v>
      </c>
      <c r="V352" s="72"/>
      <c r="AS352" s="67" t="s">
        <v>238</v>
      </c>
    </row>
    <row r="353" spans="1:45" ht="16" thickBot="1">
      <c r="A353" s="68" t="str">
        <f t="shared" si="339"/>
        <v>LB_All_total_</v>
      </c>
      <c r="B353" s="68" t="s">
        <v>236</v>
      </c>
      <c r="C353" s="68" t="s">
        <v>233</v>
      </c>
      <c r="D353" s="68" t="s">
        <v>232</v>
      </c>
      <c r="H353" s="70"/>
      <c r="I353" s="298" t="s">
        <v>97</v>
      </c>
      <c r="J353" s="301"/>
      <c r="K353" s="354"/>
      <c r="L353" s="301"/>
      <c r="M353" s="301"/>
      <c r="N353" s="326">
        <f>N298</f>
        <v>608</v>
      </c>
      <c r="O353" s="326">
        <f t="shared" ref="O353:R353" si="342">O298</f>
        <v>599</v>
      </c>
      <c r="P353" s="326">
        <f t="shared" si="342"/>
        <v>596</v>
      </c>
      <c r="Q353" s="326">
        <f t="shared" si="342"/>
        <v>599</v>
      </c>
      <c r="R353" s="327">
        <f t="shared" si="342"/>
        <v>599</v>
      </c>
      <c r="S353" s="272">
        <f t="shared" si="337"/>
        <v>3001</v>
      </c>
      <c r="V353" s="72"/>
      <c r="AS353" s="67" t="s">
        <v>238</v>
      </c>
    </row>
    <row r="354" spans="1:45" ht="6" customHeight="1" thickBot="1">
      <c r="A354" s="355"/>
      <c r="B354" s="355"/>
      <c r="C354" s="355"/>
      <c r="D354" s="355"/>
      <c r="E354" s="355"/>
      <c r="F354" s="355"/>
      <c r="G354" s="355"/>
      <c r="H354" s="355"/>
      <c r="I354" s="355"/>
      <c r="J354" s="355"/>
      <c r="K354" s="355"/>
      <c r="L354" s="355"/>
      <c r="M354" s="355"/>
      <c r="N354" s="355"/>
      <c r="O354" s="355"/>
      <c r="P354" s="355"/>
      <c r="Q354" s="355"/>
      <c r="R354" s="355"/>
      <c r="S354" s="355"/>
      <c r="T354" s="355"/>
      <c r="U354" s="355"/>
      <c r="V354" s="72"/>
      <c r="AS354" s="67" t="s">
        <v>238</v>
      </c>
    </row>
    <row r="355" spans="1:45" ht="22" thickBot="1">
      <c r="F355" s="257" t="s">
        <v>380</v>
      </c>
      <c r="G355" s="258" t="s">
        <v>379</v>
      </c>
      <c r="H355" s="259"/>
      <c r="I355" s="260"/>
      <c r="J355" s="260"/>
      <c r="L355" s="1431">
        <v>2019</v>
      </c>
      <c r="M355" s="1432">
        <v>2020</v>
      </c>
      <c r="N355" s="1433">
        <v>2021</v>
      </c>
      <c r="O355" s="1433">
        <v>2022</v>
      </c>
      <c r="P355" s="1433">
        <v>2023</v>
      </c>
      <c r="Q355" s="1433">
        <v>2024</v>
      </c>
      <c r="R355" s="1434">
        <v>2025</v>
      </c>
      <c r="V355" s="72"/>
      <c r="AS355" s="67" t="s">
        <v>238</v>
      </c>
    </row>
    <row r="356" spans="1:45">
      <c r="G356" s="252"/>
      <c r="I356" s="262"/>
      <c r="J356" s="262"/>
      <c r="K356" s="263"/>
      <c r="L356" s="262"/>
      <c r="M356" s="262"/>
      <c r="N356" s="261"/>
      <c r="O356" s="261"/>
      <c r="P356" s="261"/>
      <c r="Q356" s="261"/>
      <c r="R356" s="261"/>
      <c r="V356" s="72"/>
      <c r="AS356" s="67" t="s">
        <v>238</v>
      </c>
    </row>
    <row r="357" spans="1:45" ht="22" thickBot="1">
      <c r="A357" s="68" t="str">
        <f>B357&amp;"_"&amp;C357&amp;"_"&amp;D357&amp;"_"&amp;E360</f>
        <v>MDA_New_EP_</v>
      </c>
      <c r="B357" s="68" t="s">
        <v>237</v>
      </c>
      <c r="C357" s="68" t="s">
        <v>102</v>
      </c>
      <c r="D357" s="68" t="s">
        <v>226</v>
      </c>
      <c r="F357" s="190" t="s">
        <v>381</v>
      </c>
      <c r="G357" s="264"/>
      <c r="H357" s="265" t="s">
        <v>206</v>
      </c>
      <c r="I357" s="262"/>
      <c r="J357" s="262"/>
      <c r="K357" s="266"/>
      <c r="L357" s="267"/>
      <c r="N357" s="261"/>
      <c r="O357" s="261"/>
      <c r="P357" s="261"/>
      <c r="Q357" s="261"/>
      <c r="R357" s="261"/>
      <c r="V357" s="72"/>
      <c r="AS357" s="67" t="s">
        <v>238</v>
      </c>
    </row>
    <row r="358" spans="1:45">
      <c r="A358" s="68" t="str">
        <f>B358&amp;"_"&amp;C358&amp;"_"&amp;D358&amp;"_"&amp;E358</f>
        <v>MDA_New_P_SS+</v>
      </c>
      <c r="B358" s="68" t="s">
        <v>237</v>
      </c>
      <c r="C358" s="68" t="s">
        <v>102</v>
      </c>
      <c r="D358" s="68" t="s">
        <v>225</v>
      </c>
      <c r="E358" s="68" t="s">
        <v>227</v>
      </c>
      <c r="F358" s="191"/>
      <c r="H358" s="70"/>
      <c r="I358" s="268" t="s">
        <v>207</v>
      </c>
      <c r="J358" s="269"/>
      <c r="K358" s="270"/>
      <c r="L358" s="270">
        <f t="shared" ref="L358:R358" si="343">VLOOKUP($A358,estimation,L$220,0)</f>
        <v>1321</v>
      </c>
      <c r="M358" s="270">
        <f t="shared" si="343"/>
        <v>1292</v>
      </c>
      <c r="N358" s="270">
        <f t="shared" si="343"/>
        <v>1264</v>
      </c>
      <c r="O358" s="270">
        <f t="shared" si="343"/>
        <v>1236</v>
      </c>
      <c r="P358" s="270">
        <f t="shared" si="343"/>
        <v>1209</v>
      </c>
      <c r="Q358" s="270">
        <f t="shared" si="343"/>
        <v>1183</v>
      </c>
      <c r="R358" s="271">
        <f t="shared" si="343"/>
        <v>1158</v>
      </c>
      <c r="S358" s="272">
        <f>SUM(N358:R358)</f>
        <v>6050</v>
      </c>
      <c r="V358" s="72"/>
      <c r="AS358" s="67" t="s">
        <v>238</v>
      </c>
    </row>
    <row r="359" spans="1:45">
      <c r="A359" s="68" t="str">
        <f>B359&amp;"_"&amp;C359&amp;"_"&amp;D359&amp;"_"&amp;E359</f>
        <v>MDA_New_P_SS-</v>
      </c>
      <c r="B359" s="68" t="s">
        <v>237</v>
      </c>
      <c r="C359" s="68" t="s">
        <v>102</v>
      </c>
      <c r="D359" s="68" t="s">
        <v>225</v>
      </c>
      <c r="E359" s="68" t="s">
        <v>228</v>
      </c>
      <c r="F359" s="191"/>
      <c r="H359" s="70"/>
      <c r="I359" s="273" t="s">
        <v>208</v>
      </c>
      <c r="J359" s="274"/>
      <c r="K359" s="272"/>
      <c r="L359" s="272">
        <f>VLOOKUP($A359,estimation,L$220,0)+VLOOKUP($A357,estimation,L$220,0)</f>
        <v>962</v>
      </c>
      <c r="M359" s="272">
        <f t="shared" ref="M359:R359" si="344">VLOOKUP($A359,estimation,M$220,0)+VLOOKUP($A357,estimation,M$220,0)</f>
        <v>919</v>
      </c>
      <c r="N359" s="272">
        <f t="shared" si="344"/>
        <v>879</v>
      </c>
      <c r="O359" s="272">
        <f t="shared" si="344"/>
        <v>841</v>
      </c>
      <c r="P359" s="272">
        <f t="shared" si="344"/>
        <v>806</v>
      </c>
      <c r="Q359" s="272">
        <f t="shared" si="344"/>
        <v>772</v>
      </c>
      <c r="R359" s="275">
        <f t="shared" si="344"/>
        <v>740</v>
      </c>
      <c r="S359" s="272">
        <f t="shared" ref="S359:S363" si="345">SUM(N359:R359)</f>
        <v>4038</v>
      </c>
      <c r="V359" s="72"/>
      <c r="AS359" s="67" t="s">
        <v>238</v>
      </c>
    </row>
    <row r="360" spans="1:45">
      <c r="A360" s="68" t="str">
        <f>B360&amp;"_"&amp;C360&amp;"_"&amp;D360&amp;"_"&amp;E360</f>
        <v>MDA_New_All_</v>
      </c>
      <c r="B360" s="68" t="s">
        <v>237</v>
      </c>
      <c r="C360" s="68" t="s">
        <v>102</v>
      </c>
      <c r="D360" s="68" t="s">
        <v>233</v>
      </c>
      <c r="F360" s="191"/>
      <c r="H360" s="70"/>
      <c r="I360" s="276" t="s">
        <v>209</v>
      </c>
      <c r="J360" s="274"/>
      <c r="K360" s="272"/>
      <c r="L360" s="277">
        <f>SUM(L358:L359)</f>
        <v>2283</v>
      </c>
      <c r="M360" s="277">
        <f t="shared" ref="M360" si="346">SUM(M358:M359)</f>
        <v>2211</v>
      </c>
      <c r="N360" s="277">
        <f t="shared" ref="N360" si="347">SUM(N358:N359)</f>
        <v>2143</v>
      </c>
      <c r="O360" s="277">
        <f t="shared" ref="O360" si="348">SUM(O358:O359)</f>
        <v>2077</v>
      </c>
      <c r="P360" s="277">
        <f t="shared" ref="P360" si="349">SUM(P358:P359)</f>
        <v>2015</v>
      </c>
      <c r="Q360" s="277">
        <f t="shared" ref="Q360" si="350">SUM(Q358:Q359)</f>
        <v>1955</v>
      </c>
      <c r="R360" s="278">
        <f t="shared" ref="R360" si="351">SUM(R358:R359)</f>
        <v>1898</v>
      </c>
      <c r="S360" s="272">
        <f t="shared" si="345"/>
        <v>10088</v>
      </c>
      <c r="V360" s="72"/>
      <c r="AS360" s="67" t="s">
        <v>238</v>
      </c>
    </row>
    <row r="361" spans="1:45">
      <c r="A361" s="68" t="str">
        <f t="shared" ref="A361" si="352">B361&amp;"_"&amp;C361&amp;"_"&amp;D361&amp;"_"&amp;E361</f>
        <v>MDA_R_P_SS+</v>
      </c>
      <c r="B361" s="68" t="s">
        <v>237</v>
      </c>
      <c r="C361" s="68" t="s">
        <v>229</v>
      </c>
      <c r="D361" s="68" t="s">
        <v>225</v>
      </c>
      <c r="E361" s="68" t="s">
        <v>227</v>
      </c>
      <c r="F361" s="191"/>
      <c r="H361" s="70"/>
      <c r="I361" s="273" t="s">
        <v>210</v>
      </c>
      <c r="J361" s="274"/>
      <c r="K361" s="272"/>
      <c r="L361" s="272">
        <f t="shared" ref="L361:R361" si="353">VLOOKUP($A361,estimation,L$220,0)+VLOOKUP($A362,estimation,L$220,0)</f>
        <v>718</v>
      </c>
      <c r="M361" s="272">
        <f t="shared" si="353"/>
        <v>700</v>
      </c>
      <c r="N361" s="272">
        <f t="shared" si="353"/>
        <v>684</v>
      </c>
      <c r="O361" s="272">
        <f t="shared" si="353"/>
        <v>668</v>
      </c>
      <c r="P361" s="272">
        <f t="shared" si="353"/>
        <v>657</v>
      </c>
      <c r="Q361" s="272">
        <f t="shared" si="353"/>
        <v>652</v>
      </c>
      <c r="R361" s="275">
        <f t="shared" si="353"/>
        <v>646</v>
      </c>
      <c r="S361" s="272">
        <f t="shared" si="345"/>
        <v>3307</v>
      </c>
      <c r="V361" s="72"/>
      <c r="AS361" s="67" t="s">
        <v>238</v>
      </c>
    </row>
    <row r="362" spans="1:45">
      <c r="A362" s="68" t="str">
        <f>B362&amp;"_"&amp;C362&amp;"_"&amp;D362&amp;"_"&amp;E362</f>
        <v>MDA_Oth_P_SS+</v>
      </c>
      <c r="B362" s="68" t="s">
        <v>237</v>
      </c>
      <c r="C362" s="68" t="s">
        <v>230</v>
      </c>
      <c r="D362" s="68" t="s">
        <v>225</v>
      </c>
      <c r="E362" s="68" t="s">
        <v>227</v>
      </c>
      <c r="F362" s="191"/>
      <c r="H362" s="70"/>
      <c r="I362" s="273" t="s">
        <v>211</v>
      </c>
      <c r="J362" s="274"/>
      <c r="K362" s="272"/>
      <c r="L362" s="272">
        <f t="shared" ref="L362:R362" si="354">VLOOKUP($A363,estimation,L$220,0)+VLOOKUP($A364,estimation,L$220,0)+VLOOKUP($A365,estimation,L$220,0)</f>
        <v>322</v>
      </c>
      <c r="M362" s="272">
        <f t="shared" si="354"/>
        <v>314</v>
      </c>
      <c r="N362" s="272">
        <f t="shared" si="354"/>
        <v>308</v>
      </c>
      <c r="O362" s="272">
        <f t="shared" si="354"/>
        <v>301</v>
      </c>
      <c r="P362" s="272">
        <f t="shared" si="354"/>
        <v>297</v>
      </c>
      <c r="Q362" s="272">
        <f t="shared" si="354"/>
        <v>296</v>
      </c>
      <c r="R362" s="275">
        <f t="shared" si="354"/>
        <v>294</v>
      </c>
      <c r="S362" s="272">
        <f t="shared" si="345"/>
        <v>1496</v>
      </c>
      <c r="V362" s="72"/>
      <c r="AS362" s="67" t="s">
        <v>238</v>
      </c>
    </row>
    <row r="363" spans="1:45">
      <c r="A363" s="68" t="str">
        <f>B363&amp;"_"&amp;C363&amp;"_"&amp;D363&amp;"_"&amp;E363</f>
        <v>MDA_R_P_SS-</v>
      </c>
      <c r="B363" s="68" t="s">
        <v>237</v>
      </c>
      <c r="C363" s="68" t="s">
        <v>229</v>
      </c>
      <c r="D363" s="68" t="s">
        <v>225</v>
      </c>
      <c r="E363" s="68" t="s">
        <v>228</v>
      </c>
      <c r="F363" s="191"/>
      <c r="H363" s="70"/>
      <c r="I363" s="276" t="s">
        <v>212</v>
      </c>
      <c r="J363" s="279"/>
      <c r="K363" s="272"/>
      <c r="L363" s="277">
        <f>SUM(L361:L362)</f>
        <v>1040</v>
      </c>
      <c r="M363" s="277">
        <f t="shared" ref="M363" si="355">SUM(M361:M362)</f>
        <v>1014</v>
      </c>
      <c r="N363" s="277">
        <f t="shared" ref="N363" si="356">SUM(N361:N362)</f>
        <v>992</v>
      </c>
      <c r="O363" s="277">
        <f t="shared" ref="O363" si="357">SUM(O361:O362)</f>
        <v>969</v>
      </c>
      <c r="P363" s="277">
        <f t="shared" ref="P363" si="358">SUM(P361:P362)</f>
        <v>954</v>
      </c>
      <c r="Q363" s="277">
        <f t="shared" ref="Q363" si="359">SUM(Q361:Q362)</f>
        <v>948</v>
      </c>
      <c r="R363" s="278">
        <f t="shared" ref="R363" si="360">SUM(R361:R362)</f>
        <v>940</v>
      </c>
      <c r="S363" s="272">
        <f t="shared" si="345"/>
        <v>4803</v>
      </c>
      <c r="V363" s="72"/>
      <c r="AS363" s="67" t="s">
        <v>238</v>
      </c>
    </row>
    <row r="364" spans="1:45">
      <c r="A364" s="68" t="str">
        <f>B364&amp;"_"&amp;C364&amp;"_"&amp;D364&amp;"_"&amp;E364</f>
        <v>MDA_R_EP_</v>
      </c>
      <c r="B364" s="68" t="s">
        <v>237</v>
      </c>
      <c r="C364" s="68" t="s">
        <v>229</v>
      </c>
      <c r="D364" s="68" t="s">
        <v>226</v>
      </c>
      <c r="F364" s="191"/>
      <c r="H364" s="70"/>
      <c r="I364" s="273"/>
      <c r="J364" s="274"/>
      <c r="K364" s="272"/>
      <c r="L364" s="272"/>
      <c r="M364" s="272"/>
      <c r="N364" s="272"/>
      <c r="O364" s="272"/>
      <c r="P364" s="272"/>
      <c r="Q364" s="272"/>
      <c r="R364" s="275"/>
      <c r="S364" s="272"/>
      <c r="V364" s="72"/>
      <c r="AS364" s="67" t="s">
        <v>238</v>
      </c>
    </row>
    <row r="365" spans="1:45" ht="16" thickBot="1">
      <c r="A365" s="68" t="str">
        <f>B365&amp;"_"&amp;C365&amp;"_"&amp;D365&amp;"_"&amp;E365</f>
        <v>MDA_Oth_P/EP_SS-</v>
      </c>
      <c r="B365" s="68" t="s">
        <v>237</v>
      </c>
      <c r="C365" s="68" t="s">
        <v>230</v>
      </c>
      <c r="D365" s="68" t="s">
        <v>231</v>
      </c>
      <c r="E365" s="68" t="s">
        <v>228</v>
      </c>
      <c r="F365" s="191"/>
      <c r="H365" s="70"/>
      <c r="I365" s="280" t="s">
        <v>114</v>
      </c>
      <c r="J365" s="281"/>
      <c r="K365" s="282"/>
      <c r="L365" s="282">
        <f>L360+L363</f>
        <v>3323</v>
      </c>
      <c r="M365" s="282">
        <f t="shared" ref="M365:R365" si="361">M360+M363</f>
        <v>3225</v>
      </c>
      <c r="N365" s="282">
        <f t="shared" si="361"/>
        <v>3135</v>
      </c>
      <c r="O365" s="282">
        <f t="shared" si="361"/>
        <v>3046</v>
      </c>
      <c r="P365" s="282">
        <f t="shared" si="361"/>
        <v>2969</v>
      </c>
      <c r="Q365" s="282">
        <f t="shared" si="361"/>
        <v>2903</v>
      </c>
      <c r="R365" s="283">
        <f t="shared" si="361"/>
        <v>2838</v>
      </c>
      <c r="S365" s="272">
        <f t="shared" ref="S365" si="362">SUM(N365:R365)</f>
        <v>14891</v>
      </c>
      <c r="V365" s="72"/>
      <c r="AS365" s="67" t="s">
        <v>238</v>
      </c>
    </row>
    <row r="366" spans="1:45">
      <c r="A366" s="68"/>
      <c r="F366" s="191"/>
      <c r="H366" s="70"/>
      <c r="I366" s="262"/>
      <c r="J366" s="262"/>
      <c r="K366" s="263"/>
      <c r="L366" s="262"/>
      <c r="N366" s="261"/>
      <c r="O366" s="261"/>
      <c r="P366" s="261"/>
      <c r="Q366" s="261"/>
      <c r="R366" s="261"/>
      <c r="V366" s="72"/>
      <c r="AS366" s="67" t="s">
        <v>238</v>
      </c>
    </row>
    <row r="367" spans="1:45" ht="22" thickBot="1">
      <c r="A367" s="68"/>
      <c r="F367" s="190" t="s">
        <v>382</v>
      </c>
      <c r="H367" s="284" t="s">
        <v>213</v>
      </c>
      <c r="J367" s="262"/>
      <c r="K367" s="263"/>
      <c r="L367" s="262"/>
      <c r="M367" s="262"/>
      <c r="N367" s="261"/>
      <c r="O367" s="261"/>
      <c r="P367" s="261"/>
      <c r="Q367" s="261"/>
      <c r="R367" s="261"/>
      <c r="V367" s="72"/>
      <c r="AS367" s="67" t="s">
        <v>238</v>
      </c>
    </row>
    <row r="368" spans="1:45">
      <c r="A368" s="68" t="str">
        <f t="shared" ref="A368:A370" si="363">B368&amp;"_"&amp;C368&amp;"_"&amp;D368&amp;"_"&amp;E368</f>
        <v>MDA_New_total_</v>
      </c>
      <c r="B368" s="68" t="s">
        <v>237</v>
      </c>
      <c r="C368" s="68" t="s">
        <v>102</v>
      </c>
      <c r="D368" s="68" t="s">
        <v>232</v>
      </c>
      <c r="F368" s="191"/>
      <c r="H368" s="70"/>
      <c r="I368" s="285" t="s">
        <v>102</v>
      </c>
      <c r="J368" s="286"/>
      <c r="K368" s="287"/>
      <c r="L368" s="286">
        <f>L360</f>
        <v>2283</v>
      </c>
      <c r="M368" s="286">
        <f t="shared" ref="M368:R368" si="364">M360</f>
        <v>2211</v>
      </c>
      <c r="N368" s="286">
        <f t="shared" si="364"/>
        <v>2143</v>
      </c>
      <c r="O368" s="286">
        <f t="shared" si="364"/>
        <v>2077</v>
      </c>
      <c r="P368" s="286">
        <f t="shared" si="364"/>
        <v>2015</v>
      </c>
      <c r="Q368" s="286">
        <f t="shared" si="364"/>
        <v>1955</v>
      </c>
      <c r="R368" s="288">
        <f t="shared" si="364"/>
        <v>1898</v>
      </c>
      <c r="S368" s="272">
        <f>SUM(N368:R368)</f>
        <v>10088</v>
      </c>
      <c r="V368" s="72"/>
      <c r="AS368" s="67" t="s">
        <v>238</v>
      </c>
    </row>
    <row r="369" spans="1:45">
      <c r="A369" s="68" t="str">
        <f t="shared" si="363"/>
        <v>MDA_R_total_</v>
      </c>
      <c r="B369" s="68" t="s">
        <v>237</v>
      </c>
      <c r="C369" s="68" t="s">
        <v>229</v>
      </c>
      <c r="D369" s="68" t="s">
        <v>232</v>
      </c>
      <c r="F369" s="191"/>
      <c r="H369" s="70"/>
      <c r="I369" s="289" t="s">
        <v>214</v>
      </c>
      <c r="J369" s="290"/>
      <c r="K369" s="291"/>
      <c r="L369" s="290">
        <f>L363</f>
        <v>1040</v>
      </c>
      <c r="M369" s="290">
        <f t="shared" ref="M369:R369" si="365">M363</f>
        <v>1014</v>
      </c>
      <c r="N369" s="290">
        <f t="shared" si="365"/>
        <v>992</v>
      </c>
      <c r="O369" s="290">
        <f t="shared" si="365"/>
        <v>969</v>
      </c>
      <c r="P369" s="290">
        <f t="shared" si="365"/>
        <v>954</v>
      </c>
      <c r="Q369" s="290">
        <f t="shared" si="365"/>
        <v>948</v>
      </c>
      <c r="R369" s="292">
        <f t="shared" si="365"/>
        <v>940</v>
      </c>
      <c r="S369" s="272">
        <f t="shared" ref="S369:S370" si="366">SUM(N369:R369)</f>
        <v>4803</v>
      </c>
      <c r="V369" s="72"/>
      <c r="AS369" s="67" t="s">
        <v>238</v>
      </c>
    </row>
    <row r="370" spans="1:45" ht="16" thickBot="1">
      <c r="A370" s="68" t="str">
        <f t="shared" si="363"/>
        <v>MDA_All_total_</v>
      </c>
      <c r="B370" s="68" t="s">
        <v>237</v>
      </c>
      <c r="C370" s="68" t="s">
        <v>233</v>
      </c>
      <c r="D370" s="68" t="s">
        <v>232</v>
      </c>
      <c r="F370" s="191"/>
      <c r="H370" s="70"/>
      <c r="I370" s="293" t="s">
        <v>97</v>
      </c>
      <c r="J370" s="294"/>
      <c r="K370" s="295"/>
      <c r="L370" s="294">
        <f t="shared" ref="L370:R370" si="367">SUM(L368:L369)</f>
        <v>3323</v>
      </c>
      <c r="M370" s="294">
        <f t="shared" si="367"/>
        <v>3225</v>
      </c>
      <c r="N370" s="294">
        <f t="shared" si="367"/>
        <v>3135</v>
      </c>
      <c r="O370" s="294">
        <f t="shared" si="367"/>
        <v>3046</v>
      </c>
      <c r="P370" s="294">
        <f t="shared" si="367"/>
        <v>2969</v>
      </c>
      <c r="Q370" s="294">
        <f t="shared" si="367"/>
        <v>2903</v>
      </c>
      <c r="R370" s="296">
        <f t="shared" si="367"/>
        <v>2838</v>
      </c>
      <c r="S370" s="272">
        <f t="shared" si="366"/>
        <v>14891</v>
      </c>
      <c r="V370" s="72"/>
      <c r="AS370" s="67" t="s">
        <v>238</v>
      </c>
    </row>
    <row r="371" spans="1:45" ht="22" thickBot="1">
      <c r="F371" s="190" t="s">
        <v>383</v>
      </c>
      <c r="H371" s="284" t="s">
        <v>215</v>
      </c>
      <c r="I371" s="262"/>
      <c r="J371" s="262"/>
      <c r="K371" s="263"/>
      <c r="L371" s="262"/>
      <c r="M371" s="262"/>
      <c r="N371" s="261"/>
      <c r="O371" s="261"/>
      <c r="P371" s="261"/>
      <c r="Q371" s="261"/>
      <c r="R371" s="261"/>
      <c r="S371" s="272"/>
      <c r="V371" s="72"/>
      <c r="AS371" s="67" t="s">
        <v>238</v>
      </c>
    </row>
    <row r="372" spans="1:45">
      <c r="A372" s="68" t="str">
        <f t="shared" ref="A372:A374" si="368">B372&amp;"_"&amp;C372&amp;"_"&amp;D372&amp;"_"&amp;E372</f>
        <v>MDA_New_total_projected</v>
      </c>
      <c r="B372" s="68" t="s">
        <v>237</v>
      </c>
      <c r="C372" s="68" t="s">
        <v>102</v>
      </c>
      <c r="D372" s="68" t="s">
        <v>232</v>
      </c>
      <c r="E372" s="68" t="s">
        <v>265</v>
      </c>
      <c r="F372" s="191"/>
      <c r="H372" s="70"/>
      <c r="I372" s="285" t="s">
        <v>102</v>
      </c>
      <c r="J372" s="286"/>
      <c r="K372" s="287"/>
      <c r="L372" s="286"/>
      <c r="M372" s="286"/>
      <c r="N372" s="286">
        <f>ROUND(N358+N359*35%,0)</f>
        <v>1572</v>
      </c>
      <c r="O372" s="286">
        <f>ROUND(O358+O359*35%,0)</f>
        <v>1530</v>
      </c>
      <c r="P372" s="286">
        <f>ROUND(P358+P359*35%,0)</f>
        <v>1491</v>
      </c>
      <c r="Q372" s="286">
        <f>ROUND(Q358+Q359*35%,0)</f>
        <v>1453</v>
      </c>
      <c r="R372" s="288">
        <f>ROUND(R358+R359*35%,0)</f>
        <v>1417</v>
      </c>
      <c r="S372" s="272">
        <f t="shared" ref="S372:S374" si="369">SUM(N372:R372)</f>
        <v>7463</v>
      </c>
      <c r="V372" s="72"/>
      <c r="AS372" s="67" t="s">
        <v>238</v>
      </c>
    </row>
    <row r="373" spans="1:45">
      <c r="A373" s="68" t="str">
        <f t="shared" si="368"/>
        <v>MDA_R_total_projected</v>
      </c>
      <c r="B373" s="68" t="s">
        <v>237</v>
      </c>
      <c r="C373" s="68" t="s">
        <v>229</v>
      </c>
      <c r="D373" s="68" t="s">
        <v>232</v>
      </c>
      <c r="E373" s="68" t="s">
        <v>265</v>
      </c>
      <c r="F373" s="191"/>
      <c r="H373" s="70"/>
      <c r="I373" s="289" t="s">
        <v>214</v>
      </c>
      <c r="J373" s="290"/>
      <c r="K373" s="291"/>
      <c r="L373" s="290"/>
      <c r="M373" s="297"/>
      <c r="N373" s="290">
        <f>ROUND(N361+(N362*35%),0)</f>
        <v>792</v>
      </c>
      <c r="O373" s="290">
        <f t="shared" ref="O373:R373" si="370">ROUND(O361+(O362*35%),0)</f>
        <v>773</v>
      </c>
      <c r="P373" s="290">
        <f t="shared" si="370"/>
        <v>761</v>
      </c>
      <c r="Q373" s="290">
        <f t="shared" si="370"/>
        <v>756</v>
      </c>
      <c r="R373" s="292">
        <f t="shared" si="370"/>
        <v>749</v>
      </c>
      <c r="S373" s="272">
        <f t="shared" si="369"/>
        <v>3831</v>
      </c>
      <c r="V373" s="72"/>
      <c r="AS373" s="67" t="s">
        <v>238</v>
      </c>
    </row>
    <row r="374" spans="1:45" ht="16" thickBot="1">
      <c r="A374" s="68" t="str">
        <f t="shared" si="368"/>
        <v>MDA_All_total_projected</v>
      </c>
      <c r="B374" s="68" t="s">
        <v>237</v>
      </c>
      <c r="C374" s="68" t="s">
        <v>233</v>
      </c>
      <c r="D374" s="68" t="s">
        <v>232</v>
      </c>
      <c r="E374" s="68" t="s">
        <v>265</v>
      </c>
      <c r="F374" s="191"/>
      <c r="G374" s="259"/>
      <c r="H374" s="124"/>
      <c r="I374" s="298" t="s">
        <v>97</v>
      </c>
      <c r="J374" s="299"/>
      <c r="K374" s="300"/>
      <c r="L374" s="299"/>
      <c r="M374" s="301"/>
      <c r="N374" s="302">
        <f>SUM(N372:N373)</f>
        <v>2364</v>
      </c>
      <c r="O374" s="302">
        <f t="shared" ref="O374" si="371">SUM(O372:O373)</f>
        <v>2303</v>
      </c>
      <c r="P374" s="302">
        <f t="shared" ref="P374" si="372">SUM(P372:P373)</f>
        <v>2252</v>
      </c>
      <c r="Q374" s="302">
        <f t="shared" ref="Q374" si="373">SUM(Q372:Q373)</f>
        <v>2209</v>
      </c>
      <c r="R374" s="303">
        <f t="shared" ref="R374" si="374">SUM(R372:R373)</f>
        <v>2166</v>
      </c>
      <c r="S374" s="272">
        <f t="shared" si="369"/>
        <v>11294</v>
      </c>
      <c r="T374" s="260"/>
      <c r="U374" s="260"/>
      <c r="V374" s="72"/>
      <c r="AS374" s="67" t="s">
        <v>238</v>
      </c>
    </row>
    <row r="375" spans="1:45">
      <c r="N375" s="261"/>
      <c r="O375" s="261"/>
      <c r="P375" s="261"/>
      <c r="Q375" s="261"/>
      <c r="R375" s="261"/>
      <c r="S375" s="272"/>
      <c r="V375" s="72"/>
      <c r="AS375" s="67" t="s">
        <v>238</v>
      </c>
    </row>
    <row r="376" spans="1:45" ht="22" thickBot="1">
      <c r="F376" s="190" t="s">
        <v>384</v>
      </c>
      <c r="H376" s="284" t="s">
        <v>217</v>
      </c>
      <c r="I376" s="262"/>
      <c r="J376" s="360"/>
      <c r="K376" s="361"/>
      <c r="L376" s="360"/>
      <c r="M376" s="360"/>
      <c r="N376" s="272"/>
      <c r="O376" s="272"/>
      <c r="P376" s="272"/>
      <c r="Q376" s="272"/>
      <c r="R376" s="272"/>
      <c r="V376" s="72"/>
      <c r="AS376" s="67" t="s">
        <v>238</v>
      </c>
    </row>
    <row r="377" spans="1:45">
      <c r="A377" s="68" t="str">
        <f>B377&amp;"_"&amp;C377&amp;"_"&amp;D377&amp;"_"&amp;E377</f>
        <v>MDA_New_RR/MDR_%</v>
      </c>
      <c r="B377" s="68" t="s">
        <v>237</v>
      </c>
      <c r="C377" s="68" t="s">
        <v>102</v>
      </c>
      <c r="D377" s="68" t="s">
        <v>125</v>
      </c>
      <c r="E377" s="68" t="s">
        <v>216</v>
      </c>
      <c r="F377" s="191"/>
      <c r="H377" s="70"/>
      <c r="I377" s="285" t="s">
        <v>102</v>
      </c>
      <c r="J377" s="362"/>
      <c r="K377" s="363"/>
      <c r="L377" s="270" t="s">
        <v>268</v>
      </c>
      <c r="M377" s="270"/>
      <c r="N377" s="364">
        <v>0.27</v>
      </c>
      <c r="O377" s="364">
        <v>0.27</v>
      </c>
      <c r="P377" s="364">
        <v>0.27</v>
      </c>
      <c r="Q377" s="364">
        <v>0.27</v>
      </c>
      <c r="R377" s="365">
        <v>0.27</v>
      </c>
      <c r="T377" s="310"/>
      <c r="V377" s="72"/>
      <c r="AS377" s="67" t="s">
        <v>238</v>
      </c>
    </row>
    <row r="378" spans="1:45">
      <c r="A378" s="68" t="str">
        <f>B378&amp;"_"&amp;C378&amp;"_"&amp;D378&amp;"_"&amp;E378</f>
        <v>MDA_R_RR/MDR_%</v>
      </c>
      <c r="B378" s="68" t="s">
        <v>237</v>
      </c>
      <c r="C378" s="68" t="s">
        <v>229</v>
      </c>
      <c r="D378" s="68" t="s">
        <v>125</v>
      </c>
      <c r="E378" s="68" t="s">
        <v>216</v>
      </c>
      <c r="F378" s="191"/>
      <c r="H378" s="70"/>
      <c r="I378" s="289" t="s">
        <v>214</v>
      </c>
      <c r="J378" s="366"/>
      <c r="K378" s="367"/>
      <c r="L378" s="272" t="s">
        <v>268</v>
      </c>
      <c r="M378" s="272"/>
      <c r="N378" s="368">
        <v>0.56000000000000005</v>
      </c>
      <c r="O378" s="368">
        <v>0.56000000000000005</v>
      </c>
      <c r="P378" s="368">
        <v>0.56000000000000005</v>
      </c>
      <c r="Q378" s="368">
        <v>0.56000000000000005</v>
      </c>
      <c r="R378" s="369">
        <v>0.56000000000000005</v>
      </c>
      <c r="V378" s="72"/>
      <c r="AS378" s="67" t="s">
        <v>238</v>
      </c>
    </row>
    <row r="379" spans="1:45">
      <c r="A379" s="68"/>
      <c r="B379" s="68"/>
      <c r="F379" s="191"/>
      <c r="H379" s="70"/>
      <c r="I379" s="289" t="s">
        <v>102</v>
      </c>
      <c r="J379" s="366" t="s">
        <v>272</v>
      </c>
      <c r="K379" s="367"/>
      <c r="L379" s="272" t="s">
        <v>268</v>
      </c>
      <c r="M379" s="272"/>
      <c r="N379" s="368">
        <v>0.09</v>
      </c>
      <c r="O379" s="368">
        <v>0.09</v>
      </c>
      <c r="P379" s="368">
        <v>0.09</v>
      </c>
      <c r="Q379" s="368">
        <v>0.09</v>
      </c>
      <c r="R379" s="369">
        <v>0.09</v>
      </c>
      <c r="V379" s="72"/>
      <c r="AS379" s="67" t="s">
        <v>238</v>
      </c>
    </row>
    <row r="380" spans="1:45" ht="16" thickBot="1">
      <c r="A380" s="68"/>
      <c r="B380" s="68"/>
      <c r="F380" s="191"/>
      <c r="H380" s="70"/>
      <c r="I380" s="293" t="s">
        <v>214</v>
      </c>
      <c r="J380" s="370" t="s">
        <v>272</v>
      </c>
      <c r="K380" s="371"/>
      <c r="L380" s="282" t="s">
        <v>268</v>
      </c>
      <c r="M380" s="282"/>
      <c r="N380" s="372">
        <v>0.06</v>
      </c>
      <c r="O380" s="372">
        <v>0.06</v>
      </c>
      <c r="P380" s="372">
        <v>0.06</v>
      </c>
      <c r="Q380" s="372">
        <v>0.06</v>
      </c>
      <c r="R380" s="373">
        <v>0.06</v>
      </c>
      <c r="V380" s="72"/>
      <c r="AS380" s="67" t="s">
        <v>238</v>
      </c>
    </row>
    <row r="381" spans="1:45">
      <c r="F381" s="191"/>
      <c r="H381" s="70"/>
      <c r="J381" s="374"/>
      <c r="K381" s="375"/>
      <c r="L381" s="376"/>
      <c r="M381" s="377"/>
      <c r="N381" s="272"/>
      <c r="O381" s="272"/>
      <c r="P381" s="272"/>
      <c r="Q381" s="272"/>
      <c r="R381" s="272"/>
      <c r="V381" s="72"/>
      <c r="AS381" s="67" t="s">
        <v>238</v>
      </c>
    </row>
    <row r="382" spans="1:45" ht="16" thickBot="1">
      <c r="F382" s="191"/>
      <c r="H382" s="284" t="s">
        <v>255</v>
      </c>
      <c r="J382" s="360"/>
      <c r="K382" s="361"/>
      <c r="L382" s="360"/>
      <c r="M382" s="360"/>
      <c r="N382" s="272"/>
      <c r="O382" s="272"/>
      <c r="P382" s="272"/>
      <c r="Q382" s="272"/>
      <c r="R382" s="272"/>
      <c r="V382" s="72"/>
      <c r="AS382" s="67" t="s">
        <v>238</v>
      </c>
    </row>
    <row r="383" spans="1:45">
      <c r="A383" s="68" t="str">
        <f>B383&amp;"_"&amp;C383&amp;"_"&amp;D383&amp;"_"&amp;E383</f>
        <v>MDA_New_RR/MDR_projected</v>
      </c>
      <c r="B383" s="68" t="s">
        <v>237</v>
      </c>
      <c r="C383" s="68" t="s">
        <v>102</v>
      </c>
      <c r="D383" s="68" t="s">
        <v>125</v>
      </c>
      <c r="E383" s="68" t="s">
        <v>265</v>
      </c>
      <c r="F383" s="191"/>
      <c r="H383" s="70"/>
      <c r="I383" s="285" t="s">
        <v>102</v>
      </c>
      <c r="J383" s="362"/>
      <c r="K383" s="378"/>
      <c r="L383" s="362"/>
      <c r="M383" s="362"/>
      <c r="N383" s="270">
        <f>N249+N316</f>
        <v>424</v>
      </c>
      <c r="O383" s="270">
        <f t="shared" ref="O383:R383" si="375">O249+O316</f>
        <v>412</v>
      </c>
      <c r="P383" s="270">
        <f t="shared" si="375"/>
        <v>401</v>
      </c>
      <c r="Q383" s="270">
        <f t="shared" si="375"/>
        <v>390</v>
      </c>
      <c r="R383" s="271">
        <f t="shared" si="375"/>
        <v>381</v>
      </c>
      <c r="S383" s="272">
        <f t="shared" ref="S383:S387" si="376">SUM(N383:R383)</f>
        <v>2008</v>
      </c>
      <c r="V383" s="72"/>
      <c r="AS383" s="67" t="s">
        <v>238</v>
      </c>
    </row>
    <row r="384" spans="1:45">
      <c r="A384" s="68" t="str">
        <f>B384&amp;"_"&amp;C384&amp;"_"&amp;D384&amp;"_"&amp;E384</f>
        <v>MDA_R_RR/MDR_projected</v>
      </c>
      <c r="B384" s="68" t="s">
        <v>237</v>
      </c>
      <c r="C384" s="68" t="s">
        <v>229</v>
      </c>
      <c r="D384" s="68" t="s">
        <v>125</v>
      </c>
      <c r="E384" s="68" t="s">
        <v>265</v>
      </c>
      <c r="F384" s="191"/>
      <c r="H384" s="70"/>
      <c r="I384" s="289" t="s">
        <v>214</v>
      </c>
      <c r="J384" s="274"/>
      <c r="K384" s="379"/>
      <c r="L384" s="274"/>
      <c r="M384" s="366"/>
      <c r="N384" s="272">
        <f t="shared" ref="N384:R384" si="377">N250+N317</f>
        <v>448</v>
      </c>
      <c r="O384" s="272">
        <f t="shared" si="377"/>
        <v>439</v>
      </c>
      <c r="P384" s="272">
        <f t="shared" si="377"/>
        <v>435</v>
      </c>
      <c r="Q384" s="272">
        <f t="shared" si="377"/>
        <v>435</v>
      </c>
      <c r="R384" s="275">
        <f t="shared" si="377"/>
        <v>434</v>
      </c>
      <c r="S384" s="272">
        <f t="shared" si="376"/>
        <v>2191</v>
      </c>
      <c r="V384" s="72"/>
      <c r="AS384" s="67" t="s">
        <v>238</v>
      </c>
    </row>
    <row r="385" spans="1:45">
      <c r="A385" s="68" t="str">
        <f>B385&amp;"_"&amp;C385&amp;"_"&amp;D385&amp;"_"&amp;E385</f>
        <v>MDA_New_RR/MDR_rez_FQ_projected</v>
      </c>
      <c r="B385" s="68" t="s">
        <v>237</v>
      </c>
      <c r="C385" s="68" t="s">
        <v>102</v>
      </c>
      <c r="D385" s="68" t="s">
        <v>275</v>
      </c>
      <c r="E385" s="68" t="s">
        <v>265</v>
      </c>
      <c r="F385" s="191"/>
      <c r="H385" s="70"/>
      <c r="I385" s="289" t="s">
        <v>102</v>
      </c>
      <c r="J385" s="272" t="s">
        <v>272</v>
      </c>
      <c r="K385" s="379"/>
      <c r="L385" s="274"/>
      <c r="M385" s="366"/>
      <c r="N385" s="380">
        <f t="shared" ref="N385:R385" si="378">N251+N318</f>
        <v>66</v>
      </c>
      <c r="O385" s="380">
        <f t="shared" si="378"/>
        <v>63</v>
      </c>
      <c r="P385" s="380">
        <f t="shared" si="378"/>
        <v>61</v>
      </c>
      <c r="Q385" s="380">
        <f t="shared" si="378"/>
        <v>60</v>
      </c>
      <c r="R385" s="381">
        <f t="shared" si="378"/>
        <v>59</v>
      </c>
      <c r="S385" s="272">
        <f t="shared" si="376"/>
        <v>309</v>
      </c>
      <c r="V385" s="72"/>
      <c r="AS385" s="67" t="s">
        <v>238</v>
      </c>
    </row>
    <row r="386" spans="1:45">
      <c r="A386" s="68" t="str">
        <f>B386&amp;"_"&amp;C386&amp;"_"&amp;D386&amp;"_"&amp;E386</f>
        <v>MDA_R_RR/MDR_rez_FQ_projected</v>
      </c>
      <c r="B386" s="68" t="s">
        <v>237</v>
      </c>
      <c r="C386" s="68" t="s">
        <v>229</v>
      </c>
      <c r="D386" s="68" t="s">
        <v>275</v>
      </c>
      <c r="E386" s="68" t="s">
        <v>265</v>
      </c>
      <c r="F386" s="191"/>
      <c r="H386" s="70"/>
      <c r="I386" s="289" t="s">
        <v>214</v>
      </c>
      <c r="J386" s="272" t="s">
        <v>272</v>
      </c>
      <c r="K386" s="379"/>
      <c r="L386" s="274"/>
      <c r="M386" s="366"/>
      <c r="N386" s="380">
        <f t="shared" ref="N386:R386" si="379">N252+N319</f>
        <v>165</v>
      </c>
      <c r="O386" s="380">
        <f t="shared" si="379"/>
        <v>162</v>
      </c>
      <c r="P386" s="380">
        <f t="shared" si="379"/>
        <v>161</v>
      </c>
      <c r="Q386" s="380">
        <f t="shared" si="379"/>
        <v>161</v>
      </c>
      <c r="R386" s="381">
        <f t="shared" si="379"/>
        <v>161</v>
      </c>
      <c r="S386" s="272">
        <f t="shared" si="376"/>
        <v>810</v>
      </c>
      <c r="V386" s="72"/>
      <c r="AS386" s="67" t="s">
        <v>238</v>
      </c>
    </row>
    <row r="387" spans="1:45" ht="16" thickBot="1">
      <c r="A387" s="260"/>
      <c r="B387" s="260"/>
      <c r="C387" s="259"/>
      <c r="D387" s="259"/>
      <c r="E387" s="259"/>
      <c r="F387" s="259"/>
      <c r="G387" s="259"/>
      <c r="H387" s="124"/>
      <c r="I387" s="298" t="s">
        <v>97</v>
      </c>
      <c r="J387" s="382"/>
      <c r="K387" s="383"/>
      <c r="L387" s="382"/>
      <c r="M387" s="384"/>
      <c r="N387" s="385">
        <f t="shared" ref="N387:R387" si="380">N253+N320</f>
        <v>872</v>
      </c>
      <c r="O387" s="385">
        <f t="shared" si="380"/>
        <v>851</v>
      </c>
      <c r="P387" s="385">
        <f t="shared" si="380"/>
        <v>836</v>
      </c>
      <c r="Q387" s="385">
        <f t="shared" si="380"/>
        <v>825</v>
      </c>
      <c r="R387" s="386">
        <f t="shared" si="380"/>
        <v>815</v>
      </c>
      <c r="S387" s="272">
        <f t="shared" si="376"/>
        <v>4199</v>
      </c>
      <c r="T387" s="260"/>
      <c r="U387" s="260"/>
      <c r="V387" s="72"/>
      <c r="AS387" s="67" t="s">
        <v>238</v>
      </c>
    </row>
    <row r="388" spans="1:45">
      <c r="F388" s="191"/>
      <c r="J388" s="387"/>
      <c r="K388" s="388"/>
      <c r="L388" s="387"/>
      <c r="M388" s="360"/>
      <c r="N388" s="272"/>
      <c r="O388" s="272"/>
      <c r="P388" s="272"/>
      <c r="Q388" s="272"/>
      <c r="R388" s="272"/>
      <c r="V388" s="72"/>
      <c r="AS388" s="67" t="s">
        <v>238</v>
      </c>
    </row>
    <row r="389" spans="1:45" ht="22" thickBot="1">
      <c r="F389" s="190"/>
      <c r="H389" s="284" t="s">
        <v>256</v>
      </c>
      <c r="J389" s="360"/>
      <c r="K389" s="361"/>
      <c r="L389" s="360"/>
      <c r="M389" s="360"/>
      <c r="N389" s="272"/>
      <c r="O389" s="272"/>
      <c r="P389" s="272"/>
      <c r="Q389" s="272"/>
      <c r="R389" s="272"/>
      <c r="V389" s="72"/>
      <c r="AS389" s="67" t="s">
        <v>238</v>
      </c>
    </row>
    <row r="390" spans="1:45">
      <c r="F390" s="191"/>
      <c r="I390" s="285" t="s">
        <v>266</v>
      </c>
      <c r="J390" s="362"/>
      <c r="K390" s="378"/>
      <c r="L390" s="362"/>
      <c r="M390" s="362"/>
      <c r="N390" s="364">
        <v>1</v>
      </c>
      <c r="O390" s="364">
        <v>1</v>
      </c>
      <c r="P390" s="364">
        <v>1</v>
      </c>
      <c r="Q390" s="364">
        <v>1</v>
      </c>
      <c r="R390" s="365">
        <v>1</v>
      </c>
      <c r="V390" s="72"/>
      <c r="AS390" s="67" t="s">
        <v>238</v>
      </c>
    </row>
    <row r="391" spans="1:45" ht="16" thickBot="1">
      <c r="F391" s="191"/>
      <c r="H391" s="70"/>
      <c r="I391" s="293"/>
      <c r="J391" s="370"/>
      <c r="K391" s="389"/>
      <c r="L391" s="370"/>
      <c r="M391" s="370"/>
      <c r="N391" s="282">
        <f>N257+N324</f>
        <v>872</v>
      </c>
      <c r="O391" s="282">
        <f t="shared" ref="O391:R391" si="381">O257+O324</f>
        <v>851</v>
      </c>
      <c r="P391" s="282">
        <f t="shared" si="381"/>
        <v>836</v>
      </c>
      <c r="Q391" s="282">
        <f t="shared" si="381"/>
        <v>825</v>
      </c>
      <c r="R391" s="283">
        <f t="shared" si="381"/>
        <v>815</v>
      </c>
      <c r="S391" s="272">
        <f t="shared" ref="S391" si="382">SUM(N391:R391)</f>
        <v>4199</v>
      </c>
      <c r="V391" s="72"/>
      <c r="AS391" s="67" t="s">
        <v>238</v>
      </c>
    </row>
    <row r="392" spans="1:45">
      <c r="F392" s="191"/>
      <c r="H392" s="70"/>
      <c r="I392" s="297"/>
      <c r="J392" s="366"/>
      <c r="K392" s="390"/>
      <c r="L392" s="366"/>
      <c r="M392" s="366"/>
      <c r="N392" s="272"/>
      <c r="O392" s="272"/>
      <c r="P392" s="272"/>
      <c r="Q392" s="272"/>
      <c r="R392" s="272"/>
      <c r="V392" s="72"/>
      <c r="AS392" s="67" t="s">
        <v>238</v>
      </c>
    </row>
    <row r="393" spans="1:45" ht="22" thickBot="1">
      <c r="F393" s="190"/>
      <c r="H393" s="284" t="s">
        <v>257</v>
      </c>
      <c r="I393" s="262"/>
      <c r="J393" s="360"/>
      <c r="K393" s="361"/>
      <c r="L393" s="360"/>
      <c r="M393" s="360"/>
      <c r="N393" s="272"/>
      <c r="O393" s="272"/>
      <c r="P393" s="272"/>
      <c r="Q393" s="272"/>
      <c r="R393" s="272"/>
      <c r="V393" s="72"/>
      <c r="AS393" s="67" t="s">
        <v>238</v>
      </c>
    </row>
    <row r="394" spans="1:45">
      <c r="F394" s="191"/>
      <c r="H394" s="70"/>
      <c r="I394" s="285" t="s">
        <v>273</v>
      </c>
      <c r="J394" s="362"/>
      <c r="K394" s="378"/>
      <c r="L394" s="362"/>
      <c r="M394" s="362"/>
      <c r="N394" s="364">
        <v>1</v>
      </c>
      <c r="O394" s="364">
        <v>1</v>
      </c>
      <c r="P394" s="364">
        <v>1</v>
      </c>
      <c r="Q394" s="364">
        <v>1</v>
      </c>
      <c r="R394" s="365">
        <v>1</v>
      </c>
      <c r="V394" s="72"/>
      <c r="AS394" s="67" t="s">
        <v>238</v>
      </c>
    </row>
    <row r="395" spans="1:45">
      <c r="A395" s="68" t="str">
        <f>B395&amp;"_"&amp;C395&amp;"_"&amp;D395&amp;"_"&amp;E395</f>
        <v>MDA_All_RR/MDR_to_treat</v>
      </c>
      <c r="B395" s="68" t="s">
        <v>237</v>
      </c>
      <c r="C395" s="68" t="s">
        <v>233</v>
      </c>
      <c r="D395" s="68" t="s">
        <v>125</v>
      </c>
      <c r="E395" s="68" t="s">
        <v>271</v>
      </c>
      <c r="F395" s="191"/>
      <c r="H395" s="70"/>
      <c r="I395" s="289"/>
      <c r="J395" s="366"/>
      <c r="K395" s="390"/>
      <c r="L395" s="366"/>
      <c r="M395" s="366"/>
      <c r="N395" s="391">
        <f>N261+N328</f>
        <v>641</v>
      </c>
      <c r="O395" s="391">
        <f t="shared" ref="O395:R395" si="383">O261+O328</f>
        <v>626</v>
      </c>
      <c r="P395" s="391">
        <f t="shared" si="383"/>
        <v>614</v>
      </c>
      <c r="Q395" s="391">
        <f t="shared" si="383"/>
        <v>604</v>
      </c>
      <c r="R395" s="392">
        <f t="shared" si="383"/>
        <v>595</v>
      </c>
      <c r="S395" s="393"/>
      <c r="V395" s="72"/>
      <c r="AS395" s="67" t="s">
        <v>238</v>
      </c>
    </row>
    <row r="396" spans="1:45">
      <c r="F396" s="191"/>
      <c r="H396" s="70"/>
      <c r="I396" s="289" t="s">
        <v>273</v>
      </c>
      <c r="J396" s="366" t="s">
        <v>274</v>
      </c>
      <c r="K396" s="390"/>
      <c r="L396" s="366"/>
      <c r="M396" s="366"/>
      <c r="N396" s="368">
        <v>1</v>
      </c>
      <c r="O396" s="368">
        <v>1</v>
      </c>
      <c r="P396" s="368">
        <v>1</v>
      </c>
      <c r="Q396" s="368">
        <v>1</v>
      </c>
      <c r="R396" s="369">
        <v>1</v>
      </c>
      <c r="S396" s="393"/>
      <c r="V396" s="72"/>
      <c r="AS396" s="67" t="s">
        <v>238</v>
      </c>
    </row>
    <row r="397" spans="1:45" ht="16" thickBot="1">
      <c r="F397" s="191"/>
      <c r="I397" s="293"/>
      <c r="J397" s="370"/>
      <c r="K397" s="389"/>
      <c r="L397" s="370"/>
      <c r="M397" s="370"/>
      <c r="N397" s="394">
        <f t="shared" ref="N397:R397" si="384">N263+N330</f>
        <v>231</v>
      </c>
      <c r="O397" s="394">
        <f t="shared" si="384"/>
        <v>225</v>
      </c>
      <c r="P397" s="394">
        <f t="shared" si="384"/>
        <v>222</v>
      </c>
      <c r="Q397" s="394">
        <f t="shared" si="384"/>
        <v>221</v>
      </c>
      <c r="R397" s="395">
        <f t="shared" si="384"/>
        <v>220</v>
      </c>
      <c r="S397" s="393"/>
      <c r="V397" s="72"/>
      <c r="AS397" s="67" t="s">
        <v>238</v>
      </c>
    </row>
    <row r="398" spans="1:45">
      <c r="D398" s="284"/>
      <c r="H398" s="70"/>
      <c r="I398" s="262"/>
      <c r="J398" s="360"/>
      <c r="K398" s="361"/>
      <c r="L398" s="360"/>
      <c r="M398" s="360"/>
      <c r="N398" s="272"/>
      <c r="O398" s="272"/>
      <c r="P398" s="272"/>
      <c r="Q398" s="272"/>
      <c r="R398" s="272"/>
      <c r="V398" s="72"/>
      <c r="AS398" s="67" t="s">
        <v>238</v>
      </c>
    </row>
    <row r="399" spans="1:45" ht="22" thickBot="1">
      <c r="F399" s="190" t="s">
        <v>385</v>
      </c>
      <c r="H399" s="284" t="s">
        <v>218</v>
      </c>
      <c r="I399" s="262"/>
      <c r="J399" s="360"/>
      <c r="K399" s="361"/>
      <c r="L399" s="360"/>
      <c r="M399" s="360"/>
      <c r="N399" s="272"/>
      <c r="O399" s="272"/>
      <c r="P399" s="272"/>
      <c r="Q399" s="272"/>
      <c r="R399" s="272"/>
      <c r="V399" s="72"/>
      <c r="AS399" s="67" t="s">
        <v>238</v>
      </c>
    </row>
    <row r="400" spans="1:45">
      <c r="A400" s="68" t="str">
        <f>B400&amp;"_"&amp;C400&amp;"_"&amp;D400&amp;"_"&amp;E400</f>
        <v>MDA_New_poly_%</v>
      </c>
      <c r="B400" s="68" t="s">
        <v>237</v>
      </c>
      <c r="C400" s="68" t="s">
        <v>102</v>
      </c>
      <c r="D400" s="68" t="s">
        <v>249</v>
      </c>
      <c r="E400" s="68" t="s">
        <v>216</v>
      </c>
      <c r="H400" s="70"/>
      <c r="I400" s="285" t="s">
        <v>102</v>
      </c>
      <c r="J400" s="362"/>
      <c r="K400" s="363"/>
      <c r="L400" s="270" t="s">
        <v>268</v>
      </c>
      <c r="M400" s="270"/>
      <c r="N400" s="364">
        <v>0.09</v>
      </c>
      <c r="O400" s="364">
        <v>0.09</v>
      </c>
      <c r="P400" s="364">
        <v>0.09</v>
      </c>
      <c r="Q400" s="364">
        <v>0.09</v>
      </c>
      <c r="R400" s="365">
        <v>0.09</v>
      </c>
      <c r="V400" s="72"/>
      <c r="AS400" s="67" t="s">
        <v>238</v>
      </c>
    </row>
    <row r="401" spans="1:45" ht="16" thickBot="1">
      <c r="A401" s="68" t="str">
        <f>B401&amp;"_"&amp;C401&amp;"_"&amp;D401&amp;"_"&amp;E401</f>
        <v>MDA_R_poly_%</v>
      </c>
      <c r="B401" s="68" t="s">
        <v>237</v>
      </c>
      <c r="C401" s="68" t="s">
        <v>229</v>
      </c>
      <c r="D401" s="68" t="s">
        <v>249</v>
      </c>
      <c r="E401" s="68" t="s">
        <v>216</v>
      </c>
      <c r="H401" s="70"/>
      <c r="I401" s="293" t="s">
        <v>214</v>
      </c>
      <c r="J401" s="370"/>
      <c r="K401" s="371"/>
      <c r="L401" s="282" t="s">
        <v>268</v>
      </c>
      <c r="M401" s="396"/>
      <c r="N401" s="372">
        <v>0.06</v>
      </c>
      <c r="O401" s="372">
        <v>0.06</v>
      </c>
      <c r="P401" s="372">
        <v>0.06</v>
      </c>
      <c r="Q401" s="372">
        <v>0.06</v>
      </c>
      <c r="R401" s="373">
        <v>0.06</v>
      </c>
      <c r="V401" s="72"/>
      <c r="AS401" s="67" t="s">
        <v>238</v>
      </c>
    </row>
    <row r="402" spans="1:45">
      <c r="A402" s="68" t="str">
        <f t="shared" ref="A402:A413" si="385">B402&amp;"_"&amp;C402&amp;"_"&amp;D402&amp;"_"&amp;E402</f>
        <v>___</v>
      </c>
      <c r="H402" s="70"/>
      <c r="I402" s="262"/>
      <c r="J402" s="360"/>
      <c r="K402" s="361"/>
      <c r="L402" s="360"/>
      <c r="M402" s="360"/>
      <c r="N402" s="272"/>
      <c r="O402" s="272"/>
      <c r="P402" s="272"/>
      <c r="Q402" s="272"/>
      <c r="R402" s="272"/>
      <c r="V402" s="72"/>
      <c r="AS402" s="67" t="s">
        <v>238</v>
      </c>
    </row>
    <row r="403" spans="1:45" ht="16" thickBot="1">
      <c r="A403" s="68" t="str">
        <f t="shared" si="385"/>
        <v>___</v>
      </c>
      <c r="H403" s="284" t="s">
        <v>258</v>
      </c>
      <c r="I403" s="342"/>
      <c r="J403" s="397"/>
      <c r="K403" s="398"/>
      <c r="L403" s="397"/>
      <c r="M403" s="360"/>
      <c r="N403" s="272"/>
      <c r="O403" s="272"/>
      <c r="P403" s="272"/>
      <c r="Q403" s="272"/>
      <c r="R403" s="272"/>
      <c r="V403" s="72"/>
      <c r="AS403" s="67" t="s">
        <v>238</v>
      </c>
    </row>
    <row r="404" spans="1:45">
      <c r="A404" s="68" t="str">
        <f t="shared" si="385"/>
        <v>___</v>
      </c>
      <c r="H404" s="70"/>
      <c r="I404" s="285" t="s">
        <v>102</v>
      </c>
      <c r="J404" s="269"/>
      <c r="K404" s="399"/>
      <c r="L404" s="269"/>
      <c r="M404" s="269"/>
      <c r="N404" s="269">
        <f>N270+N337</f>
        <v>150</v>
      </c>
      <c r="O404" s="269">
        <f t="shared" ref="O404:R404" si="386">O270+O337</f>
        <v>146</v>
      </c>
      <c r="P404" s="269">
        <f t="shared" si="386"/>
        <v>142</v>
      </c>
      <c r="Q404" s="269">
        <f t="shared" si="386"/>
        <v>139</v>
      </c>
      <c r="R404" s="400">
        <f t="shared" si="386"/>
        <v>135</v>
      </c>
      <c r="S404" s="272">
        <f t="shared" ref="S404:S406" si="387">SUM(N404:R404)</f>
        <v>712</v>
      </c>
      <c r="V404" s="72"/>
      <c r="AS404" s="67" t="s">
        <v>238</v>
      </c>
    </row>
    <row r="405" spans="1:45">
      <c r="A405" s="68" t="str">
        <f t="shared" si="385"/>
        <v>___</v>
      </c>
      <c r="H405" s="70"/>
      <c r="I405" s="289" t="s">
        <v>214</v>
      </c>
      <c r="J405" s="274"/>
      <c r="K405" s="379"/>
      <c r="L405" s="274"/>
      <c r="M405" s="366"/>
      <c r="N405" s="274">
        <f t="shared" ref="N405:R405" si="388">N271+N338</f>
        <v>50</v>
      </c>
      <c r="O405" s="274">
        <f t="shared" si="388"/>
        <v>49</v>
      </c>
      <c r="P405" s="274">
        <f t="shared" si="388"/>
        <v>48</v>
      </c>
      <c r="Q405" s="274">
        <f t="shared" si="388"/>
        <v>48</v>
      </c>
      <c r="R405" s="401">
        <f t="shared" si="388"/>
        <v>48</v>
      </c>
      <c r="S405" s="272">
        <f t="shared" si="387"/>
        <v>243</v>
      </c>
      <c r="V405" s="72"/>
      <c r="AS405" s="67" t="s">
        <v>238</v>
      </c>
    </row>
    <row r="406" spans="1:45" ht="16" thickBot="1">
      <c r="A406" s="68" t="str">
        <f t="shared" si="385"/>
        <v>___</v>
      </c>
      <c r="H406" s="70"/>
      <c r="I406" s="298" t="s">
        <v>97</v>
      </c>
      <c r="J406" s="382"/>
      <c r="K406" s="383"/>
      <c r="L406" s="382"/>
      <c r="M406" s="384"/>
      <c r="N406" s="402">
        <f t="shared" ref="N406:R406" si="389">N272+N339</f>
        <v>200</v>
      </c>
      <c r="O406" s="402">
        <f t="shared" si="389"/>
        <v>195</v>
      </c>
      <c r="P406" s="402">
        <f t="shared" si="389"/>
        <v>190</v>
      </c>
      <c r="Q406" s="402">
        <f t="shared" si="389"/>
        <v>187</v>
      </c>
      <c r="R406" s="403">
        <f t="shared" si="389"/>
        <v>183</v>
      </c>
      <c r="S406" s="272">
        <f t="shared" si="387"/>
        <v>955</v>
      </c>
      <c r="V406" s="72"/>
      <c r="AS406" s="67" t="s">
        <v>238</v>
      </c>
    </row>
    <row r="407" spans="1:45" ht="16" thickBot="1">
      <c r="A407" s="68" t="str">
        <f t="shared" si="385"/>
        <v>___</v>
      </c>
      <c r="H407" s="284" t="s">
        <v>259</v>
      </c>
      <c r="J407" s="404"/>
      <c r="K407" s="405"/>
      <c r="L407" s="404"/>
      <c r="M407" s="360"/>
      <c r="N407" s="272"/>
      <c r="O407" s="272"/>
      <c r="P407" s="272"/>
      <c r="Q407" s="272"/>
      <c r="R407" s="272"/>
      <c r="V407" s="72"/>
      <c r="AS407" s="67" t="s">
        <v>238</v>
      </c>
    </row>
    <row r="408" spans="1:45">
      <c r="A408" s="68" t="str">
        <f t="shared" si="385"/>
        <v>___</v>
      </c>
      <c r="H408" s="70"/>
      <c r="I408" s="285" t="s">
        <v>266</v>
      </c>
      <c r="J408" s="362"/>
      <c r="K408" s="378"/>
      <c r="L408" s="362"/>
      <c r="M408" s="362"/>
      <c r="N408" s="364">
        <v>1</v>
      </c>
      <c r="O408" s="364">
        <v>1</v>
      </c>
      <c r="P408" s="364">
        <v>1</v>
      </c>
      <c r="Q408" s="364">
        <v>1</v>
      </c>
      <c r="R408" s="365">
        <v>1</v>
      </c>
      <c r="V408" s="72"/>
      <c r="AS408" s="67" t="s">
        <v>238</v>
      </c>
    </row>
    <row r="409" spans="1:45" ht="16" thickBot="1">
      <c r="A409" s="68" t="str">
        <f t="shared" si="385"/>
        <v>___</v>
      </c>
      <c r="I409" s="293"/>
      <c r="J409" s="370"/>
      <c r="K409" s="389"/>
      <c r="L409" s="370"/>
      <c r="M409" s="370"/>
      <c r="N409" s="282">
        <f>N275+N342</f>
        <v>200</v>
      </c>
      <c r="O409" s="282">
        <f t="shared" ref="O409:R409" si="390">O275+O342</f>
        <v>195</v>
      </c>
      <c r="P409" s="282">
        <f t="shared" si="390"/>
        <v>190</v>
      </c>
      <c r="Q409" s="282">
        <f t="shared" si="390"/>
        <v>187</v>
      </c>
      <c r="R409" s="283">
        <f t="shared" si="390"/>
        <v>183</v>
      </c>
      <c r="S409" s="272">
        <f t="shared" ref="S409" si="391">SUM(N409:R409)</f>
        <v>955</v>
      </c>
      <c r="V409" s="72"/>
      <c r="AS409" s="67" t="s">
        <v>238</v>
      </c>
    </row>
    <row r="410" spans="1:45">
      <c r="A410" s="68" t="str">
        <f t="shared" si="385"/>
        <v>___</v>
      </c>
      <c r="H410" s="70"/>
      <c r="I410" s="262"/>
      <c r="J410" s="360"/>
      <c r="K410" s="406"/>
      <c r="L410" s="377"/>
      <c r="M410" s="360"/>
      <c r="N410" s="272"/>
      <c r="O410" s="272"/>
      <c r="P410" s="272"/>
      <c r="Q410" s="272"/>
      <c r="R410" s="272"/>
      <c r="V410" s="72"/>
      <c r="AS410" s="67" t="s">
        <v>238</v>
      </c>
    </row>
    <row r="411" spans="1:45" ht="16" thickBot="1">
      <c r="A411" s="68" t="str">
        <f t="shared" si="385"/>
        <v>___</v>
      </c>
      <c r="H411" s="348" t="s">
        <v>219</v>
      </c>
      <c r="J411" s="407"/>
      <c r="K411" s="408"/>
      <c r="L411" s="376"/>
      <c r="M411" s="360"/>
      <c r="N411" s="272"/>
      <c r="O411" s="272"/>
      <c r="P411" s="272"/>
      <c r="Q411" s="272"/>
      <c r="R411" s="272"/>
      <c r="V411" s="72"/>
      <c r="AS411" s="67" t="s">
        <v>238</v>
      </c>
    </row>
    <row r="412" spans="1:45">
      <c r="A412" s="68" t="str">
        <f t="shared" si="385"/>
        <v>___</v>
      </c>
      <c r="H412" s="284"/>
      <c r="I412" s="285" t="s">
        <v>269</v>
      </c>
      <c r="J412" s="362"/>
      <c r="K412" s="378"/>
      <c r="L412" s="362"/>
      <c r="M412" s="362"/>
      <c r="N412" s="364">
        <v>1</v>
      </c>
      <c r="O412" s="364">
        <v>1</v>
      </c>
      <c r="P412" s="364">
        <v>1</v>
      </c>
      <c r="Q412" s="364">
        <v>1</v>
      </c>
      <c r="R412" s="365">
        <v>1</v>
      </c>
      <c r="V412" s="72"/>
      <c r="AS412" s="67" t="s">
        <v>238</v>
      </c>
    </row>
    <row r="413" spans="1:45" ht="16" thickBot="1">
      <c r="A413" s="68" t="str">
        <f t="shared" si="385"/>
        <v>___</v>
      </c>
      <c r="H413" s="70"/>
      <c r="I413" s="293"/>
      <c r="J413" s="370"/>
      <c r="K413" s="389"/>
      <c r="L413" s="370"/>
      <c r="M413" s="370"/>
      <c r="N413" s="282">
        <f>N279+N346</f>
        <v>200</v>
      </c>
      <c r="O413" s="282">
        <f t="shared" ref="O413:R413" si="392">O279+O346</f>
        <v>195</v>
      </c>
      <c r="P413" s="282">
        <f t="shared" si="392"/>
        <v>190</v>
      </c>
      <c r="Q413" s="282">
        <f t="shared" si="392"/>
        <v>187</v>
      </c>
      <c r="R413" s="283">
        <f t="shared" si="392"/>
        <v>183</v>
      </c>
      <c r="S413" s="272">
        <f t="shared" ref="S413" si="393">SUM(N413:R413)</f>
        <v>955</v>
      </c>
      <c r="V413" s="72"/>
      <c r="AS413" s="67" t="s">
        <v>238</v>
      </c>
    </row>
    <row r="414" spans="1:45">
      <c r="H414" s="70"/>
      <c r="J414" s="360"/>
      <c r="K414" s="361"/>
      <c r="L414" s="360"/>
      <c r="M414" s="360"/>
      <c r="N414" s="272"/>
      <c r="O414" s="272"/>
      <c r="P414" s="272"/>
      <c r="Q414" s="272"/>
      <c r="R414" s="272"/>
      <c r="V414" s="72"/>
      <c r="AS414" s="67" t="s">
        <v>238</v>
      </c>
    </row>
    <row r="415" spans="1:45" ht="22" thickBot="1">
      <c r="F415" s="190" t="s">
        <v>386</v>
      </c>
      <c r="H415" s="348" t="s">
        <v>220</v>
      </c>
      <c r="I415" s="262"/>
      <c r="J415" s="360"/>
      <c r="K415" s="361"/>
      <c r="L415" s="360"/>
      <c r="M415" s="360"/>
      <c r="N415" s="272"/>
      <c r="O415" s="272"/>
      <c r="P415" s="272"/>
      <c r="Q415" s="272"/>
      <c r="R415" s="272"/>
      <c r="V415" s="72"/>
      <c r="AS415" s="67" t="s">
        <v>238</v>
      </c>
    </row>
    <row r="416" spans="1:45">
      <c r="A416" s="68" t="str">
        <f>B416&amp;"_"&amp;C416&amp;"_"&amp;D416&amp;"_"&amp;E416</f>
        <v>MDA_All_sensit_to_treat</v>
      </c>
      <c r="B416" s="68" t="s">
        <v>237</v>
      </c>
      <c r="C416" s="68" t="s">
        <v>233</v>
      </c>
      <c r="D416" s="68" t="s">
        <v>276</v>
      </c>
      <c r="E416" s="68" t="s">
        <v>271</v>
      </c>
      <c r="H416" s="70"/>
      <c r="I416" s="285" t="s">
        <v>270</v>
      </c>
      <c r="J416" s="269"/>
      <c r="K416" s="399"/>
      <c r="L416" s="269"/>
      <c r="M416" s="362"/>
      <c r="N416" s="270">
        <f>N282+N349</f>
        <v>2063</v>
      </c>
      <c r="O416" s="409">
        <f t="shared" ref="O416:R416" si="394">O282+O349</f>
        <v>2000</v>
      </c>
      <c r="P416" s="409">
        <f t="shared" si="394"/>
        <v>1943</v>
      </c>
      <c r="Q416" s="409">
        <f t="shared" si="394"/>
        <v>1891</v>
      </c>
      <c r="R416" s="410">
        <f t="shared" si="394"/>
        <v>1840</v>
      </c>
      <c r="S416" s="272">
        <f t="shared" ref="S416:S420" si="395">SUM(N416:R416)</f>
        <v>9737</v>
      </c>
      <c r="V416" s="72"/>
      <c r="AS416" s="67" t="s">
        <v>238</v>
      </c>
    </row>
    <row r="417" spans="1:45">
      <c r="A417" s="68" t="str">
        <f>B417&amp;"_"&amp;C417&amp;"_"&amp;D417&amp;"_"&amp;E417</f>
        <v>MDA_All_poly_to_treat</v>
      </c>
      <c r="B417" s="68" t="s">
        <v>237</v>
      </c>
      <c r="C417" s="68" t="s">
        <v>233</v>
      </c>
      <c r="D417" s="68" t="s">
        <v>249</v>
      </c>
      <c r="E417" s="68" t="s">
        <v>271</v>
      </c>
      <c r="H417" s="70"/>
      <c r="I417" s="289" t="s">
        <v>221</v>
      </c>
      <c r="J417" s="274"/>
      <c r="K417" s="379"/>
      <c r="L417" s="274"/>
      <c r="M417" s="366"/>
      <c r="N417" s="272">
        <f t="shared" ref="N417:R417" si="396">N283+N350</f>
        <v>200</v>
      </c>
      <c r="O417" s="272">
        <f t="shared" si="396"/>
        <v>195</v>
      </c>
      <c r="P417" s="272">
        <f t="shared" si="396"/>
        <v>190</v>
      </c>
      <c r="Q417" s="272">
        <f t="shared" si="396"/>
        <v>187</v>
      </c>
      <c r="R417" s="275">
        <f t="shared" si="396"/>
        <v>183</v>
      </c>
      <c r="S417" s="272">
        <f t="shared" si="395"/>
        <v>955</v>
      </c>
      <c r="V417" s="72"/>
      <c r="AS417" s="67" t="s">
        <v>238</v>
      </c>
    </row>
    <row r="418" spans="1:45">
      <c r="A418" s="68" t="str">
        <f t="shared" ref="A418:A420" si="397">B418&amp;"_"&amp;C418&amp;"_"&amp;D418&amp;"_"&amp;E418</f>
        <v>MDA_All_RR/MDR_to_treat</v>
      </c>
      <c r="B418" s="68" t="s">
        <v>237</v>
      </c>
      <c r="C418" s="68" t="s">
        <v>233</v>
      </c>
      <c r="D418" s="68" t="s">
        <v>125</v>
      </c>
      <c r="E418" s="68" t="s">
        <v>271</v>
      </c>
      <c r="H418" s="70"/>
      <c r="I418" s="289" t="s">
        <v>222</v>
      </c>
      <c r="J418" s="274"/>
      <c r="K418" s="379"/>
      <c r="L418" s="274"/>
      <c r="M418" s="366"/>
      <c r="N418" s="393">
        <f t="shared" ref="N418:R418" si="398">N284+N351</f>
        <v>641</v>
      </c>
      <c r="O418" s="393">
        <f t="shared" si="398"/>
        <v>626</v>
      </c>
      <c r="P418" s="393">
        <f t="shared" si="398"/>
        <v>614</v>
      </c>
      <c r="Q418" s="393">
        <f t="shared" si="398"/>
        <v>604</v>
      </c>
      <c r="R418" s="411">
        <f t="shared" si="398"/>
        <v>595</v>
      </c>
      <c r="S418" s="272">
        <f t="shared" si="395"/>
        <v>3080</v>
      </c>
      <c r="V418" s="72"/>
      <c r="AS418" s="67" t="s">
        <v>238</v>
      </c>
    </row>
    <row r="419" spans="1:45">
      <c r="A419" s="68" t="str">
        <f t="shared" si="397"/>
        <v>MDA_All_RR/MDR_rez_FQ_to_treat</v>
      </c>
      <c r="B419" s="68" t="s">
        <v>237</v>
      </c>
      <c r="C419" s="68" t="s">
        <v>233</v>
      </c>
      <c r="D419" s="68" t="s">
        <v>275</v>
      </c>
      <c r="E419" s="68" t="s">
        <v>271</v>
      </c>
      <c r="H419" s="70"/>
      <c r="I419" s="289" t="s">
        <v>223</v>
      </c>
      <c r="J419" s="274"/>
      <c r="K419" s="379"/>
      <c r="L419" s="274"/>
      <c r="M419" s="366"/>
      <c r="N419" s="272">
        <f t="shared" ref="N419:R419" si="399">N285+N352</f>
        <v>231</v>
      </c>
      <c r="O419" s="272">
        <f t="shared" si="399"/>
        <v>225</v>
      </c>
      <c r="P419" s="272">
        <f t="shared" si="399"/>
        <v>222</v>
      </c>
      <c r="Q419" s="272">
        <f t="shared" si="399"/>
        <v>221</v>
      </c>
      <c r="R419" s="275">
        <f t="shared" si="399"/>
        <v>220</v>
      </c>
      <c r="S419" s="272">
        <f t="shared" si="395"/>
        <v>1119</v>
      </c>
      <c r="V419" s="72"/>
      <c r="AS419" s="67" t="s">
        <v>238</v>
      </c>
    </row>
    <row r="420" spans="1:45" ht="16" thickBot="1">
      <c r="A420" s="68" t="str">
        <f t="shared" si="397"/>
        <v>MDA_All_total_</v>
      </c>
      <c r="B420" s="68" t="s">
        <v>237</v>
      </c>
      <c r="C420" s="68" t="s">
        <v>233</v>
      </c>
      <c r="D420" s="68" t="s">
        <v>232</v>
      </c>
      <c r="H420" s="70"/>
      <c r="I420" s="298" t="s">
        <v>97</v>
      </c>
      <c r="J420" s="384"/>
      <c r="K420" s="412"/>
      <c r="L420" s="384"/>
      <c r="M420" s="384"/>
      <c r="N420" s="385">
        <f t="shared" ref="N420:R420" si="400">N286+N353</f>
        <v>3135</v>
      </c>
      <c r="O420" s="385">
        <f t="shared" si="400"/>
        <v>3046</v>
      </c>
      <c r="P420" s="385">
        <f t="shared" si="400"/>
        <v>2969</v>
      </c>
      <c r="Q420" s="385">
        <f t="shared" si="400"/>
        <v>2903</v>
      </c>
      <c r="R420" s="386">
        <f t="shared" si="400"/>
        <v>2838</v>
      </c>
      <c r="S420" s="272">
        <f t="shared" si="395"/>
        <v>14891</v>
      </c>
      <c r="V420" s="72"/>
      <c r="AS420" s="67" t="s">
        <v>238</v>
      </c>
    </row>
    <row r="421" spans="1:45" ht="6" customHeight="1" thickBot="1">
      <c r="A421" s="355"/>
      <c r="B421" s="355"/>
      <c r="C421" s="355"/>
      <c r="D421" s="355"/>
      <c r="E421" s="355"/>
      <c r="F421" s="355"/>
      <c r="G421" s="355"/>
      <c r="H421" s="355"/>
      <c r="I421" s="355"/>
      <c r="J421" s="355"/>
      <c r="K421" s="355"/>
      <c r="L421" s="355"/>
      <c r="M421" s="355"/>
      <c r="N421" s="355"/>
      <c r="O421" s="355"/>
      <c r="P421" s="355"/>
      <c r="Q421" s="355"/>
      <c r="R421" s="355"/>
      <c r="S421" s="355"/>
      <c r="T421" s="355"/>
      <c r="U421" s="355"/>
      <c r="V421" s="72"/>
      <c r="AS421" s="67" t="s">
        <v>238</v>
      </c>
    </row>
    <row r="422" spans="1:45" ht="22" thickBot="1">
      <c r="F422" s="69" t="s">
        <v>2247</v>
      </c>
      <c r="G422" s="1280" t="s">
        <v>2246</v>
      </c>
      <c r="L422" s="1288"/>
      <c r="M422" s="1431">
        <v>2020</v>
      </c>
      <c r="N422" s="1433">
        <v>2021</v>
      </c>
      <c r="O422" s="1433">
        <v>2022</v>
      </c>
      <c r="P422" s="1433">
        <v>2023</v>
      </c>
      <c r="Q422" s="1433">
        <v>2024</v>
      </c>
      <c r="R422" s="1434">
        <v>2025</v>
      </c>
      <c r="V422" s="72"/>
    </row>
    <row r="423" spans="1:45" ht="21">
      <c r="F423" s="69"/>
      <c r="G423" s="1280"/>
      <c r="V423" s="72"/>
    </row>
    <row r="424" spans="1:45" ht="21">
      <c r="F424" s="257" t="s">
        <v>2248</v>
      </c>
      <c r="G424" s="1281" t="s">
        <v>2249</v>
      </c>
      <c r="M424" s="67">
        <v>37</v>
      </c>
      <c r="N424" s="67">
        <v>38</v>
      </c>
      <c r="O424" s="67">
        <v>39</v>
      </c>
      <c r="P424" s="67">
        <v>40</v>
      </c>
      <c r="Q424" s="67">
        <v>41</v>
      </c>
      <c r="R424" s="67">
        <v>42</v>
      </c>
      <c r="V424" s="72"/>
    </row>
    <row r="425" spans="1:45" ht="21">
      <c r="G425" s="258"/>
      <c r="I425" s="260"/>
      <c r="V425" s="72"/>
    </row>
    <row r="426" spans="1:45">
      <c r="B426" s="68" t="s">
        <v>242</v>
      </c>
      <c r="C426" s="68" t="s">
        <v>102</v>
      </c>
      <c r="D426" s="68" t="s">
        <v>225</v>
      </c>
      <c r="E426"/>
      <c r="I426" s="1313" t="s">
        <v>2251</v>
      </c>
      <c r="J426" s="1314"/>
      <c r="K426" s="1315"/>
      <c r="L426" s="1314"/>
      <c r="M426" s="1314">
        <f t="shared" ref="M426:R427" si="401">SUMIFS(INDEX(estimation,,M$424),INDEX(estimation,,2),$B426,INDEX(estimation,,3),$C426,INDEX(estimation,,4),$D426)</f>
        <v>1577</v>
      </c>
      <c r="N426" s="1314">
        <f t="shared" si="401"/>
        <v>1533</v>
      </c>
      <c r="O426" s="1314">
        <f t="shared" si="401"/>
        <v>1490</v>
      </c>
      <c r="P426" s="1314">
        <f t="shared" si="401"/>
        <v>1449</v>
      </c>
      <c r="Q426" s="1314">
        <f t="shared" si="401"/>
        <v>1409</v>
      </c>
      <c r="R426" s="1314">
        <f t="shared" si="401"/>
        <v>1371</v>
      </c>
      <c r="V426" s="72"/>
    </row>
    <row r="427" spans="1:45">
      <c r="B427" s="68" t="s">
        <v>242</v>
      </c>
      <c r="C427" s="68" t="s">
        <v>229</v>
      </c>
      <c r="D427" s="68" t="s">
        <v>225</v>
      </c>
      <c r="I427" s="1313" t="s">
        <v>2252</v>
      </c>
      <c r="J427" s="1314"/>
      <c r="K427" s="1315"/>
      <c r="L427" s="1314"/>
      <c r="M427" s="1314">
        <f t="shared" si="401"/>
        <v>424</v>
      </c>
      <c r="N427" s="1314">
        <f t="shared" si="401"/>
        <v>415</v>
      </c>
      <c r="O427" s="1314">
        <f t="shared" si="401"/>
        <v>406</v>
      </c>
      <c r="P427" s="1314">
        <f t="shared" si="401"/>
        <v>398</v>
      </c>
      <c r="Q427" s="1314">
        <f t="shared" si="401"/>
        <v>390</v>
      </c>
      <c r="R427" s="1314">
        <f t="shared" si="401"/>
        <v>382</v>
      </c>
      <c r="V427" s="72"/>
    </row>
    <row r="428" spans="1:45">
      <c r="I428" s="1313" t="s">
        <v>101</v>
      </c>
      <c r="J428" s="1314"/>
      <c r="K428" s="1315"/>
      <c r="L428" s="1314"/>
      <c r="M428" s="1314">
        <f>SUM(M426:M427)</f>
        <v>2001</v>
      </c>
      <c r="N428" s="1314">
        <f t="shared" ref="N428:R428" si="402">SUM(N426:N427)</f>
        <v>1948</v>
      </c>
      <c r="O428" s="1314">
        <f t="shared" si="402"/>
        <v>1896</v>
      </c>
      <c r="P428" s="1314">
        <f t="shared" si="402"/>
        <v>1847</v>
      </c>
      <c r="Q428" s="1314">
        <f t="shared" si="402"/>
        <v>1799</v>
      </c>
      <c r="R428" s="1314">
        <f t="shared" si="402"/>
        <v>1753</v>
      </c>
      <c r="V428" s="72"/>
    </row>
    <row r="429" spans="1:45">
      <c r="B429" s="68" t="s">
        <v>243</v>
      </c>
      <c r="C429" s="68" t="s">
        <v>102</v>
      </c>
      <c r="D429" s="68" t="s">
        <v>225</v>
      </c>
      <c r="I429" s="1313" t="s">
        <v>2253</v>
      </c>
      <c r="J429" s="1314"/>
      <c r="K429" s="1315"/>
      <c r="L429" s="1314"/>
      <c r="M429" s="1314">
        <f t="shared" ref="M429:R430" si="403">SUMIFS(INDEX(estimation,,M$424),INDEX(estimation,,2),$B429,INDEX(estimation,,3),$C429,INDEX(estimation,,4),$D429)</f>
        <v>64</v>
      </c>
      <c r="N429" s="1314">
        <f t="shared" si="403"/>
        <v>65</v>
      </c>
      <c r="O429" s="1314">
        <f t="shared" si="403"/>
        <v>66</v>
      </c>
      <c r="P429" s="1314">
        <f t="shared" si="403"/>
        <v>67</v>
      </c>
      <c r="Q429" s="1314">
        <f t="shared" si="403"/>
        <v>68</v>
      </c>
      <c r="R429" s="1314">
        <f t="shared" si="403"/>
        <v>69</v>
      </c>
      <c r="V429" s="72"/>
    </row>
    <row r="430" spans="1:45">
      <c r="B430" s="68" t="s">
        <v>243</v>
      </c>
      <c r="C430" s="68" t="s">
        <v>229</v>
      </c>
      <c r="D430" s="68" t="s">
        <v>225</v>
      </c>
      <c r="I430" s="1313" t="s">
        <v>2254</v>
      </c>
      <c r="J430" s="1314"/>
      <c r="K430" s="1315"/>
      <c r="L430" s="1314"/>
      <c r="M430" s="1314">
        <f t="shared" si="403"/>
        <v>19</v>
      </c>
      <c r="N430" s="1314">
        <f t="shared" si="403"/>
        <v>19</v>
      </c>
      <c r="O430" s="1314">
        <f t="shared" si="403"/>
        <v>19</v>
      </c>
      <c r="P430" s="1314">
        <f t="shared" si="403"/>
        <v>19</v>
      </c>
      <c r="Q430" s="1314">
        <f t="shared" si="403"/>
        <v>19</v>
      </c>
      <c r="R430" s="1314">
        <f t="shared" si="403"/>
        <v>19</v>
      </c>
      <c r="V430" s="72"/>
    </row>
    <row r="431" spans="1:45">
      <c r="I431" s="1313" t="s">
        <v>115</v>
      </c>
      <c r="J431" s="1314"/>
      <c r="K431" s="1315"/>
      <c r="L431" s="1314"/>
      <c r="M431" s="1314">
        <f>SUM(M429:M430)</f>
        <v>83</v>
      </c>
      <c r="N431" s="1314">
        <f t="shared" ref="N431:R431" si="404">SUM(N429:N430)</f>
        <v>84</v>
      </c>
      <c r="O431" s="1314">
        <f t="shared" si="404"/>
        <v>85</v>
      </c>
      <c r="P431" s="1314">
        <f t="shared" si="404"/>
        <v>86</v>
      </c>
      <c r="Q431" s="1314">
        <f t="shared" si="404"/>
        <v>87</v>
      </c>
      <c r="R431" s="1314">
        <f t="shared" si="404"/>
        <v>88</v>
      </c>
      <c r="V431" s="72"/>
    </row>
    <row r="432" spans="1:45">
      <c r="I432" s="1313" t="s">
        <v>2255</v>
      </c>
      <c r="J432" s="1314"/>
      <c r="K432" s="1315"/>
      <c r="L432" s="1314"/>
      <c r="M432" s="1314">
        <f t="shared" ref="M432:R433" si="405">M426+M429</f>
        <v>1641</v>
      </c>
      <c r="N432" s="1314">
        <f t="shared" si="405"/>
        <v>1598</v>
      </c>
      <c r="O432" s="1314">
        <f t="shared" si="405"/>
        <v>1556</v>
      </c>
      <c r="P432" s="1314">
        <f t="shared" si="405"/>
        <v>1516</v>
      </c>
      <c r="Q432" s="1314">
        <f t="shared" si="405"/>
        <v>1477</v>
      </c>
      <c r="R432" s="1314">
        <f t="shared" si="405"/>
        <v>1440</v>
      </c>
      <c r="V432" s="72"/>
    </row>
    <row r="433" spans="2:22">
      <c r="I433" s="1313" t="s">
        <v>2256</v>
      </c>
      <c r="J433" s="1314"/>
      <c r="K433" s="1315"/>
      <c r="L433" s="1314"/>
      <c r="M433" s="1314">
        <f t="shared" si="405"/>
        <v>443</v>
      </c>
      <c r="N433" s="1314">
        <f t="shared" si="405"/>
        <v>434</v>
      </c>
      <c r="O433" s="1314">
        <f t="shared" si="405"/>
        <v>425</v>
      </c>
      <c r="P433" s="1314">
        <f t="shared" si="405"/>
        <v>417</v>
      </c>
      <c r="Q433" s="1314">
        <f t="shared" si="405"/>
        <v>409</v>
      </c>
      <c r="R433" s="1314">
        <f t="shared" si="405"/>
        <v>401</v>
      </c>
      <c r="V433" s="72"/>
    </row>
    <row r="434" spans="2:22">
      <c r="I434" s="1313" t="s">
        <v>116</v>
      </c>
      <c r="J434" s="1314"/>
      <c r="K434" s="1315"/>
      <c r="L434" s="1314"/>
      <c r="M434" s="1314">
        <f>SUM(M432:M433)</f>
        <v>2084</v>
      </c>
      <c r="N434" s="1314">
        <f t="shared" ref="N434:R434" si="406">SUM(N432:N433)</f>
        <v>2032</v>
      </c>
      <c r="O434" s="1314">
        <f t="shared" si="406"/>
        <v>1981</v>
      </c>
      <c r="P434" s="1314">
        <f t="shared" si="406"/>
        <v>1933</v>
      </c>
      <c r="Q434" s="1314">
        <f t="shared" si="406"/>
        <v>1886</v>
      </c>
      <c r="R434" s="1314">
        <f t="shared" si="406"/>
        <v>1841</v>
      </c>
      <c r="V434" s="72"/>
    </row>
    <row r="435" spans="2:22">
      <c r="B435" s="68" t="s">
        <v>244</v>
      </c>
      <c r="C435" s="68" t="s">
        <v>102</v>
      </c>
      <c r="D435" s="68" t="s">
        <v>225</v>
      </c>
      <c r="I435" s="1313" t="s">
        <v>2257</v>
      </c>
      <c r="J435" s="1314"/>
      <c r="K435" s="1315"/>
      <c r="L435" s="1314"/>
      <c r="M435" s="1314">
        <f t="shared" ref="M435:R436" si="407">SUMIFS(INDEX(estimation,,M$424),INDEX(estimation,,2),$B435,INDEX(estimation,,3),$C435,INDEX(estimation,,4),$D435)</f>
        <v>323</v>
      </c>
      <c r="N435" s="1314">
        <f t="shared" si="407"/>
        <v>308</v>
      </c>
      <c r="O435" s="1314">
        <f t="shared" si="407"/>
        <v>294</v>
      </c>
      <c r="P435" s="1314">
        <f t="shared" si="407"/>
        <v>280</v>
      </c>
      <c r="Q435" s="1314">
        <f t="shared" si="407"/>
        <v>268</v>
      </c>
      <c r="R435" s="1314">
        <f t="shared" si="407"/>
        <v>256</v>
      </c>
      <c r="V435" s="72"/>
    </row>
    <row r="436" spans="2:22">
      <c r="B436" s="68" t="s">
        <v>244</v>
      </c>
      <c r="C436" s="68" t="s">
        <v>229</v>
      </c>
      <c r="D436" s="68" t="s">
        <v>225</v>
      </c>
      <c r="I436" s="1313" t="s">
        <v>2250</v>
      </c>
      <c r="J436" s="1314"/>
      <c r="K436" s="1315"/>
      <c r="L436" s="1314"/>
      <c r="M436" s="1314">
        <f t="shared" si="407"/>
        <v>103</v>
      </c>
      <c r="N436" s="1314">
        <f t="shared" si="407"/>
        <v>102</v>
      </c>
      <c r="O436" s="1314">
        <f t="shared" si="407"/>
        <v>101</v>
      </c>
      <c r="P436" s="1314">
        <f t="shared" si="407"/>
        <v>100</v>
      </c>
      <c r="Q436" s="1314">
        <f t="shared" si="407"/>
        <v>99</v>
      </c>
      <c r="R436" s="1314">
        <f t="shared" si="407"/>
        <v>98</v>
      </c>
      <c r="V436" s="72"/>
    </row>
    <row r="437" spans="2:22">
      <c r="I437" s="1313" t="s">
        <v>117</v>
      </c>
      <c r="J437" s="1314"/>
      <c r="K437" s="1315"/>
      <c r="L437" s="1314"/>
      <c r="M437" s="1314">
        <f>SUM(M435:M436)</f>
        <v>426</v>
      </c>
      <c r="N437" s="1314">
        <f t="shared" ref="N437:R437" si="408">SUM(N435:N436)</f>
        <v>410</v>
      </c>
      <c r="O437" s="1314">
        <f t="shared" si="408"/>
        <v>395</v>
      </c>
      <c r="P437" s="1314">
        <f t="shared" si="408"/>
        <v>380</v>
      </c>
      <c r="Q437" s="1314">
        <f t="shared" si="408"/>
        <v>367</v>
      </c>
      <c r="R437" s="1314">
        <f t="shared" si="408"/>
        <v>354</v>
      </c>
      <c r="V437" s="72"/>
    </row>
    <row r="438" spans="2:22">
      <c r="B438" s="68" t="s">
        <v>245</v>
      </c>
      <c r="C438" s="68" t="s">
        <v>102</v>
      </c>
      <c r="D438" s="68" t="s">
        <v>225</v>
      </c>
      <c r="I438" s="1313" t="s">
        <v>2258</v>
      </c>
      <c r="J438" s="1314"/>
      <c r="K438" s="1315"/>
      <c r="L438" s="1314"/>
      <c r="M438" s="1314">
        <f t="shared" ref="M438:R439" si="409">SUMIFS(INDEX(estimation,,M$424),INDEX(estimation,,2),$B438,INDEX(estimation,,3),$C438,INDEX(estimation,,4),$D438)</f>
        <v>22</v>
      </c>
      <c r="N438" s="1314">
        <f t="shared" si="409"/>
        <v>23</v>
      </c>
      <c r="O438" s="1314">
        <f t="shared" si="409"/>
        <v>24</v>
      </c>
      <c r="P438" s="1314">
        <f t="shared" si="409"/>
        <v>26</v>
      </c>
      <c r="Q438" s="1314">
        <f t="shared" si="409"/>
        <v>27</v>
      </c>
      <c r="R438" s="1314">
        <f t="shared" si="409"/>
        <v>28</v>
      </c>
      <c r="V438" s="72"/>
    </row>
    <row r="439" spans="2:22">
      <c r="B439" s="68" t="s">
        <v>245</v>
      </c>
      <c r="C439" s="68" t="s">
        <v>229</v>
      </c>
      <c r="D439" s="68" t="s">
        <v>225</v>
      </c>
      <c r="I439" s="1313" t="s">
        <v>2259</v>
      </c>
      <c r="J439" s="1314"/>
      <c r="K439" s="1315"/>
      <c r="L439" s="1314"/>
      <c r="M439" s="1314">
        <f t="shared" si="409"/>
        <v>11</v>
      </c>
      <c r="N439" s="1314">
        <f t="shared" si="409"/>
        <v>13</v>
      </c>
      <c r="O439" s="1314">
        <f t="shared" si="409"/>
        <v>14</v>
      </c>
      <c r="P439" s="1314">
        <f t="shared" si="409"/>
        <v>16</v>
      </c>
      <c r="Q439" s="1314">
        <f t="shared" si="409"/>
        <v>20</v>
      </c>
      <c r="R439" s="1314">
        <f t="shared" si="409"/>
        <v>23</v>
      </c>
      <c r="V439" s="72"/>
    </row>
    <row r="440" spans="2:22">
      <c r="I440" s="1313" t="s">
        <v>118</v>
      </c>
      <c r="J440" s="1314"/>
      <c r="K440" s="1315"/>
      <c r="L440" s="1314"/>
      <c r="M440" s="1314">
        <f>SUM(M438:M439)</f>
        <v>33</v>
      </c>
      <c r="N440" s="1314">
        <f t="shared" ref="N440" si="410">SUM(N438:N439)</f>
        <v>36</v>
      </c>
      <c r="O440" s="1314">
        <f t="shared" ref="O440" si="411">SUM(O438:O439)</f>
        <v>38</v>
      </c>
      <c r="P440" s="1314">
        <f t="shared" ref="P440" si="412">SUM(P438:P439)</f>
        <v>42</v>
      </c>
      <c r="Q440" s="1314">
        <f t="shared" ref="Q440" si="413">SUM(Q438:Q439)</f>
        <v>47</v>
      </c>
      <c r="R440" s="1314">
        <f t="shared" ref="R440" si="414">SUM(R438:R439)</f>
        <v>51</v>
      </c>
      <c r="V440" s="72"/>
    </row>
    <row r="441" spans="2:22">
      <c r="I441" s="1313" t="s">
        <v>2262</v>
      </c>
      <c r="J441" s="1314"/>
      <c r="K441" s="1315"/>
      <c r="L441" s="1314"/>
      <c r="M441" s="1314">
        <f>M435+M438</f>
        <v>345</v>
      </c>
      <c r="N441" s="1314">
        <f t="shared" ref="N441:R442" si="415">N435+N438</f>
        <v>331</v>
      </c>
      <c r="O441" s="1314">
        <f t="shared" si="415"/>
        <v>318</v>
      </c>
      <c r="P441" s="1314">
        <f t="shared" si="415"/>
        <v>306</v>
      </c>
      <c r="Q441" s="1314">
        <f t="shared" si="415"/>
        <v>295</v>
      </c>
      <c r="R441" s="1314">
        <f t="shared" si="415"/>
        <v>284</v>
      </c>
      <c r="V441" s="72"/>
    </row>
    <row r="442" spans="2:22">
      <c r="I442" s="1313" t="s">
        <v>2263</v>
      </c>
      <c r="J442" s="1314"/>
      <c r="K442" s="1315"/>
      <c r="L442" s="1314"/>
      <c r="M442" s="1314">
        <f>M436+M439</f>
        <v>114</v>
      </c>
      <c r="N442" s="1314">
        <f t="shared" si="415"/>
        <v>115</v>
      </c>
      <c r="O442" s="1314">
        <f t="shared" si="415"/>
        <v>115</v>
      </c>
      <c r="P442" s="1314">
        <f t="shared" si="415"/>
        <v>116</v>
      </c>
      <c r="Q442" s="1314">
        <f t="shared" si="415"/>
        <v>119</v>
      </c>
      <c r="R442" s="1314">
        <f t="shared" si="415"/>
        <v>121</v>
      </c>
      <c r="V442" s="72"/>
    </row>
    <row r="443" spans="2:22">
      <c r="I443" s="1313" t="s">
        <v>119</v>
      </c>
      <c r="J443" s="1314"/>
      <c r="K443" s="1315"/>
      <c r="L443" s="1314"/>
      <c r="M443" s="1314">
        <f>SUM(M441:M442)</f>
        <v>459</v>
      </c>
      <c r="N443" s="1314">
        <f t="shared" ref="N443" si="416">SUM(N441:N442)</f>
        <v>446</v>
      </c>
      <c r="O443" s="1314">
        <f t="shared" ref="O443" si="417">SUM(O441:O442)</f>
        <v>433</v>
      </c>
      <c r="P443" s="1314">
        <f t="shared" ref="P443" si="418">SUM(P441:P442)</f>
        <v>422</v>
      </c>
      <c r="Q443" s="1314">
        <f t="shared" ref="Q443" si="419">SUM(Q441:Q442)</f>
        <v>414</v>
      </c>
      <c r="R443" s="1314">
        <f t="shared" ref="R443" si="420">SUM(R441:R442)</f>
        <v>405</v>
      </c>
      <c r="V443" s="72"/>
    </row>
    <row r="444" spans="2:22">
      <c r="I444" s="1313" t="s">
        <v>2260</v>
      </c>
      <c r="J444" s="1314"/>
      <c r="K444" s="1315"/>
      <c r="L444" s="1314"/>
      <c r="M444" s="1314">
        <f>M441+M432</f>
        <v>1986</v>
      </c>
      <c r="N444" s="1314">
        <f t="shared" ref="N444:R445" si="421">N441+N432</f>
        <v>1929</v>
      </c>
      <c r="O444" s="1314">
        <f t="shared" si="421"/>
        <v>1874</v>
      </c>
      <c r="P444" s="1314">
        <f t="shared" si="421"/>
        <v>1822</v>
      </c>
      <c r="Q444" s="1314">
        <f t="shared" si="421"/>
        <v>1772</v>
      </c>
      <c r="R444" s="1314">
        <f t="shared" si="421"/>
        <v>1724</v>
      </c>
      <c r="V444" s="72"/>
    </row>
    <row r="445" spans="2:22">
      <c r="I445" s="1313" t="s">
        <v>2261</v>
      </c>
      <c r="J445" s="1314"/>
      <c r="K445" s="1315"/>
      <c r="L445" s="1314"/>
      <c r="M445" s="1314">
        <f>M442+M433</f>
        <v>557</v>
      </c>
      <c r="N445" s="1314">
        <f t="shared" si="421"/>
        <v>549</v>
      </c>
      <c r="O445" s="1314">
        <f t="shared" si="421"/>
        <v>540</v>
      </c>
      <c r="P445" s="1314">
        <f t="shared" si="421"/>
        <v>533</v>
      </c>
      <c r="Q445" s="1314">
        <f t="shared" si="421"/>
        <v>528</v>
      </c>
      <c r="R445" s="1314">
        <f t="shared" si="421"/>
        <v>522</v>
      </c>
      <c r="V445" s="72"/>
    </row>
    <row r="446" spans="2:22">
      <c r="I446" s="1313" t="s">
        <v>120</v>
      </c>
      <c r="J446" s="1314"/>
      <c r="K446" s="1315"/>
      <c r="L446" s="1314"/>
      <c r="M446" s="1314">
        <f>SUM(M444:M445)</f>
        <v>2543</v>
      </c>
      <c r="N446" s="1314">
        <f t="shared" ref="N446" si="422">SUM(N444:N445)</f>
        <v>2478</v>
      </c>
      <c r="O446" s="1314">
        <f t="shared" ref="O446" si="423">SUM(O444:O445)</f>
        <v>2414</v>
      </c>
      <c r="P446" s="1314">
        <f t="shared" ref="P446" si="424">SUM(P444:P445)</f>
        <v>2355</v>
      </c>
      <c r="Q446" s="1314">
        <f t="shared" ref="Q446" si="425">SUM(Q444:Q445)</f>
        <v>2300</v>
      </c>
      <c r="R446" s="1314">
        <f t="shared" ref="R446" si="426">SUM(R444:R445)</f>
        <v>2246</v>
      </c>
      <c r="V446" s="72"/>
    </row>
    <row r="447" spans="2:22">
      <c r="V447" s="72"/>
    </row>
    <row r="448" spans="2:22" ht="20" thickBot="1">
      <c r="G448" s="1296" t="s">
        <v>2268</v>
      </c>
      <c r="M448" s="1282">
        <v>13</v>
      </c>
      <c r="N448" s="1282">
        <v>14</v>
      </c>
      <c r="O448" s="1282">
        <v>15</v>
      </c>
      <c r="P448" s="1282">
        <v>16</v>
      </c>
      <c r="Q448" s="1282">
        <v>17</v>
      </c>
      <c r="R448" s="1282">
        <v>18</v>
      </c>
      <c r="V448" s="72"/>
    </row>
    <row r="449" spans="1:22" ht="20" thickBot="1">
      <c r="A449" s="1282"/>
      <c r="I449" s="261" t="s">
        <v>178</v>
      </c>
      <c r="J449" s="261"/>
      <c r="K449" s="1283"/>
      <c r="L449" s="261"/>
      <c r="M449" s="1431">
        <v>2020</v>
      </c>
      <c r="N449" s="1433">
        <v>2021</v>
      </c>
      <c r="O449" s="1433">
        <v>2022</v>
      </c>
      <c r="P449" s="1433">
        <v>2023</v>
      </c>
      <c r="Q449" s="1433">
        <v>2024</v>
      </c>
      <c r="R449" s="1434">
        <v>2025</v>
      </c>
      <c r="V449" s="72"/>
    </row>
    <row r="450" spans="1:22">
      <c r="A450" s="1282" t="s">
        <v>2264</v>
      </c>
      <c r="I450" s="1292" t="s">
        <v>102</v>
      </c>
      <c r="J450" s="1293"/>
      <c r="K450" s="1293"/>
      <c r="L450" s="1293"/>
      <c r="M450" s="1435">
        <f t="shared" ref="M450:R451" si="427">VLOOKUP($A450,estim_5years,M$448,0)</f>
        <v>0</v>
      </c>
      <c r="N450" s="1435">
        <f t="shared" si="427"/>
        <v>0.23</v>
      </c>
      <c r="O450" s="1435">
        <f t="shared" si="427"/>
        <v>0.23</v>
      </c>
      <c r="P450" s="1435">
        <f t="shared" si="427"/>
        <v>0.23</v>
      </c>
      <c r="Q450" s="1435">
        <f t="shared" si="427"/>
        <v>0.23</v>
      </c>
      <c r="R450" s="1435">
        <f t="shared" si="427"/>
        <v>0.23</v>
      </c>
      <c r="V450" s="72"/>
    </row>
    <row r="451" spans="1:22">
      <c r="A451" s="1282" t="s">
        <v>2265</v>
      </c>
      <c r="I451" s="1292" t="s">
        <v>229</v>
      </c>
      <c r="J451" s="1293"/>
      <c r="K451" s="1295"/>
      <c r="L451" s="1293"/>
      <c r="M451" s="1294">
        <f t="shared" si="427"/>
        <v>0</v>
      </c>
      <c r="N451" s="1294">
        <f t="shared" si="427"/>
        <v>0.51</v>
      </c>
      <c r="O451" s="1294">
        <f t="shared" si="427"/>
        <v>0.51</v>
      </c>
      <c r="P451" s="1294">
        <f t="shared" si="427"/>
        <v>0.51</v>
      </c>
      <c r="Q451" s="1294">
        <f t="shared" si="427"/>
        <v>0.51</v>
      </c>
      <c r="R451" s="1294">
        <f t="shared" si="427"/>
        <v>0.51</v>
      </c>
      <c r="V451" s="72"/>
    </row>
    <row r="452" spans="1:22">
      <c r="A452" s="1282"/>
      <c r="I452" s="261" t="s">
        <v>179</v>
      </c>
      <c r="J452" s="261"/>
      <c r="K452" s="1283"/>
      <c r="L452" s="261"/>
      <c r="M452" s="261"/>
      <c r="N452" s="261"/>
      <c r="O452" s="261"/>
      <c r="P452" s="261"/>
      <c r="Q452" s="261"/>
      <c r="R452" s="261"/>
      <c r="V452" s="72"/>
    </row>
    <row r="453" spans="1:22">
      <c r="A453" s="1282" t="s">
        <v>2266</v>
      </c>
      <c r="I453" s="1292" t="s">
        <v>102</v>
      </c>
      <c r="J453" s="1293"/>
      <c r="K453" s="1295"/>
      <c r="L453" s="1293"/>
      <c r="M453" s="1294">
        <f t="shared" ref="M453:R454" si="428">VLOOKUP($A453,estim_5years,M$448,0)</f>
        <v>0</v>
      </c>
      <c r="N453" s="1294">
        <f t="shared" si="428"/>
        <v>0.48</v>
      </c>
      <c r="O453" s="1294">
        <f t="shared" si="428"/>
        <v>0.48</v>
      </c>
      <c r="P453" s="1294">
        <f t="shared" si="428"/>
        <v>0.48</v>
      </c>
      <c r="Q453" s="1294">
        <f t="shared" si="428"/>
        <v>0.48</v>
      </c>
      <c r="R453" s="1294">
        <f t="shared" si="428"/>
        <v>0.48</v>
      </c>
      <c r="V453" s="72"/>
    </row>
    <row r="454" spans="1:22">
      <c r="A454" s="1282" t="s">
        <v>2267</v>
      </c>
      <c r="I454" s="1292" t="s">
        <v>229</v>
      </c>
      <c r="J454" s="1293"/>
      <c r="K454" s="1295"/>
      <c r="L454" s="1293"/>
      <c r="M454" s="1294">
        <f t="shared" si="428"/>
        <v>0</v>
      </c>
      <c r="N454" s="1294">
        <f t="shared" si="428"/>
        <v>0.7</v>
      </c>
      <c r="O454" s="1294">
        <f t="shared" si="428"/>
        <v>0.7</v>
      </c>
      <c r="P454" s="1294">
        <f t="shared" si="428"/>
        <v>0.7</v>
      </c>
      <c r="Q454" s="1294">
        <f t="shared" si="428"/>
        <v>0.7</v>
      </c>
      <c r="R454" s="1294">
        <f t="shared" si="428"/>
        <v>0.7</v>
      </c>
      <c r="V454" s="72"/>
    </row>
    <row r="455" spans="1:22">
      <c r="I455" s="261"/>
      <c r="J455" s="261"/>
      <c r="K455" s="1283"/>
      <c r="L455" s="261"/>
      <c r="M455" s="261"/>
      <c r="N455" s="261"/>
      <c r="O455" s="261"/>
      <c r="P455" s="261"/>
      <c r="Q455" s="261"/>
      <c r="R455" s="261"/>
      <c r="V455" s="72"/>
    </row>
    <row r="456" spans="1:22" ht="19">
      <c r="G456" s="1296" t="s">
        <v>2269</v>
      </c>
      <c r="V456" s="72"/>
    </row>
    <row r="457" spans="1:22">
      <c r="V457" s="72"/>
    </row>
    <row r="458" spans="1:22">
      <c r="I458" s="1297" t="s">
        <v>2270</v>
      </c>
      <c r="J458" s="1298"/>
      <c r="K458" s="1299"/>
      <c r="L458" s="1298"/>
      <c r="M458" s="1300"/>
      <c r="N458" s="1301">
        <v>5</v>
      </c>
      <c r="O458" s="1301">
        <v>5</v>
      </c>
      <c r="P458" s="1301">
        <v>5</v>
      </c>
      <c r="Q458" s="1301">
        <v>5</v>
      </c>
      <c r="R458" s="1301">
        <v>5</v>
      </c>
      <c r="V458" s="72"/>
    </row>
    <row r="459" spans="1:22">
      <c r="I459" s="1297" t="s">
        <v>170</v>
      </c>
      <c r="J459" s="1298"/>
      <c r="K459" s="1299"/>
      <c r="L459" s="1298"/>
      <c r="M459" s="1300"/>
      <c r="N459" s="1301">
        <v>3</v>
      </c>
      <c r="O459" s="1301">
        <v>3</v>
      </c>
      <c r="P459" s="1301">
        <v>3</v>
      </c>
      <c r="Q459" s="1301">
        <v>3</v>
      </c>
      <c r="R459" s="1301">
        <v>3</v>
      </c>
      <c r="V459" s="72"/>
    </row>
    <row r="460" spans="1:22">
      <c r="V460" s="72"/>
    </row>
    <row r="461" spans="1:22">
      <c r="I461" s="1297" t="s">
        <v>2279</v>
      </c>
      <c r="J461" s="1298"/>
      <c r="K461" s="1299"/>
      <c r="L461" s="1298"/>
      <c r="M461" s="1300"/>
      <c r="N461" s="1300">
        <f>Procent_copii</f>
        <v>0.18977118835544857</v>
      </c>
      <c r="O461" s="1300">
        <f>Procent_copii</f>
        <v>0.18977118835544857</v>
      </c>
      <c r="P461" s="1300">
        <f>Procent_copii</f>
        <v>0.18977118835544857</v>
      </c>
      <c r="Q461" s="1300">
        <f>Procent_copii</f>
        <v>0.18977118835544857</v>
      </c>
      <c r="R461" s="1300">
        <f>Procent_copii</f>
        <v>0.18977118835544857</v>
      </c>
      <c r="V461" s="72"/>
    </row>
    <row r="462" spans="1:22">
      <c r="A462" s="68"/>
      <c r="I462" s="1297" t="s">
        <v>2278</v>
      </c>
      <c r="J462" s="1298"/>
      <c r="K462" s="1299"/>
      <c r="L462" s="1298"/>
      <c r="M462" s="1300"/>
      <c r="N462" s="1300">
        <f>Preocent_adulti</f>
        <v>0.81022881164455141</v>
      </c>
      <c r="O462" s="1300">
        <f>Preocent_adulti</f>
        <v>0.81022881164455141</v>
      </c>
      <c r="P462" s="1300">
        <f>Preocent_adulti</f>
        <v>0.81022881164455141</v>
      </c>
      <c r="Q462" s="1300">
        <f>Preocent_adulti</f>
        <v>0.81022881164455141</v>
      </c>
      <c r="R462" s="1300">
        <f>Preocent_adulti</f>
        <v>0.81022881164455141</v>
      </c>
      <c r="V462" s="72"/>
    </row>
    <row r="463" spans="1:22">
      <c r="A463" s="68"/>
      <c r="V463" s="72"/>
    </row>
    <row r="464" spans="1:22" ht="19">
      <c r="A464" s="68"/>
      <c r="G464" s="1296" t="s">
        <v>2277</v>
      </c>
      <c r="V464" s="72"/>
    </row>
    <row r="465" spans="1:22" ht="19">
      <c r="A465" s="68"/>
      <c r="G465" s="1296"/>
      <c r="I465" s="1296" t="s">
        <v>2284</v>
      </c>
      <c r="V465" s="72"/>
    </row>
    <row r="466" spans="1:22">
      <c r="A466" s="68" t="str">
        <f>B466&amp;"_"&amp;C466&amp;"_"&amp;"_"&amp;D466&amp;"_"&amp;E466</f>
        <v>RB(civil)_DS__contacts_adults</v>
      </c>
      <c r="B466" s="68" t="s">
        <v>242</v>
      </c>
      <c r="C466" s="68" t="s">
        <v>2286</v>
      </c>
      <c r="D466" s="68" t="s">
        <v>2281</v>
      </c>
      <c r="E466" s="68" t="s">
        <v>2282</v>
      </c>
      <c r="I466" s="67" t="s">
        <v>2271</v>
      </c>
      <c r="N466" s="67">
        <f>ROUND(((N426*(1-N$450))+(N427*(1-N$451)))*N$462*N$458,0)</f>
        <v>5606</v>
      </c>
      <c r="O466" s="67">
        <f t="shared" ref="O466:R466" si="429">ROUND(((O426*(1-O$450))+(O427*(1-O$451)))*O$462*O$458,0)</f>
        <v>5454</v>
      </c>
      <c r="P466" s="67">
        <f t="shared" si="429"/>
        <v>5310</v>
      </c>
      <c r="Q466" s="67">
        <f t="shared" si="429"/>
        <v>5169</v>
      </c>
      <c r="R466" s="67">
        <f t="shared" si="429"/>
        <v>5035</v>
      </c>
      <c r="V466" s="72"/>
    </row>
    <row r="467" spans="1:22">
      <c r="A467" s="68" t="str">
        <f>B467&amp;"_"&amp;C467&amp;"_"&amp;"_"&amp;D467&amp;"_"&amp;E467</f>
        <v>RB(penit)_DS__contacts_adults</v>
      </c>
      <c r="B467" s="68" t="s">
        <v>243</v>
      </c>
      <c r="C467" s="68" t="s">
        <v>2286</v>
      </c>
      <c r="D467" s="68" t="s">
        <v>2281</v>
      </c>
      <c r="E467" s="68" t="s">
        <v>2282</v>
      </c>
      <c r="I467" s="67" t="s">
        <v>2272</v>
      </c>
      <c r="N467" s="67">
        <f>ROUND(((N429*(1-N$450))+(N430*(1-N$451)))*N$458,0)</f>
        <v>297</v>
      </c>
      <c r="O467" s="67">
        <f t="shared" ref="O467:R467" si="430">ROUND(((O429*(1-O$450))+(O430*(1-O$451)))*O$458,0)</f>
        <v>301</v>
      </c>
      <c r="P467" s="67">
        <f t="shared" si="430"/>
        <v>305</v>
      </c>
      <c r="Q467" s="67">
        <f t="shared" si="430"/>
        <v>308</v>
      </c>
      <c r="R467" s="67">
        <f t="shared" si="430"/>
        <v>312</v>
      </c>
      <c r="V467" s="72"/>
    </row>
    <row r="468" spans="1:22">
      <c r="A468" s="68"/>
      <c r="I468" s="67" t="s">
        <v>2273</v>
      </c>
      <c r="N468" s="67">
        <f>SUM(N466:N467)</f>
        <v>5903</v>
      </c>
      <c r="O468" s="67">
        <f t="shared" ref="O468" si="431">SUM(O466:O467)</f>
        <v>5755</v>
      </c>
      <c r="P468" s="67">
        <f t="shared" ref="P468" si="432">SUM(P466:P467)</f>
        <v>5615</v>
      </c>
      <c r="Q468" s="67">
        <f t="shared" ref="Q468" si="433">SUM(Q466:Q467)</f>
        <v>5477</v>
      </c>
      <c r="R468" s="67">
        <f t="shared" ref="R468" si="434">SUM(R466:R467)</f>
        <v>5347</v>
      </c>
      <c r="V468" s="72"/>
    </row>
    <row r="469" spans="1:22">
      <c r="A469" s="68" t="str">
        <f>B469&amp;"_"&amp;C469&amp;"_"&amp;"_"&amp;D469&amp;"_"&amp;E469</f>
        <v>LB(civil)_DS__contacts_adults</v>
      </c>
      <c r="B469" s="68" t="s">
        <v>244</v>
      </c>
      <c r="C469" s="68" t="s">
        <v>2286</v>
      </c>
      <c r="D469" s="68" t="s">
        <v>2281</v>
      </c>
      <c r="E469" s="68" t="s">
        <v>2282</v>
      </c>
      <c r="I469" s="67" t="s">
        <v>2274</v>
      </c>
      <c r="N469" s="67">
        <f>ROUND(((N435*(1-N453))+(N436*(1-N454)))*N$462*N$458,0)</f>
        <v>773</v>
      </c>
      <c r="O469" s="67">
        <f t="shared" ref="O469:R469" si="435">ROUND(((O435*(1-O453))+(O436*(1-O454)))*O$462*O$458,0)</f>
        <v>742</v>
      </c>
      <c r="P469" s="67">
        <f t="shared" si="435"/>
        <v>711</v>
      </c>
      <c r="Q469" s="67">
        <f t="shared" si="435"/>
        <v>685</v>
      </c>
      <c r="R469" s="67">
        <f t="shared" si="435"/>
        <v>658</v>
      </c>
      <c r="V469" s="72"/>
    </row>
    <row r="470" spans="1:22">
      <c r="A470" s="68" t="str">
        <f>B470&amp;"_"&amp;C470&amp;"_"&amp;"_"&amp;D470&amp;"_"&amp;E470</f>
        <v>LB(penit)_DS__contacts_adults</v>
      </c>
      <c r="B470" s="68" t="s">
        <v>245</v>
      </c>
      <c r="C470" s="68" t="s">
        <v>2286</v>
      </c>
      <c r="D470" s="68" t="s">
        <v>2281</v>
      </c>
      <c r="E470" s="68" t="s">
        <v>2282</v>
      </c>
      <c r="I470" s="67" t="s">
        <v>2275</v>
      </c>
      <c r="N470" s="67">
        <f>ROUND(((N438*(1-N453))+(N439*(1-N454)))*N$462*N$458,0)</f>
        <v>64</v>
      </c>
      <c r="O470" s="67">
        <f t="shared" ref="O470:R470" si="436">ROUND(((O438*(1-O453))+(O439*(1-O454)))*O$462*O$458,0)</f>
        <v>68</v>
      </c>
      <c r="P470" s="67">
        <f t="shared" si="436"/>
        <v>74</v>
      </c>
      <c r="Q470" s="67">
        <f t="shared" si="436"/>
        <v>81</v>
      </c>
      <c r="R470" s="67">
        <f t="shared" si="436"/>
        <v>87</v>
      </c>
      <c r="V470" s="72"/>
    </row>
    <row r="471" spans="1:22">
      <c r="A471" s="68"/>
      <c r="I471" s="67" t="s">
        <v>2276</v>
      </c>
      <c r="N471" s="67">
        <f>SUM(N469:N470)</f>
        <v>837</v>
      </c>
      <c r="O471" s="67">
        <f t="shared" ref="O471" si="437">SUM(O469:O470)</f>
        <v>810</v>
      </c>
      <c r="P471" s="67">
        <f t="shared" ref="P471" si="438">SUM(P469:P470)</f>
        <v>785</v>
      </c>
      <c r="Q471" s="67">
        <f t="shared" ref="Q471" si="439">SUM(Q469:Q470)</f>
        <v>766</v>
      </c>
      <c r="R471" s="67">
        <f t="shared" ref="R471" si="440">SUM(R469:R470)</f>
        <v>745</v>
      </c>
      <c r="V471" s="72"/>
    </row>
    <row r="472" spans="1:22">
      <c r="A472" s="68"/>
      <c r="I472" s="67" t="s">
        <v>177</v>
      </c>
      <c r="N472" s="67">
        <f>N471+N468</f>
        <v>6740</v>
      </c>
      <c r="O472" s="67">
        <f t="shared" ref="O472" si="441">O471+O468</f>
        <v>6565</v>
      </c>
      <c r="P472" s="67">
        <f t="shared" ref="P472" si="442">P471+P468</f>
        <v>6400</v>
      </c>
      <c r="Q472" s="67">
        <f t="shared" ref="Q472" si="443">Q471+Q468</f>
        <v>6243</v>
      </c>
      <c r="R472" s="67">
        <f t="shared" ref="R472" si="444">R471+R468</f>
        <v>6092</v>
      </c>
      <c r="V472" s="72"/>
    </row>
    <row r="473" spans="1:22">
      <c r="A473" s="68"/>
      <c r="V473" s="72"/>
    </row>
    <row r="474" spans="1:22">
      <c r="A474" s="68"/>
      <c r="V474" s="72"/>
    </row>
    <row r="475" spans="1:22" ht="19">
      <c r="A475" s="68"/>
      <c r="B475" s="68"/>
      <c r="I475" s="1296" t="s">
        <v>2285</v>
      </c>
      <c r="V475" s="72"/>
    </row>
    <row r="476" spans="1:22">
      <c r="A476" s="68" t="str">
        <f>B476&amp;"_"&amp;C476&amp;"_"&amp;"_"&amp;D476&amp;"_"&amp;E476</f>
        <v>RB(civil)_DS__contacts_children</v>
      </c>
      <c r="B476" s="68" t="s">
        <v>242</v>
      </c>
      <c r="C476" s="68" t="s">
        <v>2286</v>
      </c>
      <c r="D476" s="68" t="s">
        <v>2281</v>
      </c>
      <c r="E476" s="68" t="s">
        <v>2283</v>
      </c>
      <c r="I476" s="67" t="s">
        <v>2271</v>
      </c>
      <c r="N476" s="67">
        <f>ROUND(((N426*(1-N$450))+(N427*(1-N$451)))*N$461*N$458,0)</f>
        <v>1313</v>
      </c>
      <c r="O476" s="67">
        <f t="shared" ref="O476:R476" si="445">ROUND(((O426*(1-O$450))+(O427*(1-O$451)))*O$461*O$458,0)</f>
        <v>1277</v>
      </c>
      <c r="P476" s="67">
        <f t="shared" si="445"/>
        <v>1244</v>
      </c>
      <c r="Q476" s="67">
        <f t="shared" si="445"/>
        <v>1211</v>
      </c>
      <c r="R476" s="67">
        <f t="shared" si="445"/>
        <v>1179</v>
      </c>
      <c r="V476" s="72"/>
    </row>
    <row r="477" spans="1:22">
      <c r="A477" s="68" t="str">
        <f>B477&amp;"_"&amp;C477&amp;"_"&amp;"_"&amp;D477&amp;"_"&amp;E477</f>
        <v>RB(penit)_DS__contacts_children</v>
      </c>
      <c r="B477" s="68" t="s">
        <v>243</v>
      </c>
      <c r="C477" s="68" t="s">
        <v>2286</v>
      </c>
      <c r="D477" s="68" t="s">
        <v>2281</v>
      </c>
      <c r="E477" s="68" t="s">
        <v>2283</v>
      </c>
      <c r="I477" s="67" t="s">
        <v>2272</v>
      </c>
      <c r="N477" s="67" t="s">
        <v>95</v>
      </c>
      <c r="O477" s="67" t="s">
        <v>95</v>
      </c>
      <c r="P477" s="67" t="s">
        <v>95</v>
      </c>
      <c r="Q477" s="67" t="s">
        <v>95</v>
      </c>
      <c r="R477" s="67" t="s">
        <v>95</v>
      </c>
      <c r="V477" s="72"/>
    </row>
    <row r="478" spans="1:22">
      <c r="A478" s="68"/>
      <c r="I478" s="67" t="s">
        <v>2273</v>
      </c>
      <c r="N478" s="67">
        <f>SUM(N476:N477)</f>
        <v>1313</v>
      </c>
      <c r="O478" s="67">
        <f t="shared" ref="O478" si="446">SUM(O476:O477)</f>
        <v>1277</v>
      </c>
      <c r="P478" s="67">
        <f t="shared" ref="P478" si="447">SUM(P476:P477)</f>
        <v>1244</v>
      </c>
      <c r="Q478" s="67">
        <f t="shared" ref="Q478" si="448">SUM(Q476:Q477)</f>
        <v>1211</v>
      </c>
      <c r="R478" s="67">
        <f t="shared" ref="R478" si="449">SUM(R476:R477)</f>
        <v>1179</v>
      </c>
      <c r="V478" s="72"/>
    </row>
    <row r="479" spans="1:22">
      <c r="A479" s="68" t="str">
        <f>B479&amp;"_"&amp;C479&amp;"_"&amp;"_"&amp;D479&amp;"_"&amp;E479</f>
        <v>LB(civil)_DS__contacts_children</v>
      </c>
      <c r="B479" s="68" t="s">
        <v>244</v>
      </c>
      <c r="C479" s="68" t="s">
        <v>2286</v>
      </c>
      <c r="D479" s="68" t="s">
        <v>2281</v>
      </c>
      <c r="E479" s="68" t="s">
        <v>2283</v>
      </c>
      <c r="I479" s="67" t="s">
        <v>2274</v>
      </c>
      <c r="N479" s="67">
        <f>ROUND(((N435*(1-N453))+(N436*(1-N454)))*N$461*N$458,0)</f>
        <v>181</v>
      </c>
      <c r="O479" s="67">
        <f t="shared" ref="O479:R479" si="450">ROUND(((O435*(1-O453))+(O436*(1-O454)))*O$461*O$458,0)</f>
        <v>174</v>
      </c>
      <c r="P479" s="67">
        <f t="shared" si="450"/>
        <v>167</v>
      </c>
      <c r="Q479" s="67">
        <f t="shared" si="450"/>
        <v>160</v>
      </c>
      <c r="R479" s="67">
        <f t="shared" si="450"/>
        <v>154</v>
      </c>
      <c r="V479" s="72"/>
    </row>
    <row r="480" spans="1:22">
      <c r="A480" s="68" t="str">
        <f>B480&amp;"_"&amp;C480&amp;"_"&amp;"_"&amp;D480&amp;"_"&amp;E480</f>
        <v>LB(penit)_DS__contacts_children</v>
      </c>
      <c r="B480" s="68" t="s">
        <v>245</v>
      </c>
      <c r="C480" s="68" t="s">
        <v>2286</v>
      </c>
      <c r="D480" s="68" t="s">
        <v>2281</v>
      </c>
      <c r="E480" s="68" t="s">
        <v>2283</v>
      </c>
      <c r="I480" s="67" t="s">
        <v>2275</v>
      </c>
      <c r="N480" s="67" t="s">
        <v>95</v>
      </c>
      <c r="O480" s="67" t="s">
        <v>95</v>
      </c>
      <c r="P480" s="67" t="s">
        <v>95</v>
      </c>
      <c r="Q480" s="67" t="s">
        <v>95</v>
      </c>
      <c r="R480" s="67" t="s">
        <v>95</v>
      </c>
      <c r="V480" s="72"/>
    </row>
    <row r="481" spans="1:22">
      <c r="A481" s="68"/>
      <c r="I481" s="67" t="s">
        <v>2276</v>
      </c>
      <c r="N481" s="67">
        <f>SUM(N479:N480)</f>
        <v>181</v>
      </c>
      <c r="O481" s="67">
        <f t="shared" ref="O481" si="451">SUM(O479:O480)</f>
        <v>174</v>
      </c>
      <c r="P481" s="67">
        <f t="shared" ref="P481" si="452">SUM(P479:P480)</f>
        <v>167</v>
      </c>
      <c r="Q481" s="67">
        <f t="shared" ref="Q481" si="453">SUM(Q479:Q480)</f>
        <v>160</v>
      </c>
      <c r="R481" s="67">
        <f t="shared" ref="R481" si="454">SUM(R479:R480)</f>
        <v>154</v>
      </c>
      <c r="V481" s="72"/>
    </row>
    <row r="482" spans="1:22">
      <c r="A482" s="68"/>
      <c r="I482" s="67" t="s">
        <v>177</v>
      </c>
      <c r="N482" s="67">
        <f>N481+N478</f>
        <v>1494</v>
      </c>
      <c r="O482" s="67">
        <f t="shared" ref="O482" si="455">O481+O478</f>
        <v>1451</v>
      </c>
      <c r="P482" s="67">
        <f t="shared" ref="P482" si="456">P481+P478</f>
        <v>1411</v>
      </c>
      <c r="Q482" s="67">
        <f t="shared" ref="Q482" si="457">Q481+Q478</f>
        <v>1371</v>
      </c>
      <c r="R482" s="67">
        <f t="shared" ref="R482" si="458">R481+R478</f>
        <v>1333</v>
      </c>
      <c r="V482" s="72"/>
    </row>
    <row r="483" spans="1:22">
      <c r="A483" s="68"/>
      <c r="V483" s="72"/>
    </row>
    <row r="484" spans="1:22" ht="19">
      <c r="A484" s="68"/>
      <c r="G484" s="1296" t="s">
        <v>2280</v>
      </c>
      <c r="V484" s="72"/>
    </row>
    <row r="485" spans="1:22" ht="19">
      <c r="A485" s="68"/>
      <c r="G485" s="1296"/>
      <c r="I485" s="1296" t="s">
        <v>2284</v>
      </c>
      <c r="V485" s="72"/>
    </row>
    <row r="486" spans="1:22">
      <c r="A486" s="68" t="str">
        <f>B486&amp;"_"&amp;C486&amp;"_"&amp;"_"&amp;D486&amp;"_"&amp;E486</f>
        <v>RB(civil)_RR/MDR__contacts_adults</v>
      </c>
      <c r="B486" s="68" t="s">
        <v>242</v>
      </c>
      <c r="C486" s="68" t="s">
        <v>125</v>
      </c>
      <c r="D486" s="68" t="s">
        <v>2281</v>
      </c>
      <c r="E486" s="68" t="s">
        <v>2282</v>
      </c>
      <c r="I486" s="67" t="s">
        <v>2271</v>
      </c>
      <c r="K486" s="67"/>
      <c r="N486" s="67">
        <f>ROUND(((N426*N$450)+(N427*N$451))*N$462*N$459,0)</f>
        <v>1371</v>
      </c>
      <c r="O486" s="67">
        <f t="shared" ref="O486:R486" si="459">ROUND(((O426*O$450)+(O427*O$451))*O$462*O$459,0)</f>
        <v>1336</v>
      </c>
      <c r="P486" s="67">
        <f t="shared" si="459"/>
        <v>1303</v>
      </c>
      <c r="Q486" s="67">
        <f t="shared" si="459"/>
        <v>1271</v>
      </c>
      <c r="R486" s="67">
        <f t="shared" si="459"/>
        <v>1240</v>
      </c>
      <c r="V486" s="72"/>
    </row>
    <row r="487" spans="1:22">
      <c r="A487" s="68" t="str">
        <f>B487&amp;"_"&amp;C487&amp;"_"&amp;"_"&amp;D487&amp;"_"&amp;E487</f>
        <v>RB(penit)_RR/MDR__contacts_adults</v>
      </c>
      <c r="B487" s="68" t="s">
        <v>243</v>
      </c>
      <c r="C487" s="68" t="s">
        <v>125</v>
      </c>
      <c r="D487" s="68" t="s">
        <v>2281</v>
      </c>
      <c r="E487" s="68" t="s">
        <v>2282</v>
      </c>
      <c r="I487" s="67" t="s">
        <v>2272</v>
      </c>
      <c r="K487" s="67"/>
      <c r="N487" s="67">
        <f>ROUND(((N429*N$450)+(N430*N$451))*N$459,0)</f>
        <v>74</v>
      </c>
      <c r="O487" s="67">
        <f t="shared" ref="O487:R487" si="460">ROUND(((O429*O$450)+(O430*O$451))*O$459,0)</f>
        <v>75</v>
      </c>
      <c r="P487" s="67">
        <f t="shared" si="460"/>
        <v>75</v>
      </c>
      <c r="Q487" s="67">
        <f t="shared" si="460"/>
        <v>76</v>
      </c>
      <c r="R487" s="67">
        <f t="shared" si="460"/>
        <v>77</v>
      </c>
      <c r="V487" s="72"/>
    </row>
    <row r="488" spans="1:22">
      <c r="A488" s="68"/>
      <c r="I488" s="67" t="s">
        <v>2273</v>
      </c>
      <c r="K488" s="67"/>
      <c r="N488" s="67">
        <f>SUM(N486:N487)</f>
        <v>1445</v>
      </c>
      <c r="O488" s="67">
        <f t="shared" ref="O488:R488" si="461">SUM(O486:O487)</f>
        <v>1411</v>
      </c>
      <c r="P488" s="67">
        <f t="shared" si="461"/>
        <v>1378</v>
      </c>
      <c r="Q488" s="67">
        <f t="shared" si="461"/>
        <v>1347</v>
      </c>
      <c r="R488" s="67">
        <f t="shared" si="461"/>
        <v>1317</v>
      </c>
      <c r="V488" s="72"/>
    </row>
    <row r="489" spans="1:22">
      <c r="A489" s="68" t="str">
        <f>B489&amp;"_"&amp;C489&amp;"_"&amp;"_"&amp;D489&amp;"_"&amp;E489</f>
        <v>LB(civil)_RR/MDR__contacts_adults</v>
      </c>
      <c r="B489" s="68" t="s">
        <v>244</v>
      </c>
      <c r="C489" s="68" t="s">
        <v>125</v>
      </c>
      <c r="D489" s="68" t="s">
        <v>2281</v>
      </c>
      <c r="E489" s="68" t="s">
        <v>2282</v>
      </c>
      <c r="I489" s="67" t="s">
        <v>2274</v>
      </c>
      <c r="K489" s="67"/>
      <c r="N489" s="67">
        <f>ROUND(((N435*N453)+(N436*N454))*N$462*N$459,0)</f>
        <v>533</v>
      </c>
      <c r="O489" s="67">
        <f t="shared" ref="O489:R489" si="462">ROUND(((O435*O453)+(O436*O454))*O$462*O$459,0)</f>
        <v>515</v>
      </c>
      <c r="P489" s="67">
        <f t="shared" si="462"/>
        <v>497</v>
      </c>
      <c r="Q489" s="67">
        <f t="shared" si="462"/>
        <v>481</v>
      </c>
      <c r="R489" s="67">
        <f t="shared" si="462"/>
        <v>465</v>
      </c>
      <c r="V489" s="72"/>
    </row>
    <row r="490" spans="1:22">
      <c r="A490" s="68" t="str">
        <f>B490&amp;"_"&amp;C490&amp;"_"&amp;"_"&amp;D490&amp;"_"&amp;E490</f>
        <v>LB(penit)_RR/MDR__contacts_adults</v>
      </c>
      <c r="B490" s="68" t="s">
        <v>245</v>
      </c>
      <c r="C490" s="68" t="s">
        <v>125</v>
      </c>
      <c r="D490" s="68" t="s">
        <v>2281</v>
      </c>
      <c r="E490" s="68" t="s">
        <v>2282</v>
      </c>
      <c r="I490" s="67" t="s">
        <v>2275</v>
      </c>
      <c r="K490" s="67"/>
      <c r="N490" s="67">
        <f>ROUND(((N438*N453)+(N439*N454))*N459,0)</f>
        <v>60</v>
      </c>
      <c r="O490" s="67">
        <f t="shared" ref="O490:R490" si="463">ROUND(((O438*O453)+(O439*O454))*O459,0)</f>
        <v>64</v>
      </c>
      <c r="P490" s="67">
        <f t="shared" si="463"/>
        <v>71</v>
      </c>
      <c r="Q490" s="67">
        <f t="shared" si="463"/>
        <v>81</v>
      </c>
      <c r="R490" s="67">
        <f t="shared" si="463"/>
        <v>89</v>
      </c>
      <c r="V490" s="72"/>
    </row>
    <row r="491" spans="1:22">
      <c r="A491" s="68"/>
      <c r="I491" s="67" t="s">
        <v>2276</v>
      </c>
      <c r="K491" s="67"/>
      <c r="N491" s="67">
        <f>SUM(N489:N490)</f>
        <v>593</v>
      </c>
      <c r="O491" s="67">
        <f t="shared" ref="O491:R491" si="464">SUM(O489:O490)</f>
        <v>579</v>
      </c>
      <c r="P491" s="67">
        <f t="shared" si="464"/>
        <v>568</v>
      </c>
      <c r="Q491" s="67">
        <f t="shared" si="464"/>
        <v>562</v>
      </c>
      <c r="R491" s="67">
        <f t="shared" si="464"/>
        <v>554</v>
      </c>
      <c r="V491" s="72"/>
    </row>
    <row r="492" spans="1:22">
      <c r="A492" s="68"/>
      <c r="I492" s="67" t="s">
        <v>177</v>
      </c>
      <c r="K492" s="67"/>
      <c r="N492" s="67">
        <f>N491+N488</f>
        <v>2038</v>
      </c>
      <c r="O492" s="67">
        <f t="shared" ref="O492:R492" si="465">O491+O488</f>
        <v>1990</v>
      </c>
      <c r="P492" s="67">
        <f t="shared" si="465"/>
        <v>1946</v>
      </c>
      <c r="Q492" s="67">
        <f t="shared" si="465"/>
        <v>1909</v>
      </c>
      <c r="R492" s="67">
        <f t="shared" si="465"/>
        <v>1871</v>
      </c>
      <c r="V492" s="72"/>
    </row>
    <row r="493" spans="1:22">
      <c r="A493" s="68"/>
      <c r="V493" s="72"/>
    </row>
    <row r="494" spans="1:22">
      <c r="A494" s="68"/>
      <c r="V494" s="72"/>
    </row>
    <row r="495" spans="1:22" ht="19">
      <c r="A495" s="68"/>
      <c r="B495" s="68"/>
      <c r="I495" s="1296" t="s">
        <v>2285</v>
      </c>
      <c r="V495" s="72"/>
    </row>
    <row r="496" spans="1:22">
      <c r="A496" s="68" t="str">
        <f>B496&amp;"_"&amp;C496&amp;"_"&amp;"_"&amp;D496&amp;"_"&amp;E496</f>
        <v>RB(civil)_RR/MDR__contacts_children</v>
      </c>
      <c r="B496" s="68" t="s">
        <v>242</v>
      </c>
      <c r="C496" s="68" t="s">
        <v>125</v>
      </c>
      <c r="D496" s="68" t="s">
        <v>2281</v>
      </c>
      <c r="E496" s="68" t="s">
        <v>2283</v>
      </c>
      <c r="I496" s="67" t="s">
        <v>2271</v>
      </c>
      <c r="N496" s="67">
        <f>ROUND(((N426*N$450)+(N427*N$451))*N$461*N$459,0)</f>
        <v>321</v>
      </c>
      <c r="O496" s="67">
        <f t="shared" ref="O496:R496" si="466">ROUND(((O426*O$450)+(O427*O$451))*O$461*O$459,0)</f>
        <v>313</v>
      </c>
      <c r="P496" s="67">
        <f t="shared" si="466"/>
        <v>305</v>
      </c>
      <c r="Q496" s="67">
        <f t="shared" si="466"/>
        <v>298</v>
      </c>
      <c r="R496" s="67">
        <f t="shared" si="466"/>
        <v>290</v>
      </c>
      <c r="V496" s="72"/>
    </row>
    <row r="497" spans="1:22">
      <c r="A497" s="68" t="str">
        <f>B497&amp;"_"&amp;C497&amp;"_"&amp;"_"&amp;D497&amp;"_"&amp;E497</f>
        <v>RB(penit)_RR/MDR__contacts_children</v>
      </c>
      <c r="B497" s="68" t="s">
        <v>243</v>
      </c>
      <c r="C497" s="68" t="s">
        <v>125</v>
      </c>
      <c r="D497" s="68" t="s">
        <v>2281</v>
      </c>
      <c r="E497" s="68" t="s">
        <v>2283</v>
      </c>
      <c r="I497" s="67" t="s">
        <v>2272</v>
      </c>
      <c r="N497" s="67" t="s">
        <v>95</v>
      </c>
      <c r="O497" s="67" t="s">
        <v>95</v>
      </c>
      <c r="P497" s="67" t="s">
        <v>95</v>
      </c>
      <c r="Q497" s="67" t="s">
        <v>95</v>
      </c>
      <c r="R497" s="67" t="s">
        <v>95</v>
      </c>
      <c r="V497" s="72"/>
    </row>
    <row r="498" spans="1:22">
      <c r="A498" s="68"/>
      <c r="I498" s="67" t="s">
        <v>2273</v>
      </c>
      <c r="N498" s="67">
        <f>SUM(N496:N497)</f>
        <v>321</v>
      </c>
      <c r="O498" s="67">
        <f t="shared" ref="O498" si="467">SUM(O496:O497)</f>
        <v>313</v>
      </c>
      <c r="P498" s="67">
        <f t="shared" ref="P498" si="468">SUM(P496:P497)</f>
        <v>305</v>
      </c>
      <c r="Q498" s="67">
        <f t="shared" ref="Q498" si="469">SUM(Q496:Q497)</f>
        <v>298</v>
      </c>
      <c r="R498" s="67">
        <f t="shared" ref="R498" si="470">SUM(R496:R497)</f>
        <v>290</v>
      </c>
      <c r="V498" s="72"/>
    </row>
    <row r="499" spans="1:22">
      <c r="A499" s="68" t="str">
        <f>B499&amp;"_"&amp;C499&amp;"_"&amp;"_"&amp;D499&amp;"_"&amp;E499</f>
        <v>LB(civil)_RR/MDR__contacts_children</v>
      </c>
      <c r="B499" s="68" t="s">
        <v>244</v>
      </c>
      <c r="C499" s="68" t="s">
        <v>125</v>
      </c>
      <c r="D499" s="68" t="s">
        <v>2281</v>
      </c>
      <c r="E499" s="68" t="s">
        <v>2283</v>
      </c>
      <c r="I499" s="67" t="s">
        <v>2274</v>
      </c>
      <c r="N499" s="67">
        <f>ROUND(((N435*N453)+(N436*N454))*N$461*N$459,0)</f>
        <v>125</v>
      </c>
      <c r="O499" s="67">
        <f t="shared" ref="O499:R499" si="471">ROUND(((O435*O453)+(O436*O454))*O$461*O$459,0)</f>
        <v>121</v>
      </c>
      <c r="P499" s="67">
        <f t="shared" si="471"/>
        <v>116</v>
      </c>
      <c r="Q499" s="67">
        <f t="shared" si="471"/>
        <v>113</v>
      </c>
      <c r="R499" s="67">
        <f t="shared" si="471"/>
        <v>109</v>
      </c>
      <c r="V499" s="72"/>
    </row>
    <row r="500" spans="1:22">
      <c r="A500" s="68" t="str">
        <f>B500&amp;"_"&amp;C500&amp;"_"&amp;"_"&amp;D500&amp;"_"&amp;E500</f>
        <v>LB(penit)_RR/MDR__contacts_children</v>
      </c>
      <c r="B500" s="68" t="s">
        <v>245</v>
      </c>
      <c r="C500" s="68" t="s">
        <v>125</v>
      </c>
      <c r="D500" s="68" t="s">
        <v>2281</v>
      </c>
      <c r="E500" s="68" t="s">
        <v>2283</v>
      </c>
      <c r="I500" s="67" t="s">
        <v>2275</v>
      </c>
      <c r="N500" s="67" t="s">
        <v>95</v>
      </c>
      <c r="O500" s="67" t="s">
        <v>95</v>
      </c>
      <c r="P500" s="67" t="s">
        <v>95</v>
      </c>
      <c r="Q500" s="67" t="s">
        <v>95</v>
      </c>
      <c r="R500" s="67" t="s">
        <v>95</v>
      </c>
      <c r="V500" s="72"/>
    </row>
    <row r="501" spans="1:22">
      <c r="A501" s="68"/>
      <c r="I501" s="67" t="s">
        <v>2276</v>
      </c>
      <c r="N501" s="67">
        <f>SUM(N499:N500)</f>
        <v>125</v>
      </c>
      <c r="O501" s="67">
        <f t="shared" ref="O501" si="472">SUM(O499:O500)</f>
        <v>121</v>
      </c>
      <c r="P501" s="67">
        <f t="shared" ref="P501" si="473">SUM(P499:P500)</f>
        <v>116</v>
      </c>
      <c r="Q501" s="67">
        <f t="shared" ref="Q501" si="474">SUM(Q499:Q500)</f>
        <v>113</v>
      </c>
      <c r="R501" s="67">
        <f t="shared" ref="R501" si="475">SUM(R499:R500)</f>
        <v>109</v>
      </c>
      <c r="V501" s="72"/>
    </row>
    <row r="502" spans="1:22">
      <c r="A502" s="68"/>
      <c r="I502" s="67" t="s">
        <v>177</v>
      </c>
      <c r="N502" s="67">
        <f>N501+N498</f>
        <v>446</v>
      </c>
      <c r="O502" s="67">
        <f t="shared" ref="O502" si="476">O501+O498</f>
        <v>434</v>
      </c>
      <c r="P502" s="67">
        <f t="shared" ref="P502" si="477">P501+P498</f>
        <v>421</v>
      </c>
      <c r="Q502" s="67">
        <f t="shared" ref="Q502" si="478">Q501+Q498</f>
        <v>411</v>
      </c>
      <c r="R502" s="67">
        <f t="shared" ref="R502" si="479">R501+R498</f>
        <v>399</v>
      </c>
      <c r="V502" s="72"/>
    </row>
    <row r="503" spans="1:22">
      <c r="A503" s="68"/>
      <c r="V503" s="72"/>
    </row>
    <row r="504" spans="1:22" ht="19">
      <c r="A504" s="68"/>
      <c r="G504" s="1296" t="s">
        <v>2306</v>
      </c>
      <c r="V504" s="72"/>
    </row>
    <row r="505" spans="1:22" ht="19">
      <c r="A505" s="68"/>
      <c r="B505" s="68"/>
      <c r="G505" s="1296"/>
      <c r="I505" s="1296" t="s">
        <v>2284</v>
      </c>
      <c r="V505" s="72"/>
    </row>
    <row r="506" spans="1:22">
      <c r="A506" s="68" t="str">
        <f>B506&amp;"_"&amp;C506&amp;"_"&amp;"_"&amp;D506&amp;"_"&amp;E506</f>
        <v>RB(civil)___contacts_adults</v>
      </c>
      <c r="B506" s="68" t="s">
        <v>242</v>
      </c>
      <c r="D506" s="68" t="s">
        <v>2281</v>
      </c>
      <c r="E506" s="68" t="s">
        <v>2282</v>
      </c>
      <c r="I506" s="67" t="s">
        <v>2271</v>
      </c>
      <c r="K506" s="67"/>
      <c r="N506" s="67">
        <f>N466+N486</f>
        <v>6977</v>
      </c>
      <c r="O506" s="67">
        <f t="shared" ref="O506:R506" si="480">O466+O486</f>
        <v>6790</v>
      </c>
      <c r="P506" s="67">
        <f t="shared" si="480"/>
        <v>6613</v>
      </c>
      <c r="Q506" s="67">
        <f t="shared" si="480"/>
        <v>6440</v>
      </c>
      <c r="R506" s="67">
        <f t="shared" si="480"/>
        <v>6275</v>
      </c>
      <c r="V506" s="72"/>
    </row>
    <row r="507" spans="1:22">
      <c r="A507" s="68" t="str">
        <f>B507&amp;"_"&amp;C507&amp;"_"&amp;"_"&amp;D507&amp;"_"&amp;E507</f>
        <v>RB(penit)___contacts_adults</v>
      </c>
      <c r="B507" s="68" t="s">
        <v>243</v>
      </c>
      <c r="D507" s="68" t="s">
        <v>2281</v>
      </c>
      <c r="E507" s="68" t="s">
        <v>2282</v>
      </c>
      <c r="I507" s="67" t="s">
        <v>2272</v>
      </c>
      <c r="K507" s="67"/>
      <c r="N507" s="67">
        <f t="shared" ref="N507:R507" si="481">N467+N487</f>
        <v>371</v>
      </c>
      <c r="O507" s="67">
        <f t="shared" si="481"/>
        <v>376</v>
      </c>
      <c r="P507" s="67">
        <f t="shared" si="481"/>
        <v>380</v>
      </c>
      <c r="Q507" s="67">
        <f t="shared" si="481"/>
        <v>384</v>
      </c>
      <c r="R507" s="67">
        <f t="shared" si="481"/>
        <v>389</v>
      </c>
      <c r="V507" s="72"/>
    </row>
    <row r="508" spans="1:22">
      <c r="A508" s="68"/>
      <c r="I508" s="67" t="s">
        <v>2273</v>
      </c>
      <c r="K508" s="67"/>
      <c r="N508" s="67">
        <f t="shared" ref="N508:R508" si="482">N468+N488</f>
        <v>7348</v>
      </c>
      <c r="O508" s="67">
        <f t="shared" si="482"/>
        <v>7166</v>
      </c>
      <c r="P508" s="67">
        <f t="shared" si="482"/>
        <v>6993</v>
      </c>
      <c r="Q508" s="67">
        <f t="shared" si="482"/>
        <v>6824</v>
      </c>
      <c r="R508" s="67">
        <f t="shared" si="482"/>
        <v>6664</v>
      </c>
      <c r="V508" s="72"/>
    </row>
    <row r="509" spans="1:22">
      <c r="A509" s="68" t="str">
        <f>B509&amp;"_"&amp;C509&amp;"_"&amp;"_"&amp;D509&amp;"_"&amp;E509</f>
        <v>LB(civil)___contacts_adults</v>
      </c>
      <c r="B509" s="68" t="s">
        <v>244</v>
      </c>
      <c r="D509" s="68" t="s">
        <v>2281</v>
      </c>
      <c r="E509" s="68" t="s">
        <v>2282</v>
      </c>
      <c r="I509" s="67" t="s">
        <v>2274</v>
      </c>
      <c r="K509" s="67"/>
      <c r="N509" s="67">
        <f t="shared" ref="N509:R509" si="483">N469+N489</f>
        <v>1306</v>
      </c>
      <c r="O509" s="67">
        <f t="shared" si="483"/>
        <v>1257</v>
      </c>
      <c r="P509" s="67">
        <f t="shared" si="483"/>
        <v>1208</v>
      </c>
      <c r="Q509" s="67">
        <f t="shared" si="483"/>
        <v>1166</v>
      </c>
      <c r="R509" s="67">
        <f t="shared" si="483"/>
        <v>1123</v>
      </c>
      <c r="V509" s="72"/>
    </row>
    <row r="510" spans="1:22">
      <c r="A510" s="68" t="str">
        <f>B510&amp;"_"&amp;C510&amp;"_"&amp;"_"&amp;D510&amp;"_"&amp;E510</f>
        <v>LB(penit)___contacts_adults</v>
      </c>
      <c r="B510" s="68" t="s">
        <v>245</v>
      </c>
      <c r="D510" s="68" t="s">
        <v>2281</v>
      </c>
      <c r="E510" s="68" t="s">
        <v>2282</v>
      </c>
      <c r="I510" s="67" t="s">
        <v>2275</v>
      </c>
      <c r="K510" s="67"/>
      <c r="N510" s="67">
        <f t="shared" ref="N510:R510" si="484">N470+N490</f>
        <v>124</v>
      </c>
      <c r="O510" s="67">
        <f t="shared" si="484"/>
        <v>132</v>
      </c>
      <c r="P510" s="67">
        <f t="shared" si="484"/>
        <v>145</v>
      </c>
      <c r="Q510" s="67">
        <f t="shared" si="484"/>
        <v>162</v>
      </c>
      <c r="R510" s="67">
        <f t="shared" si="484"/>
        <v>176</v>
      </c>
      <c r="V510" s="72"/>
    </row>
    <row r="511" spans="1:22">
      <c r="A511" s="68"/>
      <c r="I511" s="67" t="s">
        <v>2276</v>
      </c>
      <c r="K511" s="67"/>
      <c r="N511" s="67">
        <f t="shared" ref="N511:R511" si="485">N471+N491</f>
        <v>1430</v>
      </c>
      <c r="O511" s="67">
        <f t="shared" si="485"/>
        <v>1389</v>
      </c>
      <c r="P511" s="67">
        <f t="shared" si="485"/>
        <v>1353</v>
      </c>
      <c r="Q511" s="67">
        <f t="shared" si="485"/>
        <v>1328</v>
      </c>
      <c r="R511" s="67">
        <f t="shared" si="485"/>
        <v>1299</v>
      </c>
      <c r="V511" s="72"/>
    </row>
    <row r="512" spans="1:22">
      <c r="A512" s="68"/>
      <c r="I512" s="67" t="s">
        <v>177</v>
      </c>
      <c r="K512" s="67"/>
      <c r="N512" s="67">
        <f t="shared" ref="N512:R512" si="486">N472+N492</f>
        <v>8778</v>
      </c>
      <c r="O512" s="67">
        <f t="shared" si="486"/>
        <v>8555</v>
      </c>
      <c r="P512" s="67">
        <f t="shared" si="486"/>
        <v>8346</v>
      </c>
      <c r="Q512" s="67">
        <f t="shared" si="486"/>
        <v>8152</v>
      </c>
      <c r="R512" s="67">
        <f t="shared" si="486"/>
        <v>7963</v>
      </c>
      <c r="V512" s="72"/>
    </row>
    <row r="513" spans="1:45">
      <c r="A513" s="68"/>
      <c r="V513" s="72"/>
    </row>
    <row r="514" spans="1:45">
      <c r="A514" s="68"/>
      <c r="V514" s="72"/>
    </row>
    <row r="515" spans="1:45" ht="19">
      <c r="A515" s="68"/>
      <c r="B515" s="68"/>
      <c r="I515" s="1296" t="s">
        <v>2285</v>
      </c>
      <c r="V515" s="72"/>
    </row>
    <row r="516" spans="1:45">
      <c r="A516" s="68" t="str">
        <f>B516&amp;"_"&amp;C516&amp;"_"&amp;"_"&amp;D516&amp;"_"&amp;E516</f>
        <v>RB(civil)___contacts_children</v>
      </c>
      <c r="B516" s="68" t="s">
        <v>242</v>
      </c>
      <c r="D516" s="68" t="s">
        <v>2281</v>
      </c>
      <c r="E516" s="68" t="s">
        <v>2283</v>
      </c>
      <c r="I516" s="67" t="s">
        <v>2271</v>
      </c>
      <c r="N516" s="67">
        <f>N476+N496</f>
        <v>1634</v>
      </c>
      <c r="O516" s="67">
        <f t="shared" ref="O516:R516" si="487">O476+O496</f>
        <v>1590</v>
      </c>
      <c r="P516" s="67">
        <f t="shared" si="487"/>
        <v>1549</v>
      </c>
      <c r="Q516" s="67">
        <f t="shared" si="487"/>
        <v>1509</v>
      </c>
      <c r="R516" s="67">
        <f t="shared" si="487"/>
        <v>1469</v>
      </c>
      <c r="V516" s="72"/>
    </row>
    <row r="517" spans="1:45">
      <c r="A517" s="68" t="str">
        <f>B517&amp;"_"&amp;C517&amp;"_"&amp;"_"&amp;D517&amp;"_"&amp;E517</f>
        <v>RB(penit)___contacts_children</v>
      </c>
      <c r="B517" s="68" t="s">
        <v>243</v>
      </c>
      <c r="D517" s="68" t="s">
        <v>2281</v>
      </c>
      <c r="E517" s="68" t="s">
        <v>2283</v>
      </c>
      <c r="I517" s="67" t="s">
        <v>2272</v>
      </c>
      <c r="N517" s="67" t="s">
        <v>95</v>
      </c>
      <c r="O517" s="67" t="s">
        <v>95</v>
      </c>
      <c r="P517" s="67" t="s">
        <v>95</v>
      </c>
      <c r="Q517" s="67" t="s">
        <v>95</v>
      </c>
      <c r="R517" s="67" t="s">
        <v>95</v>
      </c>
      <c r="V517" s="72"/>
    </row>
    <row r="518" spans="1:45">
      <c r="A518" s="68"/>
      <c r="I518" s="67" t="s">
        <v>2273</v>
      </c>
      <c r="N518" s="67">
        <f t="shared" ref="N518:R518" si="488">N478+N498</f>
        <v>1634</v>
      </c>
      <c r="O518" s="67">
        <f t="shared" si="488"/>
        <v>1590</v>
      </c>
      <c r="P518" s="67">
        <f t="shared" si="488"/>
        <v>1549</v>
      </c>
      <c r="Q518" s="67">
        <f t="shared" si="488"/>
        <v>1509</v>
      </c>
      <c r="R518" s="67">
        <f t="shared" si="488"/>
        <v>1469</v>
      </c>
      <c r="V518" s="72"/>
    </row>
    <row r="519" spans="1:45">
      <c r="A519" s="68" t="str">
        <f>B519&amp;"_"&amp;C519&amp;"_"&amp;"_"&amp;D519&amp;"_"&amp;E519</f>
        <v>LB(civil)___contacts_children</v>
      </c>
      <c r="B519" s="68" t="s">
        <v>244</v>
      </c>
      <c r="D519" s="68" t="s">
        <v>2281</v>
      </c>
      <c r="E519" s="68" t="s">
        <v>2283</v>
      </c>
      <c r="I519" s="67" t="s">
        <v>2274</v>
      </c>
      <c r="N519" s="67">
        <f t="shared" ref="N519:R519" si="489">N479+N499</f>
        <v>306</v>
      </c>
      <c r="O519" s="67">
        <f t="shared" si="489"/>
        <v>295</v>
      </c>
      <c r="P519" s="67">
        <f t="shared" si="489"/>
        <v>283</v>
      </c>
      <c r="Q519" s="67">
        <f t="shared" si="489"/>
        <v>273</v>
      </c>
      <c r="R519" s="67">
        <f t="shared" si="489"/>
        <v>263</v>
      </c>
      <c r="V519" s="72"/>
    </row>
    <row r="520" spans="1:45">
      <c r="A520" s="68" t="str">
        <f>B520&amp;"_"&amp;C520&amp;"_"&amp;"_"&amp;D520&amp;"_"&amp;E520</f>
        <v>LB(penit)___contacts_children</v>
      </c>
      <c r="B520" s="68" t="s">
        <v>245</v>
      </c>
      <c r="D520" s="68" t="s">
        <v>2281</v>
      </c>
      <c r="E520" s="68" t="s">
        <v>2283</v>
      </c>
      <c r="I520" s="67" t="s">
        <v>2275</v>
      </c>
      <c r="N520" s="67" t="s">
        <v>95</v>
      </c>
      <c r="O520" s="67" t="s">
        <v>95</v>
      </c>
      <c r="P520" s="67" t="s">
        <v>95</v>
      </c>
      <c r="Q520" s="67" t="s">
        <v>95</v>
      </c>
      <c r="R520" s="67" t="s">
        <v>95</v>
      </c>
      <c r="V520" s="72"/>
    </row>
    <row r="521" spans="1:45">
      <c r="A521" s="68"/>
      <c r="I521" s="67" t="s">
        <v>2276</v>
      </c>
      <c r="N521" s="67">
        <f t="shared" ref="N521:R521" si="490">N481+N501</f>
        <v>306</v>
      </c>
      <c r="O521" s="67">
        <f t="shared" si="490"/>
        <v>295</v>
      </c>
      <c r="P521" s="67">
        <f t="shared" si="490"/>
        <v>283</v>
      </c>
      <c r="Q521" s="67">
        <f t="shared" si="490"/>
        <v>273</v>
      </c>
      <c r="R521" s="67">
        <f t="shared" si="490"/>
        <v>263</v>
      </c>
      <c r="V521" s="72"/>
    </row>
    <row r="522" spans="1:45">
      <c r="A522" s="68"/>
      <c r="I522" s="67" t="s">
        <v>177</v>
      </c>
      <c r="N522" s="67">
        <f t="shared" ref="N522:R522" si="491">N482+N502</f>
        <v>1940</v>
      </c>
      <c r="O522" s="67">
        <f t="shared" si="491"/>
        <v>1885</v>
      </c>
      <c r="P522" s="67">
        <f t="shared" si="491"/>
        <v>1832</v>
      </c>
      <c r="Q522" s="67">
        <f t="shared" si="491"/>
        <v>1782</v>
      </c>
      <c r="R522" s="67">
        <f t="shared" si="491"/>
        <v>1732</v>
      </c>
      <c r="V522" s="72"/>
    </row>
    <row r="523" spans="1:45">
      <c r="A523" s="68"/>
      <c r="V523" s="72"/>
    </row>
    <row r="524" spans="1:45" ht="6" customHeight="1">
      <c r="A524" s="355"/>
      <c r="B524" s="355"/>
      <c r="C524" s="355"/>
      <c r="D524" s="355"/>
      <c r="E524" s="355"/>
      <c r="F524" s="355"/>
      <c r="G524" s="355"/>
      <c r="H524" s="355"/>
      <c r="I524" s="355"/>
      <c r="J524" s="355"/>
      <c r="K524" s="355"/>
      <c r="L524" s="355"/>
      <c r="M524" s="355"/>
      <c r="N524" s="355"/>
      <c r="O524" s="355"/>
      <c r="P524" s="355"/>
      <c r="Q524" s="355"/>
      <c r="R524" s="355"/>
      <c r="S524" s="355"/>
      <c r="T524" s="355"/>
      <c r="U524" s="355"/>
      <c r="V524" s="72"/>
      <c r="AS524" s="67" t="s">
        <v>238</v>
      </c>
    </row>
    <row r="525" spans="1:45" ht="21">
      <c r="A525" s="68"/>
      <c r="F525" s="69" t="s">
        <v>2297</v>
      </c>
      <c r="G525" s="1280" t="s">
        <v>2298</v>
      </c>
      <c r="L525" s="1288"/>
      <c r="M525" s="1288">
        <v>2020</v>
      </c>
      <c r="N525" s="1289">
        <v>2021</v>
      </c>
      <c r="O525" s="1289">
        <v>2022</v>
      </c>
      <c r="P525" s="1289">
        <v>2023</v>
      </c>
      <c r="Q525" s="1289">
        <v>2024</v>
      </c>
      <c r="R525" s="1289">
        <v>2025</v>
      </c>
      <c r="V525" s="72"/>
    </row>
    <row r="526" spans="1:45">
      <c r="A526" s="68"/>
      <c r="V526" s="72"/>
    </row>
    <row r="527" spans="1:45" ht="21">
      <c r="F527" s="257" t="s">
        <v>2299</v>
      </c>
      <c r="G527" s="1281" t="s">
        <v>213</v>
      </c>
      <c r="M527" s="1282">
        <v>37</v>
      </c>
      <c r="N527" s="1282">
        <v>38</v>
      </c>
      <c r="O527" s="1282">
        <v>39</v>
      </c>
      <c r="P527" s="1282">
        <v>40</v>
      </c>
      <c r="Q527" s="1282">
        <v>41</v>
      </c>
      <c r="R527" s="1282">
        <v>42</v>
      </c>
      <c r="V527" s="72"/>
    </row>
    <row r="528" spans="1:45">
      <c r="A528" s="68" t="s">
        <v>2301</v>
      </c>
      <c r="I528" s="67" t="s">
        <v>2271</v>
      </c>
      <c r="M528" s="67">
        <f t="shared" ref="M528:R529" si="492">VLOOKUP($A528,estimation,M$527,0)</f>
        <v>2504</v>
      </c>
      <c r="N528" s="67">
        <f t="shared" si="492"/>
        <v>2419</v>
      </c>
      <c r="O528" s="67">
        <f t="shared" si="492"/>
        <v>2337</v>
      </c>
      <c r="P528" s="67">
        <f t="shared" si="492"/>
        <v>2260</v>
      </c>
      <c r="Q528" s="67">
        <f t="shared" si="492"/>
        <v>2188</v>
      </c>
      <c r="R528" s="67">
        <f t="shared" si="492"/>
        <v>2120</v>
      </c>
      <c r="V528" s="72"/>
    </row>
    <row r="529" spans="1:22">
      <c r="A529" s="68" t="s">
        <v>2303</v>
      </c>
      <c r="I529" s="67" t="s">
        <v>2272</v>
      </c>
      <c r="M529" s="67">
        <f t="shared" si="492"/>
        <v>106</v>
      </c>
      <c r="N529" s="67">
        <f t="shared" si="492"/>
        <v>108</v>
      </c>
      <c r="O529" s="67">
        <f t="shared" si="492"/>
        <v>110</v>
      </c>
      <c r="P529" s="67">
        <f t="shared" si="492"/>
        <v>113</v>
      </c>
      <c r="Q529" s="67">
        <f t="shared" si="492"/>
        <v>116</v>
      </c>
      <c r="R529" s="67">
        <f t="shared" si="492"/>
        <v>119</v>
      </c>
      <c r="V529" s="72"/>
    </row>
    <row r="530" spans="1:22">
      <c r="A530" s="68"/>
      <c r="B530" s="68"/>
      <c r="I530" s="67" t="s">
        <v>2273</v>
      </c>
      <c r="M530" s="67">
        <f>SUM(M528:M529)</f>
        <v>2610</v>
      </c>
      <c r="N530" s="67">
        <f t="shared" ref="N530:R530" si="493">SUM(N528:N529)</f>
        <v>2527</v>
      </c>
      <c r="O530" s="67">
        <f t="shared" si="493"/>
        <v>2447</v>
      </c>
      <c r="P530" s="67">
        <f t="shared" si="493"/>
        <v>2373</v>
      </c>
      <c r="Q530" s="67">
        <f t="shared" si="493"/>
        <v>2304</v>
      </c>
      <c r="R530" s="67">
        <f t="shared" si="493"/>
        <v>2239</v>
      </c>
      <c r="V530" s="72"/>
    </row>
    <row r="531" spans="1:22">
      <c r="A531" s="68" t="s">
        <v>2302</v>
      </c>
      <c r="B531" s="68"/>
      <c r="I531" s="67" t="s">
        <v>2274</v>
      </c>
      <c r="M531" s="67">
        <f t="shared" ref="M531:R532" si="494">VLOOKUP($A531,estimation,M$527,0)</f>
        <v>559</v>
      </c>
      <c r="N531" s="67">
        <f t="shared" si="494"/>
        <v>545</v>
      </c>
      <c r="O531" s="67">
        <f t="shared" si="494"/>
        <v>532</v>
      </c>
      <c r="P531" s="67">
        <f t="shared" si="494"/>
        <v>520</v>
      </c>
      <c r="Q531" s="67">
        <f t="shared" si="494"/>
        <v>510</v>
      </c>
      <c r="R531" s="67">
        <f t="shared" si="494"/>
        <v>500</v>
      </c>
      <c r="V531" s="72"/>
    </row>
    <row r="532" spans="1:22">
      <c r="A532" s="68" t="s">
        <v>2304</v>
      </c>
      <c r="B532" s="68"/>
      <c r="I532" s="67" t="s">
        <v>2275</v>
      </c>
      <c r="M532" s="67">
        <f t="shared" si="494"/>
        <v>56</v>
      </c>
      <c r="N532" s="67">
        <f t="shared" si="494"/>
        <v>63</v>
      </c>
      <c r="O532" s="67">
        <f t="shared" si="494"/>
        <v>67</v>
      </c>
      <c r="P532" s="67">
        <f t="shared" si="494"/>
        <v>76</v>
      </c>
      <c r="Q532" s="67">
        <f t="shared" si="494"/>
        <v>89</v>
      </c>
      <c r="R532" s="67">
        <f t="shared" si="494"/>
        <v>99</v>
      </c>
      <c r="V532" s="72"/>
    </row>
    <row r="533" spans="1:22">
      <c r="A533" s="68"/>
      <c r="B533" s="68"/>
      <c r="I533" s="67" t="s">
        <v>2276</v>
      </c>
      <c r="M533" s="67">
        <f>SUM(M531:M532)</f>
        <v>615</v>
      </c>
      <c r="N533" s="67">
        <f t="shared" ref="N533:R533" si="495">SUM(N531:N532)</f>
        <v>608</v>
      </c>
      <c r="O533" s="67">
        <f t="shared" si="495"/>
        <v>599</v>
      </c>
      <c r="P533" s="67">
        <f t="shared" si="495"/>
        <v>596</v>
      </c>
      <c r="Q533" s="67">
        <f t="shared" si="495"/>
        <v>599</v>
      </c>
      <c r="R533" s="67">
        <f t="shared" si="495"/>
        <v>599</v>
      </c>
      <c r="V533" s="72"/>
    </row>
    <row r="534" spans="1:22">
      <c r="I534" s="67" t="s">
        <v>177</v>
      </c>
      <c r="M534" s="67">
        <f t="shared" ref="M534:R534" si="496">M533+M530</f>
        <v>3225</v>
      </c>
      <c r="N534" s="67">
        <f t="shared" si="496"/>
        <v>3135</v>
      </c>
      <c r="O534" s="67">
        <f t="shared" si="496"/>
        <v>3046</v>
      </c>
      <c r="P534" s="67">
        <f t="shared" si="496"/>
        <v>2969</v>
      </c>
      <c r="Q534" s="67">
        <f t="shared" si="496"/>
        <v>2903</v>
      </c>
      <c r="R534" s="67">
        <f t="shared" si="496"/>
        <v>2838</v>
      </c>
      <c r="V534" s="72"/>
    </row>
    <row r="535" spans="1:22">
      <c r="V535" s="72"/>
    </row>
    <row r="536" spans="1:22" ht="21">
      <c r="F536" s="257" t="s">
        <v>2300</v>
      </c>
      <c r="G536" s="1281" t="s">
        <v>2298</v>
      </c>
      <c r="V536" s="72"/>
    </row>
    <row r="537" spans="1:22" ht="16" thickBot="1">
      <c r="V537" s="72"/>
    </row>
    <row r="538" spans="1:22" ht="20" thickBot="1">
      <c r="G538" s="1281" t="s">
        <v>2314</v>
      </c>
      <c r="J538" s="1311">
        <v>10</v>
      </c>
      <c r="V538" s="72"/>
    </row>
    <row r="539" spans="1:22" ht="19">
      <c r="G539" s="1281"/>
      <c r="J539" s="272"/>
      <c r="V539" s="72"/>
    </row>
    <row r="540" spans="1:22" ht="19">
      <c r="G540" s="1281" t="s">
        <v>2313</v>
      </c>
      <c r="J540" s="272"/>
      <c r="V540" s="72"/>
    </row>
    <row r="541" spans="1:22">
      <c r="A541" s="68" t="s">
        <v>2309</v>
      </c>
      <c r="I541" s="67" t="s">
        <v>2271</v>
      </c>
      <c r="M541" s="67">
        <f>M528*$J$538</f>
        <v>25040</v>
      </c>
      <c r="N541" s="67">
        <f t="shared" ref="N541:R541" si="497">N528*$J$538</f>
        <v>24190</v>
      </c>
      <c r="O541" s="67">
        <f t="shared" si="497"/>
        <v>23370</v>
      </c>
      <c r="P541" s="67">
        <f t="shared" si="497"/>
        <v>22600</v>
      </c>
      <c r="Q541" s="67">
        <f t="shared" si="497"/>
        <v>21880</v>
      </c>
      <c r="R541" s="67">
        <f t="shared" si="497"/>
        <v>21200</v>
      </c>
      <c r="V541" s="72"/>
    </row>
    <row r="542" spans="1:22">
      <c r="A542" s="68" t="s">
        <v>2310</v>
      </c>
      <c r="I542" s="67" t="s">
        <v>2272</v>
      </c>
      <c r="M542" s="67">
        <f t="shared" ref="M542:R542" si="498">M529*$J$538</f>
        <v>1060</v>
      </c>
      <c r="N542" s="67">
        <f t="shared" si="498"/>
        <v>1080</v>
      </c>
      <c r="O542" s="67">
        <f t="shared" si="498"/>
        <v>1100</v>
      </c>
      <c r="P542" s="67">
        <f t="shared" si="498"/>
        <v>1130</v>
      </c>
      <c r="Q542" s="67">
        <f t="shared" si="498"/>
        <v>1160</v>
      </c>
      <c r="R542" s="67">
        <f t="shared" si="498"/>
        <v>1190</v>
      </c>
      <c r="V542" s="72"/>
    </row>
    <row r="543" spans="1:22">
      <c r="A543" s="68"/>
      <c r="I543" s="67" t="s">
        <v>2273</v>
      </c>
      <c r="M543" s="67">
        <f t="shared" ref="M543:R543" si="499">M530*$J$538</f>
        <v>26100</v>
      </c>
      <c r="N543" s="67">
        <f t="shared" si="499"/>
        <v>25270</v>
      </c>
      <c r="O543" s="67">
        <f t="shared" si="499"/>
        <v>24470</v>
      </c>
      <c r="P543" s="67">
        <f t="shared" si="499"/>
        <v>23730</v>
      </c>
      <c r="Q543" s="67">
        <f t="shared" si="499"/>
        <v>23040</v>
      </c>
      <c r="R543" s="67">
        <f t="shared" si="499"/>
        <v>22390</v>
      </c>
      <c r="V543" s="72"/>
    </row>
    <row r="544" spans="1:22">
      <c r="A544" s="68" t="s">
        <v>2311</v>
      </c>
      <c r="H544"/>
      <c r="I544" s="67" t="s">
        <v>2274</v>
      </c>
      <c r="M544" s="67">
        <f t="shared" ref="M544:R544" si="500">M531*$J$538</f>
        <v>5590</v>
      </c>
      <c r="N544" s="67">
        <f t="shared" si="500"/>
        <v>5450</v>
      </c>
      <c r="O544" s="67">
        <f t="shared" si="500"/>
        <v>5320</v>
      </c>
      <c r="P544" s="67">
        <f t="shared" si="500"/>
        <v>5200</v>
      </c>
      <c r="Q544" s="67">
        <f t="shared" si="500"/>
        <v>5100</v>
      </c>
      <c r="R544" s="67">
        <f t="shared" si="500"/>
        <v>5000</v>
      </c>
      <c r="V544" s="72"/>
    </row>
    <row r="545" spans="1:22">
      <c r="A545" s="68" t="s">
        <v>2312</v>
      </c>
      <c r="H545"/>
      <c r="I545" s="67" t="s">
        <v>2275</v>
      </c>
      <c r="M545" s="67">
        <f t="shared" ref="M545:R545" si="501">M532*$J$538</f>
        <v>560</v>
      </c>
      <c r="N545" s="67">
        <f t="shared" si="501"/>
        <v>630</v>
      </c>
      <c r="O545" s="67">
        <f t="shared" si="501"/>
        <v>670</v>
      </c>
      <c r="P545" s="67">
        <f t="shared" si="501"/>
        <v>760</v>
      </c>
      <c r="Q545" s="67">
        <f t="shared" si="501"/>
        <v>890</v>
      </c>
      <c r="R545" s="67">
        <f t="shared" si="501"/>
        <v>990</v>
      </c>
      <c r="V545" s="72"/>
    </row>
    <row r="546" spans="1:22">
      <c r="A546" s="68"/>
      <c r="H546"/>
      <c r="I546" s="67" t="s">
        <v>2276</v>
      </c>
      <c r="M546" s="67">
        <f t="shared" ref="M546:R546" si="502">M533*$J$538</f>
        <v>6150</v>
      </c>
      <c r="N546" s="67">
        <f t="shared" si="502"/>
        <v>6080</v>
      </c>
      <c r="O546" s="67">
        <f t="shared" si="502"/>
        <v>5990</v>
      </c>
      <c r="P546" s="67">
        <f t="shared" si="502"/>
        <v>5960</v>
      </c>
      <c r="Q546" s="67">
        <f t="shared" si="502"/>
        <v>5990</v>
      </c>
      <c r="R546" s="67">
        <f t="shared" si="502"/>
        <v>5990</v>
      </c>
      <c r="V546" s="72"/>
    </row>
    <row r="547" spans="1:22">
      <c r="H547"/>
      <c r="I547" s="67" t="s">
        <v>177</v>
      </c>
      <c r="M547" s="67">
        <f t="shared" ref="M547:R547" si="503">M534*$J$538</f>
        <v>32250</v>
      </c>
      <c r="N547" s="67">
        <f t="shared" si="503"/>
        <v>31350</v>
      </c>
      <c r="O547" s="67">
        <f t="shared" si="503"/>
        <v>30460</v>
      </c>
      <c r="P547" s="67">
        <f t="shared" si="503"/>
        <v>29690</v>
      </c>
      <c r="Q547" s="67">
        <f t="shared" si="503"/>
        <v>29030</v>
      </c>
      <c r="R547" s="67">
        <f t="shared" si="503"/>
        <v>28380</v>
      </c>
      <c r="V547" s="72"/>
    </row>
    <row r="548" spans="1:22">
      <c r="H548"/>
      <c r="V548" s="72"/>
    </row>
    <row r="549" spans="1:22">
      <c r="H549"/>
      <c r="V549" s="72"/>
    </row>
    <row r="550" spans="1:22">
      <c r="H550"/>
      <c r="I550" s="1297" t="s">
        <v>2279</v>
      </c>
      <c r="J550" s="1298"/>
      <c r="K550" s="1299"/>
      <c r="L550" s="1298"/>
      <c r="M550" s="1300">
        <f t="shared" ref="M550:R550" si="504">Procent_copii</f>
        <v>0.18977118835544857</v>
      </c>
      <c r="N550" s="1300">
        <f t="shared" si="504"/>
        <v>0.18977118835544857</v>
      </c>
      <c r="O550" s="1300">
        <f t="shared" si="504"/>
        <v>0.18977118835544857</v>
      </c>
      <c r="P550" s="1300">
        <f t="shared" si="504"/>
        <v>0.18977118835544857</v>
      </c>
      <c r="Q550" s="1300">
        <f t="shared" si="504"/>
        <v>0.18977118835544857</v>
      </c>
      <c r="R550" s="1300">
        <f t="shared" si="504"/>
        <v>0.18977118835544857</v>
      </c>
      <c r="V550" s="72"/>
    </row>
    <row r="551" spans="1:22">
      <c r="H551"/>
      <c r="I551" s="1297" t="s">
        <v>2278</v>
      </c>
      <c r="J551" s="1298"/>
      <c r="K551" s="1299"/>
      <c r="L551" s="1298"/>
      <c r="M551" s="1300">
        <f t="shared" ref="M551:R551" si="505">Preocent_adulti</f>
        <v>0.81022881164455141</v>
      </c>
      <c r="N551" s="1300">
        <f t="shared" si="505"/>
        <v>0.81022881164455141</v>
      </c>
      <c r="O551" s="1300">
        <f t="shared" si="505"/>
        <v>0.81022881164455141</v>
      </c>
      <c r="P551" s="1300">
        <f t="shared" si="505"/>
        <v>0.81022881164455141</v>
      </c>
      <c r="Q551" s="1300">
        <f t="shared" si="505"/>
        <v>0.81022881164455141</v>
      </c>
      <c r="R551" s="1300">
        <f t="shared" si="505"/>
        <v>0.81022881164455141</v>
      </c>
      <c r="V551" s="72"/>
    </row>
    <row r="552" spans="1:22">
      <c r="H552"/>
      <c r="I552" s="1312"/>
      <c r="J552" s="1312"/>
      <c r="K552" s="1319"/>
      <c r="L552" s="1312"/>
      <c r="M552" s="1320"/>
      <c r="N552" s="1320"/>
      <c r="O552" s="1320"/>
      <c r="P552" s="1320"/>
      <c r="Q552" s="1320"/>
      <c r="R552" s="1320"/>
      <c r="V552" s="72"/>
    </row>
    <row r="553" spans="1:22" ht="19">
      <c r="G553" s="1281" t="s">
        <v>2316</v>
      </c>
      <c r="H553"/>
      <c r="V553" s="72"/>
    </row>
    <row r="554" spans="1:22">
      <c r="A554" s="68" t="str">
        <f>B554&amp;"_"&amp;C554&amp;"_"&amp;"_"&amp;D554&amp;"_"&amp;E554</f>
        <v>RB(civil)___sympt_children</v>
      </c>
      <c r="B554" s="68" t="s">
        <v>242</v>
      </c>
      <c r="D554" s="68" t="s">
        <v>2317</v>
      </c>
      <c r="E554" s="68" t="s">
        <v>2283</v>
      </c>
      <c r="H554"/>
      <c r="I554" s="67" t="s">
        <v>2271</v>
      </c>
      <c r="M554" s="67">
        <f>ROUND(M541*$M$550,0)</f>
        <v>4752</v>
      </c>
      <c r="N554" s="67">
        <f t="shared" ref="N554:R554" si="506">ROUND(N541*$M$550,0)</f>
        <v>4591</v>
      </c>
      <c r="O554" s="67">
        <f t="shared" si="506"/>
        <v>4435</v>
      </c>
      <c r="P554" s="67">
        <f t="shared" si="506"/>
        <v>4289</v>
      </c>
      <c r="Q554" s="67">
        <f t="shared" si="506"/>
        <v>4152</v>
      </c>
      <c r="R554" s="67">
        <f t="shared" si="506"/>
        <v>4023</v>
      </c>
      <c r="V554" s="72"/>
    </row>
    <row r="555" spans="1:22">
      <c r="A555" s="68"/>
      <c r="B555" s="68"/>
      <c r="H555"/>
      <c r="I555" s="67" t="s">
        <v>2272</v>
      </c>
      <c r="M555" s="67">
        <v>0</v>
      </c>
      <c r="N555" s="67">
        <v>0</v>
      </c>
      <c r="O555" s="67">
        <v>0</v>
      </c>
      <c r="P555" s="67">
        <v>0</v>
      </c>
      <c r="Q555" s="67">
        <v>0</v>
      </c>
      <c r="R555" s="67">
        <v>0</v>
      </c>
      <c r="V555" s="72"/>
    </row>
    <row r="556" spans="1:22">
      <c r="A556" s="68"/>
      <c r="H556"/>
      <c r="I556" s="67" t="s">
        <v>2273</v>
      </c>
      <c r="M556" s="67">
        <f>SUM(M554:M555)</f>
        <v>4752</v>
      </c>
      <c r="N556" s="67">
        <f t="shared" ref="N556" si="507">SUM(N554:N555)</f>
        <v>4591</v>
      </c>
      <c r="O556" s="67">
        <f t="shared" ref="O556" si="508">SUM(O554:O555)</f>
        <v>4435</v>
      </c>
      <c r="P556" s="67">
        <f t="shared" ref="P556" si="509">SUM(P554:P555)</f>
        <v>4289</v>
      </c>
      <c r="Q556" s="67">
        <f t="shared" ref="Q556" si="510">SUM(Q554:Q555)</f>
        <v>4152</v>
      </c>
      <c r="R556" s="67">
        <f t="shared" ref="R556" si="511">SUM(R554:R555)</f>
        <v>4023</v>
      </c>
      <c r="V556" s="72"/>
    </row>
    <row r="557" spans="1:22">
      <c r="A557" s="68" t="str">
        <f t="shared" ref="A557" si="512">B557&amp;"_"&amp;C557&amp;"_"&amp;"_"&amp;D557&amp;"_"&amp;E557</f>
        <v>LB(civil)___sympt_children</v>
      </c>
      <c r="B557" s="68" t="s">
        <v>244</v>
      </c>
      <c r="D557" s="68" t="s">
        <v>2317</v>
      </c>
      <c r="E557" s="68" t="s">
        <v>2283</v>
      </c>
      <c r="H557"/>
      <c r="I557" s="67" t="s">
        <v>2274</v>
      </c>
      <c r="M557" s="67">
        <f>ROUND(M544*$M$550,0)</f>
        <v>1061</v>
      </c>
      <c r="N557" s="67">
        <f t="shared" ref="N557:R557" si="513">ROUND(N544*$M$550,0)</f>
        <v>1034</v>
      </c>
      <c r="O557" s="67">
        <f t="shared" si="513"/>
        <v>1010</v>
      </c>
      <c r="P557" s="67">
        <f t="shared" si="513"/>
        <v>987</v>
      </c>
      <c r="Q557" s="67">
        <f t="shared" si="513"/>
        <v>968</v>
      </c>
      <c r="R557" s="67">
        <f t="shared" si="513"/>
        <v>949</v>
      </c>
      <c r="V557" s="72"/>
    </row>
    <row r="558" spans="1:22">
      <c r="A558" s="68"/>
      <c r="B558" s="68"/>
      <c r="H558"/>
      <c r="I558" s="67" t="s">
        <v>2275</v>
      </c>
      <c r="M558" s="67">
        <v>0</v>
      </c>
      <c r="N558" s="67">
        <v>0</v>
      </c>
      <c r="O558" s="67">
        <v>0</v>
      </c>
      <c r="P558" s="67">
        <v>0</v>
      </c>
      <c r="Q558" s="67">
        <v>0</v>
      </c>
      <c r="R558" s="67">
        <v>0</v>
      </c>
      <c r="V558" s="72"/>
    </row>
    <row r="559" spans="1:22">
      <c r="H559"/>
      <c r="I559" s="67" t="s">
        <v>2276</v>
      </c>
      <c r="M559" s="67">
        <f>SUM(M557:M558)</f>
        <v>1061</v>
      </c>
      <c r="N559" s="67">
        <f t="shared" ref="N559:R559" si="514">SUM(N557:N558)</f>
        <v>1034</v>
      </c>
      <c r="O559" s="67">
        <f t="shared" si="514"/>
        <v>1010</v>
      </c>
      <c r="P559" s="67">
        <f t="shared" si="514"/>
        <v>987</v>
      </c>
      <c r="Q559" s="67">
        <f t="shared" si="514"/>
        <v>968</v>
      </c>
      <c r="R559" s="67">
        <f t="shared" si="514"/>
        <v>949</v>
      </c>
      <c r="V559" s="72"/>
    </row>
    <row r="560" spans="1:22">
      <c r="H560"/>
      <c r="I560" s="67" t="s">
        <v>177</v>
      </c>
      <c r="M560" s="67">
        <f>M556+M559</f>
        <v>5813</v>
      </c>
      <c r="N560" s="67">
        <f t="shared" ref="N560:R560" si="515">N556+N559</f>
        <v>5625</v>
      </c>
      <c r="O560" s="67">
        <f t="shared" si="515"/>
        <v>5445</v>
      </c>
      <c r="P560" s="67">
        <f t="shared" si="515"/>
        <v>5276</v>
      </c>
      <c r="Q560" s="67">
        <f t="shared" si="515"/>
        <v>5120</v>
      </c>
      <c r="R560" s="67">
        <f t="shared" si="515"/>
        <v>4972</v>
      </c>
      <c r="V560" s="72"/>
    </row>
    <row r="561" spans="1:22">
      <c r="H561"/>
      <c r="V561" s="72"/>
    </row>
    <row r="562" spans="1:22" ht="19">
      <c r="G562" s="1281" t="s">
        <v>2315</v>
      </c>
      <c r="H562"/>
      <c r="V562" s="72"/>
    </row>
    <row r="563" spans="1:22">
      <c r="A563" s="68" t="str">
        <f>B563&amp;"_"&amp;C563&amp;"_"&amp;"_"&amp;D563&amp;"_"&amp;E563</f>
        <v>RB(civil)___sympt_adults</v>
      </c>
      <c r="B563" s="68" t="s">
        <v>242</v>
      </c>
      <c r="D563" s="68" t="s">
        <v>2317</v>
      </c>
      <c r="E563" s="68" t="s">
        <v>2282</v>
      </c>
      <c r="H563"/>
      <c r="I563" s="67" t="s">
        <v>2271</v>
      </c>
      <c r="M563" s="67">
        <f>M541-M554</f>
        <v>20288</v>
      </c>
      <c r="N563" s="67">
        <f t="shared" ref="N563:R563" si="516">N541-N554</f>
        <v>19599</v>
      </c>
      <c r="O563" s="67">
        <f t="shared" si="516"/>
        <v>18935</v>
      </c>
      <c r="P563" s="67">
        <f t="shared" si="516"/>
        <v>18311</v>
      </c>
      <c r="Q563" s="67">
        <f t="shared" si="516"/>
        <v>17728</v>
      </c>
      <c r="R563" s="67">
        <f t="shared" si="516"/>
        <v>17177</v>
      </c>
      <c r="V563" s="72"/>
    </row>
    <row r="564" spans="1:22">
      <c r="A564" s="68" t="str">
        <f t="shared" ref="A564:A567" si="517">B564&amp;"_"&amp;C564&amp;"_"&amp;"_"&amp;D564&amp;"_"&amp;E564</f>
        <v>RB(penit)___sympt_adults</v>
      </c>
      <c r="B564" s="68" t="s">
        <v>243</v>
      </c>
      <c r="D564" s="68" t="s">
        <v>2317</v>
      </c>
      <c r="E564" s="68" t="s">
        <v>2282</v>
      </c>
      <c r="H564"/>
      <c r="I564" s="67" t="s">
        <v>2272</v>
      </c>
      <c r="M564" s="67">
        <f t="shared" ref="M564:R569" si="518">M542-M555</f>
        <v>1060</v>
      </c>
      <c r="N564" s="67">
        <f t="shared" si="518"/>
        <v>1080</v>
      </c>
      <c r="O564" s="67">
        <f t="shared" si="518"/>
        <v>1100</v>
      </c>
      <c r="P564" s="67">
        <f t="shared" si="518"/>
        <v>1130</v>
      </c>
      <c r="Q564" s="67">
        <f t="shared" si="518"/>
        <v>1160</v>
      </c>
      <c r="R564" s="67">
        <f t="shared" si="518"/>
        <v>1190</v>
      </c>
      <c r="V564" s="72"/>
    </row>
    <row r="565" spans="1:22">
      <c r="A565" s="68"/>
      <c r="H565"/>
      <c r="I565" s="67" t="s">
        <v>2273</v>
      </c>
      <c r="M565" s="67">
        <f t="shared" si="518"/>
        <v>21348</v>
      </c>
      <c r="N565" s="67">
        <f t="shared" si="518"/>
        <v>20679</v>
      </c>
      <c r="O565" s="67">
        <f t="shared" si="518"/>
        <v>20035</v>
      </c>
      <c r="P565" s="67">
        <f t="shared" si="518"/>
        <v>19441</v>
      </c>
      <c r="Q565" s="67">
        <f t="shared" si="518"/>
        <v>18888</v>
      </c>
      <c r="R565" s="67">
        <f t="shared" si="518"/>
        <v>18367</v>
      </c>
      <c r="V565" s="72"/>
    </row>
    <row r="566" spans="1:22">
      <c r="A566" s="68" t="str">
        <f t="shared" si="517"/>
        <v>LB(civil)___sympt_adults</v>
      </c>
      <c r="B566" s="68" t="s">
        <v>244</v>
      </c>
      <c r="D566" s="68" t="s">
        <v>2317</v>
      </c>
      <c r="E566" s="68" t="s">
        <v>2282</v>
      </c>
      <c r="H566"/>
      <c r="I566" s="67" t="s">
        <v>2274</v>
      </c>
      <c r="M566" s="67">
        <f t="shared" si="518"/>
        <v>4529</v>
      </c>
      <c r="N566" s="67">
        <f t="shared" si="518"/>
        <v>4416</v>
      </c>
      <c r="O566" s="67">
        <f t="shared" si="518"/>
        <v>4310</v>
      </c>
      <c r="P566" s="67">
        <f t="shared" si="518"/>
        <v>4213</v>
      </c>
      <c r="Q566" s="67">
        <f t="shared" si="518"/>
        <v>4132</v>
      </c>
      <c r="R566" s="67">
        <f t="shared" si="518"/>
        <v>4051</v>
      </c>
      <c r="V566" s="72"/>
    </row>
    <row r="567" spans="1:22">
      <c r="A567" s="68" t="str">
        <f t="shared" si="517"/>
        <v>LB(penit)___sympt_adults</v>
      </c>
      <c r="B567" s="68" t="s">
        <v>245</v>
      </c>
      <c r="D567" s="68" t="s">
        <v>2317</v>
      </c>
      <c r="E567" s="68" t="s">
        <v>2282</v>
      </c>
      <c r="H567"/>
      <c r="I567" s="67" t="s">
        <v>2275</v>
      </c>
      <c r="M567" s="67">
        <f t="shared" si="518"/>
        <v>560</v>
      </c>
      <c r="N567" s="67">
        <f t="shared" si="518"/>
        <v>630</v>
      </c>
      <c r="O567" s="67">
        <f t="shared" si="518"/>
        <v>670</v>
      </c>
      <c r="P567" s="67">
        <f t="shared" si="518"/>
        <v>760</v>
      </c>
      <c r="Q567" s="67">
        <f t="shared" si="518"/>
        <v>890</v>
      </c>
      <c r="R567" s="67">
        <f t="shared" si="518"/>
        <v>990</v>
      </c>
      <c r="V567" s="72"/>
    </row>
    <row r="568" spans="1:22">
      <c r="H568"/>
      <c r="I568" s="67" t="s">
        <v>2276</v>
      </c>
      <c r="M568" s="67">
        <f t="shared" si="518"/>
        <v>5089</v>
      </c>
      <c r="N568" s="67">
        <f t="shared" si="518"/>
        <v>5046</v>
      </c>
      <c r="O568" s="67">
        <f t="shared" si="518"/>
        <v>4980</v>
      </c>
      <c r="P568" s="67">
        <f t="shared" si="518"/>
        <v>4973</v>
      </c>
      <c r="Q568" s="67">
        <f t="shared" si="518"/>
        <v>5022</v>
      </c>
      <c r="R568" s="67">
        <f t="shared" si="518"/>
        <v>5041</v>
      </c>
      <c r="V568" s="72"/>
    </row>
    <row r="569" spans="1:22">
      <c r="H569"/>
      <c r="I569" s="67" t="s">
        <v>177</v>
      </c>
      <c r="M569" s="67">
        <f t="shared" si="518"/>
        <v>26437</v>
      </c>
      <c r="N569" s="67">
        <f t="shared" si="518"/>
        <v>25725</v>
      </c>
      <c r="O569" s="67">
        <f t="shared" si="518"/>
        <v>25015</v>
      </c>
      <c r="P569" s="67">
        <f t="shared" si="518"/>
        <v>24414</v>
      </c>
      <c r="Q569" s="67">
        <f t="shared" si="518"/>
        <v>23910</v>
      </c>
      <c r="R569" s="67">
        <f t="shared" si="518"/>
        <v>23408</v>
      </c>
      <c r="V569" s="72"/>
    </row>
    <row r="570" spans="1:22">
      <c r="H570"/>
      <c r="V570" s="72"/>
    </row>
    <row r="571" spans="1:22">
      <c r="H571"/>
      <c r="V571" s="72"/>
    </row>
    <row r="572" spans="1:22">
      <c r="H572"/>
      <c r="V572" s="72"/>
    </row>
    <row r="573" spans="1:22">
      <c r="H573"/>
      <c r="V573" s="72"/>
    </row>
    <row r="574" spans="1:22">
      <c r="H574"/>
      <c r="V574" s="72"/>
    </row>
    <row r="575" spans="1:22">
      <c r="H575"/>
      <c r="V575" s="72"/>
    </row>
    <row r="576" spans="1:22">
      <c r="H576"/>
      <c r="V576" s="72"/>
    </row>
    <row r="577" spans="1:45">
      <c r="H577"/>
      <c r="I577"/>
      <c r="J577"/>
      <c r="V577" s="72"/>
    </row>
    <row r="578" spans="1:45">
      <c r="V578" s="72"/>
    </row>
    <row r="579" spans="1:45" ht="6" customHeight="1">
      <c r="A579" s="355"/>
      <c r="B579" s="355"/>
      <c r="C579" s="355"/>
      <c r="D579" s="355"/>
      <c r="E579" s="355"/>
      <c r="F579" s="355"/>
      <c r="G579" s="355"/>
      <c r="H579" s="355"/>
      <c r="I579" s="355"/>
      <c r="J579" s="355"/>
      <c r="K579" s="355"/>
      <c r="L579" s="355"/>
      <c r="M579" s="355"/>
      <c r="N579" s="355"/>
      <c r="O579" s="355"/>
      <c r="P579" s="355"/>
      <c r="Q579" s="355"/>
      <c r="R579" s="355"/>
      <c r="S579" s="355"/>
      <c r="T579" s="355"/>
      <c r="U579" s="355"/>
      <c r="V579" s="72"/>
      <c r="AS579" s="67" t="s">
        <v>238</v>
      </c>
    </row>
    <row r="580" spans="1:45">
      <c r="V580" s="72"/>
    </row>
    <row r="581" spans="1:45">
      <c r="V581" s="72"/>
    </row>
    <row r="582" spans="1:45">
      <c r="V582" s="72"/>
    </row>
    <row r="583" spans="1:45">
      <c r="V583" s="72"/>
    </row>
    <row r="584" spans="1:45">
      <c r="V584" s="72"/>
    </row>
    <row r="585" spans="1:45">
      <c r="V585" s="72"/>
    </row>
    <row r="586" spans="1:45">
      <c r="V586" s="72"/>
    </row>
    <row r="587" spans="1:45">
      <c r="V587" s="72"/>
    </row>
    <row r="588" spans="1:45">
      <c r="V588" s="72"/>
    </row>
    <row r="589" spans="1:45">
      <c r="V589" s="72"/>
    </row>
    <row r="590" spans="1:45">
      <c r="V590" s="72"/>
    </row>
    <row r="591" spans="1:45">
      <c r="V591" s="72"/>
    </row>
    <row r="592" spans="1:45">
      <c r="V592" s="72"/>
    </row>
    <row r="593" spans="22:22">
      <c r="V593" s="72"/>
    </row>
    <row r="594" spans="22:22">
      <c r="V594" s="72"/>
    </row>
    <row r="595" spans="22:22">
      <c r="V595" s="72"/>
    </row>
    <row r="596" spans="22:22">
      <c r="V596" s="72"/>
    </row>
    <row r="597" spans="22:22">
      <c r="V597" s="72"/>
    </row>
    <row r="598" spans="22:22">
      <c r="V598" s="72"/>
    </row>
    <row r="599" spans="22:22">
      <c r="V599" s="72"/>
    </row>
    <row r="600" spans="22:22">
      <c r="V600" s="72"/>
    </row>
    <row r="601" spans="22:22">
      <c r="V601" s="72"/>
    </row>
    <row r="602" spans="22:22">
      <c r="V602" s="72"/>
    </row>
    <row r="603" spans="22:22">
      <c r="V603" s="72"/>
    </row>
    <row r="604" spans="22:22">
      <c r="V604" s="72"/>
    </row>
    <row r="605" spans="22:22">
      <c r="V605" s="72"/>
    </row>
    <row r="606" spans="22:22">
      <c r="V606" s="72"/>
    </row>
    <row r="607" spans="22:22">
      <c r="V607" s="72"/>
    </row>
    <row r="608" spans="22:22">
      <c r="V608" s="72"/>
    </row>
    <row r="609" spans="22:22">
      <c r="V609" s="72"/>
    </row>
    <row r="610" spans="22:22">
      <c r="V610" s="72"/>
    </row>
    <row r="611" spans="22:22">
      <c r="V611" s="72"/>
    </row>
    <row r="612" spans="22:22">
      <c r="V612" s="72"/>
    </row>
    <row r="613" spans="22:22">
      <c r="V613" s="72"/>
    </row>
    <row r="614" spans="22:22">
      <c r="V614" s="72"/>
    </row>
    <row r="615" spans="22:22">
      <c r="V615" s="72"/>
    </row>
    <row r="616" spans="22:22">
      <c r="V616" s="72"/>
    </row>
    <row r="617" spans="22:22">
      <c r="V617" s="72"/>
    </row>
    <row r="618" spans="22:22">
      <c r="V618" s="72"/>
    </row>
    <row r="619" spans="22:22">
      <c r="V619" s="72"/>
    </row>
    <row r="620" spans="22:22">
      <c r="V620" s="72"/>
    </row>
    <row r="621" spans="22:22">
      <c r="V621" s="72"/>
    </row>
    <row r="622" spans="22:22">
      <c r="V622" s="72"/>
    </row>
    <row r="623" spans="22:22">
      <c r="V623" s="72"/>
    </row>
    <row r="624" spans="22:22">
      <c r="V624" s="72"/>
    </row>
    <row r="625" spans="22:22">
      <c r="V625" s="72"/>
    </row>
    <row r="626" spans="22:22">
      <c r="V626" s="72"/>
    </row>
    <row r="627" spans="22:22">
      <c r="V627" s="72"/>
    </row>
    <row r="628" spans="22:22">
      <c r="V628" s="72"/>
    </row>
    <row r="629" spans="22:22">
      <c r="V629" s="72"/>
    </row>
    <row r="630" spans="22:22">
      <c r="V630" s="72"/>
    </row>
    <row r="631" spans="22:22">
      <c r="V631" s="72"/>
    </row>
    <row r="632" spans="22:22">
      <c r="V632" s="72"/>
    </row>
    <row r="633" spans="22:22">
      <c r="V633" s="72"/>
    </row>
    <row r="634" spans="22:22">
      <c r="V634" s="72"/>
    </row>
    <row r="635" spans="22:22">
      <c r="V635" s="72"/>
    </row>
    <row r="636" spans="22:22">
      <c r="V636" s="72"/>
    </row>
    <row r="637" spans="22:22">
      <c r="V637" s="72"/>
    </row>
    <row r="638" spans="22:22">
      <c r="V638" s="72"/>
    </row>
    <row r="639" spans="22:22">
      <c r="V639" s="72"/>
    </row>
    <row r="640" spans="22:22">
      <c r="V640" s="72"/>
    </row>
    <row r="641" spans="22:22">
      <c r="V641" s="72"/>
    </row>
    <row r="642" spans="22:22">
      <c r="V642" s="72"/>
    </row>
    <row r="643" spans="22:22">
      <c r="V643" s="72"/>
    </row>
    <row r="644" spans="22:22">
      <c r="V644" s="72"/>
    </row>
    <row r="645" spans="22:22">
      <c r="V645" s="72"/>
    </row>
    <row r="646" spans="22:22">
      <c r="V646" s="72"/>
    </row>
    <row r="647" spans="22:22">
      <c r="V647" s="72"/>
    </row>
    <row r="648" spans="22:22">
      <c r="V648" s="72"/>
    </row>
    <row r="649" spans="22:22">
      <c r="V649" s="72"/>
    </row>
    <row r="650" spans="22:22">
      <c r="V650" s="72"/>
    </row>
    <row r="651" spans="22:22">
      <c r="V651" s="72"/>
    </row>
    <row r="652" spans="22:22">
      <c r="V652" s="72"/>
    </row>
    <row r="653" spans="22:22">
      <c r="V653" s="72"/>
    </row>
    <row r="654" spans="22:22">
      <c r="V654" s="72"/>
    </row>
    <row r="655" spans="22:22">
      <c r="V655" s="72"/>
    </row>
    <row r="656" spans="22:22">
      <c r="V656" s="72"/>
    </row>
    <row r="657" spans="22:22">
      <c r="V657" s="72"/>
    </row>
    <row r="658" spans="22:22">
      <c r="V658" s="72"/>
    </row>
    <row r="659" spans="22:22">
      <c r="V659" s="72"/>
    </row>
    <row r="660" spans="22:22">
      <c r="V660" s="72"/>
    </row>
    <row r="661" spans="22:22">
      <c r="V661" s="72"/>
    </row>
    <row r="662" spans="22:22">
      <c r="V662" s="72"/>
    </row>
    <row r="663" spans="22:22">
      <c r="V663" s="72"/>
    </row>
    <row r="664" spans="22:22">
      <c r="V664" s="72"/>
    </row>
    <row r="665" spans="22:22">
      <c r="V665" s="72"/>
    </row>
    <row r="666" spans="22:22">
      <c r="V666" s="72"/>
    </row>
  </sheetData>
  <sheetProtection formatColumns="0" formatRows="0"/>
  <phoneticPr fontId="66" type="noConversion"/>
  <conditionalFormatting sqref="E1:E156 E232:E240 E242:E250 E264:E265 E422:E425 E268:E281 E253:E262 D488 D491:D495 E501:E504 D483:D486 E427:E465 D466 E525:E553 E580:E1048576 E513:E514 E523 E568:E578 E559:E562 E212:E230 E159:E204 E206">
    <cfRule type="containsText" dxfId="588" priority="89" operator="containsText" text="SS+">
      <formula>NOT(ISERROR(SEARCH("SS+",D1)))</formula>
    </cfRule>
  </conditionalFormatting>
  <conditionalFormatting sqref="E231">
    <cfRule type="containsText" dxfId="587" priority="88" operator="containsText" text="SS+">
      <formula>NOT(ISERROR(SEARCH("SS+",E231)))</formula>
    </cfRule>
  </conditionalFormatting>
  <conditionalFormatting sqref="E266:E267">
    <cfRule type="containsText" dxfId="586" priority="87" operator="containsText" text="SS+">
      <formula>NOT(ISERROR(SEARCH("SS+",E266)))</formula>
    </cfRule>
  </conditionalFormatting>
  <conditionalFormatting sqref="E261">
    <cfRule type="containsText" dxfId="585" priority="86" operator="containsText" text="SS+">
      <formula>NOT(ISERROR(SEARCH("SS+",E261)))</formula>
    </cfRule>
  </conditionalFormatting>
  <conditionalFormatting sqref="E282:E285">
    <cfRule type="containsText" dxfId="584" priority="85" operator="containsText" text="SS+">
      <formula>NOT(ISERROR(SEARCH("SS+",E282)))</formula>
    </cfRule>
  </conditionalFormatting>
  <conditionalFormatting sqref="E286">
    <cfRule type="containsText" dxfId="583" priority="84" operator="containsText" text="SS+">
      <formula>NOT(ISERROR(SEARCH("SS+",E286)))</formula>
    </cfRule>
  </conditionalFormatting>
  <conditionalFormatting sqref="E251:E252">
    <cfRule type="containsText" dxfId="582" priority="83" operator="containsText" text="SS+">
      <formula>NOT(ISERROR(SEARCH("SS+",E251)))</formula>
    </cfRule>
  </conditionalFormatting>
  <conditionalFormatting sqref="E288:E297 E299:E307 E309:E317 E331:E332 E335:E348 E320:E329">
    <cfRule type="containsText" dxfId="581" priority="82" operator="containsText" text="SS+">
      <formula>NOT(ISERROR(SEARCH("SS+",E288)))</formula>
    </cfRule>
  </conditionalFormatting>
  <conditionalFormatting sqref="E298">
    <cfRule type="containsText" dxfId="580" priority="81" operator="containsText" text="SS+">
      <formula>NOT(ISERROR(SEARCH("SS+",E298)))</formula>
    </cfRule>
  </conditionalFormatting>
  <conditionalFormatting sqref="E333:E334">
    <cfRule type="containsText" dxfId="579" priority="80" operator="containsText" text="SS+">
      <formula>NOT(ISERROR(SEARCH("SS+",E333)))</formula>
    </cfRule>
  </conditionalFormatting>
  <conditionalFormatting sqref="E328">
    <cfRule type="containsText" dxfId="578" priority="79" operator="containsText" text="SS+">
      <formula>NOT(ISERROR(SEARCH("SS+",E328)))</formula>
    </cfRule>
  </conditionalFormatting>
  <conditionalFormatting sqref="E349:E352">
    <cfRule type="containsText" dxfId="577" priority="78" operator="containsText" text="SS+">
      <formula>NOT(ISERROR(SEARCH("SS+",E349)))</formula>
    </cfRule>
  </conditionalFormatting>
  <conditionalFormatting sqref="E353">
    <cfRule type="containsText" dxfId="576" priority="77" operator="containsText" text="SS+">
      <formula>NOT(ISERROR(SEARCH("SS+",E353)))</formula>
    </cfRule>
  </conditionalFormatting>
  <conditionalFormatting sqref="E318:E319">
    <cfRule type="containsText" dxfId="575" priority="76" operator="containsText" text="SS+">
      <formula>NOT(ISERROR(SEARCH("SS+",E318)))</formula>
    </cfRule>
  </conditionalFormatting>
  <conditionalFormatting sqref="E355:E364 E366:E374 E376:E384 E398:E399 E402:E415 E387:E396">
    <cfRule type="containsText" dxfId="574" priority="75" operator="containsText" text="SS+">
      <formula>NOT(ISERROR(SEARCH("SS+",E355)))</formula>
    </cfRule>
  </conditionalFormatting>
  <conditionalFormatting sqref="E365">
    <cfRule type="containsText" dxfId="573" priority="74" operator="containsText" text="SS+">
      <formula>NOT(ISERROR(SEARCH("SS+",E365)))</formula>
    </cfRule>
  </conditionalFormatting>
  <conditionalFormatting sqref="E400:E401">
    <cfRule type="containsText" dxfId="572" priority="73" operator="containsText" text="SS+">
      <formula>NOT(ISERROR(SEARCH("SS+",E400)))</formula>
    </cfRule>
  </conditionalFormatting>
  <conditionalFormatting sqref="E395">
    <cfRule type="containsText" dxfId="571" priority="72" operator="containsText" text="SS+">
      <formula>NOT(ISERROR(SEARCH("SS+",E395)))</formula>
    </cfRule>
  </conditionalFormatting>
  <conditionalFormatting sqref="E416:E419">
    <cfRule type="containsText" dxfId="570" priority="71" operator="containsText" text="SS+">
      <formula>NOT(ISERROR(SEARCH("SS+",E416)))</formula>
    </cfRule>
  </conditionalFormatting>
  <conditionalFormatting sqref="E420">
    <cfRule type="containsText" dxfId="569" priority="70" operator="containsText" text="SS+">
      <formula>NOT(ISERROR(SEARCH("SS+",E420)))</formula>
    </cfRule>
  </conditionalFormatting>
  <conditionalFormatting sqref="E385:E386">
    <cfRule type="containsText" dxfId="568" priority="69" operator="containsText" text="SS+">
      <formula>NOT(ISERROR(SEARCH("SS+",E385)))</formula>
    </cfRule>
  </conditionalFormatting>
  <conditionalFormatting sqref="I426:R446">
    <cfRule type="expression" dxfId="567" priority="68">
      <formula>SEARCH("Based",$I426,1)&gt;0</formula>
    </cfRule>
  </conditionalFormatting>
  <conditionalFormatting sqref="E426">
    <cfRule type="expression" dxfId="566" priority="64">
      <formula>SEARCH("Based",$M426,1)&gt;0</formula>
    </cfRule>
  </conditionalFormatting>
  <conditionalFormatting sqref="E426">
    <cfRule type="expression" dxfId="565" priority="63">
      <formula>SEARCH("Based",$I426)&gt;0</formula>
    </cfRule>
  </conditionalFormatting>
  <conditionalFormatting sqref="D487">
    <cfRule type="containsText" dxfId="564" priority="57" operator="containsText" text="SS+">
      <formula>NOT(ISERROR(SEARCH("SS+",D487)))</formula>
    </cfRule>
  </conditionalFormatting>
  <conditionalFormatting sqref="D489">
    <cfRule type="containsText" dxfId="563" priority="56" operator="containsText" text="SS+">
      <formula>NOT(ISERROR(SEARCH("SS+",D489)))</formula>
    </cfRule>
  </conditionalFormatting>
  <conditionalFormatting sqref="D490">
    <cfRule type="containsText" dxfId="562" priority="55" operator="containsText" text="SS+">
      <formula>NOT(ISERROR(SEARCH("SS+",D490)))</formula>
    </cfRule>
  </conditionalFormatting>
  <conditionalFormatting sqref="I496:R502">
    <cfRule type="expression" dxfId="561" priority="54">
      <formula>SEARCH("Total",$I496)&gt;0</formula>
    </cfRule>
  </conditionalFormatting>
  <conditionalFormatting sqref="D496 D498">
    <cfRule type="containsText" dxfId="560" priority="53" operator="containsText" text="SS+">
      <formula>NOT(ISERROR(SEARCH("SS+",D496)))</formula>
    </cfRule>
  </conditionalFormatting>
  <conditionalFormatting sqref="D497">
    <cfRule type="containsText" dxfId="559" priority="52" operator="containsText" text="SS+">
      <formula>NOT(ISERROR(SEARCH("SS+",D497)))</formula>
    </cfRule>
  </conditionalFormatting>
  <conditionalFormatting sqref="D499">
    <cfRule type="containsText" dxfId="558" priority="51" operator="containsText" text="SS+">
      <formula>NOT(ISERROR(SEARCH("SS+",D499)))</formula>
    </cfRule>
  </conditionalFormatting>
  <conditionalFormatting sqref="D500">
    <cfRule type="containsText" dxfId="557" priority="50" operator="containsText" text="SS+">
      <formula>NOT(ISERROR(SEARCH("SS+",D500)))</formula>
    </cfRule>
  </conditionalFormatting>
  <conditionalFormatting sqref="D468 D471:D475 D481:D482">
    <cfRule type="containsText" dxfId="556" priority="49" operator="containsText" text="SS+">
      <formula>NOT(ISERROR(SEARCH("SS+",D468)))</formula>
    </cfRule>
  </conditionalFormatting>
  <conditionalFormatting sqref="I466:R472">
    <cfRule type="expression" dxfId="555" priority="48">
      <formula>SEARCH("Total",$I466)&gt;0</formula>
    </cfRule>
  </conditionalFormatting>
  <conditionalFormatting sqref="D467">
    <cfRule type="containsText" dxfId="554" priority="47" operator="containsText" text="SS+">
      <formula>NOT(ISERROR(SEARCH("SS+",D467)))</formula>
    </cfRule>
  </conditionalFormatting>
  <conditionalFormatting sqref="D469">
    <cfRule type="containsText" dxfId="553" priority="46" operator="containsText" text="SS+">
      <formula>NOT(ISERROR(SEARCH("SS+",D469)))</formula>
    </cfRule>
  </conditionalFormatting>
  <conditionalFormatting sqref="D470">
    <cfRule type="containsText" dxfId="552" priority="45" operator="containsText" text="SS+">
      <formula>NOT(ISERROR(SEARCH("SS+",D470)))</formula>
    </cfRule>
  </conditionalFormatting>
  <conditionalFormatting sqref="I476:R482">
    <cfRule type="expression" dxfId="551" priority="44">
      <formula>SEARCH("Total",$I476)&gt;0</formula>
    </cfRule>
  </conditionalFormatting>
  <conditionalFormatting sqref="D476 D478">
    <cfRule type="containsText" dxfId="550" priority="43" operator="containsText" text="SS+">
      <formula>NOT(ISERROR(SEARCH("SS+",D476)))</formula>
    </cfRule>
  </conditionalFormatting>
  <conditionalFormatting sqref="D477">
    <cfRule type="containsText" dxfId="549" priority="42" operator="containsText" text="SS+">
      <formula>NOT(ISERROR(SEARCH("SS+",D477)))</formula>
    </cfRule>
  </conditionalFormatting>
  <conditionalFormatting sqref="D479">
    <cfRule type="containsText" dxfId="548" priority="41" operator="containsText" text="SS+">
      <formula>NOT(ISERROR(SEARCH("SS+",D479)))</formula>
    </cfRule>
  </conditionalFormatting>
  <conditionalFormatting sqref="D480">
    <cfRule type="containsText" dxfId="547" priority="40" operator="containsText" text="SS+">
      <formula>NOT(ISERROR(SEARCH("SS+",D480)))</formula>
    </cfRule>
  </conditionalFormatting>
  <conditionalFormatting sqref="I486:R492">
    <cfRule type="expression" dxfId="546" priority="35">
      <formula>SEARCH("Total",$I486)&gt;0</formula>
    </cfRule>
  </conditionalFormatting>
  <conditionalFormatting sqref="J528:R534">
    <cfRule type="expression" dxfId="545" priority="34">
      <formula>SEARCH("Total",$I528)&gt;0</formula>
    </cfRule>
  </conditionalFormatting>
  <conditionalFormatting sqref="I528:I534">
    <cfRule type="expression" dxfId="544" priority="33">
      <formula>SEARCH("Total",$I528)&gt;0</formula>
    </cfRule>
  </conditionalFormatting>
  <conditionalFormatting sqref="J541:R549 J561:R561 J553:R553 J570:R576">
    <cfRule type="expression" dxfId="543" priority="32">
      <formula>SEARCH("Total",$I541)&gt;0</formula>
    </cfRule>
  </conditionalFormatting>
  <conditionalFormatting sqref="I541:I549 I561 I553 I570:I576">
    <cfRule type="expression" dxfId="542" priority="31">
      <formula>SEARCH("Total",$I541)&gt;0</formula>
    </cfRule>
  </conditionalFormatting>
  <conditionalFormatting sqref="I516:R516 I518:R519 I517:M517 I521:R522 I520:M520">
    <cfRule type="expression" dxfId="541" priority="30">
      <formula>SEARCH("Total",$I516)&gt;0</formula>
    </cfRule>
  </conditionalFormatting>
  <conditionalFormatting sqref="I506:R512">
    <cfRule type="expression" dxfId="540" priority="29">
      <formula>SEARCH("Total",$I506)&gt;0</formula>
    </cfRule>
  </conditionalFormatting>
  <conditionalFormatting sqref="N517:R517">
    <cfRule type="expression" dxfId="539" priority="28">
      <formula>SEARCH("Total",$I517)&gt;0</formula>
    </cfRule>
  </conditionalFormatting>
  <conditionalFormatting sqref="N520:R520">
    <cfRule type="expression" dxfId="538" priority="27">
      <formula>SEARCH("Total",$I520)&gt;0</formula>
    </cfRule>
  </conditionalFormatting>
  <conditionalFormatting sqref="D505 E511:E512">
    <cfRule type="containsText" dxfId="537" priority="26" operator="containsText" text="SS+">
      <formula>NOT(ISERROR(SEARCH("SS+",D505)))</formula>
    </cfRule>
  </conditionalFormatting>
  <conditionalFormatting sqref="D506 D508">
    <cfRule type="containsText" dxfId="536" priority="25" operator="containsText" text="SS+">
      <formula>NOT(ISERROR(SEARCH("SS+",D506)))</formula>
    </cfRule>
  </conditionalFormatting>
  <conditionalFormatting sqref="D507">
    <cfRule type="containsText" dxfId="535" priority="24" operator="containsText" text="SS+">
      <formula>NOT(ISERROR(SEARCH("SS+",D507)))</formula>
    </cfRule>
  </conditionalFormatting>
  <conditionalFormatting sqref="D509">
    <cfRule type="containsText" dxfId="534" priority="23" operator="containsText" text="SS+">
      <formula>NOT(ISERROR(SEARCH("SS+",D509)))</formula>
    </cfRule>
  </conditionalFormatting>
  <conditionalFormatting sqref="D510">
    <cfRule type="containsText" dxfId="533" priority="22" operator="containsText" text="SS+">
      <formula>NOT(ISERROR(SEARCH("SS+",D510)))</formula>
    </cfRule>
  </conditionalFormatting>
  <conditionalFormatting sqref="D515 E521:E522">
    <cfRule type="containsText" dxfId="532" priority="21" operator="containsText" text="SS+">
      <formula>NOT(ISERROR(SEARCH("SS+",D515)))</formula>
    </cfRule>
  </conditionalFormatting>
  <conditionalFormatting sqref="D516 D518">
    <cfRule type="containsText" dxfId="531" priority="20" operator="containsText" text="SS+">
      <formula>NOT(ISERROR(SEARCH("SS+",D516)))</formula>
    </cfRule>
  </conditionalFormatting>
  <conditionalFormatting sqref="D517">
    <cfRule type="containsText" dxfId="530" priority="19" operator="containsText" text="SS+">
      <formula>NOT(ISERROR(SEARCH("SS+",D517)))</formula>
    </cfRule>
  </conditionalFormatting>
  <conditionalFormatting sqref="D519">
    <cfRule type="containsText" dxfId="529" priority="18" operator="containsText" text="SS+">
      <formula>NOT(ISERROR(SEARCH("SS+",D519)))</formula>
    </cfRule>
  </conditionalFormatting>
  <conditionalFormatting sqref="D520">
    <cfRule type="containsText" dxfId="528" priority="17" operator="containsText" text="SS+">
      <formula>NOT(ISERROR(SEARCH("SS+",D520)))</formula>
    </cfRule>
  </conditionalFormatting>
  <conditionalFormatting sqref="I554:I560">
    <cfRule type="expression" dxfId="527" priority="15">
      <formula>SEARCH("Total",$I554)&gt;0</formula>
    </cfRule>
  </conditionalFormatting>
  <conditionalFormatting sqref="J554:R560">
    <cfRule type="expression" dxfId="526" priority="16">
      <formula>SEARCH("Total",$I554)&gt;0</formula>
    </cfRule>
  </conditionalFormatting>
  <conditionalFormatting sqref="J562:R562">
    <cfRule type="expression" dxfId="525" priority="14">
      <formula>SEARCH("Total",$I562)&gt;0</formula>
    </cfRule>
  </conditionalFormatting>
  <conditionalFormatting sqref="I562">
    <cfRule type="expression" dxfId="524" priority="13">
      <formula>SEARCH("Total",$I562)&gt;0</formula>
    </cfRule>
  </conditionalFormatting>
  <conditionalFormatting sqref="I563:I569">
    <cfRule type="expression" dxfId="523" priority="11">
      <formula>SEARCH("Total",$I563)&gt;0</formula>
    </cfRule>
  </conditionalFormatting>
  <conditionalFormatting sqref="J563:R569">
    <cfRule type="expression" dxfId="522" priority="12">
      <formula>SEARCH("Total",$I563)&gt;0</formula>
    </cfRule>
  </conditionalFormatting>
  <conditionalFormatting sqref="D563:D565">
    <cfRule type="containsText" dxfId="521" priority="10" operator="containsText" text="SS+">
      <formula>NOT(ISERROR(SEARCH("SS+",D563)))</formula>
    </cfRule>
  </conditionalFormatting>
  <conditionalFormatting sqref="D566:D567">
    <cfRule type="containsText" dxfId="520" priority="6" operator="containsText" text="SS+">
      <formula>NOT(ISERROR(SEARCH("SS+",D566)))</formula>
    </cfRule>
  </conditionalFormatting>
  <conditionalFormatting sqref="D554:D556">
    <cfRule type="containsText" dxfId="519" priority="5" operator="containsText" text="SS+">
      <formula>NOT(ISERROR(SEARCH("SS+",D554)))</formula>
    </cfRule>
  </conditionalFormatting>
  <conditionalFormatting sqref="D557:D558">
    <cfRule type="containsText" dxfId="518" priority="4" operator="containsText" text="SS+">
      <formula>NOT(ISERROR(SEARCH("SS+",D557)))</formula>
    </cfRule>
  </conditionalFormatting>
  <conditionalFormatting sqref="E157:E158">
    <cfRule type="containsText" dxfId="517" priority="3" operator="containsText" text="SS+">
      <formula>NOT(ISERROR(SEARCH("SS+",E157)))</formula>
    </cfRule>
  </conditionalFormatting>
  <conditionalFormatting sqref="E207:E211">
    <cfRule type="containsText" dxfId="516" priority="2" operator="containsText" text="SS+">
      <formula>NOT(ISERROR(SEARCH("SS+",E207)))</formula>
    </cfRule>
  </conditionalFormatting>
  <conditionalFormatting sqref="E205">
    <cfRule type="containsText" dxfId="515" priority="1" operator="containsText" text="SS+">
      <formula>NOT(ISERROR(SEARCH("SS+",E205)))</formula>
    </cfRule>
  </conditionalFormatting>
  <pageMargins left="0.7" right="0.7" top="0.75" bottom="0.75" header="0.3" footer="0.3"/>
  <pageSetup paperSize="9" orientation="portrait"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T200"/>
  <sheetViews>
    <sheetView workbookViewId="0">
      <selection activeCell="Q18" sqref="Q18"/>
    </sheetView>
  </sheetViews>
  <sheetFormatPr baseColWidth="10" defaultColWidth="8.83203125" defaultRowHeight="15"/>
  <cols>
    <col min="1" max="1" width="12.83203125" customWidth="1"/>
    <col min="2" max="2" width="7.5" customWidth="1"/>
    <col min="3" max="3" width="13.83203125" customWidth="1"/>
    <col min="14" max="19" width="9.1640625" bestFit="1" customWidth="1"/>
  </cols>
  <sheetData>
    <row r="1" spans="1:20" ht="16">
      <c r="C1" s="14"/>
      <c r="D1" s="14"/>
      <c r="E1" s="14"/>
      <c r="F1" s="14"/>
      <c r="G1" s="14"/>
      <c r="H1" s="14"/>
      <c r="I1" s="14"/>
      <c r="J1" s="14"/>
      <c r="K1" s="14"/>
      <c r="L1" s="14"/>
      <c r="M1" s="14"/>
      <c r="N1" s="14"/>
      <c r="O1" s="1870" t="s">
        <v>356</v>
      </c>
      <c r="P1" s="14"/>
      <c r="Q1" s="14"/>
      <c r="R1" s="14"/>
      <c r="S1" s="14"/>
      <c r="T1" s="14"/>
    </row>
    <row r="2" spans="1:20">
      <c r="C2" s="15" t="s">
        <v>175</v>
      </c>
      <c r="D2" s="14"/>
      <c r="E2" s="14"/>
      <c r="F2" s="14"/>
      <c r="G2" s="14"/>
      <c r="H2" s="14"/>
      <c r="I2" s="14"/>
      <c r="J2" s="14"/>
      <c r="K2" s="14"/>
      <c r="L2" s="14"/>
      <c r="M2" s="14"/>
      <c r="N2" s="14"/>
      <c r="O2" s="14"/>
      <c r="P2" s="14"/>
      <c r="Q2" s="14"/>
      <c r="R2" s="14"/>
      <c r="S2" s="14"/>
      <c r="T2" s="14"/>
    </row>
    <row r="3" spans="1:20">
      <c r="C3" s="16"/>
      <c r="D3" s="14"/>
      <c r="E3" s="14"/>
      <c r="F3" s="14"/>
      <c r="G3" s="14"/>
      <c r="H3" s="14"/>
      <c r="I3" s="14"/>
      <c r="J3" s="14"/>
      <c r="K3" s="14"/>
      <c r="L3" s="14"/>
      <c r="M3" s="14"/>
      <c r="N3" s="17" t="s">
        <v>176</v>
      </c>
      <c r="O3" s="14"/>
      <c r="P3" s="14"/>
      <c r="Q3" s="14"/>
      <c r="R3" s="14"/>
      <c r="S3" s="14"/>
      <c r="T3" s="14"/>
    </row>
    <row r="4" spans="1:20">
      <c r="C4" s="18"/>
      <c r="D4" s="19">
        <v>2010</v>
      </c>
      <c r="E4" s="19">
        <v>2011</v>
      </c>
      <c r="F4" s="20">
        <v>2012</v>
      </c>
      <c r="G4" s="20">
        <v>2013</v>
      </c>
      <c r="H4" s="20">
        <v>2014</v>
      </c>
      <c r="I4" s="21">
        <v>2015</v>
      </c>
      <c r="J4" s="21">
        <v>2016</v>
      </c>
      <c r="K4" s="20">
        <v>2017</v>
      </c>
      <c r="L4" s="20">
        <v>2018</v>
      </c>
      <c r="M4" s="20">
        <v>2019</v>
      </c>
      <c r="N4" s="19">
        <v>2020</v>
      </c>
      <c r="O4" s="19">
        <v>2021</v>
      </c>
      <c r="P4" s="19">
        <v>2022</v>
      </c>
      <c r="Q4" s="19">
        <v>2023</v>
      </c>
      <c r="R4" s="19">
        <v>2024</v>
      </c>
      <c r="S4" s="19">
        <v>2025</v>
      </c>
      <c r="T4" s="14"/>
    </row>
    <row r="5" spans="1:20">
      <c r="C5" s="22" t="s">
        <v>177</v>
      </c>
      <c r="D5" s="23">
        <f t="shared" ref="D5:S5" si="0">SUM(D6:D7)</f>
        <v>0</v>
      </c>
      <c r="E5" s="23">
        <f t="shared" si="0"/>
        <v>0</v>
      </c>
      <c r="F5" s="24">
        <f t="shared" si="0"/>
        <v>0</v>
      </c>
      <c r="G5" s="24">
        <f t="shared" si="0"/>
        <v>0</v>
      </c>
      <c r="H5" s="25">
        <f t="shared" si="0"/>
        <v>3348122</v>
      </c>
      <c r="I5" s="25">
        <f t="shared" si="0"/>
        <v>3320735</v>
      </c>
      <c r="J5" s="25">
        <f t="shared" si="0"/>
        <v>3297447</v>
      </c>
      <c r="K5" s="25">
        <f t="shared" si="0"/>
        <v>3249806</v>
      </c>
      <c r="L5" s="25">
        <f t="shared" si="0"/>
        <v>3196779</v>
      </c>
      <c r="M5" s="25">
        <f t="shared" si="0"/>
        <v>3144473.4</v>
      </c>
      <c r="N5" s="1323">
        <f t="shared" si="0"/>
        <v>3105335.5619546305</v>
      </c>
      <c r="O5" s="1323">
        <f t="shared" si="0"/>
        <v>3066701.9083240242</v>
      </c>
      <c r="P5" s="1323">
        <f t="shared" si="0"/>
        <v>3028565.818348526</v>
      </c>
      <c r="Q5" s="1323">
        <f t="shared" si="0"/>
        <v>2990920.7591052311</v>
      </c>
      <c r="R5" s="1323">
        <f t="shared" si="0"/>
        <v>2953760.2843364128</v>
      </c>
      <c r="S5" s="1323">
        <f t="shared" si="0"/>
        <v>2917078.0332936146</v>
      </c>
      <c r="T5" s="26"/>
    </row>
    <row r="6" spans="1:20">
      <c r="C6" s="27" t="s">
        <v>178</v>
      </c>
      <c r="D6" s="28"/>
      <c r="E6" s="28"/>
      <c r="F6" s="29"/>
      <c r="G6" s="29"/>
      <c r="H6" s="30">
        <v>2869226</v>
      </c>
      <c r="I6" s="30">
        <v>2844673</v>
      </c>
      <c r="J6" s="30">
        <v>2824387</v>
      </c>
      <c r="K6" s="30">
        <v>2779952</v>
      </c>
      <c r="L6" s="30">
        <v>2730364</v>
      </c>
      <c r="M6" s="30">
        <v>2681734.4</v>
      </c>
      <c r="N6" s="31">
        <f t="shared" ref="N6:S6" si="1">M6*(100%+$N$16)</f>
        <v>2645761.8373873676</v>
      </c>
      <c r="O6" s="31">
        <f t="shared" si="1"/>
        <v>2610271.8077432946</v>
      </c>
      <c r="P6" s="31">
        <f t="shared" si="1"/>
        <v>2575257.8384105992</v>
      </c>
      <c r="Q6" s="31">
        <f t="shared" si="1"/>
        <v>2540713.5435557854</v>
      </c>
      <c r="R6" s="31">
        <f t="shared" si="1"/>
        <v>2506632.6230043978</v>
      </c>
      <c r="S6" s="31">
        <f t="shared" si="1"/>
        <v>2473008.8610919979</v>
      </c>
      <c r="T6" s="26"/>
    </row>
    <row r="7" spans="1:20" ht="16" thickBot="1">
      <c r="C7" s="1324" t="s">
        <v>179</v>
      </c>
      <c r="D7" s="1325"/>
      <c r="E7" s="1325"/>
      <c r="F7" s="1326"/>
      <c r="G7" s="1326"/>
      <c r="H7" s="1327">
        <v>478896</v>
      </c>
      <c r="I7" s="1327">
        <v>476062</v>
      </c>
      <c r="J7" s="1327">
        <v>473060</v>
      </c>
      <c r="K7" s="1327">
        <v>469854</v>
      </c>
      <c r="L7" s="1327">
        <v>466415</v>
      </c>
      <c r="M7" s="1328">
        <v>462739</v>
      </c>
      <c r="N7" s="1329">
        <f t="shared" ref="N7:S7" si="2">M7*(100%+$N$17)</f>
        <v>459573.72456726275</v>
      </c>
      <c r="O7" s="1329">
        <f t="shared" si="2"/>
        <v>456430.10058072972</v>
      </c>
      <c r="P7" s="1329">
        <f t="shared" si="2"/>
        <v>453307.97993792681</v>
      </c>
      <c r="Q7" s="1329">
        <f t="shared" si="2"/>
        <v>450207.21554944589</v>
      </c>
      <c r="R7" s="1329">
        <f t="shared" si="2"/>
        <v>447127.66133201512</v>
      </c>
      <c r="S7" s="1329">
        <f t="shared" si="2"/>
        <v>444069.17220161663</v>
      </c>
      <c r="T7" s="26"/>
    </row>
    <row r="8" spans="1:20">
      <c r="A8" t="s">
        <v>2320</v>
      </c>
      <c r="B8" s="1242">
        <f>Preocent_adulti</f>
        <v>0.81022881164455141</v>
      </c>
      <c r="C8" s="1330" t="s">
        <v>178</v>
      </c>
      <c r="D8" s="1331"/>
      <c r="E8" s="1332"/>
      <c r="F8" s="1333"/>
      <c r="G8" s="1333"/>
      <c r="H8" s="1334"/>
      <c r="I8" s="1334"/>
      <c r="J8" s="1334"/>
      <c r="K8" s="1334"/>
      <c r="L8" s="1334"/>
      <c r="M8" s="1335"/>
      <c r="N8" s="1336">
        <f>ROUND(N5*$B8,0)</f>
        <v>2516032</v>
      </c>
      <c r="O8" s="1336">
        <f t="shared" ref="O8:S8" si="3">ROUND(O5*$B8,0)</f>
        <v>2484730</v>
      </c>
      <c r="P8" s="1336">
        <f t="shared" si="3"/>
        <v>2453831</v>
      </c>
      <c r="Q8" s="1336">
        <f t="shared" si="3"/>
        <v>2423330</v>
      </c>
      <c r="R8" s="1336">
        <f t="shared" si="3"/>
        <v>2393222</v>
      </c>
      <c r="S8" s="1337">
        <f t="shared" si="3"/>
        <v>2363501</v>
      </c>
      <c r="T8" s="26"/>
    </row>
    <row r="9" spans="1:20" ht="16" thickBot="1">
      <c r="A9" t="s">
        <v>2320</v>
      </c>
      <c r="B9" s="1242">
        <f>Preocent_adulti</f>
        <v>0.81022881164455141</v>
      </c>
      <c r="C9" s="1338" t="s">
        <v>179</v>
      </c>
      <c r="D9" s="1339"/>
      <c r="E9" s="1340"/>
      <c r="F9" s="1341"/>
      <c r="G9" s="1341"/>
      <c r="H9" s="1342"/>
      <c r="I9" s="1342"/>
      <c r="J9" s="1342"/>
      <c r="K9" s="1342"/>
      <c r="L9" s="1342"/>
      <c r="M9" s="1343"/>
      <c r="N9" s="1344">
        <f>ROUND(N7*$B9,0)</f>
        <v>372360</v>
      </c>
      <c r="O9" s="1344">
        <f t="shared" ref="O9:S9" si="4">ROUND(O7*$B9,0)</f>
        <v>369813</v>
      </c>
      <c r="P9" s="1344">
        <f t="shared" si="4"/>
        <v>367283</v>
      </c>
      <c r="Q9" s="1344">
        <f t="shared" si="4"/>
        <v>364771</v>
      </c>
      <c r="R9" s="1344">
        <f t="shared" si="4"/>
        <v>362276</v>
      </c>
      <c r="S9" s="1345">
        <f t="shared" si="4"/>
        <v>359798</v>
      </c>
      <c r="T9" s="26"/>
    </row>
    <row r="10" spans="1:20">
      <c r="A10" t="s">
        <v>2320</v>
      </c>
      <c r="B10" s="1318">
        <f>Procent_copii</f>
        <v>0.18977118835544857</v>
      </c>
      <c r="C10" s="1330" t="s">
        <v>178</v>
      </c>
      <c r="D10" s="1331"/>
      <c r="E10" s="1332"/>
      <c r="F10" s="1333"/>
      <c r="G10" s="1333"/>
      <c r="H10" s="1334"/>
      <c r="I10" s="1334"/>
      <c r="J10" s="1334"/>
      <c r="K10" s="1334"/>
      <c r="L10" s="1334"/>
      <c r="M10" s="1335"/>
      <c r="N10" s="1346">
        <f>N6-N8</f>
        <v>129729.83738736762</v>
      </c>
      <c r="O10" s="1346">
        <f t="shared" ref="O10:S10" si="5">O6-O8</f>
        <v>125541.80774329463</v>
      </c>
      <c r="P10" s="1346">
        <f t="shared" si="5"/>
        <v>121426.83841059916</v>
      </c>
      <c r="Q10" s="1346">
        <f t="shared" si="5"/>
        <v>117383.54355578544</v>
      </c>
      <c r="R10" s="1346">
        <f t="shared" si="5"/>
        <v>113410.62300439784</v>
      </c>
      <c r="S10" s="1347">
        <f t="shared" si="5"/>
        <v>109507.86109199794</v>
      </c>
      <c r="T10" s="14"/>
    </row>
    <row r="11" spans="1:20" ht="16" thickBot="1">
      <c r="A11" t="s">
        <v>2320</v>
      </c>
      <c r="B11" s="1318">
        <f>Procent_copii</f>
        <v>0.18977118835544857</v>
      </c>
      <c r="C11" s="1338" t="s">
        <v>179</v>
      </c>
      <c r="D11" s="1339"/>
      <c r="E11" s="1340"/>
      <c r="F11" s="1341"/>
      <c r="G11" s="1341"/>
      <c r="H11" s="1342"/>
      <c r="I11" s="1342"/>
      <c r="J11" s="1342"/>
      <c r="K11" s="1342"/>
      <c r="L11" s="1342"/>
      <c r="M11" s="1343"/>
      <c r="N11" s="1348">
        <f>N7-N9</f>
        <v>87213.724567262747</v>
      </c>
      <c r="O11" s="1348">
        <f t="shared" ref="O11:S11" si="6">O7-O9</f>
        <v>86617.100580729719</v>
      </c>
      <c r="P11" s="1348">
        <f t="shared" si="6"/>
        <v>86024.979937926808</v>
      </c>
      <c r="Q11" s="1348">
        <f t="shared" si="6"/>
        <v>85436.215549445886</v>
      </c>
      <c r="R11" s="1348">
        <f t="shared" si="6"/>
        <v>84851.661332015123</v>
      </c>
      <c r="S11" s="1349">
        <f t="shared" si="6"/>
        <v>84271.172201616631</v>
      </c>
      <c r="T11" s="14"/>
    </row>
    <row r="12" spans="1:20">
      <c r="C12" s="32"/>
      <c r="D12" s="33"/>
      <c r="E12" s="33"/>
      <c r="F12" s="34"/>
      <c r="G12" s="34"/>
      <c r="H12" s="34"/>
      <c r="I12" s="34"/>
      <c r="J12" s="34"/>
      <c r="K12" s="34"/>
      <c r="L12" s="34"/>
      <c r="M12" s="34"/>
      <c r="N12" s="14"/>
      <c r="O12" s="33"/>
      <c r="P12" s="14"/>
      <c r="Q12" s="33"/>
      <c r="R12" s="14"/>
      <c r="S12" s="33"/>
      <c r="T12" s="14"/>
    </row>
    <row r="13" spans="1:20">
      <c r="C13" s="35" t="s">
        <v>180</v>
      </c>
      <c r="D13" s="14"/>
      <c r="E13" s="14"/>
      <c r="F13" s="36"/>
      <c r="G13" s="36"/>
      <c r="H13" s="36"/>
      <c r="I13" s="37"/>
      <c r="J13" s="37"/>
      <c r="K13" s="37"/>
      <c r="L13" s="37"/>
      <c r="M13" s="37"/>
      <c r="N13" s="38" t="s">
        <v>181</v>
      </c>
      <c r="O13" s="14"/>
      <c r="P13" s="26"/>
      <c r="Q13" s="26"/>
      <c r="R13" s="26"/>
      <c r="S13" s="26"/>
      <c r="T13" s="14"/>
    </row>
    <row r="14" spans="1:20">
      <c r="C14" s="39"/>
      <c r="D14" s="40">
        <f>D4</f>
        <v>2010</v>
      </c>
      <c r="E14" s="40">
        <f t="shared" ref="E14:M14" si="7">E4</f>
        <v>2011</v>
      </c>
      <c r="F14" s="41">
        <f t="shared" si="7"/>
        <v>2012</v>
      </c>
      <c r="G14" s="41">
        <f t="shared" si="7"/>
        <v>2013</v>
      </c>
      <c r="H14" s="41">
        <f t="shared" si="7"/>
        <v>2014</v>
      </c>
      <c r="I14" s="41">
        <f t="shared" si="7"/>
        <v>2015</v>
      </c>
      <c r="J14" s="41">
        <f t="shared" si="7"/>
        <v>2016</v>
      </c>
      <c r="K14" s="41">
        <f t="shared" si="7"/>
        <v>2017</v>
      </c>
      <c r="L14" s="41">
        <f t="shared" si="7"/>
        <v>2018</v>
      </c>
      <c r="M14" s="41">
        <f t="shared" si="7"/>
        <v>2019</v>
      </c>
      <c r="N14" s="42" t="s">
        <v>182</v>
      </c>
      <c r="O14" s="43"/>
      <c r="P14" s="14"/>
      <c r="Q14" s="26"/>
      <c r="R14" s="26"/>
      <c r="S14" s="26"/>
      <c r="T14" s="14"/>
    </row>
    <row r="15" spans="1:20">
      <c r="C15" s="44" t="str">
        <f>C5</f>
        <v>Moldova, total</v>
      </c>
      <c r="D15" s="45"/>
      <c r="E15" s="46"/>
      <c r="F15" s="47"/>
      <c r="G15" s="47"/>
      <c r="H15" s="47"/>
      <c r="I15" s="48">
        <f t="shared" ref="I15:M17" si="8">I5/H5-100%</f>
        <v>-8.1798094573615199E-3</v>
      </c>
      <c r="J15" s="48">
        <f t="shared" si="8"/>
        <v>-7.0129052754887011E-3</v>
      </c>
      <c r="K15" s="48">
        <f t="shared" si="8"/>
        <v>-1.4447844044195413E-2</v>
      </c>
      <c r="L15" s="48">
        <f t="shared" si="8"/>
        <v>-1.6316973997832496E-2</v>
      </c>
      <c r="M15" s="48">
        <f t="shared" si="8"/>
        <v>-1.6361969344768634E-2</v>
      </c>
      <c r="N15" s="49">
        <f>AVERAGE(I15:M15)</f>
        <v>-1.2463900423929353E-2</v>
      </c>
      <c r="O15" s="26"/>
      <c r="P15" s="14"/>
      <c r="Q15" s="26"/>
      <c r="R15" s="26"/>
      <c r="S15" s="26"/>
      <c r="T15" s="14"/>
    </row>
    <row r="16" spans="1:20">
      <c r="C16" s="39" t="str">
        <f>C6</f>
        <v>Right bank</v>
      </c>
      <c r="D16" s="39"/>
      <c r="E16" s="50"/>
      <c r="F16" s="47"/>
      <c r="G16" s="47"/>
      <c r="H16" s="47"/>
      <c r="I16" s="48">
        <f t="shared" si="8"/>
        <v>-8.5573600685341367E-3</v>
      </c>
      <c r="J16" s="48">
        <f t="shared" si="8"/>
        <v>-7.1312238700195207E-3</v>
      </c>
      <c r="K16" s="48">
        <f t="shared" si="8"/>
        <v>-1.5732617378567459E-2</v>
      </c>
      <c r="L16" s="48">
        <f t="shared" si="8"/>
        <v>-1.7837718061319063E-2</v>
      </c>
      <c r="M16" s="48">
        <f t="shared" si="8"/>
        <v>-1.7810665537635328E-2</v>
      </c>
      <c r="N16" s="49">
        <f>AVERAGE(I16:M16)</f>
        <v>-1.3413916983215101E-2</v>
      </c>
      <c r="O16" s="26"/>
      <c r="P16" s="14"/>
      <c r="Q16" s="26"/>
      <c r="R16" s="26"/>
      <c r="S16" s="26"/>
      <c r="T16" s="14"/>
    </row>
    <row r="17" spans="3:20">
      <c r="C17" s="39" t="str">
        <f>C7</f>
        <v>Left bank</v>
      </c>
      <c r="D17" s="39"/>
      <c r="E17" s="50"/>
      <c r="F17" s="47"/>
      <c r="G17" s="47"/>
      <c r="H17" s="51"/>
      <c r="I17" s="48">
        <f t="shared" si="8"/>
        <v>-5.9177775550433021E-3</v>
      </c>
      <c r="J17" s="48">
        <f t="shared" si="8"/>
        <v>-6.3059013321794533E-3</v>
      </c>
      <c r="K17" s="48">
        <f t="shared" si="8"/>
        <v>-6.7771530038472916E-3</v>
      </c>
      <c r="L17" s="48">
        <f t="shared" si="8"/>
        <v>-7.3192949299143439E-3</v>
      </c>
      <c r="M17" s="48">
        <f t="shared" si="8"/>
        <v>-7.8813931798934478E-3</v>
      </c>
      <c r="N17" s="49">
        <f>AVERAGE(I17:M17)</f>
        <v>-6.8403040001755681E-3</v>
      </c>
      <c r="O17" s="26"/>
      <c r="P17" s="14"/>
      <c r="Q17" s="26"/>
      <c r="R17" s="26"/>
      <c r="S17" s="26"/>
      <c r="T17" s="14"/>
    </row>
    <row r="18" spans="3:20">
      <c r="C18" s="14"/>
      <c r="D18" s="14"/>
      <c r="E18" s="14"/>
      <c r="F18" s="14"/>
      <c r="G18" s="14"/>
      <c r="H18" s="14"/>
      <c r="I18" s="14"/>
      <c r="J18" s="14"/>
      <c r="K18" s="14"/>
      <c r="L18" s="14"/>
      <c r="M18" s="14"/>
      <c r="N18" s="14"/>
      <c r="O18" s="14"/>
      <c r="P18" s="14"/>
      <c r="Q18" s="14"/>
      <c r="R18" s="14"/>
      <c r="S18" s="14"/>
      <c r="T18" s="14"/>
    </row>
    <row r="19" spans="3:20">
      <c r="C19" s="14"/>
      <c r="D19" s="14"/>
      <c r="E19" s="14"/>
      <c r="F19" s="14"/>
      <c r="G19" s="14"/>
      <c r="H19" s="14"/>
      <c r="I19" s="14"/>
      <c r="J19" s="14"/>
      <c r="K19" s="14"/>
      <c r="L19" s="14"/>
      <c r="M19" s="14"/>
      <c r="N19" s="14"/>
      <c r="O19" s="14"/>
      <c r="P19" s="14"/>
      <c r="Q19" s="14"/>
      <c r="R19" s="14"/>
      <c r="S19" s="14"/>
      <c r="T19" s="14"/>
    </row>
    <row r="20" spans="3:20">
      <c r="C20" s="1078" t="s">
        <v>2181</v>
      </c>
      <c r="D20" s="14"/>
      <c r="E20" s="14"/>
      <c r="F20" s="14"/>
      <c r="G20" s="14"/>
      <c r="H20" s="14"/>
      <c r="I20" s="14"/>
      <c r="J20" s="14"/>
      <c r="K20" s="14"/>
      <c r="L20" s="14"/>
      <c r="M20" s="14"/>
      <c r="N20" s="14"/>
      <c r="O20" s="14"/>
      <c r="P20" s="14"/>
      <c r="Q20" s="14"/>
      <c r="R20" s="14"/>
      <c r="S20" s="14"/>
      <c r="T20" s="14"/>
    </row>
    <row r="21" spans="3:20">
      <c r="C21" t="s">
        <v>2178</v>
      </c>
    </row>
    <row r="23" spans="3:20">
      <c r="C23" t="s">
        <v>2179</v>
      </c>
    </row>
    <row r="24" spans="3:20">
      <c r="C24">
        <v>2018</v>
      </c>
      <c r="D24">
        <v>0</v>
      </c>
      <c r="E24">
        <v>35104</v>
      </c>
      <c r="G24" t="s">
        <v>2182</v>
      </c>
      <c r="H24">
        <f>SUM(E24:E28)</f>
        <v>183442</v>
      </c>
      <c r="I24" s="1079">
        <f>H24/$H$28</f>
        <v>6.7789657755390059E-2</v>
      </c>
    </row>
    <row r="25" spans="3:20">
      <c r="C25">
        <v>2018</v>
      </c>
      <c r="D25">
        <v>1</v>
      </c>
      <c r="E25">
        <v>36857</v>
      </c>
      <c r="G25" s="1077" t="s">
        <v>2183</v>
      </c>
      <c r="H25">
        <f>SUM(E29:E41)</f>
        <v>410069</v>
      </c>
      <c r="I25" s="1079">
        <f t="shared" ref="I25:I27" si="9">H25/$H$28</f>
        <v>0.15153801837144734</v>
      </c>
    </row>
    <row r="26" spans="3:20">
      <c r="C26">
        <v>2018</v>
      </c>
      <c r="D26">
        <v>2</v>
      </c>
      <c r="E26">
        <v>38363</v>
      </c>
      <c r="G26" t="s">
        <v>2185</v>
      </c>
      <c r="H26">
        <f>SUM(E24:E41)</f>
        <v>593511</v>
      </c>
      <c r="I26" s="1079">
        <f t="shared" si="9"/>
        <v>0.2193276761268374</v>
      </c>
    </row>
    <row r="27" spans="3:20">
      <c r="C27">
        <v>2018</v>
      </c>
      <c r="D27">
        <v>3</v>
      </c>
      <c r="E27">
        <v>37480</v>
      </c>
      <c r="G27" t="s">
        <v>2184</v>
      </c>
      <c r="H27">
        <f>SUM(E42:E109)</f>
        <v>2112536</v>
      </c>
      <c r="I27" s="1079">
        <f t="shared" si="9"/>
        <v>0.78067232387316254</v>
      </c>
    </row>
    <row r="28" spans="3:20">
      <c r="C28">
        <v>2018</v>
      </c>
      <c r="D28">
        <v>4</v>
      </c>
      <c r="E28">
        <v>35638</v>
      </c>
      <c r="G28" t="s">
        <v>97</v>
      </c>
      <c r="H28">
        <f>SUM(E24:E109)</f>
        <v>2706047</v>
      </c>
    </row>
    <row r="29" spans="3:20">
      <c r="C29">
        <v>2018</v>
      </c>
      <c r="D29">
        <v>5</v>
      </c>
      <c r="E29">
        <v>34574</v>
      </c>
    </row>
    <row r="30" spans="3:20">
      <c r="C30">
        <v>2018</v>
      </c>
      <c r="D30">
        <v>6</v>
      </c>
      <c r="E30">
        <v>33862</v>
      </c>
    </row>
    <row r="31" spans="3:20">
      <c r="C31">
        <v>2018</v>
      </c>
      <c r="D31">
        <v>7</v>
      </c>
      <c r="E31">
        <v>33709</v>
      </c>
    </row>
    <row r="32" spans="3:20">
      <c r="C32">
        <v>2018</v>
      </c>
      <c r="D32">
        <v>8</v>
      </c>
      <c r="E32">
        <v>34506</v>
      </c>
    </row>
    <row r="33" spans="3:5">
      <c r="C33">
        <v>2018</v>
      </c>
      <c r="D33">
        <v>9</v>
      </c>
      <c r="E33">
        <v>33855</v>
      </c>
    </row>
    <row r="34" spans="3:5">
      <c r="C34">
        <v>2018</v>
      </c>
      <c r="D34">
        <v>10</v>
      </c>
      <c r="E34">
        <v>32833</v>
      </c>
    </row>
    <row r="35" spans="3:5">
      <c r="C35">
        <v>2018</v>
      </c>
      <c r="D35">
        <v>11</v>
      </c>
      <c r="E35">
        <v>31703</v>
      </c>
    </row>
    <row r="36" spans="3:5">
      <c r="C36">
        <v>2018</v>
      </c>
      <c r="D36">
        <v>12</v>
      </c>
      <c r="E36">
        <v>30557</v>
      </c>
    </row>
    <row r="37" spans="3:5">
      <c r="C37">
        <v>2018</v>
      </c>
      <c r="D37">
        <v>13</v>
      </c>
      <c r="E37">
        <v>30111</v>
      </c>
    </row>
    <row r="38" spans="3:5">
      <c r="C38">
        <v>2018</v>
      </c>
      <c r="D38">
        <v>14</v>
      </c>
      <c r="E38">
        <v>29215</v>
      </c>
    </row>
    <row r="39" spans="3:5">
      <c r="C39">
        <v>2018</v>
      </c>
      <c r="D39">
        <v>15</v>
      </c>
      <c r="E39">
        <v>28445</v>
      </c>
    </row>
    <row r="40" spans="3:5">
      <c r="C40">
        <v>2018</v>
      </c>
      <c r="D40">
        <v>16</v>
      </c>
      <c r="E40">
        <v>27977</v>
      </c>
    </row>
    <row r="41" spans="3:5">
      <c r="C41">
        <v>2018</v>
      </c>
      <c r="D41">
        <v>17</v>
      </c>
      <c r="E41">
        <v>28722</v>
      </c>
    </row>
    <row r="42" spans="3:5">
      <c r="C42">
        <v>2018</v>
      </c>
      <c r="D42">
        <v>18</v>
      </c>
      <c r="E42">
        <v>28994</v>
      </c>
    </row>
    <row r="43" spans="3:5">
      <c r="C43">
        <v>2018</v>
      </c>
      <c r="D43">
        <v>19</v>
      </c>
      <c r="E43">
        <v>27934</v>
      </c>
    </row>
    <row r="44" spans="3:5">
      <c r="C44">
        <v>2018</v>
      </c>
      <c r="D44">
        <v>20</v>
      </c>
      <c r="E44">
        <v>28782</v>
      </c>
    </row>
    <row r="45" spans="3:5">
      <c r="C45">
        <v>2018</v>
      </c>
      <c r="D45">
        <v>21</v>
      </c>
      <c r="E45">
        <v>31125</v>
      </c>
    </row>
    <row r="46" spans="3:5">
      <c r="C46">
        <v>2018</v>
      </c>
      <c r="D46">
        <v>22</v>
      </c>
      <c r="E46">
        <v>33199</v>
      </c>
    </row>
    <row r="47" spans="3:5">
      <c r="C47">
        <v>2018</v>
      </c>
      <c r="D47">
        <v>23</v>
      </c>
      <c r="E47">
        <v>35153</v>
      </c>
    </row>
    <row r="48" spans="3:5">
      <c r="C48">
        <v>2018</v>
      </c>
      <c r="D48">
        <v>24</v>
      </c>
      <c r="E48">
        <v>37325</v>
      </c>
    </row>
    <row r="49" spans="3:5">
      <c r="C49">
        <v>2018</v>
      </c>
      <c r="D49">
        <v>25</v>
      </c>
      <c r="E49">
        <v>38841</v>
      </c>
    </row>
    <row r="50" spans="3:5">
      <c r="C50">
        <v>2018</v>
      </c>
      <c r="D50">
        <v>26</v>
      </c>
      <c r="E50">
        <v>39181</v>
      </c>
    </row>
    <row r="51" spans="3:5">
      <c r="C51">
        <v>2018</v>
      </c>
      <c r="D51">
        <v>27</v>
      </c>
      <c r="E51">
        <v>40083</v>
      </c>
    </row>
    <row r="52" spans="3:5">
      <c r="C52">
        <v>2018</v>
      </c>
      <c r="D52">
        <v>28</v>
      </c>
      <c r="E52">
        <v>42153</v>
      </c>
    </row>
    <row r="53" spans="3:5">
      <c r="C53">
        <v>2018</v>
      </c>
      <c r="D53">
        <v>29</v>
      </c>
      <c r="E53">
        <v>43760</v>
      </c>
    </row>
    <row r="54" spans="3:5">
      <c r="C54">
        <v>2018</v>
      </c>
      <c r="D54">
        <v>30</v>
      </c>
      <c r="E54">
        <v>44930</v>
      </c>
    </row>
    <row r="55" spans="3:5">
      <c r="C55">
        <v>2018</v>
      </c>
      <c r="D55">
        <v>31</v>
      </c>
      <c r="E55">
        <v>46113</v>
      </c>
    </row>
    <row r="56" spans="3:5">
      <c r="C56">
        <v>2018</v>
      </c>
      <c r="D56">
        <v>32</v>
      </c>
      <c r="E56">
        <v>45643</v>
      </c>
    </row>
    <row r="57" spans="3:5">
      <c r="C57">
        <v>2018</v>
      </c>
      <c r="D57">
        <v>33</v>
      </c>
      <c r="E57">
        <v>43830</v>
      </c>
    </row>
    <row r="58" spans="3:5">
      <c r="C58">
        <v>2018</v>
      </c>
      <c r="D58">
        <v>34</v>
      </c>
      <c r="E58">
        <v>42891</v>
      </c>
    </row>
    <row r="59" spans="3:5">
      <c r="C59">
        <v>2018</v>
      </c>
      <c r="D59">
        <v>35</v>
      </c>
      <c r="E59">
        <v>41352</v>
      </c>
    </row>
    <row r="60" spans="3:5">
      <c r="C60">
        <v>2018</v>
      </c>
      <c r="D60">
        <v>36</v>
      </c>
      <c r="E60">
        <v>38870</v>
      </c>
    </row>
    <row r="61" spans="3:5">
      <c r="C61">
        <v>2018</v>
      </c>
      <c r="D61">
        <v>37</v>
      </c>
      <c r="E61">
        <v>38271</v>
      </c>
    </row>
    <row r="62" spans="3:5">
      <c r="C62">
        <v>2018</v>
      </c>
      <c r="D62">
        <v>38</v>
      </c>
      <c r="E62">
        <v>37629</v>
      </c>
    </row>
    <row r="63" spans="3:5">
      <c r="C63">
        <v>2018</v>
      </c>
      <c r="D63">
        <v>39</v>
      </c>
      <c r="E63">
        <v>36535</v>
      </c>
    </row>
    <row r="64" spans="3:5">
      <c r="C64">
        <v>2018</v>
      </c>
      <c r="D64">
        <v>40</v>
      </c>
      <c r="E64">
        <v>35127</v>
      </c>
    </row>
    <row r="65" spans="3:5">
      <c r="C65">
        <v>2018</v>
      </c>
      <c r="D65">
        <v>41</v>
      </c>
      <c r="E65">
        <v>34631</v>
      </c>
    </row>
    <row r="66" spans="3:5">
      <c r="C66">
        <v>2018</v>
      </c>
      <c r="D66">
        <v>42</v>
      </c>
      <c r="E66">
        <v>35389</v>
      </c>
    </row>
    <row r="67" spans="3:5">
      <c r="C67">
        <v>2018</v>
      </c>
      <c r="D67">
        <v>43</v>
      </c>
      <c r="E67">
        <v>35142</v>
      </c>
    </row>
    <row r="68" spans="3:5">
      <c r="C68">
        <v>2018</v>
      </c>
      <c r="D68">
        <v>44</v>
      </c>
      <c r="E68">
        <v>34596</v>
      </c>
    </row>
    <row r="69" spans="3:5">
      <c r="C69">
        <v>2018</v>
      </c>
      <c r="D69">
        <v>45</v>
      </c>
      <c r="E69">
        <v>34691</v>
      </c>
    </row>
    <row r="70" spans="3:5">
      <c r="C70">
        <v>2018</v>
      </c>
      <c r="D70">
        <v>46</v>
      </c>
      <c r="E70">
        <v>34085</v>
      </c>
    </row>
    <row r="71" spans="3:5">
      <c r="C71">
        <v>2018</v>
      </c>
      <c r="D71">
        <v>47</v>
      </c>
      <c r="E71">
        <v>33006</v>
      </c>
    </row>
    <row r="72" spans="3:5">
      <c r="C72">
        <v>2018</v>
      </c>
      <c r="D72">
        <v>48</v>
      </c>
      <c r="E72">
        <v>32182</v>
      </c>
    </row>
    <row r="73" spans="3:5">
      <c r="C73">
        <v>2018</v>
      </c>
      <c r="D73">
        <v>49</v>
      </c>
      <c r="E73">
        <v>32449</v>
      </c>
    </row>
    <row r="74" spans="3:5">
      <c r="C74">
        <v>2018</v>
      </c>
      <c r="D74">
        <v>50</v>
      </c>
      <c r="E74">
        <v>33437</v>
      </c>
    </row>
    <row r="75" spans="3:5">
      <c r="C75">
        <v>2018</v>
      </c>
      <c r="D75">
        <v>51</v>
      </c>
      <c r="E75">
        <v>33552</v>
      </c>
    </row>
    <row r="76" spans="3:5">
      <c r="C76">
        <v>2018</v>
      </c>
      <c r="D76">
        <v>52</v>
      </c>
      <c r="E76">
        <v>33258</v>
      </c>
    </row>
    <row r="77" spans="3:5">
      <c r="C77">
        <v>2018</v>
      </c>
      <c r="D77">
        <v>53</v>
      </c>
      <c r="E77">
        <v>34304</v>
      </c>
    </row>
    <row r="78" spans="3:5">
      <c r="C78">
        <v>2018</v>
      </c>
      <c r="D78">
        <v>54</v>
      </c>
      <c r="E78">
        <v>36590</v>
      </c>
    </row>
    <row r="79" spans="3:5">
      <c r="C79">
        <v>2018</v>
      </c>
      <c r="D79">
        <v>55</v>
      </c>
      <c r="E79">
        <v>38225</v>
      </c>
    </row>
    <row r="80" spans="3:5">
      <c r="C80">
        <v>2018</v>
      </c>
      <c r="D80">
        <v>56</v>
      </c>
      <c r="E80">
        <v>39847</v>
      </c>
    </row>
    <row r="81" spans="3:5">
      <c r="C81">
        <v>2018</v>
      </c>
      <c r="D81">
        <v>57</v>
      </c>
      <c r="E81">
        <v>41985</v>
      </c>
    </row>
    <row r="82" spans="3:5">
      <c r="C82">
        <v>2018</v>
      </c>
      <c r="D82">
        <v>58</v>
      </c>
      <c r="E82">
        <v>43216</v>
      </c>
    </row>
    <row r="83" spans="3:5">
      <c r="C83">
        <v>2018</v>
      </c>
      <c r="D83">
        <v>59</v>
      </c>
      <c r="E83">
        <v>42293</v>
      </c>
    </row>
    <row r="84" spans="3:5">
      <c r="C84">
        <v>2018</v>
      </c>
      <c r="D84">
        <v>60</v>
      </c>
      <c r="E84">
        <v>40506</v>
      </c>
    </row>
    <row r="85" spans="3:5">
      <c r="C85">
        <v>2018</v>
      </c>
      <c r="D85">
        <v>61</v>
      </c>
      <c r="E85">
        <v>38881</v>
      </c>
    </row>
    <row r="86" spans="3:5">
      <c r="C86">
        <v>2018</v>
      </c>
      <c r="D86">
        <v>62</v>
      </c>
      <c r="E86">
        <v>36889</v>
      </c>
    </row>
    <row r="87" spans="3:5">
      <c r="C87">
        <v>2018</v>
      </c>
      <c r="D87">
        <v>63</v>
      </c>
      <c r="E87">
        <v>36169</v>
      </c>
    </row>
    <row r="88" spans="3:5">
      <c r="C88">
        <v>2018</v>
      </c>
      <c r="D88">
        <v>64</v>
      </c>
      <c r="E88">
        <v>34700</v>
      </c>
    </row>
    <row r="89" spans="3:5">
      <c r="C89">
        <v>2018</v>
      </c>
      <c r="D89">
        <v>65</v>
      </c>
      <c r="E89">
        <v>33043</v>
      </c>
    </row>
    <row r="90" spans="3:5">
      <c r="C90">
        <v>2018</v>
      </c>
      <c r="D90">
        <v>66</v>
      </c>
      <c r="E90">
        <v>33792</v>
      </c>
    </row>
    <row r="91" spans="3:5">
      <c r="C91">
        <v>2018</v>
      </c>
      <c r="D91">
        <v>67</v>
      </c>
      <c r="E91">
        <v>34047</v>
      </c>
    </row>
    <row r="92" spans="3:5">
      <c r="C92">
        <v>2018</v>
      </c>
      <c r="D92">
        <v>68</v>
      </c>
      <c r="E92">
        <v>33743</v>
      </c>
    </row>
    <row r="93" spans="3:5">
      <c r="C93">
        <v>2018</v>
      </c>
      <c r="D93">
        <v>69</v>
      </c>
      <c r="E93">
        <v>29404</v>
      </c>
    </row>
    <row r="94" spans="3:5">
      <c r="C94">
        <v>2018</v>
      </c>
      <c r="D94">
        <v>70</v>
      </c>
      <c r="E94">
        <v>20695</v>
      </c>
    </row>
    <row r="95" spans="3:5">
      <c r="C95">
        <v>2018</v>
      </c>
      <c r="D95">
        <v>71</v>
      </c>
      <c r="E95">
        <v>15345</v>
      </c>
    </row>
    <row r="96" spans="3:5">
      <c r="C96">
        <v>2018</v>
      </c>
      <c r="D96">
        <v>72</v>
      </c>
      <c r="E96">
        <v>12014</v>
      </c>
    </row>
    <row r="97" spans="3:5">
      <c r="C97">
        <v>2018</v>
      </c>
      <c r="D97">
        <v>73</v>
      </c>
      <c r="E97">
        <v>10784</v>
      </c>
    </row>
    <row r="98" spans="3:5">
      <c r="C98">
        <v>2018</v>
      </c>
      <c r="D98">
        <v>74</v>
      </c>
      <c r="E98">
        <v>12532</v>
      </c>
    </row>
    <row r="99" spans="3:5">
      <c r="C99">
        <v>2018</v>
      </c>
      <c r="D99">
        <v>75</v>
      </c>
      <c r="E99">
        <v>14066</v>
      </c>
    </row>
    <row r="100" spans="3:5">
      <c r="C100">
        <v>2018</v>
      </c>
      <c r="D100">
        <v>76</v>
      </c>
      <c r="E100">
        <v>15751</v>
      </c>
    </row>
    <row r="101" spans="3:5">
      <c r="C101">
        <v>2018</v>
      </c>
      <c r="D101">
        <v>77</v>
      </c>
      <c r="E101">
        <v>14088</v>
      </c>
    </row>
    <row r="102" spans="3:5">
      <c r="C102">
        <v>2018</v>
      </c>
      <c r="D102">
        <v>78</v>
      </c>
      <c r="E102">
        <v>11441</v>
      </c>
    </row>
    <row r="103" spans="3:5">
      <c r="C103">
        <v>2018</v>
      </c>
      <c r="D103">
        <v>79</v>
      </c>
      <c r="E103">
        <v>10915</v>
      </c>
    </row>
    <row r="104" spans="3:5">
      <c r="C104">
        <v>2018</v>
      </c>
      <c r="D104">
        <v>80</v>
      </c>
      <c r="E104">
        <v>10433</v>
      </c>
    </row>
    <row r="105" spans="3:5">
      <c r="C105">
        <v>2018</v>
      </c>
      <c r="D105">
        <v>81</v>
      </c>
      <c r="E105">
        <v>9510</v>
      </c>
    </row>
    <row r="106" spans="3:5">
      <c r="C106">
        <v>2018</v>
      </c>
      <c r="D106">
        <v>82</v>
      </c>
      <c r="E106">
        <v>8257</v>
      </c>
    </row>
    <row r="107" spans="3:5">
      <c r="C107">
        <v>2018</v>
      </c>
      <c r="D107">
        <v>83</v>
      </c>
      <c r="E107">
        <v>6940</v>
      </c>
    </row>
    <row r="108" spans="3:5">
      <c r="C108">
        <v>2018</v>
      </c>
      <c r="D108">
        <v>84</v>
      </c>
      <c r="E108">
        <v>5505</v>
      </c>
    </row>
    <row r="109" spans="3:5">
      <c r="C109">
        <v>2018</v>
      </c>
      <c r="D109" t="s">
        <v>2180</v>
      </c>
      <c r="E109">
        <v>22487</v>
      </c>
    </row>
    <row r="112" spans="3:5">
      <c r="C112" t="s">
        <v>2186</v>
      </c>
    </row>
    <row r="114" spans="3:9">
      <c r="C114" t="s">
        <v>2179</v>
      </c>
    </row>
    <row r="115" spans="3:9">
      <c r="C115">
        <v>2018</v>
      </c>
      <c r="D115">
        <v>0</v>
      </c>
      <c r="E115">
        <v>32778</v>
      </c>
      <c r="G115" t="s">
        <v>2182</v>
      </c>
      <c r="H115">
        <f>SUM(E115:E119)</f>
        <v>181117</v>
      </c>
      <c r="I115" s="1079">
        <f>H115/$H$119</f>
        <v>5.108877131331515E-2</v>
      </c>
    </row>
    <row r="116" spans="3:9">
      <c r="C116">
        <v>2018</v>
      </c>
      <c r="D116">
        <v>1</v>
      </c>
      <c r="E116">
        <v>35116</v>
      </c>
      <c r="G116" s="1077" t="s">
        <v>2183</v>
      </c>
      <c r="H116">
        <f>SUM(E120:E132)</f>
        <v>491649</v>
      </c>
      <c r="I116" s="1079">
        <f t="shared" ref="I116:I118" si="10">H116/$H$119</f>
        <v>0.13868241704213341</v>
      </c>
    </row>
    <row r="117" spans="3:9">
      <c r="C117">
        <v>2018</v>
      </c>
      <c r="D117">
        <v>2</v>
      </c>
      <c r="E117">
        <v>37321</v>
      </c>
      <c r="G117" t="s">
        <v>2185</v>
      </c>
      <c r="H117">
        <f>SUM(E115:E132)</f>
        <v>672766</v>
      </c>
      <c r="I117" s="1079">
        <f t="shared" si="10"/>
        <v>0.18977118835544857</v>
      </c>
    </row>
    <row r="118" spans="3:9">
      <c r="C118">
        <v>2018</v>
      </c>
      <c r="D118">
        <v>3</v>
      </c>
      <c r="E118">
        <v>38118</v>
      </c>
      <c r="G118" t="s">
        <v>2184</v>
      </c>
      <c r="H118">
        <f>SUM(E133:E200)</f>
        <v>2872377</v>
      </c>
      <c r="I118" s="1079">
        <f t="shared" si="10"/>
        <v>0.81022881164455141</v>
      </c>
    </row>
    <row r="119" spans="3:9">
      <c r="C119">
        <v>2018</v>
      </c>
      <c r="D119">
        <v>4</v>
      </c>
      <c r="E119">
        <v>37784</v>
      </c>
      <c r="G119" t="s">
        <v>97</v>
      </c>
      <c r="H119">
        <f>SUM(E115:E200)</f>
        <v>3545143</v>
      </c>
    </row>
    <row r="120" spans="3:9">
      <c r="C120">
        <v>2018</v>
      </c>
      <c r="D120">
        <v>5</v>
      </c>
      <c r="E120">
        <v>37809</v>
      </c>
    </row>
    <row r="121" spans="3:9">
      <c r="C121">
        <v>2018</v>
      </c>
      <c r="D121">
        <v>6</v>
      </c>
      <c r="E121">
        <v>38581</v>
      </c>
    </row>
    <row r="122" spans="3:9">
      <c r="C122">
        <v>2018</v>
      </c>
      <c r="D122">
        <v>7</v>
      </c>
      <c r="E122">
        <v>39148</v>
      </c>
    </row>
    <row r="123" spans="3:9">
      <c r="C123">
        <v>2018</v>
      </c>
      <c r="D123">
        <v>8</v>
      </c>
      <c r="E123">
        <v>39715</v>
      </c>
    </row>
    <row r="124" spans="3:9">
      <c r="C124">
        <v>2018</v>
      </c>
      <c r="D124">
        <v>9</v>
      </c>
      <c r="E124">
        <v>38854</v>
      </c>
    </row>
    <row r="125" spans="3:9">
      <c r="C125">
        <v>2018</v>
      </c>
      <c r="D125">
        <v>10</v>
      </c>
      <c r="E125">
        <v>37584</v>
      </c>
    </row>
    <row r="126" spans="3:9">
      <c r="C126">
        <v>2018</v>
      </c>
      <c r="D126">
        <v>11</v>
      </c>
      <c r="E126">
        <v>37509</v>
      </c>
    </row>
    <row r="127" spans="3:9">
      <c r="C127">
        <v>2018</v>
      </c>
      <c r="D127">
        <v>12</v>
      </c>
      <c r="E127">
        <v>37536</v>
      </c>
    </row>
    <row r="128" spans="3:9">
      <c r="C128">
        <v>2018</v>
      </c>
      <c r="D128">
        <v>13</v>
      </c>
      <c r="E128">
        <v>37440</v>
      </c>
    </row>
    <row r="129" spans="3:5">
      <c r="C129">
        <v>2018</v>
      </c>
      <c r="D129">
        <v>14</v>
      </c>
      <c r="E129">
        <v>36815</v>
      </c>
    </row>
    <row r="130" spans="3:5">
      <c r="C130">
        <v>2018</v>
      </c>
      <c r="D130">
        <v>15</v>
      </c>
      <c r="E130">
        <v>36278</v>
      </c>
    </row>
    <row r="131" spans="3:5">
      <c r="C131">
        <v>2018</v>
      </c>
      <c r="D131">
        <v>16</v>
      </c>
      <c r="E131">
        <v>36762</v>
      </c>
    </row>
    <row r="132" spans="3:5">
      <c r="C132">
        <v>2018</v>
      </c>
      <c r="D132">
        <v>17</v>
      </c>
      <c r="E132">
        <v>37618</v>
      </c>
    </row>
    <row r="133" spans="3:5">
      <c r="C133">
        <v>2018</v>
      </c>
      <c r="D133">
        <v>18</v>
      </c>
      <c r="E133">
        <v>38586</v>
      </c>
    </row>
    <row r="134" spans="3:5">
      <c r="C134">
        <v>2018</v>
      </c>
      <c r="D134">
        <v>19</v>
      </c>
      <c r="E134">
        <v>39916</v>
      </c>
    </row>
    <row r="135" spans="3:5">
      <c r="C135">
        <v>2018</v>
      </c>
      <c r="D135">
        <v>20</v>
      </c>
      <c r="E135">
        <v>41925</v>
      </c>
    </row>
    <row r="136" spans="3:5">
      <c r="C136">
        <v>2018</v>
      </c>
      <c r="D136">
        <v>21</v>
      </c>
      <c r="E136">
        <v>44910</v>
      </c>
    </row>
    <row r="137" spans="3:5">
      <c r="C137">
        <v>2018</v>
      </c>
      <c r="D137">
        <v>22</v>
      </c>
      <c r="E137">
        <v>48083</v>
      </c>
    </row>
    <row r="138" spans="3:5">
      <c r="C138">
        <v>2018</v>
      </c>
      <c r="D138">
        <v>23</v>
      </c>
      <c r="E138">
        <v>51548</v>
      </c>
    </row>
    <row r="139" spans="3:5">
      <c r="C139">
        <v>2018</v>
      </c>
      <c r="D139">
        <v>24</v>
      </c>
      <c r="E139">
        <v>55158</v>
      </c>
    </row>
    <row r="140" spans="3:5">
      <c r="C140">
        <v>2018</v>
      </c>
      <c r="D140">
        <v>25</v>
      </c>
      <c r="E140">
        <v>57788</v>
      </c>
    </row>
    <row r="141" spans="3:5">
      <c r="C141">
        <v>2018</v>
      </c>
      <c r="D141">
        <v>26</v>
      </c>
      <c r="E141">
        <v>60105</v>
      </c>
    </row>
    <row r="142" spans="3:5">
      <c r="C142">
        <v>2018</v>
      </c>
      <c r="D142">
        <v>27</v>
      </c>
      <c r="E142">
        <v>63348</v>
      </c>
    </row>
    <row r="143" spans="3:5">
      <c r="C143">
        <v>2018</v>
      </c>
      <c r="D143">
        <v>28</v>
      </c>
      <c r="E143">
        <v>66467</v>
      </c>
    </row>
    <row r="144" spans="3:5">
      <c r="C144">
        <v>2018</v>
      </c>
      <c r="D144">
        <v>29</v>
      </c>
      <c r="E144">
        <v>69690</v>
      </c>
    </row>
    <row r="145" spans="3:5">
      <c r="C145">
        <v>2018</v>
      </c>
      <c r="D145">
        <v>30</v>
      </c>
      <c r="E145">
        <v>72381</v>
      </c>
    </row>
    <row r="146" spans="3:5">
      <c r="C146">
        <v>2018</v>
      </c>
      <c r="D146">
        <v>31</v>
      </c>
      <c r="E146">
        <v>72383</v>
      </c>
    </row>
    <row r="147" spans="3:5">
      <c r="C147">
        <v>2018</v>
      </c>
      <c r="D147">
        <v>32</v>
      </c>
      <c r="E147">
        <v>70971</v>
      </c>
    </row>
    <row r="148" spans="3:5">
      <c r="C148">
        <v>2018</v>
      </c>
      <c r="D148">
        <v>33</v>
      </c>
      <c r="E148">
        <v>68825</v>
      </c>
    </row>
    <row r="149" spans="3:5">
      <c r="C149">
        <v>2018</v>
      </c>
      <c r="D149">
        <v>34</v>
      </c>
      <c r="E149">
        <v>65991</v>
      </c>
    </row>
    <row r="150" spans="3:5">
      <c r="C150">
        <v>2018</v>
      </c>
      <c r="D150">
        <v>35</v>
      </c>
      <c r="E150">
        <v>61852</v>
      </c>
    </row>
    <row r="151" spans="3:5">
      <c r="C151">
        <v>2018</v>
      </c>
      <c r="D151">
        <v>36</v>
      </c>
      <c r="E151">
        <v>59393</v>
      </c>
    </row>
    <row r="152" spans="3:5">
      <c r="C152">
        <v>2018</v>
      </c>
      <c r="D152">
        <v>37</v>
      </c>
      <c r="E152">
        <v>59196</v>
      </c>
    </row>
    <row r="153" spans="3:5">
      <c r="C153">
        <v>2018</v>
      </c>
      <c r="D153">
        <v>38</v>
      </c>
      <c r="E153">
        <v>57765</v>
      </c>
    </row>
    <row r="154" spans="3:5">
      <c r="C154">
        <v>2018</v>
      </c>
      <c r="D154">
        <v>39</v>
      </c>
      <c r="E154">
        <v>55373</v>
      </c>
    </row>
    <row r="155" spans="3:5">
      <c r="C155">
        <v>2018</v>
      </c>
      <c r="D155">
        <v>40</v>
      </c>
      <c r="E155">
        <v>53202</v>
      </c>
    </row>
    <row r="156" spans="3:5">
      <c r="C156">
        <v>2018</v>
      </c>
      <c r="D156">
        <v>41</v>
      </c>
      <c r="E156">
        <v>51609</v>
      </c>
    </row>
    <row r="157" spans="3:5">
      <c r="C157">
        <v>2018</v>
      </c>
      <c r="D157">
        <v>42</v>
      </c>
      <c r="E157">
        <v>49898</v>
      </c>
    </row>
    <row r="158" spans="3:5">
      <c r="C158">
        <v>2018</v>
      </c>
      <c r="D158">
        <v>43</v>
      </c>
      <c r="E158">
        <v>48887</v>
      </c>
    </row>
    <row r="159" spans="3:5">
      <c r="C159">
        <v>2018</v>
      </c>
      <c r="D159">
        <v>44</v>
      </c>
      <c r="E159">
        <v>47941</v>
      </c>
    </row>
    <row r="160" spans="3:5">
      <c r="C160">
        <v>2018</v>
      </c>
      <c r="D160">
        <v>45</v>
      </c>
      <c r="E160">
        <v>46903</v>
      </c>
    </row>
    <row r="161" spans="3:5">
      <c r="C161">
        <v>2018</v>
      </c>
      <c r="D161">
        <v>46</v>
      </c>
      <c r="E161">
        <v>45244</v>
      </c>
    </row>
    <row r="162" spans="3:5">
      <c r="C162">
        <v>2018</v>
      </c>
      <c r="D162">
        <v>47</v>
      </c>
      <c r="E162">
        <v>43682</v>
      </c>
    </row>
    <row r="163" spans="3:5">
      <c r="C163">
        <v>2018</v>
      </c>
      <c r="D163">
        <v>48</v>
      </c>
      <c r="E163">
        <v>43134</v>
      </c>
    </row>
    <row r="164" spans="3:5">
      <c r="C164">
        <v>2018</v>
      </c>
      <c r="D164">
        <v>49</v>
      </c>
      <c r="E164">
        <v>43246</v>
      </c>
    </row>
    <row r="165" spans="3:5">
      <c r="C165">
        <v>2018</v>
      </c>
      <c r="D165">
        <v>50</v>
      </c>
      <c r="E165">
        <v>43341</v>
      </c>
    </row>
    <row r="166" spans="3:5">
      <c r="C166">
        <v>2018</v>
      </c>
      <c r="D166">
        <v>51</v>
      </c>
      <c r="E166">
        <v>43191</v>
      </c>
    </row>
    <row r="167" spans="3:5">
      <c r="C167">
        <v>2018</v>
      </c>
      <c r="D167">
        <v>52</v>
      </c>
      <c r="E167">
        <v>43167</v>
      </c>
    </row>
    <row r="168" spans="3:5">
      <c r="C168">
        <v>2018</v>
      </c>
      <c r="D168">
        <v>53</v>
      </c>
      <c r="E168">
        <v>44763</v>
      </c>
    </row>
    <row r="169" spans="3:5">
      <c r="C169">
        <v>2018</v>
      </c>
      <c r="D169">
        <v>54</v>
      </c>
      <c r="E169">
        <v>47040</v>
      </c>
    </row>
    <row r="170" spans="3:5">
      <c r="C170">
        <v>2018</v>
      </c>
      <c r="D170">
        <v>55</v>
      </c>
      <c r="E170">
        <v>48375</v>
      </c>
    </row>
    <row r="171" spans="3:5">
      <c r="C171">
        <v>2018</v>
      </c>
      <c r="D171">
        <v>56</v>
      </c>
      <c r="E171">
        <v>50444</v>
      </c>
    </row>
    <row r="172" spans="3:5">
      <c r="C172">
        <v>2018</v>
      </c>
      <c r="D172">
        <v>57</v>
      </c>
      <c r="E172">
        <v>52453</v>
      </c>
    </row>
    <row r="173" spans="3:5">
      <c r="C173">
        <v>2018</v>
      </c>
      <c r="D173">
        <v>58</v>
      </c>
      <c r="E173">
        <v>53234</v>
      </c>
    </row>
    <row r="174" spans="3:5">
      <c r="C174">
        <v>2018</v>
      </c>
      <c r="D174">
        <v>59</v>
      </c>
      <c r="E174">
        <v>50942</v>
      </c>
    </row>
    <row r="175" spans="3:5">
      <c r="C175">
        <v>2018</v>
      </c>
      <c r="D175">
        <v>60</v>
      </c>
      <c r="E175">
        <v>48381</v>
      </c>
    </row>
    <row r="176" spans="3:5">
      <c r="C176">
        <v>2018</v>
      </c>
      <c r="D176">
        <v>61</v>
      </c>
      <c r="E176">
        <v>45776</v>
      </c>
    </row>
    <row r="177" spans="3:5">
      <c r="C177">
        <v>2018</v>
      </c>
      <c r="D177">
        <v>62</v>
      </c>
      <c r="E177">
        <v>42977</v>
      </c>
    </row>
    <row r="178" spans="3:5">
      <c r="C178">
        <v>2018</v>
      </c>
      <c r="D178">
        <v>63</v>
      </c>
      <c r="E178">
        <v>42580</v>
      </c>
    </row>
    <row r="179" spans="3:5">
      <c r="C179">
        <v>2018</v>
      </c>
      <c r="D179">
        <v>64</v>
      </c>
      <c r="E179">
        <v>40695</v>
      </c>
    </row>
    <row r="180" spans="3:5">
      <c r="C180">
        <v>2018</v>
      </c>
      <c r="D180">
        <v>65</v>
      </c>
      <c r="E180">
        <v>38968</v>
      </c>
    </row>
    <row r="181" spans="3:5">
      <c r="C181">
        <v>2018</v>
      </c>
      <c r="D181">
        <v>66</v>
      </c>
      <c r="E181">
        <v>38054</v>
      </c>
    </row>
    <row r="182" spans="3:5">
      <c r="C182">
        <v>2018</v>
      </c>
      <c r="D182">
        <v>67</v>
      </c>
      <c r="E182">
        <v>35388</v>
      </c>
    </row>
    <row r="183" spans="3:5">
      <c r="C183">
        <v>2018</v>
      </c>
      <c r="D183">
        <v>68</v>
      </c>
      <c r="E183">
        <v>32307</v>
      </c>
    </row>
    <row r="184" spans="3:5">
      <c r="C184">
        <v>2018</v>
      </c>
      <c r="D184">
        <v>69</v>
      </c>
      <c r="E184">
        <v>26351</v>
      </c>
    </row>
    <row r="185" spans="3:5">
      <c r="C185">
        <v>2018</v>
      </c>
      <c r="D185">
        <v>70</v>
      </c>
      <c r="E185">
        <v>21304</v>
      </c>
    </row>
    <row r="186" spans="3:5">
      <c r="C186">
        <v>2018</v>
      </c>
      <c r="D186">
        <v>71</v>
      </c>
      <c r="E186">
        <v>19458</v>
      </c>
    </row>
    <row r="187" spans="3:5">
      <c r="C187">
        <v>2018</v>
      </c>
      <c r="D187">
        <v>72</v>
      </c>
      <c r="E187">
        <v>17861</v>
      </c>
    </row>
    <row r="188" spans="3:5">
      <c r="C188">
        <v>2018</v>
      </c>
      <c r="D188">
        <v>73</v>
      </c>
      <c r="E188">
        <v>16284</v>
      </c>
    </row>
    <row r="189" spans="3:5">
      <c r="C189">
        <v>2018</v>
      </c>
      <c r="D189">
        <v>74</v>
      </c>
      <c r="E189">
        <v>15456</v>
      </c>
    </row>
    <row r="190" spans="3:5">
      <c r="C190">
        <v>2018</v>
      </c>
      <c r="D190">
        <v>75</v>
      </c>
      <c r="E190">
        <v>16339</v>
      </c>
    </row>
    <row r="191" spans="3:5">
      <c r="C191">
        <v>2018</v>
      </c>
      <c r="D191">
        <v>76</v>
      </c>
      <c r="E191">
        <v>16216</v>
      </c>
    </row>
    <row r="192" spans="3:5">
      <c r="C192">
        <v>2018</v>
      </c>
      <c r="D192">
        <v>77</v>
      </c>
      <c r="E192">
        <v>14556</v>
      </c>
    </row>
    <row r="193" spans="3:5">
      <c r="C193">
        <v>2018</v>
      </c>
      <c r="D193">
        <v>78</v>
      </c>
      <c r="E193">
        <v>13384</v>
      </c>
    </row>
    <row r="194" spans="3:5">
      <c r="C194">
        <v>2018</v>
      </c>
      <c r="D194">
        <v>79</v>
      </c>
      <c r="E194">
        <v>12925</v>
      </c>
    </row>
    <row r="195" spans="3:5">
      <c r="C195">
        <v>2018</v>
      </c>
      <c r="D195">
        <v>80</v>
      </c>
      <c r="E195">
        <v>12288</v>
      </c>
    </row>
    <row r="196" spans="3:5">
      <c r="C196">
        <v>2018</v>
      </c>
      <c r="D196">
        <v>81</v>
      </c>
      <c r="E196">
        <v>10955</v>
      </c>
    </row>
    <row r="197" spans="3:5">
      <c r="C197">
        <v>2018</v>
      </c>
      <c r="D197">
        <v>82</v>
      </c>
      <c r="E197">
        <v>9306</v>
      </c>
    </row>
    <row r="198" spans="3:5">
      <c r="C198">
        <v>2018</v>
      </c>
      <c r="D198">
        <v>83</v>
      </c>
      <c r="E198">
        <v>7845</v>
      </c>
    </row>
    <row r="199" spans="3:5">
      <c r="C199">
        <v>2018</v>
      </c>
      <c r="D199">
        <v>84</v>
      </c>
      <c r="E199">
        <v>6367</v>
      </c>
    </row>
    <row r="200" spans="3:5">
      <c r="C200">
        <v>2018</v>
      </c>
      <c r="D200" t="s">
        <v>2180</v>
      </c>
      <c r="E200">
        <v>38006</v>
      </c>
    </row>
  </sheetData>
  <hyperlinks>
    <hyperlink ref="O1" location="CUPRINS!A1" display="CUPRINS" xr:uid="{00000000-0004-0000-0B00-000000000000}"/>
  </hyperlinks>
  <pageMargins left="0.7" right="0.7" top="0.75" bottom="0.75" header="0.3" footer="0.3"/>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18"/>
  <sheetViews>
    <sheetView topLeftCell="A22" zoomScale="85" zoomScaleNormal="85" workbookViewId="0">
      <selection activeCell="B53" sqref="B53:D53"/>
    </sheetView>
  </sheetViews>
  <sheetFormatPr baseColWidth="10" defaultColWidth="8.83203125" defaultRowHeight="15" outlineLevelCol="1"/>
  <cols>
    <col min="1" max="1" width="4.5" customWidth="1" outlineLevel="1"/>
    <col min="2" max="2" width="12.5" customWidth="1" outlineLevel="1"/>
    <col min="3" max="3" width="16.5" customWidth="1" outlineLevel="1"/>
    <col min="4" max="4" width="12.6640625" customWidth="1" outlineLevel="1"/>
    <col min="5" max="6" width="10.83203125" customWidth="1" outlineLevel="1"/>
    <col min="7" max="7" width="7.1640625" customWidth="1" outlineLevel="1"/>
    <col min="8" max="8" width="85.33203125" customWidth="1" outlineLevel="1"/>
    <col min="9" max="9" width="13.5" style="2182" customWidth="1" outlineLevel="1"/>
    <col min="10" max="10" width="13" customWidth="1" outlineLevel="1"/>
    <col min="11" max="11" width="0.83203125" style="442" customWidth="1"/>
    <col min="12" max="12" width="25.6640625" customWidth="1"/>
    <col min="13" max="13" width="82.6640625" bestFit="1" customWidth="1"/>
    <col min="14" max="14" width="64.1640625" customWidth="1"/>
    <col min="15" max="15" width="11.5" bestFit="1" customWidth="1"/>
    <col min="16" max="16" width="13.6640625" bestFit="1" customWidth="1"/>
    <col min="17" max="17" width="13.33203125" bestFit="1" customWidth="1"/>
    <col min="18" max="18" width="10.83203125" bestFit="1" customWidth="1"/>
    <col min="19" max="19" width="11.5" bestFit="1" customWidth="1"/>
    <col min="20" max="20" width="14.5" bestFit="1" customWidth="1"/>
    <col min="22" max="22" width="10" bestFit="1" customWidth="1"/>
  </cols>
  <sheetData>
    <row r="1" spans="1:20" ht="17" thickBot="1">
      <c r="A1" s="730"/>
      <c r="B1" s="731">
        <v>2021</v>
      </c>
      <c r="C1" s="731">
        <v>2022</v>
      </c>
      <c r="D1" s="731">
        <v>2023</v>
      </c>
      <c r="E1" s="731">
        <v>2024</v>
      </c>
      <c r="F1" s="731">
        <v>2025</v>
      </c>
      <c r="G1" s="731" t="s">
        <v>484</v>
      </c>
      <c r="H1" s="731" t="s">
        <v>515</v>
      </c>
      <c r="I1" s="2181" t="s">
        <v>1834</v>
      </c>
      <c r="J1" s="859"/>
      <c r="K1" s="712" t="s">
        <v>238</v>
      </c>
      <c r="L1" s="836">
        <f ca="1">SUM(B:F)-B1-C1-D1-E1-F1</f>
        <v>12523721.385133939</v>
      </c>
      <c r="M1">
        <f>SUM(AR:AR)</f>
        <v>0</v>
      </c>
      <c r="N1" s="836">
        <f ca="1">L1-M1</f>
        <v>12523721.385133939</v>
      </c>
      <c r="O1" s="1870" t="s">
        <v>356</v>
      </c>
      <c r="P1" s="2159">
        <f>MAX(Buget_detaliat!$B$7:$B$604)</f>
        <v>247</v>
      </c>
    </row>
    <row r="2" spans="1:20">
      <c r="K2" s="712" t="s">
        <v>238</v>
      </c>
    </row>
    <row r="3" spans="1:20">
      <c r="K3" s="712" t="s">
        <v>238</v>
      </c>
    </row>
    <row r="4" spans="1:20">
      <c r="K4" s="712" t="s">
        <v>238</v>
      </c>
      <c r="L4" s="1775" t="s">
        <v>2966</v>
      </c>
    </row>
    <row r="5" spans="1:20">
      <c r="K5" s="712" t="s">
        <v>238</v>
      </c>
    </row>
    <row r="6" spans="1:20">
      <c r="K6" s="712" t="s">
        <v>238</v>
      </c>
    </row>
    <row r="7" spans="1:20" ht="16" thickBot="1">
      <c r="K7" s="712" t="s">
        <v>238</v>
      </c>
    </row>
    <row r="8" spans="1:20" ht="32">
      <c r="K8" s="712" t="s">
        <v>238</v>
      </c>
      <c r="M8" s="1758" t="s">
        <v>2155</v>
      </c>
      <c r="N8" s="966"/>
      <c r="O8" s="966"/>
      <c r="P8" s="966"/>
      <c r="Q8" s="1759" t="s">
        <v>3060</v>
      </c>
      <c r="R8" s="966"/>
      <c r="S8" s="966"/>
      <c r="T8" s="967"/>
    </row>
    <row r="9" spans="1:20" ht="32">
      <c r="K9" s="712" t="s">
        <v>238</v>
      </c>
      <c r="M9" s="1760" t="s">
        <v>3054</v>
      </c>
      <c r="N9" s="1749"/>
      <c r="O9" s="1565"/>
      <c r="P9" s="1750">
        <v>0</v>
      </c>
      <c r="Q9" s="1383">
        <v>0</v>
      </c>
      <c r="R9" s="960"/>
      <c r="S9" s="960"/>
      <c r="T9" s="62"/>
    </row>
    <row r="10" spans="1:20" ht="32">
      <c r="K10" s="712" t="s">
        <v>238</v>
      </c>
      <c r="M10" s="1760" t="s">
        <v>3055</v>
      </c>
      <c r="N10" s="1749"/>
      <c r="O10" s="1565"/>
      <c r="P10" s="1750">
        <v>2</v>
      </c>
      <c r="Q10" s="1383">
        <v>10</v>
      </c>
      <c r="R10" s="960"/>
      <c r="S10" s="960"/>
      <c r="T10" s="62"/>
    </row>
    <row r="11" spans="1:20">
      <c r="K11" s="712" t="s">
        <v>238</v>
      </c>
      <c r="M11" s="1049"/>
      <c r="N11" s="960"/>
      <c r="O11" s="960"/>
      <c r="P11" s="960"/>
      <c r="Q11" s="960"/>
      <c r="R11" s="960"/>
      <c r="S11" s="960"/>
      <c r="T11" s="62"/>
    </row>
    <row r="12" spans="1:20">
      <c r="K12" s="712" t="s">
        <v>238</v>
      </c>
      <c r="M12" s="1049" t="s">
        <v>3059</v>
      </c>
      <c r="N12" s="960"/>
      <c r="O12" s="960"/>
      <c r="P12" s="960"/>
      <c r="Q12" s="960"/>
      <c r="R12" s="960"/>
      <c r="S12" s="960"/>
      <c r="T12" s="62"/>
    </row>
    <row r="13" spans="1:20" ht="32">
      <c r="K13" s="712" t="s">
        <v>238</v>
      </c>
      <c r="M13" s="1760" t="s">
        <v>3061</v>
      </c>
      <c r="N13" s="1749"/>
      <c r="O13" s="1565"/>
      <c r="P13" s="1750">
        <v>50</v>
      </c>
      <c r="Q13" s="1383"/>
      <c r="R13" s="960"/>
      <c r="S13" s="960"/>
      <c r="T13" s="62"/>
    </row>
    <row r="14" spans="1:20" ht="32">
      <c r="K14" s="712" t="s">
        <v>238</v>
      </c>
      <c r="M14" s="1760" t="s">
        <v>3062</v>
      </c>
      <c r="N14" s="1749"/>
      <c r="O14" s="1565"/>
      <c r="P14" s="1750">
        <v>0</v>
      </c>
      <c r="Q14" s="1383"/>
      <c r="R14" s="960"/>
      <c r="S14" s="960"/>
      <c r="T14" s="62"/>
    </row>
    <row r="15" spans="1:20">
      <c r="K15" s="712" t="s">
        <v>238</v>
      </c>
      <c r="M15" s="1049"/>
      <c r="N15" s="960"/>
      <c r="O15" s="960"/>
      <c r="P15" s="960"/>
      <c r="Q15" s="960"/>
      <c r="R15" s="960"/>
      <c r="S15" s="960"/>
      <c r="T15" s="62"/>
    </row>
    <row r="16" spans="1:20">
      <c r="K16" s="712" t="s">
        <v>238</v>
      </c>
      <c r="M16" s="1049"/>
      <c r="N16" s="960"/>
      <c r="O16" s="960"/>
      <c r="P16" s="960"/>
      <c r="Q16" s="960"/>
      <c r="R16" s="960"/>
      <c r="S16" s="960"/>
      <c r="T16" s="62"/>
    </row>
    <row r="17" spans="1:20" ht="16" thickBot="1">
      <c r="K17" s="712" t="s">
        <v>238</v>
      </c>
      <c r="M17" s="1049" t="s">
        <v>3058</v>
      </c>
      <c r="N17" s="960"/>
      <c r="O17" s="960"/>
      <c r="P17" s="960"/>
      <c r="Q17" s="960"/>
      <c r="R17" s="960"/>
      <c r="S17" s="960"/>
      <c r="T17" s="62"/>
    </row>
    <row r="18" spans="1:20" ht="48">
      <c r="K18" s="712" t="s">
        <v>238</v>
      </c>
      <c r="M18" s="1699" t="s">
        <v>3033</v>
      </c>
      <c r="N18" s="1700" t="s">
        <v>3034</v>
      </c>
      <c r="O18" s="1702" t="s">
        <v>3040</v>
      </c>
      <c r="P18" s="1702" t="s">
        <v>3041</v>
      </c>
      <c r="Q18" s="1702" t="s">
        <v>3042</v>
      </c>
      <c r="R18" s="1700" t="s">
        <v>3035</v>
      </c>
      <c r="S18" s="1702" t="s">
        <v>3067</v>
      </c>
      <c r="T18" s="1701" t="s">
        <v>2189</v>
      </c>
    </row>
    <row r="19" spans="1:20">
      <c r="K19" s="712" t="s">
        <v>238</v>
      </c>
      <c r="M19" s="1539" t="s">
        <v>3051</v>
      </c>
      <c r="N19" s="958" t="str">
        <f>IFERROR(VLOOKUP(M19,Price_list!$B$1:$H$187,2,0),"")</f>
        <v>International Consultancy fee (3.1)</v>
      </c>
      <c r="O19" s="958" t="str">
        <f>IFERROR(VLOOKUP(M19,Price_list!$B$1:$H$187,3,0),"")</f>
        <v>cost/zi</v>
      </c>
      <c r="P19" s="946">
        <f>IFERROR(VLOOKUP(M19,Price_list!$B$1:$H$187,4,0),"")</f>
        <v>350</v>
      </c>
      <c r="Q19" s="946" t="str">
        <f>IFERROR(VLOOKUP(M19,Price_list!$B$1:$H$187,5,0),"")</f>
        <v>EUR</v>
      </c>
      <c r="R19" s="958">
        <f t="shared" ref="R19:R25" ca="1" si="0">ROUND(IFERROR(IF(Q19="MDL",P19,P19*INDIRECT(Q19)),0),2)</f>
        <v>6868.65</v>
      </c>
      <c r="S19" s="946">
        <f>P9*Q9</f>
        <v>0</v>
      </c>
      <c r="T19" s="1390">
        <f ca="1">S19*R19</f>
        <v>0</v>
      </c>
    </row>
    <row r="20" spans="1:20">
      <c r="K20" s="712" t="s">
        <v>238</v>
      </c>
      <c r="M20" s="1539" t="s">
        <v>3050</v>
      </c>
      <c r="N20" s="958" t="str">
        <f>IFERROR(VLOOKUP(M20,Price_list!$B$1:$H$187,2,0),"")</f>
        <v>National Consultancy fee (3.1)</v>
      </c>
      <c r="O20" s="958" t="str">
        <f>IFERROR(VLOOKUP(M20,Price_list!$B$1:$H$187,3,0),"")</f>
        <v>cost/zi</v>
      </c>
      <c r="P20" s="946">
        <f>IFERROR(VLOOKUP(M20,Price_list!$B$1:$H$187,4,0),"")</f>
        <v>2000</v>
      </c>
      <c r="Q20" s="946" t="str">
        <f>IFERROR(VLOOKUP(M20,Price_list!$B$1:$H$187,5,0),"")</f>
        <v>MDL</v>
      </c>
      <c r="R20" s="958">
        <f t="shared" ca="1" si="0"/>
        <v>2000</v>
      </c>
      <c r="S20" s="946">
        <f>P10*Q10</f>
        <v>20</v>
      </c>
      <c r="T20" s="1390">
        <f ca="1">S20*R20</f>
        <v>40000</v>
      </c>
    </row>
    <row r="21" spans="1:20">
      <c r="K21" s="712" t="s">
        <v>238</v>
      </c>
      <c r="M21" s="1539" t="s">
        <v>3063</v>
      </c>
      <c r="N21" s="958" t="str">
        <f>IFERROR(VLOOKUP(M21,Price_list!$B$1:$H$187,2,0),"")</f>
        <v>Translation per page</v>
      </c>
      <c r="O21" s="958" t="str">
        <f>IFERROR(VLOOKUP(M21,Price_list!$B$1:$H$187,3,0),"")</f>
        <v>pagina</v>
      </c>
      <c r="P21" s="946">
        <f>IFERROR(VLOOKUP(M21,Price_list!$B$1:$H$187,4,0),"")</f>
        <v>150</v>
      </c>
      <c r="Q21" s="946" t="str">
        <f>IFERROR(VLOOKUP(M21,Price_list!$B$1:$H$187,5,0),"")</f>
        <v>MDL</v>
      </c>
      <c r="R21" s="958">
        <f t="shared" ca="1" si="0"/>
        <v>150</v>
      </c>
      <c r="S21" s="946">
        <f>P13</f>
        <v>50</v>
      </c>
      <c r="T21" s="1390">
        <f t="shared" ref="T21:T24" ca="1" si="1">S21*R21</f>
        <v>7500</v>
      </c>
    </row>
    <row r="22" spans="1:20">
      <c r="K22" s="712" t="s">
        <v>238</v>
      </c>
      <c r="M22" s="1539" t="s">
        <v>3068</v>
      </c>
      <c r="N22" s="958" t="str">
        <f>IFERROR(VLOOKUP(M22,Price_list!$B$1:$H$187,2,0),"")</f>
        <v xml:space="preserve">Formatting, design, printing </v>
      </c>
      <c r="O22" s="958" t="str">
        <f>IFERROR(VLOOKUP(M22,Price_list!$B$1:$H$187,3,0),"")</f>
        <v>pagina</v>
      </c>
      <c r="P22" s="946">
        <f>IFERROR(VLOOKUP(M22,Price_list!$B$1:$H$187,4,0),"")</f>
        <v>2</v>
      </c>
      <c r="Q22" s="946" t="str">
        <f>IFERROR(VLOOKUP(M22,Price_list!$B$1:$H$187,5,0),"")</f>
        <v>MDL</v>
      </c>
      <c r="R22" s="958">
        <f t="shared" ca="1" si="0"/>
        <v>2</v>
      </c>
      <c r="S22" s="946">
        <f>P13*P14</f>
        <v>0</v>
      </c>
      <c r="T22" s="1390">
        <f t="shared" ca="1" si="1"/>
        <v>0</v>
      </c>
    </row>
    <row r="23" spans="1:20">
      <c r="K23" s="712" t="s">
        <v>238</v>
      </c>
      <c r="M23" s="1539"/>
      <c r="N23" s="958" t="str">
        <f>IFERROR(VLOOKUP(M23,Price_list!$B$1:$H$187,2,0),"")</f>
        <v/>
      </c>
      <c r="O23" s="958" t="str">
        <f>IFERROR(VLOOKUP(M23,Price_list!$B$1:$H$187,3,0),"")</f>
        <v/>
      </c>
      <c r="P23" s="946" t="str">
        <f>IFERROR(VLOOKUP(M23,Price_list!$B$1:$H$187,4,0),"")</f>
        <v/>
      </c>
      <c r="Q23" s="946" t="str">
        <f>IFERROR(VLOOKUP(M23,Price_list!$B$1:$H$187,5,0),"")</f>
        <v/>
      </c>
      <c r="R23" s="958">
        <f t="shared" ca="1" si="0"/>
        <v>0</v>
      </c>
      <c r="S23" s="946"/>
      <c r="T23" s="1390">
        <f t="shared" ca="1" si="1"/>
        <v>0</v>
      </c>
    </row>
    <row r="24" spans="1:20">
      <c r="K24" s="712" t="s">
        <v>238</v>
      </c>
      <c r="M24" s="1539"/>
      <c r="N24" s="958" t="str">
        <f>IFERROR(VLOOKUP(M24,Price_list!$B$1:$H$187,2,0),"")</f>
        <v/>
      </c>
      <c r="O24" s="958" t="str">
        <f>IFERROR(VLOOKUP(M24,Price_list!$B$1:$H$187,3,0),"")</f>
        <v/>
      </c>
      <c r="P24" s="946" t="str">
        <f>IFERROR(VLOOKUP(M24,Price_list!$B$1:$H$187,4,0),"")</f>
        <v/>
      </c>
      <c r="Q24" s="946" t="str">
        <f>IFERROR(VLOOKUP(M24,Price_list!$B$1:$H$187,5,0),"")</f>
        <v/>
      </c>
      <c r="R24" s="958">
        <f t="shared" ca="1" si="0"/>
        <v>0</v>
      </c>
      <c r="S24" s="946"/>
      <c r="T24" s="1390">
        <f t="shared" ca="1" si="1"/>
        <v>0</v>
      </c>
    </row>
    <row r="25" spans="1:20" ht="16" thickBot="1">
      <c r="K25" s="712" t="s">
        <v>238</v>
      </c>
      <c r="M25" s="1539"/>
      <c r="N25" s="958" t="str">
        <f>IFERROR(VLOOKUP(M25,Price_list!$B$1:$H$187,2,0),"")</f>
        <v/>
      </c>
      <c r="O25" s="958" t="str">
        <f>IFERROR(VLOOKUP(M25,Price_list!$B$1:$H$187,3,0),"")</f>
        <v/>
      </c>
      <c r="P25" s="946" t="str">
        <f>IFERROR(VLOOKUP(M25,Price_list!$B$1:$H$187,4,0),"")</f>
        <v/>
      </c>
      <c r="Q25" s="946" t="str">
        <f>IFERROR(VLOOKUP(M25,Price_list!$B$1:$H$187,5,0),"")</f>
        <v/>
      </c>
      <c r="R25" s="958">
        <f t="shared" ca="1" si="0"/>
        <v>0</v>
      </c>
      <c r="S25" s="946"/>
      <c r="T25" s="1390">
        <f ca="1">S25*R25</f>
        <v>0</v>
      </c>
    </row>
    <row r="26" spans="1:20" ht="16" thickBot="1">
      <c r="K26" s="712" t="s">
        <v>238</v>
      </c>
      <c r="M26" s="1704"/>
      <c r="N26" s="1761"/>
      <c r="O26" s="1761"/>
      <c r="P26" s="1761"/>
      <c r="Q26" s="1761"/>
      <c r="R26" s="1761"/>
      <c r="S26" s="1761"/>
      <c r="T26" s="1706">
        <f ca="1">SUM(T19:T25)</f>
        <v>47500</v>
      </c>
    </row>
    <row r="27" spans="1:20">
      <c r="K27" s="712" t="s">
        <v>238</v>
      </c>
      <c r="M27" s="1049"/>
      <c r="N27" s="960"/>
      <c r="O27" s="960"/>
      <c r="P27" s="960"/>
      <c r="Q27" s="960"/>
      <c r="R27" s="960"/>
      <c r="S27" s="960"/>
      <c r="T27" s="62"/>
    </row>
    <row r="28" spans="1:20" ht="16" thickBot="1">
      <c r="K28" s="712" t="s">
        <v>238</v>
      </c>
      <c r="M28" s="1049"/>
      <c r="N28" s="960"/>
      <c r="O28" s="960"/>
      <c r="P28" s="960"/>
      <c r="Q28" s="960"/>
      <c r="R28" s="960"/>
      <c r="S28" s="960"/>
      <c r="T28" s="62"/>
    </row>
    <row r="29" spans="1:20" ht="16" thickBot="1">
      <c r="K29" s="712" t="s">
        <v>238</v>
      </c>
      <c r="M29" s="1049" t="s">
        <v>2171</v>
      </c>
      <c r="N29" s="960"/>
      <c r="O29" s="960"/>
      <c r="P29" s="1500">
        <v>2021</v>
      </c>
      <c r="Q29" s="1762">
        <v>2022</v>
      </c>
      <c r="R29" s="1762">
        <v>2023</v>
      </c>
      <c r="S29" s="1762">
        <v>2024</v>
      </c>
      <c r="T29" s="1763">
        <v>2025</v>
      </c>
    </row>
    <row r="30" spans="1:20" ht="16" thickBot="1">
      <c r="K30" s="712" t="s">
        <v>238</v>
      </c>
      <c r="M30" s="1764"/>
      <c r="N30" s="1504"/>
      <c r="O30" s="1504"/>
      <c r="P30" s="1713">
        <v>1</v>
      </c>
      <c r="Q30" s="1713">
        <v>0</v>
      </c>
      <c r="R30" s="1713">
        <v>0</v>
      </c>
      <c r="S30" s="1713">
        <v>0</v>
      </c>
      <c r="T30" s="1765">
        <v>0</v>
      </c>
    </row>
    <row r="31" spans="1:20" ht="16" thickBot="1">
      <c r="A31" s="730">
        <v>102</v>
      </c>
      <c r="B31" s="733">
        <v>47500</v>
      </c>
      <c r="C31" s="733">
        <v>0</v>
      </c>
      <c r="D31" s="733">
        <v>0</v>
      </c>
      <c r="E31" s="733">
        <v>0</v>
      </c>
      <c r="F31" s="733">
        <v>0</v>
      </c>
      <c r="G31" s="733" t="s">
        <v>351</v>
      </c>
      <c r="H31" s="733" t="s">
        <v>3299</v>
      </c>
      <c r="I31" s="2183" t="s">
        <v>3716</v>
      </c>
      <c r="J31" s="841" t="s">
        <v>2966</v>
      </c>
      <c r="K31" s="712" t="s">
        <v>238</v>
      </c>
      <c r="M31" s="1710" t="s">
        <v>3044</v>
      </c>
      <c r="N31" s="1732"/>
      <c r="O31" s="1708"/>
      <c r="P31" s="1495">
        <f ca="1">T26*P30</f>
        <v>47500</v>
      </c>
      <c r="Q31" s="1495">
        <f ca="1">T26*Q30</f>
        <v>0</v>
      </c>
      <c r="R31" s="1495">
        <f ca="1">T26*R30</f>
        <v>0</v>
      </c>
      <c r="S31" s="1495">
        <f ca="1">T26*S30</f>
        <v>0</v>
      </c>
      <c r="T31" s="1495">
        <f ca="1">T26*T30</f>
        <v>0</v>
      </c>
    </row>
    <row r="32" spans="1:20">
      <c r="K32" s="712" t="s">
        <v>238</v>
      </c>
    </row>
    <row r="33" spans="1:20">
      <c r="K33" s="712" t="s">
        <v>238</v>
      </c>
    </row>
    <row r="34" spans="1:20">
      <c r="K34" s="712" t="s">
        <v>238</v>
      </c>
    </row>
    <row r="35" spans="1:20">
      <c r="K35" s="712" t="s">
        <v>238</v>
      </c>
    </row>
    <row r="36" spans="1:20">
      <c r="K36" s="712" t="s">
        <v>238</v>
      </c>
    </row>
    <row r="37" spans="1:20">
      <c r="K37" s="712" t="s">
        <v>238</v>
      </c>
      <c r="L37" s="1800" t="s">
        <v>3130</v>
      </c>
    </row>
    <row r="38" spans="1:20">
      <c r="K38" s="712" t="s">
        <v>238</v>
      </c>
    </row>
    <row r="39" spans="1:20">
      <c r="K39" s="712" t="s">
        <v>238</v>
      </c>
    </row>
    <row r="40" spans="1:20" ht="16" thickBot="1">
      <c r="K40" s="712" t="s">
        <v>238</v>
      </c>
    </row>
    <row r="41" spans="1:20" ht="16" thickBot="1">
      <c r="K41" s="712" t="s">
        <v>238</v>
      </c>
      <c r="N41" s="960"/>
      <c r="O41" s="960"/>
      <c r="P41" s="1500">
        <v>2021</v>
      </c>
      <c r="Q41" s="1762">
        <v>2022</v>
      </c>
      <c r="R41" s="1762">
        <v>2023</v>
      </c>
      <c r="S41" s="1762">
        <v>2024</v>
      </c>
      <c r="T41" s="1763">
        <v>2025</v>
      </c>
    </row>
    <row r="42" spans="1:20" ht="16" thickBot="1">
      <c r="K42" s="712" t="s">
        <v>238</v>
      </c>
      <c r="N42" s="1504"/>
      <c r="O42" s="1504"/>
      <c r="P42" s="1713">
        <v>2</v>
      </c>
      <c r="Q42" s="1713">
        <v>2</v>
      </c>
      <c r="R42" s="1713">
        <v>2</v>
      </c>
      <c r="S42" s="1713"/>
      <c r="T42" s="1713"/>
    </row>
    <row r="43" spans="1:20" ht="16" thickBot="1">
      <c r="K43" s="712" t="s">
        <v>238</v>
      </c>
      <c r="M43" s="1801" t="s">
        <v>3119</v>
      </c>
      <c r="N43" s="1802">
        <f>VLOOKUP(M43,Price_list!B:H,4,0)</f>
        <v>3079.33</v>
      </c>
      <c r="O43" s="1802" t="str">
        <f>VLOOKUP(M43,Price_list!B:H,5,0)</f>
        <v>EUR</v>
      </c>
      <c r="P43" s="1803">
        <f>P42*$N43</f>
        <v>6158.66</v>
      </c>
      <c r="Q43" s="1803">
        <f t="shared" ref="Q43:T43" si="2">Q42*$N43</f>
        <v>6158.66</v>
      </c>
      <c r="R43" s="1803">
        <f t="shared" si="2"/>
        <v>6158.66</v>
      </c>
      <c r="S43" s="1803">
        <f t="shared" si="2"/>
        <v>0</v>
      </c>
      <c r="T43" s="1803">
        <f t="shared" si="2"/>
        <v>0</v>
      </c>
    </row>
    <row r="44" spans="1:20" ht="16" thickBot="1">
      <c r="A44" s="730">
        <v>103</v>
      </c>
      <c r="B44" s="733">
        <v>120861.87337797999</v>
      </c>
      <c r="C44" s="733">
        <v>120861.87337797999</v>
      </c>
      <c r="D44" s="733">
        <v>120861.87337797999</v>
      </c>
      <c r="E44" s="733">
        <v>0</v>
      </c>
      <c r="F44" s="733">
        <v>0</v>
      </c>
      <c r="G44" s="733" t="s">
        <v>351</v>
      </c>
      <c r="H44" s="733" t="s">
        <v>3122</v>
      </c>
      <c r="I44" s="2183" t="s">
        <v>3715</v>
      </c>
      <c r="J44" s="841" t="s">
        <v>3130</v>
      </c>
      <c r="K44" s="712" t="s">
        <v>238</v>
      </c>
      <c r="M44" s="1710" t="s">
        <v>3044</v>
      </c>
      <c r="N44" s="1732"/>
      <c r="O44" s="1708"/>
      <c r="P44" s="1495">
        <f>P43*EUR</f>
        <v>120861.87337797999</v>
      </c>
      <c r="Q44" s="1495">
        <f>Q43*EUR</f>
        <v>120861.87337797999</v>
      </c>
      <c r="R44" s="1495">
        <f>R43*EUR</f>
        <v>120861.87337797999</v>
      </c>
      <c r="S44" s="1495">
        <f>S43*EUR</f>
        <v>0</v>
      </c>
      <c r="T44" s="1495">
        <f>T43*EUR</f>
        <v>0</v>
      </c>
    </row>
    <row r="45" spans="1:20">
      <c r="K45" s="712" t="s">
        <v>238</v>
      </c>
    </row>
    <row r="46" spans="1:20">
      <c r="K46" s="712" t="s">
        <v>238</v>
      </c>
    </row>
    <row r="47" spans="1:20">
      <c r="K47" s="712" t="s">
        <v>238</v>
      </c>
    </row>
    <row r="48" spans="1:20">
      <c r="K48" s="712" t="s">
        <v>238</v>
      </c>
    </row>
    <row r="49" spans="1:20">
      <c r="K49" s="712" t="s">
        <v>238</v>
      </c>
    </row>
    <row r="50" spans="1:20" ht="22" thickBot="1">
      <c r="K50" s="712" t="s">
        <v>238</v>
      </c>
      <c r="L50" s="2473" t="s">
        <v>2973</v>
      </c>
    </row>
    <row r="51" spans="1:20" ht="16" thickBot="1">
      <c r="K51" s="712" t="s">
        <v>238</v>
      </c>
      <c r="O51" s="960"/>
      <c r="P51" s="1500">
        <v>2021</v>
      </c>
      <c r="Q51" s="1762">
        <v>2022</v>
      </c>
      <c r="R51" s="1762">
        <v>2023</v>
      </c>
      <c r="S51" s="1762">
        <v>2024</v>
      </c>
      <c r="T51" s="1763">
        <v>2025</v>
      </c>
    </row>
    <row r="52" spans="1:20" ht="16" thickBot="1">
      <c r="K52" s="712" t="s">
        <v>238</v>
      </c>
      <c r="N52" s="1504"/>
      <c r="O52" s="1504"/>
      <c r="P52" s="1713">
        <v>1</v>
      </c>
      <c r="Q52" s="1713">
        <v>1</v>
      </c>
      <c r="R52" s="1713">
        <v>1</v>
      </c>
      <c r="S52" s="1713">
        <v>1</v>
      </c>
      <c r="T52" s="1713">
        <v>1</v>
      </c>
    </row>
    <row r="53" spans="1:20" ht="16" thickBot="1">
      <c r="A53" s="730">
        <v>104</v>
      </c>
      <c r="B53" s="733">
        <f>P53</f>
        <v>374400</v>
      </c>
      <c r="C53" s="733">
        <f t="shared" ref="C53:D53" si="3">Q53</f>
        <v>374400</v>
      </c>
      <c r="D53" s="733">
        <f t="shared" si="3"/>
        <v>374400</v>
      </c>
      <c r="E53" s="733">
        <v>0</v>
      </c>
      <c r="F53" s="733">
        <v>0</v>
      </c>
      <c r="G53" s="733" t="s">
        <v>351</v>
      </c>
      <c r="H53" s="733" t="s">
        <v>3125</v>
      </c>
      <c r="I53" s="2183" t="s">
        <v>3715</v>
      </c>
      <c r="J53" s="841" t="s">
        <v>2973</v>
      </c>
      <c r="K53" s="712" t="s">
        <v>238</v>
      </c>
      <c r="M53" s="1710" t="s">
        <v>3125</v>
      </c>
      <c r="N53" s="1732">
        <f>VLOOKUP(M53,Price_list!B:H,4,0)</f>
        <v>374400</v>
      </c>
      <c r="O53" s="1708" t="str">
        <f>VLOOKUP(M53,Price_list!B:H,5,0)</f>
        <v>MDL</v>
      </c>
      <c r="P53" s="1495">
        <f>P52*$N53</f>
        <v>374400</v>
      </c>
      <c r="Q53" s="1495">
        <f t="shared" ref="Q53" si="4">Q52*$N53</f>
        <v>374400</v>
      </c>
      <c r="R53" s="1495">
        <f t="shared" ref="R53" si="5">R52*$N53</f>
        <v>374400</v>
      </c>
      <c r="S53" s="1495">
        <f t="shared" ref="S53" si="6">S52*$N53</f>
        <v>374400</v>
      </c>
      <c r="T53" s="1495">
        <f t="shared" ref="T53" si="7">T52*$N53</f>
        <v>374400</v>
      </c>
    </row>
    <row r="54" spans="1:20" ht="16" thickBot="1">
      <c r="A54" s="730">
        <v>245</v>
      </c>
      <c r="B54" s="733"/>
      <c r="C54" s="733"/>
      <c r="D54" s="733"/>
      <c r="E54" s="733">
        <f>S53</f>
        <v>374400</v>
      </c>
      <c r="F54" s="733">
        <f>T53</f>
        <v>374400</v>
      </c>
      <c r="G54" s="733" t="s">
        <v>338</v>
      </c>
      <c r="H54" s="733" t="s">
        <v>3125</v>
      </c>
      <c r="I54" s="2183"/>
      <c r="J54" s="841" t="s">
        <v>2973</v>
      </c>
      <c r="K54" s="712" t="s">
        <v>238</v>
      </c>
    </row>
    <row r="55" spans="1:20">
      <c r="K55" s="712" t="s">
        <v>238</v>
      </c>
    </row>
    <row r="56" spans="1:20">
      <c r="K56" s="712" t="s">
        <v>238</v>
      </c>
    </row>
    <row r="57" spans="1:20">
      <c r="K57" s="712" t="s">
        <v>238</v>
      </c>
    </row>
    <row r="58" spans="1:20">
      <c r="K58" s="712"/>
    </row>
    <row r="59" spans="1:20" ht="16">
      <c r="K59" s="712"/>
      <c r="L59" s="1775" t="s">
        <v>3128</v>
      </c>
      <c r="M59" s="1807"/>
      <c r="N59" s="1808"/>
      <c r="O59" s="1808"/>
      <c r="P59" s="1808"/>
    </row>
    <row r="60" spans="1:20">
      <c r="K60" s="712"/>
      <c r="M60" s="1808"/>
      <c r="N60" s="1808"/>
      <c r="O60" s="1808"/>
      <c r="P60" s="1808"/>
    </row>
    <row r="61" spans="1:20" ht="16" thickBot="1">
      <c r="K61" s="712"/>
      <c r="L61" t="s">
        <v>3956</v>
      </c>
      <c r="M61" s="1808"/>
      <c r="N61" s="1808"/>
      <c r="O61" s="1808"/>
    </row>
    <row r="62" spans="1:20">
      <c r="K62" s="712"/>
      <c r="M62" s="1830" t="s">
        <v>3170</v>
      </c>
      <c r="N62" s="1831" t="s">
        <v>3171</v>
      </c>
      <c r="O62" s="1832" t="s">
        <v>3172</v>
      </c>
      <c r="P62" s="1832" t="s">
        <v>3173</v>
      </c>
    </row>
    <row r="63" spans="1:20" ht="112">
      <c r="K63" s="712"/>
      <c r="M63" s="2115" t="s">
        <v>3174</v>
      </c>
      <c r="N63" s="1824" t="s">
        <v>3175</v>
      </c>
      <c r="O63" s="1390">
        <v>10000</v>
      </c>
      <c r="P63" s="1825">
        <f>O63*EUR</f>
        <v>196247.03</v>
      </c>
    </row>
    <row r="64" spans="1:20" ht="48">
      <c r="K64" s="712"/>
      <c r="M64" s="2115" t="s">
        <v>3176</v>
      </c>
      <c r="N64" s="1824" t="s">
        <v>3177</v>
      </c>
      <c r="O64" s="1390">
        <v>5000</v>
      </c>
      <c r="P64" s="1825">
        <f>O64*EUR</f>
        <v>98123.514999999999</v>
      </c>
    </row>
    <row r="65" spans="11:16" ht="176">
      <c r="K65" s="712"/>
      <c r="M65" s="2650" t="s">
        <v>3178</v>
      </c>
      <c r="N65" s="1824" t="s">
        <v>3179</v>
      </c>
      <c r="O65" s="2651">
        <v>150000</v>
      </c>
      <c r="P65" s="2652">
        <f>O65*EUR</f>
        <v>2943705.45</v>
      </c>
    </row>
    <row r="66" spans="11:16" ht="16">
      <c r="K66" s="712"/>
      <c r="M66" s="2650"/>
      <c r="N66" s="1824" t="s">
        <v>3180</v>
      </c>
      <c r="O66" s="2651"/>
      <c r="P66" s="2652"/>
    </row>
    <row r="67" spans="11:16" ht="16">
      <c r="K67" s="712"/>
      <c r="M67" s="2650"/>
      <c r="N67" s="1824" t="s">
        <v>3181</v>
      </c>
      <c r="O67" s="2651"/>
      <c r="P67" s="2652"/>
    </row>
    <row r="68" spans="11:16" ht="16">
      <c r="K68" s="712"/>
      <c r="M68" s="2650"/>
      <c r="N68" s="1824" t="s">
        <v>3182</v>
      </c>
      <c r="O68" s="2651"/>
      <c r="P68" s="2652"/>
    </row>
    <row r="69" spans="11:16" ht="16">
      <c r="K69" s="712"/>
      <c r="M69" s="2650"/>
      <c r="N69" s="1824" t="s">
        <v>3183</v>
      </c>
      <c r="O69" s="2651"/>
      <c r="P69" s="2652"/>
    </row>
    <row r="70" spans="11:16" ht="16">
      <c r="K70" s="712"/>
      <c r="M70" s="2650"/>
      <c r="N70" s="1824" t="s">
        <v>3184</v>
      </c>
      <c r="O70" s="2651"/>
      <c r="P70" s="2652"/>
    </row>
    <row r="71" spans="11:16" ht="32">
      <c r="K71" s="712"/>
      <c r="M71" s="2650"/>
      <c r="N71" s="1824" t="s">
        <v>3185</v>
      </c>
      <c r="O71" s="2651"/>
      <c r="P71" s="2652"/>
    </row>
    <row r="72" spans="11:16" ht="16">
      <c r="K72" s="712"/>
      <c r="M72" s="2650"/>
      <c r="N72" s="1824" t="s">
        <v>3186</v>
      </c>
      <c r="O72" s="2651"/>
      <c r="P72" s="2652"/>
    </row>
    <row r="73" spans="11:16" ht="16">
      <c r="K73" s="712"/>
      <c r="M73" s="2650"/>
      <c r="N73" s="1824" t="s">
        <v>3187</v>
      </c>
      <c r="O73" s="2651"/>
      <c r="P73" s="2652"/>
    </row>
    <row r="74" spans="11:16" ht="16">
      <c r="K74" s="712"/>
      <c r="M74" s="2650"/>
      <c r="N74" s="1824" t="s">
        <v>3188</v>
      </c>
      <c r="O74" s="2651"/>
      <c r="P74" s="2652"/>
    </row>
    <row r="75" spans="11:16" ht="32">
      <c r="K75" s="712"/>
      <c r="M75" s="2115" t="s">
        <v>3189</v>
      </c>
      <c r="N75" s="1824" t="s">
        <v>3190</v>
      </c>
      <c r="O75" s="2651"/>
      <c r="P75" s="2652"/>
    </row>
    <row r="76" spans="11:16" ht="25">
      <c r="K76" s="712"/>
      <c r="M76" s="2115" t="s">
        <v>3191</v>
      </c>
      <c r="N76" s="1824" t="s">
        <v>3192</v>
      </c>
      <c r="O76" s="2651"/>
      <c r="P76" s="2652"/>
    </row>
    <row r="77" spans="11:16" ht="32">
      <c r="K77" s="712"/>
      <c r="M77" s="2115" t="s">
        <v>3193</v>
      </c>
      <c r="N77" s="1824" t="s">
        <v>3194</v>
      </c>
      <c r="O77" s="2651"/>
      <c r="P77" s="2652"/>
    </row>
    <row r="78" spans="11:16" ht="49" thickBot="1">
      <c r="K78" s="712"/>
      <c r="M78" s="2116" t="s">
        <v>3195</v>
      </c>
      <c r="N78" s="1826" t="s">
        <v>3196</v>
      </c>
      <c r="O78" s="1216">
        <v>20000</v>
      </c>
      <c r="P78" s="1827">
        <f>O78*EUR</f>
        <v>392494.06</v>
      </c>
    </row>
    <row r="79" spans="11:16">
      <c r="K79" s="712"/>
    </row>
    <row r="80" spans="11:16" ht="21">
      <c r="K80" s="712"/>
      <c r="M80" s="2293" t="s">
        <v>3857</v>
      </c>
    </row>
    <row r="81" spans="1:26" ht="16" thickBot="1">
      <c r="K81" s="712"/>
      <c r="N81" t="s">
        <v>3197</v>
      </c>
    </row>
    <row r="82" spans="1:26" ht="16" thickBot="1">
      <c r="K82" s="712"/>
      <c r="P82" s="1500">
        <v>2021</v>
      </c>
      <c r="Q82" s="1762">
        <v>2022</v>
      </c>
      <c r="R82" s="1762">
        <v>2023</v>
      </c>
      <c r="S82" s="1762">
        <v>2024</v>
      </c>
      <c r="T82" s="1763">
        <v>2025</v>
      </c>
    </row>
    <row r="83" spans="1:26">
      <c r="K83" s="712"/>
      <c r="M83" s="1837" t="s">
        <v>3174</v>
      </c>
      <c r="O83" s="1838"/>
      <c r="P83" s="1839">
        <v>1</v>
      </c>
      <c r="Q83" s="1839"/>
      <c r="R83" s="1839"/>
      <c r="S83" s="1839"/>
      <c r="T83" s="1839"/>
    </row>
    <row r="84" spans="1:26" s="1808" customFormat="1">
      <c r="I84" s="2182"/>
      <c r="K84" s="712"/>
      <c r="M84" s="1840"/>
      <c r="N84" s="1840">
        <f>P63</f>
        <v>196247.03</v>
      </c>
      <c r="O84" s="1840"/>
      <c r="P84" s="1840">
        <f>P83*$N84</f>
        <v>196247.03</v>
      </c>
      <c r="Q84" s="1840">
        <f t="shared" ref="Q84:T84" si="8">Q83*$N84</f>
        <v>0</v>
      </c>
      <c r="R84" s="1840">
        <f t="shared" si="8"/>
        <v>0</v>
      </c>
      <c r="S84" s="1840">
        <f t="shared" si="8"/>
        <v>0</v>
      </c>
      <c r="T84" s="1840">
        <f t="shared" si="8"/>
        <v>0</v>
      </c>
    </row>
    <row r="85" spans="1:26">
      <c r="K85" s="712"/>
      <c r="M85" s="1828" t="s">
        <v>3176</v>
      </c>
      <c r="O85" s="1829"/>
      <c r="P85" s="1713">
        <v>1</v>
      </c>
      <c r="Q85" s="1713"/>
      <c r="R85" s="1713"/>
      <c r="S85" s="1713"/>
      <c r="T85" s="1713"/>
    </row>
    <row r="86" spans="1:26" s="1808" customFormat="1">
      <c r="I86" s="2182"/>
      <c r="K86" s="712"/>
      <c r="M86" s="1840"/>
      <c r="N86" s="1840">
        <f>P64</f>
        <v>98123.514999999999</v>
      </c>
      <c r="O86" s="1840"/>
      <c r="P86" s="1840">
        <f>P85*$N86</f>
        <v>98123.514999999999</v>
      </c>
      <c r="Q86" s="1840">
        <f t="shared" ref="Q86" si="9">Q85*$N86</f>
        <v>0</v>
      </c>
      <c r="R86" s="1840">
        <f t="shared" ref="R86" si="10">R85*$N86</f>
        <v>0</v>
      </c>
      <c r="S86" s="1840">
        <f t="shared" ref="S86" si="11">S85*$N86</f>
        <v>0</v>
      </c>
      <c r="T86" s="1840">
        <f t="shared" ref="T86" si="12">T85*$N86</f>
        <v>0</v>
      </c>
    </row>
    <row r="87" spans="1:26">
      <c r="K87" s="712"/>
      <c r="M87" s="1828" t="s">
        <v>3198</v>
      </c>
      <c r="O87" s="1829"/>
      <c r="P87" s="1713">
        <v>1</v>
      </c>
      <c r="Q87" s="1713"/>
      <c r="R87" s="1713"/>
      <c r="S87" s="1713"/>
      <c r="T87" s="1713"/>
    </row>
    <row r="88" spans="1:26" s="1808" customFormat="1">
      <c r="I88" s="2182"/>
      <c r="K88" s="712"/>
      <c r="M88" s="1840"/>
      <c r="N88" s="1840">
        <f>P65</f>
        <v>2943705.45</v>
      </c>
      <c r="O88" s="1840"/>
      <c r="P88" s="1840">
        <f>P87*$N88</f>
        <v>2943705.45</v>
      </c>
      <c r="Q88" s="1840">
        <f t="shared" ref="Q88" si="13">Q87*$N88</f>
        <v>0</v>
      </c>
      <c r="R88" s="1840">
        <f t="shared" ref="R88" si="14">R87*$N88</f>
        <v>0</v>
      </c>
      <c r="S88" s="1840">
        <f t="shared" ref="S88" si="15">S87*$N88</f>
        <v>0</v>
      </c>
      <c r="T88" s="1840">
        <f t="shared" ref="T88" si="16">T87*$N88</f>
        <v>0</v>
      </c>
    </row>
    <row r="89" spans="1:26">
      <c r="K89" s="712"/>
      <c r="M89" s="1828" t="s">
        <v>3195</v>
      </c>
      <c r="O89" s="1829"/>
      <c r="P89" s="1713">
        <v>0.5</v>
      </c>
      <c r="Q89" s="1713">
        <v>1</v>
      </c>
      <c r="R89" s="1713">
        <v>1</v>
      </c>
      <c r="S89" s="1713">
        <v>1</v>
      </c>
      <c r="T89" s="1713">
        <v>1</v>
      </c>
    </row>
    <row r="90" spans="1:26">
      <c r="K90" s="712"/>
      <c r="M90" s="1840"/>
      <c r="N90" s="1840">
        <f>P78</f>
        <v>392494.06</v>
      </c>
      <c r="O90" s="1840"/>
      <c r="P90" s="1840">
        <f>P89*$N90</f>
        <v>196247.03</v>
      </c>
      <c r="Q90" s="1840">
        <f t="shared" ref="Q90" si="17">Q89*$N90</f>
        <v>392494.06</v>
      </c>
      <c r="R90" s="1840">
        <f t="shared" ref="R90" si="18">R89*$N90</f>
        <v>392494.06</v>
      </c>
      <c r="S90" s="1840">
        <f t="shared" ref="S90" si="19">S89*$N90</f>
        <v>392494.06</v>
      </c>
      <c r="T90" s="1840">
        <f t="shared" ref="T90" si="20">T89*$N90</f>
        <v>392494.06</v>
      </c>
    </row>
    <row r="91" spans="1:26" ht="16" thickBot="1">
      <c r="K91" s="712"/>
    </row>
    <row r="92" spans="1:26" ht="16" thickBot="1">
      <c r="A92" s="730">
        <v>105</v>
      </c>
      <c r="B92" s="733">
        <f>P92</f>
        <v>3434323.0249999999</v>
      </c>
      <c r="C92" s="733">
        <f t="shared" ref="C92:D92" si="21">Q92</f>
        <v>392494.06</v>
      </c>
      <c r="D92" s="733">
        <f t="shared" si="21"/>
        <v>392494.06</v>
      </c>
      <c r="E92" s="733"/>
      <c r="F92" s="733"/>
      <c r="G92" s="733" t="s">
        <v>351</v>
      </c>
      <c r="H92" s="1775" t="s">
        <v>4096</v>
      </c>
      <c r="I92" s="2183" t="s">
        <v>3716</v>
      </c>
      <c r="J92" s="841" t="s">
        <v>3128</v>
      </c>
      <c r="K92" s="712"/>
      <c r="M92" s="1710" t="s">
        <v>1887</v>
      </c>
      <c r="N92" s="1732"/>
      <c r="O92" s="1708"/>
      <c r="P92" s="1495">
        <f>P90+P88+P86+P84</f>
        <v>3434323.0249999999</v>
      </c>
      <c r="Q92" s="1495">
        <f t="shared" ref="Q92:T92" si="22">Q90+Q88+Q86+Q84</f>
        <v>392494.06</v>
      </c>
      <c r="R92" s="1495">
        <f t="shared" si="22"/>
        <v>392494.06</v>
      </c>
      <c r="S92" s="1495">
        <f t="shared" si="22"/>
        <v>392494.06</v>
      </c>
      <c r="T92" s="1495">
        <f t="shared" si="22"/>
        <v>392494.06</v>
      </c>
    </row>
    <row r="93" spans="1:26" ht="16" thickBot="1">
      <c r="K93" s="712"/>
    </row>
    <row r="94" spans="1:26" ht="16" thickBot="1">
      <c r="A94" s="730">
        <v>219</v>
      </c>
      <c r="B94" s="733">
        <v>0</v>
      </c>
      <c r="C94" s="733">
        <v>0</v>
      </c>
      <c r="D94" s="733">
        <v>0</v>
      </c>
      <c r="E94" s="733">
        <f>S92</f>
        <v>392494.06</v>
      </c>
      <c r="F94" s="733">
        <f>T92</f>
        <v>392494.06</v>
      </c>
      <c r="G94" s="733" t="s">
        <v>338</v>
      </c>
      <c r="H94" s="1775" t="s">
        <v>4096</v>
      </c>
      <c r="I94" s="2183"/>
      <c r="J94" s="841" t="s">
        <v>3128</v>
      </c>
      <c r="K94" s="712"/>
    </row>
    <row r="95" spans="1:26" ht="16" thickBot="1">
      <c r="K95" s="712"/>
    </row>
    <row r="96" spans="1:26" s="1808" customFormat="1" ht="16" thickBot="1">
      <c r="I96" s="2182"/>
      <c r="K96" s="712"/>
      <c r="V96" s="2454">
        <v>2021</v>
      </c>
      <c r="W96" s="1762">
        <v>2022</v>
      </c>
      <c r="X96" s="1762">
        <v>2023</v>
      </c>
      <c r="Y96" s="1762">
        <v>2024</v>
      </c>
      <c r="Z96" s="1763">
        <v>2025</v>
      </c>
    </row>
    <row r="97" spans="1:26" s="1808" customFormat="1" ht="16" thickBot="1">
      <c r="I97" s="2182"/>
      <c r="K97" s="712"/>
      <c r="V97" s="1713">
        <v>6</v>
      </c>
      <c r="W97" s="1713">
        <v>12</v>
      </c>
      <c r="X97" s="1713">
        <v>12</v>
      </c>
      <c r="Y97" s="1713">
        <v>12</v>
      </c>
      <c r="Z97" s="1713">
        <v>12</v>
      </c>
    </row>
    <row r="98" spans="1:26" s="1808" customFormat="1" ht="65" thickBot="1">
      <c r="I98" s="2182"/>
      <c r="K98" s="712"/>
      <c r="M98" s="2434" t="s">
        <v>3033</v>
      </c>
      <c r="N98" s="1700" t="s">
        <v>3034</v>
      </c>
      <c r="O98" s="1702" t="s">
        <v>3040</v>
      </c>
      <c r="P98" s="1702" t="s">
        <v>3041</v>
      </c>
      <c r="Q98" s="1702" t="s">
        <v>3042</v>
      </c>
      <c r="R98" s="1700" t="s">
        <v>3035</v>
      </c>
      <c r="S98" s="1702" t="s">
        <v>3039</v>
      </c>
      <c r="T98" s="2458" t="s">
        <v>3958</v>
      </c>
      <c r="V98" s="958"/>
      <c r="W98" s="958"/>
      <c r="X98" s="958"/>
      <c r="Y98" s="958"/>
      <c r="Z98" s="958"/>
    </row>
    <row r="99" spans="1:26" s="1808" customFormat="1" ht="16" thickBot="1">
      <c r="A99" s="730">
        <v>244</v>
      </c>
      <c r="B99" s="733">
        <v>0</v>
      </c>
      <c r="C99" s="733">
        <v>0</v>
      </c>
      <c r="D99" s="733">
        <v>0</v>
      </c>
      <c r="E99" s="733">
        <f ca="1">Y99</f>
        <v>0</v>
      </c>
      <c r="F99" s="733">
        <f ca="1">Z99</f>
        <v>0</v>
      </c>
      <c r="G99" s="733" t="s">
        <v>338</v>
      </c>
      <c r="H99" s="1775" t="s">
        <v>4097</v>
      </c>
      <c r="I99" s="2183"/>
      <c r="J99" s="841" t="s">
        <v>3128</v>
      </c>
      <c r="K99" s="712"/>
      <c r="M99" s="2478" t="s">
        <v>3991</v>
      </c>
      <c r="N99" s="1322" t="str">
        <f>IFERROR(VLOOKUP(M99,[1]!Price[#Data],2,0),"")</f>
        <v/>
      </c>
      <c r="O99" s="1322" t="str">
        <f>IFERROR(VLOOKUP(M99,[1]!Price[#Data],3,0),"")</f>
        <v/>
      </c>
      <c r="P99" s="1383" t="str">
        <f>IFERROR(VLOOKUP(M99,[1]!Price[#Data],4,0),"")</f>
        <v/>
      </c>
      <c r="Q99" s="1383" t="str">
        <f>IFERROR(VLOOKUP(M99,[1]!Price[#Data],5,0),"")</f>
        <v/>
      </c>
      <c r="R99" s="1322">
        <f ca="1">ROUND(IFERROR(IF(Q99="MDL",P99,P99*INDIRECT(Q99)),0),2)</f>
        <v>0</v>
      </c>
      <c r="S99" s="1383">
        <v>1</v>
      </c>
      <c r="T99" s="1383">
        <f ca="1">S99*R99</f>
        <v>0</v>
      </c>
      <c r="U99" s="413"/>
      <c r="V99" s="1322">
        <f ca="1">T99*V97</f>
        <v>0</v>
      </c>
      <c r="W99" s="1322">
        <f ca="1">T99*W97</f>
        <v>0</v>
      </c>
      <c r="X99" s="1322">
        <f ca="1">T99*X97</f>
        <v>0</v>
      </c>
      <c r="Y99" s="1322">
        <f ca="1">T99*Y97</f>
        <v>0</v>
      </c>
      <c r="Z99" s="1322">
        <f ca="1">T99*Z97</f>
        <v>0</v>
      </c>
    </row>
    <row r="100" spans="1:26" s="1808" customFormat="1" ht="16" thickBot="1">
      <c r="I100" s="2182"/>
      <c r="K100" s="712"/>
    </row>
    <row r="101" spans="1:26" s="1808" customFormat="1" ht="16" thickBot="1">
      <c r="A101" s="730">
        <v>243</v>
      </c>
      <c r="B101" s="733">
        <f ca="1">V99</f>
        <v>0</v>
      </c>
      <c r="C101" s="733">
        <f t="shared" ref="C101:D101" ca="1" si="23">W99</f>
        <v>0</v>
      </c>
      <c r="D101" s="733">
        <f t="shared" ca="1" si="23"/>
        <v>0</v>
      </c>
      <c r="E101" s="733"/>
      <c r="F101" s="733"/>
      <c r="G101" s="733" t="s">
        <v>351</v>
      </c>
      <c r="H101" s="1775" t="s">
        <v>4097</v>
      </c>
      <c r="I101" s="2183" t="s">
        <v>3716</v>
      </c>
      <c r="J101" s="841" t="s">
        <v>3128</v>
      </c>
      <c r="K101" s="712"/>
    </row>
    <row r="102" spans="1:26" s="1808" customFormat="1">
      <c r="I102" s="2182"/>
      <c r="K102" s="712"/>
    </row>
    <row r="103" spans="1:26" s="1808" customFormat="1">
      <c r="I103" s="2182"/>
      <c r="K103" s="712"/>
    </row>
    <row r="104" spans="1:26" ht="16" thickBot="1">
      <c r="K104" s="712"/>
      <c r="L104" t="s">
        <v>3957</v>
      </c>
    </row>
    <row r="105" spans="1:26" ht="48">
      <c r="K105" s="712"/>
      <c r="M105" s="2434" t="s">
        <v>3033</v>
      </c>
      <c r="N105" s="1700" t="s">
        <v>3034</v>
      </c>
      <c r="O105" s="1702" t="s">
        <v>3040</v>
      </c>
      <c r="P105" s="1702" t="s">
        <v>3041</v>
      </c>
      <c r="Q105" s="1702" t="s">
        <v>3042</v>
      </c>
      <c r="R105" s="1700" t="s">
        <v>3035</v>
      </c>
      <c r="S105" s="1702" t="s">
        <v>3067</v>
      </c>
      <c r="T105" s="2435" t="s">
        <v>2189</v>
      </c>
    </row>
    <row r="106" spans="1:26">
      <c r="K106" s="712"/>
      <c r="M106" s="2453" t="s">
        <v>3954</v>
      </c>
      <c r="N106" s="958" t="str">
        <f>IFERROR(VLOOKUP(M106,Price[],2,0),"")</f>
        <v>Printer+Computer</v>
      </c>
      <c r="O106" s="958" t="str">
        <f>IFERROR(VLOOKUP(M106,Price[],3,0),"")</f>
        <v>unit</v>
      </c>
      <c r="P106" s="946">
        <f>IFERROR(VLOOKUP(M106,Price[],4,0),"")</f>
        <v>20000</v>
      </c>
      <c r="Q106" s="946" t="str">
        <f>IFERROR(VLOOKUP(M106,Price[],5,0),"")</f>
        <v>MDL</v>
      </c>
      <c r="R106" s="958">
        <f ca="1">ROUND(IFERROR(IF(Q106="MDL",P106,P106*INDIRECT(Q106)),0),2)</f>
        <v>20000</v>
      </c>
      <c r="S106" s="946">
        <v>1</v>
      </c>
      <c r="T106" s="2309">
        <f ca="1">S106*R106</f>
        <v>20000</v>
      </c>
    </row>
    <row r="107" spans="1:26" ht="16" thickBot="1">
      <c r="K107" s="712"/>
      <c r="M107" s="1539"/>
      <c r="N107" s="958" t="str">
        <f>IFERROR(VLOOKUP(M107,Price[],2,0),"")</f>
        <v/>
      </c>
      <c r="O107" s="958" t="str">
        <f>IFERROR(VLOOKUP(M107,Price[],3,0),"")</f>
        <v/>
      </c>
      <c r="P107" s="946" t="str">
        <f>IFERROR(VLOOKUP(M107,Price[],4,0),"")</f>
        <v/>
      </c>
      <c r="Q107" s="946" t="str">
        <f>IFERROR(VLOOKUP(M107,Price[],5,0),"")</f>
        <v/>
      </c>
      <c r="R107" s="958"/>
      <c r="S107" s="946"/>
      <c r="T107" s="2309"/>
    </row>
    <row r="108" spans="1:26" ht="16" thickBot="1">
      <c r="K108" s="712"/>
      <c r="M108" s="1704"/>
      <c r="N108" s="1705"/>
      <c r="O108" s="1705"/>
      <c r="P108" s="1705"/>
      <c r="Q108" s="1705"/>
      <c r="R108" s="1705"/>
      <c r="S108" s="1705"/>
      <c r="T108" s="1706">
        <f ca="1">SUM(T106:T107)</f>
        <v>20000</v>
      </c>
    </row>
    <row r="109" spans="1:26">
      <c r="K109" s="712"/>
      <c r="M109" s="1049"/>
      <c r="N109" s="1808"/>
      <c r="O109" s="1808"/>
      <c r="P109" s="1808"/>
      <c r="Q109" s="1808"/>
      <c r="R109" s="1808"/>
      <c r="S109" s="1808"/>
      <c r="T109" s="62"/>
    </row>
    <row r="110" spans="1:26" ht="16" thickBot="1">
      <c r="K110" s="712"/>
      <c r="M110" s="1049"/>
      <c r="N110" s="1808"/>
      <c r="O110" s="1808"/>
      <c r="P110" s="1808"/>
      <c r="Q110" s="1808"/>
      <c r="R110" s="1808"/>
      <c r="S110" s="1808"/>
      <c r="T110" s="62"/>
    </row>
    <row r="111" spans="1:26" ht="16" thickBot="1">
      <c r="K111" s="712"/>
      <c r="M111" s="1049" t="s">
        <v>2171</v>
      </c>
      <c r="N111" s="1808"/>
      <c r="O111" s="1808"/>
      <c r="P111" s="2454">
        <v>2021</v>
      </c>
      <c r="Q111" s="1762">
        <v>2022</v>
      </c>
      <c r="R111" s="1762">
        <v>2023</v>
      </c>
      <c r="S111" s="1762">
        <v>2024</v>
      </c>
      <c r="T111" s="1763">
        <v>2025</v>
      </c>
    </row>
    <row r="112" spans="1:26" ht="16" thickBot="1">
      <c r="K112" s="712"/>
      <c r="M112" s="1764"/>
      <c r="N112" s="1504"/>
      <c r="O112" s="1504"/>
      <c r="P112" s="2455"/>
      <c r="Q112" s="2455">
        <v>59</v>
      </c>
      <c r="R112" s="2455">
        <f t="shared" ref="R112:T112" si="24">X112+AC112</f>
        <v>0</v>
      </c>
      <c r="S112" s="2455">
        <f t="shared" si="24"/>
        <v>0</v>
      </c>
      <c r="T112" s="2456">
        <f t="shared" si="24"/>
        <v>0</v>
      </c>
    </row>
    <row r="113" spans="1:26" ht="16" thickBot="1">
      <c r="A113" s="730">
        <v>238</v>
      </c>
      <c r="B113" s="733">
        <f ca="1">P113</f>
        <v>0</v>
      </c>
      <c r="C113" s="733">
        <f t="shared" ref="C113:F113" ca="1" si="25">Q113</f>
        <v>1180000</v>
      </c>
      <c r="D113" s="733">
        <f t="shared" ca="1" si="25"/>
        <v>0</v>
      </c>
      <c r="E113" s="733">
        <f t="shared" ca="1" si="25"/>
        <v>0</v>
      </c>
      <c r="F113" s="733">
        <f t="shared" ca="1" si="25"/>
        <v>0</v>
      </c>
      <c r="G113" s="733" t="s">
        <v>351</v>
      </c>
      <c r="H113" s="1775" t="s">
        <v>4098</v>
      </c>
      <c r="I113" s="2183" t="s">
        <v>3716</v>
      </c>
      <c r="J113" s="841" t="s">
        <v>3128</v>
      </c>
      <c r="K113" s="712"/>
      <c r="M113" s="1710" t="s">
        <v>3044</v>
      </c>
      <c r="N113" s="1709"/>
      <c r="O113" s="1708"/>
      <c r="P113" s="2457">
        <f ca="1">T108*P112</f>
        <v>0</v>
      </c>
      <c r="Q113" s="2457">
        <f ca="1">T108*Q112</f>
        <v>1180000</v>
      </c>
      <c r="R113" s="2457">
        <f ca="1">T108*R112</f>
        <v>0</v>
      </c>
      <c r="S113" s="2457">
        <f ca="1">T108*S112</f>
        <v>0</v>
      </c>
      <c r="T113" s="2457">
        <f ca="1">T108*T112</f>
        <v>0</v>
      </c>
    </row>
    <row r="114" spans="1:26">
      <c r="K114" s="2037">
        <f>S92</f>
        <v>392494.06</v>
      </c>
    </row>
    <row r="115" spans="1:26">
      <c r="K115" s="712"/>
    </row>
    <row r="116" spans="1:26">
      <c r="K116" s="712"/>
    </row>
    <row r="117" spans="1:26">
      <c r="K117" s="712"/>
    </row>
    <row r="118" spans="1:26">
      <c r="K118" s="712"/>
    </row>
    <row r="119" spans="1:26">
      <c r="K119" s="712"/>
    </row>
    <row r="120" spans="1:26" ht="16" thickBot="1">
      <c r="K120" s="712"/>
      <c r="L120" s="1788" t="s">
        <v>3965</v>
      </c>
      <c r="M120" s="1808"/>
      <c r="N120" s="1808"/>
      <c r="O120" s="1808"/>
      <c r="P120" s="1808"/>
      <c r="Q120" s="1808"/>
      <c r="R120" s="1808"/>
      <c r="S120" s="1808"/>
      <c r="T120" s="1808"/>
      <c r="U120" s="1808"/>
      <c r="V120" s="1808" t="s">
        <v>604</v>
      </c>
      <c r="W120" s="1808"/>
      <c r="X120" s="1808"/>
      <c r="Y120" s="1808"/>
      <c r="Z120" s="1808"/>
    </row>
    <row r="121" spans="1:26" ht="16" thickBot="1">
      <c r="K121" s="712"/>
      <c r="L121" s="1808"/>
      <c r="M121" s="1808"/>
      <c r="N121" s="1808"/>
      <c r="O121" s="1808"/>
      <c r="P121" s="1808"/>
      <c r="Q121" s="1808"/>
      <c r="R121" s="1808"/>
      <c r="S121" s="1808"/>
      <c r="T121" s="1808"/>
      <c r="U121" s="1808"/>
      <c r="V121" s="2454">
        <v>2021</v>
      </c>
      <c r="W121" s="1762">
        <v>2022</v>
      </c>
      <c r="X121" s="1762">
        <v>2023</v>
      </c>
      <c r="Y121" s="1762">
        <v>2024</v>
      </c>
      <c r="Z121" s="1763">
        <v>2025</v>
      </c>
    </row>
    <row r="122" spans="1:26" ht="16" thickBot="1">
      <c r="K122" s="712"/>
      <c r="L122" s="1808"/>
      <c r="M122" s="1808"/>
      <c r="N122" s="1808"/>
      <c r="O122" s="1808"/>
      <c r="P122" s="1808"/>
      <c r="Q122" s="1808"/>
      <c r="R122" s="1808"/>
      <c r="S122" s="1808"/>
      <c r="T122" s="1808"/>
      <c r="U122" s="1808"/>
      <c r="V122" s="1713">
        <v>12</v>
      </c>
      <c r="W122" s="1713">
        <v>12</v>
      </c>
      <c r="X122" s="1713">
        <v>12</v>
      </c>
      <c r="Y122" s="1713">
        <f>AF122+AK122</f>
        <v>0</v>
      </c>
      <c r="Z122" s="1713">
        <f>AG122+AL122</f>
        <v>0</v>
      </c>
    </row>
    <row r="123" spans="1:26" ht="64">
      <c r="K123" s="712"/>
      <c r="L123" s="1808"/>
      <c r="M123" s="2434" t="s">
        <v>3033</v>
      </c>
      <c r="N123" s="1700" t="s">
        <v>3034</v>
      </c>
      <c r="O123" s="1702" t="s">
        <v>3040</v>
      </c>
      <c r="P123" s="1702" t="s">
        <v>3041</v>
      </c>
      <c r="Q123" s="1702" t="s">
        <v>3042</v>
      </c>
      <c r="R123" s="1700" t="s">
        <v>3035</v>
      </c>
      <c r="S123" s="1702" t="s">
        <v>3039</v>
      </c>
      <c r="T123" s="2458" t="s">
        <v>3958</v>
      </c>
      <c r="U123" s="1808"/>
      <c r="V123" s="958"/>
      <c r="W123" s="958"/>
      <c r="X123" s="958"/>
      <c r="Y123" s="958"/>
      <c r="Z123" s="958"/>
    </row>
    <row r="124" spans="1:26">
      <c r="K124" s="712"/>
      <c r="L124" s="413" t="s">
        <v>3959</v>
      </c>
      <c r="M124" s="1322" t="s">
        <v>3960</v>
      </c>
      <c r="N124" s="2470" t="str">
        <f>IFERROR(VLOOKUP(M124,Price[],2,0),"")</f>
        <v>NTP specialist salary support</v>
      </c>
      <c r="O124" s="1322" t="str">
        <f>IFERROR(VLOOKUP(M124,Price[],3,0),"")</f>
        <v>per month</v>
      </c>
      <c r="P124" s="1383">
        <f>IFERROR(VLOOKUP(M124,Price[],4,0),"")</f>
        <v>6300</v>
      </c>
      <c r="Q124" s="1383" t="str">
        <f>IFERROR(VLOOKUP(M124,Price[],5,0),"")</f>
        <v>MDL</v>
      </c>
      <c r="R124" s="1322">
        <f ca="1">ROUND(IFERROR(IF(Q124="MDL",P124,P124*INDIRECT(Q124)),0),2)</f>
        <v>6300</v>
      </c>
      <c r="S124" s="1383">
        <v>5</v>
      </c>
      <c r="T124" s="1383">
        <f ca="1">S124*R124</f>
        <v>31500</v>
      </c>
      <c r="U124" s="413"/>
      <c r="V124" s="1322">
        <f ca="1">T124*V122</f>
        <v>378000</v>
      </c>
      <c r="W124" s="1322">
        <f ca="1">T124*W122</f>
        <v>378000</v>
      </c>
      <c r="X124" s="1322">
        <f ca="1">T124*X122</f>
        <v>378000</v>
      </c>
      <c r="Y124" s="1322">
        <f ca="1">T124*Y122</f>
        <v>0</v>
      </c>
      <c r="Z124" s="1322">
        <f ca="1">T124*Z122</f>
        <v>0</v>
      </c>
    </row>
    <row r="125" spans="1:26">
      <c r="K125" s="712"/>
      <c r="L125" s="413" t="s">
        <v>3961</v>
      </c>
      <c r="M125" s="1322" t="s">
        <v>3962</v>
      </c>
      <c r="N125" s="2470" t="str">
        <f>IFERROR(VLOOKUP(M125,Price[],2,0),"")</f>
        <v>Utilities and other cost NTP</v>
      </c>
      <c r="O125" s="1322" t="str">
        <f>IFERROR(VLOOKUP(M125,Price[],3,0),"")</f>
        <v>per month</v>
      </c>
      <c r="P125" s="1383">
        <f>IFERROR(VLOOKUP(M125,Price[],4,0),"")</f>
        <v>7000</v>
      </c>
      <c r="Q125" s="1383" t="str">
        <f>IFERROR(VLOOKUP(M125,Price[],5,0),"")</f>
        <v>MDL</v>
      </c>
      <c r="R125" s="1322">
        <f ca="1">ROUND(IFERROR(IF(Q125="MDL",P125,P125*INDIRECT(Q125)),0),2)</f>
        <v>7000</v>
      </c>
      <c r="S125" s="1383">
        <v>1</v>
      </c>
      <c r="T125" s="1383">
        <f ca="1">S125*R125</f>
        <v>7000</v>
      </c>
      <c r="U125" s="413"/>
      <c r="V125" s="1322">
        <f ca="1">T125*V122</f>
        <v>84000</v>
      </c>
      <c r="W125" s="1322">
        <f ca="1">T125*W122</f>
        <v>84000</v>
      </c>
      <c r="X125" s="1322">
        <f ca="1">T125*X122</f>
        <v>84000</v>
      </c>
      <c r="Y125" s="1322">
        <f ca="1">T125*Y122</f>
        <v>0</v>
      </c>
      <c r="Z125" s="1322">
        <f ca="1">T125*Z122</f>
        <v>0</v>
      </c>
    </row>
    <row r="126" spans="1:26">
      <c r="K126" s="712"/>
      <c r="L126" s="413" t="s">
        <v>3963</v>
      </c>
      <c r="M126" s="1322" t="s">
        <v>3964</v>
      </c>
      <c r="N126" s="2470" t="str">
        <f>IFERROR(VLOOKUP(M126,Price[],2,0),"")</f>
        <v>Transport cost NTP</v>
      </c>
      <c r="O126" s="1322" t="str">
        <f>IFERROR(VLOOKUP(M126,Price[],3,0),"")</f>
        <v>per month</v>
      </c>
      <c r="P126" s="1383">
        <f>IFERROR(VLOOKUP(M126,Price[],4,0),"")</f>
        <v>1000</v>
      </c>
      <c r="Q126" s="1383" t="str">
        <f>IFERROR(VLOOKUP(M126,Price[],5,0),"")</f>
        <v>MDL</v>
      </c>
      <c r="R126" s="1322">
        <f ca="1">ROUND(IFERROR(IF(Q126="MDL",P126,P126*INDIRECT(Q126)),0),2)</f>
        <v>1000</v>
      </c>
      <c r="S126" s="1383">
        <v>1</v>
      </c>
      <c r="T126" s="1383">
        <f ca="1">S126*R126</f>
        <v>1000</v>
      </c>
      <c r="U126" s="413"/>
      <c r="V126" s="1322">
        <f ca="1">T126*V122</f>
        <v>12000</v>
      </c>
      <c r="W126" s="1322">
        <f ca="1">T126*W122</f>
        <v>12000</v>
      </c>
      <c r="X126" s="1322">
        <f ca="1">T126*X122</f>
        <v>12000</v>
      </c>
      <c r="Y126" s="1322">
        <f ca="1">T126*Y122</f>
        <v>0</v>
      </c>
      <c r="Z126" s="1322">
        <f ca="1">T126*Z122</f>
        <v>0</v>
      </c>
    </row>
    <row r="127" spans="1:26" ht="16" thickBot="1">
      <c r="K127" s="712"/>
      <c r="L127" s="1808"/>
      <c r="M127" s="1808"/>
      <c r="N127" s="1808"/>
      <c r="O127" s="1808"/>
      <c r="P127" s="1808"/>
      <c r="Q127" s="1808"/>
      <c r="R127" s="1808"/>
      <c r="S127" s="1808"/>
      <c r="T127" s="1808"/>
      <c r="U127" s="1808"/>
      <c r="V127" s="1808"/>
      <c r="W127" s="1808"/>
      <c r="X127" s="1808"/>
      <c r="Y127" s="1808"/>
      <c r="Z127" s="1808"/>
    </row>
    <row r="128" spans="1:26" ht="16" thickBot="1">
      <c r="A128" s="730">
        <v>239</v>
      </c>
      <c r="B128" s="733">
        <f ca="1">V128</f>
        <v>474000</v>
      </c>
      <c r="C128" s="733">
        <f t="shared" ref="C128:F128" ca="1" si="26">W128</f>
        <v>474000</v>
      </c>
      <c r="D128" s="733">
        <f t="shared" ca="1" si="26"/>
        <v>474000</v>
      </c>
      <c r="E128" s="733">
        <f t="shared" ca="1" si="26"/>
        <v>0</v>
      </c>
      <c r="F128" s="733">
        <f t="shared" ca="1" si="26"/>
        <v>0</v>
      </c>
      <c r="G128" s="733" t="s">
        <v>351</v>
      </c>
      <c r="H128" s="733" t="s">
        <v>4100</v>
      </c>
      <c r="I128" s="2183" t="s">
        <v>3716</v>
      </c>
      <c r="J128" s="841" t="s">
        <v>3128</v>
      </c>
      <c r="K128" s="712"/>
      <c r="V128">
        <f ca="1">SUM(V124:V127)</f>
        <v>474000</v>
      </c>
      <c r="W128" s="1808">
        <f t="shared" ref="W128:Z128" ca="1" si="27">SUM(W124:W127)</f>
        <v>474000</v>
      </c>
      <c r="X128" s="1808">
        <f t="shared" ca="1" si="27"/>
        <v>474000</v>
      </c>
      <c r="Y128" s="1808">
        <f t="shared" ca="1" si="27"/>
        <v>0</v>
      </c>
      <c r="Z128" s="1808">
        <f t="shared" ca="1" si="27"/>
        <v>0</v>
      </c>
    </row>
    <row r="129" spans="1:20">
      <c r="K129" s="712"/>
    </row>
    <row r="130" spans="1:20">
      <c r="K130" s="712"/>
    </row>
    <row r="131" spans="1:20" s="1808" customFormat="1">
      <c r="I131" s="2182"/>
      <c r="K131" s="712"/>
      <c r="L131" s="1788" t="s">
        <v>3986</v>
      </c>
    </row>
    <row r="132" spans="1:20">
      <c r="K132" s="712"/>
    </row>
    <row r="133" spans="1:20">
      <c r="K133" s="712"/>
    </row>
    <row r="134" spans="1:20" ht="16" thickBot="1">
      <c r="K134" s="712"/>
    </row>
    <row r="135" spans="1:20" ht="16" thickBot="1">
      <c r="K135" s="712"/>
      <c r="M135" s="1049" t="s">
        <v>2171</v>
      </c>
      <c r="N135" s="1808"/>
      <c r="O135" s="1808"/>
      <c r="P135" s="2454">
        <v>2021</v>
      </c>
      <c r="Q135" s="1762">
        <v>2022</v>
      </c>
      <c r="R135" s="1762">
        <v>2023</v>
      </c>
      <c r="S135" s="1762">
        <v>2024</v>
      </c>
      <c r="T135" s="1763">
        <v>2025</v>
      </c>
    </row>
    <row r="136" spans="1:20" ht="16" thickBot="1">
      <c r="K136" s="712"/>
      <c r="M136" s="1764"/>
      <c r="N136" s="1504" t="s">
        <v>435</v>
      </c>
      <c r="O136" s="1504" t="s">
        <v>443</v>
      </c>
      <c r="P136" s="2455">
        <v>1</v>
      </c>
      <c r="Q136" s="2455">
        <v>1</v>
      </c>
      <c r="R136" s="2455">
        <v>1</v>
      </c>
      <c r="S136" s="2455">
        <f t="shared" ref="S136" si="28">Y136+AD136</f>
        <v>0</v>
      </c>
      <c r="T136" s="2456">
        <f t="shared" ref="T136" si="29">Z136+AE136</f>
        <v>0</v>
      </c>
    </row>
    <row r="137" spans="1:20" ht="16" thickBot="1">
      <c r="A137" s="730">
        <v>242</v>
      </c>
      <c r="B137" s="733">
        <f>P137</f>
        <v>878445.5</v>
      </c>
      <c r="C137" s="733">
        <f t="shared" ref="C137:F137" si="30">Q137</f>
        <v>878445.5</v>
      </c>
      <c r="D137" s="733">
        <f t="shared" si="30"/>
        <v>878445.5</v>
      </c>
      <c r="E137" s="733">
        <f t="shared" si="30"/>
        <v>0</v>
      </c>
      <c r="F137" s="733">
        <f t="shared" si="30"/>
        <v>0</v>
      </c>
      <c r="G137" s="733" t="s">
        <v>351</v>
      </c>
      <c r="H137" s="733" t="s">
        <v>3986</v>
      </c>
      <c r="I137" s="2183"/>
      <c r="J137" s="841" t="s">
        <v>2935</v>
      </c>
      <c r="K137" s="712"/>
      <c r="M137" s="1710" t="s">
        <v>3044</v>
      </c>
      <c r="N137" s="1709">
        <v>50000</v>
      </c>
      <c r="O137" s="1708">
        <f>N137*USD</f>
        <v>878445.5</v>
      </c>
      <c r="P137" s="2457">
        <f>P136*$O137</f>
        <v>878445.5</v>
      </c>
      <c r="Q137" s="2457">
        <f t="shared" ref="Q137:T137" si="31">Q136*$O137</f>
        <v>878445.5</v>
      </c>
      <c r="R137" s="2457">
        <f t="shared" si="31"/>
        <v>878445.5</v>
      </c>
      <c r="S137" s="2457">
        <f t="shared" si="31"/>
        <v>0</v>
      </c>
      <c r="T137" s="2457">
        <f t="shared" si="31"/>
        <v>0</v>
      </c>
    </row>
    <row r="138" spans="1:20">
      <c r="K138" s="712"/>
    </row>
    <row r="139" spans="1:20">
      <c r="K139" s="712"/>
    </row>
    <row r="140" spans="1:20">
      <c r="K140" s="712"/>
    </row>
    <row r="141" spans="1:20">
      <c r="K141" s="712"/>
    </row>
    <row r="142" spans="1:20">
      <c r="K142" s="712"/>
    </row>
    <row r="143" spans="1:20">
      <c r="K143" s="712"/>
    </row>
    <row r="144" spans="1:20">
      <c r="K144" s="712"/>
    </row>
    <row r="145" spans="11:11">
      <c r="K145" s="712"/>
    </row>
    <row r="146" spans="11:11">
      <c r="K146" s="712"/>
    </row>
    <row r="147" spans="11:11">
      <c r="K147" s="712"/>
    </row>
    <row r="148" spans="11:11">
      <c r="K148" s="712"/>
    </row>
    <row r="149" spans="11:11">
      <c r="K149" s="712"/>
    </row>
    <row r="150" spans="11:11">
      <c r="K150" s="712"/>
    </row>
    <row r="151" spans="11:11">
      <c r="K151" s="712"/>
    </row>
    <row r="152" spans="11:11">
      <c r="K152" s="712"/>
    </row>
    <row r="153" spans="11:11">
      <c r="K153" s="712"/>
    </row>
    <row r="154" spans="11:11">
      <c r="K154" s="712"/>
    </row>
    <row r="155" spans="11:11">
      <c r="K155" s="712"/>
    </row>
    <row r="156" spans="11:11">
      <c r="K156" s="712"/>
    </row>
    <row r="157" spans="11:11">
      <c r="K157" s="712"/>
    </row>
    <row r="158" spans="11:11">
      <c r="K158" s="712"/>
    </row>
    <row r="159" spans="11:11">
      <c r="K159" s="712"/>
    </row>
    <row r="160" spans="11:11">
      <c r="K160" s="712"/>
    </row>
    <row r="161" spans="11:11">
      <c r="K161" s="712"/>
    </row>
    <row r="162" spans="11:11">
      <c r="K162" s="712"/>
    </row>
    <row r="163" spans="11:11">
      <c r="K163" s="712"/>
    </row>
    <row r="164" spans="11:11">
      <c r="K164" s="712"/>
    </row>
    <row r="165" spans="11:11">
      <c r="K165" s="712"/>
    </row>
    <row r="166" spans="11:11">
      <c r="K166" s="712"/>
    </row>
    <row r="167" spans="11:11">
      <c r="K167" s="712"/>
    </row>
    <row r="168" spans="11:11">
      <c r="K168" s="712"/>
    </row>
    <row r="169" spans="11:11">
      <c r="K169" s="712"/>
    </row>
    <row r="170" spans="11:11">
      <c r="K170" s="712"/>
    </row>
    <row r="171" spans="11:11">
      <c r="K171" s="712"/>
    </row>
    <row r="172" spans="11:11">
      <c r="K172" s="712"/>
    </row>
    <row r="173" spans="11:11">
      <c r="K173" s="712"/>
    </row>
    <row r="174" spans="11:11">
      <c r="K174" s="712"/>
    </row>
    <row r="175" spans="11:11">
      <c r="K175" s="712"/>
    </row>
    <row r="176" spans="11:11">
      <c r="K176" s="712"/>
    </row>
    <row r="177" spans="11:11">
      <c r="K177" s="712"/>
    </row>
    <row r="178" spans="11:11">
      <c r="K178" s="712"/>
    </row>
    <row r="179" spans="11:11">
      <c r="K179" s="712"/>
    </row>
    <row r="180" spans="11:11">
      <c r="K180" s="712"/>
    </row>
    <row r="181" spans="11:11">
      <c r="K181" s="712"/>
    </row>
    <row r="182" spans="11:11">
      <c r="K182" s="712"/>
    </row>
    <row r="183" spans="11:11">
      <c r="K183" s="712"/>
    </row>
    <row r="184" spans="11:11">
      <c r="K184" s="712"/>
    </row>
    <row r="185" spans="11:11">
      <c r="K185" s="712"/>
    </row>
    <row r="186" spans="11:11">
      <c r="K186" s="712"/>
    </row>
    <row r="187" spans="11:11">
      <c r="K187" s="712"/>
    </row>
    <row r="188" spans="11:11">
      <c r="K188" s="712"/>
    </row>
    <row r="189" spans="11:11">
      <c r="K189" s="712"/>
    </row>
    <row r="190" spans="11:11">
      <c r="K190" s="712"/>
    </row>
    <row r="191" spans="11:11">
      <c r="K191" s="712"/>
    </row>
    <row r="192" spans="11:11">
      <c r="K192" s="712"/>
    </row>
    <row r="193" spans="11:11">
      <c r="K193" s="712"/>
    </row>
    <row r="194" spans="11:11">
      <c r="K194" s="712"/>
    </row>
    <row r="195" spans="11:11">
      <c r="K195" s="712"/>
    </row>
    <row r="196" spans="11:11">
      <c r="K196" s="712"/>
    </row>
    <row r="197" spans="11:11">
      <c r="K197" s="712"/>
    </row>
    <row r="198" spans="11:11">
      <c r="K198" s="712"/>
    </row>
    <row r="199" spans="11:11">
      <c r="K199" s="712"/>
    </row>
    <row r="200" spans="11:11">
      <c r="K200" s="712"/>
    </row>
    <row r="201" spans="11:11">
      <c r="K201" s="712"/>
    </row>
    <row r="202" spans="11:11">
      <c r="K202" s="712"/>
    </row>
    <row r="203" spans="11:11">
      <c r="K203" s="712"/>
    </row>
    <row r="204" spans="11:11">
      <c r="K204" s="712"/>
    </row>
    <row r="205" spans="11:11">
      <c r="K205" s="712"/>
    </row>
    <row r="206" spans="11:11">
      <c r="K206" s="712"/>
    </row>
    <row r="207" spans="11:11">
      <c r="K207" s="712"/>
    </row>
    <row r="208" spans="11:11">
      <c r="K208" s="712"/>
    </row>
    <row r="209" spans="11:11">
      <c r="K209" s="712"/>
    </row>
    <row r="210" spans="11:11">
      <c r="K210" s="712"/>
    </row>
    <row r="211" spans="11:11">
      <c r="K211" s="712"/>
    </row>
    <row r="212" spans="11:11">
      <c r="K212" s="712"/>
    </row>
    <row r="213" spans="11:11">
      <c r="K213" s="712"/>
    </row>
    <row r="214" spans="11:11">
      <c r="K214" s="712"/>
    </row>
    <row r="215" spans="11:11">
      <c r="K215" s="712"/>
    </row>
    <row r="216" spans="11:11">
      <c r="K216" s="712"/>
    </row>
    <row r="217" spans="11:11">
      <c r="K217" s="712"/>
    </row>
    <row r="218" spans="11:11">
      <c r="K218" s="712"/>
    </row>
    <row r="219" spans="11:11">
      <c r="K219" s="712"/>
    </row>
    <row r="220" spans="11:11">
      <c r="K220" s="712"/>
    </row>
    <row r="221" spans="11:11">
      <c r="K221" s="712"/>
    </row>
    <row r="222" spans="11:11">
      <c r="K222" s="712"/>
    </row>
    <row r="223" spans="11:11">
      <c r="K223" s="712"/>
    </row>
    <row r="224" spans="11:11">
      <c r="K224" s="712"/>
    </row>
    <row r="225" spans="11:11">
      <c r="K225" s="712"/>
    </row>
    <row r="226" spans="11:11">
      <c r="K226" s="712"/>
    </row>
    <row r="227" spans="11:11">
      <c r="K227" s="712"/>
    </row>
    <row r="228" spans="11:11">
      <c r="K228" s="712"/>
    </row>
    <row r="229" spans="11:11">
      <c r="K229" s="712"/>
    </row>
    <row r="230" spans="11:11">
      <c r="K230" s="712"/>
    </row>
    <row r="231" spans="11:11">
      <c r="K231" s="712"/>
    </row>
    <row r="232" spans="11:11">
      <c r="K232" s="712"/>
    </row>
    <row r="233" spans="11:11">
      <c r="K233" s="712"/>
    </row>
    <row r="234" spans="11:11">
      <c r="K234" s="712"/>
    </row>
    <row r="235" spans="11:11">
      <c r="K235" s="712"/>
    </row>
    <row r="236" spans="11:11">
      <c r="K236" s="712"/>
    </row>
    <row r="237" spans="11:11">
      <c r="K237" s="712"/>
    </row>
    <row r="238" spans="11:11">
      <c r="K238" s="712"/>
    </row>
    <row r="239" spans="11:11">
      <c r="K239" s="712"/>
    </row>
    <row r="240" spans="11:11">
      <c r="K240" s="712"/>
    </row>
    <row r="241" spans="11:11">
      <c r="K241" s="712"/>
    </row>
    <row r="242" spans="11:11">
      <c r="K242" s="712"/>
    </row>
    <row r="243" spans="11:11">
      <c r="K243" s="712"/>
    </row>
    <row r="244" spans="11:11">
      <c r="K244" s="712"/>
    </row>
    <row r="245" spans="11:11">
      <c r="K245" s="712"/>
    </row>
    <row r="246" spans="11:11">
      <c r="K246" s="712"/>
    </row>
    <row r="247" spans="11:11">
      <c r="K247" s="712"/>
    </row>
    <row r="248" spans="11:11">
      <c r="K248" s="712"/>
    </row>
    <row r="249" spans="11:11">
      <c r="K249" s="712"/>
    </row>
    <row r="250" spans="11:11">
      <c r="K250" s="712"/>
    </row>
    <row r="251" spans="11:11">
      <c r="K251" s="712"/>
    </row>
    <row r="252" spans="11:11">
      <c r="K252" s="712"/>
    </row>
    <row r="253" spans="11:11">
      <c r="K253" s="712"/>
    </row>
    <row r="254" spans="11:11">
      <c r="K254" s="712"/>
    </row>
    <row r="255" spans="11:11">
      <c r="K255" s="712"/>
    </row>
    <row r="256" spans="11:11">
      <c r="K256" s="712"/>
    </row>
    <row r="257" spans="11:11">
      <c r="K257" s="712"/>
    </row>
    <row r="258" spans="11:11">
      <c r="K258" s="712"/>
    </row>
    <row r="259" spans="11:11">
      <c r="K259" s="712"/>
    </row>
    <row r="260" spans="11:11">
      <c r="K260" s="712"/>
    </row>
    <row r="261" spans="11:11">
      <c r="K261" s="712"/>
    </row>
    <row r="262" spans="11:11">
      <c r="K262" s="712"/>
    </row>
    <row r="263" spans="11:11">
      <c r="K263" s="712"/>
    </row>
    <row r="264" spans="11:11">
      <c r="K264" s="712"/>
    </row>
    <row r="265" spans="11:11">
      <c r="K265" s="712"/>
    </row>
    <row r="266" spans="11:11">
      <c r="K266" s="712"/>
    </row>
    <row r="267" spans="11:11">
      <c r="K267" s="712"/>
    </row>
    <row r="268" spans="11:11">
      <c r="K268" s="712"/>
    </row>
    <row r="269" spans="11:11">
      <c r="K269" s="712"/>
    </row>
    <row r="270" spans="11:11">
      <c r="K270" s="712"/>
    </row>
    <row r="271" spans="11:11">
      <c r="K271" s="712"/>
    </row>
    <row r="272" spans="11:11">
      <c r="K272" s="712"/>
    </row>
    <row r="273" spans="11:11">
      <c r="K273" s="712"/>
    </row>
    <row r="274" spans="11:11">
      <c r="K274" s="712"/>
    </row>
    <row r="275" spans="11:11">
      <c r="K275" s="712"/>
    </row>
    <row r="276" spans="11:11">
      <c r="K276" s="712"/>
    </row>
    <row r="277" spans="11:11">
      <c r="K277" s="712"/>
    </row>
    <row r="278" spans="11:11">
      <c r="K278" s="712"/>
    </row>
    <row r="279" spans="11:11">
      <c r="K279" s="712"/>
    </row>
    <row r="280" spans="11:11">
      <c r="K280" s="712"/>
    </row>
    <row r="281" spans="11:11">
      <c r="K281" s="712"/>
    </row>
    <row r="282" spans="11:11">
      <c r="K282" s="712"/>
    </row>
    <row r="283" spans="11:11">
      <c r="K283" s="712"/>
    </row>
    <row r="284" spans="11:11">
      <c r="K284" s="712"/>
    </row>
    <row r="285" spans="11:11">
      <c r="K285" s="712"/>
    </row>
    <row r="286" spans="11:11">
      <c r="K286" s="712"/>
    </row>
    <row r="287" spans="11:11">
      <c r="K287" s="712"/>
    </row>
    <row r="288" spans="11:11">
      <c r="K288" s="712"/>
    </row>
    <row r="289" spans="11:11">
      <c r="K289" s="712"/>
    </row>
    <row r="290" spans="11:11">
      <c r="K290" s="712"/>
    </row>
    <row r="291" spans="11:11">
      <c r="K291" s="712"/>
    </row>
    <row r="292" spans="11:11">
      <c r="K292" s="712"/>
    </row>
    <row r="293" spans="11:11">
      <c r="K293" s="712"/>
    </row>
    <row r="294" spans="11:11">
      <c r="K294" s="712"/>
    </row>
    <row r="295" spans="11:11">
      <c r="K295" s="712"/>
    </row>
    <row r="296" spans="11:11">
      <c r="K296" s="712"/>
    </row>
    <row r="297" spans="11:11">
      <c r="K297" s="712"/>
    </row>
    <row r="298" spans="11:11">
      <c r="K298" s="712"/>
    </row>
    <row r="299" spans="11:11">
      <c r="K299" s="712"/>
    </row>
    <row r="300" spans="11:11">
      <c r="K300" s="712"/>
    </row>
    <row r="301" spans="11:11">
      <c r="K301" s="712"/>
    </row>
    <row r="302" spans="11:11">
      <c r="K302" s="712"/>
    </row>
    <row r="303" spans="11:11">
      <c r="K303" s="712"/>
    </row>
    <row r="304" spans="11:11">
      <c r="K304" s="712"/>
    </row>
    <row r="305" spans="11:11">
      <c r="K305" s="712"/>
    </row>
    <row r="306" spans="11:11">
      <c r="K306" s="712"/>
    </row>
    <row r="307" spans="11:11">
      <c r="K307" s="712"/>
    </row>
    <row r="308" spans="11:11">
      <c r="K308" s="712"/>
    </row>
    <row r="309" spans="11:11">
      <c r="K309" s="712"/>
    </row>
    <row r="310" spans="11:11">
      <c r="K310" s="712"/>
    </row>
    <row r="311" spans="11:11">
      <c r="K311" s="712"/>
    </row>
    <row r="312" spans="11:11">
      <c r="K312" s="712"/>
    </row>
    <row r="313" spans="11:11">
      <c r="K313" s="712"/>
    </row>
    <row r="314" spans="11:11">
      <c r="K314" s="712"/>
    </row>
    <row r="315" spans="11:11">
      <c r="K315" s="712"/>
    </row>
    <row r="316" spans="11:11">
      <c r="K316" s="712"/>
    </row>
    <row r="317" spans="11:11">
      <c r="K317" s="712"/>
    </row>
    <row r="318" spans="11:11">
      <c r="K318" s="712"/>
    </row>
    <row r="319" spans="11:11">
      <c r="K319" s="712"/>
    </row>
    <row r="320" spans="11:11">
      <c r="K320" s="712"/>
    </row>
    <row r="321" spans="11:11">
      <c r="K321" s="712"/>
    </row>
    <row r="322" spans="11:11">
      <c r="K322" s="712"/>
    </row>
    <row r="323" spans="11:11">
      <c r="K323" s="712"/>
    </row>
    <row r="324" spans="11:11">
      <c r="K324" s="712"/>
    </row>
    <row r="325" spans="11:11">
      <c r="K325" s="712"/>
    </row>
    <row r="326" spans="11:11">
      <c r="K326" s="712"/>
    </row>
    <row r="327" spans="11:11">
      <c r="K327" s="712"/>
    </row>
    <row r="328" spans="11:11">
      <c r="K328" s="712"/>
    </row>
    <row r="329" spans="11:11">
      <c r="K329" s="712"/>
    </row>
    <row r="330" spans="11:11">
      <c r="K330" s="712"/>
    </row>
    <row r="331" spans="11:11">
      <c r="K331" s="712"/>
    </row>
    <row r="332" spans="11:11">
      <c r="K332" s="712"/>
    </row>
    <row r="333" spans="11:11">
      <c r="K333" s="712"/>
    </row>
    <row r="334" spans="11:11">
      <c r="K334" s="712"/>
    </row>
    <row r="335" spans="11:11">
      <c r="K335" s="712"/>
    </row>
    <row r="336" spans="11:11">
      <c r="K336" s="712"/>
    </row>
    <row r="337" spans="11:11">
      <c r="K337" s="712"/>
    </row>
    <row r="338" spans="11:11">
      <c r="K338" s="712"/>
    </row>
    <row r="339" spans="11:11">
      <c r="K339" s="712"/>
    </row>
    <row r="340" spans="11:11">
      <c r="K340" s="712"/>
    </row>
    <row r="341" spans="11:11">
      <c r="K341" s="712"/>
    </row>
    <row r="342" spans="11:11">
      <c r="K342" s="712"/>
    </row>
    <row r="343" spans="11:11">
      <c r="K343" s="712"/>
    </row>
    <row r="344" spans="11:11">
      <c r="K344" s="712"/>
    </row>
    <row r="345" spans="11:11">
      <c r="K345" s="712"/>
    </row>
    <row r="346" spans="11:11">
      <c r="K346" s="712"/>
    </row>
    <row r="347" spans="11:11">
      <c r="K347" s="712"/>
    </row>
    <row r="348" spans="11:11">
      <c r="K348" s="712"/>
    </row>
    <row r="349" spans="11:11">
      <c r="K349" s="712"/>
    </row>
    <row r="350" spans="11:11">
      <c r="K350" s="712"/>
    </row>
    <row r="351" spans="11:11">
      <c r="K351" s="712"/>
    </row>
    <row r="352" spans="11:11">
      <c r="K352" s="712"/>
    </row>
    <row r="353" spans="11:11">
      <c r="K353" s="712"/>
    </row>
    <row r="354" spans="11:11">
      <c r="K354" s="712"/>
    </row>
    <row r="355" spans="11:11">
      <c r="K355" s="712"/>
    </row>
    <row r="356" spans="11:11">
      <c r="K356" s="712"/>
    </row>
    <row r="357" spans="11:11">
      <c r="K357" s="712"/>
    </row>
    <row r="358" spans="11:11">
      <c r="K358" s="712"/>
    </row>
    <row r="359" spans="11:11">
      <c r="K359" s="712"/>
    </row>
    <row r="360" spans="11:11">
      <c r="K360" s="712"/>
    </row>
    <row r="361" spans="11:11">
      <c r="K361" s="712"/>
    </row>
    <row r="362" spans="11:11">
      <c r="K362" s="712"/>
    </row>
    <row r="363" spans="11:11">
      <c r="K363" s="712"/>
    </row>
    <row r="364" spans="11:11">
      <c r="K364" s="712"/>
    </row>
    <row r="365" spans="11:11">
      <c r="K365" s="712"/>
    </row>
    <row r="366" spans="11:11">
      <c r="K366" s="712"/>
    </row>
    <row r="367" spans="11:11">
      <c r="K367" s="712"/>
    </row>
    <row r="368" spans="11:11">
      <c r="K368" s="712"/>
    </row>
    <row r="369" spans="11:11">
      <c r="K369" s="712"/>
    </row>
    <row r="370" spans="11:11">
      <c r="K370" s="712"/>
    </row>
    <row r="371" spans="11:11">
      <c r="K371" s="712"/>
    </row>
    <row r="372" spans="11:11">
      <c r="K372" s="712"/>
    </row>
    <row r="373" spans="11:11">
      <c r="K373" s="712"/>
    </row>
    <row r="374" spans="11:11">
      <c r="K374" s="712"/>
    </row>
    <row r="375" spans="11:11">
      <c r="K375" s="712"/>
    </row>
    <row r="376" spans="11:11">
      <c r="K376" s="712"/>
    </row>
    <row r="377" spans="11:11">
      <c r="K377" s="712"/>
    </row>
    <row r="378" spans="11:11">
      <c r="K378" s="712"/>
    </row>
    <row r="379" spans="11:11">
      <c r="K379" s="712"/>
    </row>
    <row r="380" spans="11:11">
      <c r="K380" s="712"/>
    </row>
    <row r="381" spans="11:11">
      <c r="K381" s="712"/>
    </row>
    <row r="382" spans="11:11">
      <c r="K382" s="712"/>
    </row>
    <row r="383" spans="11:11">
      <c r="K383" s="712"/>
    </row>
    <row r="384" spans="11:11">
      <c r="K384" s="712"/>
    </row>
    <row r="385" spans="11:11">
      <c r="K385" s="712"/>
    </row>
    <row r="386" spans="11:11">
      <c r="K386" s="712"/>
    </row>
    <row r="387" spans="11:11">
      <c r="K387" s="712"/>
    </row>
    <row r="388" spans="11:11">
      <c r="K388" s="712"/>
    </row>
    <row r="389" spans="11:11">
      <c r="K389" s="712"/>
    </row>
    <row r="390" spans="11:11">
      <c r="K390" s="712"/>
    </row>
    <row r="391" spans="11:11">
      <c r="K391" s="712"/>
    </row>
    <row r="392" spans="11:11">
      <c r="K392" s="712"/>
    </row>
    <row r="393" spans="11:11">
      <c r="K393" s="712"/>
    </row>
    <row r="394" spans="11:11">
      <c r="K394" s="712"/>
    </row>
    <row r="395" spans="11:11">
      <c r="K395" s="712"/>
    </row>
    <row r="396" spans="11:11">
      <c r="K396" s="712"/>
    </row>
    <row r="397" spans="11:11">
      <c r="K397" s="712"/>
    </row>
    <row r="398" spans="11:11">
      <c r="K398" s="712"/>
    </row>
    <row r="399" spans="11:11">
      <c r="K399" s="712"/>
    </row>
    <row r="400" spans="11:11">
      <c r="K400" s="712"/>
    </row>
    <row r="401" spans="11:11">
      <c r="K401" s="713"/>
    </row>
    <row r="402" spans="11:11">
      <c r="K402" s="712"/>
    </row>
    <row r="403" spans="11:11">
      <c r="K403" s="712"/>
    </row>
    <row r="404" spans="11:11">
      <c r="K404" s="712"/>
    </row>
    <row r="405" spans="11:11">
      <c r="K405" s="712"/>
    </row>
    <row r="406" spans="11:11">
      <c r="K406" s="712"/>
    </row>
    <row r="407" spans="11:11">
      <c r="K407" s="712"/>
    </row>
    <row r="408" spans="11:11">
      <c r="K408" s="712"/>
    </row>
    <row r="409" spans="11:11">
      <c r="K409" s="712"/>
    </row>
    <row r="410" spans="11:11">
      <c r="K410" s="712"/>
    </row>
    <row r="411" spans="11:11">
      <c r="K411" s="712"/>
    </row>
    <row r="412" spans="11:11">
      <c r="K412" s="712"/>
    </row>
    <row r="413" spans="11:11">
      <c r="K413" s="712"/>
    </row>
    <row r="414" spans="11:11">
      <c r="K414" s="712"/>
    </row>
    <row r="415" spans="11:11">
      <c r="K415" s="712"/>
    </row>
    <row r="416" spans="11:11">
      <c r="K416" s="712"/>
    </row>
    <row r="417" spans="11:11">
      <c r="K417" s="712"/>
    </row>
    <row r="418" spans="11:11">
      <c r="K418" s="712"/>
    </row>
    <row r="419" spans="11:11">
      <c r="K419" s="712"/>
    </row>
    <row r="420" spans="11:11">
      <c r="K420" s="712"/>
    </row>
    <row r="421" spans="11:11">
      <c r="K421" s="712"/>
    </row>
    <row r="422" spans="11:11">
      <c r="K422" s="712"/>
    </row>
    <row r="423" spans="11:11">
      <c r="K423" s="712"/>
    </row>
    <row r="424" spans="11:11">
      <c r="K424" s="712"/>
    </row>
    <row r="425" spans="11:11">
      <c r="K425" s="712"/>
    </row>
    <row r="426" spans="11:11">
      <c r="K426" s="712"/>
    </row>
    <row r="427" spans="11:11">
      <c r="K427" s="712"/>
    </row>
    <row r="428" spans="11:11">
      <c r="K428" s="712"/>
    </row>
    <row r="429" spans="11:11">
      <c r="K429" s="712"/>
    </row>
    <row r="430" spans="11:11">
      <c r="K430" s="712"/>
    </row>
    <row r="431" spans="11:11">
      <c r="K431" s="712"/>
    </row>
    <row r="432" spans="11:11">
      <c r="K432" s="712"/>
    </row>
    <row r="433" spans="11:11">
      <c r="K433" s="712"/>
    </row>
    <row r="434" spans="11:11">
      <c r="K434" s="712"/>
    </row>
    <row r="435" spans="11:11">
      <c r="K435" s="712"/>
    </row>
    <row r="436" spans="11:11">
      <c r="K436" s="712"/>
    </row>
    <row r="437" spans="11:11">
      <c r="K437" s="712"/>
    </row>
    <row r="438" spans="11:11">
      <c r="K438" s="712"/>
    </row>
    <row r="439" spans="11:11">
      <c r="K439" s="712"/>
    </row>
    <row r="440" spans="11:11">
      <c r="K440" s="712"/>
    </row>
    <row r="441" spans="11:11">
      <c r="K441" s="712"/>
    </row>
    <row r="442" spans="11:11">
      <c r="K442" s="712"/>
    </row>
    <row r="443" spans="11:11">
      <c r="K443" s="712"/>
    </row>
    <row r="444" spans="11:11">
      <c r="K444" s="712"/>
    </row>
    <row r="445" spans="11:11">
      <c r="K445" s="712"/>
    </row>
    <row r="446" spans="11:11">
      <c r="K446" s="712"/>
    </row>
    <row r="447" spans="11:11">
      <c r="K447" s="712"/>
    </row>
    <row r="448" spans="11:11">
      <c r="K448" s="712"/>
    </row>
    <row r="449" spans="11:11">
      <c r="K449" s="712"/>
    </row>
    <row r="450" spans="11:11">
      <c r="K450" s="712"/>
    </row>
    <row r="451" spans="11:11">
      <c r="K451" s="712"/>
    </row>
    <row r="452" spans="11:11">
      <c r="K452" s="712"/>
    </row>
    <row r="453" spans="11:11">
      <c r="K453" s="712"/>
    </row>
    <row r="454" spans="11:11">
      <c r="K454" s="712"/>
    </row>
    <row r="455" spans="11:11">
      <c r="K455" s="712"/>
    </row>
    <row r="456" spans="11:11">
      <c r="K456" s="712"/>
    </row>
    <row r="457" spans="11:11">
      <c r="K457" s="712"/>
    </row>
    <row r="458" spans="11:11">
      <c r="K458" s="712"/>
    </row>
    <row r="459" spans="11:11">
      <c r="K459" s="712"/>
    </row>
    <row r="460" spans="11:11">
      <c r="K460" s="712"/>
    </row>
    <row r="461" spans="11:11">
      <c r="K461" s="712"/>
    </row>
    <row r="462" spans="11:11">
      <c r="K462" s="712"/>
    </row>
    <row r="463" spans="11:11">
      <c r="K463" s="712"/>
    </row>
    <row r="464" spans="11:11">
      <c r="K464" s="712"/>
    </row>
    <row r="465" spans="11:11">
      <c r="K465" s="712"/>
    </row>
    <row r="466" spans="11:11">
      <c r="K466" s="712"/>
    </row>
    <row r="467" spans="11:11">
      <c r="K467" s="712"/>
    </row>
    <row r="468" spans="11:11">
      <c r="K468" s="712"/>
    </row>
    <row r="469" spans="11:11">
      <c r="K469" s="712"/>
    </row>
    <row r="470" spans="11:11">
      <c r="K470" s="712"/>
    </row>
    <row r="471" spans="11:11">
      <c r="K471" s="712"/>
    </row>
    <row r="472" spans="11:11">
      <c r="K472" s="712"/>
    </row>
    <row r="473" spans="11:11">
      <c r="K473" s="713"/>
    </row>
    <row r="474" spans="11:11">
      <c r="K474" s="712"/>
    </row>
    <row r="475" spans="11:11">
      <c r="K475" s="712"/>
    </row>
    <row r="476" spans="11:11">
      <c r="K476" s="712"/>
    </row>
    <row r="477" spans="11:11">
      <c r="K477" s="712"/>
    </row>
    <row r="478" spans="11:11">
      <c r="K478" s="712"/>
    </row>
    <row r="479" spans="11:11">
      <c r="K479" s="712"/>
    </row>
    <row r="480" spans="11:11">
      <c r="K480" s="712"/>
    </row>
    <row r="481" spans="11:11">
      <c r="K481" s="712"/>
    </row>
    <row r="482" spans="11:11">
      <c r="K482" s="712"/>
    </row>
    <row r="483" spans="11:11">
      <c r="K483" s="712"/>
    </row>
    <row r="484" spans="11:11">
      <c r="K484" s="712"/>
    </row>
    <row r="485" spans="11:11">
      <c r="K485" s="712"/>
    </row>
    <row r="486" spans="11:11">
      <c r="K486" s="712"/>
    </row>
    <row r="487" spans="11:11">
      <c r="K487" s="712"/>
    </row>
    <row r="488" spans="11:11">
      <c r="K488" s="712"/>
    </row>
    <row r="489" spans="11:11">
      <c r="K489" s="712"/>
    </row>
    <row r="490" spans="11:11">
      <c r="K490" s="712"/>
    </row>
    <row r="491" spans="11:11">
      <c r="K491" s="712"/>
    </row>
    <row r="492" spans="11:11">
      <c r="K492" s="712"/>
    </row>
    <row r="493" spans="11:11">
      <c r="K493" s="712"/>
    </row>
    <row r="494" spans="11:11">
      <c r="K494" s="712"/>
    </row>
    <row r="495" spans="11:11">
      <c r="K495" s="712"/>
    </row>
    <row r="496" spans="11:11">
      <c r="K496" s="712"/>
    </row>
    <row r="497" spans="11:11">
      <c r="K497" s="712"/>
    </row>
    <row r="498" spans="11:11">
      <c r="K498" s="712"/>
    </row>
    <row r="499" spans="11:11">
      <c r="K499" s="712"/>
    </row>
    <row r="500" spans="11:11">
      <c r="K500" s="712"/>
    </row>
    <row r="501" spans="11:11">
      <c r="K501" s="712"/>
    </row>
    <row r="502" spans="11:11">
      <c r="K502" s="712"/>
    </row>
    <row r="503" spans="11:11">
      <c r="K503" s="712"/>
    </row>
    <row r="504" spans="11:11">
      <c r="K504" s="712"/>
    </row>
    <row r="505" spans="11:11">
      <c r="K505" s="712"/>
    </row>
    <row r="506" spans="11:11">
      <c r="K506" s="712"/>
    </row>
    <row r="507" spans="11:11">
      <c r="K507" s="712"/>
    </row>
    <row r="508" spans="11:11">
      <c r="K508" s="712"/>
    </row>
    <row r="509" spans="11:11">
      <c r="K509" s="712"/>
    </row>
    <row r="510" spans="11:11">
      <c r="K510" s="712"/>
    </row>
    <row r="511" spans="11:11">
      <c r="K511" s="712"/>
    </row>
    <row r="512" spans="11:11">
      <c r="K512" s="712"/>
    </row>
    <row r="513" spans="11:11">
      <c r="K513" s="712"/>
    </row>
    <row r="514" spans="11:11">
      <c r="K514" s="712"/>
    </row>
    <row r="515" spans="11:11">
      <c r="K515" s="712"/>
    </row>
    <row r="516" spans="11:11">
      <c r="K516" s="712"/>
    </row>
    <row r="517" spans="11:11">
      <c r="K517" s="712"/>
    </row>
    <row r="518" spans="11:11">
      <c r="K518" s="712"/>
    </row>
    <row r="519" spans="11:11">
      <c r="K519" s="712"/>
    </row>
    <row r="520" spans="11:11">
      <c r="K520" s="712"/>
    </row>
    <row r="521" spans="11:11">
      <c r="K521" s="712"/>
    </row>
    <row r="522" spans="11:11">
      <c r="K522" s="712"/>
    </row>
    <row r="523" spans="11:11">
      <c r="K523" s="712"/>
    </row>
    <row r="524" spans="11:11">
      <c r="K524" s="712"/>
    </row>
    <row r="525" spans="11:11">
      <c r="K525" s="712"/>
    </row>
    <row r="526" spans="11:11">
      <c r="K526" s="712"/>
    </row>
    <row r="527" spans="11:11">
      <c r="K527" s="712"/>
    </row>
    <row r="528" spans="11:11">
      <c r="K528" s="712"/>
    </row>
    <row r="529" spans="11:11">
      <c r="K529" s="712"/>
    </row>
    <row r="530" spans="11:11">
      <c r="K530" s="712"/>
    </row>
    <row r="531" spans="11:11">
      <c r="K531" s="712"/>
    </row>
    <row r="532" spans="11:11">
      <c r="K532" s="712"/>
    </row>
    <row r="533" spans="11:11">
      <c r="K533" s="712"/>
    </row>
    <row r="534" spans="11:11">
      <c r="K534" s="712"/>
    </row>
    <row r="535" spans="11:11">
      <c r="K535" s="712"/>
    </row>
    <row r="536" spans="11:11">
      <c r="K536" s="712"/>
    </row>
    <row r="537" spans="11:11">
      <c r="K537" s="712"/>
    </row>
    <row r="538" spans="11:11">
      <c r="K538" s="712"/>
    </row>
    <row r="539" spans="11:11">
      <c r="K539" s="712"/>
    </row>
    <row r="540" spans="11:11">
      <c r="K540" s="712"/>
    </row>
    <row r="541" spans="11:11">
      <c r="K541" s="712"/>
    </row>
    <row r="542" spans="11:11">
      <c r="K542" s="712"/>
    </row>
    <row r="543" spans="11:11">
      <c r="K543" s="712"/>
    </row>
    <row r="544" spans="11:11">
      <c r="K544" s="712"/>
    </row>
    <row r="545" spans="11:11">
      <c r="K545" s="712"/>
    </row>
    <row r="546" spans="11:11">
      <c r="K546" s="712"/>
    </row>
    <row r="547" spans="11:11">
      <c r="K547" s="712"/>
    </row>
    <row r="548" spans="11:11">
      <c r="K548" s="712"/>
    </row>
    <row r="549" spans="11:11">
      <c r="K549" s="712"/>
    </row>
    <row r="550" spans="11:11">
      <c r="K550" s="712"/>
    </row>
    <row r="551" spans="11:11">
      <c r="K551" s="712"/>
    </row>
    <row r="552" spans="11:11">
      <c r="K552" s="712"/>
    </row>
    <row r="553" spans="11:11">
      <c r="K553" s="712"/>
    </row>
    <row r="554" spans="11:11">
      <c r="K554" s="712"/>
    </row>
    <row r="555" spans="11:11">
      <c r="K555" s="712"/>
    </row>
    <row r="556" spans="11:11">
      <c r="K556" s="712"/>
    </row>
    <row r="557" spans="11:11">
      <c r="K557" s="712"/>
    </row>
    <row r="558" spans="11:11">
      <c r="K558" s="712"/>
    </row>
    <row r="559" spans="11:11">
      <c r="K559" s="712"/>
    </row>
    <row r="560" spans="11:11">
      <c r="K560" s="712"/>
    </row>
    <row r="561" spans="11:11">
      <c r="K561" s="712"/>
    </row>
    <row r="562" spans="11:11">
      <c r="K562" s="712"/>
    </row>
    <row r="563" spans="11:11">
      <c r="K563" s="712"/>
    </row>
    <row r="564" spans="11:11">
      <c r="K564" s="712"/>
    </row>
    <row r="565" spans="11:11">
      <c r="K565" s="712"/>
    </row>
    <row r="566" spans="11:11">
      <c r="K566" s="712"/>
    </row>
    <row r="567" spans="11:11">
      <c r="K567" s="712"/>
    </row>
    <row r="568" spans="11:11">
      <c r="K568" s="712"/>
    </row>
    <row r="569" spans="11:11">
      <c r="K569" s="712"/>
    </row>
    <row r="570" spans="11:11">
      <c r="K570" s="712"/>
    </row>
    <row r="571" spans="11:11">
      <c r="K571" s="712"/>
    </row>
    <row r="572" spans="11:11">
      <c r="K572" s="712"/>
    </row>
    <row r="573" spans="11:11">
      <c r="K573" s="712"/>
    </row>
    <row r="574" spans="11:11">
      <c r="K574" s="712"/>
    </row>
    <row r="575" spans="11:11">
      <c r="K575" s="712"/>
    </row>
    <row r="576" spans="11:11">
      <c r="K576" s="712"/>
    </row>
    <row r="577" spans="11:11">
      <c r="K577" s="712"/>
    </row>
    <row r="578" spans="11:11">
      <c r="K578" s="712"/>
    </row>
    <row r="579" spans="11:11">
      <c r="K579" s="712"/>
    </row>
    <row r="580" spans="11:11">
      <c r="K580" s="712"/>
    </row>
    <row r="581" spans="11:11">
      <c r="K581" s="712"/>
    </row>
    <row r="582" spans="11:11">
      <c r="K582" s="712"/>
    </row>
    <row r="583" spans="11:11">
      <c r="K583" s="712"/>
    </row>
    <row r="584" spans="11:11">
      <c r="K584" s="712"/>
    </row>
    <row r="585" spans="11:11">
      <c r="K585" s="712"/>
    </row>
    <row r="586" spans="11:11">
      <c r="K586" s="712"/>
    </row>
    <row r="587" spans="11:11">
      <c r="K587" s="712"/>
    </row>
    <row r="588" spans="11:11">
      <c r="K588" s="712"/>
    </row>
    <row r="589" spans="11:11">
      <c r="K589" s="712"/>
    </row>
    <row r="590" spans="11:11">
      <c r="K590" s="712"/>
    </row>
    <row r="591" spans="11:11">
      <c r="K591" s="712"/>
    </row>
    <row r="592" spans="11:11">
      <c r="K592" s="712"/>
    </row>
    <row r="593" spans="11:11">
      <c r="K593" s="712"/>
    </row>
    <row r="594" spans="11:11">
      <c r="K594" s="712"/>
    </row>
    <row r="595" spans="11:11">
      <c r="K595" s="712"/>
    </row>
    <row r="596" spans="11:11">
      <c r="K596" s="712"/>
    </row>
    <row r="597" spans="11:11">
      <c r="K597" s="712"/>
    </row>
    <row r="598" spans="11:11">
      <c r="K598" s="712"/>
    </row>
    <row r="599" spans="11:11">
      <c r="K599" s="712"/>
    </row>
    <row r="600" spans="11:11">
      <c r="K600" s="712"/>
    </row>
    <row r="601" spans="11:11">
      <c r="K601" s="712"/>
    </row>
    <row r="602" spans="11:11">
      <c r="K602" s="712"/>
    </row>
    <row r="603" spans="11:11">
      <c r="K603" s="712"/>
    </row>
    <row r="604" spans="11:11">
      <c r="K604" s="712"/>
    </row>
    <row r="605" spans="11:11">
      <c r="K605" s="712"/>
    </row>
    <row r="606" spans="11:11">
      <c r="K606" s="712"/>
    </row>
    <row r="607" spans="11:11">
      <c r="K607" s="712"/>
    </row>
    <row r="608" spans="11:11">
      <c r="K608" s="712"/>
    </row>
    <row r="609" spans="11:11">
      <c r="K609" s="712"/>
    </row>
    <row r="610" spans="11:11">
      <c r="K610" s="712"/>
    </row>
    <row r="611" spans="11:11">
      <c r="K611" s="712"/>
    </row>
    <row r="612" spans="11:11">
      <c r="K612" s="712"/>
    </row>
    <row r="613" spans="11:11">
      <c r="K613" s="712"/>
    </row>
    <row r="614" spans="11:11">
      <c r="K614" s="712"/>
    </row>
    <row r="615" spans="11:11">
      <c r="K615" s="712"/>
    </row>
    <row r="616" spans="11:11">
      <c r="K616" s="712"/>
    </row>
    <row r="617" spans="11:11">
      <c r="K617" s="712"/>
    </row>
    <row r="618" spans="11:11">
      <c r="K618" s="712"/>
    </row>
    <row r="619" spans="11:11">
      <c r="K619" s="712"/>
    </row>
    <row r="620" spans="11:11">
      <c r="K620" s="712"/>
    </row>
    <row r="621" spans="11:11">
      <c r="K621" s="712"/>
    </row>
    <row r="622" spans="11:11">
      <c r="K622" s="712"/>
    </row>
    <row r="623" spans="11:11">
      <c r="K623" s="712"/>
    </row>
    <row r="624" spans="11:11">
      <c r="K624" s="712"/>
    </row>
    <row r="625" spans="11:11">
      <c r="K625" s="712"/>
    </row>
    <row r="626" spans="11:11">
      <c r="K626" s="712"/>
    </row>
    <row r="627" spans="11:11">
      <c r="K627" s="712"/>
    </row>
    <row r="628" spans="11:11">
      <c r="K628" s="712"/>
    </row>
    <row r="629" spans="11:11">
      <c r="K629" s="712"/>
    </row>
    <row r="630" spans="11:11">
      <c r="K630" s="712"/>
    </row>
    <row r="631" spans="11:11">
      <c r="K631" s="712"/>
    </row>
    <row r="632" spans="11:11">
      <c r="K632" s="712"/>
    </row>
    <row r="633" spans="11:11">
      <c r="K633" s="712"/>
    </row>
    <row r="634" spans="11:11">
      <c r="K634" s="712"/>
    </row>
    <row r="635" spans="11:11">
      <c r="K635" s="712"/>
    </row>
    <row r="636" spans="11:11">
      <c r="K636" s="712"/>
    </row>
    <row r="637" spans="11:11">
      <c r="K637" s="712"/>
    </row>
    <row r="638" spans="11:11">
      <c r="K638" s="712"/>
    </row>
    <row r="639" spans="11:11">
      <c r="K639" s="712"/>
    </row>
    <row r="640" spans="11:11">
      <c r="K640" s="712"/>
    </row>
    <row r="641" spans="11:11">
      <c r="K641" s="712"/>
    </row>
    <row r="642" spans="11:11">
      <c r="K642" s="712"/>
    </row>
    <row r="643" spans="11:11">
      <c r="K643" s="712"/>
    </row>
    <row r="644" spans="11:11">
      <c r="K644" s="712"/>
    </row>
    <row r="645" spans="11:11">
      <c r="K645" s="712"/>
    </row>
    <row r="646" spans="11:11">
      <c r="K646" s="712"/>
    </row>
    <row r="647" spans="11:11">
      <c r="K647" s="712"/>
    </row>
    <row r="648" spans="11:11">
      <c r="K648" s="712"/>
    </row>
    <row r="649" spans="11:11">
      <c r="K649" s="712"/>
    </row>
    <row r="650" spans="11:11">
      <c r="K650" s="712"/>
    </row>
    <row r="651" spans="11:11">
      <c r="K651" s="712"/>
    </row>
    <row r="652" spans="11:11">
      <c r="K652" s="712"/>
    </row>
    <row r="653" spans="11:11">
      <c r="K653" s="712"/>
    </row>
    <row r="654" spans="11:11">
      <c r="K654" s="712"/>
    </row>
    <row r="655" spans="11:11">
      <c r="K655" s="712"/>
    </row>
    <row r="656" spans="11:11">
      <c r="K656" s="712"/>
    </row>
    <row r="657" spans="11:11">
      <c r="K657" s="712"/>
    </row>
    <row r="658" spans="11:11">
      <c r="K658" s="712"/>
    </row>
    <row r="659" spans="11:11">
      <c r="K659" s="712"/>
    </row>
    <row r="660" spans="11:11">
      <c r="K660" s="712"/>
    </row>
    <row r="661" spans="11:11">
      <c r="K661" s="712"/>
    </row>
    <row r="662" spans="11:11">
      <c r="K662" s="712"/>
    </row>
    <row r="663" spans="11:11">
      <c r="K663" s="712"/>
    </row>
    <row r="664" spans="11:11">
      <c r="K664" s="712"/>
    </row>
    <row r="665" spans="11:11">
      <c r="K665" s="712"/>
    </row>
    <row r="666" spans="11:11">
      <c r="K666" s="712"/>
    </row>
    <row r="667" spans="11:11">
      <c r="K667" s="712"/>
    </row>
    <row r="668" spans="11:11">
      <c r="K668" s="712"/>
    </row>
    <row r="669" spans="11:11">
      <c r="K669" s="712"/>
    </row>
    <row r="670" spans="11:11">
      <c r="K670" s="712"/>
    </row>
    <row r="671" spans="11:11">
      <c r="K671" s="712"/>
    </row>
    <row r="672" spans="11:11">
      <c r="K672" s="712"/>
    </row>
    <row r="673" spans="11:11">
      <c r="K673" s="712"/>
    </row>
    <row r="674" spans="11:11">
      <c r="K674" s="712"/>
    </row>
    <row r="675" spans="11:11">
      <c r="K675" s="712"/>
    </row>
    <row r="676" spans="11:11">
      <c r="K676" s="712"/>
    </row>
    <row r="677" spans="11:11">
      <c r="K677" s="712"/>
    </row>
    <row r="678" spans="11:11">
      <c r="K678" s="712"/>
    </row>
    <row r="679" spans="11:11">
      <c r="K679" s="712"/>
    </row>
    <row r="680" spans="11:11">
      <c r="K680" s="712"/>
    </row>
    <row r="681" spans="11:11">
      <c r="K681" s="712"/>
    </row>
    <row r="682" spans="11:11">
      <c r="K682" s="712"/>
    </row>
    <row r="683" spans="11:11">
      <c r="K683" s="712"/>
    </row>
    <row r="684" spans="11:11">
      <c r="K684" s="712"/>
    </row>
    <row r="685" spans="11:11">
      <c r="K685" s="712"/>
    </row>
    <row r="686" spans="11:11">
      <c r="K686" s="712"/>
    </row>
    <row r="687" spans="11:11">
      <c r="K687" s="712"/>
    </row>
    <row r="688" spans="11:11">
      <c r="K688" s="712"/>
    </row>
    <row r="689" spans="11:11">
      <c r="K689" s="712"/>
    </row>
    <row r="690" spans="11:11">
      <c r="K690" s="712"/>
    </row>
    <row r="691" spans="11:11">
      <c r="K691" s="712"/>
    </row>
    <row r="692" spans="11:11">
      <c r="K692" s="712"/>
    </row>
    <row r="693" spans="11:11">
      <c r="K693" s="712"/>
    </row>
    <row r="694" spans="11:11">
      <c r="K694" s="712"/>
    </row>
    <row r="695" spans="11:11">
      <c r="K695" s="712"/>
    </row>
    <row r="696" spans="11:11">
      <c r="K696" s="712"/>
    </row>
    <row r="697" spans="11:11">
      <c r="K697" s="712"/>
    </row>
    <row r="698" spans="11:11">
      <c r="K698" s="712"/>
    </row>
    <row r="699" spans="11:11">
      <c r="K699" s="712"/>
    </row>
    <row r="700" spans="11:11">
      <c r="K700" s="712"/>
    </row>
    <row r="701" spans="11:11">
      <c r="K701" s="712"/>
    </row>
    <row r="702" spans="11:11">
      <c r="K702" s="712"/>
    </row>
    <row r="703" spans="11:11">
      <c r="K703" s="712"/>
    </row>
    <row r="704" spans="11:11">
      <c r="K704" s="712"/>
    </row>
    <row r="705" spans="11:11">
      <c r="K705" s="712"/>
    </row>
    <row r="706" spans="11:11">
      <c r="K706" s="712"/>
    </row>
    <row r="707" spans="11:11">
      <c r="K707" s="712"/>
    </row>
    <row r="708" spans="11:11">
      <c r="K708" s="712"/>
    </row>
    <row r="709" spans="11:11">
      <c r="K709" s="712"/>
    </row>
    <row r="710" spans="11:11">
      <c r="K710" s="712"/>
    </row>
    <row r="711" spans="11:11">
      <c r="K711" s="712"/>
    </row>
    <row r="712" spans="11:11">
      <c r="K712" s="712"/>
    </row>
    <row r="713" spans="11:11">
      <c r="K713" s="712"/>
    </row>
    <row r="714" spans="11:11">
      <c r="K714" s="712"/>
    </row>
    <row r="715" spans="11:11">
      <c r="K715" s="712"/>
    </row>
    <row r="716" spans="11:11">
      <c r="K716" s="712"/>
    </row>
    <row r="717" spans="11:11">
      <c r="K717" s="712"/>
    </row>
    <row r="718" spans="11:11">
      <c r="K718" s="712"/>
    </row>
    <row r="719" spans="11:11">
      <c r="K719" s="712"/>
    </row>
    <row r="720" spans="11:11">
      <c r="K720" s="712"/>
    </row>
    <row r="721" spans="11:11">
      <c r="K721" s="712"/>
    </row>
    <row r="722" spans="11:11">
      <c r="K722" s="712"/>
    </row>
    <row r="723" spans="11:11">
      <c r="K723" s="712"/>
    </row>
    <row r="724" spans="11:11">
      <c r="K724" s="712"/>
    </row>
    <row r="725" spans="11:11">
      <c r="K725" s="712"/>
    </row>
    <row r="726" spans="11:11">
      <c r="K726" s="712"/>
    </row>
    <row r="727" spans="11:11">
      <c r="K727" s="712"/>
    </row>
    <row r="728" spans="11:11">
      <c r="K728" s="712"/>
    </row>
    <row r="729" spans="11:11">
      <c r="K729" s="712"/>
    </row>
    <row r="730" spans="11:11">
      <c r="K730" s="712"/>
    </row>
    <row r="731" spans="11:11">
      <c r="K731" s="712"/>
    </row>
    <row r="732" spans="11:11">
      <c r="K732" s="712"/>
    </row>
    <row r="733" spans="11:11">
      <c r="K733" s="712"/>
    </row>
    <row r="734" spans="11:11">
      <c r="K734" s="712"/>
    </row>
    <row r="735" spans="11:11">
      <c r="K735" s="712"/>
    </row>
    <row r="736" spans="11:11">
      <c r="K736" s="712"/>
    </row>
    <row r="737" spans="11:11">
      <c r="K737" s="712"/>
    </row>
    <row r="738" spans="11:11">
      <c r="K738" s="712"/>
    </row>
    <row r="739" spans="11:11">
      <c r="K739" s="712"/>
    </row>
    <row r="740" spans="11:11">
      <c r="K740" s="712"/>
    </row>
    <row r="741" spans="11:11">
      <c r="K741" s="712"/>
    </row>
    <row r="742" spans="11:11">
      <c r="K742" s="712"/>
    </row>
    <row r="743" spans="11:11">
      <c r="K743" s="712"/>
    </row>
    <row r="744" spans="11:11">
      <c r="K744" s="712"/>
    </row>
    <row r="745" spans="11:11">
      <c r="K745" s="712"/>
    </row>
    <row r="746" spans="11:11">
      <c r="K746" s="712"/>
    </row>
    <row r="747" spans="11:11">
      <c r="K747" s="712"/>
    </row>
    <row r="748" spans="11:11">
      <c r="K748" s="712"/>
    </row>
    <row r="749" spans="11:11">
      <c r="K749" s="712"/>
    </row>
    <row r="750" spans="11:11">
      <c r="K750" s="712"/>
    </row>
    <row r="751" spans="11:11">
      <c r="K751" s="712"/>
    </row>
    <row r="752" spans="11:11">
      <c r="K752" s="712"/>
    </row>
    <row r="753" spans="11:11">
      <c r="K753" s="712"/>
    </row>
    <row r="754" spans="11:11">
      <c r="K754" s="712"/>
    </row>
    <row r="755" spans="11:11">
      <c r="K755" s="712"/>
    </row>
    <row r="756" spans="11:11">
      <c r="K756" s="712"/>
    </row>
    <row r="757" spans="11:11">
      <c r="K757" s="712"/>
    </row>
    <row r="758" spans="11:11">
      <c r="K758" s="712"/>
    </row>
    <row r="759" spans="11:11">
      <c r="K759" s="712"/>
    </row>
    <row r="760" spans="11:11">
      <c r="K760" s="712"/>
    </row>
    <row r="761" spans="11:11">
      <c r="K761" s="712"/>
    </row>
    <row r="762" spans="11:11">
      <c r="K762" s="712"/>
    </row>
    <row r="763" spans="11:11">
      <c r="K763" s="712"/>
    </row>
    <row r="764" spans="11:11">
      <c r="K764" s="712"/>
    </row>
    <row r="765" spans="11:11">
      <c r="K765" s="712"/>
    </row>
    <row r="766" spans="11:11">
      <c r="K766" s="712"/>
    </row>
    <row r="767" spans="11:11">
      <c r="K767" s="712"/>
    </row>
    <row r="768" spans="11:11">
      <c r="K768" s="712"/>
    </row>
    <row r="769" spans="11:11">
      <c r="K769" s="712"/>
    </row>
    <row r="770" spans="11:11">
      <c r="K770" s="712"/>
    </row>
    <row r="771" spans="11:11">
      <c r="K771" s="712"/>
    </row>
    <row r="772" spans="11:11">
      <c r="K772" s="712"/>
    </row>
    <row r="773" spans="11:11">
      <c r="K773" s="712"/>
    </row>
    <row r="774" spans="11:11">
      <c r="K774" s="712"/>
    </row>
    <row r="775" spans="11:11">
      <c r="K775" s="712"/>
    </row>
    <row r="776" spans="11:11">
      <c r="K776" s="712"/>
    </row>
    <row r="777" spans="11:11">
      <c r="K777" s="712"/>
    </row>
    <row r="778" spans="11:11">
      <c r="K778" s="712"/>
    </row>
    <row r="779" spans="11:11">
      <c r="K779" s="712"/>
    </row>
    <row r="780" spans="11:11">
      <c r="K780" s="712"/>
    </row>
    <row r="781" spans="11:11">
      <c r="K781" s="712"/>
    </row>
    <row r="782" spans="11:11">
      <c r="K782" s="712"/>
    </row>
    <row r="783" spans="11:11">
      <c r="K783" s="712"/>
    </row>
    <row r="784" spans="11:11">
      <c r="K784" s="712"/>
    </row>
    <row r="785" spans="11:11">
      <c r="K785" s="712"/>
    </row>
    <row r="786" spans="11:11">
      <c r="K786" s="712"/>
    </row>
    <row r="787" spans="11:11">
      <c r="K787" s="712"/>
    </row>
    <row r="788" spans="11:11">
      <c r="K788" s="712"/>
    </row>
    <row r="789" spans="11:11">
      <c r="K789" s="712"/>
    </row>
    <row r="790" spans="11:11">
      <c r="K790" s="712"/>
    </row>
    <row r="791" spans="11:11">
      <c r="K791" s="712"/>
    </row>
    <row r="792" spans="11:11">
      <c r="K792" s="712"/>
    </row>
    <row r="793" spans="11:11">
      <c r="K793" s="712"/>
    </row>
    <row r="794" spans="11:11">
      <c r="K794" s="712"/>
    </row>
    <row r="795" spans="11:11">
      <c r="K795" s="712"/>
    </row>
    <row r="796" spans="11:11">
      <c r="K796" s="712"/>
    </row>
    <row r="797" spans="11:11">
      <c r="K797" s="712"/>
    </row>
    <row r="798" spans="11:11">
      <c r="K798" s="712"/>
    </row>
    <row r="799" spans="11:11">
      <c r="K799" s="712"/>
    </row>
    <row r="800" spans="11:11">
      <c r="K800" s="712"/>
    </row>
    <row r="801" spans="11:11">
      <c r="K801" s="712"/>
    </row>
    <row r="802" spans="11:11">
      <c r="K802" s="712"/>
    </row>
    <row r="803" spans="11:11">
      <c r="K803" s="712"/>
    </row>
    <row r="804" spans="11:11">
      <c r="K804" s="712"/>
    </row>
    <row r="805" spans="11:11">
      <c r="K805" s="712"/>
    </row>
    <row r="806" spans="11:11">
      <c r="K806" s="712"/>
    </row>
    <row r="807" spans="11:11">
      <c r="K807" s="712"/>
    </row>
    <row r="808" spans="11:11">
      <c r="K808" s="712"/>
    </row>
    <row r="809" spans="11:11">
      <c r="K809" s="712"/>
    </row>
    <row r="810" spans="11:11">
      <c r="K810" s="712"/>
    </row>
    <row r="811" spans="11:11">
      <c r="K811" s="712"/>
    </row>
    <row r="812" spans="11:11">
      <c r="K812" s="712"/>
    </row>
    <row r="813" spans="11:11">
      <c r="K813" s="712"/>
    </row>
    <row r="814" spans="11:11">
      <c r="K814" s="712"/>
    </row>
    <row r="815" spans="11:11">
      <c r="K815" s="712"/>
    </row>
    <row r="816" spans="11:11">
      <c r="K816" s="712"/>
    </row>
    <row r="817" spans="11:11">
      <c r="K817" s="712"/>
    </row>
    <row r="818" spans="11:11">
      <c r="K818" s="712"/>
    </row>
    <row r="819" spans="11:11">
      <c r="K819" s="712"/>
    </row>
    <row r="820" spans="11:11">
      <c r="K820" s="712"/>
    </row>
    <row r="821" spans="11:11">
      <c r="K821" s="712"/>
    </row>
    <row r="822" spans="11:11">
      <c r="K822" s="712"/>
    </row>
    <row r="823" spans="11:11">
      <c r="K823" s="712"/>
    </row>
    <row r="824" spans="11:11">
      <c r="K824" s="712"/>
    </row>
    <row r="825" spans="11:11">
      <c r="K825" s="712"/>
    </row>
    <row r="826" spans="11:11">
      <c r="K826" s="712"/>
    </row>
    <row r="827" spans="11:11">
      <c r="K827" s="712"/>
    </row>
    <row r="828" spans="11:11">
      <c r="K828" s="712"/>
    </row>
    <row r="829" spans="11:11">
      <c r="K829" s="712"/>
    </row>
    <row r="830" spans="11:11">
      <c r="K830" s="712"/>
    </row>
    <row r="831" spans="11:11">
      <c r="K831" s="712"/>
    </row>
    <row r="832" spans="11:11">
      <c r="K832" s="712"/>
    </row>
    <row r="833" spans="11:11">
      <c r="K833" s="712"/>
    </row>
    <row r="834" spans="11:11">
      <c r="K834" s="712"/>
    </row>
    <row r="835" spans="11:11">
      <c r="K835" s="712"/>
    </row>
    <row r="836" spans="11:11">
      <c r="K836" s="712"/>
    </row>
    <row r="837" spans="11:11">
      <c r="K837" s="712"/>
    </row>
    <row r="838" spans="11:11">
      <c r="K838" s="712"/>
    </row>
    <row r="839" spans="11:11">
      <c r="K839" s="712"/>
    </row>
    <row r="840" spans="11:11">
      <c r="K840" s="712"/>
    </row>
    <row r="841" spans="11:11">
      <c r="K841" s="712"/>
    </row>
    <row r="842" spans="11:11">
      <c r="K842" s="712"/>
    </row>
    <row r="843" spans="11:11">
      <c r="K843" s="712"/>
    </row>
    <row r="844" spans="11:11">
      <c r="K844" s="712"/>
    </row>
    <row r="845" spans="11:11">
      <c r="K845" s="712"/>
    </row>
    <row r="846" spans="11:11">
      <c r="K846" s="712"/>
    </row>
    <row r="847" spans="11:11">
      <c r="K847" s="712"/>
    </row>
    <row r="848" spans="11:11">
      <c r="K848" s="712"/>
    </row>
    <row r="849" spans="11:11">
      <c r="K849" s="712"/>
    </row>
    <row r="850" spans="11:11">
      <c r="K850" s="712"/>
    </row>
    <row r="851" spans="11:11">
      <c r="K851" s="712"/>
    </row>
    <row r="852" spans="11:11">
      <c r="K852" s="712"/>
    </row>
    <row r="853" spans="11:11">
      <c r="K853" s="712"/>
    </row>
    <row r="854" spans="11:11">
      <c r="K854" s="712"/>
    </row>
    <row r="855" spans="11:11">
      <c r="K855" s="712"/>
    </row>
    <row r="856" spans="11:11">
      <c r="K856" s="712"/>
    </row>
    <row r="857" spans="11:11">
      <c r="K857" s="712"/>
    </row>
    <row r="858" spans="11:11">
      <c r="K858" s="712"/>
    </row>
    <row r="859" spans="11:11">
      <c r="K859" s="712"/>
    </row>
    <row r="860" spans="11:11">
      <c r="K860" s="712"/>
    </row>
    <row r="861" spans="11:11">
      <c r="K861" s="712"/>
    </row>
    <row r="862" spans="11:11">
      <c r="K862" s="712"/>
    </row>
    <row r="863" spans="11:11">
      <c r="K863" s="712"/>
    </row>
    <row r="864" spans="11:11">
      <c r="K864" s="712"/>
    </row>
    <row r="865" spans="11:11">
      <c r="K865" s="712"/>
    </row>
    <row r="866" spans="11:11">
      <c r="K866" s="712"/>
    </row>
    <row r="867" spans="11:11">
      <c r="K867" s="712"/>
    </row>
    <row r="868" spans="11:11">
      <c r="K868" s="712"/>
    </row>
    <row r="869" spans="11:11">
      <c r="K869" s="712"/>
    </row>
    <row r="870" spans="11:11">
      <c r="K870" s="712"/>
    </row>
    <row r="871" spans="11:11">
      <c r="K871" s="712"/>
    </row>
    <row r="872" spans="11:11">
      <c r="K872" s="712"/>
    </row>
    <row r="873" spans="11:11">
      <c r="K873" s="712"/>
    </row>
    <row r="874" spans="11:11">
      <c r="K874" s="712"/>
    </row>
    <row r="875" spans="11:11">
      <c r="K875" s="712"/>
    </row>
    <row r="876" spans="11:11">
      <c r="K876" s="712"/>
    </row>
    <row r="877" spans="11:11">
      <c r="K877" s="712"/>
    </row>
    <row r="878" spans="11:11">
      <c r="K878" s="712"/>
    </row>
    <row r="879" spans="11:11">
      <c r="K879" s="712"/>
    </row>
    <row r="880" spans="11:11">
      <c r="K880" s="712"/>
    </row>
    <row r="881" spans="11:11">
      <c r="K881" s="712"/>
    </row>
    <row r="882" spans="11:11">
      <c r="K882" s="712"/>
    </row>
    <row r="883" spans="11:11">
      <c r="K883" s="712"/>
    </row>
    <row r="884" spans="11:11">
      <c r="K884" s="712"/>
    </row>
    <row r="885" spans="11:11">
      <c r="K885" s="712"/>
    </row>
    <row r="886" spans="11:11">
      <c r="K886" s="712"/>
    </row>
    <row r="887" spans="11:11">
      <c r="K887" s="712"/>
    </row>
    <row r="888" spans="11:11">
      <c r="K888" s="712"/>
    </row>
    <row r="889" spans="11:11">
      <c r="K889" s="712"/>
    </row>
    <row r="890" spans="11:11">
      <c r="K890" s="712"/>
    </row>
    <row r="891" spans="11:11">
      <c r="K891" s="712"/>
    </row>
    <row r="892" spans="11:11">
      <c r="K892" s="712"/>
    </row>
    <row r="893" spans="11:11">
      <c r="K893" s="712"/>
    </row>
    <row r="894" spans="11:11">
      <c r="K894" s="712"/>
    </row>
    <row r="895" spans="11:11">
      <c r="K895" s="712"/>
    </row>
    <row r="896" spans="11:11">
      <c r="K896" s="712"/>
    </row>
    <row r="897" spans="11:11">
      <c r="K897" s="712"/>
    </row>
    <row r="898" spans="11:11">
      <c r="K898" s="712"/>
    </row>
    <row r="899" spans="11:11">
      <c r="K899" s="712"/>
    </row>
    <row r="900" spans="11:11">
      <c r="K900" s="712"/>
    </row>
    <row r="901" spans="11:11">
      <c r="K901" s="712"/>
    </row>
    <row r="902" spans="11:11">
      <c r="K902" s="712"/>
    </row>
    <row r="903" spans="11:11">
      <c r="K903" s="712"/>
    </row>
    <row r="904" spans="11:11">
      <c r="K904" s="712"/>
    </row>
    <row r="905" spans="11:11">
      <c r="K905" s="712"/>
    </row>
    <row r="906" spans="11:11">
      <c r="K906" s="712"/>
    </row>
    <row r="907" spans="11:11">
      <c r="K907" s="712"/>
    </row>
    <row r="908" spans="11:11">
      <c r="K908" s="712"/>
    </row>
    <row r="909" spans="11:11">
      <c r="K909" s="712"/>
    </row>
    <row r="910" spans="11:11">
      <c r="K910" s="712"/>
    </row>
    <row r="911" spans="11:11">
      <c r="K911" s="712"/>
    </row>
    <row r="912" spans="11:11">
      <c r="K912" s="712"/>
    </row>
    <row r="913" spans="11:11">
      <c r="K913" s="712"/>
    </row>
    <row r="914" spans="11:11">
      <c r="K914" s="712"/>
    </row>
    <row r="915" spans="11:11">
      <c r="K915" s="712"/>
    </row>
    <row r="916" spans="11:11">
      <c r="K916" s="712"/>
    </row>
    <row r="917" spans="11:11">
      <c r="K917" s="712"/>
    </row>
    <row r="918" spans="11:11">
      <c r="K918" s="712"/>
    </row>
    <row r="919" spans="11:11">
      <c r="K919" s="712"/>
    </row>
    <row r="920" spans="11:11">
      <c r="K920" s="712"/>
    </row>
    <row r="921" spans="11:11">
      <c r="K921" s="712"/>
    </row>
    <row r="922" spans="11:11">
      <c r="K922" s="712"/>
    </row>
    <row r="923" spans="11:11">
      <c r="K923" s="712"/>
    </row>
    <row r="924" spans="11:11">
      <c r="K924" s="712"/>
    </row>
    <row r="925" spans="11:11">
      <c r="K925" s="712"/>
    </row>
    <row r="926" spans="11:11">
      <c r="K926" s="712"/>
    </row>
    <row r="927" spans="11:11">
      <c r="K927" s="712"/>
    </row>
    <row r="928" spans="11:11">
      <c r="K928" s="712"/>
    </row>
    <row r="929" spans="11:11">
      <c r="K929" s="712"/>
    </row>
    <row r="930" spans="11:11">
      <c r="K930" s="712"/>
    </row>
    <row r="931" spans="11:11">
      <c r="K931" s="712"/>
    </row>
    <row r="932" spans="11:11">
      <c r="K932" s="712"/>
    </row>
    <row r="933" spans="11:11">
      <c r="K933" s="712"/>
    </row>
    <row r="934" spans="11:11">
      <c r="K934" s="712"/>
    </row>
    <row r="935" spans="11:11">
      <c r="K935" s="712"/>
    </row>
    <row r="936" spans="11:11">
      <c r="K936" s="712"/>
    </row>
    <row r="937" spans="11:11">
      <c r="K937" s="712"/>
    </row>
    <row r="938" spans="11:11">
      <c r="K938" s="712"/>
    </row>
    <row r="939" spans="11:11">
      <c r="K939" s="712"/>
    </row>
    <row r="940" spans="11:11">
      <c r="K940" s="712"/>
    </row>
    <row r="941" spans="11:11">
      <c r="K941" s="712"/>
    </row>
    <row r="942" spans="11:11">
      <c r="K942" s="712"/>
    </row>
    <row r="943" spans="11:11">
      <c r="K943" s="712"/>
    </row>
    <row r="944" spans="11:11">
      <c r="K944" s="712"/>
    </row>
    <row r="945" spans="11:11">
      <c r="K945" s="712"/>
    </row>
    <row r="946" spans="11:11">
      <c r="K946" s="712"/>
    </row>
    <row r="947" spans="11:11">
      <c r="K947" s="712"/>
    </row>
    <row r="948" spans="11:11">
      <c r="K948" s="712"/>
    </row>
    <row r="949" spans="11:11">
      <c r="K949" s="712"/>
    </row>
    <row r="950" spans="11:11">
      <c r="K950" s="712"/>
    </row>
    <row r="951" spans="11:11">
      <c r="K951" s="712"/>
    </row>
    <row r="952" spans="11:11">
      <c r="K952" s="712"/>
    </row>
    <row r="953" spans="11:11">
      <c r="K953" s="712"/>
    </row>
    <row r="954" spans="11:11">
      <c r="K954" s="712"/>
    </row>
    <row r="955" spans="11:11">
      <c r="K955" s="712"/>
    </row>
    <row r="956" spans="11:11">
      <c r="K956" s="712"/>
    </row>
    <row r="957" spans="11:11">
      <c r="K957" s="712"/>
    </row>
    <row r="958" spans="11:11">
      <c r="K958" s="712"/>
    </row>
    <row r="959" spans="11:11">
      <c r="K959" s="712"/>
    </row>
    <row r="960" spans="11:11">
      <c r="K960" s="712"/>
    </row>
    <row r="961" spans="11:11">
      <c r="K961" s="712"/>
    </row>
    <row r="962" spans="11:11">
      <c r="K962" s="712"/>
    </row>
    <row r="963" spans="11:11">
      <c r="K963" s="712"/>
    </row>
    <row r="964" spans="11:11">
      <c r="K964" s="712"/>
    </row>
    <row r="965" spans="11:11">
      <c r="K965" s="712"/>
    </row>
    <row r="966" spans="11:11">
      <c r="K966" s="712"/>
    </row>
    <row r="967" spans="11:11">
      <c r="K967" s="712"/>
    </row>
    <row r="968" spans="11:11">
      <c r="K968" s="712"/>
    </row>
    <row r="969" spans="11:11">
      <c r="K969" s="712"/>
    </row>
    <row r="970" spans="11:11">
      <c r="K970" s="712"/>
    </row>
    <row r="971" spans="11:11">
      <c r="K971" s="712"/>
    </row>
    <row r="972" spans="11:11">
      <c r="K972" s="712"/>
    </row>
    <row r="973" spans="11:11">
      <c r="K973" s="712"/>
    </row>
    <row r="974" spans="11:11">
      <c r="K974" s="712"/>
    </row>
    <row r="975" spans="11:11">
      <c r="K975" s="712"/>
    </row>
    <row r="976" spans="11:11">
      <c r="K976" s="712"/>
    </row>
    <row r="977" spans="11:11">
      <c r="K977" s="712"/>
    </row>
    <row r="978" spans="11:11">
      <c r="K978" s="712"/>
    </row>
    <row r="979" spans="11:11">
      <c r="K979" s="712"/>
    </row>
    <row r="980" spans="11:11">
      <c r="K980" s="712"/>
    </row>
    <row r="981" spans="11:11">
      <c r="K981" s="712"/>
    </row>
    <row r="982" spans="11:11">
      <c r="K982" s="712"/>
    </row>
    <row r="983" spans="11:11">
      <c r="K983" s="712"/>
    </row>
    <row r="984" spans="11:11">
      <c r="K984" s="712"/>
    </row>
    <row r="985" spans="11:11">
      <c r="K985" s="712"/>
    </row>
    <row r="986" spans="11:11">
      <c r="K986" s="712"/>
    </row>
    <row r="987" spans="11:11">
      <c r="K987" s="712"/>
    </row>
    <row r="988" spans="11:11">
      <c r="K988" s="712"/>
    </row>
    <row r="989" spans="11:11">
      <c r="K989" s="712"/>
    </row>
    <row r="990" spans="11:11">
      <c r="K990" s="712"/>
    </row>
    <row r="991" spans="11:11">
      <c r="K991" s="712"/>
    </row>
    <row r="992" spans="11:11">
      <c r="K992" s="712"/>
    </row>
    <row r="993" spans="11:11">
      <c r="K993" s="712"/>
    </row>
    <row r="994" spans="11:11">
      <c r="K994" s="712"/>
    </row>
    <row r="995" spans="11:11">
      <c r="K995" s="712"/>
    </row>
    <row r="996" spans="11:11">
      <c r="K996" s="712"/>
    </row>
    <row r="997" spans="11:11">
      <c r="K997" s="712"/>
    </row>
    <row r="998" spans="11:11">
      <c r="K998" s="712"/>
    </row>
    <row r="999" spans="11:11">
      <c r="K999" s="712"/>
    </row>
    <row r="1000" spans="11:11">
      <c r="K1000" s="712"/>
    </row>
    <row r="1001" spans="11:11">
      <c r="K1001" s="712"/>
    </row>
    <row r="1002" spans="11:11">
      <c r="K1002" s="712"/>
    </row>
    <row r="1003" spans="11:11">
      <c r="K1003" s="712"/>
    </row>
    <row r="1004" spans="11:11">
      <c r="K1004" s="712"/>
    </row>
    <row r="1005" spans="11:11">
      <c r="K1005" s="712"/>
    </row>
    <row r="1006" spans="11:11">
      <c r="K1006" s="712"/>
    </row>
    <row r="1007" spans="11:11">
      <c r="K1007" s="712"/>
    </row>
    <row r="1008" spans="11:11">
      <c r="K1008" s="712"/>
    </row>
    <row r="1009" spans="11:11">
      <c r="K1009" s="712"/>
    </row>
    <row r="1010" spans="11:11">
      <c r="K1010" s="712"/>
    </row>
    <row r="1011" spans="11:11">
      <c r="K1011" s="712"/>
    </row>
    <row r="1012" spans="11:11">
      <c r="K1012" s="712"/>
    </row>
    <row r="1013" spans="11:11">
      <c r="K1013" s="712"/>
    </row>
    <row r="1014" spans="11:11">
      <c r="K1014" s="712"/>
    </row>
    <row r="1015" spans="11:11">
      <c r="K1015" s="712"/>
    </row>
    <row r="1016" spans="11:11">
      <c r="K1016" s="712"/>
    </row>
    <row r="1017" spans="11:11">
      <c r="K1017" s="712"/>
    </row>
    <row r="1018" spans="11:11">
      <c r="K1018" s="712"/>
    </row>
  </sheetData>
  <mergeCells count="3">
    <mergeCell ref="M65:M74"/>
    <mergeCell ref="O65:O77"/>
    <mergeCell ref="P65:P77"/>
  </mergeCells>
  <conditionalFormatting sqref="A1">
    <cfRule type="duplicateValues" dxfId="514" priority="22"/>
  </conditionalFormatting>
  <conditionalFormatting sqref="A31">
    <cfRule type="duplicateValues" dxfId="513" priority="21"/>
  </conditionalFormatting>
  <conditionalFormatting sqref="Q18">
    <cfRule type="containsText" dxfId="512" priority="19" operator="containsText" text="USD">
      <formula>NOT(ISERROR(SEARCH("USD",Q18)))</formula>
    </cfRule>
    <cfRule type="containsText" dxfId="511" priority="20" operator="containsText" text="EUR">
      <formula>NOT(ISERROR(SEARCH("EUR",Q18)))</formula>
    </cfRule>
  </conditionalFormatting>
  <conditionalFormatting sqref="L37">
    <cfRule type="expression" dxfId="510" priority="17">
      <formula>SEARCH("Total",$F37,1)&gt;0</formula>
    </cfRule>
    <cfRule type="expression" dxfId="509" priority="18">
      <formula>SEARCH("Total",$G37,1)&gt;0</formula>
    </cfRule>
  </conditionalFormatting>
  <conditionalFormatting sqref="A44">
    <cfRule type="duplicateValues" dxfId="508" priority="16"/>
  </conditionalFormatting>
  <conditionalFormatting sqref="A53">
    <cfRule type="duplicateValues" dxfId="507" priority="15"/>
  </conditionalFormatting>
  <conditionalFormatting sqref="A92">
    <cfRule type="duplicateValues" dxfId="506" priority="14"/>
  </conditionalFormatting>
  <conditionalFormatting sqref="A94">
    <cfRule type="duplicateValues" dxfId="505" priority="13"/>
  </conditionalFormatting>
  <conditionalFormatting sqref="A113">
    <cfRule type="duplicateValues" dxfId="504" priority="12"/>
  </conditionalFormatting>
  <conditionalFormatting sqref="Q123">
    <cfRule type="containsText" dxfId="503" priority="10" operator="containsText" text="USD">
      <formula>NOT(ISERROR(SEARCH("USD",Q123)))</formula>
    </cfRule>
    <cfRule type="containsText" dxfId="502" priority="11" operator="containsText" text="EUR">
      <formula>NOT(ISERROR(SEARCH("EUR",Q123)))</formula>
    </cfRule>
  </conditionalFormatting>
  <conditionalFormatting sqref="A128">
    <cfRule type="duplicateValues" dxfId="501" priority="9"/>
  </conditionalFormatting>
  <conditionalFormatting sqref="A137">
    <cfRule type="duplicateValues" dxfId="500" priority="8"/>
  </conditionalFormatting>
  <conditionalFormatting sqref="Q98">
    <cfRule type="containsText" dxfId="499" priority="4" operator="containsText" text="USD">
      <formula>NOT(ISERROR(SEARCH("USD",Q98)))</formula>
    </cfRule>
    <cfRule type="containsText" dxfId="498" priority="5" operator="containsText" text="EUR">
      <formula>NOT(ISERROR(SEARCH("EUR",Q98)))</formula>
    </cfRule>
  </conditionalFormatting>
  <conditionalFormatting sqref="A99">
    <cfRule type="duplicateValues" dxfId="497" priority="3"/>
  </conditionalFormatting>
  <conditionalFormatting sqref="A101">
    <cfRule type="duplicateValues" dxfId="496" priority="2"/>
  </conditionalFormatting>
  <conditionalFormatting sqref="A54">
    <cfRule type="duplicateValues" dxfId="495" priority="1"/>
  </conditionalFormatting>
  <dataValidations count="3">
    <dataValidation type="list" allowBlank="1" showInputMessage="1" showErrorMessage="1" sqref="I31 I44 I53:I54 I92 I94 I113 I128 I137 I99 I101" xr:uid="{00000000-0002-0000-0C00-000000000000}">
      <formula1>TB_implementare</formula1>
    </dataValidation>
    <dataValidation type="list" allowBlank="1" showInputMessage="1" showErrorMessage="1" sqref="G31 G44 G53:G54 G92 G94 G113 G128 G137 G99 G101" xr:uid="{00000000-0002-0000-0C00-000001000000}">
      <formula1>TB_sursa_finant_Ro</formula1>
    </dataValidation>
    <dataValidation type="list" allowBlank="1" showInputMessage="1" showErrorMessage="1" sqref="M19:M25 M43 M53" xr:uid="{00000000-0002-0000-0C00-000002000000}">
      <formula1>Denumire_produs_ro</formula1>
    </dataValidation>
  </dataValidations>
  <hyperlinks>
    <hyperlink ref="O1" location="CUPRINS!A1" display="CUPRINS" xr:uid="{00000000-0004-0000-0C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3000000}">
          <x14:formula1>
            <xm:f>Nom_activ_2!$H$2:$H$88</xm:f>
          </x14:formula1>
          <xm:sqref>J31 J53:J54 J92 J44 J94 J113 J128 J137 J99 J101</xm:sqref>
        </x14:dataValidation>
      </x14:dataValidations>
    </ext>
  </extLst>
</worksheet>
</file>

<file path=xl/worksheets/sheet1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287"/>
  <sheetViews>
    <sheetView topLeftCell="K150" zoomScale="85" zoomScaleNormal="85" workbookViewId="0">
      <selection activeCell="U127" sqref="U127"/>
    </sheetView>
  </sheetViews>
  <sheetFormatPr baseColWidth="10" defaultColWidth="8.83203125" defaultRowHeight="15" outlineLevelCol="1"/>
  <cols>
    <col min="1" max="1" width="8.83203125" hidden="1" customWidth="1" outlineLevel="1"/>
    <col min="2" max="4" width="10.83203125" hidden="1" customWidth="1" outlineLevel="1"/>
    <col min="5" max="5" width="5.5" hidden="1" customWidth="1" outlineLevel="1"/>
    <col min="6" max="9" width="8.83203125" hidden="1" customWidth="1" outlineLevel="1"/>
    <col min="10" max="10" width="47.5" style="853" hidden="1" customWidth="1" outlineLevel="1"/>
    <col min="11" max="11" width="2" customWidth="1" collapsed="1"/>
    <col min="12" max="12" width="13.5" customWidth="1"/>
    <col min="13" max="13" width="51.5" customWidth="1"/>
    <col min="14" max="14" width="29.5" customWidth="1"/>
    <col min="15" max="15" width="20.33203125" customWidth="1"/>
    <col min="16" max="16" width="11.33203125" customWidth="1"/>
    <col min="17" max="17" width="16.5" customWidth="1"/>
    <col min="18" max="18" width="17.1640625" customWidth="1"/>
    <col min="19" max="19" width="13.1640625" customWidth="1"/>
    <col min="20" max="20" width="11.33203125" customWidth="1"/>
    <col min="24" max="24" width="5.83203125" customWidth="1"/>
  </cols>
  <sheetData>
    <row r="1" spans="1:20" ht="16" thickBot="1">
      <c r="A1" s="730"/>
      <c r="B1" s="731">
        <v>2021</v>
      </c>
      <c r="C1" s="731">
        <v>2022</v>
      </c>
      <c r="D1" s="731">
        <v>2023</v>
      </c>
      <c r="E1" s="731">
        <v>2024</v>
      </c>
      <c r="F1" s="731">
        <v>2025</v>
      </c>
      <c r="G1" s="731" t="s">
        <v>484</v>
      </c>
      <c r="H1" s="731" t="s">
        <v>515</v>
      </c>
      <c r="I1" s="732" t="s">
        <v>1834</v>
      </c>
      <c r="J1" s="1024"/>
      <c r="K1" s="712" t="s">
        <v>238</v>
      </c>
      <c r="L1" s="836">
        <f ca="1">SUM(B:F)-B1-C1-D1-E1-F1</f>
        <v>2895221.47</v>
      </c>
      <c r="M1" s="1808">
        <f>SUM(AR:AR)</f>
        <v>0</v>
      </c>
      <c r="N1" s="836">
        <f ca="1">L1-M1</f>
        <v>2895221.47</v>
      </c>
      <c r="O1" s="1836" t="s">
        <v>356</v>
      </c>
      <c r="P1" s="2159">
        <f>MAX(Buget_detaliat!$B$7:$B$604)</f>
        <v>247</v>
      </c>
    </row>
    <row r="2" spans="1:20">
      <c r="K2" s="712" t="s">
        <v>238</v>
      </c>
    </row>
    <row r="3" spans="1:20">
      <c r="K3" s="712" t="s">
        <v>238</v>
      </c>
    </row>
    <row r="4" spans="1:20" ht="19">
      <c r="K4" s="712" t="s">
        <v>238</v>
      </c>
      <c r="L4" s="1879" t="s">
        <v>2962</v>
      </c>
    </row>
    <row r="5" spans="1:20">
      <c r="K5" s="712" t="s">
        <v>238</v>
      </c>
    </row>
    <row r="6" spans="1:20" ht="19">
      <c r="K6" s="712" t="s">
        <v>238</v>
      </c>
      <c r="L6" s="1879" t="s">
        <v>3377</v>
      </c>
    </row>
    <row r="7" spans="1:20">
      <c r="K7" s="712" t="s">
        <v>238</v>
      </c>
    </row>
    <row r="8" spans="1:20">
      <c r="K8" s="712" t="s">
        <v>238</v>
      </c>
      <c r="M8" s="1691" t="s">
        <v>3373</v>
      </c>
      <c r="N8" s="1691" t="s">
        <v>3553</v>
      </c>
      <c r="O8" s="1691" t="s">
        <v>2482</v>
      </c>
      <c r="P8" s="1691" t="s">
        <v>3073</v>
      </c>
      <c r="Q8" s="1691" t="s">
        <v>3374</v>
      </c>
      <c r="R8" s="1930" t="s">
        <v>97</v>
      </c>
    </row>
    <row r="9" spans="1:20">
      <c r="K9" s="712" t="s">
        <v>238</v>
      </c>
      <c r="M9" s="1931" t="s">
        <v>3375</v>
      </c>
      <c r="N9" s="2013">
        <v>4</v>
      </c>
      <c r="O9" s="2292">
        <v>6220</v>
      </c>
      <c r="P9" s="1933">
        <v>12</v>
      </c>
      <c r="Q9" s="1932">
        <v>1</v>
      </c>
      <c r="R9" s="1932">
        <f>O9*P9*Q9*N9</f>
        <v>298560</v>
      </c>
      <c r="T9" t="s">
        <v>3856</v>
      </c>
    </row>
    <row r="10" spans="1:20">
      <c r="K10" s="712" t="s">
        <v>238</v>
      </c>
      <c r="M10" s="1934" t="s">
        <v>3376</v>
      </c>
      <c r="N10" s="1935"/>
      <c r="O10" s="1936"/>
      <c r="P10" s="1936"/>
      <c r="Q10" s="1937"/>
      <c r="R10" s="1938">
        <f>SUM(R9:R9)</f>
        <v>298560</v>
      </c>
    </row>
    <row r="11" spans="1:20">
      <c r="K11" s="712" t="s">
        <v>238</v>
      </c>
    </row>
    <row r="12" spans="1:20" ht="16" thickBot="1">
      <c r="K12" s="712" t="s">
        <v>238</v>
      </c>
    </row>
    <row r="13" spans="1:20" ht="16" thickBot="1">
      <c r="K13" s="712" t="s">
        <v>238</v>
      </c>
      <c r="L13" s="960"/>
      <c r="M13" s="960" t="s">
        <v>2171</v>
      </c>
      <c r="N13" s="960"/>
      <c r="O13" s="960" t="s">
        <v>3378</v>
      </c>
      <c r="P13" s="1500">
        <v>2021</v>
      </c>
      <c r="Q13" s="1762">
        <v>2022</v>
      </c>
      <c r="R13" s="1762">
        <v>2023</v>
      </c>
      <c r="S13" s="1762">
        <v>2024</v>
      </c>
      <c r="T13" s="1763">
        <v>2025</v>
      </c>
    </row>
    <row r="14" spans="1:20" ht="16" thickBot="1">
      <c r="K14" s="712" t="s">
        <v>238</v>
      </c>
      <c r="L14" s="960"/>
      <c r="M14" s="1503"/>
      <c r="N14" s="1504"/>
      <c r="O14" s="1504"/>
      <c r="P14" s="1713">
        <v>1</v>
      </c>
      <c r="Q14" s="1713">
        <v>1</v>
      </c>
      <c r="R14" s="1713">
        <v>1</v>
      </c>
      <c r="S14" s="1713">
        <v>0</v>
      </c>
      <c r="T14" s="1765">
        <v>0</v>
      </c>
    </row>
    <row r="15" spans="1:20" ht="16" thickBot="1">
      <c r="A15" s="730">
        <v>159</v>
      </c>
      <c r="B15" s="733">
        <f>P15</f>
        <v>298560</v>
      </c>
      <c r="C15" s="733">
        <f t="shared" ref="C15:F15" si="0">Q15</f>
        <v>298560</v>
      </c>
      <c r="D15" s="733">
        <f t="shared" si="0"/>
        <v>298560</v>
      </c>
      <c r="E15" s="733">
        <f t="shared" si="0"/>
        <v>0</v>
      </c>
      <c r="F15" s="733">
        <f t="shared" si="0"/>
        <v>0</v>
      </c>
      <c r="G15" s="733" t="s">
        <v>351</v>
      </c>
      <c r="H15" s="733" t="s">
        <v>3377</v>
      </c>
      <c r="I15" s="841" t="s">
        <v>3716</v>
      </c>
      <c r="J15" s="1681" t="s">
        <v>2962</v>
      </c>
      <c r="K15" s="712" t="s">
        <v>238</v>
      </c>
      <c r="M15" s="1710" t="s">
        <v>3044</v>
      </c>
      <c r="N15" s="1732"/>
      <c r="O15" s="1708">
        <f>R10</f>
        <v>298560</v>
      </c>
      <c r="P15" s="1495">
        <f>$O15*P14</f>
        <v>298560</v>
      </c>
      <c r="Q15" s="1495">
        <f t="shared" ref="Q15:T15" si="1">$O15*Q14</f>
        <v>298560</v>
      </c>
      <c r="R15" s="1495">
        <f t="shared" si="1"/>
        <v>298560</v>
      </c>
      <c r="S15" s="1495">
        <f t="shared" si="1"/>
        <v>0</v>
      </c>
      <c r="T15" s="1495">
        <f t="shared" si="1"/>
        <v>0</v>
      </c>
    </row>
    <row r="16" spans="1:20" ht="16" thickBot="1">
      <c r="K16" s="712" t="s">
        <v>238</v>
      </c>
    </row>
    <row r="17" spans="1:20" ht="20" thickBot="1">
      <c r="A17" s="730">
        <v>160</v>
      </c>
      <c r="B17" s="733">
        <f>P17</f>
        <v>0</v>
      </c>
      <c r="C17" s="733">
        <f t="shared" ref="C17" si="2">Q17</f>
        <v>0</v>
      </c>
      <c r="D17" s="733">
        <f t="shared" ref="D17" si="3">R17</f>
        <v>0</v>
      </c>
      <c r="E17" s="733">
        <f t="shared" ref="E17" si="4">S17</f>
        <v>0</v>
      </c>
      <c r="F17" s="733">
        <f t="shared" ref="F17" si="5">T17</f>
        <v>0</v>
      </c>
      <c r="G17" s="733" t="s">
        <v>349</v>
      </c>
      <c r="H17" s="733" t="s">
        <v>3387</v>
      </c>
      <c r="I17" s="841" t="s">
        <v>3716</v>
      </c>
      <c r="J17" s="1681" t="s">
        <v>2962</v>
      </c>
      <c r="K17" s="712" t="s">
        <v>238</v>
      </c>
      <c r="L17" s="1879" t="s">
        <v>3387</v>
      </c>
    </row>
    <row r="18" spans="1:20" s="1808" customFormat="1">
      <c r="J18" s="853"/>
      <c r="K18" s="712"/>
    </row>
    <row r="19" spans="1:20" s="1808" customFormat="1">
      <c r="J19" s="853"/>
      <c r="K19" s="712"/>
    </row>
    <row r="20" spans="1:20" ht="19">
      <c r="K20" s="712" t="s">
        <v>238</v>
      </c>
      <c r="L20" s="1879" t="s">
        <v>3388</v>
      </c>
      <c r="Q20" s="1270" t="s">
        <v>3988</v>
      </c>
    </row>
    <row r="21" spans="1:20" ht="16" thickBot="1">
      <c r="K21" s="712" t="s">
        <v>238</v>
      </c>
    </row>
    <row r="22" spans="1:20" ht="32">
      <c r="K22" s="712" t="s">
        <v>238</v>
      </c>
      <c r="M22" s="1766" t="s">
        <v>3054</v>
      </c>
      <c r="N22" s="1696"/>
      <c r="O22" s="1767"/>
      <c r="P22" s="1220"/>
      <c r="Q22" s="966"/>
      <c r="R22" s="1768"/>
      <c r="S22" s="966"/>
      <c r="T22" s="967"/>
    </row>
    <row r="23" spans="1:20" ht="32">
      <c r="K23" s="712" t="s">
        <v>238</v>
      </c>
      <c r="M23" s="1769" t="s">
        <v>3055</v>
      </c>
      <c r="N23" s="1693"/>
      <c r="O23" s="958"/>
      <c r="P23" s="1040">
        <v>1</v>
      </c>
      <c r="Q23" s="960"/>
      <c r="R23" s="960"/>
      <c r="S23" s="960"/>
      <c r="T23" s="62"/>
    </row>
    <row r="24" spans="1:20" ht="32">
      <c r="K24" s="712" t="s">
        <v>238</v>
      </c>
      <c r="M24" s="1769" t="s">
        <v>3056</v>
      </c>
      <c r="N24" s="1693"/>
      <c r="O24" s="958"/>
      <c r="P24" s="1040">
        <v>25</v>
      </c>
      <c r="Q24" s="960"/>
      <c r="R24" s="960"/>
      <c r="S24" s="960"/>
      <c r="T24" s="62"/>
    </row>
    <row r="25" spans="1:20" ht="32">
      <c r="K25" s="712" t="s">
        <v>238</v>
      </c>
      <c r="M25" s="1769" t="s">
        <v>3057</v>
      </c>
      <c r="N25" s="1693"/>
      <c r="O25" s="958"/>
      <c r="P25" s="1040">
        <v>1</v>
      </c>
      <c r="Q25" s="960"/>
      <c r="R25" s="960"/>
      <c r="S25" s="960"/>
      <c r="T25" s="62"/>
    </row>
    <row r="26" spans="1:20" ht="32">
      <c r="K26" s="712" t="s">
        <v>238</v>
      </c>
      <c r="M26" s="1769" t="s">
        <v>3052</v>
      </c>
      <c r="N26" s="1693"/>
      <c r="O26" s="1694"/>
      <c r="P26" s="1028">
        <f>ROUND(P24*O26,0)</f>
        <v>0</v>
      </c>
      <c r="Q26" s="960"/>
      <c r="R26" s="960"/>
      <c r="S26" s="960"/>
      <c r="T26" s="62"/>
    </row>
    <row r="27" spans="1:20" ht="32">
      <c r="K27" s="712" t="s">
        <v>238</v>
      </c>
      <c r="M27" s="1769" t="s">
        <v>3053</v>
      </c>
      <c r="N27" s="1693"/>
      <c r="O27" s="1694">
        <v>0</v>
      </c>
      <c r="P27" s="1028">
        <f>ROUND(P24*O27,0)</f>
        <v>0</v>
      </c>
      <c r="Q27" s="960"/>
      <c r="R27" s="960"/>
      <c r="S27" s="960"/>
      <c r="T27" s="62"/>
    </row>
    <row r="28" spans="1:20">
      <c r="K28" s="712" t="s">
        <v>238</v>
      </c>
      <c r="M28" s="1770" t="s">
        <v>3036</v>
      </c>
      <c r="N28" s="1019"/>
      <c r="O28" s="1695"/>
      <c r="P28" s="1028">
        <f>P25-1</f>
        <v>0</v>
      </c>
      <c r="Q28" s="960"/>
      <c r="R28" s="960"/>
      <c r="S28" s="960"/>
      <c r="T28" s="62"/>
    </row>
    <row r="29" spans="1:20" ht="16" thickBot="1">
      <c r="K29" s="712" t="s">
        <v>238</v>
      </c>
      <c r="M29" s="1049"/>
      <c r="N29" s="960"/>
      <c r="O29" s="960"/>
      <c r="P29" s="960"/>
      <c r="Q29" s="960"/>
      <c r="R29" s="960"/>
      <c r="S29" s="960"/>
      <c r="T29" s="62"/>
    </row>
    <row r="30" spans="1:20" ht="64">
      <c r="K30" s="712" t="s">
        <v>238</v>
      </c>
      <c r="M30" s="1699" t="s">
        <v>3033</v>
      </c>
      <c r="N30" s="1700" t="s">
        <v>3034</v>
      </c>
      <c r="O30" s="1702" t="s">
        <v>3040</v>
      </c>
      <c r="P30" s="1702" t="s">
        <v>3041</v>
      </c>
      <c r="Q30" s="1702" t="s">
        <v>3042</v>
      </c>
      <c r="R30" s="1700" t="s">
        <v>3035</v>
      </c>
      <c r="S30" s="1702" t="s">
        <v>3039</v>
      </c>
      <c r="T30" s="1701" t="s">
        <v>2189</v>
      </c>
    </row>
    <row r="31" spans="1:20">
      <c r="K31" s="712" t="s">
        <v>238</v>
      </c>
      <c r="M31" s="1539" t="s">
        <v>3051</v>
      </c>
      <c r="N31" s="958" t="str">
        <f>IFERROR(VLOOKUP(M31,Price_list!$B$1:$H$187,2,0),"")</f>
        <v>International Consultancy fee (3.1)</v>
      </c>
      <c r="O31" s="958" t="str">
        <f>IFERROR(VLOOKUP(M31,Price_list!$B$1:$H$187,3,0),"")</f>
        <v>cost/zi</v>
      </c>
      <c r="P31" s="946">
        <f>IFERROR(VLOOKUP(M31,Price_list!$B$1:$H$187,4,0),"")</f>
        <v>350</v>
      </c>
      <c r="Q31" s="946" t="str">
        <f>IFERROR(VLOOKUP(M31,Price_list!$B$1:$H$187,5,0),"")</f>
        <v>EUR</v>
      </c>
      <c r="R31" s="958">
        <f ca="1">ROUND(IFERROR(IF(Q31="MDL",P31,P31*INDIRECT(Q31)),0),2)</f>
        <v>6868.65</v>
      </c>
      <c r="S31" s="946">
        <f>P25</f>
        <v>1</v>
      </c>
      <c r="T31" s="1889">
        <f ca="1">IFERROR(P22*R31*S31,"")</f>
        <v>0</v>
      </c>
    </row>
    <row r="32" spans="1:20">
      <c r="K32" s="712" t="s">
        <v>238</v>
      </c>
      <c r="M32" s="1539" t="s">
        <v>3029</v>
      </c>
      <c r="N32" s="958" t="str">
        <f>IFERROR(VLOOKUP(M32,Price_list!$B$1:$H$187,2,0),"")</f>
        <v xml:space="preserve">Travel costs </v>
      </c>
      <c r="O32" s="958" t="str">
        <f>IFERROR(VLOOKUP(M32,Price_list!$B$1:$H$187,3,0),"")</f>
        <v>cost tichet o directie</v>
      </c>
      <c r="P32" s="946">
        <f>IFERROR(VLOOKUP(M32,Price_list!$B$1:$H$187,4,0),"")</f>
        <v>5000</v>
      </c>
      <c r="Q32" s="946" t="str">
        <f>IFERROR(VLOOKUP(M32,Price_list!$B$1:$H$187,5,0),"")</f>
        <v>MDL</v>
      </c>
      <c r="R32" s="958">
        <f t="shared" ref="R32:R48" ca="1" si="6">ROUND(IFERROR(IF(Q32="MDL",P32,P32*INDIRECT(Q32)),0),2)</f>
        <v>5000</v>
      </c>
      <c r="S32" s="1040">
        <v>2</v>
      </c>
      <c r="T32" s="1889">
        <f ca="1">P22*S32*R32</f>
        <v>0</v>
      </c>
    </row>
    <row r="33" spans="11:20">
      <c r="K33" s="712" t="s">
        <v>238</v>
      </c>
      <c r="M33" s="1539" t="s">
        <v>3020</v>
      </c>
      <c r="N33" s="958" t="str">
        <f>IFERROR(VLOOKUP(M33,Price_list!$B$1:$H$187,2,0),"")</f>
        <v xml:space="preserve">Per diem, WHO DSA, average </v>
      </c>
      <c r="O33" s="958" t="str">
        <f>IFERROR(VLOOKUP(M33,Price_list!$B$1:$H$187,3,0),"")</f>
        <v>diurna</v>
      </c>
      <c r="P33" s="946">
        <f>IFERROR(VLOOKUP(M33,Price_list!$B$1:$H$187,4,0),"")</f>
        <v>200</v>
      </c>
      <c r="Q33" s="946" t="str">
        <f>IFERROR(VLOOKUP(M33,Price_list!$B$1:$H$187,5,0),"")</f>
        <v>EUR</v>
      </c>
      <c r="R33" s="958">
        <f t="shared" ca="1" si="6"/>
        <v>3924.94</v>
      </c>
      <c r="S33" s="946">
        <f>P25+1</f>
        <v>2</v>
      </c>
      <c r="T33" s="1889">
        <f ca="1">P22*R33*S33</f>
        <v>0</v>
      </c>
    </row>
    <row r="34" spans="11:20">
      <c r="K34" s="712" t="s">
        <v>238</v>
      </c>
      <c r="M34" s="1539" t="s">
        <v>3050</v>
      </c>
      <c r="N34" s="958" t="str">
        <f>IFERROR(VLOOKUP(M34,Price_list!$B$1:$H$187,2,0),"")</f>
        <v>National Consultancy fee (3.1)</v>
      </c>
      <c r="O34" s="958" t="str">
        <f>IFERROR(VLOOKUP(M34,Price_list!$B$1:$H$187,3,0),"")</f>
        <v>cost/zi</v>
      </c>
      <c r="P34" s="946">
        <f>IFERROR(VLOOKUP(M34,Price_list!$B$1:$H$187,4,0),"")</f>
        <v>2000</v>
      </c>
      <c r="Q34" s="946" t="str">
        <f>IFERROR(VLOOKUP(M34,Price_list!$B$1:$H$187,5,0),"")</f>
        <v>MDL</v>
      </c>
      <c r="R34" s="958">
        <f t="shared" ca="1" si="6"/>
        <v>2000</v>
      </c>
      <c r="S34" s="946">
        <f>P25</f>
        <v>1</v>
      </c>
      <c r="T34" s="1889">
        <f ca="1">P23*R34*S34</f>
        <v>2000</v>
      </c>
    </row>
    <row r="35" spans="11:20">
      <c r="K35" s="712" t="s">
        <v>238</v>
      </c>
      <c r="M35" s="1539"/>
      <c r="N35" s="958" t="str">
        <f>IFERROR(VLOOKUP(M35,Price_list!$B$1:$H$187,2,0),"")</f>
        <v/>
      </c>
      <c r="O35" s="958" t="str">
        <f>IFERROR(VLOOKUP(M35,Price_list!$B$1:$H$187,3,0),"")</f>
        <v/>
      </c>
      <c r="P35" s="946" t="str">
        <f>IFERROR(VLOOKUP(M35,Price_list!$B$1:$H$187,4,0),"")</f>
        <v/>
      </c>
      <c r="Q35" s="946" t="str">
        <f>IFERROR(VLOOKUP(M35,Price_list!$B$1:$H$187,5,0),"")</f>
        <v/>
      </c>
      <c r="R35" s="958">
        <f t="shared" ca="1" si="6"/>
        <v>0</v>
      </c>
      <c r="S35" s="946" t="str">
        <f>IFERROR(VLOOKUP(AD35,M26:O31,3,0),"")</f>
        <v/>
      </c>
      <c r="T35" s="1889" t="str">
        <f>IFERROR(#REF!*S35*P35,"")</f>
        <v/>
      </c>
    </row>
    <row r="36" spans="11:20">
      <c r="K36" s="712" t="s">
        <v>238</v>
      </c>
      <c r="M36" s="1539"/>
      <c r="N36" s="958" t="str">
        <f>IFERROR(VLOOKUP(M36,Price_list!$B$1:$H$187,2,0),"")</f>
        <v/>
      </c>
      <c r="O36" s="958" t="str">
        <f>IFERROR(VLOOKUP(M36,Price_list!$B$1:$H$187,3,0),"")</f>
        <v/>
      </c>
      <c r="P36" s="946" t="str">
        <f>IFERROR(VLOOKUP(M36,Price_list!$B$1:$H$187,4,0),"")</f>
        <v/>
      </c>
      <c r="Q36" s="946" t="str">
        <f>IFERROR(VLOOKUP(M36,Price_list!$B$1:$H$187,5,0),"")</f>
        <v/>
      </c>
      <c r="R36" s="958">
        <f t="shared" ca="1" si="6"/>
        <v>0</v>
      </c>
      <c r="S36" s="946" t="str">
        <f>IFERROR(VLOOKUP(AD36,M28:O32,3,0),"")</f>
        <v/>
      </c>
      <c r="T36" s="1889" t="str">
        <f>IFERROR(#REF!*S36*P36,"")</f>
        <v/>
      </c>
    </row>
    <row r="37" spans="11:20">
      <c r="K37" s="712" t="s">
        <v>238</v>
      </c>
      <c r="M37" s="1539" t="s">
        <v>3016</v>
      </c>
      <c r="N37" s="958" t="str">
        <f>IFERROR(VLOOKUP(M37,Price_list!$B$1:$H$187,2,0),"")</f>
        <v>Coffe break</v>
      </c>
      <c r="O37" s="958" t="str">
        <f>IFERROR(VLOOKUP(M37,Price_list!$B$1:$H$187,3,0),"")</f>
        <v>unitate</v>
      </c>
      <c r="P37" s="946">
        <f>IFERROR(VLOOKUP(M37,Price_list!$B$1:$H$187,4,0),"")</f>
        <v>75</v>
      </c>
      <c r="Q37" s="946" t="str">
        <f>IFERROR(VLOOKUP(M37,Price_list!$B$1:$H$187,5,0),"")</f>
        <v>MDL</v>
      </c>
      <c r="R37" s="958">
        <f t="shared" ca="1" si="6"/>
        <v>75</v>
      </c>
      <c r="S37" s="946">
        <v>2</v>
      </c>
      <c r="T37" s="1889">
        <f ca="1">S37*R37*P24*P25</f>
        <v>3750</v>
      </c>
    </row>
    <row r="38" spans="11:20">
      <c r="K38" s="712" t="s">
        <v>238</v>
      </c>
      <c r="M38" s="1539" t="s">
        <v>3021</v>
      </c>
      <c r="N38" s="958" t="str">
        <f>IFERROR(VLOOKUP(M38,Price_list!$B$1:$H$187,2,0),"")</f>
        <v xml:space="preserve">Meal ( lunch) </v>
      </c>
      <c r="O38" s="958" t="str">
        <f>IFERROR(VLOOKUP(M38,Price_list!$B$1:$H$187,3,0),"")</f>
        <v>unitate</v>
      </c>
      <c r="P38" s="946">
        <f>IFERROR(VLOOKUP(M38,Price_list!$B$1:$H$187,4,0),"")</f>
        <v>220</v>
      </c>
      <c r="Q38" s="946" t="str">
        <f>IFERROR(VLOOKUP(M38,Price_list!$B$1:$H$187,5,0),"")</f>
        <v>MDL</v>
      </c>
      <c r="R38" s="958">
        <f t="shared" ca="1" si="6"/>
        <v>220</v>
      </c>
      <c r="S38" s="946">
        <f>P25</f>
        <v>1</v>
      </c>
      <c r="T38" s="1889">
        <f ca="1">P24*S38*R38</f>
        <v>5500</v>
      </c>
    </row>
    <row r="39" spans="11:20">
      <c r="K39" s="712" t="s">
        <v>238</v>
      </c>
      <c r="M39" s="1539" t="s">
        <v>3023</v>
      </c>
      <c r="N39" s="958" t="str">
        <f>IFERROR(VLOOKUP(M39,Price_list!$B$1:$H$187,2,0),"")</f>
        <v>Meal(dinner)</v>
      </c>
      <c r="O39" s="958" t="str">
        <f>IFERROR(VLOOKUP(M39,Price_list!$B$1:$H$187,3,0),"")</f>
        <v>unitate</v>
      </c>
      <c r="P39" s="946">
        <f>IFERROR(VLOOKUP(M39,Price_list!$B$1:$H$187,4,0),"")</f>
        <v>220</v>
      </c>
      <c r="Q39" s="946" t="str">
        <f>IFERROR(VLOOKUP(M39,Price_list!$B$1:$H$187,5,0),"")</f>
        <v>MDL</v>
      </c>
      <c r="R39" s="958">
        <f t="shared" ca="1" si="6"/>
        <v>220</v>
      </c>
      <c r="S39" s="946">
        <f>P28</f>
        <v>0</v>
      </c>
      <c r="T39" s="1889">
        <f ca="1">S39*R39*P26</f>
        <v>0</v>
      </c>
    </row>
    <row r="40" spans="11:20">
      <c r="K40" s="712" t="s">
        <v>238</v>
      </c>
      <c r="M40" s="1539" t="s">
        <v>3024</v>
      </c>
      <c r="N40" s="958" t="str">
        <f>IFERROR(VLOOKUP(M40,Price_list!$B$1:$H$187,2,0),"")</f>
        <v xml:space="preserve">Accomodation </v>
      </c>
      <c r="O40" s="958" t="str">
        <f>IFERROR(VLOOKUP(M40,Price_list!$B$1:$H$187,3,0),"")</f>
        <v>cost/noapte</v>
      </c>
      <c r="P40" s="946">
        <f>IFERROR(VLOOKUP(M40,Price_list!$B$1:$H$187,4,0),"")</f>
        <v>750</v>
      </c>
      <c r="Q40" s="946" t="str">
        <f>IFERROR(VLOOKUP(M40,Price_list!$B$1:$H$187,5,0),"")</f>
        <v>MDL</v>
      </c>
      <c r="R40" s="958">
        <f t="shared" ca="1" si="6"/>
        <v>750</v>
      </c>
      <c r="S40" s="946">
        <f>P28</f>
        <v>0</v>
      </c>
      <c r="T40" s="1889">
        <f ca="1">S40*R40*P26</f>
        <v>0</v>
      </c>
    </row>
    <row r="41" spans="11:20">
      <c r="K41" s="712" t="s">
        <v>238</v>
      </c>
      <c r="M41" s="1539" t="s">
        <v>3030</v>
      </c>
      <c r="N41" s="958" t="str">
        <f>IFERROR(VLOOKUP(M41,Price_list!$B$1:$H$187,2,0),"")</f>
        <v>Travel participants</v>
      </c>
      <c r="O41" s="958" t="str">
        <f>IFERROR(VLOOKUP(M41,Price_list!$B$1:$H$187,3,0),"")</f>
        <v>cost tichet o directie</v>
      </c>
      <c r="P41" s="946">
        <f>IFERROR(VLOOKUP(M41,Price_list!$B$1:$H$187,4,0),"")</f>
        <v>80</v>
      </c>
      <c r="Q41" s="946" t="str">
        <f>IFERROR(VLOOKUP(M41,Price_list!$B$1:$H$187,5,0),"")</f>
        <v>MDL</v>
      </c>
      <c r="R41" s="958">
        <f t="shared" ca="1" si="6"/>
        <v>80</v>
      </c>
      <c r="S41" s="1040">
        <v>2</v>
      </c>
      <c r="T41" s="1889">
        <f ca="1">S41*P27*R41</f>
        <v>0</v>
      </c>
    </row>
    <row r="42" spans="11:20">
      <c r="K42" s="712" t="s">
        <v>238</v>
      </c>
      <c r="M42" s="1539"/>
      <c r="N42" s="958" t="str">
        <f>IFERROR(VLOOKUP(M42,Price_list!$B$1:$H$187,2,0),"")</f>
        <v/>
      </c>
      <c r="O42" s="958" t="str">
        <f>IFERROR(VLOOKUP(M42,Price_list!$B$1:$H$187,3,0),"")</f>
        <v/>
      </c>
      <c r="P42" s="946" t="str">
        <f>IFERROR(VLOOKUP(M42,Price_list!$B$1:$H$187,4,0),"")</f>
        <v/>
      </c>
      <c r="Q42" s="946" t="str">
        <f>IFERROR(VLOOKUP(M42,Price_list!$B$1:$H$187,5,0),"")</f>
        <v/>
      </c>
      <c r="R42" s="958">
        <f t="shared" ca="1" si="6"/>
        <v>0</v>
      </c>
      <c r="S42" s="946" t="str">
        <f>IFERROR(VLOOKUP(AD42,M32:O38,3,0),"")</f>
        <v/>
      </c>
      <c r="T42" s="1889" t="str">
        <f>IFERROR(#REF!*S42*P42,"")</f>
        <v/>
      </c>
    </row>
    <row r="43" spans="11:20">
      <c r="K43" s="712" t="s">
        <v>238</v>
      </c>
      <c r="M43" s="1539" t="s">
        <v>3025</v>
      </c>
      <c r="N43" s="958" t="str">
        <f>IFERROR(VLOOKUP(M43,Price_list!$B$1:$H$187,2,0),"")</f>
        <v>Supplies</v>
      </c>
      <c r="O43" s="958" t="str">
        <f>IFERROR(VLOOKUP(M43,Price_list!$B$1:$H$187,3,0),"")</f>
        <v>set/participant</v>
      </c>
      <c r="P43" s="946">
        <f>IFERROR(VLOOKUP(M43,Price_list!$B$1:$H$187,4,0),"")</f>
        <v>140</v>
      </c>
      <c r="Q43" s="946" t="str">
        <f>IFERROR(VLOOKUP(M43,Price_list!$B$1:$H$187,5,0),"")</f>
        <v>MDL</v>
      </c>
      <c r="R43" s="958">
        <f t="shared" ca="1" si="6"/>
        <v>140</v>
      </c>
      <c r="S43" s="946">
        <v>1</v>
      </c>
      <c r="T43" s="1889">
        <f ca="1">S43*R43*P24</f>
        <v>3500</v>
      </c>
    </row>
    <row r="44" spans="11:20">
      <c r="K44" s="712" t="s">
        <v>238</v>
      </c>
      <c r="M44" s="1539" t="s">
        <v>3022</v>
      </c>
      <c r="N44" s="958" t="str">
        <f>IFERROR(VLOOKUP(M44,Price_list!$B$1:$H$187,2,0),"")</f>
        <v>Rent of premises</v>
      </c>
      <c r="O44" s="958" t="str">
        <f>IFERROR(VLOOKUP(M44,Price_list!$B$1:$H$187,3,0),"")</f>
        <v>cost/zi</v>
      </c>
      <c r="P44" s="946">
        <f>IFERROR(VLOOKUP(M44,Price_list!$B$1:$H$187,4,0),"")</f>
        <v>1800</v>
      </c>
      <c r="Q44" s="946" t="str">
        <f>IFERROR(VLOOKUP(M44,Price_list!$B$1:$H$187,5,0),"")</f>
        <v>MDL</v>
      </c>
      <c r="R44" s="958">
        <f t="shared" ca="1" si="6"/>
        <v>1800</v>
      </c>
      <c r="S44" s="946">
        <f>P25</f>
        <v>1</v>
      </c>
      <c r="T44" s="1889">
        <f ca="1">S44*R44</f>
        <v>1800</v>
      </c>
    </row>
    <row r="45" spans="11:20">
      <c r="K45" s="712" t="s">
        <v>238</v>
      </c>
      <c r="M45" s="1539" t="s">
        <v>3031</v>
      </c>
      <c r="N45" s="958" t="str">
        <f>IFERROR(VLOOKUP(M45,Price_list!$B$1:$H$187,2,0),"")</f>
        <v>Interpreter's fee, per day</v>
      </c>
      <c r="O45" s="958" t="str">
        <f>IFERROR(VLOOKUP(M45,Price_list!$B$1:$H$187,3,0),"")</f>
        <v>cost/zi</v>
      </c>
      <c r="P45" s="946">
        <f>IFERROR(VLOOKUP(M45,Price_list!$B$1:$H$187,4,0),"")</f>
        <v>2000</v>
      </c>
      <c r="Q45" s="946" t="str">
        <f>IFERROR(VLOOKUP(M45,Price_list!$B$1:$H$187,5,0),"")</f>
        <v>MDL</v>
      </c>
      <c r="R45" s="958">
        <f t="shared" ca="1" si="6"/>
        <v>2000</v>
      </c>
      <c r="S45" s="946">
        <f>IF(P22&gt;0,P25,0)</f>
        <v>0</v>
      </c>
      <c r="T45" s="1889">
        <f ca="1">S45*R45</f>
        <v>0</v>
      </c>
    </row>
    <row r="46" spans="11:20">
      <c r="K46" s="712" t="s">
        <v>238</v>
      </c>
      <c r="M46" s="1539"/>
      <c r="N46" s="958" t="str">
        <f>IFERROR(VLOOKUP(M46,Price_list!$B$1:$H$187,2,0),"")</f>
        <v/>
      </c>
      <c r="O46" s="958" t="str">
        <f>IFERROR(VLOOKUP(M46,Price_list!$B$1:$H$187,3,0),"")</f>
        <v/>
      </c>
      <c r="P46" s="946" t="str">
        <f>IFERROR(VLOOKUP(M46,Price_list!$B$1:$H$187,4,0),"")</f>
        <v/>
      </c>
      <c r="Q46" s="946" t="str">
        <f>IFERROR(VLOOKUP(M46,Price_list!$B$1:$H$187,5,0),"")</f>
        <v/>
      </c>
      <c r="R46" s="958">
        <f t="shared" ca="1" si="6"/>
        <v>0</v>
      </c>
      <c r="S46" s="946" t="str">
        <f>IFERROR(VLOOKUP(AD46,M37:O41,3,0),"")</f>
        <v/>
      </c>
      <c r="T46" s="1889" t="str">
        <f>IFERROR(#REF!*S46*P46,"")</f>
        <v/>
      </c>
    </row>
    <row r="47" spans="11:20">
      <c r="K47" s="712" t="s">
        <v>238</v>
      </c>
      <c r="M47" s="1539"/>
      <c r="N47" s="958" t="str">
        <f>IFERROR(VLOOKUP(M47,Price_list!$B$1:$H$187,2,0),"")</f>
        <v/>
      </c>
      <c r="O47" s="958" t="str">
        <f>IFERROR(VLOOKUP(M47,Price_list!$B$1:$H$187,3,0),"")</f>
        <v/>
      </c>
      <c r="P47" s="946" t="str">
        <f>IFERROR(VLOOKUP(M47,Price_list!$B$1:$H$187,4,0),"")</f>
        <v/>
      </c>
      <c r="Q47" s="946" t="str">
        <f>IFERROR(VLOOKUP(M47,Price_list!$B$1:$H$187,5,0),"")</f>
        <v/>
      </c>
      <c r="R47" s="958">
        <f t="shared" ca="1" si="6"/>
        <v>0</v>
      </c>
      <c r="S47" s="946" t="str">
        <f>IFERROR(VLOOKUP(AD47,M38:O43,3,0),"")</f>
        <v/>
      </c>
      <c r="T47" s="1889" t="str">
        <f>IFERROR(#REF!*S47*P47,"")</f>
        <v/>
      </c>
    </row>
    <row r="48" spans="11:20">
      <c r="K48" s="712" t="s">
        <v>238</v>
      </c>
      <c r="M48" s="1539"/>
      <c r="N48" s="958" t="str">
        <f>IFERROR(VLOOKUP(M48,Price_list!$B$1:$H$187,2,0),"")</f>
        <v/>
      </c>
      <c r="O48" s="958" t="str">
        <f>IFERROR(VLOOKUP(M48,Price_list!$B$1:$H$187,3,0),"")</f>
        <v/>
      </c>
      <c r="P48" s="946" t="str">
        <f>IFERROR(VLOOKUP(M48,Price_list!$B$1:$H$187,4,0),"")</f>
        <v/>
      </c>
      <c r="Q48" s="946" t="str">
        <f>IFERROR(VLOOKUP(M48,Price_list!$B$1:$H$187,5,0),"")</f>
        <v/>
      </c>
      <c r="R48" s="958">
        <f t="shared" ca="1" si="6"/>
        <v>0</v>
      </c>
      <c r="S48" s="946" t="str">
        <f>IFERROR(VLOOKUP(AD48,M39:O44,3,0),"")</f>
        <v/>
      </c>
      <c r="T48" s="1889" t="str">
        <f>IFERROR(#REF!*S48*P48,"")</f>
        <v/>
      </c>
    </row>
    <row r="49" spans="1:20" ht="16" thickBot="1">
      <c r="K49" s="712" t="s">
        <v>238</v>
      </c>
      <c r="M49" s="1697"/>
      <c r="N49" s="1698" t="str">
        <f>IFERROR(VLOOKUP(M49,Price_list!$B$1:$H$187,2,0),"")</f>
        <v/>
      </c>
      <c r="O49" s="1698" t="str">
        <f>IFERROR(VLOOKUP(M49,Price_list!$B$1:$H$187,3,0),"")</f>
        <v/>
      </c>
      <c r="P49" s="1034" t="str">
        <f>IFERROR(VLOOKUP(M49,Price_list!$B$1:$H$187,4,0),"")</f>
        <v/>
      </c>
      <c r="Q49" s="1034" t="str">
        <f>IFERROR(VLOOKUP(M49,Price_list!$B$1:$H$187,5,0),"")</f>
        <v/>
      </c>
      <c r="R49" s="1698"/>
      <c r="S49" s="1034" t="str">
        <f>IFERROR(VLOOKUP(AD49,M40:O45,3,0),"")</f>
        <v/>
      </c>
      <c r="T49" s="1703">
        <f ca="1">SUM(T31:T48)</f>
        <v>16550</v>
      </c>
    </row>
    <row r="50" spans="1:20">
      <c r="K50" s="712" t="s">
        <v>238</v>
      </c>
      <c r="M50" s="1771" t="s">
        <v>3037</v>
      </c>
      <c r="N50" s="1742" t="s">
        <v>3006</v>
      </c>
      <c r="O50" s="1743"/>
      <c r="P50" s="1772">
        <v>7.0000000000000007E-2</v>
      </c>
      <c r="Q50" s="1773"/>
      <c r="R50" s="1773"/>
      <c r="S50" s="1773"/>
      <c r="T50" s="1774">
        <f ca="1">ROUND(T49*P50,2)</f>
        <v>1158.5</v>
      </c>
    </row>
    <row r="51" spans="1:20" ht="16" thickBot="1">
      <c r="K51" s="712" t="s">
        <v>238</v>
      </c>
      <c r="M51" s="1049"/>
      <c r="N51" s="960"/>
      <c r="O51" s="960"/>
      <c r="P51" s="960"/>
      <c r="Q51" s="960"/>
      <c r="R51" s="960"/>
      <c r="S51" s="960"/>
      <c r="T51" s="62"/>
    </row>
    <row r="52" spans="1:20" ht="16" thickBot="1">
      <c r="K52" s="712" t="s">
        <v>238</v>
      </c>
      <c r="M52" s="1704" t="s">
        <v>3038</v>
      </c>
      <c r="N52" s="1761"/>
      <c r="O52" s="1761"/>
      <c r="P52" s="1761"/>
      <c r="Q52" s="1761"/>
      <c r="R52" s="1761"/>
      <c r="S52" s="1761"/>
      <c r="T52" s="1706">
        <f ca="1">T50+T49</f>
        <v>17708.5</v>
      </c>
    </row>
    <row r="53" spans="1:20">
      <c r="K53" s="712" t="s">
        <v>238</v>
      </c>
      <c r="M53" s="1049"/>
      <c r="N53" s="960"/>
      <c r="O53" s="960"/>
      <c r="P53" s="960"/>
      <c r="Q53" s="960"/>
      <c r="R53" s="960"/>
      <c r="S53" s="960"/>
      <c r="T53" s="62"/>
    </row>
    <row r="54" spans="1:20" ht="16" thickBot="1">
      <c r="K54" s="712" t="s">
        <v>238</v>
      </c>
      <c r="M54" s="1049"/>
      <c r="N54" s="960"/>
      <c r="O54" s="960"/>
      <c r="P54" s="960"/>
      <c r="Q54" s="960"/>
      <c r="R54" s="960"/>
      <c r="S54" s="960"/>
      <c r="T54" s="62"/>
    </row>
    <row r="55" spans="1:20" ht="16" thickBot="1">
      <c r="K55" s="712" t="s">
        <v>238</v>
      </c>
      <c r="M55" s="1049" t="s">
        <v>2171</v>
      </c>
      <c r="N55" s="960"/>
      <c r="O55" s="960"/>
      <c r="P55" s="1500">
        <v>2021</v>
      </c>
      <c r="Q55" s="1762">
        <v>2022</v>
      </c>
      <c r="R55" s="1762">
        <v>2023</v>
      </c>
      <c r="S55" s="1762">
        <v>2024</v>
      </c>
      <c r="T55" s="1763">
        <v>2025</v>
      </c>
    </row>
    <row r="56" spans="1:20" ht="16" thickBot="1">
      <c r="K56" s="712" t="s">
        <v>238</v>
      </c>
      <c r="M56" s="1764" t="s">
        <v>3385</v>
      </c>
      <c r="N56" s="1504"/>
      <c r="O56" s="1504"/>
      <c r="P56" s="1713">
        <v>0</v>
      </c>
      <c r="Q56" s="1713">
        <v>0</v>
      </c>
      <c r="R56" s="1713">
        <v>0</v>
      </c>
      <c r="S56" s="1713">
        <v>0</v>
      </c>
      <c r="T56" s="1765">
        <v>0</v>
      </c>
    </row>
    <row r="57" spans="1:20" ht="16" thickBot="1">
      <c r="A57" s="730">
        <v>161</v>
      </c>
      <c r="B57" s="733">
        <f ca="1">P57</f>
        <v>0</v>
      </c>
      <c r="C57" s="733">
        <f t="shared" ref="C57" ca="1" si="7">Q57</f>
        <v>0</v>
      </c>
      <c r="D57" s="733">
        <f t="shared" ref="D57" ca="1" si="8">R57</f>
        <v>0</v>
      </c>
      <c r="E57" s="733">
        <f t="shared" ref="E57" ca="1" si="9">S57</f>
        <v>0</v>
      </c>
      <c r="F57" s="733">
        <f t="shared" ref="F57" ca="1" si="10">T57</f>
        <v>0</v>
      </c>
      <c r="G57" s="733" t="s">
        <v>351</v>
      </c>
      <c r="H57" s="733" t="s">
        <v>3388</v>
      </c>
      <c r="I57" s="841" t="s">
        <v>3716</v>
      </c>
      <c r="J57" s="1681" t="s">
        <v>2962</v>
      </c>
      <c r="K57" s="712" t="s">
        <v>238</v>
      </c>
      <c r="M57" s="1710" t="s">
        <v>3044</v>
      </c>
      <c r="N57" s="1732"/>
      <c r="O57" s="1708"/>
      <c r="P57" s="1495">
        <f ca="1">T52*P56</f>
        <v>0</v>
      </c>
      <c r="Q57" s="1495">
        <f ca="1">T52*Q56</f>
        <v>0</v>
      </c>
      <c r="R57" s="1495">
        <f ca="1">T52*R56</f>
        <v>0</v>
      </c>
      <c r="S57" s="1495">
        <f ca="1">T52*S56</f>
        <v>0</v>
      </c>
      <c r="T57" s="1495">
        <f ca="1">T52*T56</f>
        <v>0</v>
      </c>
    </row>
    <row r="58" spans="1:20">
      <c r="K58" s="712" t="s">
        <v>238</v>
      </c>
    </row>
    <row r="59" spans="1:20">
      <c r="K59" s="712" t="s">
        <v>238</v>
      </c>
    </row>
    <row r="60" spans="1:20" ht="19">
      <c r="K60" s="712" t="s">
        <v>238</v>
      </c>
      <c r="L60" s="1879" t="s">
        <v>3389</v>
      </c>
    </row>
    <row r="61" spans="1:20">
      <c r="K61" s="712" t="s">
        <v>238</v>
      </c>
    </row>
    <row r="62" spans="1:20">
      <c r="K62" s="712" t="s">
        <v>238</v>
      </c>
      <c r="M62" s="2653" t="s">
        <v>3379</v>
      </c>
      <c r="N62" s="2653"/>
      <c r="O62" s="2653"/>
      <c r="P62" s="2653"/>
      <c r="Q62" s="2653"/>
      <c r="R62" s="1808"/>
    </row>
    <row r="63" spans="1:20">
      <c r="K63" s="712" t="s">
        <v>238</v>
      </c>
      <c r="M63" s="1877"/>
      <c r="N63" s="2014" t="s">
        <v>1995</v>
      </c>
      <c r="O63" s="2014" t="s">
        <v>3380</v>
      </c>
      <c r="P63" s="2014" t="s">
        <v>3381</v>
      </c>
      <c r="Q63" s="2014" t="s">
        <v>3382</v>
      </c>
      <c r="R63" s="1691" t="s">
        <v>1887</v>
      </c>
    </row>
    <row r="64" spans="1:20">
      <c r="K64" s="712" t="s">
        <v>238</v>
      </c>
      <c r="M64" s="1939" t="s">
        <v>3383</v>
      </c>
      <c r="N64" s="1940">
        <v>1</v>
      </c>
      <c r="O64" s="2007">
        <v>10000</v>
      </c>
      <c r="P64" s="2009">
        <v>2</v>
      </c>
      <c r="Q64" s="2007">
        <f>N64*O64*P64</f>
        <v>20000</v>
      </c>
      <c r="R64" s="2007">
        <f>Q64*3</f>
        <v>60000</v>
      </c>
    </row>
    <row r="65" spans="1:20">
      <c r="K65" s="712" t="s">
        <v>238</v>
      </c>
      <c r="M65" s="1939" t="s">
        <v>3384</v>
      </c>
      <c r="N65" s="1940">
        <v>1</v>
      </c>
      <c r="O65" s="2007">
        <v>7000</v>
      </c>
      <c r="P65" s="2009">
        <v>2</v>
      </c>
      <c r="Q65" s="2007">
        <f>N65*O65*P65</f>
        <v>14000</v>
      </c>
      <c r="R65" s="2007">
        <f>Q65*3</f>
        <v>42000</v>
      </c>
    </row>
    <row r="66" spans="1:20">
      <c r="K66" s="712" t="s">
        <v>238</v>
      </c>
      <c r="M66" s="1934" t="s">
        <v>2483</v>
      </c>
      <c r="N66" s="1935"/>
      <c r="O66" s="2008">
        <f>SUM(O64:O65)</f>
        <v>17000</v>
      </c>
      <c r="P66" s="2010"/>
      <c r="Q66" s="2008">
        <f>SUM(Q64:Q65)</f>
        <v>34000</v>
      </c>
      <c r="R66" s="2008">
        <f>SUM(R64:R65)</f>
        <v>102000</v>
      </c>
    </row>
    <row r="67" spans="1:20">
      <c r="K67" s="712" t="s">
        <v>238</v>
      </c>
    </row>
    <row r="68" spans="1:20">
      <c r="K68" s="712" t="s">
        <v>238</v>
      </c>
    </row>
    <row r="69" spans="1:20" s="1808" customFormat="1" ht="16" thickBot="1">
      <c r="J69" s="853"/>
      <c r="K69" s="712"/>
    </row>
    <row r="70" spans="1:20" ht="16" thickBot="1">
      <c r="K70" s="712" t="s">
        <v>238</v>
      </c>
      <c r="M70" s="960" t="s">
        <v>2171</v>
      </c>
      <c r="N70" s="960"/>
      <c r="O70" s="960" t="s">
        <v>3378</v>
      </c>
      <c r="P70" s="1500">
        <v>2021</v>
      </c>
      <c r="Q70" s="1762">
        <v>2022</v>
      </c>
      <c r="R70" s="1762">
        <v>2023</v>
      </c>
      <c r="S70" s="1762">
        <v>2024</v>
      </c>
      <c r="T70" s="1763">
        <v>2025</v>
      </c>
    </row>
    <row r="71" spans="1:20" ht="16" thickBot="1">
      <c r="K71" s="712" t="s">
        <v>238</v>
      </c>
      <c r="M71" s="1503"/>
      <c r="N71" s="1504"/>
      <c r="O71" s="1504"/>
      <c r="P71" s="1713">
        <v>0</v>
      </c>
      <c r="Q71" s="1713">
        <v>0</v>
      </c>
      <c r="R71" s="1713">
        <v>0</v>
      </c>
      <c r="S71" s="1713">
        <v>0</v>
      </c>
      <c r="T71" s="1765">
        <v>0</v>
      </c>
    </row>
    <row r="72" spans="1:20" ht="16" thickBot="1">
      <c r="A72" s="730">
        <v>162</v>
      </c>
      <c r="B72" s="733">
        <f>P72</f>
        <v>0</v>
      </c>
      <c r="C72" s="733">
        <f t="shared" ref="C72" si="11">Q72</f>
        <v>0</v>
      </c>
      <c r="D72" s="733">
        <f t="shared" ref="D72" si="12">R72</f>
        <v>0</v>
      </c>
      <c r="E72" s="733">
        <f t="shared" ref="E72" si="13">S72</f>
        <v>0</v>
      </c>
      <c r="F72" s="733">
        <f t="shared" ref="F72" si="14">T72</f>
        <v>0</v>
      </c>
      <c r="G72" s="733" t="s">
        <v>351</v>
      </c>
      <c r="H72" s="733" t="s">
        <v>3389</v>
      </c>
      <c r="I72" s="841" t="s">
        <v>3716</v>
      </c>
      <c r="J72" s="1681" t="s">
        <v>2962</v>
      </c>
      <c r="K72" s="712" t="s">
        <v>238</v>
      </c>
      <c r="M72" s="1710" t="s">
        <v>3044</v>
      </c>
      <c r="N72" s="1732"/>
      <c r="O72" s="1708">
        <f>O66</f>
        <v>17000</v>
      </c>
      <c r="P72" s="1495">
        <f>$O72*P71</f>
        <v>0</v>
      </c>
      <c r="Q72" s="1495">
        <f t="shared" ref="Q72" si="15">$O72*Q71</f>
        <v>0</v>
      </c>
      <c r="R72" s="1495">
        <f t="shared" ref="R72" si="16">$O72*R71</f>
        <v>0</v>
      </c>
      <c r="S72" s="1495">
        <f t="shared" ref="S72" si="17">$O72*S71</f>
        <v>0</v>
      </c>
      <c r="T72" s="1495">
        <f t="shared" ref="T72" si="18">$O72*T71</f>
        <v>0</v>
      </c>
    </row>
    <row r="73" spans="1:20">
      <c r="K73" s="712" t="s">
        <v>238</v>
      </c>
    </row>
    <row r="74" spans="1:20">
      <c r="K74" s="712" t="s">
        <v>238</v>
      </c>
    </row>
    <row r="75" spans="1:20" ht="19">
      <c r="K75" s="712" t="s">
        <v>238</v>
      </c>
      <c r="L75" s="1879" t="s">
        <v>3390</v>
      </c>
    </row>
    <row r="76" spans="1:20" ht="16" thickBot="1">
      <c r="K76" s="712" t="s">
        <v>238</v>
      </c>
    </row>
    <row r="77" spans="1:20" ht="32">
      <c r="K77" s="712" t="s">
        <v>238</v>
      </c>
      <c r="M77" s="1766" t="s">
        <v>3054</v>
      </c>
      <c r="N77" s="1696"/>
      <c r="O77" s="1767"/>
      <c r="P77" s="1220"/>
      <c r="Q77" s="966"/>
      <c r="R77" s="1768"/>
      <c r="S77" s="966"/>
      <c r="T77" s="967"/>
    </row>
    <row r="78" spans="1:20" ht="32">
      <c r="K78" s="712" t="s">
        <v>238</v>
      </c>
      <c r="M78" s="1769" t="s">
        <v>3055</v>
      </c>
      <c r="N78" s="1693"/>
      <c r="O78" s="958"/>
      <c r="P78" s="1040">
        <v>3</v>
      </c>
      <c r="Q78" s="960"/>
      <c r="R78" s="960"/>
      <c r="S78" s="960"/>
      <c r="T78" s="62"/>
    </row>
    <row r="79" spans="1:20" ht="32">
      <c r="K79" s="712" t="s">
        <v>238</v>
      </c>
      <c r="M79" s="1769" t="s">
        <v>3056</v>
      </c>
      <c r="N79" s="1693"/>
      <c r="O79" s="958"/>
      <c r="P79" s="1040">
        <v>150</v>
      </c>
      <c r="Q79" s="960"/>
      <c r="R79" s="960"/>
      <c r="S79" s="960"/>
      <c r="T79" s="62"/>
    </row>
    <row r="80" spans="1:20" ht="32">
      <c r="K80" s="712" t="s">
        <v>238</v>
      </c>
      <c r="M80" s="1769" t="s">
        <v>3057</v>
      </c>
      <c r="N80" s="1693"/>
      <c r="O80" s="958"/>
      <c r="P80" s="1040">
        <v>1</v>
      </c>
      <c r="Q80" s="960"/>
      <c r="R80" s="960"/>
      <c r="S80" s="960"/>
      <c r="T80" s="62"/>
    </row>
    <row r="81" spans="11:20" ht="32">
      <c r="K81" s="712" t="s">
        <v>238</v>
      </c>
      <c r="M81" s="1769" t="s">
        <v>3052</v>
      </c>
      <c r="N81" s="1693"/>
      <c r="O81" s="1694"/>
      <c r="P81" s="1028">
        <f>ROUND(P79*O81,0)</f>
        <v>0</v>
      </c>
      <c r="Q81" s="960"/>
      <c r="R81" s="960"/>
      <c r="S81" s="960"/>
      <c r="T81" s="62"/>
    </row>
    <row r="82" spans="11:20" ht="32">
      <c r="K82" s="712" t="s">
        <v>238</v>
      </c>
      <c r="M82" s="1769" t="s">
        <v>3053</v>
      </c>
      <c r="N82" s="1693"/>
      <c r="O82" s="1694">
        <v>0.75</v>
      </c>
      <c r="P82" s="1028">
        <f>ROUND(P79*O82,0)</f>
        <v>113</v>
      </c>
      <c r="Q82" s="960"/>
      <c r="R82" s="960"/>
      <c r="S82" s="960"/>
      <c r="T82" s="62"/>
    </row>
    <row r="83" spans="11:20">
      <c r="K83" s="712" t="s">
        <v>238</v>
      </c>
      <c r="M83" s="1770" t="s">
        <v>3036</v>
      </c>
      <c r="N83" s="1019"/>
      <c r="O83" s="1695"/>
      <c r="P83" s="1028">
        <f>P80-1</f>
        <v>0</v>
      </c>
      <c r="Q83" s="960"/>
      <c r="R83" s="960"/>
      <c r="S83" s="960"/>
      <c r="T83" s="62"/>
    </row>
    <row r="84" spans="11:20" ht="16" thickBot="1">
      <c r="K84" s="712" t="s">
        <v>238</v>
      </c>
      <c r="M84" s="1049"/>
      <c r="N84" s="960"/>
      <c r="O84" s="960"/>
      <c r="P84" s="960"/>
      <c r="Q84" s="960"/>
      <c r="R84" s="960"/>
      <c r="S84" s="960"/>
      <c r="T84" s="62"/>
    </row>
    <row r="85" spans="11:20" ht="64">
      <c r="K85" s="712" t="s">
        <v>238</v>
      </c>
      <c r="M85" s="1699" t="s">
        <v>3033</v>
      </c>
      <c r="N85" s="1700" t="s">
        <v>3034</v>
      </c>
      <c r="O85" s="1702" t="s">
        <v>3040</v>
      </c>
      <c r="P85" s="1702" t="s">
        <v>3041</v>
      </c>
      <c r="Q85" s="1702" t="s">
        <v>3042</v>
      </c>
      <c r="R85" s="1700" t="s">
        <v>3035</v>
      </c>
      <c r="S85" s="1702" t="s">
        <v>3039</v>
      </c>
      <c r="T85" s="1701" t="s">
        <v>2189</v>
      </c>
    </row>
    <row r="86" spans="11:20">
      <c r="K86" s="712" t="s">
        <v>238</v>
      </c>
      <c r="M86" s="1539" t="s">
        <v>3051</v>
      </c>
      <c r="N86" s="958" t="str">
        <f>IFERROR(VLOOKUP(M86,Price_list!$B$1:$H$187,2,0),"")</f>
        <v>International Consultancy fee (3.1)</v>
      </c>
      <c r="O86" s="958" t="str">
        <f>IFERROR(VLOOKUP(M86,Price_list!$B$1:$H$187,3,0),"")</f>
        <v>cost/zi</v>
      </c>
      <c r="P86" s="946">
        <f>IFERROR(VLOOKUP(M86,Price_list!$B$1:$H$187,4,0),"")</f>
        <v>350</v>
      </c>
      <c r="Q86" s="946" t="str">
        <f>IFERROR(VLOOKUP(M86,Price_list!$B$1:$H$187,5,0),"")</f>
        <v>EUR</v>
      </c>
      <c r="R86" s="958">
        <f ca="1">ROUND(IFERROR(IF(Q86="MDL",P86,P86*INDIRECT(Q86)),0),2)</f>
        <v>6868.65</v>
      </c>
      <c r="S86" s="946">
        <f>P80</f>
        <v>1</v>
      </c>
      <c r="T86" s="1889">
        <f ca="1">IFERROR(P77*R86*S86,"")</f>
        <v>0</v>
      </c>
    </row>
    <row r="87" spans="11:20">
      <c r="K87" s="712" t="s">
        <v>238</v>
      </c>
      <c r="M87" s="1539" t="s">
        <v>3029</v>
      </c>
      <c r="N87" s="958" t="str">
        <f>IFERROR(VLOOKUP(M87,Price_list!$B$1:$H$187,2,0),"")</f>
        <v xml:space="preserve">Travel costs </v>
      </c>
      <c r="O87" s="958" t="str">
        <f>IFERROR(VLOOKUP(M87,Price_list!$B$1:$H$187,3,0),"")</f>
        <v>cost tichet o directie</v>
      </c>
      <c r="P87" s="946">
        <f>IFERROR(VLOOKUP(M87,Price_list!$B$1:$H$187,4,0),"")</f>
        <v>5000</v>
      </c>
      <c r="Q87" s="946" t="str">
        <f>IFERROR(VLOOKUP(M87,Price_list!$B$1:$H$187,5,0),"")</f>
        <v>MDL</v>
      </c>
      <c r="R87" s="958">
        <f t="shared" ref="R87:R103" ca="1" si="19">ROUND(IFERROR(IF(Q87="MDL",P87,P87*INDIRECT(Q87)),0),2)</f>
        <v>5000</v>
      </c>
      <c r="S87" s="1040">
        <v>2</v>
      </c>
      <c r="T87" s="1889">
        <f ca="1">P77*S87*R87</f>
        <v>0</v>
      </c>
    </row>
    <row r="88" spans="11:20">
      <c r="K88" s="712" t="s">
        <v>238</v>
      </c>
      <c r="M88" s="1539" t="s">
        <v>3020</v>
      </c>
      <c r="N88" s="958" t="str">
        <f>IFERROR(VLOOKUP(M88,Price_list!$B$1:$H$187,2,0),"")</f>
        <v xml:space="preserve">Per diem, WHO DSA, average </v>
      </c>
      <c r="O88" s="958" t="str">
        <f>IFERROR(VLOOKUP(M88,Price_list!$B$1:$H$187,3,0),"")</f>
        <v>diurna</v>
      </c>
      <c r="P88" s="946">
        <f>IFERROR(VLOOKUP(M88,Price_list!$B$1:$H$187,4,0),"")</f>
        <v>200</v>
      </c>
      <c r="Q88" s="946" t="str">
        <f>IFERROR(VLOOKUP(M88,Price_list!$B$1:$H$187,5,0),"")</f>
        <v>EUR</v>
      </c>
      <c r="R88" s="958">
        <f t="shared" ca="1" si="19"/>
        <v>3924.94</v>
      </c>
      <c r="S88" s="946">
        <f>P80+1</f>
        <v>2</v>
      </c>
      <c r="T88" s="1889">
        <f ca="1">P77*R88*S88</f>
        <v>0</v>
      </c>
    </row>
    <row r="89" spans="11:20">
      <c r="K89" s="712" t="s">
        <v>238</v>
      </c>
      <c r="M89" s="1539" t="s">
        <v>3050</v>
      </c>
      <c r="N89" s="958" t="str">
        <f>IFERROR(VLOOKUP(M89,Price_list!$B$1:$H$187,2,0),"")</f>
        <v>National Consultancy fee (3.1)</v>
      </c>
      <c r="O89" s="958" t="str">
        <f>IFERROR(VLOOKUP(M89,Price_list!$B$1:$H$187,3,0),"")</f>
        <v>cost/zi</v>
      </c>
      <c r="P89" s="946">
        <f>IFERROR(VLOOKUP(M89,Price_list!$B$1:$H$187,4,0),"")</f>
        <v>2000</v>
      </c>
      <c r="Q89" s="946" t="str">
        <f>IFERROR(VLOOKUP(M89,Price_list!$B$1:$H$187,5,0),"")</f>
        <v>MDL</v>
      </c>
      <c r="R89" s="958">
        <f t="shared" ca="1" si="19"/>
        <v>2000</v>
      </c>
      <c r="S89" s="946">
        <f>P80</f>
        <v>1</v>
      </c>
      <c r="T89" s="1889">
        <f ca="1">P78*R89*S89</f>
        <v>6000</v>
      </c>
    </row>
    <row r="90" spans="11:20">
      <c r="K90" s="712" t="s">
        <v>238</v>
      </c>
      <c r="M90" s="1539"/>
      <c r="N90" s="958" t="str">
        <f>IFERROR(VLOOKUP(M90,Price_list!$B$1:$H$187,2,0),"")</f>
        <v/>
      </c>
      <c r="O90" s="958" t="str">
        <f>IFERROR(VLOOKUP(M90,Price_list!$B$1:$H$187,3,0),"")</f>
        <v/>
      </c>
      <c r="P90" s="946" t="str">
        <f>IFERROR(VLOOKUP(M90,Price_list!$B$1:$H$187,4,0),"")</f>
        <v/>
      </c>
      <c r="Q90" s="946" t="str">
        <f>IFERROR(VLOOKUP(M90,Price_list!$B$1:$H$187,5,0),"")</f>
        <v/>
      </c>
      <c r="R90" s="958">
        <f t="shared" ca="1" si="19"/>
        <v>0</v>
      </c>
      <c r="S90" s="946" t="str">
        <f>IFERROR(VLOOKUP(AD90,M81:O86,3,0),"")</f>
        <v/>
      </c>
      <c r="T90" s="1889" t="str">
        <f>IFERROR(#REF!*S90*P90,"")</f>
        <v/>
      </c>
    </row>
    <row r="91" spans="11:20">
      <c r="K91" s="712" t="s">
        <v>238</v>
      </c>
      <c r="M91" s="1539"/>
      <c r="N91" s="958" t="str">
        <f>IFERROR(VLOOKUP(M91,Price_list!$B$1:$H$187,2,0),"")</f>
        <v/>
      </c>
      <c r="O91" s="958" t="str">
        <f>IFERROR(VLOOKUP(M91,Price_list!$B$1:$H$187,3,0),"")</f>
        <v/>
      </c>
      <c r="P91" s="946" t="str">
        <f>IFERROR(VLOOKUP(M91,Price_list!$B$1:$H$187,4,0),"")</f>
        <v/>
      </c>
      <c r="Q91" s="946" t="str">
        <f>IFERROR(VLOOKUP(M91,Price_list!$B$1:$H$187,5,0),"")</f>
        <v/>
      </c>
      <c r="R91" s="958">
        <f t="shared" ca="1" si="19"/>
        <v>0</v>
      </c>
      <c r="S91" s="946" t="str">
        <f>IFERROR(VLOOKUP(AD91,M83:O87,3,0),"")</f>
        <v/>
      </c>
      <c r="T91" s="1889" t="str">
        <f>IFERROR(#REF!*S91*P91,"")</f>
        <v/>
      </c>
    </row>
    <row r="92" spans="11:20">
      <c r="K92" s="712" t="s">
        <v>238</v>
      </c>
      <c r="M92" s="1539" t="s">
        <v>3016</v>
      </c>
      <c r="N92" s="958" t="str">
        <f>IFERROR(VLOOKUP(M92,Price_list!$B$1:$H$187,2,0),"")</f>
        <v>Coffe break</v>
      </c>
      <c r="O92" s="958" t="str">
        <f>IFERROR(VLOOKUP(M92,Price_list!$B$1:$H$187,3,0),"")</f>
        <v>unitate</v>
      </c>
      <c r="P92" s="946">
        <f>IFERROR(VLOOKUP(M92,Price_list!$B$1:$H$187,4,0),"")</f>
        <v>75</v>
      </c>
      <c r="Q92" s="946" t="str">
        <f>IFERROR(VLOOKUP(M92,Price_list!$B$1:$H$187,5,0),"")</f>
        <v>MDL</v>
      </c>
      <c r="R92" s="958">
        <f t="shared" ca="1" si="19"/>
        <v>75</v>
      </c>
      <c r="S92" s="946">
        <v>2</v>
      </c>
      <c r="T92" s="1889">
        <f ca="1">S92*R92*P79*P80</f>
        <v>22500</v>
      </c>
    </row>
    <row r="93" spans="11:20">
      <c r="K93" s="712" t="s">
        <v>238</v>
      </c>
      <c r="M93" s="1539" t="s">
        <v>3021</v>
      </c>
      <c r="N93" s="958" t="str">
        <f>IFERROR(VLOOKUP(M93,Price_list!$B$1:$H$187,2,0),"")</f>
        <v xml:space="preserve">Meal ( lunch) </v>
      </c>
      <c r="O93" s="958" t="str">
        <f>IFERROR(VLOOKUP(M93,Price_list!$B$1:$H$187,3,0),"")</f>
        <v>unitate</v>
      </c>
      <c r="P93" s="946">
        <f>IFERROR(VLOOKUP(M93,Price_list!$B$1:$H$187,4,0),"")</f>
        <v>220</v>
      </c>
      <c r="Q93" s="946" t="str">
        <f>IFERROR(VLOOKUP(M93,Price_list!$B$1:$H$187,5,0),"")</f>
        <v>MDL</v>
      </c>
      <c r="R93" s="958">
        <f t="shared" ca="1" si="19"/>
        <v>220</v>
      </c>
      <c r="S93" s="946">
        <f>P80</f>
        <v>1</v>
      </c>
      <c r="T93" s="1889">
        <f ca="1">P79*S93*R93</f>
        <v>33000</v>
      </c>
    </row>
    <row r="94" spans="11:20">
      <c r="K94" s="712" t="s">
        <v>238</v>
      </c>
      <c r="M94" s="1539" t="s">
        <v>3023</v>
      </c>
      <c r="N94" s="958" t="str">
        <f>IFERROR(VLOOKUP(M94,Price_list!$B$1:$H$187,2,0),"")</f>
        <v>Meal(dinner)</v>
      </c>
      <c r="O94" s="958" t="str">
        <f>IFERROR(VLOOKUP(M94,Price_list!$B$1:$H$187,3,0),"")</f>
        <v>unitate</v>
      </c>
      <c r="P94" s="946">
        <f>IFERROR(VLOOKUP(M94,Price_list!$B$1:$H$187,4,0),"")</f>
        <v>220</v>
      </c>
      <c r="Q94" s="946" t="str">
        <f>IFERROR(VLOOKUP(M94,Price_list!$B$1:$H$187,5,0),"")</f>
        <v>MDL</v>
      </c>
      <c r="R94" s="958">
        <f t="shared" ca="1" si="19"/>
        <v>220</v>
      </c>
      <c r="S94" s="946">
        <f>P83</f>
        <v>0</v>
      </c>
      <c r="T94" s="1889">
        <f ca="1">S94*R94*P81</f>
        <v>0</v>
      </c>
    </row>
    <row r="95" spans="11:20">
      <c r="K95" s="712" t="s">
        <v>238</v>
      </c>
      <c r="M95" s="1539" t="s">
        <v>3024</v>
      </c>
      <c r="N95" s="958" t="str">
        <f>IFERROR(VLOOKUP(M95,Price_list!$B$1:$H$187,2,0),"")</f>
        <v xml:space="preserve">Accomodation </v>
      </c>
      <c r="O95" s="958" t="str">
        <f>IFERROR(VLOOKUP(M95,Price_list!$B$1:$H$187,3,0),"")</f>
        <v>cost/noapte</v>
      </c>
      <c r="P95" s="946">
        <f>IFERROR(VLOOKUP(M95,Price_list!$B$1:$H$187,4,0),"")</f>
        <v>750</v>
      </c>
      <c r="Q95" s="946" t="str">
        <f>IFERROR(VLOOKUP(M95,Price_list!$B$1:$H$187,5,0),"")</f>
        <v>MDL</v>
      </c>
      <c r="R95" s="958">
        <f t="shared" ca="1" si="19"/>
        <v>750</v>
      </c>
      <c r="S95" s="946">
        <f>P83</f>
        <v>0</v>
      </c>
      <c r="T95" s="1889">
        <f ca="1">S95*R95*P81</f>
        <v>0</v>
      </c>
    </row>
    <row r="96" spans="11:20">
      <c r="K96" s="712" t="s">
        <v>238</v>
      </c>
      <c r="M96" s="1539" t="s">
        <v>3030</v>
      </c>
      <c r="N96" s="958" t="str">
        <f>IFERROR(VLOOKUP(M96,Price_list!$B$1:$H$187,2,0),"")</f>
        <v>Travel participants</v>
      </c>
      <c r="O96" s="958" t="str">
        <f>IFERROR(VLOOKUP(M96,Price_list!$B$1:$H$187,3,0),"")</f>
        <v>cost tichet o directie</v>
      </c>
      <c r="P96" s="946">
        <f>IFERROR(VLOOKUP(M96,Price_list!$B$1:$H$187,4,0),"")</f>
        <v>80</v>
      </c>
      <c r="Q96" s="946" t="str">
        <f>IFERROR(VLOOKUP(M96,Price_list!$B$1:$H$187,5,0),"")</f>
        <v>MDL</v>
      </c>
      <c r="R96" s="958">
        <f t="shared" ca="1" si="19"/>
        <v>80</v>
      </c>
      <c r="S96" s="1040">
        <v>2</v>
      </c>
      <c r="T96" s="1889">
        <f ca="1">S96*P82*R96</f>
        <v>18080</v>
      </c>
    </row>
    <row r="97" spans="1:22">
      <c r="K97" s="712" t="s">
        <v>238</v>
      </c>
      <c r="M97" s="1539"/>
      <c r="N97" s="958" t="str">
        <f>IFERROR(VLOOKUP(M97,Price_list!$B$1:$H$187,2,0),"")</f>
        <v/>
      </c>
      <c r="O97" s="958" t="str">
        <f>IFERROR(VLOOKUP(M97,Price_list!$B$1:$H$187,3,0),"")</f>
        <v/>
      </c>
      <c r="P97" s="946" t="str">
        <f>IFERROR(VLOOKUP(M97,Price_list!$B$1:$H$187,4,0),"")</f>
        <v/>
      </c>
      <c r="Q97" s="946" t="str">
        <f>IFERROR(VLOOKUP(M97,Price_list!$B$1:$H$187,5,0),"")</f>
        <v/>
      </c>
      <c r="R97" s="958">
        <f t="shared" ca="1" si="19"/>
        <v>0</v>
      </c>
      <c r="S97" s="946" t="str">
        <f>IFERROR(VLOOKUP(AD97,M87:O93,3,0),"")</f>
        <v/>
      </c>
      <c r="T97" s="1889" t="str">
        <f>IFERROR(#REF!*S97*P97,"")</f>
        <v/>
      </c>
    </row>
    <row r="98" spans="1:22">
      <c r="K98" s="712" t="s">
        <v>238</v>
      </c>
      <c r="M98" s="1539" t="s">
        <v>3025</v>
      </c>
      <c r="N98" s="958" t="str">
        <f>IFERROR(VLOOKUP(M98,Price_list!$B$1:$H$187,2,0),"")</f>
        <v>Supplies</v>
      </c>
      <c r="O98" s="958" t="str">
        <f>IFERROR(VLOOKUP(M98,Price_list!$B$1:$H$187,3,0),"")</f>
        <v>set/participant</v>
      </c>
      <c r="P98" s="946">
        <f>IFERROR(VLOOKUP(M98,Price_list!$B$1:$H$187,4,0),"")+U98</f>
        <v>500</v>
      </c>
      <c r="Q98" s="946" t="str">
        <f>IFERROR(VLOOKUP(M98,Price_list!$B$1:$H$187,5,0),"")</f>
        <v>MDL</v>
      </c>
      <c r="R98" s="958">
        <f t="shared" ca="1" si="19"/>
        <v>500</v>
      </c>
      <c r="S98" s="946">
        <v>1</v>
      </c>
      <c r="T98" s="1889">
        <f ca="1">S98*R98*P79</f>
        <v>75000</v>
      </c>
      <c r="U98" s="853">
        <v>360</v>
      </c>
      <c r="V98" t="s">
        <v>3554</v>
      </c>
    </row>
    <row r="99" spans="1:22">
      <c r="K99" s="712" t="s">
        <v>238</v>
      </c>
      <c r="M99" s="1539" t="s">
        <v>3022</v>
      </c>
      <c r="N99" s="958" t="str">
        <f>IFERROR(VLOOKUP(M99,Price_list!$B$1:$H$187,2,0),"")</f>
        <v>Rent of premises</v>
      </c>
      <c r="O99" s="958" t="str">
        <f>IFERROR(VLOOKUP(M99,Price_list!$B$1:$H$187,3,0),"")</f>
        <v>cost/zi</v>
      </c>
      <c r="P99" s="946">
        <f>IFERROR(VLOOKUP(M99,Price_list!$B$1:$H$187,4,0),"")</f>
        <v>1800</v>
      </c>
      <c r="Q99" s="946" t="str">
        <f>IFERROR(VLOOKUP(M99,Price_list!$B$1:$H$187,5,0),"")</f>
        <v>MDL</v>
      </c>
      <c r="R99" s="958">
        <f t="shared" ca="1" si="19"/>
        <v>1800</v>
      </c>
      <c r="S99" s="946">
        <v>0</v>
      </c>
      <c r="T99" s="1889">
        <f ca="1">S99*R99</f>
        <v>0</v>
      </c>
    </row>
    <row r="100" spans="1:22">
      <c r="K100" s="712" t="s">
        <v>238</v>
      </c>
      <c r="M100" s="1539" t="s">
        <v>3031</v>
      </c>
      <c r="N100" s="958" t="str">
        <f>IFERROR(VLOOKUP(M100,Price_list!$B$1:$H$187,2,0),"")</f>
        <v>Interpreter's fee, per day</v>
      </c>
      <c r="O100" s="958" t="str">
        <f>IFERROR(VLOOKUP(M100,Price_list!$B$1:$H$187,3,0),"")</f>
        <v>cost/zi</v>
      </c>
      <c r="P100" s="946">
        <f>IFERROR(VLOOKUP(M100,Price_list!$B$1:$H$187,4,0),"")</f>
        <v>2000</v>
      </c>
      <c r="Q100" s="946" t="str">
        <f>IFERROR(VLOOKUP(M100,Price_list!$B$1:$H$187,5,0),"")</f>
        <v>MDL</v>
      </c>
      <c r="R100" s="958">
        <f t="shared" ca="1" si="19"/>
        <v>2000</v>
      </c>
      <c r="S100" s="946">
        <f t="shared" ref="S100" si="20">P81</f>
        <v>0</v>
      </c>
      <c r="T100" s="1986">
        <f t="shared" ref="T100:T101" ca="1" si="21">S100*R100</f>
        <v>0</v>
      </c>
    </row>
    <row r="101" spans="1:22">
      <c r="K101" s="712" t="s">
        <v>238</v>
      </c>
      <c r="M101" s="1539" t="s">
        <v>3022</v>
      </c>
      <c r="N101" s="958" t="str">
        <f>IFERROR(VLOOKUP(M101,Price_list!$B$1:$H$187,2,0),"")</f>
        <v>Rent of premises</v>
      </c>
      <c r="O101" s="958" t="str">
        <f>IFERROR(VLOOKUP(M101,Price_list!$B$1:$H$187,3,0),"")</f>
        <v>cost/zi</v>
      </c>
      <c r="P101" s="946">
        <f>IFERROR(VLOOKUP(M101,Price_list!$B$1:$H$187,4,0),"")</f>
        <v>1800</v>
      </c>
      <c r="Q101" s="946" t="str">
        <f>IFERROR(VLOOKUP(M101,Price_list!$B$1:$H$187,5,0),"")</f>
        <v>MDL</v>
      </c>
      <c r="R101" s="958">
        <f t="shared" ca="1" si="19"/>
        <v>1800</v>
      </c>
      <c r="S101" s="946">
        <v>0</v>
      </c>
      <c r="T101" s="1986">
        <f t="shared" ca="1" si="21"/>
        <v>0</v>
      </c>
      <c r="U101" s="1270" t="s">
        <v>3989</v>
      </c>
    </row>
    <row r="102" spans="1:22">
      <c r="K102" s="712" t="s">
        <v>238</v>
      </c>
      <c r="M102" s="1539"/>
      <c r="N102" s="958" t="str">
        <f>IFERROR(VLOOKUP(M102,Price_list!$B$1:$H$187,2,0),"")</f>
        <v/>
      </c>
      <c r="O102" s="958" t="str">
        <f>IFERROR(VLOOKUP(M102,Price_list!$B$1:$H$187,3,0),"")</f>
        <v/>
      </c>
      <c r="P102" s="946" t="str">
        <f>IFERROR(VLOOKUP(M102,Price_list!$B$1:$H$187,4,0),"")</f>
        <v/>
      </c>
      <c r="Q102" s="946" t="str">
        <f>IFERROR(VLOOKUP(M102,Price_list!$B$1:$H$187,5,0),"")</f>
        <v/>
      </c>
      <c r="R102" s="958">
        <f t="shared" ca="1" si="19"/>
        <v>0</v>
      </c>
      <c r="S102" s="946" t="str">
        <f>IFERROR(VLOOKUP(AD102,M93:O98,3,0),"")</f>
        <v/>
      </c>
      <c r="T102" s="1889" t="str">
        <f>IFERROR(#REF!*S102*P102,"")</f>
        <v/>
      </c>
    </row>
    <row r="103" spans="1:22">
      <c r="K103" s="712" t="s">
        <v>238</v>
      </c>
      <c r="M103" s="1539"/>
      <c r="N103" s="958" t="str">
        <f>IFERROR(VLOOKUP(M103,Price_list!$B$1:$H$187,2,0),"")</f>
        <v/>
      </c>
      <c r="O103" s="958" t="str">
        <f>IFERROR(VLOOKUP(M103,Price_list!$B$1:$H$187,3,0),"")</f>
        <v/>
      </c>
      <c r="P103" s="946" t="str">
        <f>IFERROR(VLOOKUP(M103,Price_list!$B$1:$H$187,4,0),"")</f>
        <v/>
      </c>
      <c r="Q103" s="946" t="str">
        <f>IFERROR(VLOOKUP(M103,Price_list!$B$1:$H$187,5,0),"")</f>
        <v/>
      </c>
      <c r="R103" s="958">
        <f t="shared" ca="1" si="19"/>
        <v>0</v>
      </c>
      <c r="S103" s="946" t="str">
        <f>IFERROR(VLOOKUP(AD103,M94:O99,3,0),"")</f>
        <v/>
      </c>
      <c r="T103" s="1889" t="str">
        <f>IFERROR(#REF!*S103*P103,"")</f>
        <v/>
      </c>
    </row>
    <row r="104" spans="1:22" ht="16" thickBot="1">
      <c r="K104" s="712" t="s">
        <v>238</v>
      </c>
      <c r="M104" s="1697"/>
      <c r="N104" s="1698" t="str">
        <f>IFERROR(VLOOKUP(M104,Price_list!$B$1:$H$187,2,0),"")</f>
        <v/>
      </c>
      <c r="O104" s="1698" t="str">
        <f>IFERROR(VLOOKUP(M104,Price_list!$B$1:$H$187,3,0),"")</f>
        <v/>
      </c>
      <c r="P104" s="1034" t="str">
        <f>IFERROR(VLOOKUP(M104,Price_list!$B$1:$H$187,4,0),"")</f>
        <v/>
      </c>
      <c r="Q104" s="1034" t="str">
        <f>IFERROR(VLOOKUP(M104,Price_list!$B$1:$H$187,5,0),"")</f>
        <v/>
      </c>
      <c r="R104" s="1698"/>
      <c r="S104" s="1034" t="str">
        <f>IFERROR(VLOOKUP(AD104,M95:O100,3,0),"")</f>
        <v/>
      </c>
      <c r="T104" s="1703">
        <f ca="1">SUM(T86:T103)</f>
        <v>154580</v>
      </c>
    </row>
    <row r="105" spans="1:22">
      <c r="K105" s="712" t="s">
        <v>238</v>
      </c>
      <c r="M105" s="1771" t="s">
        <v>3037</v>
      </c>
      <c r="N105" s="1742" t="s">
        <v>3006</v>
      </c>
      <c r="O105" s="1743"/>
      <c r="P105" s="1772">
        <v>7.0000000000000007E-2</v>
      </c>
      <c r="Q105" s="1773"/>
      <c r="R105" s="1773"/>
      <c r="S105" s="1773"/>
      <c r="T105" s="1774">
        <f ca="1">ROUND(T104*P105,2)</f>
        <v>10820.6</v>
      </c>
    </row>
    <row r="106" spans="1:22" ht="16" thickBot="1">
      <c r="K106" s="712" t="s">
        <v>238</v>
      </c>
      <c r="M106" s="1049"/>
      <c r="N106" s="960"/>
      <c r="O106" s="960"/>
      <c r="P106" s="960"/>
      <c r="Q106" s="960"/>
      <c r="R106" s="960"/>
      <c r="S106" s="960"/>
      <c r="T106" s="62"/>
    </row>
    <row r="107" spans="1:22" ht="16" thickBot="1">
      <c r="K107" s="712" t="s">
        <v>238</v>
      </c>
      <c r="M107" s="1704" t="s">
        <v>3038</v>
      </c>
      <c r="N107" s="1761"/>
      <c r="O107" s="1761"/>
      <c r="P107" s="1761"/>
      <c r="Q107" s="1761"/>
      <c r="R107" s="1761"/>
      <c r="S107" s="1761"/>
      <c r="T107" s="1706">
        <f ca="1">T105+T104</f>
        <v>165400.6</v>
      </c>
    </row>
    <row r="108" spans="1:22">
      <c r="K108" s="712" t="s">
        <v>238</v>
      </c>
      <c r="M108" s="1049"/>
      <c r="N108" s="960"/>
      <c r="O108" s="960"/>
      <c r="P108" s="960"/>
      <c r="Q108" s="960"/>
      <c r="R108" s="960"/>
      <c r="S108" s="960"/>
      <c r="T108" s="62"/>
    </row>
    <row r="109" spans="1:22" ht="16" thickBot="1">
      <c r="K109" s="712" t="s">
        <v>238</v>
      </c>
      <c r="M109" s="1049"/>
      <c r="N109" s="960"/>
      <c r="O109" s="960"/>
      <c r="P109" s="960"/>
      <c r="Q109" s="960"/>
      <c r="R109" s="960"/>
      <c r="S109" s="960"/>
      <c r="T109" s="62"/>
    </row>
    <row r="110" spans="1:22" ht="16" thickBot="1">
      <c r="K110" s="712" t="s">
        <v>238</v>
      </c>
      <c r="M110" s="1049" t="s">
        <v>2171</v>
      </c>
      <c r="N110" s="960"/>
      <c r="O110" s="960"/>
      <c r="P110" s="1500">
        <v>2021</v>
      </c>
      <c r="Q110" s="1762">
        <v>2022</v>
      </c>
      <c r="R110" s="1762">
        <v>2023</v>
      </c>
      <c r="S110" s="1762">
        <v>2024</v>
      </c>
      <c r="T110" s="1763">
        <v>2025</v>
      </c>
    </row>
    <row r="111" spans="1:22" ht="16" thickBot="1">
      <c r="K111" s="712" t="s">
        <v>238</v>
      </c>
      <c r="M111" s="1764" t="s">
        <v>3385</v>
      </c>
      <c r="N111" s="1504"/>
      <c r="O111" s="1504"/>
      <c r="P111" s="1713">
        <v>1</v>
      </c>
      <c r="Q111" s="1713">
        <v>1</v>
      </c>
      <c r="R111" s="1713">
        <v>1</v>
      </c>
      <c r="S111" s="1713">
        <v>0</v>
      </c>
      <c r="T111" s="1765">
        <v>0</v>
      </c>
    </row>
    <row r="112" spans="1:22" ht="16" thickBot="1">
      <c r="A112" s="730">
        <v>163</v>
      </c>
      <c r="B112" s="733">
        <f ca="1">P112</f>
        <v>165400.6</v>
      </c>
      <c r="C112" s="733">
        <f t="shared" ref="C112" ca="1" si="22">Q112</f>
        <v>165400.6</v>
      </c>
      <c r="D112" s="733">
        <f t="shared" ref="D112" ca="1" si="23">R112</f>
        <v>165400.6</v>
      </c>
      <c r="E112" s="733">
        <f t="shared" ref="E112" ca="1" si="24">S112</f>
        <v>0</v>
      </c>
      <c r="F112" s="733">
        <f t="shared" ref="F112" ca="1" si="25">T112</f>
        <v>0</v>
      </c>
      <c r="G112" s="733" t="s">
        <v>351</v>
      </c>
      <c r="H112" s="733" t="s">
        <v>3390</v>
      </c>
      <c r="I112" s="841" t="s">
        <v>3716</v>
      </c>
      <c r="J112" s="1681" t="s">
        <v>2962</v>
      </c>
      <c r="K112" s="712" t="s">
        <v>238</v>
      </c>
      <c r="M112" s="1710" t="s">
        <v>3044</v>
      </c>
      <c r="N112" s="1732"/>
      <c r="O112" s="1708"/>
      <c r="P112" s="1495">
        <f ca="1">T107*P111</f>
        <v>165400.6</v>
      </c>
      <c r="Q112" s="1495">
        <f ca="1">T107*Q111</f>
        <v>165400.6</v>
      </c>
      <c r="R112" s="1495">
        <f ca="1">T107*R111</f>
        <v>165400.6</v>
      </c>
      <c r="S112" s="1495">
        <f ca="1">T107*S111</f>
        <v>0</v>
      </c>
      <c r="T112" s="1495">
        <f ca="1">T107*T111</f>
        <v>0</v>
      </c>
    </row>
    <row r="113" spans="1:20">
      <c r="K113" s="712" t="s">
        <v>238</v>
      </c>
    </row>
    <row r="114" spans="1:20" s="1808" customFormat="1">
      <c r="J114" s="853"/>
      <c r="K114" s="712"/>
    </row>
    <row r="115" spans="1:20" s="1808" customFormat="1">
      <c r="J115" s="853"/>
      <c r="K115" s="712"/>
    </row>
    <row r="116" spans="1:20" s="1808" customFormat="1" ht="19">
      <c r="J116" s="853"/>
      <c r="K116" s="712"/>
      <c r="L116" s="1879" t="s">
        <v>3937</v>
      </c>
    </row>
    <row r="117" spans="1:20" s="1808" customFormat="1" ht="16" thickBot="1">
      <c r="J117" s="853"/>
      <c r="K117" s="712"/>
    </row>
    <row r="118" spans="1:20" s="1808" customFormat="1" ht="64">
      <c r="J118" s="853"/>
      <c r="K118" s="712"/>
      <c r="M118" s="1699" t="s">
        <v>3033</v>
      </c>
      <c r="N118" s="1700" t="s">
        <v>3034</v>
      </c>
      <c r="O118" s="1702" t="s">
        <v>3040</v>
      </c>
      <c r="P118" s="1702" t="s">
        <v>3392</v>
      </c>
      <c r="Q118" s="1702" t="s">
        <v>3555</v>
      </c>
      <c r="R118" s="2444"/>
      <c r="S118" s="960"/>
    </row>
    <row r="119" spans="1:20" s="1808" customFormat="1">
      <c r="J119" s="853"/>
      <c r="K119" s="712"/>
      <c r="M119" s="1539" t="s">
        <v>3050</v>
      </c>
      <c r="N119" s="958" t="str">
        <f>IFERROR(VLOOKUP(M119,Price_list!$B$1:$H$187,2,0),"")</f>
        <v>National Consultancy fee (3.1)</v>
      </c>
      <c r="O119" s="958" t="str">
        <f>IFERROR(VLOOKUP(M119,Price_list!$B$1:$H$187,3,0),"")</f>
        <v>cost/zi</v>
      </c>
      <c r="P119" s="946">
        <f>IFERROR(VLOOKUP(M119,Price_list!$B$1:$H$187,4,0),"")</f>
        <v>2000</v>
      </c>
      <c r="Q119" s="1888">
        <v>3</v>
      </c>
    </row>
    <row r="120" spans="1:20" s="1808" customFormat="1" ht="16" thickBot="1">
      <c r="J120" s="853"/>
      <c r="K120" s="712"/>
    </row>
    <row r="121" spans="1:20" s="1808" customFormat="1" ht="16" thickBot="1">
      <c r="J121" s="853"/>
      <c r="K121" s="712"/>
      <c r="M121" s="1049" t="s">
        <v>2171</v>
      </c>
      <c r="N121" s="960"/>
      <c r="O121" s="960"/>
      <c r="P121" s="1500">
        <v>2021</v>
      </c>
      <c r="Q121" s="1762">
        <v>2022</v>
      </c>
      <c r="R121" s="1762">
        <v>2023</v>
      </c>
      <c r="S121" s="1762">
        <v>2024</v>
      </c>
      <c r="T121" s="1763">
        <v>2025</v>
      </c>
    </row>
    <row r="122" spans="1:20" s="1808" customFormat="1" ht="16" thickBot="1">
      <c r="J122" s="853"/>
      <c r="K122" s="712"/>
      <c r="M122" s="1764" t="s">
        <v>3938</v>
      </c>
      <c r="N122" s="1504"/>
      <c r="O122" s="1504"/>
      <c r="P122" s="1713">
        <v>5</v>
      </c>
      <c r="Q122" s="1713">
        <v>5</v>
      </c>
      <c r="R122" s="1713">
        <v>5</v>
      </c>
      <c r="S122" s="1713">
        <v>0</v>
      </c>
      <c r="T122" s="1765">
        <v>0</v>
      </c>
    </row>
    <row r="123" spans="1:20" s="1808" customFormat="1" ht="16" thickBot="1">
      <c r="A123" s="730">
        <v>143</v>
      </c>
      <c r="B123" s="733">
        <f>P123</f>
        <v>30000</v>
      </c>
      <c r="C123" s="733">
        <f t="shared" ref="C123" si="26">Q123</f>
        <v>30000</v>
      </c>
      <c r="D123" s="733">
        <f t="shared" ref="D123" si="27">R123</f>
        <v>30000</v>
      </c>
      <c r="E123" s="733">
        <f t="shared" ref="E123" si="28">S123</f>
        <v>0</v>
      </c>
      <c r="F123" s="733">
        <f t="shared" ref="F123" si="29">T123</f>
        <v>0</v>
      </c>
      <c r="G123" s="733" t="s">
        <v>351</v>
      </c>
      <c r="H123" s="733" t="s">
        <v>3937</v>
      </c>
      <c r="I123" s="841" t="s">
        <v>3716</v>
      </c>
      <c r="J123" s="1681" t="s">
        <v>2962</v>
      </c>
      <c r="K123" s="712"/>
      <c r="M123" s="1710" t="s">
        <v>3044</v>
      </c>
      <c r="N123" s="1732"/>
      <c r="O123" s="1708">
        <f>P119*Q119</f>
        <v>6000</v>
      </c>
      <c r="P123" s="1803">
        <f>O123*P122</f>
        <v>30000</v>
      </c>
      <c r="Q123" s="1803">
        <f>O123*Q122</f>
        <v>30000</v>
      </c>
      <c r="R123" s="1803">
        <f>O123*R122</f>
        <v>30000</v>
      </c>
      <c r="S123" s="1803">
        <f>O123*S122</f>
        <v>0</v>
      </c>
      <c r="T123" s="1803">
        <f>O123*T122</f>
        <v>0</v>
      </c>
    </row>
    <row r="124" spans="1:20" s="1808" customFormat="1">
      <c r="J124" s="853"/>
      <c r="K124" s="712"/>
    </row>
    <row r="125" spans="1:20" s="1808" customFormat="1">
      <c r="J125" s="853"/>
      <c r="K125" s="712"/>
    </row>
    <row r="126" spans="1:20" s="1808" customFormat="1">
      <c r="J126" s="853"/>
      <c r="K126" s="712"/>
    </row>
    <row r="127" spans="1:20" s="1808" customFormat="1">
      <c r="J127" s="853"/>
      <c r="K127" s="712"/>
    </row>
    <row r="128" spans="1:20" s="1808" customFormat="1">
      <c r="J128" s="853"/>
      <c r="K128" s="712"/>
    </row>
    <row r="129" spans="1:22" s="1808" customFormat="1">
      <c r="J129" s="853"/>
      <c r="K129" s="712"/>
    </row>
    <row r="130" spans="1:22">
      <c r="K130" s="712" t="s">
        <v>238</v>
      </c>
    </row>
    <row r="131" spans="1:22">
      <c r="K131" s="712" t="s">
        <v>238</v>
      </c>
    </row>
    <row r="132" spans="1:22" ht="19">
      <c r="K132" s="712" t="s">
        <v>238</v>
      </c>
      <c r="L132" s="1879" t="s">
        <v>2963</v>
      </c>
    </row>
    <row r="133" spans="1:22">
      <c r="K133" s="712" t="s">
        <v>238</v>
      </c>
    </row>
    <row r="134" spans="1:22" ht="19">
      <c r="K134" s="712" t="s">
        <v>238</v>
      </c>
      <c r="L134" s="1879" t="s">
        <v>3391</v>
      </c>
    </row>
    <row r="135" spans="1:22">
      <c r="K135" s="712" t="s">
        <v>238</v>
      </c>
    </row>
    <row r="136" spans="1:22" ht="16" thickBot="1">
      <c r="K136" s="712" t="s">
        <v>238</v>
      </c>
    </row>
    <row r="137" spans="1:22" ht="64">
      <c r="K137" s="712" t="s">
        <v>238</v>
      </c>
      <c r="M137" s="1699" t="s">
        <v>3033</v>
      </c>
      <c r="N137" s="1700" t="s">
        <v>3034</v>
      </c>
      <c r="O137" s="1702" t="s">
        <v>3040</v>
      </c>
      <c r="P137" s="1702" t="s">
        <v>3392</v>
      </c>
      <c r="Q137" s="1702" t="s">
        <v>3555</v>
      </c>
      <c r="R137" s="2015"/>
    </row>
    <row r="138" spans="1:22">
      <c r="K138" s="712" t="s">
        <v>238</v>
      </c>
      <c r="M138" s="1539" t="s">
        <v>3050</v>
      </c>
      <c r="N138" s="958" t="str">
        <f>IFERROR(VLOOKUP(M138,Price_list!$B$1:$H$187,2,0),"")</f>
        <v>National Consultancy fee (3.1)</v>
      </c>
      <c r="O138" s="958" t="str">
        <f>IFERROR(VLOOKUP(M138,Price_list!$B$1:$H$187,3,0),"")</f>
        <v>cost/zi</v>
      </c>
      <c r="P138" s="946">
        <f>IFERROR(VLOOKUP(M138,Price_list!$B$1:$H$187,4,0),"")</f>
        <v>2000</v>
      </c>
      <c r="Q138" s="1888">
        <v>15</v>
      </c>
      <c r="R138" t="s">
        <v>3540</v>
      </c>
    </row>
    <row r="139" spans="1:22" ht="16" thickBot="1">
      <c r="K139" s="712" t="s">
        <v>238</v>
      </c>
    </row>
    <row r="140" spans="1:22" ht="16" thickBot="1">
      <c r="K140" s="712" t="s">
        <v>238</v>
      </c>
      <c r="M140" s="1049" t="s">
        <v>2171</v>
      </c>
      <c r="N140" s="960"/>
      <c r="O140" s="960"/>
      <c r="P140" s="1500">
        <v>2021</v>
      </c>
      <c r="Q140" s="1762">
        <v>2022</v>
      </c>
      <c r="R140" s="1762">
        <v>2023</v>
      </c>
      <c r="S140" s="1762">
        <v>2024</v>
      </c>
      <c r="T140" s="1763">
        <v>2025</v>
      </c>
    </row>
    <row r="141" spans="1:22" ht="16" thickBot="1">
      <c r="K141" s="712" t="s">
        <v>238</v>
      </c>
      <c r="M141" s="1764" t="s">
        <v>3385</v>
      </c>
      <c r="N141" s="1504"/>
      <c r="O141" s="1504"/>
      <c r="P141" s="2477">
        <v>1</v>
      </c>
      <c r="Q141" s="2477">
        <v>1</v>
      </c>
      <c r="R141" s="2477">
        <v>1</v>
      </c>
      <c r="S141" s="1713">
        <v>0</v>
      </c>
      <c r="T141" s="1765">
        <v>0</v>
      </c>
      <c r="V141" t="s">
        <v>3990</v>
      </c>
    </row>
    <row r="142" spans="1:22" ht="16" thickBot="1">
      <c r="A142" s="730">
        <v>213</v>
      </c>
      <c r="B142" s="733">
        <f>P142</f>
        <v>30000</v>
      </c>
      <c r="C142" s="733">
        <f t="shared" ref="C142:F142" si="30">Q142</f>
        <v>30000</v>
      </c>
      <c r="D142" s="733">
        <f t="shared" si="30"/>
        <v>30000</v>
      </c>
      <c r="E142" s="733">
        <f t="shared" si="30"/>
        <v>0</v>
      </c>
      <c r="F142" s="733">
        <f t="shared" si="30"/>
        <v>0</v>
      </c>
      <c r="G142" s="733" t="s">
        <v>351</v>
      </c>
      <c r="H142" s="733" t="s">
        <v>3391</v>
      </c>
      <c r="I142" s="841" t="s">
        <v>3716</v>
      </c>
      <c r="J142" s="1681" t="s">
        <v>2963</v>
      </c>
      <c r="K142" s="712" t="s">
        <v>238</v>
      </c>
      <c r="M142" s="1710" t="s">
        <v>3044</v>
      </c>
      <c r="N142" s="1732"/>
      <c r="O142" s="1708">
        <f>P138*Q138</f>
        <v>30000</v>
      </c>
      <c r="P142" s="1803">
        <f>O142*P141</f>
        <v>30000</v>
      </c>
      <c r="Q142" s="1803">
        <f>O142*Q141</f>
        <v>30000</v>
      </c>
      <c r="R142" s="1803">
        <f>O142*R141</f>
        <v>30000</v>
      </c>
      <c r="S142" s="1803">
        <f>O142*S141</f>
        <v>0</v>
      </c>
      <c r="T142" s="1803">
        <f>O142*T141</f>
        <v>0</v>
      </c>
    </row>
    <row r="143" spans="1:22">
      <c r="K143" s="712" t="s">
        <v>238</v>
      </c>
    </row>
    <row r="144" spans="1:22">
      <c r="K144" s="712" t="s">
        <v>238</v>
      </c>
    </row>
    <row r="145" spans="10:30" ht="19">
      <c r="K145" s="712" t="s">
        <v>238</v>
      </c>
      <c r="L145" s="1879" t="s">
        <v>3458</v>
      </c>
    </row>
    <row r="146" spans="10:30">
      <c r="K146" s="712" t="s">
        <v>238</v>
      </c>
    </row>
    <row r="147" spans="10:30" s="1808" customFormat="1" ht="20" thickBot="1">
      <c r="J147" s="853"/>
      <c r="K147" s="712"/>
      <c r="L147" s="1879" t="s">
        <v>3455</v>
      </c>
      <c r="T147" s="1808" t="s">
        <v>3457</v>
      </c>
      <c r="Z147" s="1808" t="s">
        <v>2189</v>
      </c>
    </row>
    <row r="148" spans="10:30" ht="33" thickBot="1">
      <c r="K148" s="712" t="s">
        <v>238</v>
      </c>
      <c r="L148" s="1944" t="s">
        <v>453</v>
      </c>
      <c r="M148" s="1945" t="s">
        <v>3448</v>
      </c>
      <c r="N148" s="1945" t="s">
        <v>3449</v>
      </c>
      <c r="O148" s="1946" t="s">
        <v>3450</v>
      </c>
      <c r="P148" s="1945" t="s">
        <v>3451</v>
      </c>
      <c r="Q148" s="1945" t="s">
        <v>3452</v>
      </c>
      <c r="T148" s="1499">
        <v>2021</v>
      </c>
      <c r="U148" s="1499">
        <v>2022</v>
      </c>
      <c r="V148" s="1499">
        <v>2023</v>
      </c>
      <c r="W148" s="1499">
        <v>2024</v>
      </c>
      <c r="X148" s="1499">
        <v>2025</v>
      </c>
      <c r="Z148" s="1499">
        <v>2021</v>
      </c>
      <c r="AA148" s="1499">
        <v>2022</v>
      </c>
      <c r="AB148" s="1499">
        <v>2023</v>
      </c>
      <c r="AC148" s="1499">
        <v>2024</v>
      </c>
      <c r="AD148" s="1499">
        <v>2025</v>
      </c>
    </row>
    <row r="149" spans="10:30">
      <c r="K149" s="712" t="s">
        <v>238</v>
      </c>
      <c r="L149" s="1948">
        <v>1</v>
      </c>
      <c r="M149" s="1958" t="s">
        <v>3395</v>
      </c>
      <c r="N149" s="1949">
        <v>4</v>
      </c>
      <c r="O149" s="1948">
        <v>4000</v>
      </c>
      <c r="P149" s="1953">
        <v>0.63</v>
      </c>
      <c r="Q149" s="1948">
        <f>O149*P149</f>
        <v>2520</v>
      </c>
      <c r="T149" s="1040">
        <v>1</v>
      </c>
      <c r="U149" s="1040"/>
      <c r="V149" s="1040"/>
      <c r="W149" s="1040"/>
      <c r="X149" s="1040"/>
      <c r="Z149" s="958">
        <f t="shared" ref="Z149:Z184" si="31">Q149*T149</f>
        <v>2520</v>
      </c>
      <c r="AA149" s="958">
        <f t="shared" ref="AA149:AA184" si="32">Q149*U149</f>
        <v>0</v>
      </c>
      <c r="AB149" s="958">
        <f t="shared" ref="AB149:AB184" si="33">Q149*V149</f>
        <v>0</v>
      </c>
      <c r="AC149" s="958">
        <f t="shared" ref="AC149:AC184" si="34">Q149*W149</f>
        <v>0</v>
      </c>
      <c r="AD149" s="958">
        <f t="shared" ref="AD149:AD184" si="35">Q149*X149</f>
        <v>0</v>
      </c>
    </row>
    <row r="150" spans="10:30">
      <c r="K150" s="712" t="s">
        <v>238</v>
      </c>
      <c r="L150" s="1948">
        <v>2</v>
      </c>
      <c r="M150" s="1958" t="s">
        <v>3396</v>
      </c>
      <c r="N150" s="1949">
        <v>4</v>
      </c>
      <c r="O150" s="1948">
        <v>4000</v>
      </c>
      <c r="P150" s="1953">
        <v>0.63</v>
      </c>
      <c r="Q150" s="1948">
        <f t="shared" ref="Q150:Q184" si="36">O150*P150</f>
        <v>2520</v>
      </c>
      <c r="T150" s="1040">
        <v>1</v>
      </c>
      <c r="U150" s="1040"/>
      <c r="V150" s="1040"/>
      <c r="W150" s="1040"/>
      <c r="X150" s="1040"/>
      <c r="Z150" s="958">
        <f t="shared" si="31"/>
        <v>2520</v>
      </c>
      <c r="AA150" s="958">
        <f t="shared" si="32"/>
        <v>0</v>
      </c>
      <c r="AB150" s="958">
        <f t="shared" si="33"/>
        <v>0</v>
      </c>
      <c r="AC150" s="958">
        <f t="shared" si="34"/>
        <v>0</v>
      </c>
      <c r="AD150" s="958">
        <f t="shared" si="35"/>
        <v>0</v>
      </c>
    </row>
    <row r="151" spans="10:30">
      <c r="K151" s="712" t="s">
        <v>238</v>
      </c>
      <c r="L151" s="1948">
        <v>3</v>
      </c>
      <c r="M151" s="1958" t="s">
        <v>3397</v>
      </c>
      <c r="N151" s="1949">
        <v>4</v>
      </c>
      <c r="O151" s="1948">
        <v>2000</v>
      </c>
      <c r="P151" s="1948">
        <v>0.75</v>
      </c>
      <c r="Q151" s="1948">
        <f t="shared" si="36"/>
        <v>1500</v>
      </c>
      <c r="T151" s="1040">
        <v>1</v>
      </c>
      <c r="U151" s="1040"/>
      <c r="V151" s="1040"/>
      <c r="W151" s="1040"/>
      <c r="X151" s="1040"/>
      <c r="Z151" s="958">
        <f t="shared" si="31"/>
        <v>1500</v>
      </c>
      <c r="AA151" s="958">
        <f t="shared" si="32"/>
        <v>0</v>
      </c>
      <c r="AB151" s="958">
        <f t="shared" si="33"/>
        <v>0</v>
      </c>
      <c r="AC151" s="958">
        <f t="shared" si="34"/>
        <v>0</v>
      </c>
      <c r="AD151" s="958">
        <f t="shared" si="35"/>
        <v>0</v>
      </c>
    </row>
    <row r="152" spans="10:30">
      <c r="K152" s="712" t="s">
        <v>238</v>
      </c>
      <c r="L152" s="1948">
        <v>4</v>
      </c>
      <c r="M152" s="1958" t="s">
        <v>3398</v>
      </c>
      <c r="N152" s="1948">
        <v>4</v>
      </c>
      <c r="O152" s="1948">
        <v>2000</v>
      </c>
      <c r="P152" s="1948">
        <v>0.75</v>
      </c>
      <c r="Q152" s="1948">
        <f>O152*P152</f>
        <v>1500</v>
      </c>
      <c r="T152" s="1040">
        <v>1</v>
      </c>
      <c r="U152" s="1040"/>
      <c r="V152" s="1040"/>
      <c r="W152" s="1040"/>
      <c r="X152" s="1040"/>
      <c r="Z152" s="958">
        <f t="shared" si="31"/>
        <v>1500</v>
      </c>
      <c r="AA152" s="958">
        <f t="shared" si="32"/>
        <v>0</v>
      </c>
      <c r="AB152" s="958">
        <f t="shared" si="33"/>
        <v>0</v>
      </c>
      <c r="AC152" s="958">
        <f t="shared" si="34"/>
        <v>0</v>
      </c>
      <c r="AD152" s="958">
        <f t="shared" si="35"/>
        <v>0</v>
      </c>
    </row>
    <row r="153" spans="10:30">
      <c r="K153" s="712" t="s">
        <v>238</v>
      </c>
      <c r="L153" s="1948">
        <v>5</v>
      </c>
      <c r="M153" s="1958" t="s">
        <v>3399</v>
      </c>
      <c r="N153" s="1948">
        <v>4</v>
      </c>
      <c r="O153" s="1948">
        <v>4000</v>
      </c>
      <c r="P153" s="1948">
        <v>0.63</v>
      </c>
      <c r="Q153" s="1948">
        <f t="shared" si="36"/>
        <v>2520</v>
      </c>
      <c r="T153" s="1040">
        <v>1</v>
      </c>
      <c r="U153" s="1040"/>
      <c r="V153" s="1040"/>
      <c r="W153" s="1040"/>
      <c r="X153" s="1040"/>
      <c r="Z153" s="958">
        <f t="shared" si="31"/>
        <v>2520</v>
      </c>
      <c r="AA153" s="958">
        <f t="shared" si="32"/>
        <v>0</v>
      </c>
      <c r="AB153" s="958">
        <f t="shared" si="33"/>
        <v>0</v>
      </c>
      <c r="AC153" s="958">
        <f t="shared" si="34"/>
        <v>0</v>
      </c>
      <c r="AD153" s="958">
        <f t="shared" si="35"/>
        <v>0</v>
      </c>
    </row>
    <row r="154" spans="10:30">
      <c r="K154" s="712" t="s">
        <v>238</v>
      </c>
      <c r="L154" s="1948">
        <v>6</v>
      </c>
      <c r="M154" s="1958" t="s">
        <v>3400</v>
      </c>
      <c r="N154" s="1948">
        <v>4</v>
      </c>
      <c r="O154" s="1948">
        <v>2000</v>
      </c>
      <c r="P154" s="1948">
        <v>0.75</v>
      </c>
      <c r="Q154" s="1948">
        <f t="shared" si="36"/>
        <v>1500</v>
      </c>
      <c r="T154" s="1040">
        <v>1</v>
      </c>
      <c r="U154" s="1040"/>
      <c r="V154" s="1040"/>
      <c r="W154" s="1040"/>
      <c r="X154" s="1040"/>
      <c r="Z154" s="958">
        <f t="shared" si="31"/>
        <v>1500</v>
      </c>
      <c r="AA154" s="958">
        <f t="shared" si="32"/>
        <v>0</v>
      </c>
      <c r="AB154" s="958">
        <f t="shared" si="33"/>
        <v>0</v>
      </c>
      <c r="AC154" s="958">
        <f t="shared" si="34"/>
        <v>0</v>
      </c>
      <c r="AD154" s="958">
        <f t="shared" si="35"/>
        <v>0</v>
      </c>
    </row>
    <row r="155" spans="10:30">
      <c r="K155" s="712" t="s">
        <v>238</v>
      </c>
      <c r="L155" s="1948">
        <v>7</v>
      </c>
      <c r="M155" s="1958" t="s">
        <v>3401</v>
      </c>
      <c r="N155" s="1948">
        <v>4</v>
      </c>
      <c r="O155" s="1948">
        <v>4000</v>
      </c>
      <c r="P155" s="1948">
        <v>0.63</v>
      </c>
      <c r="Q155" s="1948">
        <f t="shared" si="36"/>
        <v>2520</v>
      </c>
      <c r="T155" s="1040">
        <v>1</v>
      </c>
      <c r="U155" s="1040"/>
      <c r="V155" s="1040"/>
      <c r="W155" s="1040"/>
      <c r="X155" s="1040"/>
      <c r="Z155" s="958">
        <f t="shared" si="31"/>
        <v>2520</v>
      </c>
      <c r="AA155" s="958">
        <f t="shared" si="32"/>
        <v>0</v>
      </c>
      <c r="AB155" s="958">
        <f t="shared" si="33"/>
        <v>0</v>
      </c>
      <c r="AC155" s="958">
        <f t="shared" si="34"/>
        <v>0</v>
      </c>
      <c r="AD155" s="958">
        <f t="shared" si="35"/>
        <v>0</v>
      </c>
    </row>
    <row r="156" spans="10:30">
      <c r="K156" s="712" t="s">
        <v>238</v>
      </c>
      <c r="L156" s="1948">
        <v>8</v>
      </c>
      <c r="M156" s="1958" t="s">
        <v>3402</v>
      </c>
      <c r="N156" s="1948">
        <v>4</v>
      </c>
      <c r="O156" s="1948">
        <v>2000</v>
      </c>
      <c r="P156" s="1948">
        <v>0.75</v>
      </c>
      <c r="Q156" s="1948">
        <f t="shared" si="36"/>
        <v>1500</v>
      </c>
      <c r="T156" s="1040">
        <v>1</v>
      </c>
      <c r="U156" s="1040"/>
      <c r="V156" s="1040"/>
      <c r="W156" s="1040"/>
      <c r="X156" s="1040"/>
      <c r="Z156" s="958">
        <f t="shared" si="31"/>
        <v>1500</v>
      </c>
      <c r="AA156" s="958">
        <f t="shared" si="32"/>
        <v>0</v>
      </c>
      <c r="AB156" s="958">
        <f t="shared" si="33"/>
        <v>0</v>
      </c>
      <c r="AC156" s="958">
        <f t="shared" si="34"/>
        <v>0</v>
      </c>
      <c r="AD156" s="958">
        <f t="shared" si="35"/>
        <v>0</v>
      </c>
    </row>
    <row r="157" spans="10:30">
      <c r="K157" s="712" t="s">
        <v>238</v>
      </c>
      <c r="L157" s="1948">
        <v>9</v>
      </c>
      <c r="M157" s="1958" t="s">
        <v>3403</v>
      </c>
      <c r="N157" s="1948">
        <v>1</v>
      </c>
      <c r="O157" s="1948">
        <v>10000</v>
      </c>
      <c r="P157" s="1948">
        <v>0.25</v>
      </c>
      <c r="Q157" s="1948">
        <f t="shared" si="36"/>
        <v>2500</v>
      </c>
      <c r="T157" s="1040">
        <v>1</v>
      </c>
      <c r="U157" s="1040"/>
      <c r="V157" s="1040"/>
      <c r="W157" s="1040"/>
      <c r="X157" s="1040"/>
      <c r="Z157" s="958">
        <f t="shared" si="31"/>
        <v>2500</v>
      </c>
      <c r="AA157" s="958">
        <f t="shared" si="32"/>
        <v>0</v>
      </c>
      <c r="AB157" s="958">
        <f t="shared" si="33"/>
        <v>0</v>
      </c>
      <c r="AC157" s="958">
        <f t="shared" si="34"/>
        <v>0</v>
      </c>
      <c r="AD157" s="958">
        <f t="shared" si="35"/>
        <v>0</v>
      </c>
    </row>
    <row r="158" spans="10:30">
      <c r="K158" s="712" t="s">
        <v>238</v>
      </c>
      <c r="L158" s="1948">
        <v>10</v>
      </c>
      <c r="M158" s="1958" t="s">
        <v>3404</v>
      </c>
      <c r="N158" s="1948">
        <v>1</v>
      </c>
      <c r="O158" s="1948">
        <v>10000</v>
      </c>
      <c r="P158" s="1948">
        <v>0.25</v>
      </c>
      <c r="Q158" s="1948">
        <f t="shared" si="36"/>
        <v>2500</v>
      </c>
      <c r="T158" s="1040">
        <v>1</v>
      </c>
      <c r="U158" s="1040"/>
      <c r="V158" s="1040"/>
      <c r="W158" s="1040"/>
      <c r="X158" s="1040"/>
      <c r="Z158" s="958">
        <f t="shared" si="31"/>
        <v>2500</v>
      </c>
      <c r="AA158" s="958">
        <f t="shared" si="32"/>
        <v>0</v>
      </c>
      <c r="AB158" s="958">
        <f t="shared" si="33"/>
        <v>0</v>
      </c>
      <c r="AC158" s="958">
        <f t="shared" si="34"/>
        <v>0</v>
      </c>
      <c r="AD158" s="958">
        <f t="shared" si="35"/>
        <v>0</v>
      </c>
    </row>
    <row r="159" spans="10:30">
      <c r="K159" s="712" t="s">
        <v>238</v>
      </c>
      <c r="L159" s="1948">
        <v>11</v>
      </c>
      <c r="M159" s="1958" t="s">
        <v>3405</v>
      </c>
      <c r="N159" s="1948">
        <v>1</v>
      </c>
      <c r="O159" s="1948">
        <v>10000</v>
      </c>
      <c r="P159" s="1948">
        <v>0.3</v>
      </c>
      <c r="Q159" s="1948">
        <f t="shared" si="36"/>
        <v>3000</v>
      </c>
      <c r="T159" s="1040">
        <v>1</v>
      </c>
      <c r="U159" s="1040"/>
      <c r="V159" s="1040"/>
      <c r="W159" s="1040"/>
      <c r="X159" s="1040"/>
      <c r="Z159" s="958">
        <f t="shared" si="31"/>
        <v>3000</v>
      </c>
      <c r="AA159" s="958">
        <f t="shared" si="32"/>
        <v>0</v>
      </c>
      <c r="AB159" s="958">
        <f t="shared" si="33"/>
        <v>0</v>
      </c>
      <c r="AC159" s="958">
        <f t="shared" si="34"/>
        <v>0</v>
      </c>
      <c r="AD159" s="958">
        <f t="shared" si="35"/>
        <v>0</v>
      </c>
    </row>
    <row r="160" spans="10:30">
      <c r="K160" s="712" t="s">
        <v>238</v>
      </c>
      <c r="L160" s="1948">
        <v>12</v>
      </c>
      <c r="M160" s="1958" t="s">
        <v>3406</v>
      </c>
      <c r="N160" s="1948">
        <v>1</v>
      </c>
      <c r="O160" s="1948">
        <v>5000</v>
      </c>
      <c r="P160" s="1948">
        <v>0.35</v>
      </c>
      <c r="Q160" s="1948">
        <f t="shared" si="36"/>
        <v>1750</v>
      </c>
      <c r="T160" s="1040">
        <v>1</v>
      </c>
      <c r="U160" s="1040"/>
      <c r="V160" s="1040"/>
      <c r="W160" s="1040"/>
      <c r="X160" s="1040"/>
      <c r="Z160" s="958">
        <f t="shared" si="31"/>
        <v>1750</v>
      </c>
      <c r="AA160" s="958">
        <f t="shared" si="32"/>
        <v>0</v>
      </c>
      <c r="AB160" s="958">
        <f t="shared" si="33"/>
        <v>0</v>
      </c>
      <c r="AC160" s="958">
        <f t="shared" si="34"/>
        <v>0</v>
      </c>
      <c r="AD160" s="958">
        <f t="shared" si="35"/>
        <v>0</v>
      </c>
    </row>
    <row r="161" spans="11:30">
      <c r="K161" s="712" t="s">
        <v>238</v>
      </c>
      <c r="L161" s="1948">
        <v>13</v>
      </c>
      <c r="M161" s="1958" t="s">
        <v>3407</v>
      </c>
      <c r="N161" s="1948">
        <v>1</v>
      </c>
      <c r="O161" s="1948">
        <v>1000</v>
      </c>
      <c r="P161" s="1948">
        <v>1.98</v>
      </c>
      <c r="Q161" s="1948">
        <f t="shared" si="36"/>
        <v>1980</v>
      </c>
      <c r="T161" s="1040">
        <v>1</v>
      </c>
      <c r="U161" s="1040"/>
      <c r="V161" s="1040"/>
      <c r="W161" s="1040"/>
      <c r="X161" s="1040"/>
      <c r="Z161" s="958">
        <f t="shared" si="31"/>
        <v>1980</v>
      </c>
      <c r="AA161" s="958">
        <f t="shared" si="32"/>
        <v>0</v>
      </c>
      <c r="AB161" s="958">
        <f t="shared" si="33"/>
        <v>0</v>
      </c>
      <c r="AC161" s="958">
        <f t="shared" si="34"/>
        <v>0</v>
      </c>
      <c r="AD161" s="958">
        <f t="shared" si="35"/>
        <v>0</v>
      </c>
    </row>
    <row r="162" spans="11:30">
      <c r="K162" s="712" t="s">
        <v>238</v>
      </c>
      <c r="L162" s="1948">
        <v>14</v>
      </c>
      <c r="M162" s="1958" t="s">
        <v>3408</v>
      </c>
      <c r="N162" s="1948">
        <v>1</v>
      </c>
      <c r="O162" s="1948">
        <v>1000</v>
      </c>
      <c r="P162" s="1948">
        <v>1.98</v>
      </c>
      <c r="Q162" s="1948">
        <f t="shared" si="36"/>
        <v>1980</v>
      </c>
      <c r="T162" s="1040">
        <v>1</v>
      </c>
      <c r="U162" s="1040"/>
      <c r="V162" s="1040"/>
      <c r="W162" s="1040"/>
      <c r="X162" s="1040"/>
      <c r="Z162" s="958">
        <f t="shared" si="31"/>
        <v>1980</v>
      </c>
      <c r="AA162" s="958">
        <f t="shared" si="32"/>
        <v>0</v>
      </c>
      <c r="AB162" s="958">
        <f t="shared" si="33"/>
        <v>0</v>
      </c>
      <c r="AC162" s="958">
        <f t="shared" si="34"/>
        <v>0</v>
      </c>
      <c r="AD162" s="958">
        <f t="shared" si="35"/>
        <v>0</v>
      </c>
    </row>
    <row r="163" spans="11:30">
      <c r="K163" s="712" t="s">
        <v>238</v>
      </c>
      <c r="L163" s="1948">
        <v>15</v>
      </c>
      <c r="M163" s="1958" t="s">
        <v>3409</v>
      </c>
      <c r="N163" s="1948">
        <v>1</v>
      </c>
      <c r="O163" s="1948">
        <v>1000</v>
      </c>
      <c r="P163" s="1948">
        <v>1.98</v>
      </c>
      <c r="Q163" s="1948">
        <f t="shared" si="36"/>
        <v>1980</v>
      </c>
      <c r="T163" s="1040">
        <v>1</v>
      </c>
      <c r="U163" s="1040"/>
      <c r="V163" s="1040"/>
      <c r="W163" s="1040"/>
      <c r="X163" s="1040"/>
      <c r="Z163" s="958">
        <f t="shared" si="31"/>
        <v>1980</v>
      </c>
      <c r="AA163" s="958">
        <f t="shared" si="32"/>
        <v>0</v>
      </c>
      <c r="AB163" s="958">
        <f t="shared" si="33"/>
        <v>0</v>
      </c>
      <c r="AC163" s="958">
        <f t="shared" si="34"/>
        <v>0</v>
      </c>
      <c r="AD163" s="958">
        <f t="shared" si="35"/>
        <v>0</v>
      </c>
    </row>
    <row r="164" spans="11:30">
      <c r="K164" s="712" t="s">
        <v>238</v>
      </c>
      <c r="L164" s="1948">
        <v>16</v>
      </c>
      <c r="M164" s="1958" t="s">
        <v>3410</v>
      </c>
      <c r="N164" s="1948">
        <v>1</v>
      </c>
      <c r="O164" s="1948">
        <v>1000</v>
      </c>
      <c r="P164" s="1948">
        <v>1.98</v>
      </c>
      <c r="Q164" s="1948">
        <f t="shared" si="36"/>
        <v>1980</v>
      </c>
      <c r="T164" s="1040">
        <v>1</v>
      </c>
      <c r="U164" s="1040"/>
      <c r="V164" s="1040"/>
      <c r="W164" s="1040"/>
      <c r="X164" s="1040"/>
      <c r="Z164" s="958">
        <f t="shared" si="31"/>
        <v>1980</v>
      </c>
      <c r="AA164" s="958">
        <f t="shared" si="32"/>
        <v>0</v>
      </c>
      <c r="AB164" s="958">
        <f t="shared" si="33"/>
        <v>0</v>
      </c>
      <c r="AC164" s="958">
        <f t="shared" si="34"/>
        <v>0</v>
      </c>
      <c r="AD164" s="958">
        <f t="shared" si="35"/>
        <v>0</v>
      </c>
    </row>
    <row r="165" spans="11:30">
      <c r="K165" s="712" t="s">
        <v>238</v>
      </c>
      <c r="L165" s="1948">
        <v>17</v>
      </c>
      <c r="M165" s="1958" t="s">
        <v>3411</v>
      </c>
      <c r="N165" s="1948">
        <v>1</v>
      </c>
      <c r="O165" s="1948">
        <v>1000</v>
      </c>
      <c r="P165" s="1948">
        <v>1.75</v>
      </c>
      <c r="Q165" s="1948">
        <f t="shared" si="36"/>
        <v>1750</v>
      </c>
      <c r="T165" s="1040">
        <v>1</v>
      </c>
      <c r="U165" s="1040"/>
      <c r="V165" s="1040"/>
      <c r="W165" s="1040"/>
      <c r="X165" s="1040"/>
      <c r="Z165" s="958">
        <f t="shared" si="31"/>
        <v>1750</v>
      </c>
      <c r="AA165" s="958">
        <f t="shared" si="32"/>
        <v>0</v>
      </c>
      <c r="AB165" s="958">
        <f t="shared" si="33"/>
        <v>0</v>
      </c>
      <c r="AC165" s="958">
        <f t="shared" si="34"/>
        <v>0</v>
      </c>
      <c r="AD165" s="958">
        <f t="shared" si="35"/>
        <v>0</v>
      </c>
    </row>
    <row r="166" spans="11:30">
      <c r="K166" s="712" t="s">
        <v>238</v>
      </c>
      <c r="L166" s="1948">
        <v>18</v>
      </c>
      <c r="M166" s="1958" t="s">
        <v>3412</v>
      </c>
      <c r="N166" s="1948">
        <v>1</v>
      </c>
      <c r="O166" s="1948">
        <v>1000</v>
      </c>
      <c r="P166" s="1948">
        <v>1.98</v>
      </c>
      <c r="Q166" s="1948">
        <f t="shared" si="36"/>
        <v>1980</v>
      </c>
      <c r="T166" s="1040">
        <v>1</v>
      </c>
      <c r="U166" s="1040"/>
      <c r="V166" s="1040"/>
      <c r="W166" s="1040"/>
      <c r="X166" s="1040"/>
      <c r="Z166" s="958">
        <f t="shared" si="31"/>
        <v>1980</v>
      </c>
      <c r="AA166" s="958">
        <f t="shared" si="32"/>
        <v>0</v>
      </c>
      <c r="AB166" s="958">
        <f t="shared" si="33"/>
        <v>0</v>
      </c>
      <c r="AC166" s="958">
        <f t="shared" si="34"/>
        <v>0</v>
      </c>
      <c r="AD166" s="958">
        <f t="shared" si="35"/>
        <v>0</v>
      </c>
    </row>
    <row r="167" spans="11:30">
      <c r="K167" s="712" t="s">
        <v>238</v>
      </c>
      <c r="L167" s="1948">
        <v>19</v>
      </c>
      <c r="M167" s="1958" t="s">
        <v>3413</v>
      </c>
      <c r="N167" s="1948">
        <v>1</v>
      </c>
      <c r="O167" s="1948">
        <v>1000</v>
      </c>
      <c r="P167" s="1948">
        <v>1.75</v>
      </c>
      <c r="Q167" s="1948">
        <f t="shared" si="36"/>
        <v>1750</v>
      </c>
      <c r="T167" s="1040">
        <v>1</v>
      </c>
      <c r="U167" s="1040"/>
      <c r="V167" s="1040"/>
      <c r="W167" s="1040"/>
      <c r="X167" s="1040"/>
      <c r="Z167" s="958">
        <f t="shared" si="31"/>
        <v>1750</v>
      </c>
      <c r="AA167" s="958">
        <f t="shared" si="32"/>
        <v>0</v>
      </c>
      <c r="AB167" s="958">
        <f t="shared" si="33"/>
        <v>0</v>
      </c>
      <c r="AC167" s="958">
        <f t="shared" si="34"/>
        <v>0</v>
      </c>
      <c r="AD167" s="958">
        <f t="shared" si="35"/>
        <v>0</v>
      </c>
    </row>
    <row r="168" spans="11:30">
      <c r="K168" s="712" t="s">
        <v>238</v>
      </c>
      <c r="L168" s="1948">
        <v>20</v>
      </c>
      <c r="M168" s="1958" t="s">
        <v>3414</v>
      </c>
      <c r="N168" s="1948">
        <v>1</v>
      </c>
      <c r="O168" s="1948">
        <v>1000</v>
      </c>
      <c r="P168" s="1948">
        <v>1.98</v>
      </c>
      <c r="Q168" s="1948">
        <f t="shared" si="36"/>
        <v>1980</v>
      </c>
      <c r="T168" s="1040">
        <v>1</v>
      </c>
      <c r="U168" s="1040"/>
      <c r="V168" s="1040"/>
      <c r="W168" s="1040"/>
      <c r="X168" s="1040"/>
      <c r="Z168" s="958">
        <f t="shared" si="31"/>
        <v>1980</v>
      </c>
      <c r="AA168" s="958">
        <f t="shared" si="32"/>
        <v>0</v>
      </c>
      <c r="AB168" s="958">
        <f t="shared" si="33"/>
        <v>0</v>
      </c>
      <c r="AC168" s="958">
        <f t="shared" si="34"/>
        <v>0</v>
      </c>
      <c r="AD168" s="958">
        <f t="shared" si="35"/>
        <v>0</v>
      </c>
    </row>
    <row r="169" spans="11:30">
      <c r="K169" s="712" t="s">
        <v>238</v>
      </c>
      <c r="L169" s="1948">
        <v>21</v>
      </c>
      <c r="M169" s="1958" t="s">
        <v>3415</v>
      </c>
      <c r="N169" s="1948">
        <v>1</v>
      </c>
      <c r="O169" s="1948">
        <v>1000</v>
      </c>
      <c r="P169" s="1948">
        <v>1.98</v>
      </c>
      <c r="Q169" s="1948">
        <f t="shared" si="36"/>
        <v>1980</v>
      </c>
      <c r="T169" s="1040">
        <v>1</v>
      </c>
      <c r="U169" s="1040"/>
      <c r="V169" s="1040"/>
      <c r="W169" s="1040"/>
      <c r="X169" s="1040"/>
      <c r="Z169" s="958">
        <f t="shared" si="31"/>
        <v>1980</v>
      </c>
      <c r="AA169" s="958">
        <f t="shared" si="32"/>
        <v>0</v>
      </c>
      <c r="AB169" s="958">
        <f t="shared" si="33"/>
        <v>0</v>
      </c>
      <c r="AC169" s="958">
        <f t="shared" si="34"/>
        <v>0</v>
      </c>
      <c r="AD169" s="958">
        <f t="shared" si="35"/>
        <v>0</v>
      </c>
    </row>
    <row r="170" spans="11:30">
      <c r="K170" s="712" t="s">
        <v>238</v>
      </c>
      <c r="L170" s="1948">
        <v>22</v>
      </c>
      <c r="M170" s="1958" t="s">
        <v>3416</v>
      </c>
      <c r="N170" s="1948">
        <v>1</v>
      </c>
      <c r="O170" s="1948">
        <v>1000</v>
      </c>
      <c r="P170" s="1948">
        <v>1.98</v>
      </c>
      <c r="Q170" s="1948">
        <f t="shared" si="36"/>
        <v>1980</v>
      </c>
      <c r="T170" s="1040">
        <v>1</v>
      </c>
      <c r="U170" s="1040"/>
      <c r="V170" s="1040"/>
      <c r="W170" s="1040"/>
      <c r="X170" s="1040"/>
      <c r="Z170" s="958">
        <f t="shared" si="31"/>
        <v>1980</v>
      </c>
      <c r="AA170" s="958">
        <f t="shared" si="32"/>
        <v>0</v>
      </c>
      <c r="AB170" s="958">
        <f t="shared" si="33"/>
        <v>0</v>
      </c>
      <c r="AC170" s="958">
        <f t="shared" si="34"/>
        <v>0</v>
      </c>
      <c r="AD170" s="958">
        <f t="shared" si="35"/>
        <v>0</v>
      </c>
    </row>
    <row r="171" spans="11:30">
      <c r="K171" s="712" t="s">
        <v>238</v>
      </c>
      <c r="L171" s="1948">
        <v>23</v>
      </c>
      <c r="M171" s="1958" t="s">
        <v>3417</v>
      </c>
      <c r="N171" s="1948">
        <v>1</v>
      </c>
      <c r="O171" s="1948">
        <v>10000</v>
      </c>
      <c r="P171" s="1948">
        <v>0.25</v>
      </c>
      <c r="Q171" s="1948">
        <f t="shared" si="36"/>
        <v>2500</v>
      </c>
      <c r="T171" s="1040">
        <v>1</v>
      </c>
      <c r="U171" s="1040"/>
      <c r="V171" s="1040"/>
      <c r="W171" s="1040"/>
      <c r="X171" s="1040"/>
      <c r="Z171" s="958">
        <f t="shared" si="31"/>
        <v>2500</v>
      </c>
      <c r="AA171" s="958">
        <f t="shared" si="32"/>
        <v>0</v>
      </c>
      <c r="AB171" s="958">
        <f t="shared" si="33"/>
        <v>0</v>
      </c>
      <c r="AC171" s="958">
        <f t="shared" si="34"/>
        <v>0</v>
      </c>
      <c r="AD171" s="958">
        <f t="shared" si="35"/>
        <v>0</v>
      </c>
    </row>
    <row r="172" spans="11:30">
      <c r="K172" s="712" t="s">
        <v>238</v>
      </c>
      <c r="L172" s="1948">
        <v>24</v>
      </c>
      <c r="M172" s="1958" t="s">
        <v>3418</v>
      </c>
      <c r="N172" s="1948">
        <v>1</v>
      </c>
      <c r="O172" s="1948">
        <v>5000</v>
      </c>
      <c r="P172" s="1948">
        <v>0.25</v>
      </c>
      <c r="Q172" s="1948">
        <f t="shared" si="36"/>
        <v>1250</v>
      </c>
      <c r="T172" s="1040">
        <v>1</v>
      </c>
      <c r="U172" s="1040"/>
      <c r="V172" s="1040"/>
      <c r="W172" s="1040"/>
      <c r="X172" s="1040"/>
      <c r="Z172" s="958">
        <f t="shared" si="31"/>
        <v>1250</v>
      </c>
      <c r="AA172" s="958">
        <f t="shared" si="32"/>
        <v>0</v>
      </c>
      <c r="AB172" s="958">
        <f t="shared" si="33"/>
        <v>0</v>
      </c>
      <c r="AC172" s="958">
        <f t="shared" si="34"/>
        <v>0</v>
      </c>
      <c r="AD172" s="958">
        <f t="shared" si="35"/>
        <v>0</v>
      </c>
    </row>
    <row r="173" spans="11:30">
      <c r="K173" s="712" t="s">
        <v>238</v>
      </c>
      <c r="L173" s="1948">
        <v>25</v>
      </c>
      <c r="M173" s="1958" t="s">
        <v>3419</v>
      </c>
      <c r="N173" s="1948">
        <v>16</v>
      </c>
      <c r="O173" s="1948">
        <v>1000</v>
      </c>
      <c r="P173" s="1953">
        <v>11.75</v>
      </c>
      <c r="Q173" s="1948">
        <f t="shared" si="36"/>
        <v>11750</v>
      </c>
      <c r="T173" s="1040">
        <v>1</v>
      </c>
      <c r="U173" s="1040"/>
      <c r="V173" s="1040"/>
      <c r="W173" s="1040"/>
      <c r="X173" s="1040"/>
      <c r="Z173" s="958">
        <f t="shared" si="31"/>
        <v>11750</v>
      </c>
      <c r="AA173" s="958">
        <f t="shared" si="32"/>
        <v>0</v>
      </c>
      <c r="AB173" s="958">
        <f t="shared" si="33"/>
        <v>0</v>
      </c>
      <c r="AC173" s="958">
        <f t="shared" si="34"/>
        <v>0</v>
      </c>
      <c r="AD173" s="958">
        <f t="shared" si="35"/>
        <v>0</v>
      </c>
    </row>
    <row r="174" spans="11:30">
      <c r="K174" s="712" t="s">
        <v>238</v>
      </c>
      <c r="L174" s="1948">
        <v>26</v>
      </c>
      <c r="M174" s="1958" t="s">
        <v>3420</v>
      </c>
      <c r="N174" s="1948">
        <v>16</v>
      </c>
      <c r="O174" s="1948">
        <v>1000</v>
      </c>
      <c r="P174" s="1953">
        <v>13.5</v>
      </c>
      <c r="Q174" s="1948">
        <f t="shared" si="36"/>
        <v>13500</v>
      </c>
      <c r="T174" s="1040">
        <v>1</v>
      </c>
      <c r="U174" s="1040"/>
      <c r="V174" s="1040"/>
      <c r="W174" s="1040"/>
      <c r="X174" s="1040"/>
      <c r="Z174" s="958">
        <f t="shared" si="31"/>
        <v>13500</v>
      </c>
      <c r="AA174" s="958">
        <f t="shared" si="32"/>
        <v>0</v>
      </c>
      <c r="AB174" s="958">
        <f t="shared" si="33"/>
        <v>0</v>
      </c>
      <c r="AC174" s="958">
        <f t="shared" si="34"/>
        <v>0</v>
      </c>
      <c r="AD174" s="958">
        <f t="shared" si="35"/>
        <v>0</v>
      </c>
    </row>
    <row r="175" spans="11:30">
      <c r="K175" s="712" t="s">
        <v>238</v>
      </c>
      <c r="L175" s="1948">
        <v>27</v>
      </c>
      <c r="M175" s="1958" t="s">
        <v>3421</v>
      </c>
      <c r="N175" s="1948">
        <v>16</v>
      </c>
      <c r="O175" s="1948">
        <v>1000</v>
      </c>
      <c r="P175" s="1953">
        <v>8.5</v>
      </c>
      <c r="Q175" s="1948">
        <f t="shared" si="36"/>
        <v>8500</v>
      </c>
      <c r="T175" s="1040">
        <v>1</v>
      </c>
      <c r="U175" s="1040"/>
      <c r="V175" s="1040"/>
      <c r="W175" s="1040"/>
      <c r="X175" s="1040"/>
      <c r="Z175" s="958">
        <f t="shared" si="31"/>
        <v>8500</v>
      </c>
      <c r="AA175" s="958">
        <f t="shared" si="32"/>
        <v>0</v>
      </c>
      <c r="AB175" s="958">
        <f t="shared" si="33"/>
        <v>0</v>
      </c>
      <c r="AC175" s="958">
        <f t="shared" si="34"/>
        <v>0</v>
      </c>
      <c r="AD175" s="958">
        <f t="shared" si="35"/>
        <v>0</v>
      </c>
    </row>
    <row r="176" spans="11:30">
      <c r="K176" s="712" t="s">
        <v>238</v>
      </c>
      <c r="L176" s="1948">
        <v>28</v>
      </c>
      <c r="M176" s="1958" t="s">
        <v>3422</v>
      </c>
      <c r="N176" s="1948">
        <v>16</v>
      </c>
      <c r="O176" s="1948">
        <v>1000</v>
      </c>
      <c r="P176" s="1953">
        <v>9.5</v>
      </c>
      <c r="Q176" s="1948">
        <f t="shared" si="36"/>
        <v>9500</v>
      </c>
      <c r="T176" s="1040">
        <v>1</v>
      </c>
      <c r="U176" s="1040"/>
      <c r="V176" s="1040"/>
      <c r="W176" s="1040"/>
      <c r="X176" s="1040"/>
      <c r="Z176" s="958">
        <f t="shared" si="31"/>
        <v>9500</v>
      </c>
      <c r="AA176" s="958">
        <f t="shared" si="32"/>
        <v>0</v>
      </c>
      <c r="AB176" s="958">
        <f t="shared" si="33"/>
        <v>0</v>
      </c>
      <c r="AC176" s="958">
        <f t="shared" si="34"/>
        <v>0</v>
      </c>
      <c r="AD176" s="958">
        <f t="shared" si="35"/>
        <v>0</v>
      </c>
    </row>
    <row r="177" spans="10:30">
      <c r="K177" s="712" t="s">
        <v>238</v>
      </c>
      <c r="L177" s="1948">
        <v>29</v>
      </c>
      <c r="M177" s="1958" t="s">
        <v>3423</v>
      </c>
      <c r="N177" s="1948">
        <v>16</v>
      </c>
      <c r="O177" s="1948">
        <v>2000</v>
      </c>
      <c r="P177" s="1948">
        <v>2.65</v>
      </c>
      <c r="Q177" s="1948">
        <f t="shared" si="36"/>
        <v>5300</v>
      </c>
      <c r="T177" s="1040">
        <v>1</v>
      </c>
      <c r="U177" s="1040"/>
      <c r="V177" s="1040"/>
      <c r="W177" s="1040"/>
      <c r="X177" s="1040"/>
      <c r="Z177" s="958">
        <f t="shared" si="31"/>
        <v>5300</v>
      </c>
      <c r="AA177" s="958">
        <f t="shared" si="32"/>
        <v>0</v>
      </c>
      <c r="AB177" s="958">
        <f t="shared" si="33"/>
        <v>0</v>
      </c>
      <c r="AC177" s="958">
        <f t="shared" si="34"/>
        <v>0</v>
      </c>
      <c r="AD177" s="958">
        <f t="shared" si="35"/>
        <v>0</v>
      </c>
    </row>
    <row r="178" spans="10:30">
      <c r="K178" s="712" t="s">
        <v>238</v>
      </c>
      <c r="L178" s="1948">
        <v>30</v>
      </c>
      <c r="M178" s="1958" t="s">
        <v>3424</v>
      </c>
      <c r="N178" s="1948">
        <v>8</v>
      </c>
      <c r="O178" s="1948">
        <v>1000</v>
      </c>
      <c r="P178" s="1948">
        <v>1.4</v>
      </c>
      <c r="Q178" s="1948">
        <f t="shared" si="36"/>
        <v>1400</v>
      </c>
      <c r="T178" s="1040">
        <v>1</v>
      </c>
      <c r="U178" s="1040"/>
      <c r="V178" s="1040"/>
      <c r="W178" s="1040"/>
      <c r="X178" s="1040"/>
      <c r="Z178" s="958">
        <f t="shared" si="31"/>
        <v>1400</v>
      </c>
      <c r="AA178" s="958">
        <f t="shared" si="32"/>
        <v>0</v>
      </c>
      <c r="AB178" s="958">
        <f t="shared" si="33"/>
        <v>0</v>
      </c>
      <c r="AC178" s="958">
        <f t="shared" si="34"/>
        <v>0</v>
      </c>
      <c r="AD178" s="958">
        <f t="shared" si="35"/>
        <v>0</v>
      </c>
    </row>
    <row r="179" spans="10:30">
      <c r="K179" s="712" t="s">
        <v>238</v>
      </c>
      <c r="L179" s="1948">
        <v>31</v>
      </c>
      <c r="M179" s="1958" t="s">
        <v>3425</v>
      </c>
      <c r="N179" s="1948">
        <v>12</v>
      </c>
      <c r="O179" s="1948">
        <v>1000</v>
      </c>
      <c r="P179" s="1948">
        <v>1.1200000000000001</v>
      </c>
      <c r="Q179" s="1948">
        <f t="shared" si="36"/>
        <v>1120</v>
      </c>
      <c r="T179" s="1040">
        <v>1</v>
      </c>
      <c r="U179" s="1040"/>
      <c r="V179" s="1040"/>
      <c r="W179" s="1040"/>
      <c r="X179" s="1040"/>
      <c r="Z179" s="958">
        <f t="shared" si="31"/>
        <v>1120</v>
      </c>
      <c r="AA179" s="958">
        <f t="shared" si="32"/>
        <v>0</v>
      </c>
      <c r="AB179" s="958">
        <f t="shared" si="33"/>
        <v>0</v>
      </c>
      <c r="AC179" s="958">
        <f t="shared" si="34"/>
        <v>0</v>
      </c>
      <c r="AD179" s="958">
        <f t="shared" si="35"/>
        <v>0</v>
      </c>
    </row>
    <row r="180" spans="10:30">
      <c r="K180" s="712" t="s">
        <v>238</v>
      </c>
      <c r="L180" s="1948">
        <v>32</v>
      </c>
      <c r="M180" s="1958" t="s">
        <v>3426</v>
      </c>
      <c r="N180" s="1948">
        <v>12</v>
      </c>
      <c r="O180" s="1948">
        <v>1000</v>
      </c>
      <c r="P180" s="1948">
        <v>1.35</v>
      </c>
      <c r="Q180" s="1948">
        <f t="shared" si="36"/>
        <v>1350</v>
      </c>
      <c r="T180" s="1040">
        <v>1</v>
      </c>
      <c r="U180" s="1040"/>
      <c r="V180" s="1040"/>
      <c r="W180" s="1040"/>
      <c r="X180" s="1040"/>
      <c r="Z180" s="958">
        <f t="shared" si="31"/>
        <v>1350</v>
      </c>
      <c r="AA180" s="958">
        <f t="shared" si="32"/>
        <v>0</v>
      </c>
      <c r="AB180" s="958">
        <f t="shared" si="33"/>
        <v>0</v>
      </c>
      <c r="AC180" s="958">
        <f t="shared" si="34"/>
        <v>0</v>
      </c>
      <c r="AD180" s="958">
        <f t="shared" si="35"/>
        <v>0</v>
      </c>
    </row>
    <row r="181" spans="10:30">
      <c r="K181" s="712" t="s">
        <v>238</v>
      </c>
      <c r="L181" s="1948">
        <v>33</v>
      </c>
      <c r="M181" s="1958" t="s">
        <v>3427</v>
      </c>
      <c r="N181" s="1948">
        <v>16</v>
      </c>
      <c r="O181" s="1948">
        <v>3000</v>
      </c>
      <c r="P181" s="1948">
        <v>2.67</v>
      </c>
      <c r="Q181" s="1948">
        <f t="shared" si="36"/>
        <v>8010</v>
      </c>
      <c r="T181" s="1040">
        <v>1</v>
      </c>
      <c r="U181" s="1040"/>
      <c r="V181" s="1040"/>
      <c r="W181" s="1040"/>
      <c r="X181" s="1040"/>
      <c r="Z181" s="958">
        <f t="shared" si="31"/>
        <v>8010</v>
      </c>
      <c r="AA181" s="958">
        <f t="shared" si="32"/>
        <v>0</v>
      </c>
      <c r="AB181" s="958">
        <f t="shared" si="33"/>
        <v>0</v>
      </c>
      <c r="AC181" s="958">
        <f t="shared" si="34"/>
        <v>0</v>
      </c>
      <c r="AD181" s="958">
        <f t="shared" si="35"/>
        <v>0</v>
      </c>
    </row>
    <row r="182" spans="10:30">
      <c r="K182" s="712" t="s">
        <v>238</v>
      </c>
      <c r="L182" s="1948">
        <v>34</v>
      </c>
      <c r="M182" s="1958" t="s">
        <v>3428</v>
      </c>
      <c r="N182" s="1948">
        <v>8</v>
      </c>
      <c r="O182" s="1948">
        <v>1000</v>
      </c>
      <c r="P182" s="1950">
        <v>1.5</v>
      </c>
      <c r="Q182" s="1948">
        <f t="shared" si="36"/>
        <v>1500</v>
      </c>
      <c r="T182" s="1040">
        <v>1</v>
      </c>
      <c r="U182" s="1040"/>
      <c r="V182" s="1040"/>
      <c r="W182" s="1040"/>
      <c r="X182" s="1040"/>
      <c r="Z182" s="958">
        <f t="shared" si="31"/>
        <v>1500</v>
      </c>
      <c r="AA182" s="958">
        <f t="shared" si="32"/>
        <v>0</v>
      </c>
      <c r="AB182" s="958">
        <f t="shared" si="33"/>
        <v>0</v>
      </c>
      <c r="AC182" s="958">
        <f t="shared" si="34"/>
        <v>0</v>
      </c>
      <c r="AD182" s="958">
        <f t="shared" si="35"/>
        <v>0</v>
      </c>
    </row>
    <row r="183" spans="10:30">
      <c r="K183" s="712" t="s">
        <v>238</v>
      </c>
      <c r="L183" s="1948">
        <v>35</v>
      </c>
      <c r="M183" s="1958" t="s">
        <v>3429</v>
      </c>
      <c r="N183" s="1948">
        <v>16</v>
      </c>
      <c r="O183" s="1948">
        <v>2000</v>
      </c>
      <c r="P183" s="1948">
        <v>2.17</v>
      </c>
      <c r="Q183" s="1948">
        <f t="shared" si="36"/>
        <v>4340</v>
      </c>
      <c r="T183" s="1040">
        <v>1</v>
      </c>
      <c r="U183" s="1040"/>
      <c r="V183" s="1040"/>
      <c r="W183" s="1040"/>
      <c r="X183" s="1040"/>
      <c r="Z183" s="958">
        <f t="shared" si="31"/>
        <v>4340</v>
      </c>
      <c r="AA183" s="958">
        <f t="shared" si="32"/>
        <v>0</v>
      </c>
      <c r="AB183" s="958">
        <f t="shared" si="33"/>
        <v>0</v>
      </c>
      <c r="AC183" s="958">
        <f t="shared" si="34"/>
        <v>0</v>
      </c>
      <c r="AD183" s="958">
        <f t="shared" si="35"/>
        <v>0</v>
      </c>
    </row>
    <row r="184" spans="10:30">
      <c r="K184" s="712" t="s">
        <v>238</v>
      </c>
      <c r="L184" s="1948">
        <v>36</v>
      </c>
      <c r="M184" s="1958" t="s">
        <v>3430</v>
      </c>
      <c r="N184" s="1948">
        <v>8</v>
      </c>
      <c r="O184" s="1948">
        <v>1000</v>
      </c>
      <c r="P184" s="1948">
        <v>2.4</v>
      </c>
      <c r="Q184" s="1948">
        <f t="shared" si="36"/>
        <v>2400</v>
      </c>
      <c r="T184" s="1040">
        <v>1</v>
      </c>
      <c r="U184" s="1040"/>
      <c r="V184" s="1040"/>
      <c r="W184" s="1040"/>
      <c r="X184" s="1040"/>
      <c r="Z184" s="958">
        <f t="shared" si="31"/>
        <v>2400</v>
      </c>
      <c r="AA184" s="958">
        <f t="shared" si="32"/>
        <v>0</v>
      </c>
      <c r="AB184" s="958">
        <f t="shared" si="33"/>
        <v>0</v>
      </c>
      <c r="AC184" s="958">
        <f t="shared" si="34"/>
        <v>0</v>
      </c>
      <c r="AD184" s="958">
        <f t="shared" si="35"/>
        <v>0</v>
      </c>
    </row>
    <row r="185" spans="10:30" s="1808" customFormat="1">
      <c r="J185" s="853"/>
      <c r="K185" s="712"/>
      <c r="L185"/>
      <c r="M185"/>
      <c r="N185"/>
      <c r="O185"/>
      <c r="P185"/>
      <c r="Q185"/>
      <c r="R185"/>
      <c r="S185"/>
      <c r="Z185" s="1561">
        <f>SUM(Z149:Z184)</f>
        <v>117590</v>
      </c>
      <c r="AA185" s="1561">
        <f t="shared" ref="AA185:AD185" si="37">SUM(AA149:AA184)</f>
        <v>0</v>
      </c>
      <c r="AB185" s="1561">
        <f t="shared" si="37"/>
        <v>0</v>
      </c>
      <c r="AC185" s="1561">
        <f t="shared" si="37"/>
        <v>0</v>
      </c>
      <c r="AD185" s="1561">
        <f t="shared" si="37"/>
        <v>0</v>
      </c>
    </row>
    <row r="186" spans="10:30" s="1808" customFormat="1">
      <c r="J186" s="853"/>
      <c r="K186" s="712"/>
      <c r="L186"/>
      <c r="M186"/>
      <c r="N186"/>
      <c r="O186"/>
      <c r="P186" s="960"/>
      <c r="Q186"/>
      <c r="R186"/>
      <c r="S186"/>
    </row>
    <row r="187" spans="10:30" s="1808" customFormat="1" ht="20" thickBot="1">
      <c r="J187" s="853"/>
      <c r="K187" s="712"/>
      <c r="L187" s="1879" t="s">
        <v>3456</v>
      </c>
      <c r="M187" s="1955"/>
      <c r="N187" s="1954"/>
      <c r="O187" s="1956"/>
      <c r="P187" s="1957"/>
      <c r="Q187" s="1957"/>
      <c r="R187" s="1270" t="s">
        <v>3541</v>
      </c>
      <c r="S187"/>
    </row>
    <row r="188" spans="10:30" ht="65" thickBot="1">
      <c r="K188" s="712" t="s">
        <v>238</v>
      </c>
      <c r="L188" s="1944" t="s">
        <v>453</v>
      </c>
      <c r="M188" s="1945" t="s">
        <v>3448</v>
      </c>
      <c r="N188" s="1945" t="s">
        <v>3449</v>
      </c>
      <c r="O188" s="1946" t="s">
        <v>3450</v>
      </c>
      <c r="P188" s="1945" t="s">
        <v>3451</v>
      </c>
      <c r="Q188" s="1945" t="s">
        <v>3452</v>
      </c>
      <c r="R188" s="1947" t="s">
        <v>3393</v>
      </c>
      <c r="S188" s="1947" t="s">
        <v>3394</v>
      </c>
      <c r="T188" s="1499">
        <v>2021</v>
      </c>
      <c r="U188" s="1499">
        <v>2022</v>
      </c>
      <c r="V188" s="1499">
        <v>2023</v>
      </c>
      <c r="W188" s="1499">
        <v>2024</v>
      </c>
      <c r="X188" s="1499">
        <v>2025</v>
      </c>
      <c r="Y188" s="1808"/>
      <c r="Z188" s="1499">
        <v>2021</v>
      </c>
      <c r="AA188" s="1499">
        <v>2022</v>
      </c>
      <c r="AB188" s="1499">
        <v>2023</v>
      </c>
      <c r="AC188" s="1499">
        <v>2024</v>
      </c>
      <c r="AD188" s="1499">
        <v>2025</v>
      </c>
    </row>
    <row r="189" spans="10:30">
      <c r="K189" s="712" t="s">
        <v>238</v>
      </c>
      <c r="L189" s="1948">
        <v>37</v>
      </c>
      <c r="M189" s="1958" t="s">
        <v>3431</v>
      </c>
      <c r="N189" s="1948">
        <v>1</v>
      </c>
      <c r="O189" s="1948">
        <v>2000</v>
      </c>
      <c r="P189" s="1948">
        <v>0.63</v>
      </c>
      <c r="Q189" s="1948">
        <f>O189*P189</f>
        <v>1260</v>
      </c>
      <c r="R189" s="1688">
        <v>10</v>
      </c>
      <c r="S189" s="1688">
        <v>10</v>
      </c>
      <c r="T189" s="1040">
        <v>1</v>
      </c>
      <c r="U189" s="1040"/>
      <c r="V189" s="1040">
        <v>1</v>
      </c>
      <c r="W189" s="1040"/>
      <c r="X189" s="1040"/>
      <c r="Y189" s="1808"/>
      <c r="Z189" s="958">
        <f t="shared" ref="Z189:Z208" si="38">Q189*T189</f>
        <v>1260</v>
      </c>
      <c r="AA189" s="958">
        <f t="shared" ref="AA189:AA208" si="39">Q189*U189</f>
        <v>0</v>
      </c>
      <c r="AB189" s="958">
        <f t="shared" ref="AB189:AB208" si="40">Q189*V189</f>
        <v>1260</v>
      </c>
      <c r="AC189" s="958">
        <f t="shared" ref="AC189:AC208" si="41">Q189*W189</f>
        <v>0</v>
      </c>
      <c r="AD189" s="958">
        <f t="shared" ref="AD189:AD208" si="42">Q189*X189</f>
        <v>0</v>
      </c>
    </row>
    <row r="190" spans="10:30">
      <c r="K190" s="712" t="s">
        <v>238</v>
      </c>
      <c r="L190" s="1948">
        <v>38</v>
      </c>
      <c r="M190" s="1958" t="s">
        <v>3432</v>
      </c>
      <c r="N190" s="1948">
        <v>1</v>
      </c>
      <c r="O190" s="1948">
        <v>1000</v>
      </c>
      <c r="P190" s="1948">
        <v>0.75</v>
      </c>
      <c r="Q190" s="1948">
        <f t="shared" ref="Q190:Q192" si="43">O190*P190</f>
        <v>750</v>
      </c>
      <c r="R190" s="1688">
        <v>10</v>
      </c>
      <c r="S190" s="1688">
        <v>10</v>
      </c>
      <c r="T190" s="1040">
        <v>1</v>
      </c>
      <c r="U190" s="1040"/>
      <c r="V190" s="1040">
        <v>1</v>
      </c>
      <c r="W190" s="1040"/>
      <c r="X190" s="1040"/>
      <c r="Y190" s="1808"/>
      <c r="Z190" s="958">
        <f t="shared" si="38"/>
        <v>750</v>
      </c>
      <c r="AA190" s="958">
        <f t="shared" si="39"/>
        <v>0</v>
      </c>
      <c r="AB190" s="958">
        <f t="shared" si="40"/>
        <v>750</v>
      </c>
      <c r="AC190" s="958">
        <f t="shared" si="41"/>
        <v>0</v>
      </c>
      <c r="AD190" s="958">
        <f t="shared" si="42"/>
        <v>0</v>
      </c>
    </row>
    <row r="191" spans="10:30">
      <c r="K191" s="712" t="s">
        <v>238</v>
      </c>
      <c r="L191" s="1948">
        <v>39</v>
      </c>
      <c r="M191" s="1958" t="s">
        <v>3433</v>
      </c>
      <c r="N191" s="1948">
        <v>16</v>
      </c>
      <c r="O191" s="1948">
        <v>2000</v>
      </c>
      <c r="P191" s="1950">
        <v>2.67</v>
      </c>
      <c r="Q191" s="1948">
        <f t="shared" si="43"/>
        <v>5340</v>
      </c>
      <c r="R191" s="1688">
        <v>15</v>
      </c>
      <c r="S191" s="1688">
        <v>15</v>
      </c>
      <c r="T191" s="1040">
        <v>1</v>
      </c>
      <c r="U191" s="1040"/>
      <c r="V191" s="1040"/>
      <c r="W191" s="1040"/>
      <c r="X191" s="1040"/>
      <c r="Y191" s="1808"/>
      <c r="Z191" s="958">
        <f t="shared" si="38"/>
        <v>5340</v>
      </c>
      <c r="AA191" s="958">
        <f t="shared" si="39"/>
        <v>0</v>
      </c>
      <c r="AB191" s="958">
        <f t="shared" si="40"/>
        <v>0</v>
      </c>
      <c r="AC191" s="958">
        <f t="shared" si="41"/>
        <v>0</v>
      </c>
      <c r="AD191" s="958">
        <f t="shared" si="42"/>
        <v>0</v>
      </c>
    </row>
    <row r="192" spans="10:30">
      <c r="K192" s="712" t="s">
        <v>238</v>
      </c>
      <c r="L192" s="1948">
        <v>40</v>
      </c>
      <c r="M192" s="1958" t="s">
        <v>3434</v>
      </c>
      <c r="N192" s="1948">
        <v>8</v>
      </c>
      <c r="O192" s="1948">
        <v>1000</v>
      </c>
      <c r="P192" s="1950">
        <v>1.5</v>
      </c>
      <c r="Q192" s="1948">
        <f t="shared" si="43"/>
        <v>1500</v>
      </c>
      <c r="R192" s="1688">
        <v>15</v>
      </c>
      <c r="S192" s="1688">
        <v>15</v>
      </c>
      <c r="T192" s="1040">
        <v>1</v>
      </c>
      <c r="U192" s="1040"/>
      <c r="V192" s="1040"/>
      <c r="W192" s="1040"/>
      <c r="X192" s="1040"/>
      <c r="Y192" s="1808"/>
      <c r="Z192" s="958">
        <f t="shared" si="38"/>
        <v>1500</v>
      </c>
      <c r="AA192" s="958">
        <f t="shared" si="39"/>
        <v>0</v>
      </c>
      <c r="AB192" s="958">
        <f t="shared" si="40"/>
        <v>0</v>
      </c>
      <c r="AC192" s="958">
        <f t="shared" si="41"/>
        <v>0</v>
      </c>
      <c r="AD192" s="958">
        <f t="shared" si="42"/>
        <v>0</v>
      </c>
    </row>
    <row r="193" spans="11:30">
      <c r="K193" s="712" t="s">
        <v>238</v>
      </c>
      <c r="L193" s="1948">
        <v>41</v>
      </c>
      <c r="M193" s="1958" t="s">
        <v>3453</v>
      </c>
      <c r="N193" s="1948">
        <v>86</v>
      </c>
      <c r="O193" s="1948">
        <v>1000</v>
      </c>
      <c r="P193" s="1950">
        <v>15</v>
      </c>
      <c r="Q193" s="1948">
        <f>O193*P193</f>
        <v>15000</v>
      </c>
      <c r="R193" s="1952">
        <v>30</v>
      </c>
      <c r="S193" s="1952">
        <v>50</v>
      </c>
      <c r="T193" s="1040">
        <v>1</v>
      </c>
      <c r="U193" s="1040"/>
      <c r="V193" s="1040"/>
      <c r="W193" s="1040"/>
      <c r="X193" s="1040"/>
      <c r="Y193" s="1808"/>
      <c r="Z193" s="958">
        <f t="shared" si="38"/>
        <v>15000</v>
      </c>
      <c r="AA193" s="958">
        <f t="shared" si="39"/>
        <v>0</v>
      </c>
      <c r="AB193" s="958">
        <f t="shared" si="40"/>
        <v>0</v>
      </c>
      <c r="AC193" s="958">
        <f t="shared" si="41"/>
        <v>0</v>
      </c>
      <c r="AD193" s="958">
        <f t="shared" si="42"/>
        <v>0</v>
      </c>
    </row>
    <row r="194" spans="11:30">
      <c r="K194" s="712" t="s">
        <v>238</v>
      </c>
      <c r="L194" s="1948">
        <v>42</v>
      </c>
      <c r="M194" s="1958" t="s">
        <v>3454</v>
      </c>
      <c r="N194" s="1948">
        <v>86</v>
      </c>
      <c r="O194" s="1948">
        <v>500</v>
      </c>
      <c r="P194" s="1950">
        <v>15</v>
      </c>
      <c r="Q194" s="1948">
        <f>O194*P194</f>
        <v>7500</v>
      </c>
      <c r="R194" s="1952">
        <v>30</v>
      </c>
      <c r="S194" s="1952">
        <v>50</v>
      </c>
      <c r="T194" s="1040">
        <v>1</v>
      </c>
      <c r="U194" s="1040"/>
      <c r="V194" s="1040"/>
      <c r="W194" s="1040"/>
      <c r="X194" s="1040"/>
      <c r="Y194" s="1808"/>
      <c r="Z194" s="958">
        <f t="shared" si="38"/>
        <v>7500</v>
      </c>
      <c r="AA194" s="958">
        <f t="shared" si="39"/>
        <v>0</v>
      </c>
      <c r="AB194" s="958">
        <f t="shared" si="40"/>
        <v>0</v>
      </c>
      <c r="AC194" s="958">
        <f t="shared" si="41"/>
        <v>0</v>
      </c>
      <c r="AD194" s="958">
        <f t="shared" si="42"/>
        <v>0</v>
      </c>
    </row>
    <row r="195" spans="11:30">
      <c r="K195" s="712" t="s">
        <v>238</v>
      </c>
      <c r="L195" s="1948">
        <v>43</v>
      </c>
      <c r="M195" s="1958" t="s">
        <v>3435</v>
      </c>
      <c r="N195" s="1948">
        <v>1</v>
      </c>
      <c r="O195" s="1948">
        <v>1000</v>
      </c>
      <c r="P195" s="1950">
        <v>1.75</v>
      </c>
      <c r="Q195" s="1948">
        <f>O195*P195</f>
        <v>1750</v>
      </c>
      <c r="R195" s="1688">
        <v>15</v>
      </c>
      <c r="S195" s="1688">
        <v>15</v>
      </c>
      <c r="T195" s="1040">
        <v>1</v>
      </c>
      <c r="U195" s="1040"/>
      <c r="V195" s="1040">
        <v>1</v>
      </c>
      <c r="W195" s="1040"/>
      <c r="X195" s="1040"/>
      <c r="Y195" s="1808"/>
      <c r="Z195" s="958">
        <f t="shared" si="38"/>
        <v>1750</v>
      </c>
      <c r="AA195" s="958">
        <f t="shared" si="39"/>
        <v>0</v>
      </c>
      <c r="AB195" s="958">
        <f t="shared" si="40"/>
        <v>1750</v>
      </c>
      <c r="AC195" s="958">
        <f t="shared" si="41"/>
        <v>0</v>
      </c>
      <c r="AD195" s="958">
        <f t="shared" si="42"/>
        <v>0</v>
      </c>
    </row>
    <row r="196" spans="11:30">
      <c r="K196" s="712" t="s">
        <v>238</v>
      </c>
      <c r="L196" s="1948">
        <v>44</v>
      </c>
      <c r="M196" s="1958" t="s">
        <v>3436</v>
      </c>
      <c r="N196" s="1948">
        <v>1</v>
      </c>
      <c r="O196" s="1948">
        <v>1000</v>
      </c>
      <c r="P196" s="1950">
        <v>1.98</v>
      </c>
      <c r="Q196" s="1948">
        <f>O196*P196</f>
        <v>1980</v>
      </c>
      <c r="R196" s="1688">
        <v>15</v>
      </c>
      <c r="S196" s="1688">
        <v>15</v>
      </c>
      <c r="T196" s="1040">
        <v>1</v>
      </c>
      <c r="U196" s="1040"/>
      <c r="V196" s="1040">
        <v>1</v>
      </c>
      <c r="W196" s="1040"/>
      <c r="X196" s="1040"/>
      <c r="Y196" s="1808"/>
      <c r="Z196" s="958">
        <f t="shared" si="38"/>
        <v>1980</v>
      </c>
      <c r="AA196" s="958">
        <f t="shared" si="39"/>
        <v>0</v>
      </c>
      <c r="AB196" s="958">
        <f t="shared" si="40"/>
        <v>1980</v>
      </c>
      <c r="AC196" s="958">
        <f t="shared" si="41"/>
        <v>0</v>
      </c>
      <c r="AD196" s="958">
        <f t="shared" si="42"/>
        <v>0</v>
      </c>
    </row>
    <row r="197" spans="11:30">
      <c r="K197" s="712" t="s">
        <v>238</v>
      </c>
      <c r="L197" s="1948">
        <v>45</v>
      </c>
      <c r="M197" s="1958" t="s">
        <v>3437</v>
      </c>
      <c r="N197" s="1948">
        <v>8</v>
      </c>
      <c r="O197" s="1948">
        <v>1000</v>
      </c>
      <c r="P197" s="1950">
        <v>1.5</v>
      </c>
      <c r="Q197" s="1948">
        <f>O197*P197</f>
        <v>1500</v>
      </c>
      <c r="R197" s="1952">
        <v>30</v>
      </c>
      <c r="S197" s="1952">
        <v>50</v>
      </c>
      <c r="T197" s="1040">
        <v>1</v>
      </c>
      <c r="U197" s="1040"/>
      <c r="V197" s="1040">
        <v>1</v>
      </c>
      <c r="W197" s="1040"/>
      <c r="X197" s="1040"/>
      <c r="Y197" s="1808"/>
      <c r="Z197" s="958">
        <f t="shared" si="38"/>
        <v>1500</v>
      </c>
      <c r="AA197" s="958">
        <f t="shared" si="39"/>
        <v>0</v>
      </c>
      <c r="AB197" s="958">
        <f t="shared" si="40"/>
        <v>1500</v>
      </c>
      <c r="AC197" s="958">
        <f t="shared" si="41"/>
        <v>0</v>
      </c>
      <c r="AD197" s="958">
        <f t="shared" si="42"/>
        <v>0</v>
      </c>
    </row>
    <row r="198" spans="11:30">
      <c r="K198" s="712" t="s">
        <v>238</v>
      </c>
      <c r="L198" s="1948">
        <v>46</v>
      </c>
      <c r="M198" s="1958" t="s">
        <v>3438</v>
      </c>
      <c r="N198" s="1948">
        <v>8</v>
      </c>
      <c r="O198" s="1948">
        <v>1000</v>
      </c>
      <c r="P198" s="1950">
        <v>1.5</v>
      </c>
      <c r="Q198" s="1948">
        <f t="shared" ref="Q198" si="44">O198*P198</f>
        <v>1500</v>
      </c>
      <c r="R198" s="1952">
        <v>30</v>
      </c>
      <c r="S198" s="1952">
        <v>50</v>
      </c>
      <c r="T198" s="1040">
        <v>1</v>
      </c>
      <c r="U198" s="1040"/>
      <c r="V198" s="1040">
        <v>1</v>
      </c>
      <c r="W198" s="1040"/>
      <c r="X198" s="1040"/>
      <c r="Y198" s="1808"/>
      <c r="Z198" s="958">
        <f t="shared" si="38"/>
        <v>1500</v>
      </c>
      <c r="AA198" s="958">
        <f t="shared" si="39"/>
        <v>0</v>
      </c>
      <c r="AB198" s="958">
        <f t="shared" si="40"/>
        <v>1500</v>
      </c>
      <c r="AC198" s="958">
        <f t="shared" si="41"/>
        <v>0</v>
      </c>
      <c r="AD198" s="958">
        <f t="shared" si="42"/>
        <v>0</v>
      </c>
    </row>
    <row r="199" spans="11:30">
      <c r="K199" s="712" t="s">
        <v>238</v>
      </c>
      <c r="L199" s="1948">
        <v>47</v>
      </c>
      <c r="M199" s="1958" t="s">
        <v>3439</v>
      </c>
      <c r="N199" s="1948">
        <v>16</v>
      </c>
      <c r="O199" s="1948">
        <v>1000</v>
      </c>
      <c r="P199" s="1950">
        <v>2.65</v>
      </c>
      <c r="Q199" s="1948">
        <f t="shared" ref="Q199" si="45">O199*P199</f>
        <v>2650</v>
      </c>
      <c r="R199" s="1952">
        <v>30</v>
      </c>
      <c r="S199" s="1952">
        <v>50</v>
      </c>
      <c r="T199" s="1040">
        <v>1</v>
      </c>
      <c r="U199" s="1040"/>
      <c r="V199" s="1040">
        <v>1</v>
      </c>
      <c r="W199" s="1040"/>
      <c r="X199" s="1040"/>
      <c r="Y199" s="1808"/>
      <c r="Z199" s="958">
        <f t="shared" si="38"/>
        <v>2650</v>
      </c>
      <c r="AA199" s="958">
        <f t="shared" si="39"/>
        <v>0</v>
      </c>
      <c r="AB199" s="958">
        <f t="shared" si="40"/>
        <v>2650</v>
      </c>
      <c r="AC199" s="958">
        <f t="shared" si="41"/>
        <v>0</v>
      </c>
      <c r="AD199" s="958">
        <f t="shared" si="42"/>
        <v>0</v>
      </c>
    </row>
    <row r="200" spans="11:30">
      <c r="K200" s="712" t="s">
        <v>238</v>
      </c>
      <c r="L200" s="1948">
        <v>48</v>
      </c>
      <c r="M200" s="1958" t="s">
        <v>3440</v>
      </c>
      <c r="N200" s="1948">
        <v>8</v>
      </c>
      <c r="O200" s="1948">
        <v>1000</v>
      </c>
      <c r="P200" s="1950">
        <v>1.5</v>
      </c>
      <c r="Q200" s="1948">
        <f t="shared" ref="Q200" si="46">O200*P200</f>
        <v>1500</v>
      </c>
      <c r="R200" s="1952">
        <v>30</v>
      </c>
      <c r="S200" s="1952">
        <v>50</v>
      </c>
      <c r="T200" s="1040">
        <v>1</v>
      </c>
      <c r="U200" s="1040"/>
      <c r="V200" s="1040">
        <v>1</v>
      </c>
      <c r="W200" s="1040"/>
      <c r="X200" s="1040"/>
      <c r="Y200" s="1808"/>
      <c r="Z200" s="958">
        <f t="shared" si="38"/>
        <v>1500</v>
      </c>
      <c r="AA200" s="958">
        <f t="shared" si="39"/>
        <v>0</v>
      </c>
      <c r="AB200" s="958">
        <f t="shared" si="40"/>
        <v>1500</v>
      </c>
      <c r="AC200" s="958">
        <f t="shared" si="41"/>
        <v>0</v>
      </c>
      <c r="AD200" s="958">
        <f t="shared" si="42"/>
        <v>0</v>
      </c>
    </row>
    <row r="201" spans="11:30">
      <c r="K201" s="712" t="s">
        <v>238</v>
      </c>
      <c r="L201" s="1948">
        <v>49</v>
      </c>
      <c r="M201" s="1958" t="s">
        <v>3441</v>
      </c>
      <c r="N201" s="1948">
        <v>4</v>
      </c>
      <c r="O201" s="1948">
        <v>3000</v>
      </c>
      <c r="P201" s="1950">
        <v>0.63</v>
      </c>
      <c r="Q201" s="1948">
        <f>O201*P201</f>
        <v>1890</v>
      </c>
      <c r="R201" s="1688">
        <v>30</v>
      </c>
      <c r="S201" s="1688">
        <v>60</v>
      </c>
      <c r="T201" s="1040">
        <v>1</v>
      </c>
      <c r="U201" s="1040"/>
      <c r="V201" s="1040">
        <v>1</v>
      </c>
      <c r="W201" s="1040"/>
      <c r="X201" s="1040"/>
      <c r="Y201" s="1808"/>
      <c r="Z201" s="958">
        <f t="shared" si="38"/>
        <v>1890</v>
      </c>
      <c r="AA201" s="958">
        <f t="shared" si="39"/>
        <v>0</v>
      </c>
      <c r="AB201" s="958">
        <f t="shared" si="40"/>
        <v>1890</v>
      </c>
      <c r="AC201" s="958">
        <f t="shared" si="41"/>
        <v>0</v>
      </c>
      <c r="AD201" s="958">
        <f t="shared" si="42"/>
        <v>0</v>
      </c>
    </row>
    <row r="202" spans="11:30">
      <c r="K202" s="712" t="s">
        <v>238</v>
      </c>
      <c r="L202" s="1948">
        <v>50</v>
      </c>
      <c r="M202" s="1958" t="s">
        <v>3442</v>
      </c>
      <c r="N202" s="1948">
        <v>4</v>
      </c>
      <c r="O202" s="1948">
        <v>3000</v>
      </c>
      <c r="P202" s="1950">
        <v>0.75</v>
      </c>
      <c r="Q202" s="1948">
        <f>O202*P202</f>
        <v>2250</v>
      </c>
      <c r="R202" s="1688">
        <v>30</v>
      </c>
      <c r="S202" s="1688">
        <v>60</v>
      </c>
      <c r="T202" s="1040">
        <v>1</v>
      </c>
      <c r="U202" s="1040"/>
      <c r="V202" s="1040">
        <v>1</v>
      </c>
      <c r="W202" s="1040"/>
      <c r="X202" s="1040"/>
      <c r="Y202" s="1808"/>
      <c r="Z202" s="958">
        <f t="shared" si="38"/>
        <v>2250</v>
      </c>
      <c r="AA202" s="958">
        <f t="shared" si="39"/>
        <v>0</v>
      </c>
      <c r="AB202" s="958">
        <f t="shared" si="40"/>
        <v>2250</v>
      </c>
      <c r="AC202" s="958">
        <f t="shared" si="41"/>
        <v>0</v>
      </c>
      <c r="AD202" s="958">
        <f t="shared" si="42"/>
        <v>0</v>
      </c>
    </row>
    <row r="203" spans="11:30">
      <c r="K203" s="712" t="s">
        <v>238</v>
      </c>
      <c r="L203" s="1948">
        <v>51</v>
      </c>
      <c r="M203" s="1958" t="s">
        <v>3443</v>
      </c>
      <c r="N203" s="1948">
        <v>16</v>
      </c>
      <c r="O203" s="1948">
        <v>1000</v>
      </c>
      <c r="P203" s="1950">
        <v>2.67</v>
      </c>
      <c r="Q203" s="1948">
        <f>O203*P203</f>
        <v>2670</v>
      </c>
      <c r="R203" s="1952">
        <v>30</v>
      </c>
      <c r="S203" s="1952">
        <v>50</v>
      </c>
      <c r="T203" s="1040">
        <v>1</v>
      </c>
      <c r="U203" s="1040"/>
      <c r="V203" s="1040"/>
      <c r="W203" s="1040"/>
      <c r="X203" s="1040"/>
      <c r="Y203" s="1808"/>
      <c r="Z203" s="958">
        <f t="shared" si="38"/>
        <v>2670</v>
      </c>
      <c r="AA203" s="958">
        <f t="shared" si="39"/>
        <v>0</v>
      </c>
      <c r="AB203" s="958">
        <f t="shared" si="40"/>
        <v>0</v>
      </c>
      <c r="AC203" s="958">
        <f t="shared" si="41"/>
        <v>0</v>
      </c>
      <c r="AD203" s="958">
        <f t="shared" si="42"/>
        <v>0</v>
      </c>
    </row>
    <row r="204" spans="11:30" ht="30">
      <c r="K204" s="712" t="s">
        <v>238</v>
      </c>
      <c r="L204" s="1948">
        <v>52</v>
      </c>
      <c r="M204" s="1958" t="s">
        <v>3444</v>
      </c>
      <c r="N204" s="1948">
        <v>20</v>
      </c>
      <c r="O204" s="1948">
        <v>1000</v>
      </c>
      <c r="P204" s="1950">
        <v>3.5</v>
      </c>
      <c r="Q204" s="1948">
        <f t="shared" ref="Q204" si="47">O204*P204</f>
        <v>3500</v>
      </c>
      <c r="R204" s="1952">
        <v>30</v>
      </c>
      <c r="S204" s="1952">
        <v>50</v>
      </c>
      <c r="T204" s="1040">
        <v>1</v>
      </c>
      <c r="U204" s="1040"/>
      <c r="V204" s="1040"/>
      <c r="W204" s="1040"/>
      <c r="X204" s="1040"/>
      <c r="Y204" s="1808"/>
      <c r="Z204" s="958">
        <f t="shared" si="38"/>
        <v>3500</v>
      </c>
      <c r="AA204" s="958">
        <f t="shared" si="39"/>
        <v>0</v>
      </c>
      <c r="AB204" s="958">
        <f t="shared" si="40"/>
        <v>0</v>
      </c>
      <c r="AC204" s="958">
        <f t="shared" si="41"/>
        <v>0</v>
      </c>
      <c r="AD204" s="958">
        <f t="shared" si="42"/>
        <v>0</v>
      </c>
    </row>
    <row r="205" spans="11:30" ht="30">
      <c r="K205" s="712" t="s">
        <v>238</v>
      </c>
      <c r="L205" s="1948">
        <v>53</v>
      </c>
      <c r="M205" s="1958" t="s">
        <v>3445</v>
      </c>
      <c r="N205" s="1948">
        <v>12</v>
      </c>
      <c r="O205" s="1948">
        <v>1000</v>
      </c>
      <c r="P205" s="1950">
        <v>2.1</v>
      </c>
      <c r="Q205" s="1948">
        <f t="shared" ref="Q205" si="48">O205*P205</f>
        <v>2100</v>
      </c>
      <c r="R205" s="1952">
        <v>30</v>
      </c>
      <c r="S205" s="1952">
        <v>50</v>
      </c>
      <c r="T205" s="1040">
        <v>1</v>
      </c>
      <c r="U205" s="1040"/>
      <c r="V205" s="1040"/>
      <c r="W205" s="1040"/>
      <c r="X205" s="1040"/>
      <c r="Y205" s="1808"/>
      <c r="Z205" s="958">
        <f t="shared" si="38"/>
        <v>2100</v>
      </c>
      <c r="AA205" s="958">
        <f t="shared" si="39"/>
        <v>0</v>
      </c>
      <c r="AB205" s="958">
        <f t="shared" si="40"/>
        <v>0</v>
      </c>
      <c r="AC205" s="958">
        <f t="shared" si="41"/>
        <v>0</v>
      </c>
      <c r="AD205" s="958">
        <f t="shared" si="42"/>
        <v>0</v>
      </c>
    </row>
    <row r="206" spans="11:30" ht="30">
      <c r="K206" s="712" t="s">
        <v>238</v>
      </c>
      <c r="L206" s="1948">
        <v>54</v>
      </c>
      <c r="M206" s="1958" t="s">
        <v>3445</v>
      </c>
      <c r="N206" s="1948">
        <v>12</v>
      </c>
      <c r="O206" s="1948">
        <v>1000</v>
      </c>
      <c r="P206" s="1950">
        <v>2.1</v>
      </c>
      <c r="Q206" s="1948">
        <f t="shared" ref="Q206" si="49">O206*P206</f>
        <v>2100</v>
      </c>
      <c r="R206" s="1952">
        <v>10</v>
      </c>
      <c r="S206" s="1952">
        <v>10</v>
      </c>
      <c r="T206" s="1040">
        <v>1</v>
      </c>
      <c r="U206" s="1040"/>
      <c r="V206" s="1040"/>
      <c r="W206" s="1040"/>
      <c r="X206" s="1040"/>
      <c r="Y206" s="1808"/>
      <c r="Z206" s="958">
        <f t="shared" si="38"/>
        <v>2100</v>
      </c>
      <c r="AA206" s="958">
        <f t="shared" si="39"/>
        <v>0</v>
      </c>
      <c r="AB206" s="958">
        <f t="shared" si="40"/>
        <v>0</v>
      </c>
      <c r="AC206" s="958">
        <f t="shared" si="41"/>
        <v>0</v>
      </c>
      <c r="AD206" s="958">
        <f t="shared" si="42"/>
        <v>0</v>
      </c>
    </row>
    <row r="207" spans="11:30">
      <c r="K207" s="712" t="s">
        <v>238</v>
      </c>
      <c r="L207" s="1948">
        <v>55</v>
      </c>
      <c r="M207" s="1958" t="s">
        <v>3446</v>
      </c>
      <c r="N207" s="1948">
        <v>8</v>
      </c>
      <c r="O207" s="1948">
        <v>1000</v>
      </c>
      <c r="P207" s="1950">
        <v>1.5</v>
      </c>
      <c r="Q207" s="1948">
        <f t="shared" ref="Q207:Q208" si="50">O207*P207</f>
        <v>1500</v>
      </c>
      <c r="R207" s="1952">
        <v>10</v>
      </c>
      <c r="S207" s="1952">
        <v>10</v>
      </c>
      <c r="T207" s="1040">
        <v>1</v>
      </c>
      <c r="U207" s="1040"/>
      <c r="V207" s="1040"/>
      <c r="W207" s="1040"/>
      <c r="X207" s="1040"/>
      <c r="Y207" s="1808"/>
      <c r="Z207" s="958">
        <f t="shared" si="38"/>
        <v>1500</v>
      </c>
      <c r="AA207" s="958">
        <f t="shared" si="39"/>
        <v>0</v>
      </c>
      <c r="AB207" s="958">
        <f t="shared" si="40"/>
        <v>0</v>
      </c>
      <c r="AC207" s="958">
        <f t="shared" si="41"/>
        <v>0</v>
      </c>
      <c r="AD207" s="958">
        <f t="shared" si="42"/>
        <v>0</v>
      </c>
    </row>
    <row r="208" spans="11:30">
      <c r="K208" s="712" t="s">
        <v>238</v>
      </c>
      <c r="L208" s="1948">
        <v>56</v>
      </c>
      <c r="M208" s="1958" t="s">
        <v>3447</v>
      </c>
      <c r="N208" s="1948">
        <v>8</v>
      </c>
      <c r="O208" s="1948">
        <v>1000</v>
      </c>
      <c r="P208" s="1950">
        <v>1.5</v>
      </c>
      <c r="Q208" s="1948">
        <f t="shared" si="50"/>
        <v>1500</v>
      </c>
      <c r="R208" s="1952">
        <v>10</v>
      </c>
      <c r="S208" s="1952">
        <v>10</v>
      </c>
      <c r="T208" s="1040">
        <v>1</v>
      </c>
      <c r="U208" s="1040"/>
      <c r="V208" s="1040"/>
      <c r="W208" s="1040"/>
      <c r="X208" s="1040"/>
      <c r="Y208" s="1808"/>
      <c r="Z208" s="958">
        <f t="shared" si="38"/>
        <v>1500</v>
      </c>
      <c r="AA208" s="958">
        <f t="shared" si="39"/>
        <v>0</v>
      </c>
      <c r="AB208" s="958">
        <f t="shared" si="40"/>
        <v>0</v>
      </c>
      <c r="AC208" s="958">
        <f t="shared" si="41"/>
        <v>0</v>
      </c>
      <c r="AD208" s="958">
        <f t="shared" si="42"/>
        <v>0</v>
      </c>
    </row>
    <row r="209" spans="1:30" ht="16" thickBot="1">
      <c r="K209" s="712" t="s">
        <v>238</v>
      </c>
      <c r="R209" s="1951">
        <f>SUM(R189:R208)</f>
        <v>440</v>
      </c>
      <c r="S209" s="1951">
        <f>SUM(S189:S208)</f>
        <v>680</v>
      </c>
      <c r="Y209" s="1808"/>
      <c r="Z209" s="1561">
        <f>SUM(Z189:Z208)</f>
        <v>59740</v>
      </c>
      <c r="AA209" s="1561">
        <f t="shared" ref="AA209:AD209" si="51">SUM(AA189:AA208)</f>
        <v>0</v>
      </c>
      <c r="AB209" s="1561">
        <f t="shared" si="51"/>
        <v>17030</v>
      </c>
      <c r="AC209" s="1561">
        <f t="shared" si="51"/>
        <v>0</v>
      </c>
      <c r="AD209" s="1561">
        <f t="shared" si="51"/>
        <v>0</v>
      </c>
    </row>
    <row r="210" spans="1:30" ht="16" thickBot="1">
      <c r="K210" s="712" t="s">
        <v>238</v>
      </c>
      <c r="R210" s="1495">
        <f>ROUND(R209*EUR,2)</f>
        <v>8634.8700000000008</v>
      </c>
      <c r="S210" s="1495">
        <f>ROUND(S209*EUR,2)</f>
        <v>13344.8</v>
      </c>
    </row>
    <row r="211" spans="1:30" ht="16" thickBot="1">
      <c r="K211" s="712" t="s">
        <v>238</v>
      </c>
    </row>
    <row r="212" spans="1:30" ht="16" thickBot="1">
      <c r="K212" s="712" t="s">
        <v>238</v>
      </c>
      <c r="M212" s="1049" t="s">
        <v>3459</v>
      </c>
      <c r="N212" s="960"/>
      <c r="O212" s="960"/>
      <c r="P212" s="1500">
        <v>2021</v>
      </c>
      <c r="Q212" s="1762">
        <v>2022</v>
      </c>
      <c r="R212" s="1762">
        <v>2023</v>
      </c>
      <c r="S212" s="1762">
        <v>2024</v>
      </c>
      <c r="T212" s="1763">
        <v>2025</v>
      </c>
    </row>
    <row r="213" spans="1:30" ht="16" thickBot="1">
      <c r="A213" s="730">
        <v>165</v>
      </c>
      <c r="B213" s="733">
        <f>P213</f>
        <v>199309.66999999998</v>
      </c>
      <c r="C213" s="733">
        <f t="shared" ref="C213" si="52">Q213</f>
        <v>0</v>
      </c>
      <c r="D213" s="733">
        <f t="shared" ref="D213" si="53">R213</f>
        <v>17030</v>
      </c>
      <c r="E213" s="733">
        <f t="shared" ref="E213" si="54">S213</f>
        <v>0</v>
      </c>
      <c r="F213" s="733">
        <f t="shared" ref="F213" si="55">T213</f>
        <v>0</v>
      </c>
      <c r="G213" s="733" t="s">
        <v>351</v>
      </c>
      <c r="H213" s="733" t="s">
        <v>3458</v>
      </c>
      <c r="I213" s="841" t="s">
        <v>3716</v>
      </c>
      <c r="J213" s="1681" t="s">
        <v>2963</v>
      </c>
      <c r="K213" s="712" t="s">
        <v>238</v>
      </c>
      <c r="M213" s="1710" t="s">
        <v>3044</v>
      </c>
      <c r="N213" s="1732"/>
      <c r="O213" s="1708"/>
      <c r="P213" s="1495">
        <f>Z185+Z209+R210+S210</f>
        <v>199309.66999999998</v>
      </c>
      <c r="Q213" s="1495">
        <f t="shared" ref="Q213:T213" si="56">AA185+AA209</f>
        <v>0</v>
      </c>
      <c r="R213" s="1495">
        <f t="shared" si="56"/>
        <v>17030</v>
      </c>
      <c r="S213" s="1495">
        <f t="shared" si="56"/>
        <v>0</v>
      </c>
      <c r="T213" s="1495">
        <f t="shared" si="56"/>
        <v>0</v>
      </c>
    </row>
    <row r="214" spans="1:30">
      <c r="K214" s="712" t="s">
        <v>238</v>
      </c>
    </row>
    <row r="215" spans="1:30">
      <c r="K215" s="712" t="s">
        <v>238</v>
      </c>
    </row>
    <row r="216" spans="1:30">
      <c r="K216" s="712" t="s">
        <v>238</v>
      </c>
    </row>
    <row r="217" spans="1:30" ht="19">
      <c r="K217" s="712" t="s">
        <v>238</v>
      </c>
      <c r="L217" s="1879" t="s">
        <v>2964</v>
      </c>
    </row>
    <row r="218" spans="1:30">
      <c r="K218" s="712" t="s">
        <v>238</v>
      </c>
    </row>
    <row r="219" spans="1:30" ht="19">
      <c r="K219" s="712" t="s">
        <v>238</v>
      </c>
      <c r="L219" s="1879" t="s">
        <v>3465</v>
      </c>
    </row>
    <row r="220" spans="1:30" s="1808" customFormat="1" ht="19">
      <c r="J220" s="853"/>
      <c r="K220" s="712"/>
      <c r="L220" s="1879"/>
    </row>
    <row r="221" spans="1:30" s="1808" customFormat="1" ht="19">
      <c r="A221"/>
      <c r="B221"/>
      <c r="C221"/>
      <c r="D221"/>
      <c r="E221"/>
      <c r="F221"/>
      <c r="G221"/>
      <c r="H221"/>
      <c r="I221"/>
      <c r="J221" s="853"/>
      <c r="K221" s="712"/>
      <c r="L221" s="1879"/>
      <c r="M221" s="2653" t="s">
        <v>3542</v>
      </c>
      <c r="N221" s="2653"/>
      <c r="O221" s="2653"/>
      <c r="P221" s="2653"/>
      <c r="Q221" s="2653"/>
    </row>
    <row r="222" spans="1:30" s="1808" customFormat="1" ht="33">
      <c r="J222" s="853"/>
      <c r="K222" s="712"/>
      <c r="L222" s="1879"/>
      <c r="M222" s="1928"/>
      <c r="N222" s="1928" t="s">
        <v>1995</v>
      </c>
      <c r="O222" s="1928" t="s">
        <v>3380</v>
      </c>
      <c r="P222" s="1928" t="s">
        <v>3381</v>
      </c>
      <c r="Q222" s="1928" t="s">
        <v>3382</v>
      </c>
    </row>
    <row r="223" spans="1:30" s="1808" customFormat="1" ht="19">
      <c r="J223" s="853"/>
      <c r="K223" s="712"/>
      <c r="L223" s="1879"/>
      <c r="M223" s="1928" t="s">
        <v>3460</v>
      </c>
      <c r="N223" s="2013">
        <v>1</v>
      </c>
      <c r="O223" s="2016">
        <v>2000</v>
      </c>
      <c r="P223" s="2013">
        <v>12</v>
      </c>
      <c r="Q223" s="2013">
        <f>P223*O223*N223</f>
        <v>24000</v>
      </c>
    </row>
    <row r="224" spans="1:30" s="1808" customFormat="1" ht="19">
      <c r="J224" s="853"/>
      <c r="K224" s="712"/>
      <c r="L224" s="1879"/>
      <c r="M224" s="1928" t="s">
        <v>3461</v>
      </c>
      <c r="N224" s="2013">
        <v>1</v>
      </c>
      <c r="O224" s="2016">
        <v>1400</v>
      </c>
      <c r="P224" s="2013">
        <v>20</v>
      </c>
      <c r="Q224" s="2013">
        <f>P224*O224*N224</f>
        <v>28000</v>
      </c>
    </row>
    <row r="225" spans="1:20" s="1808" customFormat="1" ht="19">
      <c r="J225" s="853"/>
      <c r="K225" s="712"/>
      <c r="L225" s="1879"/>
      <c r="M225" s="1928" t="s">
        <v>3462</v>
      </c>
      <c r="N225" s="2013">
        <v>1</v>
      </c>
      <c r="O225" s="2016">
        <v>10000</v>
      </c>
      <c r="P225" s="2013">
        <v>2</v>
      </c>
      <c r="Q225" s="2013">
        <f>P225*O225*N225</f>
        <v>20000</v>
      </c>
      <c r="R225" s="853"/>
    </row>
    <row r="226" spans="1:20" s="1808" customFormat="1" ht="19">
      <c r="J226" s="853"/>
      <c r="K226" s="712"/>
      <c r="L226" s="1879"/>
      <c r="M226" s="2017" t="s">
        <v>2483</v>
      </c>
      <c r="N226" s="2017"/>
      <c r="O226" s="2017">
        <f>Q226/P226</f>
        <v>1945.9459459459461</v>
      </c>
      <c r="P226" s="2017">
        <v>37</v>
      </c>
      <c r="Q226" s="2017">
        <f>SUM(Q223:Q225)</f>
        <v>72000</v>
      </c>
      <c r="R226" s="836"/>
    </row>
    <row r="227" spans="1:20" s="1808" customFormat="1" ht="19">
      <c r="J227" s="853"/>
      <c r="K227" s="712"/>
      <c r="L227" s="1879"/>
    </row>
    <row r="228" spans="1:20" s="1808" customFormat="1">
      <c r="J228" s="853"/>
      <c r="K228" s="712"/>
    </row>
    <row r="229" spans="1:20" ht="16">
      <c r="K229" s="712" t="s">
        <v>238</v>
      </c>
      <c r="M229" s="1928"/>
      <c r="N229" s="1928" t="s">
        <v>3380</v>
      </c>
      <c r="O229" s="1928" t="s">
        <v>3381</v>
      </c>
      <c r="P229" s="1928"/>
    </row>
    <row r="230" spans="1:20">
      <c r="K230" s="712" t="s">
        <v>238</v>
      </c>
      <c r="M230" s="1928"/>
      <c r="N230" s="1928"/>
      <c r="O230" s="1928"/>
      <c r="P230" s="1928"/>
    </row>
    <row r="231" spans="1:20" ht="16">
      <c r="K231" s="712" t="s">
        <v>238</v>
      </c>
      <c r="M231" s="1928" t="s">
        <v>3463</v>
      </c>
      <c r="N231" s="2016">
        <v>15000</v>
      </c>
      <c r="O231" s="2013">
        <v>1</v>
      </c>
      <c r="P231" s="2013"/>
    </row>
    <row r="232" spans="1:20" ht="16">
      <c r="K232" s="712" t="s">
        <v>238</v>
      </c>
      <c r="M232" s="1928" t="s">
        <v>3464</v>
      </c>
      <c r="N232" s="2016">
        <v>35000</v>
      </c>
      <c r="O232" s="2013">
        <v>1</v>
      </c>
      <c r="P232" s="2013"/>
    </row>
    <row r="233" spans="1:20">
      <c r="K233" s="712" t="s">
        <v>238</v>
      </c>
      <c r="M233" s="2017" t="s">
        <v>2483</v>
      </c>
      <c r="N233" s="2018">
        <f>SUM(N231:N232)</f>
        <v>50000</v>
      </c>
      <c r="O233" s="2018"/>
      <c r="P233" s="2018"/>
      <c r="Q233" s="1910">
        <f>N233*EUR</f>
        <v>981235.15</v>
      </c>
    </row>
    <row r="234" spans="1:20" ht="16" thickBot="1">
      <c r="K234" s="712" t="s">
        <v>238</v>
      </c>
    </row>
    <row r="235" spans="1:20" ht="16" thickBot="1">
      <c r="K235" s="712" t="s">
        <v>238</v>
      </c>
      <c r="M235" s="1049" t="s">
        <v>2171</v>
      </c>
      <c r="N235" s="960"/>
      <c r="O235" s="960"/>
      <c r="P235" s="1500">
        <v>2021</v>
      </c>
      <c r="Q235" s="1762">
        <v>2022</v>
      </c>
      <c r="R235" s="1762">
        <v>2023</v>
      </c>
      <c r="S235" s="1762">
        <v>2024</v>
      </c>
      <c r="T235" s="1763">
        <v>2025</v>
      </c>
    </row>
    <row r="236" spans="1:20" ht="16" thickBot="1">
      <c r="K236" s="712" t="s">
        <v>238</v>
      </c>
      <c r="M236" s="1764" t="s">
        <v>3043</v>
      </c>
      <c r="N236" s="1504"/>
      <c r="O236" s="1504"/>
      <c r="P236" s="1713">
        <v>1</v>
      </c>
      <c r="Q236" s="1713">
        <v>0</v>
      </c>
      <c r="R236" s="1713">
        <v>0</v>
      </c>
      <c r="S236" s="1713">
        <v>0</v>
      </c>
      <c r="T236" s="1765">
        <v>0</v>
      </c>
    </row>
    <row r="237" spans="1:20" ht="16" thickBot="1">
      <c r="A237" s="730">
        <v>168</v>
      </c>
      <c r="B237" s="733">
        <f>P237</f>
        <v>102000</v>
      </c>
      <c r="C237" s="733">
        <f t="shared" ref="C237:F237" si="57">Q237</f>
        <v>0</v>
      </c>
      <c r="D237" s="733">
        <f t="shared" si="57"/>
        <v>0</v>
      </c>
      <c r="E237" s="733">
        <f t="shared" si="57"/>
        <v>0</v>
      </c>
      <c r="F237" s="733">
        <f t="shared" si="57"/>
        <v>0</v>
      </c>
      <c r="G237" s="733" t="s">
        <v>351</v>
      </c>
      <c r="H237" s="733" t="s">
        <v>3465</v>
      </c>
      <c r="I237" s="841" t="s">
        <v>3716</v>
      </c>
      <c r="J237" s="1681" t="s">
        <v>2964</v>
      </c>
      <c r="K237" s="712" t="s">
        <v>238</v>
      </c>
      <c r="M237" s="1710" t="s">
        <v>3044</v>
      </c>
      <c r="N237" s="1732"/>
      <c r="O237" s="1708">
        <f>Q223+Q224+N233</f>
        <v>102000</v>
      </c>
      <c r="P237" s="1495">
        <f>O237*P236</f>
        <v>102000</v>
      </c>
      <c r="Q237" s="1495">
        <f>O237*Q236</f>
        <v>0</v>
      </c>
      <c r="R237" s="1495">
        <f>O237*R236</f>
        <v>0</v>
      </c>
      <c r="S237" s="1495">
        <f>O237*S236</f>
        <v>0</v>
      </c>
      <c r="T237" s="1495">
        <f>O237*T236</f>
        <v>0</v>
      </c>
    </row>
    <row r="238" spans="1:20">
      <c r="K238" s="712" t="s">
        <v>238</v>
      </c>
    </row>
    <row r="239" spans="1:20" ht="19">
      <c r="K239" s="712" t="s">
        <v>238</v>
      </c>
      <c r="L239" s="1879" t="s">
        <v>3466</v>
      </c>
    </row>
    <row r="240" spans="1:20">
      <c r="K240" s="712" t="s">
        <v>238</v>
      </c>
    </row>
    <row r="241" spans="1:20">
      <c r="K241" s="712" t="s">
        <v>238</v>
      </c>
      <c r="M241" s="2653" t="s">
        <v>3556</v>
      </c>
      <c r="N241" s="2653"/>
      <c r="O241" s="2653"/>
      <c r="P241" s="2653"/>
      <c r="Q241" s="2653"/>
      <c r="R241" s="853"/>
    </row>
    <row r="242" spans="1:20" ht="32">
      <c r="K242" s="712" t="s">
        <v>238</v>
      </c>
      <c r="M242" s="1928"/>
      <c r="N242" s="1928" t="s">
        <v>1995</v>
      </c>
      <c r="O242" s="1928" t="s">
        <v>3380</v>
      </c>
      <c r="P242" s="1928" t="s">
        <v>3559</v>
      </c>
    </row>
    <row r="243" spans="1:20" ht="16">
      <c r="K243" s="712" t="s">
        <v>238</v>
      </c>
      <c r="M243" s="1928" t="s">
        <v>3557</v>
      </c>
      <c r="N243" s="1928">
        <v>200</v>
      </c>
      <c r="O243" s="1928">
        <v>200</v>
      </c>
      <c r="P243" s="1496">
        <f>O243*N243</f>
        <v>40000</v>
      </c>
    </row>
    <row r="244" spans="1:20" ht="16">
      <c r="K244" s="712" t="s">
        <v>238</v>
      </c>
      <c r="M244" s="1928" t="s">
        <v>3558</v>
      </c>
      <c r="N244" s="1928">
        <v>200</v>
      </c>
      <c r="O244" s="1928">
        <v>500</v>
      </c>
      <c r="P244" s="1496">
        <f t="shared" ref="P244" si="58">O244*N244</f>
        <v>100000</v>
      </c>
    </row>
    <row r="245" spans="1:20">
      <c r="K245" s="712" t="s">
        <v>238</v>
      </c>
      <c r="M245" s="2017" t="s">
        <v>2483</v>
      </c>
      <c r="N245" s="2017"/>
      <c r="O245" s="2018">
        <f>AVERAGE(O243:O244)</f>
        <v>350</v>
      </c>
      <c r="P245" s="2019">
        <f>SUM(P243:P244)</f>
        <v>140000</v>
      </c>
    </row>
    <row r="246" spans="1:20">
      <c r="K246" s="712" t="s">
        <v>238</v>
      </c>
    </row>
    <row r="247" spans="1:20" ht="16" thickBot="1">
      <c r="K247" s="712" t="s">
        <v>238</v>
      </c>
    </row>
    <row r="248" spans="1:20" s="1808" customFormat="1" ht="16" thickBot="1">
      <c r="J248" s="853"/>
      <c r="K248" s="712"/>
      <c r="M248" s="1049" t="s">
        <v>2171</v>
      </c>
      <c r="N248" s="960"/>
      <c r="O248" s="960"/>
      <c r="P248" s="1500">
        <v>2021</v>
      </c>
      <c r="Q248" s="1762">
        <v>2022</v>
      </c>
      <c r="R248" s="1762">
        <v>2023</v>
      </c>
      <c r="S248" s="1762">
        <v>2024</v>
      </c>
      <c r="T248" s="1763">
        <v>2025</v>
      </c>
    </row>
    <row r="249" spans="1:20" s="1808" customFormat="1" ht="16" thickBot="1">
      <c r="J249" s="853"/>
      <c r="K249" s="712"/>
      <c r="M249" s="1764" t="s">
        <v>3561</v>
      </c>
      <c r="N249" s="1504"/>
      <c r="O249" s="1504"/>
      <c r="P249" s="1713">
        <v>2</v>
      </c>
      <c r="Q249" s="1713">
        <v>2</v>
      </c>
      <c r="R249" s="1713">
        <v>2</v>
      </c>
      <c r="S249" s="1713">
        <v>0</v>
      </c>
      <c r="T249" s="1765">
        <v>0</v>
      </c>
    </row>
    <row r="250" spans="1:20" s="1808" customFormat="1" ht="16" thickBot="1">
      <c r="A250" s="730">
        <v>169</v>
      </c>
      <c r="B250" s="733">
        <f>P250</f>
        <v>300000</v>
      </c>
      <c r="C250" s="733">
        <f t="shared" ref="C250:F250" si="59">Q250</f>
        <v>300000</v>
      </c>
      <c r="D250" s="733">
        <f t="shared" si="59"/>
        <v>300000</v>
      </c>
      <c r="E250" s="733">
        <f t="shared" si="59"/>
        <v>0</v>
      </c>
      <c r="F250" s="733">
        <f t="shared" si="59"/>
        <v>0</v>
      </c>
      <c r="G250" s="733" t="s">
        <v>351</v>
      </c>
      <c r="H250" s="733" t="s">
        <v>3466</v>
      </c>
      <c r="I250" s="841" t="s">
        <v>3716</v>
      </c>
      <c r="J250" s="1681" t="s">
        <v>2964</v>
      </c>
      <c r="K250" s="712"/>
      <c r="M250" s="1710" t="s">
        <v>3044</v>
      </c>
      <c r="N250" s="1732"/>
      <c r="O250" s="1708">
        <f>P245+O225</f>
        <v>150000</v>
      </c>
      <c r="P250" s="1495">
        <f>O250*P249</f>
        <v>300000</v>
      </c>
      <c r="Q250" s="1495">
        <f>O250*Q249</f>
        <v>300000</v>
      </c>
      <c r="R250" s="1495">
        <f>O250*R249</f>
        <v>300000</v>
      </c>
      <c r="S250" s="1495">
        <f>O250*S249</f>
        <v>0</v>
      </c>
      <c r="T250" s="1495">
        <f>O250*T249</f>
        <v>0</v>
      </c>
    </row>
    <row r="251" spans="1:20">
      <c r="K251" s="712" t="s">
        <v>238</v>
      </c>
    </row>
    <row r="252" spans="1:20">
      <c r="K252" s="712" t="s">
        <v>238</v>
      </c>
    </row>
    <row r="253" spans="1:20">
      <c r="K253" s="712" t="s">
        <v>238</v>
      </c>
    </row>
    <row r="254" spans="1:20" s="1808" customFormat="1">
      <c r="J254" s="853"/>
      <c r="K254" s="712"/>
    </row>
    <row r="255" spans="1:20">
      <c r="K255" s="712" t="s">
        <v>238</v>
      </c>
    </row>
    <row r="256" spans="1:20" ht="14.5" customHeight="1">
      <c r="K256" s="712" t="s">
        <v>238</v>
      </c>
      <c r="L256" s="1879" t="s">
        <v>3939</v>
      </c>
    </row>
    <row r="257" spans="1:20">
      <c r="K257" s="712" t="s">
        <v>238</v>
      </c>
    </row>
    <row r="258" spans="1:20">
      <c r="K258" s="712" t="s">
        <v>238</v>
      </c>
      <c r="M258" s="1961"/>
      <c r="N258" s="1960"/>
      <c r="O258" s="1962"/>
      <c r="P258" s="1960"/>
      <c r="Q258" s="1960">
        <f>N258*O258*P258</f>
        <v>0</v>
      </c>
    </row>
    <row r="259" spans="1:20">
      <c r="K259" s="712" t="s">
        <v>238</v>
      </c>
      <c r="M259" s="1961" t="s">
        <v>2878</v>
      </c>
      <c r="N259" s="1960">
        <v>35000</v>
      </c>
      <c r="O259" s="1962">
        <v>1</v>
      </c>
      <c r="P259" s="1960">
        <v>1</v>
      </c>
      <c r="Q259" s="1960">
        <f>N259*O259*P259</f>
        <v>35000</v>
      </c>
    </row>
    <row r="260" spans="1:20">
      <c r="K260" s="712" t="s">
        <v>238</v>
      </c>
      <c r="M260" s="1963"/>
      <c r="N260" s="1964"/>
      <c r="O260" s="1965"/>
      <c r="P260" s="1964"/>
      <c r="Q260" s="1964">
        <f>SUM(Q258:Q259)</f>
        <v>35000</v>
      </c>
    </row>
    <row r="261" spans="1:20">
      <c r="K261" s="712" t="s">
        <v>238</v>
      </c>
    </row>
    <row r="262" spans="1:20" ht="16" thickBot="1">
      <c r="K262" s="712" t="s">
        <v>238</v>
      </c>
      <c r="M262" s="1808"/>
      <c r="N262" s="1808"/>
      <c r="O262" s="1808"/>
      <c r="P262" s="1808"/>
      <c r="Q262" s="1808"/>
      <c r="R262" s="1808"/>
      <c r="S262" s="1808"/>
      <c r="T262" s="1808"/>
    </row>
    <row r="263" spans="1:20" ht="16" thickBot="1">
      <c r="K263" s="712" t="s">
        <v>238</v>
      </c>
      <c r="M263" s="1049" t="s">
        <v>2171</v>
      </c>
      <c r="N263" s="960"/>
      <c r="O263" s="960"/>
      <c r="P263" s="1500">
        <v>2021</v>
      </c>
      <c r="Q263" s="1762">
        <v>2022</v>
      </c>
      <c r="R263" s="1762">
        <v>2023</v>
      </c>
      <c r="S263" s="1762">
        <v>2024</v>
      </c>
      <c r="T263" s="1763">
        <v>2025</v>
      </c>
    </row>
    <row r="264" spans="1:20" ht="16" thickBot="1">
      <c r="K264" s="712" t="s">
        <v>238</v>
      </c>
      <c r="M264" s="1764" t="s">
        <v>3043</v>
      </c>
      <c r="N264" s="1504"/>
      <c r="O264" s="1504"/>
      <c r="P264" s="1713">
        <v>1</v>
      </c>
      <c r="Q264" s="1713">
        <v>1</v>
      </c>
      <c r="R264" s="1713">
        <v>1</v>
      </c>
      <c r="S264" s="1713">
        <v>0</v>
      </c>
      <c r="T264" s="1765">
        <v>0</v>
      </c>
    </row>
    <row r="265" spans="1:20" ht="16" thickBot="1">
      <c r="A265" s="730">
        <v>172</v>
      </c>
      <c r="B265" s="733">
        <f>P265</f>
        <v>35000</v>
      </c>
      <c r="C265" s="733">
        <f t="shared" ref="C265" si="60">Q265</f>
        <v>35000</v>
      </c>
      <c r="D265" s="733">
        <f t="shared" ref="D265" si="61">R265</f>
        <v>35000</v>
      </c>
      <c r="E265" s="733">
        <f t="shared" ref="E265" si="62">S265</f>
        <v>0</v>
      </c>
      <c r="F265" s="733">
        <f t="shared" ref="F265" si="63">T265</f>
        <v>0</v>
      </c>
      <c r="G265" s="733" t="s">
        <v>351</v>
      </c>
      <c r="H265" s="733" t="s">
        <v>3939</v>
      </c>
      <c r="I265" s="841" t="s">
        <v>3716</v>
      </c>
      <c r="J265" s="1681" t="s">
        <v>2964</v>
      </c>
      <c r="K265" s="712" t="s">
        <v>238</v>
      </c>
      <c r="M265" s="1710" t="s">
        <v>3044</v>
      </c>
      <c r="N265" s="1732"/>
      <c r="O265" s="1708">
        <f>Q260</f>
        <v>35000</v>
      </c>
      <c r="P265" s="1495">
        <f>O265*P264</f>
        <v>35000</v>
      </c>
      <c r="Q265" s="1495">
        <f>O265*Q264</f>
        <v>35000</v>
      </c>
      <c r="R265" s="1495">
        <f>O265*R264</f>
        <v>35000</v>
      </c>
      <c r="S265" s="1495">
        <f>T260*S264</f>
        <v>0</v>
      </c>
      <c r="T265" s="1495">
        <f>T260*T264</f>
        <v>0</v>
      </c>
    </row>
    <row r="266" spans="1:20">
      <c r="K266" s="712" t="s">
        <v>238</v>
      </c>
    </row>
    <row r="267" spans="1:20">
      <c r="K267" s="712" t="s">
        <v>238</v>
      </c>
    </row>
    <row r="268" spans="1:20">
      <c r="K268" s="712" t="s">
        <v>238</v>
      </c>
    </row>
    <row r="269" spans="1:20">
      <c r="K269" s="712" t="s">
        <v>238</v>
      </c>
    </row>
    <row r="270" spans="1:20">
      <c r="K270" s="712" t="s">
        <v>238</v>
      </c>
    </row>
    <row r="271" spans="1:20">
      <c r="K271" s="712" t="s">
        <v>238</v>
      </c>
    </row>
    <row r="272" spans="1:20">
      <c r="K272" s="712" t="s">
        <v>238</v>
      </c>
    </row>
    <row r="273" spans="11:11">
      <c r="K273" s="712" t="s">
        <v>238</v>
      </c>
    </row>
    <row r="274" spans="11:11">
      <c r="K274" s="712" t="s">
        <v>238</v>
      </c>
    </row>
    <row r="275" spans="11:11">
      <c r="K275" s="712" t="s">
        <v>238</v>
      </c>
    </row>
    <row r="276" spans="11:11">
      <c r="K276" s="712" t="s">
        <v>238</v>
      </c>
    </row>
    <row r="277" spans="11:11">
      <c r="K277" s="712" t="s">
        <v>238</v>
      </c>
    </row>
    <row r="278" spans="11:11">
      <c r="K278" s="712" t="s">
        <v>238</v>
      </c>
    </row>
    <row r="279" spans="11:11">
      <c r="K279" s="712" t="s">
        <v>238</v>
      </c>
    </row>
    <row r="280" spans="11:11">
      <c r="K280" s="712" t="s">
        <v>238</v>
      </c>
    </row>
    <row r="281" spans="11:11">
      <c r="K281" s="712" t="s">
        <v>238</v>
      </c>
    </row>
    <row r="282" spans="11:11">
      <c r="K282" s="712" t="s">
        <v>238</v>
      </c>
    </row>
    <row r="283" spans="11:11">
      <c r="K283" s="712" t="s">
        <v>238</v>
      </c>
    </row>
    <row r="284" spans="11:11">
      <c r="K284" s="712" t="s">
        <v>238</v>
      </c>
    </row>
    <row r="285" spans="11:11">
      <c r="K285" s="712" t="s">
        <v>238</v>
      </c>
    </row>
    <row r="286" spans="11:11">
      <c r="K286" s="712" t="s">
        <v>238</v>
      </c>
    </row>
    <row r="287" spans="11:11">
      <c r="K287" s="712" t="s">
        <v>238</v>
      </c>
    </row>
  </sheetData>
  <mergeCells count="3">
    <mergeCell ref="M62:Q62"/>
    <mergeCell ref="M221:Q221"/>
    <mergeCell ref="M241:Q241"/>
  </mergeCells>
  <conditionalFormatting sqref="A1">
    <cfRule type="duplicateValues" dxfId="494" priority="33"/>
  </conditionalFormatting>
  <conditionalFormatting sqref="A15">
    <cfRule type="duplicateValues" dxfId="493" priority="32"/>
  </conditionalFormatting>
  <conditionalFormatting sqref="A57">
    <cfRule type="duplicateValues" dxfId="492" priority="29"/>
  </conditionalFormatting>
  <conditionalFormatting sqref="A72">
    <cfRule type="duplicateValues" dxfId="491" priority="27"/>
  </conditionalFormatting>
  <conditionalFormatting sqref="A17">
    <cfRule type="duplicateValues" dxfId="490" priority="26"/>
  </conditionalFormatting>
  <conditionalFormatting sqref="A112">
    <cfRule type="duplicateValues" dxfId="489" priority="23"/>
  </conditionalFormatting>
  <conditionalFormatting sqref="Q85">
    <cfRule type="containsText" dxfId="488" priority="21" operator="containsText" text="USD">
      <formula>NOT(ISERROR(SEARCH("USD",Q85)))</formula>
    </cfRule>
    <cfRule type="containsText" dxfId="487" priority="22" operator="containsText" text="EUR">
      <formula>NOT(ISERROR(SEARCH("EUR",Q85)))</formula>
    </cfRule>
  </conditionalFormatting>
  <conditionalFormatting sqref="Q30">
    <cfRule type="containsText" dxfId="486" priority="19" operator="containsText" text="USD">
      <formula>NOT(ISERROR(SEARCH("USD",Q30)))</formula>
    </cfRule>
    <cfRule type="containsText" dxfId="485" priority="20" operator="containsText" text="EUR">
      <formula>NOT(ISERROR(SEARCH("EUR",Q30)))</formula>
    </cfRule>
  </conditionalFormatting>
  <conditionalFormatting sqref="A142">
    <cfRule type="duplicateValues" dxfId="484" priority="16"/>
  </conditionalFormatting>
  <conditionalFormatting sqref="A213">
    <cfRule type="duplicateValues" dxfId="483" priority="15"/>
  </conditionalFormatting>
  <conditionalFormatting sqref="A250">
    <cfRule type="duplicateValues" dxfId="482" priority="10"/>
  </conditionalFormatting>
  <conditionalFormatting sqref="A265">
    <cfRule type="duplicateValues" dxfId="481" priority="4"/>
  </conditionalFormatting>
  <conditionalFormatting sqref="A237">
    <cfRule type="duplicateValues" dxfId="480" priority="2"/>
  </conditionalFormatting>
  <conditionalFormatting sqref="A123">
    <cfRule type="duplicateValues" dxfId="479" priority="1"/>
  </conditionalFormatting>
  <dataValidations count="3">
    <dataValidation type="list" allowBlank="1" showInputMessage="1" showErrorMessage="1" sqref="I15 I57 I72 I17 I112 I142 I213 I250 I265 I237 I123" xr:uid="{00000000-0002-0000-0D00-000000000000}">
      <formula1>TB_implementare</formula1>
    </dataValidation>
    <dataValidation type="list" allowBlank="1" showInputMessage="1" showErrorMessage="1" sqref="G15 G57 G72 G17 G112 G142 G213 G250 G265 G237 G123" xr:uid="{00000000-0002-0000-0D00-000001000000}">
      <formula1>TB_sursa_finant_Ro</formula1>
    </dataValidation>
    <dataValidation type="list" allowBlank="1" showInputMessage="1" showErrorMessage="1" sqref="M86:M104 M31:M49 M138 M119" xr:uid="{00000000-0002-0000-0D00-000002000000}">
      <formula1>Denumire_produs_ro</formula1>
    </dataValidation>
  </dataValidations>
  <hyperlinks>
    <hyperlink ref="O1" location="CUPRINS!A1" display="CUPRINS" xr:uid="{00000000-0004-0000-0D00-000000000000}"/>
  </hyperlinks>
  <pageMargins left="0.7" right="0.7" top="0.75" bottom="0.75" header="0.3" footer="0.3"/>
  <pageSetup orientation="portrait" r:id="rId1"/>
  <drawing r:id="rId2"/>
  <mc:AlternateContent xmlns:mc="http://schemas.openxmlformats.org/markup-compatibility/2006">
    <mc:Choice Requires="v">
      <legacyDrawing r:id="rId3"/>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3000000}">
          <x14:formula1>
            <xm:f>Nom_activ_2!$H$2:$H$88</xm:f>
          </x14:formula1>
          <xm:sqref>J15 J57 J72 J17 J112 J142 J213 J250 J265 J237 J123</xm:sqref>
        </x14:dataValidation>
      </x14:dataValidations>
    </ext>
  </extLst>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1205"/>
  <sheetViews>
    <sheetView topLeftCell="L121" zoomScale="70" zoomScaleNormal="70" workbookViewId="0">
      <selection activeCell="Q147" sqref="Q147"/>
    </sheetView>
  </sheetViews>
  <sheetFormatPr baseColWidth="10" defaultColWidth="8.83203125" defaultRowHeight="15" outlineLevelCol="1"/>
  <cols>
    <col min="1" max="1" width="4.5" style="960" customWidth="1" outlineLevel="1"/>
    <col min="2" max="6" width="14" style="960" customWidth="1" outlineLevel="1"/>
    <col min="7" max="7" width="11" style="960" customWidth="1" outlineLevel="1"/>
    <col min="8" max="8" width="48.6640625" style="960" customWidth="1" outlineLevel="1"/>
    <col min="9" max="9" width="12.6640625" style="2164" customWidth="1" outlineLevel="1"/>
    <col min="10" max="10" width="28.83203125" style="960" customWidth="1" outlineLevel="1"/>
    <col min="11" max="11" width="2.1640625" bestFit="1" customWidth="1"/>
    <col min="12" max="12" width="15.6640625" customWidth="1"/>
    <col min="13" max="13" width="19.33203125" customWidth="1"/>
    <col min="14" max="14" width="67.33203125" bestFit="1" customWidth="1"/>
    <col min="15" max="15" width="52.83203125" customWidth="1"/>
    <col min="16" max="16" width="15.6640625" customWidth="1"/>
    <col min="17" max="21" width="16.6640625" customWidth="1"/>
    <col min="23" max="23" width="14" bestFit="1" customWidth="1"/>
    <col min="24" max="24" width="23" customWidth="1"/>
    <col min="25" max="27" width="14" bestFit="1" customWidth="1"/>
    <col min="28" max="28" width="11.83203125" customWidth="1"/>
    <col min="29" max="32" width="20" customWidth="1"/>
    <col min="33" max="33" width="5.1640625" bestFit="1" customWidth="1"/>
    <col min="34" max="34" width="9.6640625" bestFit="1" customWidth="1"/>
    <col min="35" max="35" width="10.1640625" bestFit="1" customWidth="1"/>
    <col min="38" max="38" width="26.33203125" customWidth="1"/>
  </cols>
  <sheetData>
    <row r="1" spans="1:22">
      <c r="A1" s="2157"/>
      <c r="B1" s="859">
        <v>2021</v>
      </c>
      <c r="C1" s="859">
        <v>2022</v>
      </c>
      <c r="D1" s="859">
        <v>2023</v>
      </c>
      <c r="E1" s="859">
        <v>2024</v>
      </c>
      <c r="F1" s="859">
        <v>2025</v>
      </c>
      <c r="G1" s="859" t="s">
        <v>484</v>
      </c>
      <c r="H1" s="859" t="s">
        <v>515</v>
      </c>
      <c r="I1" s="2186" t="s">
        <v>1834</v>
      </c>
      <c r="J1" s="859"/>
      <c r="K1" s="712" t="s">
        <v>238</v>
      </c>
      <c r="L1" s="836">
        <f ca="1">SUM(B:F)-B1-C1-D1-E1-F1</f>
        <v>650168323.58379364</v>
      </c>
      <c r="M1" s="1808">
        <f>SUM(AR:AR)</f>
        <v>0</v>
      </c>
      <c r="N1" s="836">
        <f ca="1">L1-M1</f>
        <v>650168323.58379364</v>
      </c>
      <c r="O1" s="1836" t="s">
        <v>356</v>
      </c>
    </row>
    <row r="2" spans="1:22">
      <c r="K2" s="712" t="s">
        <v>238</v>
      </c>
    </row>
    <row r="3" spans="1:22">
      <c r="K3" s="712" t="s">
        <v>238</v>
      </c>
      <c r="L3" s="1775" t="s">
        <v>2967</v>
      </c>
    </row>
    <row r="4" spans="1:22" s="1808" customFormat="1">
      <c r="A4" s="960"/>
      <c r="B4" s="960"/>
      <c r="C4" s="960"/>
      <c r="D4" s="960"/>
      <c r="E4" s="960"/>
      <c r="F4" s="960"/>
      <c r="G4" s="960"/>
      <c r="H4" s="960"/>
      <c r="I4" s="2164"/>
      <c r="J4" s="960"/>
      <c r="K4" s="712"/>
      <c r="L4" s="1775"/>
    </row>
    <row r="5" spans="1:22">
      <c r="K5" s="712" t="s">
        <v>238</v>
      </c>
      <c r="L5" s="1775" t="s">
        <v>3467</v>
      </c>
    </row>
    <row r="6" spans="1:22" ht="16" thickBot="1">
      <c r="K6" s="712" t="s">
        <v>238</v>
      </c>
    </row>
    <row r="7" spans="1:22" ht="32">
      <c r="K7" s="712" t="s">
        <v>238</v>
      </c>
      <c r="N7" s="1766" t="s">
        <v>3054</v>
      </c>
      <c r="O7" s="1696"/>
      <c r="P7" s="1767"/>
      <c r="Q7" s="1220">
        <v>1</v>
      </c>
      <c r="R7" s="966"/>
      <c r="S7" s="1768"/>
      <c r="T7" s="966"/>
      <c r="U7" s="967"/>
    </row>
    <row r="8" spans="1:22" ht="32">
      <c r="K8" s="712" t="s">
        <v>238</v>
      </c>
      <c r="N8" s="1769" t="s">
        <v>3055</v>
      </c>
      <c r="O8" s="1693"/>
      <c r="P8" s="958"/>
      <c r="Q8" s="1040">
        <v>0</v>
      </c>
      <c r="R8" s="960"/>
      <c r="S8" s="960"/>
      <c r="T8" s="960"/>
      <c r="U8" s="62"/>
    </row>
    <row r="9" spans="1:22" ht="32">
      <c r="K9" s="712" t="s">
        <v>238</v>
      </c>
      <c r="N9" s="1769" t="s">
        <v>3056</v>
      </c>
      <c r="O9" s="1693"/>
      <c r="P9" s="958"/>
      <c r="Q9" s="1040">
        <v>15</v>
      </c>
      <c r="R9" s="960"/>
      <c r="S9" s="960"/>
      <c r="T9" s="960"/>
      <c r="U9" s="62"/>
    </row>
    <row r="10" spans="1:22" ht="32">
      <c r="K10" s="712" t="s">
        <v>238</v>
      </c>
      <c r="N10" s="1769" t="s">
        <v>3057</v>
      </c>
      <c r="O10" s="1693"/>
      <c r="P10" s="958"/>
      <c r="Q10" s="1040">
        <v>1</v>
      </c>
      <c r="R10" s="960"/>
      <c r="S10" s="960"/>
      <c r="T10" s="960"/>
      <c r="U10" s="62"/>
    </row>
    <row r="11" spans="1:22" ht="32">
      <c r="K11" s="712" t="s">
        <v>238</v>
      </c>
      <c r="N11" s="1769" t="s">
        <v>3052</v>
      </c>
      <c r="O11" s="1693"/>
      <c r="P11" s="1694"/>
      <c r="Q11" s="1028">
        <f>ROUND(Q9*P11,0)</f>
        <v>0</v>
      </c>
      <c r="R11" s="960"/>
      <c r="S11" s="960"/>
      <c r="T11" s="960"/>
      <c r="U11" s="62"/>
    </row>
    <row r="12" spans="1:22" ht="32">
      <c r="K12" s="712" t="s">
        <v>238</v>
      </c>
      <c r="N12" s="1769" t="s">
        <v>3053</v>
      </c>
      <c r="O12" s="1693"/>
      <c r="P12" s="1694"/>
      <c r="Q12" s="1028">
        <f>ROUND(Q9*P12,0)</f>
        <v>0</v>
      </c>
      <c r="R12" s="960"/>
      <c r="S12" s="960"/>
      <c r="T12" s="960"/>
      <c r="U12" s="62"/>
    </row>
    <row r="13" spans="1:22">
      <c r="K13" s="712" t="s">
        <v>238</v>
      </c>
      <c r="N13" s="1770" t="s">
        <v>3036</v>
      </c>
      <c r="O13" s="1019"/>
      <c r="P13" s="1695"/>
      <c r="Q13" s="1028">
        <f>Q10-1</f>
        <v>0</v>
      </c>
      <c r="R13" s="960"/>
      <c r="S13" s="960"/>
      <c r="T13" s="960"/>
      <c r="U13" s="62"/>
    </row>
    <row r="14" spans="1:22" ht="16" thickBot="1">
      <c r="K14" s="712" t="s">
        <v>238</v>
      </c>
      <c r="N14" s="1049"/>
      <c r="O14" s="960"/>
      <c r="P14" s="960"/>
      <c r="Q14" s="960"/>
      <c r="R14" s="960"/>
      <c r="S14" s="960"/>
      <c r="T14" s="960"/>
      <c r="U14" s="62"/>
    </row>
    <row r="15" spans="1:22" ht="32">
      <c r="K15" s="712" t="s">
        <v>238</v>
      </c>
      <c r="N15" s="1699" t="s">
        <v>3033</v>
      </c>
      <c r="O15" s="1700" t="s">
        <v>3034</v>
      </c>
      <c r="P15" s="1702" t="s">
        <v>3040</v>
      </c>
      <c r="Q15" s="1702" t="s">
        <v>3041</v>
      </c>
      <c r="R15" s="1702" t="s">
        <v>3042</v>
      </c>
      <c r="S15" s="1700" t="s">
        <v>3035</v>
      </c>
      <c r="T15" s="1702" t="s">
        <v>3039</v>
      </c>
      <c r="U15" s="1701" t="s">
        <v>2189</v>
      </c>
    </row>
    <row r="16" spans="1:22">
      <c r="K16" s="712" t="s">
        <v>238</v>
      </c>
      <c r="N16" s="1539" t="s">
        <v>3051</v>
      </c>
      <c r="O16" s="958" t="str">
        <f>IFERROR(VLOOKUP(N16,Price_list!$B$1:$H$187,2,0),"")</f>
        <v>International Consultancy fee (3.1)</v>
      </c>
      <c r="P16" s="958" t="str">
        <f>IFERROR(VLOOKUP(N16,Price_list!$B$1:$H$187,3,0),"")</f>
        <v>cost/zi</v>
      </c>
      <c r="Q16" s="946">
        <f>IFERROR(VLOOKUP(N16,Price_list!$B$1:$H$187,4,0),"")</f>
        <v>350</v>
      </c>
      <c r="R16" s="946" t="str">
        <f>IFERROR(VLOOKUP(N16,Price_list!$B$1:$H$187,5,0),"")</f>
        <v>EUR</v>
      </c>
      <c r="S16" s="958">
        <f t="shared" ref="S16:S33" ca="1" si="0">ROUND(IFERROR(IF(R16="MDL",Q16,Q16*INDIRECT(R16)),0),2)</f>
        <v>6868.65</v>
      </c>
      <c r="T16" s="1888">
        <f>Q10+V16</f>
        <v>5</v>
      </c>
      <c r="U16" s="1889">
        <f ca="1">IFERROR(Q7*S16*T16,"")</f>
        <v>34343.25</v>
      </c>
      <c r="V16" s="734">
        <v>4</v>
      </c>
    </row>
    <row r="17" spans="11:22">
      <c r="K17" s="712" t="s">
        <v>238</v>
      </c>
      <c r="N17" s="1539" t="s">
        <v>3029</v>
      </c>
      <c r="O17" s="958" t="str">
        <f>IFERROR(VLOOKUP(N17,Price_list!$B$1:$H$187,2,0),"")</f>
        <v xml:space="preserve">Travel costs </v>
      </c>
      <c r="P17" s="958" t="str">
        <f>IFERROR(VLOOKUP(N17,Price_list!$B$1:$H$187,3,0),"")</f>
        <v>cost tichet o directie</v>
      </c>
      <c r="Q17" s="946">
        <f>IFERROR(VLOOKUP(N17,Price_list!$B$1:$H$187,4,0),"")</f>
        <v>5000</v>
      </c>
      <c r="R17" s="946" t="str">
        <f>IFERROR(VLOOKUP(N17,Price_list!$B$1:$H$187,5,0),"")</f>
        <v>MDL</v>
      </c>
      <c r="S17" s="958">
        <f t="shared" ca="1" si="0"/>
        <v>5000</v>
      </c>
      <c r="T17" s="1040">
        <v>2</v>
      </c>
      <c r="U17" s="1889">
        <f ca="1">Q7*T17*S17</f>
        <v>10000</v>
      </c>
      <c r="V17" s="734"/>
    </row>
    <row r="18" spans="11:22">
      <c r="K18" s="712" t="s">
        <v>238</v>
      </c>
      <c r="N18" s="1539" t="s">
        <v>3020</v>
      </c>
      <c r="O18" s="958" t="str">
        <f>IFERROR(VLOOKUP(N18,Price_list!$B$1:$H$187,2,0),"")</f>
        <v xml:space="preserve">Per diem, WHO DSA, average </v>
      </c>
      <c r="P18" s="958" t="str">
        <f>IFERROR(VLOOKUP(N18,Price_list!$B$1:$H$187,3,0),"")</f>
        <v>diurna</v>
      </c>
      <c r="Q18" s="946">
        <f>IFERROR(VLOOKUP(N18,Price_list!$B$1:$H$187,4,0),"")</f>
        <v>200</v>
      </c>
      <c r="R18" s="946" t="str">
        <f>IFERROR(VLOOKUP(N18,Price_list!$B$1:$H$187,5,0),"")</f>
        <v>EUR</v>
      </c>
      <c r="S18" s="958">
        <f t="shared" ca="1" si="0"/>
        <v>3924.94</v>
      </c>
      <c r="T18" s="946">
        <f>Q10+V18</f>
        <v>5</v>
      </c>
      <c r="U18" s="1889">
        <f ca="1">Q7*S18*T18</f>
        <v>19624.7</v>
      </c>
      <c r="V18" s="734">
        <v>4</v>
      </c>
    </row>
    <row r="19" spans="11:22">
      <c r="K19" s="712" t="s">
        <v>238</v>
      </c>
      <c r="N19" s="1539" t="s">
        <v>3050</v>
      </c>
      <c r="O19" s="958" t="str">
        <f>IFERROR(VLOOKUP(N19,Price_list!$B$1:$H$187,2,0),"")</f>
        <v>National Consultancy fee (3.1)</v>
      </c>
      <c r="P19" s="958" t="str">
        <f>IFERROR(VLOOKUP(N19,Price_list!$B$1:$H$187,3,0),"")</f>
        <v>cost/zi</v>
      </c>
      <c r="Q19" s="946">
        <f>IFERROR(VLOOKUP(N19,Price_list!$B$1:$H$187,4,0),"")</f>
        <v>2000</v>
      </c>
      <c r="R19" s="946" t="str">
        <f>IFERROR(VLOOKUP(N19,Price_list!$B$1:$H$187,5,0),"")</f>
        <v>MDL</v>
      </c>
      <c r="S19" s="958">
        <f t="shared" ca="1" si="0"/>
        <v>2000</v>
      </c>
      <c r="T19" s="946">
        <f>Q10</f>
        <v>1</v>
      </c>
      <c r="U19" s="1889">
        <f ca="1">Q8*S19*T19</f>
        <v>0</v>
      </c>
      <c r="V19" s="734"/>
    </row>
    <row r="20" spans="11:22">
      <c r="K20" s="712" t="s">
        <v>238</v>
      </c>
      <c r="N20" s="1539"/>
      <c r="O20" s="958" t="str">
        <f>IFERROR(VLOOKUP(N20,Price_list!$B$1:$H$187,2,0),"")</f>
        <v/>
      </c>
      <c r="P20" s="958" t="str">
        <f>IFERROR(VLOOKUP(N20,Price_list!$B$1:$H$187,3,0),"")</f>
        <v/>
      </c>
      <c r="Q20" s="946" t="str">
        <f>IFERROR(VLOOKUP(N20,Price_list!$B$1:$H$187,4,0),"")</f>
        <v/>
      </c>
      <c r="R20" s="946" t="str">
        <f>IFERROR(VLOOKUP(N20,Price_list!$B$1:$H$187,5,0),"")</f>
        <v/>
      </c>
      <c r="S20" s="958">
        <f t="shared" ca="1" si="0"/>
        <v>0</v>
      </c>
      <c r="T20" s="946" t="str">
        <f>IFERROR(VLOOKUP(AE20,N11:P16,3,0),"")</f>
        <v/>
      </c>
      <c r="U20" s="1889" t="str">
        <f>IFERROR(#REF!*T20*Q20,"")</f>
        <v/>
      </c>
      <c r="V20" s="734"/>
    </row>
    <row r="21" spans="11:22">
      <c r="K21" s="712" t="s">
        <v>238</v>
      </c>
      <c r="N21" s="1539"/>
      <c r="O21" s="958" t="str">
        <f>IFERROR(VLOOKUP(N21,Price_list!$B$1:$H$187,2,0),"")</f>
        <v/>
      </c>
      <c r="P21" s="958" t="str">
        <f>IFERROR(VLOOKUP(N21,Price_list!$B$1:$H$187,3,0),"")</f>
        <v/>
      </c>
      <c r="Q21" s="946" t="str">
        <f>IFERROR(VLOOKUP(N21,Price_list!$B$1:$H$187,4,0),"")</f>
        <v/>
      </c>
      <c r="R21" s="946" t="str">
        <f>IFERROR(VLOOKUP(N21,Price_list!$B$1:$H$187,5,0),"")</f>
        <v/>
      </c>
      <c r="S21" s="958">
        <f t="shared" ca="1" si="0"/>
        <v>0</v>
      </c>
      <c r="T21" s="946" t="str">
        <f>IFERROR(VLOOKUP(AE21,N13:P17,3,0),"")</f>
        <v/>
      </c>
      <c r="U21" s="1889" t="str">
        <f>IFERROR(#REF!*T21*Q21,"")</f>
        <v/>
      </c>
      <c r="V21" s="734"/>
    </row>
    <row r="22" spans="11:22">
      <c r="K22" s="712" t="s">
        <v>238</v>
      </c>
      <c r="N22" s="1539" t="s">
        <v>3016</v>
      </c>
      <c r="O22" s="958" t="str">
        <f>IFERROR(VLOOKUP(N22,Price_list!$B$1:$H$187,2,0),"")</f>
        <v>Coffe break</v>
      </c>
      <c r="P22" s="958" t="str">
        <f>IFERROR(VLOOKUP(N22,Price_list!$B$1:$H$187,3,0),"")</f>
        <v>unitate</v>
      </c>
      <c r="Q22" s="946">
        <f>IFERROR(VLOOKUP(N22,Price_list!$B$1:$H$187,4,0),"")</f>
        <v>75</v>
      </c>
      <c r="R22" s="946" t="str">
        <f>IFERROR(VLOOKUP(N22,Price_list!$B$1:$H$187,5,0),"")</f>
        <v>MDL</v>
      </c>
      <c r="S22" s="958">
        <f t="shared" ca="1" si="0"/>
        <v>75</v>
      </c>
      <c r="T22" s="946">
        <v>2</v>
      </c>
      <c r="U22" s="1889">
        <f ca="1">T22*S22*Q9*Q10</f>
        <v>2250</v>
      </c>
      <c r="V22" s="734"/>
    </row>
    <row r="23" spans="11:22">
      <c r="K23" s="712" t="s">
        <v>238</v>
      </c>
      <c r="N23" s="1539" t="s">
        <v>3021</v>
      </c>
      <c r="O23" s="958" t="str">
        <f>IFERROR(VLOOKUP(N23,Price_list!$B$1:$H$187,2,0),"")</f>
        <v xml:space="preserve">Meal ( lunch) </v>
      </c>
      <c r="P23" s="958" t="str">
        <f>IFERROR(VLOOKUP(N23,Price_list!$B$1:$H$187,3,0),"")</f>
        <v>unitate</v>
      </c>
      <c r="Q23" s="946">
        <f>IFERROR(VLOOKUP(N23,Price_list!$B$1:$H$187,4,0),"")</f>
        <v>220</v>
      </c>
      <c r="R23" s="946" t="str">
        <f>IFERROR(VLOOKUP(N23,Price_list!$B$1:$H$187,5,0),"")</f>
        <v>MDL</v>
      </c>
      <c r="S23" s="958">
        <f t="shared" ca="1" si="0"/>
        <v>220</v>
      </c>
      <c r="T23" s="946">
        <f>Q10</f>
        <v>1</v>
      </c>
      <c r="U23" s="1889">
        <f ca="1">Q9*T23*S23</f>
        <v>3300</v>
      </c>
      <c r="V23" s="734"/>
    </row>
    <row r="24" spans="11:22">
      <c r="K24" s="712" t="s">
        <v>238</v>
      </c>
      <c r="N24" s="1539" t="s">
        <v>3023</v>
      </c>
      <c r="O24" s="958" t="str">
        <f>IFERROR(VLOOKUP(N24,Price_list!$B$1:$H$187,2,0),"")</f>
        <v>Meal(dinner)</v>
      </c>
      <c r="P24" s="958" t="str">
        <f>IFERROR(VLOOKUP(N24,Price_list!$B$1:$H$187,3,0),"")</f>
        <v>unitate</v>
      </c>
      <c r="Q24" s="946">
        <f>IFERROR(VLOOKUP(N24,Price_list!$B$1:$H$187,4,0),"")</f>
        <v>220</v>
      </c>
      <c r="R24" s="946" t="str">
        <f>IFERROR(VLOOKUP(N24,Price_list!$B$1:$H$187,5,0),"")</f>
        <v>MDL</v>
      </c>
      <c r="S24" s="958">
        <f t="shared" ca="1" si="0"/>
        <v>220</v>
      </c>
      <c r="T24" s="946">
        <f>Q13</f>
        <v>0</v>
      </c>
      <c r="U24" s="1889">
        <f ca="1">T24*S24*Q11</f>
        <v>0</v>
      </c>
      <c r="V24" s="734"/>
    </row>
    <row r="25" spans="11:22">
      <c r="K25" s="712" t="s">
        <v>238</v>
      </c>
      <c r="N25" s="1539" t="s">
        <v>3024</v>
      </c>
      <c r="O25" s="958" t="str">
        <f>IFERROR(VLOOKUP(N25,Price_list!$B$1:$H$187,2,0),"")</f>
        <v xml:space="preserve">Accomodation </v>
      </c>
      <c r="P25" s="958" t="str">
        <f>IFERROR(VLOOKUP(N25,Price_list!$B$1:$H$187,3,0),"")</f>
        <v>cost/noapte</v>
      </c>
      <c r="Q25" s="946">
        <f>IFERROR(VLOOKUP(N25,Price_list!$B$1:$H$187,4,0),"")</f>
        <v>750</v>
      </c>
      <c r="R25" s="946" t="str">
        <f>IFERROR(VLOOKUP(N25,Price_list!$B$1:$H$187,5,0),"")</f>
        <v>MDL</v>
      </c>
      <c r="S25" s="958">
        <f t="shared" ca="1" si="0"/>
        <v>750</v>
      </c>
      <c r="T25" s="946">
        <f>Q13</f>
        <v>0</v>
      </c>
      <c r="U25" s="1889">
        <f ca="1">T25*S25*Q11</f>
        <v>0</v>
      </c>
      <c r="V25" s="734"/>
    </row>
    <row r="26" spans="11:22">
      <c r="K26" s="712" t="s">
        <v>238</v>
      </c>
      <c r="N26" s="1539" t="s">
        <v>3030</v>
      </c>
      <c r="O26" s="958" t="str">
        <f>IFERROR(VLOOKUP(N26,Price_list!$B$1:$H$187,2,0),"")</f>
        <v>Travel participants</v>
      </c>
      <c r="P26" s="958" t="str">
        <f>IFERROR(VLOOKUP(N26,Price_list!$B$1:$H$187,3,0),"")</f>
        <v>cost tichet o directie</v>
      </c>
      <c r="Q26" s="946">
        <f>IFERROR(VLOOKUP(N26,Price_list!$B$1:$H$187,4,0),"")</f>
        <v>80</v>
      </c>
      <c r="R26" s="946" t="str">
        <f>IFERROR(VLOOKUP(N26,Price_list!$B$1:$H$187,5,0),"")</f>
        <v>MDL</v>
      </c>
      <c r="S26" s="958">
        <f t="shared" ca="1" si="0"/>
        <v>80</v>
      </c>
      <c r="T26" s="1040">
        <v>2</v>
      </c>
      <c r="U26" s="1889">
        <f ca="1">T26*Q12*S26</f>
        <v>0</v>
      </c>
      <c r="V26" s="734"/>
    </row>
    <row r="27" spans="11:22">
      <c r="K27" s="712" t="s">
        <v>238</v>
      </c>
      <c r="N27" s="1539"/>
      <c r="O27" s="958" t="str">
        <f>IFERROR(VLOOKUP(N27,Price_list!$B$1:$H$187,2,0),"")</f>
        <v/>
      </c>
      <c r="P27" s="958" t="str">
        <f>IFERROR(VLOOKUP(N27,Price_list!$B$1:$H$187,3,0),"")</f>
        <v/>
      </c>
      <c r="Q27" s="946" t="str">
        <f>IFERROR(VLOOKUP(N27,Price_list!$B$1:$H$187,4,0),"")</f>
        <v/>
      </c>
      <c r="R27" s="946" t="str">
        <f>IFERROR(VLOOKUP(N27,Price_list!$B$1:$H$187,5,0),"")</f>
        <v/>
      </c>
      <c r="S27" s="958">
        <f t="shared" ca="1" si="0"/>
        <v>0</v>
      </c>
      <c r="T27" s="946" t="str">
        <f>IFERROR(VLOOKUP(AE27,N17:P23,3,0),"")</f>
        <v/>
      </c>
      <c r="U27" s="1889" t="str">
        <f>IFERROR(#REF!*T27*Q27,"")</f>
        <v/>
      </c>
      <c r="V27" s="734"/>
    </row>
    <row r="28" spans="11:22">
      <c r="K28" s="712" t="s">
        <v>238</v>
      </c>
      <c r="N28" s="1539" t="s">
        <v>3025</v>
      </c>
      <c r="O28" s="958" t="str">
        <f>IFERROR(VLOOKUP(N28,Price_list!$B$1:$H$187,2,0),"")</f>
        <v>Supplies</v>
      </c>
      <c r="P28" s="958" t="str">
        <f>IFERROR(VLOOKUP(N28,Price_list!$B$1:$H$187,3,0),"")</f>
        <v>set/participant</v>
      </c>
      <c r="Q28" s="946">
        <f>IFERROR(VLOOKUP(N28,Price_list!$B$1:$H$187,4,0),"")</f>
        <v>140</v>
      </c>
      <c r="R28" s="946" t="str">
        <f>IFERROR(VLOOKUP(N28,Price_list!$B$1:$H$187,5,0),"")</f>
        <v>MDL</v>
      </c>
      <c r="S28" s="958">
        <f t="shared" ca="1" si="0"/>
        <v>140</v>
      </c>
      <c r="T28" s="946">
        <v>1</v>
      </c>
      <c r="U28" s="1889">
        <f ca="1">T28*S28*Q9</f>
        <v>2100</v>
      </c>
      <c r="V28" s="734"/>
    </row>
    <row r="29" spans="11:22">
      <c r="K29" s="712" t="s">
        <v>238</v>
      </c>
      <c r="N29" s="1539" t="s">
        <v>3022</v>
      </c>
      <c r="O29" s="958" t="str">
        <f>IFERROR(VLOOKUP(N29,Price_list!$B$1:$H$187,2,0),"")</f>
        <v>Rent of premises</v>
      </c>
      <c r="P29" s="958" t="str">
        <f>IFERROR(VLOOKUP(N29,Price_list!$B$1:$H$187,3,0),"")</f>
        <v>cost/zi</v>
      </c>
      <c r="Q29" s="946">
        <f>IFERROR(VLOOKUP(N29,Price_list!$B$1:$H$187,4,0),"")</f>
        <v>1800</v>
      </c>
      <c r="R29" s="946" t="str">
        <f>IFERROR(VLOOKUP(N29,Price_list!$B$1:$H$187,5,0),"")</f>
        <v>MDL</v>
      </c>
      <c r="S29" s="958">
        <f t="shared" ca="1" si="0"/>
        <v>1800</v>
      </c>
      <c r="T29" s="946">
        <f>Q10</f>
        <v>1</v>
      </c>
      <c r="U29" s="1889">
        <f ca="1">T29*S29</f>
        <v>1800</v>
      </c>
      <c r="V29" s="734"/>
    </row>
    <row r="30" spans="11:22">
      <c r="K30" s="712" t="s">
        <v>238</v>
      </c>
      <c r="N30" s="1539" t="s">
        <v>3031</v>
      </c>
      <c r="O30" s="958" t="str">
        <f>IFERROR(VLOOKUP(N30,Price_list!$B$1:$H$187,2,0),"")</f>
        <v>Interpreter's fee, per day</v>
      </c>
      <c r="P30" s="958" t="str">
        <f>IFERROR(VLOOKUP(N30,Price_list!$B$1:$H$187,3,0),"")</f>
        <v>cost/zi</v>
      </c>
      <c r="Q30" s="946">
        <f>IFERROR(VLOOKUP(N30,Price_list!$B$1:$H$187,4,0),"")</f>
        <v>2000</v>
      </c>
      <c r="R30" s="946" t="str">
        <f>IFERROR(VLOOKUP(N30,Price_list!$B$1:$H$187,5,0),"")</f>
        <v>MDL</v>
      </c>
      <c r="S30" s="958">
        <f t="shared" ca="1" si="0"/>
        <v>2000</v>
      </c>
      <c r="T30" s="946">
        <f>IF(Q7&gt;0,Q10,0)</f>
        <v>1</v>
      </c>
      <c r="U30" s="1889">
        <f ca="1">T30*S30</f>
        <v>2000</v>
      </c>
      <c r="V30" s="734"/>
    </row>
    <row r="31" spans="11:22">
      <c r="K31" s="712" t="s">
        <v>238</v>
      </c>
      <c r="N31" s="1539"/>
      <c r="O31" s="958" t="str">
        <f>IFERROR(VLOOKUP(N31,Price_list!$B$1:$H$187,2,0),"")</f>
        <v/>
      </c>
      <c r="P31" s="958" t="str">
        <f>IFERROR(VLOOKUP(N31,Price_list!$B$1:$H$187,3,0),"")</f>
        <v/>
      </c>
      <c r="Q31" s="946" t="str">
        <f>IFERROR(VLOOKUP(N31,Price_list!$B$1:$H$187,4,0),"")</f>
        <v/>
      </c>
      <c r="R31" s="946" t="str">
        <f>IFERROR(VLOOKUP(N31,Price_list!$B$1:$H$187,5,0),"")</f>
        <v/>
      </c>
      <c r="S31" s="958">
        <f t="shared" ca="1" si="0"/>
        <v>0</v>
      </c>
      <c r="T31" s="946" t="str">
        <f>IFERROR(VLOOKUP(AE31,N22:P26,3,0),"")</f>
        <v/>
      </c>
      <c r="U31" s="1889" t="str">
        <f>IFERROR(#REF!*T31*Q31,"")</f>
        <v/>
      </c>
      <c r="V31" s="734"/>
    </row>
    <row r="32" spans="11:22">
      <c r="K32" s="712" t="s">
        <v>238</v>
      </c>
      <c r="N32" s="1539"/>
      <c r="O32" s="958" t="str">
        <f>IFERROR(VLOOKUP(N32,Price_list!$B$1:$H$187,2,0),"")</f>
        <v/>
      </c>
      <c r="P32" s="958" t="str">
        <f>IFERROR(VLOOKUP(N32,Price_list!$B$1:$H$187,3,0),"")</f>
        <v/>
      </c>
      <c r="Q32" s="946" t="str">
        <f>IFERROR(VLOOKUP(N32,Price_list!$B$1:$H$187,4,0),"")</f>
        <v/>
      </c>
      <c r="R32" s="946" t="str">
        <f>IFERROR(VLOOKUP(N32,Price_list!$B$1:$H$187,5,0),"")</f>
        <v/>
      </c>
      <c r="S32" s="958">
        <f t="shared" ca="1" si="0"/>
        <v>0</v>
      </c>
      <c r="T32" s="946" t="str">
        <f>IFERROR(VLOOKUP(AE32,N23:P28,3,0),"")</f>
        <v/>
      </c>
      <c r="U32" s="1889" t="str">
        <f>IFERROR(#REF!*T32*Q32,"")</f>
        <v/>
      </c>
      <c r="V32" s="734"/>
    </row>
    <row r="33" spans="1:22">
      <c r="K33" s="712" t="s">
        <v>238</v>
      </c>
      <c r="N33" s="1539"/>
      <c r="O33" s="958" t="str">
        <f>IFERROR(VLOOKUP(N33,Price_list!$B$1:$H$187,2,0),"")</f>
        <v/>
      </c>
      <c r="P33" s="958" t="str">
        <f>IFERROR(VLOOKUP(N33,Price_list!$B$1:$H$187,3,0),"")</f>
        <v/>
      </c>
      <c r="Q33" s="946" t="str">
        <f>IFERROR(VLOOKUP(N33,Price_list!$B$1:$H$187,4,0),"")</f>
        <v/>
      </c>
      <c r="R33" s="946" t="str">
        <f>IFERROR(VLOOKUP(N33,Price_list!$B$1:$H$187,5,0),"")</f>
        <v/>
      </c>
      <c r="S33" s="958">
        <f t="shared" ca="1" si="0"/>
        <v>0</v>
      </c>
      <c r="T33" s="946" t="str">
        <f>IFERROR(VLOOKUP(AE33,N24:P29,3,0),"")</f>
        <v/>
      </c>
      <c r="U33" s="1889" t="str">
        <f>IFERROR(#REF!*T33*Q33,"")</f>
        <v/>
      </c>
      <c r="V33" s="734"/>
    </row>
    <row r="34" spans="1:22" ht="16" thickBot="1">
      <c r="K34" s="712" t="s">
        <v>238</v>
      </c>
      <c r="N34" s="1697"/>
      <c r="O34" s="1698" t="str">
        <f>IFERROR(VLOOKUP(N34,Price_list!$B$1:$H$187,2,0),"")</f>
        <v/>
      </c>
      <c r="P34" s="1698" t="str">
        <f>IFERROR(VLOOKUP(N34,Price_list!$B$1:$H$187,3,0),"")</f>
        <v/>
      </c>
      <c r="Q34" s="1034" t="str">
        <f>IFERROR(VLOOKUP(N34,Price_list!$B$1:$H$187,4,0),"")</f>
        <v/>
      </c>
      <c r="R34" s="1034" t="str">
        <f>IFERROR(VLOOKUP(N34,Price_list!$B$1:$H$187,5,0),"")</f>
        <v/>
      </c>
      <c r="S34" s="1698"/>
      <c r="T34" s="1034" t="str">
        <f>IFERROR(VLOOKUP(AE34,N25:P30,3,0),"")</f>
        <v/>
      </c>
      <c r="U34" s="1703">
        <f ca="1">SUM(U16:U33)</f>
        <v>75417.95</v>
      </c>
      <c r="V34" s="734"/>
    </row>
    <row r="35" spans="1:22">
      <c r="K35" s="712" t="s">
        <v>238</v>
      </c>
      <c r="N35" s="1771" t="s">
        <v>3037</v>
      </c>
      <c r="O35" s="1742" t="s">
        <v>3006</v>
      </c>
      <c r="P35" s="1743"/>
      <c r="Q35" s="1772">
        <v>7.0000000000000007E-2</v>
      </c>
      <c r="R35" s="1773"/>
      <c r="S35" s="1773"/>
      <c r="T35" s="1773"/>
      <c r="U35" s="1774">
        <f ca="1">ROUND(U34*Q35,2)</f>
        <v>5279.26</v>
      </c>
    </row>
    <row r="36" spans="1:22" ht="16" thickBot="1">
      <c r="K36" s="712" t="s">
        <v>238</v>
      </c>
      <c r="N36" s="1049"/>
      <c r="O36" s="960"/>
      <c r="P36" s="960"/>
      <c r="Q36" s="960"/>
      <c r="R36" s="960"/>
      <c r="S36" s="960"/>
      <c r="T36" s="960"/>
      <c r="U36" s="62"/>
    </row>
    <row r="37" spans="1:22" ht="16" thickBot="1">
      <c r="K37" s="712" t="s">
        <v>238</v>
      </c>
      <c r="N37" s="1704" t="s">
        <v>3038</v>
      </c>
      <c r="O37" s="1761"/>
      <c r="P37" s="1761"/>
      <c r="Q37" s="1761"/>
      <c r="R37" s="1761"/>
      <c r="S37" s="1761"/>
      <c r="T37" s="1761"/>
      <c r="U37" s="1706">
        <f ca="1">U35+U34</f>
        <v>80697.209999999992</v>
      </c>
    </row>
    <row r="38" spans="1:22">
      <c r="K38" s="712" t="s">
        <v>238</v>
      </c>
      <c r="N38" s="1049"/>
      <c r="O38" s="960"/>
      <c r="P38" s="960"/>
      <c r="Q38" s="960"/>
      <c r="R38" s="960"/>
      <c r="S38" s="960"/>
      <c r="T38" s="960"/>
      <c r="U38" s="62"/>
    </row>
    <row r="39" spans="1:22" ht="16" thickBot="1">
      <c r="K39" s="712" t="s">
        <v>238</v>
      </c>
      <c r="N39" s="1049"/>
      <c r="O39" s="960"/>
      <c r="P39" s="960"/>
      <c r="Q39" s="960"/>
      <c r="R39" s="960"/>
      <c r="S39" s="960"/>
      <c r="T39" s="960"/>
      <c r="U39" s="62"/>
    </row>
    <row r="40" spans="1:22" ht="16" thickBot="1">
      <c r="K40" s="712" t="s">
        <v>238</v>
      </c>
      <c r="N40" s="1049" t="s">
        <v>2171</v>
      </c>
      <c r="O40" s="960"/>
      <c r="P40" s="960"/>
      <c r="Q40" s="1500">
        <v>2021</v>
      </c>
      <c r="R40" s="1762">
        <v>2022</v>
      </c>
      <c r="S40" s="1762">
        <v>2023</v>
      </c>
      <c r="T40" s="1762">
        <v>2024</v>
      </c>
      <c r="U40" s="1763">
        <v>2025</v>
      </c>
    </row>
    <row r="41" spans="1:22" ht="16" thickBot="1">
      <c r="K41" s="712" t="s">
        <v>238</v>
      </c>
      <c r="N41" s="1764" t="s">
        <v>3043</v>
      </c>
      <c r="O41" s="1504"/>
      <c r="P41" s="1504"/>
      <c r="Q41" s="1713">
        <v>2</v>
      </c>
      <c r="R41" s="1713"/>
      <c r="S41" s="1713"/>
      <c r="T41" s="1713">
        <v>0</v>
      </c>
      <c r="U41" s="1765">
        <v>0</v>
      </c>
    </row>
    <row r="42" spans="1:22" ht="16" thickBot="1">
      <c r="A42" s="2157">
        <v>173</v>
      </c>
      <c r="B42" s="841">
        <f ca="1">Q42</f>
        <v>161394.41999999998</v>
      </c>
      <c r="C42" s="841">
        <f ca="1">R42</f>
        <v>0</v>
      </c>
      <c r="D42" s="841">
        <f ca="1">S42</f>
        <v>0</v>
      </c>
      <c r="E42" s="841">
        <f ca="1">T42</f>
        <v>0</v>
      </c>
      <c r="F42" s="841">
        <f ca="1">U42</f>
        <v>0</v>
      </c>
      <c r="G42" s="841" t="s">
        <v>351</v>
      </c>
      <c r="H42" s="841" t="s">
        <v>3467</v>
      </c>
      <c r="I42" s="2180" t="s">
        <v>3716</v>
      </c>
      <c r="J42" s="841" t="s">
        <v>2967</v>
      </c>
      <c r="K42" s="712" t="s">
        <v>238</v>
      </c>
      <c r="N42" s="1710" t="s">
        <v>3044</v>
      </c>
      <c r="O42" s="1732"/>
      <c r="P42" s="1708"/>
      <c r="Q42" s="1495">
        <f ca="1">U37*Q41</f>
        <v>161394.41999999998</v>
      </c>
      <c r="R42" s="1495">
        <f ca="1">U37*R41</f>
        <v>0</v>
      </c>
      <c r="S42" s="1495">
        <f ca="1">U37*S41</f>
        <v>0</v>
      </c>
      <c r="T42" s="1495">
        <f ca="1">U37*T41</f>
        <v>0</v>
      </c>
      <c r="U42" s="1495">
        <f ca="1">U37*U41</f>
        <v>0</v>
      </c>
    </row>
    <row r="43" spans="1:22">
      <c r="K43" s="712" t="s">
        <v>238</v>
      </c>
    </row>
    <row r="44" spans="1:22" s="1808" customFormat="1">
      <c r="A44" s="2157">
        <v>174</v>
      </c>
      <c r="B44" s="841">
        <f>Q44</f>
        <v>0</v>
      </c>
      <c r="C44" s="841">
        <f>R44</f>
        <v>0</v>
      </c>
      <c r="D44" s="841">
        <f>S44</f>
        <v>0</v>
      </c>
      <c r="E44" s="841">
        <f>T44</f>
        <v>0</v>
      </c>
      <c r="F44" s="841">
        <f>U44</f>
        <v>0</v>
      </c>
      <c r="G44" s="841" t="s">
        <v>338</v>
      </c>
      <c r="H44" s="841" t="s">
        <v>3479</v>
      </c>
      <c r="I44" s="2180"/>
      <c r="J44" s="841" t="s">
        <v>2968</v>
      </c>
      <c r="K44" s="712"/>
      <c r="L44" s="1775" t="s">
        <v>2968</v>
      </c>
    </row>
    <row r="45" spans="1:22" s="1808" customFormat="1">
      <c r="A45" s="960"/>
      <c r="B45" s="960"/>
      <c r="C45" s="960"/>
      <c r="D45" s="960"/>
      <c r="E45" s="960"/>
      <c r="F45" s="960"/>
      <c r="G45" s="960"/>
      <c r="H45" s="960"/>
      <c r="I45" s="2164"/>
      <c r="J45" s="960"/>
      <c r="K45" s="712"/>
    </row>
    <row r="46" spans="1:22">
      <c r="K46" s="712" t="s">
        <v>238</v>
      </c>
      <c r="L46" s="1775" t="s">
        <v>2969</v>
      </c>
    </row>
    <row r="47" spans="1:22">
      <c r="K47" s="712" t="s">
        <v>238</v>
      </c>
    </row>
    <row r="48" spans="1:22">
      <c r="K48" s="712" t="s">
        <v>238</v>
      </c>
      <c r="L48" s="1775" t="s">
        <v>3469</v>
      </c>
    </row>
    <row r="49" spans="11:21" ht="16" thickBot="1">
      <c r="K49" s="712" t="s">
        <v>238</v>
      </c>
    </row>
    <row r="50" spans="11:21" ht="32">
      <c r="K50" s="712" t="s">
        <v>238</v>
      </c>
      <c r="N50" s="1758" t="s">
        <v>2155</v>
      </c>
      <c r="O50" s="966"/>
      <c r="P50" s="966"/>
      <c r="Q50" s="966"/>
      <c r="R50" s="1759" t="s">
        <v>3060</v>
      </c>
      <c r="S50" s="966"/>
      <c r="T50" s="966"/>
      <c r="U50" s="967"/>
    </row>
    <row r="51" spans="11:21" ht="32">
      <c r="K51" s="712" t="s">
        <v>238</v>
      </c>
      <c r="N51" s="1760" t="s">
        <v>3054</v>
      </c>
      <c r="O51" s="1749"/>
      <c r="P51" s="1565"/>
      <c r="Q51" s="1750"/>
      <c r="R51" s="1383"/>
      <c r="S51" s="960"/>
      <c r="T51" s="960"/>
      <c r="U51" s="62"/>
    </row>
    <row r="52" spans="11:21" ht="32">
      <c r="K52" s="712" t="s">
        <v>238</v>
      </c>
      <c r="N52" s="1760" t="s">
        <v>3055</v>
      </c>
      <c r="O52" s="1749"/>
      <c r="P52" s="1565"/>
      <c r="Q52" s="1750">
        <v>2</v>
      </c>
      <c r="R52" s="1383">
        <v>10</v>
      </c>
      <c r="S52" s="960"/>
      <c r="T52" s="960"/>
      <c r="U52" s="62"/>
    </row>
    <row r="53" spans="11:21">
      <c r="K53" s="712" t="s">
        <v>238</v>
      </c>
      <c r="N53" s="1049"/>
      <c r="O53" s="960"/>
      <c r="P53" s="960"/>
      <c r="Q53" s="960"/>
      <c r="R53" s="960"/>
      <c r="S53" s="960"/>
      <c r="T53" s="960"/>
      <c r="U53" s="62"/>
    </row>
    <row r="54" spans="11:21">
      <c r="K54" s="712" t="s">
        <v>238</v>
      </c>
      <c r="N54" s="1049" t="s">
        <v>3059</v>
      </c>
      <c r="O54" s="960"/>
      <c r="P54" s="960"/>
      <c r="Q54" s="960"/>
      <c r="R54" s="960"/>
      <c r="S54" s="960"/>
      <c r="T54" s="960"/>
      <c r="U54" s="62"/>
    </row>
    <row r="55" spans="11:21" ht="32">
      <c r="K55" s="712" t="s">
        <v>238</v>
      </c>
      <c r="N55" s="1760" t="s">
        <v>3061</v>
      </c>
      <c r="O55" s="1749"/>
      <c r="P55" s="1565"/>
      <c r="Q55" s="1750"/>
      <c r="R55" s="1383"/>
      <c r="S55" s="960"/>
      <c r="T55" s="960"/>
      <c r="U55" s="62"/>
    </row>
    <row r="56" spans="11:21" ht="32">
      <c r="K56" s="712" t="s">
        <v>238</v>
      </c>
      <c r="N56" s="1760" t="s">
        <v>3062</v>
      </c>
      <c r="O56" s="1749"/>
      <c r="P56" s="1565"/>
      <c r="Q56" s="1750"/>
      <c r="R56" s="1383"/>
      <c r="S56" s="960"/>
      <c r="T56" s="960"/>
      <c r="U56" s="62"/>
    </row>
    <row r="57" spans="11:21">
      <c r="K57" s="712" t="s">
        <v>238</v>
      </c>
      <c r="N57" s="1049"/>
      <c r="O57" s="960"/>
      <c r="P57" s="960"/>
      <c r="Q57" s="960"/>
      <c r="R57" s="960"/>
      <c r="S57" s="960"/>
      <c r="T57" s="960"/>
      <c r="U57" s="62"/>
    </row>
    <row r="58" spans="11:21">
      <c r="K58" s="712" t="s">
        <v>238</v>
      </c>
      <c r="N58" s="1049"/>
      <c r="O58" s="960"/>
      <c r="P58" s="960"/>
      <c r="Q58" s="960"/>
      <c r="R58" s="960"/>
      <c r="S58" s="960"/>
      <c r="T58" s="960"/>
      <c r="U58" s="62"/>
    </row>
    <row r="59" spans="11:21" ht="16" thickBot="1">
      <c r="K59" s="712" t="s">
        <v>238</v>
      </c>
      <c r="N59" s="1049" t="s">
        <v>3058</v>
      </c>
      <c r="O59" s="960"/>
      <c r="P59" s="960"/>
      <c r="Q59" s="960"/>
      <c r="R59" s="960"/>
      <c r="S59" s="960"/>
      <c r="T59" s="960"/>
      <c r="U59" s="62"/>
    </row>
    <row r="60" spans="11:21" ht="32">
      <c r="K60" s="712" t="s">
        <v>238</v>
      </c>
      <c r="N60" s="1699" t="s">
        <v>3033</v>
      </c>
      <c r="O60" s="1700" t="s">
        <v>3034</v>
      </c>
      <c r="P60" s="1702" t="s">
        <v>3040</v>
      </c>
      <c r="Q60" s="1702" t="s">
        <v>3041</v>
      </c>
      <c r="R60" s="1702" t="s">
        <v>3042</v>
      </c>
      <c r="S60" s="1700" t="s">
        <v>3035</v>
      </c>
      <c r="T60" s="1702" t="s">
        <v>3067</v>
      </c>
      <c r="U60" s="1701" t="s">
        <v>2189</v>
      </c>
    </row>
    <row r="61" spans="11:21">
      <c r="K61" s="712" t="s">
        <v>238</v>
      </c>
      <c r="N61" s="1539" t="s">
        <v>3051</v>
      </c>
      <c r="O61" s="958" t="str">
        <f>IFERROR(VLOOKUP(N61,Price_list!$B$1:$H$187,2,0),"")</f>
        <v>International Consultancy fee (3.1)</v>
      </c>
      <c r="P61" s="958" t="str">
        <f>IFERROR(VLOOKUP(N61,Price_list!$B$1:$H$187,3,0),"")</f>
        <v>cost/zi</v>
      </c>
      <c r="Q61" s="946">
        <f>IFERROR(VLOOKUP(N61,Price_list!$B$1:$H$187,4,0),"")</f>
        <v>350</v>
      </c>
      <c r="R61" s="946" t="str">
        <f>IFERROR(VLOOKUP(N61,Price_list!$B$1:$H$187,5,0),"")</f>
        <v>EUR</v>
      </c>
      <c r="S61" s="958">
        <f t="shared" ref="S61:S67" ca="1" si="1">ROUND(IFERROR(IF(R61="MDL",Q61,Q61*INDIRECT(R61)),0),2)</f>
        <v>6868.65</v>
      </c>
      <c r="T61" s="946">
        <f>Q51*R51</f>
        <v>0</v>
      </c>
      <c r="U61" s="1889">
        <f t="shared" ref="U61:U67" ca="1" si="2">T61*S61</f>
        <v>0</v>
      </c>
    </row>
    <row r="62" spans="11:21">
      <c r="K62" s="712" t="s">
        <v>238</v>
      </c>
      <c r="N62" s="1539" t="s">
        <v>3050</v>
      </c>
      <c r="O62" s="958" t="str">
        <f>IFERROR(VLOOKUP(N62,Price_list!$B$1:$H$187,2,0),"")</f>
        <v>National Consultancy fee (3.1)</v>
      </c>
      <c r="P62" s="958" t="str">
        <f>IFERROR(VLOOKUP(N62,Price_list!$B$1:$H$187,3,0),"")</f>
        <v>cost/zi</v>
      </c>
      <c r="Q62" s="946">
        <f>IFERROR(VLOOKUP(N62,Price_list!$B$1:$H$187,4,0),"")</f>
        <v>2000</v>
      </c>
      <c r="R62" s="946" t="str">
        <f>IFERROR(VLOOKUP(N62,Price_list!$B$1:$H$187,5,0),"")</f>
        <v>MDL</v>
      </c>
      <c r="S62" s="958">
        <f t="shared" ca="1" si="1"/>
        <v>2000</v>
      </c>
      <c r="T62" s="946">
        <f>Q52*R52</f>
        <v>20</v>
      </c>
      <c r="U62" s="1889">
        <f t="shared" ca="1" si="2"/>
        <v>40000</v>
      </c>
    </row>
    <row r="63" spans="11:21">
      <c r="K63" s="712" t="s">
        <v>238</v>
      </c>
      <c r="N63" s="1539" t="s">
        <v>3063</v>
      </c>
      <c r="O63" s="958" t="str">
        <f>IFERROR(VLOOKUP(N63,Price_list!$B$1:$H$187,2,0),"")</f>
        <v>Translation per page</v>
      </c>
      <c r="P63" s="958" t="str">
        <f>IFERROR(VLOOKUP(N63,Price_list!$B$1:$H$187,3,0),"")</f>
        <v>pagina</v>
      </c>
      <c r="Q63" s="946">
        <f>IFERROR(VLOOKUP(N63,Price_list!$B$1:$H$187,4,0),"")</f>
        <v>150</v>
      </c>
      <c r="R63" s="946" t="str">
        <f>IFERROR(VLOOKUP(N63,Price_list!$B$1:$H$187,5,0),"")</f>
        <v>MDL</v>
      </c>
      <c r="S63" s="958">
        <f t="shared" ca="1" si="1"/>
        <v>150</v>
      </c>
      <c r="T63" s="946">
        <f>Q55</f>
        <v>0</v>
      </c>
      <c r="U63" s="1889">
        <f t="shared" ca="1" si="2"/>
        <v>0</v>
      </c>
    </row>
    <row r="64" spans="11:21">
      <c r="K64" s="712" t="s">
        <v>238</v>
      </c>
      <c r="N64" s="1539" t="s">
        <v>3068</v>
      </c>
      <c r="O64" s="958" t="str">
        <f>IFERROR(VLOOKUP(N64,Price_list!$B$1:$H$187,2,0),"")</f>
        <v xml:space="preserve">Formatting, design, printing </v>
      </c>
      <c r="P64" s="958" t="str">
        <f>IFERROR(VLOOKUP(N64,Price_list!$B$1:$H$187,3,0),"")</f>
        <v>pagina</v>
      </c>
      <c r="Q64" s="946">
        <f>IFERROR(VLOOKUP(N64,Price_list!$B$1:$H$187,4,0),"")</f>
        <v>2</v>
      </c>
      <c r="R64" s="946" t="str">
        <f>IFERROR(VLOOKUP(N64,Price_list!$B$1:$H$187,5,0),"")</f>
        <v>MDL</v>
      </c>
      <c r="S64" s="958">
        <f t="shared" ca="1" si="1"/>
        <v>2</v>
      </c>
      <c r="T64" s="946">
        <f>Q55*Q56</f>
        <v>0</v>
      </c>
      <c r="U64" s="1889">
        <f t="shared" ca="1" si="2"/>
        <v>0</v>
      </c>
    </row>
    <row r="65" spans="1:27">
      <c r="K65" s="712" t="s">
        <v>238</v>
      </c>
      <c r="N65" s="1539"/>
      <c r="O65" s="958" t="str">
        <f>IFERROR(VLOOKUP(N65,Price_list!$B$1:$H$187,2,0),"")</f>
        <v/>
      </c>
      <c r="P65" s="958" t="str">
        <f>IFERROR(VLOOKUP(N65,Price_list!$B$1:$H$187,3,0),"")</f>
        <v/>
      </c>
      <c r="Q65" s="946" t="str">
        <f>IFERROR(VLOOKUP(N65,Price_list!$B$1:$H$187,4,0),"")</f>
        <v/>
      </c>
      <c r="R65" s="946" t="str">
        <f>IFERROR(VLOOKUP(N65,Price_list!$B$1:$H$187,5,0),"")</f>
        <v/>
      </c>
      <c r="S65" s="958">
        <f t="shared" ca="1" si="1"/>
        <v>0</v>
      </c>
      <c r="T65" s="946"/>
      <c r="U65" s="1889">
        <f t="shared" ca="1" si="2"/>
        <v>0</v>
      </c>
    </row>
    <row r="66" spans="1:27">
      <c r="K66" s="712" t="s">
        <v>238</v>
      </c>
      <c r="N66" s="1539"/>
      <c r="O66" s="958" t="str">
        <f>IFERROR(VLOOKUP(N66,Price_list!$B$1:$H$187,2,0),"")</f>
        <v/>
      </c>
      <c r="P66" s="958" t="str">
        <f>IFERROR(VLOOKUP(N66,Price_list!$B$1:$H$187,3,0),"")</f>
        <v/>
      </c>
      <c r="Q66" s="946" t="str">
        <f>IFERROR(VLOOKUP(N66,Price_list!$B$1:$H$187,4,0),"")</f>
        <v/>
      </c>
      <c r="R66" s="946" t="str">
        <f>IFERROR(VLOOKUP(N66,Price_list!$B$1:$H$187,5,0),"")</f>
        <v/>
      </c>
      <c r="S66" s="958">
        <f t="shared" ca="1" si="1"/>
        <v>0</v>
      </c>
      <c r="T66" s="946"/>
      <c r="U66" s="1889">
        <f t="shared" ca="1" si="2"/>
        <v>0</v>
      </c>
    </row>
    <row r="67" spans="1:27" ht="16" thickBot="1">
      <c r="K67" s="712" t="s">
        <v>238</v>
      </c>
      <c r="N67" s="1539"/>
      <c r="O67" s="958" t="str">
        <f>IFERROR(VLOOKUP(N67,Price_list!$B$1:$H$187,2,0),"")</f>
        <v/>
      </c>
      <c r="P67" s="958" t="str">
        <f>IFERROR(VLOOKUP(N67,Price_list!$B$1:$H$187,3,0),"")</f>
        <v/>
      </c>
      <c r="Q67" s="946" t="str">
        <f>IFERROR(VLOOKUP(N67,Price_list!$B$1:$H$187,4,0),"")</f>
        <v/>
      </c>
      <c r="R67" s="946" t="str">
        <f>IFERROR(VLOOKUP(N67,Price_list!$B$1:$H$187,5,0),"")</f>
        <v/>
      </c>
      <c r="S67" s="958">
        <f t="shared" ca="1" si="1"/>
        <v>0</v>
      </c>
      <c r="T67" s="946"/>
      <c r="U67" s="1889">
        <f t="shared" ca="1" si="2"/>
        <v>0</v>
      </c>
    </row>
    <row r="68" spans="1:27" ht="16" thickBot="1">
      <c r="K68" s="712" t="s">
        <v>238</v>
      </c>
      <c r="N68" s="1704"/>
      <c r="O68" s="1761"/>
      <c r="P68" s="1761"/>
      <c r="Q68" s="1761"/>
      <c r="R68" s="1761"/>
      <c r="S68" s="1761"/>
      <c r="T68" s="1761"/>
      <c r="U68" s="1706">
        <f ca="1">SUM(U61:U67)</f>
        <v>40000</v>
      </c>
    </row>
    <row r="69" spans="1:27">
      <c r="K69" s="712" t="s">
        <v>238</v>
      </c>
      <c r="N69" s="1049"/>
      <c r="O69" s="960"/>
      <c r="P69" s="960"/>
      <c r="Q69" s="960"/>
      <c r="R69" s="960"/>
      <c r="S69" s="960"/>
      <c r="T69" s="960"/>
      <c r="U69" s="62"/>
    </row>
    <row r="70" spans="1:27" ht="16" thickBot="1">
      <c r="K70" s="712" t="s">
        <v>238</v>
      </c>
      <c r="N70" s="1049"/>
      <c r="O70" s="960"/>
      <c r="P70" s="960"/>
      <c r="Q70" s="960"/>
      <c r="R70" s="960"/>
      <c r="S70" s="960"/>
      <c r="T70" s="960"/>
      <c r="U70" s="62"/>
    </row>
    <row r="71" spans="1:27" ht="16" thickBot="1">
      <c r="K71" s="712" t="s">
        <v>238</v>
      </c>
      <c r="N71" s="1049" t="s">
        <v>2171</v>
      </c>
      <c r="O71" s="960"/>
      <c r="P71" s="960"/>
      <c r="Q71" s="1500">
        <v>2021</v>
      </c>
      <c r="R71" s="1762">
        <v>2022</v>
      </c>
      <c r="S71" s="1762">
        <v>2023</v>
      </c>
      <c r="T71" s="1762">
        <v>2024</v>
      </c>
      <c r="U71" s="1763">
        <v>2025</v>
      </c>
    </row>
    <row r="72" spans="1:27" ht="16" thickBot="1">
      <c r="K72" s="712" t="s">
        <v>238</v>
      </c>
      <c r="N72" s="1764"/>
      <c r="O72" s="1504"/>
      <c r="P72" s="1504"/>
      <c r="Q72" s="1713">
        <v>1</v>
      </c>
      <c r="R72" s="1713">
        <v>0</v>
      </c>
      <c r="S72" s="1713">
        <v>0</v>
      </c>
      <c r="T72" s="1713">
        <v>0</v>
      </c>
      <c r="U72" s="1765">
        <v>0</v>
      </c>
    </row>
    <row r="73" spans="1:27" ht="16" thickBot="1">
      <c r="A73" s="2157">
        <v>175</v>
      </c>
      <c r="B73" s="841">
        <f ca="1">Q73</f>
        <v>40000</v>
      </c>
      <c r="C73" s="841">
        <f ca="1">R73</f>
        <v>0</v>
      </c>
      <c r="D73" s="841">
        <f ca="1">S73</f>
        <v>0</v>
      </c>
      <c r="E73" s="841">
        <f ca="1">T73</f>
        <v>0</v>
      </c>
      <c r="F73" s="841">
        <f ca="1">U73</f>
        <v>0</v>
      </c>
      <c r="G73" s="841" t="s">
        <v>351</v>
      </c>
      <c r="H73" s="841" t="s">
        <v>3469</v>
      </c>
      <c r="I73" s="2180" t="s">
        <v>3716</v>
      </c>
      <c r="J73" s="841" t="s">
        <v>2969</v>
      </c>
      <c r="K73" s="712" t="s">
        <v>238</v>
      </c>
      <c r="N73" s="1710" t="s">
        <v>3044</v>
      </c>
      <c r="O73" s="1732"/>
      <c r="P73" s="1708"/>
      <c r="Q73" s="1495">
        <f ca="1">U68*Q72</f>
        <v>40000</v>
      </c>
      <c r="R73" s="1495">
        <f ca="1">U68*R72</f>
        <v>0</v>
      </c>
      <c r="S73" s="1495">
        <f ca="1">U68*S72</f>
        <v>0</v>
      </c>
      <c r="T73" s="1495">
        <f ca="1">U68*T72</f>
        <v>0</v>
      </c>
      <c r="U73" s="1495">
        <f ca="1">U68*U72</f>
        <v>0</v>
      </c>
    </row>
    <row r="74" spans="1:27">
      <c r="K74" s="712" t="s">
        <v>238</v>
      </c>
    </row>
    <row r="75" spans="1:27">
      <c r="K75" s="712" t="s">
        <v>238</v>
      </c>
    </row>
    <row r="76" spans="1:27">
      <c r="K76" s="712" t="s">
        <v>238</v>
      </c>
      <c r="L76" s="1775" t="s">
        <v>2970</v>
      </c>
    </row>
    <row r="77" spans="1:27">
      <c r="K77" s="712" t="s">
        <v>238</v>
      </c>
    </row>
    <row r="78" spans="1:27" ht="16" thickBot="1">
      <c r="K78" s="712" t="s">
        <v>238</v>
      </c>
      <c r="L78" s="1775" t="s">
        <v>3470</v>
      </c>
    </row>
    <row r="79" spans="1:27" ht="16" thickBot="1">
      <c r="K79" s="712" t="s">
        <v>238</v>
      </c>
      <c r="O79" s="431" t="s">
        <v>3475</v>
      </c>
      <c r="P79" s="431" t="s">
        <v>3474</v>
      </c>
      <c r="Q79" s="1959">
        <v>2021</v>
      </c>
      <c r="R79" s="1915">
        <v>2022</v>
      </c>
      <c r="S79" s="1915">
        <v>2023</v>
      </c>
      <c r="T79" s="1915">
        <v>2024</v>
      </c>
      <c r="U79" s="1916">
        <v>2025</v>
      </c>
      <c r="W79" s="1500">
        <v>2021</v>
      </c>
      <c r="X79" s="1762">
        <v>2022</v>
      </c>
      <c r="Y79" s="1762">
        <v>2023</v>
      </c>
      <c r="Z79" s="1762">
        <v>2024</v>
      </c>
      <c r="AA79" s="1763">
        <v>2025</v>
      </c>
    </row>
    <row r="80" spans="1:27">
      <c r="K80" s="712" t="s">
        <v>238</v>
      </c>
      <c r="N80" t="s">
        <v>3471</v>
      </c>
      <c r="O80" s="734">
        <v>101514</v>
      </c>
      <c r="P80">
        <v>50476821.359999999</v>
      </c>
      <c r="Q80" s="1510">
        <v>1</v>
      </c>
      <c r="R80" s="1510">
        <v>1</v>
      </c>
      <c r="S80" s="1510">
        <v>1</v>
      </c>
      <c r="T80" s="1510">
        <v>1</v>
      </c>
      <c r="U80" s="1510">
        <v>1</v>
      </c>
      <c r="W80" s="836">
        <f>Q80*P80</f>
        <v>50476821.359999999</v>
      </c>
      <c r="X80" s="836">
        <f>R80*P80</f>
        <v>50476821.359999999</v>
      </c>
      <c r="Y80" s="836">
        <f>S80*P80</f>
        <v>50476821.359999999</v>
      </c>
      <c r="Z80" s="836">
        <f>T80*P80</f>
        <v>50476821.359999999</v>
      </c>
      <c r="AA80" s="836">
        <f>U80*P80</f>
        <v>50476821.359999999</v>
      </c>
    </row>
    <row r="81" spans="1:33">
      <c r="K81" s="712" t="s">
        <v>238</v>
      </c>
      <c r="N81" t="s">
        <v>3472</v>
      </c>
      <c r="O81" s="734">
        <v>51008</v>
      </c>
      <c r="P81">
        <v>25363217.920000002</v>
      </c>
      <c r="Q81" s="1510">
        <v>1</v>
      </c>
      <c r="R81" s="1510">
        <v>1</v>
      </c>
      <c r="S81" s="1510">
        <v>1</v>
      </c>
      <c r="T81" s="1510">
        <v>1</v>
      </c>
      <c r="U81" s="1510">
        <v>1</v>
      </c>
      <c r="W81" s="836">
        <f>Q81*P81</f>
        <v>25363217.920000002</v>
      </c>
      <c r="X81" s="836">
        <f>R81*P81</f>
        <v>25363217.920000002</v>
      </c>
      <c r="Y81" s="836">
        <f>S81*P81</f>
        <v>25363217.920000002</v>
      </c>
      <c r="Z81" s="836">
        <f>T81*P81</f>
        <v>25363217.920000002</v>
      </c>
      <c r="AA81" s="836">
        <f>U81*P81</f>
        <v>25363217.920000002</v>
      </c>
    </row>
    <row r="82" spans="1:33" ht="16" thickBot="1">
      <c r="K82" s="712" t="s">
        <v>238</v>
      </c>
      <c r="N82" t="s">
        <v>3473</v>
      </c>
      <c r="O82" s="734">
        <v>12589</v>
      </c>
      <c r="P82">
        <v>6259754.3600000003</v>
      </c>
      <c r="Q82" s="1510">
        <v>1</v>
      </c>
      <c r="R82" s="1510">
        <v>1</v>
      </c>
      <c r="S82" s="1510">
        <v>1</v>
      </c>
      <c r="T82" s="1510">
        <v>1</v>
      </c>
      <c r="U82" s="1510">
        <v>1</v>
      </c>
      <c r="W82" s="836">
        <f>Q82*P82</f>
        <v>6259754.3600000003</v>
      </c>
      <c r="X82" s="836">
        <f>R82*P82</f>
        <v>6259754.3600000003</v>
      </c>
      <c r="Y82" s="836">
        <f>S82*P82</f>
        <v>6259754.3600000003</v>
      </c>
      <c r="Z82" s="836">
        <f>T82*P82</f>
        <v>6259754.3600000003</v>
      </c>
      <c r="AA82" s="836">
        <f>U82*P82</f>
        <v>6259754.3600000003</v>
      </c>
    </row>
    <row r="83" spans="1:33" ht="16" thickBot="1">
      <c r="A83" s="2157">
        <v>176</v>
      </c>
      <c r="B83" s="841">
        <f>W83</f>
        <v>82099793.640000001</v>
      </c>
      <c r="C83" s="841">
        <f>X83</f>
        <v>82099793.640000001</v>
      </c>
      <c r="D83" s="841">
        <f>Y83</f>
        <v>82099793.640000001</v>
      </c>
      <c r="E83" s="841">
        <f>Z83</f>
        <v>82099793.640000001</v>
      </c>
      <c r="F83" s="841">
        <f>AA83</f>
        <v>82099793.640000001</v>
      </c>
      <c r="G83" s="841" t="s">
        <v>338</v>
      </c>
      <c r="H83" s="841" t="s">
        <v>3470</v>
      </c>
      <c r="I83" s="2180"/>
      <c r="J83" s="841" t="s">
        <v>2970</v>
      </c>
      <c r="K83" s="712" t="s">
        <v>238</v>
      </c>
      <c r="N83" s="1710" t="s">
        <v>3044</v>
      </c>
      <c r="O83" s="1732"/>
      <c r="P83" s="1708"/>
      <c r="Q83" s="1967"/>
      <c r="R83" s="1967"/>
      <c r="S83" s="1967"/>
      <c r="T83" s="1967"/>
      <c r="U83" s="1967"/>
      <c r="W83" s="1884">
        <f>SUM(W80:W82)</f>
        <v>82099793.640000001</v>
      </c>
      <c r="X83" s="1884">
        <f>SUM(X80:X82)</f>
        <v>82099793.640000001</v>
      </c>
      <c r="Y83" s="1884">
        <f>SUM(Y80:Y82)</f>
        <v>82099793.640000001</v>
      </c>
      <c r="Z83" s="1884">
        <f>SUM(Z80:Z82)</f>
        <v>82099793.640000001</v>
      </c>
      <c r="AA83" s="1884">
        <f>SUM(AA80:AA82)</f>
        <v>82099793.640000001</v>
      </c>
    </row>
    <row r="84" spans="1:33">
      <c r="K84" s="712" t="s">
        <v>238</v>
      </c>
    </row>
    <row r="85" spans="1:33" s="1808" customFormat="1" ht="16" thickBot="1">
      <c r="A85" s="960"/>
      <c r="B85" s="960"/>
      <c r="C85" s="960"/>
      <c r="D85" s="960"/>
      <c r="E85" s="960"/>
      <c r="F85" s="960"/>
      <c r="G85" s="960"/>
      <c r="H85" s="960"/>
      <c r="I85" s="2164"/>
      <c r="J85" s="960"/>
      <c r="K85" s="712"/>
      <c r="L85" s="1775" t="s">
        <v>3478</v>
      </c>
    </row>
    <row r="86" spans="1:33" ht="16" thickBot="1">
      <c r="K86" s="712" t="s">
        <v>238</v>
      </c>
      <c r="N86" s="1808"/>
      <c r="O86" s="431"/>
      <c r="P86" s="431" t="s">
        <v>3474</v>
      </c>
      <c r="Q86" s="1959">
        <v>2021</v>
      </c>
      <c r="R86" s="1915">
        <v>2022</v>
      </c>
      <c r="S86" s="1915">
        <v>2023</v>
      </c>
      <c r="T86" s="1915">
        <v>2024</v>
      </c>
      <c r="U86" s="1916">
        <v>2025</v>
      </c>
      <c r="V86" s="1808"/>
      <c r="W86" s="1500">
        <v>2021</v>
      </c>
      <c r="X86" s="1762">
        <v>2022</v>
      </c>
      <c r="Y86" s="1762">
        <v>2023</v>
      </c>
      <c r="Z86" s="1762">
        <v>2024</v>
      </c>
      <c r="AA86" s="1763">
        <v>2025</v>
      </c>
    </row>
    <row r="87" spans="1:33">
      <c r="K87" s="712" t="s">
        <v>238</v>
      </c>
      <c r="N87" s="1808" t="s">
        <v>3476</v>
      </c>
      <c r="O87" s="734"/>
      <c r="P87" s="1808">
        <v>40941501</v>
      </c>
      <c r="Q87" s="1510">
        <v>1</v>
      </c>
      <c r="R87" s="1510">
        <v>1</v>
      </c>
      <c r="S87" s="1510">
        <v>1</v>
      </c>
      <c r="T87" s="1510">
        <v>1</v>
      </c>
      <c r="U87" s="1510">
        <v>1</v>
      </c>
      <c r="V87" s="1808"/>
      <c r="W87" s="836">
        <f>Q87*P87</f>
        <v>40941501</v>
      </c>
      <c r="X87" s="836">
        <f>R87*P87</f>
        <v>40941501</v>
      </c>
      <c r="Y87" s="836">
        <f>S87*P87</f>
        <v>40941501</v>
      </c>
      <c r="Z87" s="836">
        <f>T87*P87</f>
        <v>40941501</v>
      </c>
      <c r="AA87" s="836">
        <f>U87*P87</f>
        <v>40941501</v>
      </c>
    </row>
    <row r="88" spans="1:33" ht="16" thickBot="1">
      <c r="K88" s="712" t="s">
        <v>238</v>
      </c>
      <c r="N88" s="1808" t="s">
        <v>3477</v>
      </c>
      <c r="O88" s="734"/>
      <c r="P88" s="1808">
        <v>1563382</v>
      </c>
      <c r="Q88" s="1510">
        <v>1</v>
      </c>
      <c r="R88" s="1510">
        <v>1</v>
      </c>
      <c r="S88" s="1510">
        <v>1</v>
      </c>
      <c r="T88" s="1510">
        <v>1</v>
      </c>
      <c r="U88" s="1510">
        <v>1</v>
      </c>
      <c r="V88" s="1808"/>
      <c r="W88" s="836">
        <f>Q88*P88</f>
        <v>1563382</v>
      </c>
      <c r="X88" s="836">
        <f>R88*P88</f>
        <v>1563382</v>
      </c>
      <c r="Y88" s="836">
        <f>S88*P88</f>
        <v>1563382</v>
      </c>
      <c r="Z88" s="836">
        <f>T88*P88</f>
        <v>1563382</v>
      </c>
      <c r="AA88" s="836">
        <f>U88*P88</f>
        <v>1563382</v>
      </c>
    </row>
    <row r="89" spans="1:33" ht="16" thickBot="1">
      <c r="A89" s="2157">
        <v>177</v>
      </c>
      <c r="B89" s="841">
        <f>W89</f>
        <v>42504883</v>
      </c>
      <c r="C89" s="841">
        <f>X89</f>
        <v>42504883</v>
      </c>
      <c r="D89" s="841">
        <f>Y89</f>
        <v>42504883</v>
      </c>
      <c r="E89" s="841">
        <f>Z89</f>
        <v>42504883</v>
      </c>
      <c r="F89" s="841">
        <f>AA89</f>
        <v>42504883</v>
      </c>
      <c r="G89" s="841" t="s">
        <v>338</v>
      </c>
      <c r="H89" s="841" t="s">
        <v>3478</v>
      </c>
      <c r="I89" s="2180"/>
      <c r="J89" s="841" t="s">
        <v>2970</v>
      </c>
      <c r="K89" s="712" t="s">
        <v>238</v>
      </c>
      <c r="N89" s="1710" t="s">
        <v>3044</v>
      </c>
      <c r="O89" s="1732"/>
      <c r="P89" s="1708"/>
      <c r="Q89" s="1967"/>
      <c r="R89" s="1967"/>
      <c r="S89" s="1967"/>
      <c r="T89" s="1967"/>
      <c r="U89" s="1967"/>
      <c r="V89" s="1808"/>
      <c r="W89" s="1884">
        <f>SUM(W87:W88)</f>
        <v>42504883</v>
      </c>
      <c r="X89" s="1884">
        <f>SUM(X87:X88)</f>
        <v>42504883</v>
      </c>
      <c r="Y89" s="1884">
        <f>SUM(Y87:Y88)</f>
        <v>42504883</v>
      </c>
      <c r="Z89" s="1884">
        <f>SUM(Z87:Z88)</f>
        <v>42504883</v>
      </c>
      <c r="AA89" s="1884">
        <f>SUM(AA87:AA88)</f>
        <v>42504883</v>
      </c>
    </row>
    <row r="90" spans="1:33">
      <c r="K90" s="712" t="s">
        <v>238</v>
      </c>
    </row>
    <row r="91" spans="1:33">
      <c r="K91" s="712" t="s">
        <v>238</v>
      </c>
    </row>
    <row r="92" spans="1:33">
      <c r="K92" s="712" t="s">
        <v>238</v>
      </c>
      <c r="L92" s="1775" t="s">
        <v>2971</v>
      </c>
      <c r="S92" s="853"/>
      <c r="T92" s="853"/>
      <c r="U92" s="853"/>
      <c r="V92" s="853"/>
      <c r="W92" s="853"/>
      <c r="X92" s="853"/>
    </row>
    <row r="93" spans="1:33">
      <c r="K93" s="712" t="s">
        <v>238</v>
      </c>
      <c r="S93" s="853"/>
      <c r="T93" s="2003"/>
      <c r="U93" s="853"/>
      <c r="V93" s="853"/>
      <c r="W93" s="853"/>
      <c r="X93" s="853"/>
    </row>
    <row r="94" spans="1:33">
      <c r="K94" s="712" t="s">
        <v>238</v>
      </c>
      <c r="L94" s="1845" t="s">
        <v>3482</v>
      </c>
      <c r="S94" s="853"/>
      <c r="T94" s="853"/>
      <c r="U94" s="853"/>
      <c r="V94" s="853"/>
      <c r="W94" s="853"/>
      <c r="X94" s="853"/>
    </row>
    <row r="95" spans="1:33" ht="16" thickBot="1">
      <c r="K95" s="712" t="s">
        <v>238</v>
      </c>
      <c r="S95" s="853"/>
      <c r="T95" s="853"/>
      <c r="U95" s="853"/>
      <c r="V95" s="853"/>
      <c r="W95" s="854" t="s">
        <v>338</v>
      </c>
      <c r="X95" s="854"/>
      <c r="Y95" s="431"/>
      <c r="Z95" s="431"/>
      <c r="AA95" s="431"/>
      <c r="AB95" s="431"/>
      <c r="AC95" s="431" t="s">
        <v>351</v>
      </c>
      <c r="AD95" s="431"/>
      <c r="AE95" s="431"/>
      <c r="AF95" s="1808"/>
      <c r="AG95" s="1808"/>
    </row>
    <row r="96" spans="1:33">
      <c r="K96" s="712" t="s">
        <v>238</v>
      </c>
      <c r="L96" s="1942"/>
      <c r="M96" s="1942"/>
      <c r="N96" s="1808"/>
      <c r="O96" s="431"/>
      <c r="Q96" s="1959">
        <v>2021</v>
      </c>
      <c r="R96" s="1915">
        <v>2022</v>
      </c>
      <c r="S96" s="1915">
        <v>2023</v>
      </c>
      <c r="T96" s="1915">
        <v>2024</v>
      </c>
      <c r="U96" s="1916">
        <v>2025</v>
      </c>
      <c r="W96" s="958"/>
      <c r="X96" s="946"/>
      <c r="Y96" s="958"/>
      <c r="Z96" s="958"/>
      <c r="AA96" s="958"/>
      <c r="AB96" s="1808"/>
      <c r="AC96" s="958"/>
      <c r="AD96" s="946"/>
      <c r="AE96" s="958"/>
      <c r="AF96" s="958"/>
      <c r="AG96" s="958"/>
    </row>
    <row r="97" spans="1:34">
      <c r="K97" s="712" t="s">
        <v>238</v>
      </c>
      <c r="L97" s="1942"/>
      <c r="M97" s="1942"/>
      <c r="N97" s="431" t="s">
        <v>3480</v>
      </c>
      <c r="O97" s="734"/>
      <c r="P97" s="1808"/>
      <c r="Q97" s="2059">
        <f>20000*12</f>
        <v>240000</v>
      </c>
      <c r="R97" s="2059">
        <f t="shared" ref="R97:U97" si="3">20000*12</f>
        <v>240000</v>
      </c>
      <c r="S97" s="2059">
        <f t="shared" si="3"/>
        <v>240000</v>
      </c>
      <c r="T97" s="2059">
        <f t="shared" si="3"/>
        <v>240000</v>
      </c>
      <c r="U97" s="2059">
        <f t="shared" si="3"/>
        <v>240000</v>
      </c>
      <c r="W97" s="958"/>
      <c r="X97" s="946"/>
      <c r="Y97" s="958"/>
      <c r="Z97" s="958"/>
      <c r="AA97" s="958"/>
      <c r="AB97" s="1808"/>
      <c r="AC97" s="958"/>
      <c r="AD97" s="946"/>
      <c r="AE97" s="958"/>
      <c r="AF97" s="958"/>
      <c r="AG97" s="958"/>
    </row>
    <row r="98" spans="1:34" ht="16" thickBot="1">
      <c r="K98" s="712" t="s">
        <v>238</v>
      </c>
      <c r="L98" s="1942"/>
      <c r="M98" s="1942"/>
      <c r="N98" s="1808" t="s">
        <v>3481</v>
      </c>
      <c r="O98" s="734"/>
      <c r="P98" s="1808"/>
      <c r="Q98" s="2059">
        <v>0</v>
      </c>
      <c r="R98" s="2059">
        <v>0</v>
      </c>
      <c r="S98" s="2059">
        <v>0</v>
      </c>
      <c r="T98" s="2059">
        <v>0</v>
      </c>
      <c r="U98" s="2059">
        <v>0</v>
      </c>
      <c r="W98" s="1850">
        <f>1-AC98</f>
        <v>0</v>
      </c>
      <c r="X98" s="1850">
        <f>1-AD98</f>
        <v>0</v>
      </c>
      <c r="Y98" s="1850">
        <f>1-AE98</f>
        <v>0</v>
      </c>
      <c r="Z98" s="1850">
        <f>1-AF98</f>
        <v>1</v>
      </c>
      <c r="AA98" s="1850">
        <f>1-AG98</f>
        <v>1</v>
      </c>
      <c r="AB98" s="1808"/>
      <c r="AC98" s="1694">
        <v>1</v>
      </c>
      <c r="AD98" s="1694">
        <v>1</v>
      </c>
      <c r="AE98" s="1694">
        <v>1</v>
      </c>
      <c r="AF98" s="1850"/>
      <c r="AG98" s="1850"/>
    </row>
    <row r="99" spans="1:34" ht="16" thickBot="1">
      <c r="A99" s="2157">
        <v>178</v>
      </c>
      <c r="B99" s="841">
        <f>AC99</f>
        <v>0</v>
      </c>
      <c r="C99" s="841">
        <f t="shared" ref="C99:F99" si="4">AD99</f>
        <v>0</v>
      </c>
      <c r="D99" s="841">
        <f t="shared" si="4"/>
        <v>0</v>
      </c>
      <c r="E99" s="841">
        <f t="shared" si="4"/>
        <v>0</v>
      </c>
      <c r="F99" s="841">
        <f t="shared" si="4"/>
        <v>0</v>
      </c>
      <c r="G99" s="841" t="s">
        <v>351</v>
      </c>
      <c r="H99" s="841" t="s">
        <v>3482</v>
      </c>
      <c r="I99" s="2180" t="s">
        <v>3716</v>
      </c>
      <c r="J99" s="841" t="s">
        <v>2971</v>
      </c>
      <c r="K99" s="712" t="s">
        <v>238</v>
      </c>
      <c r="L99" s="1942"/>
      <c r="M99" s="1942"/>
      <c r="N99" s="1710" t="s">
        <v>3044</v>
      </c>
      <c r="O99" s="1732"/>
      <c r="P99" s="1708"/>
      <c r="Q99" s="2058">
        <f>Q98*Q97</f>
        <v>0</v>
      </c>
      <c r="R99" s="2058">
        <f>R98*R97</f>
        <v>0</v>
      </c>
      <c r="S99" s="2058">
        <f>S98*S97</f>
        <v>0</v>
      </c>
      <c r="T99" s="2058">
        <f>T98*T97</f>
        <v>0</v>
      </c>
      <c r="U99" s="2058">
        <f>U98*U97</f>
        <v>0</v>
      </c>
      <c r="W99" s="1709">
        <f>Q99*W98</f>
        <v>0</v>
      </c>
      <c r="X99" s="1709">
        <f>R99*X98</f>
        <v>0</v>
      </c>
      <c r="Y99" s="1709">
        <f>S99*Y98</f>
        <v>0</v>
      </c>
      <c r="Z99" s="1709">
        <f>T99*Z98</f>
        <v>0</v>
      </c>
      <c r="AA99" s="1709">
        <f>U99*AA98</f>
        <v>0</v>
      </c>
      <c r="AB99" s="1808"/>
      <c r="AC99" s="1709">
        <f>Q99*AC98</f>
        <v>0</v>
      </c>
      <c r="AD99" s="1709">
        <f>R99*AD98</f>
        <v>0</v>
      </c>
      <c r="AE99" s="1709">
        <f>S99*AE98</f>
        <v>0</v>
      </c>
      <c r="AF99" s="1709">
        <f>T99*AF98</f>
        <v>0</v>
      </c>
      <c r="AG99" s="1709">
        <f>U99*AG98</f>
        <v>0</v>
      </c>
    </row>
    <row r="100" spans="1:34">
      <c r="K100" s="712" t="s">
        <v>238</v>
      </c>
      <c r="L100" s="1942"/>
      <c r="M100" s="1942"/>
    </row>
    <row r="101" spans="1:34" s="1808" customFormat="1">
      <c r="A101" s="2212">
        <v>214</v>
      </c>
      <c r="B101" s="841">
        <f>W99</f>
        <v>0</v>
      </c>
      <c r="C101" s="841">
        <f>X99</f>
        <v>0</v>
      </c>
      <c r="D101" s="841">
        <f>Y99</f>
        <v>0</v>
      </c>
      <c r="E101" s="841">
        <f>Z99</f>
        <v>0</v>
      </c>
      <c r="F101" s="841">
        <f>AA99</f>
        <v>0</v>
      </c>
      <c r="G101" s="841" t="s">
        <v>338</v>
      </c>
      <c r="H101" s="841" t="s">
        <v>3482</v>
      </c>
      <c r="I101" s="2180"/>
      <c r="J101" s="841" t="s">
        <v>2971</v>
      </c>
      <c r="K101" s="712"/>
      <c r="L101" s="1942"/>
      <c r="M101" s="1942"/>
    </row>
    <row r="102" spans="1:34" s="1808" customFormat="1">
      <c r="A102" s="960"/>
      <c r="B102" s="960"/>
      <c r="C102" s="960"/>
      <c r="D102" s="960"/>
      <c r="E102" s="960"/>
      <c r="F102" s="960"/>
      <c r="G102" s="960"/>
      <c r="H102" s="960"/>
      <c r="I102" s="2164"/>
      <c r="J102" s="960"/>
      <c r="K102" s="712"/>
      <c r="L102" s="1942"/>
      <c r="M102" s="1942"/>
    </row>
    <row r="103" spans="1:34">
      <c r="K103" s="712" t="s">
        <v>238</v>
      </c>
    </row>
    <row r="104" spans="1:34">
      <c r="K104" s="712" t="s">
        <v>238</v>
      </c>
      <c r="L104" s="1845" t="s">
        <v>3483</v>
      </c>
      <c r="M104" s="1808"/>
      <c r="N104" s="1808"/>
      <c r="O104" s="1808"/>
      <c r="P104" s="734"/>
      <c r="Q104" s="1808"/>
      <c r="R104" s="1808"/>
      <c r="S104" s="1808"/>
      <c r="T104" s="1808"/>
      <c r="U104" s="1808"/>
      <c r="V104" s="1808"/>
      <c r="W104" s="1808"/>
      <c r="X104" s="1808"/>
      <c r="Y104" s="1808"/>
      <c r="Z104" s="1808"/>
      <c r="AA104" s="1808"/>
      <c r="AB104" s="1808"/>
      <c r="AC104" s="1808"/>
      <c r="AD104" s="1808"/>
      <c r="AE104" s="1808"/>
      <c r="AF104" s="1808"/>
      <c r="AG104" s="1808"/>
      <c r="AH104" s="1808"/>
    </row>
    <row r="105" spans="1:34">
      <c r="K105" s="712" t="s">
        <v>238</v>
      </c>
      <c r="L105" s="1808"/>
      <c r="M105" s="1808"/>
      <c r="N105" s="1808"/>
      <c r="O105" s="1808"/>
      <c r="P105" s="1808"/>
      <c r="Q105" s="1808"/>
      <c r="R105" s="1808"/>
      <c r="S105" s="1808"/>
      <c r="T105" s="1808"/>
      <c r="U105" s="1808"/>
      <c r="V105" s="1808"/>
      <c r="W105" s="1808"/>
      <c r="X105" s="1808"/>
      <c r="Y105" s="1808"/>
      <c r="Z105" s="1808"/>
      <c r="AA105" s="1808"/>
      <c r="AB105" s="1808"/>
      <c r="AC105" s="1808"/>
      <c r="AD105" s="1808"/>
      <c r="AE105" s="1808"/>
      <c r="AF105" s="1808"/>
      <c r="AG105" s="1808"/>
      <c r="AH105" s="1808"/>
    </row>
    <row r="106" spans="1:34">
      <c r="K106" s="712" t="s">
        <v>238</v>
      </c>
      <c r="L106" s="1808"/>
      <c r="N106" s="1808"/>
      <c r="O106" s="1808"/>
      <c r="P106" s="1808"/>
      <c r="Q106" s="1808"/>
      <c r="R106" s="1808"/>
      <c r="S106" s="1808"/>
      <c r="T106" s="1808"/>
      <c r="U106" s="1808"/>
      <c r="V106" s="1808"/>
      <c r="W106" s="1808"/>
      <c r="X106" s="1808"/>
      <c r="Y106" s="1808"/>
      <c r="Z106" s="1808"/>
      <c r="AA106" s="1808"/>
      <c r="AB106" s="1808"/>
      <c r="AC106" s="1808"/>
      <c r="AD106" s="1808"/>
      <c r="AE106" s="1808"/>
      <c r="AF106" s="1808"/>
      <c r="AG106" s="1808"/>
      <c r="AH106" s="1808"/>
    </row>
    <row r="107" spans="1:34">
      <c r="K107" s="712" t="s">
        <v>238</v>
      </c>
      <c r="L107" s="1775" t="s">
        <v>3226</v>
      </c>
      <c r="M107" t="s">
        <v>3226</v>
      </c>
      <c r="N107" s="1808"/>
      <c r="O107" s="1808"/>
      <c r="P107" s="1808"/>
      <c r="Q107" s="845"/>
      <c r="R107" s="845"/>
      <c r="S107" s="845"/>
      <c r="T107" s="845"/>
      <c r="U107" s="845"/>
      <c r="V107" s="431"/>
      <c r="W107" s="431"/>
      <c r="X107" s="431"/>
      <c r="Y107" s="431"/>
      <c r="Z107" s="431"/>
      <c r="AA107" s="431"/>
      <c r="AB107" s="431"/>
      <c r="AC107" s="431"/>
      <c r="AD107" s="431"/>
      <c r="AE107" s="431"/>
      <c r="AF107" s="1808"/>
      <c r="AG107" s="1808"/>
      <c r="AH107" s="1808"/>
    </row>
    <row r="108" spans="1:34">
      <c r="K108" s="712" t="s">
        <v>238</v>
      </c>
      <c r="L108" s="1808"/>
      <c r="N108" s="1808"/>
      <c r="O108" s="1808"/>
      <c r="P108" s="1808"/>
      <c r="Q108" s="845">
        <v>2021</v>
      </c>
      <c r="R108" s="845">
        <v>2022</v>
      </c>
      <c r="S108" s="845">
        <v>2023</v>
      </c>
      <c r="T108" s="845">
        <v>2024</v>
      </c>
      <c r="U108" s="845">
        <v>2025</v>
      </c>
      <c r="V108" s="431"/>
      <c r="W108" t="s">
        <v>338</v>
      </c>
      <c r="AC108" t="s">
        <v>351</v>
      </c>
      <c r="AH108" s="1808"/>
    </row>
    <row r="109" spans="1:34">
      <c r="K109" s="712" t="s">
        <v>238</v>
      </c>
      <c r="L109" s="1808"/>
      <c r="N109" s="958"/>
      <c r="O109" s="946" t="s">
        <v>3227</v>
      </c>
      <c r="P109" s="946" t="s">
        <v>2216</v>
      </c>
      <c r="Q109" s="958"/>
      <c r="R109" s="946"/>
      <c r="S109" s="958"/>
      <c r="T109" s="958"/>
      <c r="U109" s="958"/>
      <c r="V109" s="1808"/>
      <c r="AH109" s="1808"/>
    </row>
    <row r="110" spans="1:34">
      <c r="K110" s="712" t="s">
        <v>238</v>
      </c>
      <c r="L110" s="1808"/>
      <c r="N110" s="1496"/>
      <c r="O110" s="1846">
        <v>150</v>
      </c>
      <c r="P110" s="1847">
        <v>2943.7054499999999</v>
      </c>
      <c r="Q110" s="958"/>
      <c r="R110" s="946"/>
      <c r="S110" s="958"/>
      <c r="T110" s="958"/>
      <c r="U110" s="958"/>
      <c r="V110" s="1808"/>
    </row>
    <row r="111" spans="1:34" ht="16" thickBot="1">
      <c r="A111" s="2157">
        <v>115</v>
      </c>
      <c r="B111" s="841">
        <f>W112</f>
        <v>0</v>
      </c>
      <c r="C111" s="841">
        <f>X112</f>
        <v>0</v>
      </c>
      <c r="D111" s="841">
        <f>Y112</f>
        <v>0</v>
      </c>
      <c r="E111" s="841">
        <f>Z112</f>
        <v>20605.939999999999</v>
      </c>
      <c r="F111" s="841">
        <f>AA112</f>
        <v>20605.939999999999</v>
      </c>
      <c r="G111" s="841" t="s">
        <v>338</v>
      </c>
      <c r="H111" s="841" t="s">
        <v>3719</v>
      </c>
      <c r="I111" s="2180"/>
      <c r="J111" s="841" t="s">
        <v>2971</v>
      </c>
      <c r="K111" s="712" t="s">
        <v>238</v>
      </c>
      <c r="L111" s="1808">
        <f>SUM(B111:F111)/EUR</f>
        <v>2100.0001885378852</v>
      </c>
      <c r="N111" s="958" t="s">
        <v>1842</v>
      </c>
      <c r="O111" s="946"/>
      <c r="P111" s="1848"/>
      <c r="Q111" s="1849">
        <v>7</v>
      </c>
      <c r="R111" s="1849">
        <v>7</v>
      </c>
      <c r="S111" s="1849">
        <v>7</v>
      </c>
      <c r="T111" s="1849">
        <v>7</v>
      </c>
      <c r="U111" s="1849">
        <v>7</v>
      </c>
      <c r="V111" s="1808"/>
      <c r="W111" s="1850">
        <v>0</v>
      </c>
      <c r="X111" s="1850">
        <v>0</v>
      </c>
      <c r="Y111" s="1850">
        <v>0</v>
      </c>
      <c r="Z111" s="1850">
        <v>1</v>
      </c>
      <c r="AA111" s="1850">
        <v>1</v>
      </c>
      <c r="AB111" s="1808"/>
      <c r="AC111" s="1694">
        <v>1</v>
      </c>
      <c r="AD111" s="1694">
        <v>1</v>
      </c>
      <c r="AE111" s="1694">
        <v>1</v>
      </c>
      <c r="AF111" s="1850"/>
    </row>
    <row r="112" spans="1:34" ht="16" thickBot="1">
      <c r="A112" s="2157">
        <v>116</v>
      </c>
      <c r="B112" s="841">
        <f>AC112</f>
        <v>20605.939999999999</v>
      </c>
      <c r="C112" s="841">
        <f>AD112</f>
        <v>20605.939999999999</v>
      </c>
      <c r="D112" s="841">
        <f>AE112</f>
        <v>20605.939999999999</v>
      </c>
      <c r="E112" s="841">
        <f>AF112</f>
        <v>0</v>
      </c>
      <c r="F112" s="841">
        <f>AG112</f>
        <v>0</v>
      </c>
      <c r="G112" s="841" t="s">
        <v>351</v>
      </c>
      <c r="H112" s="841" t="s">
        <v>3719</v>
      </c>
      <c r="I112" s="2180" t="s">
        <v>3715</v>
      </c>
      <c r="J112" s="841" t="s">
        <v>2971</v>
      </c>
      <c r="K112" s="712" t="s">
        <v>238</v>
      </c>
      <c r="L112" s="1808">
        <f>SUM(B112:F112)/EUR</f>
        <v>3150.0002828068273</v>
      </c>
      <c r="N112" s="1851" t="s">
        <v>2189</v>
      </c>
      <c r="O112" s="1851"/>
      <c r="P112" s="1851"/>
      <c r="Q112" s="1851">
        <v>20605.939999999999</v>
      </c>
      <c r="R112" s="1851">
        <v>20605.939999999999</v>
      </c>
      <c r="S112" s="1851">
        <v>20605.939999999999</v>
      </c>
      <c r="T112" s="1851">
        <v>20605.939999999999</v>
      </c>
      <c r="U112" s="1851">
        <v>20605.939999999999</v>
      </c>
      <c r="V112" s="1808"/>
      <c r="W112" s="1709">
        <v>0</v>
      </c>
      <c r="X112" s="1708">
        <v>0</v>
      </c>
      <c r="Y112" s="1495">
        <v>0</v>
      </c>
      <c r="Z112" s="1495">
        <v>20605.939999999999</v>
      </c>
      <c r="AA112" s="1495">
        <v>20605.939999999999</v>
      </c>
      <c r="AB112" s="1808"/>
      <c r="AC112" s="1709">
        <v>20605.939999999999</v>
      </c>
      <c r="AD112" s="1708">
        <v>20605.939999999999</v>
      </c>
      <c r="AE112" s="1495">
        <v>20605.939999999999</v>
      </c>
      <c r="AF112" s="1495">
        <v>0</v>
      </c>
    </row>
    <row r="113" spans="1:32" ht="16" thickBot="1">
      <c r="A113" s="2157">
        <v>117</v>
      </c>
      <c r="B113" s="841">
        <f>W114</f>
        <v>0</v>
      </c>
      <c r="C113" s="841">
        <f>X114</f>
        <v>0</v>
      </c>
      <c r="D113" s="841">
        <f>Y114</f>
        <v>0</v>
      </c>
      <c r="E113" s="841">
        <f>Z114</f>
        <v>5887.41</v>
      </c>
      <c r="F113" s="841">
        <f>AA114</f>
        <v>5887.41</v>
      </c>
      <c r="G113" s="841" t="s">
        <v>513</v>
      </c>
      <c r="H113" s="841" t="s">
        <v>3720</v>
      </c>
      <c r="I113" s="2180"/>
      <c r="J113" s="841" t="s">
        <v>2971</v>
      </c>
      <c r="K113" s="712" t="s">
        <v>238</v>
      </c>
      <c r="L113" s="1808">
        <f>SUM(B113:F113)/EUR</f>
        <v>599.99990827886666</v>
      </c>
      <c r="N113" s="958" t="s">
        <v>1845</v>
      </c>
      <c r="O113" s="946"/>
      <c r="P113" s="1848"/>
      <c r="Q113" s="1849">
        <v>2</v>
      </c>
      <c r="R113" s="1849">
        <v>2</v>
      </c>
      <c r="S113" s="1849">
        <v>2</v>
      </c>
      <c r="T113" s="1849">
        <v>2</v>
      </c>
      <c r="U113" s="1849">
        <v>2</v>
      </c>
      <c r="V113" s="1808"/>
      <c r="W113" s="1850">
        <v>0</v>
      </c>
      <c r="X113" s="1850">
        <v>0</v>
      </c>
      <c r="Y113" s="1850">
        <v>0</v>
      </c>
      <c r="Z113" s="1850">
        <v>1</v>
      </c>
      <c r="AA113" s="1850">
        <v>1</v>
      </c>
      <c r="AB113" s="1808"/>
      <c r="AC113" s="1694">
        <v>1</v>
      </c>
      <c r="AD113" s="1694">
        <v>1</v>
      </c>
      <c r="AE113" s="1694">
        <v>1</v>
      </c>
      <c r="AF113" s="1850"/>
    </row>
    <row r="114" spans="1:32" ht="16" thickBot="1">
      <c r="A114" s="2157">
        <v>118</v>
      </c>
      <c r="B114" s="841">
        <f>AC114</f>
        <v>5887.4108999999999</v>
      </c>
      <c r="C114" s="841">
        <f>AD114</f>
        <v>5887.4108999999999</v>
      </c>
      <c r="D114" s="841">
        <f>AE114</f>
        <v>5887.4108999999999</v>
      </c>
      <c r="E114" s="841">
        <f>AF114</f>
        <v>9.0000000000145519E-4</v>
      </c>
      <c r="F114" s="841">
        <f>AG114</f>
        <v>0</v>
      </c>
      <c r="G114" s="841" t="s">
        <v>351</v>
      </c>
      <c r="H114" s="841" t="s">
        <v>3720</v>
      </c>
      <c r="I114" s="2180"/>
      <c r="J114" s="841" t="s">
        <v>2971</v>
      </c>
      <c r="K114" s="712" t="s">
        <v>238</v>
      </c>
      <c r="L114" s="1808">
        <f>SUM(B114:F114)/EUR</f>
        <v>900.00004586056662</v>
      </c>
      <c r="N114" s="1851" t="s">
        <v>2189</v>
      </c>
      <c r="O114" s="1852"/>
      <c r="P114" s="1853"/>
      <c r="Q114" s="1854">
        <v>5887.4108999999999</v>
      </c>
      <c r="R114" s="1854">
        <v>5887.4108999999999</v>
      </c>
      <c r="S114" s="1854">
        <v>5887.4108999999999</v>
      </c>
      <c r="T114" s="1854">
        <v>5887.4108999999999</v>
      </c>
      <c r="U114" s="1854">
        <v>5887.4108999999999</v>
      </c>
      <c r="V114" s="1808"/>
      <c r="W114" s="1709">
        <v>0</v>
      </c>
      <c r="X114" s="1708">
        <v>0</v>
      </c>
      <c r="Y114" s="1495">
        <v>0</v>
      </c>
      <c r="Z114" s="1495">
        <v>5887.41</v>
      </c>
      <c r="AA114" s="1495">
        <v>5887.41</v>
      </c>
      <c r="AB114" s="1808"/>
      <c r="AC114" s="1709">
        <v>5887.4108999999999</v>
      </c>
      <c r="AD114" s="1708">
        <v>5887.4108999999999</v>
      </c>
      <c r="AE114" s="1495">
        <v>5887.4108999999999</v>
      </c>
      <c r="AF114" s="1495">
        <v>9.0000000000145519E-4</v>
      </c>
    </row>
    <row r="115" spans="1:32">
      <c r="K115" s="712" t="s">
        <v>238</v>
      </c>
      <c r="L115" s="1808"/>
      <c r="N115" s="1808"/>
      <c r="O115" s="1808"/>
      <c r="P115" s="1808"/>
      <c r="Q115" s="1808"/>
      <c r="R115" s="1808"/>
      <c r="S115" s="1808"/>
      <c r="T115" s="1808"/>
      <c r="U115" s="1808"/>
      <c r="V115" s="1808"/>
      <c r="W115" s="1808"/>
      <c r="X115" s="1808"/>
      <c r="Y115" s="1808"/>
      <c r="Z115" s="1808"/>
      <c r="AA115" s="1808"/>
      <c r="AB115" s="1808"/>
      <c r="AC115" s="1808"/>
      <c r="AD115" s="1808"/>
      <c r="AE115" s="1808"/>
      <c r="AF115" s="1808"/>
    </row>
    <row r="116" spans="1:32">
      <c r="K116" s="712" t="s">
        <v>238</v>
      </c>
      <c r="L116" s="1808"/>
      <c r="N116" s="1808"/>
      <c r="O116" s="1808"/>
      <c r="P116" s="1808"/>
      <c r="Q116" s="1808"/>
      <c r="R116" s="1808"/>
      <c r="S116" s="1808"/>
      <c r="T116" s="1808"/>
      <c r="U116" s="1808"/>
      <c r="V116" s="1808"/>
      <c r="W116" s="1808"/>
      <c r="X116" s="1808"/>
      <c r="Y116" s="1808"/>
      <c r="Z116" s="1808"/>
      <c r="AA116" s="1808"/>
      <c r="AB116" s="1808"/>
      <c r="AC116" s="1808"/>
      <c r="AD116" s="1808"/>
      <c r="AE116" s="1808"/>
      <c r="AF116" s="1808"/>
    </row>
    <row r="117" spans="1:32">
      <c r="K117" s="712" t="s">
        <v>238</v>
      </c>
      <c r="L117" s="1775" t="s">
        <v>3228</v>
      </c>
      <c r="M117" t="s">
        <v>3228</v>
      </c>
      <c r="N117" s="1808"/>
      <c r="O117" s="1808"/>
      <c r="P117" s="1808"/>
      <c r="Q117" s="845"/>
      <c r="R117" s="845"/>
      <c r="S117" s="845"/>
      <c r="T117" s="845"/>
      <c r="U117" s="845"/>
      <c r="V117" s="431"/>
      <c r="W117" s="431"/>
      <c r="X117" s="431"/>
      <c r="Y117" s="431"/>
      <c r="Z117" s="431"/>
      <c r="AA117" s="431"/>
      <c r="AB117" s="431"/>
      <c r="AC117" s="431"/>
      <c r="AD117" s="431"/>
      <c r="AE117" s="431"/>
      <c r="AF117" s="1808"/>
    </row>
    <row r="118" spans="1:32">
      <c r="K118" s="712" t="s">
        <v>238</v>
      </c>
      <c r="L118" s="1808"/>
      <c r="N118" s="1808"/>
      <c r="O118" s="1808"/>
      <c r="P118" s="1808"/>
      <c r="Q118" s="845">
        <v>2021</v>
      </c>
      <c r="R118" s="845">
        <v>2022</v>
      </c>
      <c r="S118" s="845">
        <v>2023</v>
      </c>
      <c r="T118" s="845">
        <v>2024</v>
      </c>
      <c r="U118" s="845">
        <v>2025</v>
      </c>
      <c r="V118" s="431"/>
      <c r="W118" s="431" t="s">
        <v>349</v>
      </c>
      <c r="X118" s="431"/>
      <c r="Y118" s="431"/>
      <c r="Z118" s="431"/>
      <c r="AA118" s="431"/>
      <c r="AB118" s="431"/>
      <c r="AC118" s="431" t="s">
        <v>351</v>
      </c>
      <c r="AD118" s="431"/>
      <c r="AE118" s="431"/>
      <c r="AF118" s="1808"/>
    </row>
    <row r="119" spans="1:32">
      <c r="K119" s="712" t="s">
        <v>238</v>
      </c>
      <c r="L119" s="1808"/>
      <c r="N119" s="958"/>
      <c r="O119" s="946" t="s">
        <v>3229</v>
      </c>
      <c r="P119" s="946" t="s">
        <v>2216</v>
      </c>
      <c r="Q119" s="958"/>
      <c r="R119" s="946"/>
      <c r="S119" s="958"/>
      <c r="T119" s="958"/>
      <c r="U119" s="958"/>
      <c r="V119" s="1808"/>
      <c r="W119" s="958"/>
      <c r="X119" s="946"/>
      <c r="Y119" s="958"/>
      <c r="Z119" s="958"/>
      <c r="AA119" s="958"/>
      <c r="AB119" s="1808"/>
      <c r="AC119" s="958"/>
      <c r="AD119" s="946"/>
      <c r="AE119" s="958"/>
      <c r="AF119" s="958"/>
    </row>
    <row r="120" spans="1:32">
      <c r="K120" s="712" t="s">
        <v>238</v>
      </c>
      <c r="L120" s="1808"/>
      <c r="N120" s="1496"/>
      <c r="O120" s="1846">
        <v>11218.5</v>
      </c>
      <c r="P120" s="1847">
        <v>197096.82805350001</v>
      </c>
      <c r="Q120" s="958"/>
      <c r="R120" s="946"/>
      <c r="S120" s="958"/>
      <c r="T120" s="958"/>
      <c r="U120" s="958"/>
      <c r="V120" s="1808"/>
      <c r="W120" s="958"/>
      <c r="X120" s="946"/>
      <c r="Y120" s="958"/>
      <c r="Z120" s="958"/>
      <c r="AA120" s="958"/>
      <c r="AB120" s="1808"/>
      <c r="AC120" s="958"/>
      <c r="AD120" s="946"/>
      <c r="AE120" s="958"/>
      <c r="AF120" s="958"/>
    </row>
    <row r="121" spans="1:32" ht="16" thickBot="1">
      <c r="A121" s="2157">
        <v>119</v>
      </c>
      <c r="B121" s="841">
        <f>W122</f>
        <v>0</v>
      </c>
      <c r="C121" s="841">
        <f>X122</f>
        <v>0</v>
      </c>
      <c r="D121" s="841">
        <f>Y122</f>
        <v>0</v>
      </c>
      <c r="E121" s="841">
        <f>Z122</f>
        <v>147822.62</v>
      </c>
      <c r="F121" s="841">
        <f>AA122</f>
        <v>147822.62</v>
      </c>
      <c r="G121" s="841" t="s">
        <v>349</v>
      </c>
      <c r="H121" s="841" t="s">
        <v>3719</v>
      </c>
      <c r="I121" s="2180"/>
      <c r="J121" s="841" t="s">
        <v>2971</v>
      </c>
      <c r="K121" s="712" t="s">
        <v>238</v>
      </c>
      <c r="L121" s="1808">
        <f>SUM(B121:F121)/EUR</f>
        <v>15064.953594456945</v>
      </c>
      <c r="N121" s="958" t="s">
        <v>1842</v>
      </c>
      <c r="O121" s="946"/>
      <c r="P121" s="1848"/>
      <c r="Q121" s="1855">
        <v>0.75</v>
      </c>
      <c r="R121" s="1855">
        <v>0.75</v>
      </c>
      <c r="S121" s="1855">
        <v>0.75</v>
      </c>
      <c r="T121" s="1855">
        <v>0.75</v>
      </c>
      <c r="U121" s="1855">
        <v>0.75</v>
      </c>
      <c r="V121" s="1808"/>
      <c r="W121" s="1850">
        <v>0</v>
      </c>
      <c r="X121" s="1850">
        <v>0</v>
      </c>
      <c r="Y121" s="1850">
        <v>0</v>
      </c>
      <c r="Z121" s="1850">
        <v>1</v>
      </c>
      <c r="AA121" s="1850">
        <v>1</v>
      </c>
      <c r="AB121" s="1808"/>
      <c r="AC121" s="1694">
        <v>1</v>
      </c>
      <c r="AD121" s="1694">
        <v>1</v>
      </c>
      <c r="AE121" s="1694">
        <v>1</v>
      </c>
      <c r="AF121" s="1850"/>
    </row>
    <row r="122" spans="1:32" ht="16" thickBot="1">
      <c r="A122" s="2157">
        <v>120</v>
      </c>
      <c r="B122" s="841">
        <f>AC122</f>
        <v>147822.62</v>
      </c>
      <c r="C122" s="841">
        <f>AD122</f>
        <v>147822.62</v>
      </c>
      <c r="D122" s="841">
        <f>AE122</f>
        <v>147822.62</v>
      </c>
      <c r="E122" s="841">
        <f>AF122</f>
        <v>0</v>
      </c>
      <c r="F122" s="841">
        <f>AG122</f>
        <v>0</v>
      </c>
      <c r="G122" s="841" t="s">
        <v>351</v>
      </c>
      <c r="H122" s="841" t="s">
        <v>3719</v>
      </c>
      <c r="I122" s="2180" t="s">
        <v>3715</v>
      </c>
      <c r="J122" s="841" t="s">
        <v>2971</v>
      </c>
      <c r="K122" s="712" t="s">
        <v>238</v>
      </c>
      <c r="L122" s="1808">
        <f>SUM(B122:F122)/EUR</f>
        <v>22597.430391685419</v>
      </c>
      <c r="N122" s="1851" t="s">
        <v>2189</v>
      </c>
      <c r="O122" s="1851"/>
      <c r="P122" s="1851"/>
      <c r="Q122" s="1851">
        <v>147822.62</v>
      </c>
      <c r="R122" s="1851">
        <v>147822.62</v>
      </c>
      <c r="S122" s="1851">
        <v>147822.62</v>
      </c>
      <c r="T122" s="1851">
        <v>147822.62</v>
      </c>
      <c r="U122" s="1851">
        <v>147822.62</v>
      </c>
      <c r="V122" s="1808"/>
      <c r="W122" s="1709">
        <v>0</v>
      </c>
      <c r="X122" s="1708">
        <v>0</v>
      </c>
      <c r="Y122" s="1495">
        <v>0</v>
      </c>
      <c r="Z122" s="1495">
        <v>147822.62</v>
      </c>
      <c r="AA122" s="1495">
        <v>147822.62</v>
      </c>
      <c r="AB122" s="1808"/>
      <c r="AC122" s="1709">
        <v>147822.62</v>
      </c>
      <c r="AD122" s="1708">
        <v>147822.62</v>
      </c>
      <c r="AE122" s="1495">
        <v>147822.62</v>
      </c>
      <c r="AF122" s="1495">
        <v>0</v>
      </c>
    </row>
    <row r="123" spans="1:32" ht="16" thickBot="1">
      <c r="A123" s="2157">
        <v>121</v>
      </c>
      <c r="B123" s="841">
        <f>W124</f>
        <v>0</v>
      </c>
      <c r="C123" s="841">
        <f>X124</f>
        <v>0</v>
      </c>
      <c r="D123" s="841">
        <f>Y124</f>
        <v>0</v>
      </c>
      <c r="E123" s="841">
        <f>Z124</f>
        <v>49274.21</v>
      </c>
      <c r="F123" s="841">
        <f>AA124</f>
        <v>49274.21</v>
      </c>
      <c r="G123" s="841" t="s">
        <v>513</v>
      </c>
      <c r="H123" s="841" t="s">
        <v>3720</v>
      </c>
      <c r="I123" s="2180"/>
      <c r="J123" s="841" t="s">
        <v>2971</v>
      </c>
      <c r="K123" s="712" t="s">
        <v>238</v>
      </c>
      <c r="L123" s="1808">
        <f>SUM(B123:F123)/EUR</f>
        <v>5021.6515378602162</v>
      </c>
      <c r="N123" s="958" t="s">
        <v>1845</v>
      </c>
      <c r="O123" s="946"/>
      <c r="P123" s="1848"/>
      <c r="Q123" s="1855">
        <v>0.25</v>
      </c>
      <c r="R123" s="1855">
        <v>0.25</v>
      </c>
      <c r="S123" s="1855">
        <v>0.25</v>
      </c>
      <c r="T123" s="1855">
        <v>0.25</v>
      </c>
      <c r="U123" s="1855">
        <v>0.25</v>
      </c>
      <c r="V123" s="1808"/>
      <c r="W123" s="1850">
        <v>0</v>
      </c>
      <c r="X123" s="1850">
        <v>0</v>
      </c>
      <c r="Y123" s="1850">
        <v>0</v>
      </c>
      <c r="Z123" s="1850">
        <v>1</v>
      </c>
      <c r="AA123" s="1850">
        <v>1</v>
      </c>
      <c r="AB123" s="1808"/>
      <c r="AC123" s="1694">
        <v>1</v>
      </c>
      <c r="AD123" s="1694">
        <v>1</v>
      </c>
      <c r="AE123" s="1694">
        <v>1</v>
      </c>
      <c r="AF123" s="1850"/>
    </row>
    <row r="124" spans="1:32" ht="16" thickBot="1">
      <c r="A124" s="2157">
        <v>122</v>
      </c>
      <c r="B124" s="841">
        <f>AC124</f>
        <v>49274.208053500013</v>
      </c>
      <c r="C124" s="841">
        <f>AD124</f>
        <v>49274.208053500013</v>
      </c>
      <c r="D124" s="841">
        <f>AE124</f>
        <v>49274.208053500013</v>
      </c>
      <c r="E124" s="841">
        <f>AF124</f>
        <v>-1.9464999859337695E-3</v>
      </c>
      <c r="F124" s="841">
        <f>AG124</f>
        <v>0</v>
      </c>
      <c r="G124" s="841" t="s">
        <v>351</v>
      </c>
      <c r="H124" s="841" t="s">
        <v>3720</v>
      </c>
      <c r="I124" s="2180" t="s">
        <v>3715</v>
      </c>
      <c r="J124" s="841" t="s">
        <v>2971</v>
      </c>
      <c r="K124" s="712" t="s">
        <v>238</v>
      </c>
      <c r="L124" s="1808">
        <f>SUM(B124:F124)/EUR</f>
        <v>7532.4769100454696</v>
      </c>
      <c r="N124" s="1851" t="s">
        <v>2189</v>
      </c>
      <c r="O124" s="1852"/>
      <c r="P124" s="1853"/>
      <c r="Q124" s="1854">
        <v>49274.208053500013</v>
      </c>
      <c r="R124" s="1854">
        <v>49274.208053500013</v>
      </c>
      <c r="S124" s="1854">
        <v>49274.208053500013</v>
      </c>
      <c r="T124" s="1854">
        <v>49274.208053500013</v>
      </c>
      <c r="U124" s="1854">
        <v>49274.208053500013</v>
      </c>
      <c r="V124" s="1808"/>
      <c r="W124" s="1709">
        <v>0</v>
      </c>
      <c r="X124" s="1708">
        <v>0</v>
      </c>
      <c r="Y124" s="1495">
        <v>0</v>
      </c>
      <c r="Z124" s="1495">
        <v>49274.21</v>
      </c>
      <c r="AA124" s="1495">
        <v>49274.21</v>
      </c>
      <c r="AB124" s="1808"/>
      <c r="AC124" s="1709">
        <v>49274.208053500013</v>
      </c>
      <c r="AD124" s="1708">
        <v>49274.208053500013</v>
      </c>
      <c r="AE124" s="1495">
        <v>49274.208053500013</v>
      </c>
      <c r="AF124" s="1495">
        <v>-1.9464999859337695E-3</v>
      </c>
    </row>
    <row r="125" spans="1:32">
      <c r="K125" s="712" t="s">
        <v>238</v>
      </c>
      <c r="L125" s="1808"/>
      <c r="N125" s="1808"/>
      <c r="O125" s="1808"/>
      <c r="P125" s="1808"/>
      <c r="Q125" s="1808"/>
      <c r="R125" s="1808"/>
      <c r="S125" s="1808"/>
      <c r="T125" s="1808"/>
      <c r="U125" s="1808"/>
      <c r="V125" s="1808"/>
      <c r="W125" s="1808"/>
      <c r="X125" s="1808"/>
      <c r="Y125" s="1808"/>
      <c r="Z125" s="1808"/>
      <c r="AA125" s="1808"/>
      <c r="AB125" s="1808"/>
      <c r="AC125" s="1808"/>
      <c r="AD125" s="1808"/>
      <c r="AE125" s="1808"/>
      <c r="AF125" s="1808"/>
    </row>
    <row r="126" spans="1:32">
      <c r="K126" s="712" t="s">
        <v>238</v>
      </c>
      <c r="L126" s="1808"/>
      <c r="N126" s="1808"/>
      <c r="O126" s="1808"/>
      <c r="P126" s="1808"/>
      <c r="Q126" s="1808"/>
      <c r="R126" s="1808"/>
      <c r="S126" s="1808"/>
      <c r="T126" s="1808"/>
      <c r="U126" s="1808"/>
      <c r="V126" s="1808"/>
      <c r="W126" s="1808"/>
      <c r="X126" s="1808"/>
      <c r="Y126" s="1808"/>
      <c r="Z126" s="1808"/>
      <c r="AA126" s="1808"/>
      <c r="AB126" s="1808"/>
      <c r="AC126" s="1808"/>
      <c r="AD126" s="1808"/>
      <c r="AE126" s="1808"/>
      <c r="AF126" s="1808"/>
    </row>
    <row r="127" spans="1:32">
      <c r="K127" s="712" t="s">
        <v>238</v>
      </c>
      <c r="L127" s="1775" t="s">
        <v>3230</v>
      </c>
      <c r="M127" t="s">
        <v>3230</v>
      </c>
      <c r="N127" s="1808"/>
      <c r="O127" s="1808"/>
      <c r="P127" s="1808"/>
      <c r="Q127" s="845"/>
      <c r="R127" s="845"/>
      <c r="S127" s="845"/>
      <c r="T127" s="845"/>
      <c r="U127" s="845"/>
      <c r="V127" s="431"/>
      <c r="W127" s="431"/>
      <c r="X127" s="431"/>
      <c r="Y127" s="431"/>
      <c r="Z127" s="431"/>
      <c r="AA127" s="431"/>
      <c r="AB127" s="431"/>
      <c r="AC127" s="431"/>
      <c r="AD127" s="431"/>
      <c r="AE127" s="431"/>
      <c r="AF127" s="1808"/>
    </row>
    <row r="128" spans="1:32">
      <c r="K128" s="712" t="s">
        <v>238</v>
      </c>
      <c r="L128" s="1808"/>
      <c r="N128" s="1808"/>
      <c r="O128" s="1808"/>
      <c r="P128" s="1808"/>
      <c r="Q128" s="845">
        <v>2021</v>
      </c>
      <c r="R128" s="845">
        <v>2022</v>
      </c>
      <c r="S128" s="845">
        <v>2023</v>
      </c>
      <c r="T128" s="845">
        <v>2024</v>
      </c>
      <c r="U128" s="845">
        <v>2025</v>
      </c>
      <c r="V128" s="431"/>
      <c r="W128" s="431" t="s">
        <v>349</v>
      </c>
      <c r="X128" s="431"/>
      <c r="Y128" s="431"/>
      <c r="Z128" s="431"/>
      <c r="AA128" s="431"/>
      <c r="AB128" s="431"/>
      <c r="AC128" s="431" t="s">
        <v>351</v>
      </c>
      <c r="AD128" s="431"/>
      <c r="AE128" s="431"/>
      <c r="AF128" s="1808"/>
    </row>
    <row r="129" spans="1:32">
      <c r="K129" s="712" t="s">
        <v>238</v>
      </c>
      <c r="L129" s="1808"/>
      <c r="N129" s="958"/>
      <c r="O129" s="946" t="s">
        <v>3231</v>
      </c>
      <c r="P129" s="946" t="s">
        <v>2216</v>
      </c>
      <c r="Q129" s="958"/>
      <c r="R129" s="946"/>
      <c r="S129" s="958"/>
      <c r="T129" s="958"/>
      <c r="U129" s="958"/>
      <c r="V129" s="1808"/>
      <c r="W129" s="958"/>
      <c r="X129" s="946"/>
      <c r="Y129" s="958"/>
      <c r="Z129" s="958"/>
      <c r="AA129" s="958"/>
      <c r="AB129" s="1808"/>
      <c r="AC129" s="958"/>
      <c r="AD129" s="946"/>
      <c r="AE129" s="958"/>
      <c r="AF129" s="958"/>
    </row>
    <row r="130" spans="1:32">
      <c r="K130" s="712" t="s">
        <v>238</v>
      </c>
      <c r="L130" s="1808"/>
      <c r="N130" s="1496"/>
      <c r="O130" s="1846">
        <v>10737.26</v>
      </c>
      <c r="P130" s="1847">
        <v>210715.53853378</v>
      </c>
      <c r="Q130" s="958"/>
      <c r="R130" s="946"/>
      <c r="S130" s="958"/>
      <c r="T130" s="958"/>
      <c r="U130" s="958"/>
      <c r="V130" s="1808"/>
      <c r="W130" s="958"/>
      <c r="X130" s="946"/>
      <c r="Y130" s="958"/>
      <c r="Z130" s="958"/>
      <c r="AA130" s="958"/>
      <c r="AB130" s="1808"/>
      <c r="AC130" s="958"/>
      <c r="AD130" s="946"/>
      <c r="AE130" s="958"/>
      <c r="AF130" s="958"/>
    </row>
    <row r="131" spans="1:32" ht="16" thickBot="1">
      <c r="A131" s="2157">
        <v>123</v>
      </c>
      <c r="B131" s="841">
        <f>W132</f>
        <v>0</v>
      </c>
      <c r="C131" s="841">
        <f>X132</f>
        <v>0</v>
      </c>
      <c r="D131" s="841">
        <f>Y132</f>
        <v>0</v>
      </c>
      <c r="E131" s="841">
        <f>Z132</f>
        <v>158036.65</v>
      </c>
      <c r="F131" s="841">
        <f>AA132</f>
        <v>158036.65</v>
      </c>
      <c r="G131" s="841" t="s">
        <v>349</v>
      </c>
      <c r="H131" s="841" t="s">
        <v>3719</v>
      </c>
      <c r="I131" s="2180"/>
      <c r="J131" s="841" t="s">
        <v>2971</v>
      </c>
      <c r="K131" s="712" t="s">
        <v>238</v>
      </c>
      <c r="L131" s="1808">
        <f>SUM(B131:F131)/EUR</f>
        <v>16105.889602507614</v>
      </c>
      <c r="N131" s="958" t="s">
        <v>1842</v>
      </c>
      <c r="O131" s="946"/>
      <c r="P131" s="1848"/>
      <c r="Q131" s="1855">
        <v>0.75</v>
      </c>
      <c r="R131" s="1855">
        <v>0.75</v>
      </c>
      <c r="S131" s="1855">
        <v>0.75</v>
      </c>
      <c r="T131" s="1855">
        <v>0.75</v>
      </c>
      <c r="U131" s="1855">
        <v>0.75</v>
      </c>
      <c r="V131" s="1808"/>
      <c r="W131" s="1850">
        <v>0</v>
      </c>
      <c r="X131" s="1850">
        <v>0</v>
      </c>
      <c r="Y131" s="1850">
        <v>0</v>
      </c>
      <c r="Z131" s="1850">
        <v>1</v>
      </c>
      <c r="AA131" s="1850">
        <v>1</v>
      </c>
      <c r="AB131" s="1808"/>
      <c r="AC131" s="1694">
        <v>1</v>
      </c>
      <c r="AD131" s="1694">
        <v>1</v>
      </c>
      <c r="AE131" s="1694">
        <v>1</v>
      </c>
      <c r="AF131" s="1850"/>
    </row>
    <row r="132" spans="1:32" ht="16" thickBot="1">
      <c r="A132" s="2157">
        <v>124</v>
      </c>
      <c r="B132" s="841">
        <f>AC132</f>
        <v>158036.65</v>
      </c>
      <c r="C132" s="841">
        <f>AD132</f>
        <v>158036.65</v>
      </c>
      <c r="D132" s="841">
        <f>AE132</f>
        <v>158036.65</v>
      </c>
      <c r="E132" s="841">
        <f>AF132</f>
        <v>0</v>
      </c>
      <c r="F132" s="841">
        <f>AG132</f>
        <v>0</v>
      </c>
      <c r="G132" s="841" t="s">
        <v>351</v>
      </c>
      <c r="H132" s="841" t="s">
        <v>3719</v>
      </c>
      <c r="I132" s="2180" t="s">
        <v>3715</v>
      </c>
      <c r="J132" s="841" t="s">
        <v>2971</v>
      </c>
      <c r="K132" s="712" t="s">
        <v>238</v>
      </c>
      <c r="L132" s="1808">
        <f>SUM(B132:F132)/EUR</f>
        <v>24158.834403761419</v>
      </c>
      <c r="N132" s="1851" t="s">
        <v>2189</v>
      </c>
      <c r="O132" s="1851"/>
      <c r="P132" s="1851"/>
      <c r="Q132" s="1851">
        <v>158036.65</v>
      </c>
      <c r="R132" s="1851">
        <v>158036.65</v>
      </c>
      <c r="S132" s="1851">
        <v>158036.65</v>
      </c>
      <c r="T132" s="1851">
        <v>158036.65</v>
      </c>
      <c r="U132" s="1851">
        <v>158036.65</v>
      </c>
      <c r="V132" s="1808"/>
      <c r="W132" s="1709">
        <v>0</v>
      </c>
      <c r="X132" s="1708">
        <v>0</v>
      </c>
      <c r="Y132" s="1495">
        <v>0</v>
      </c>
      <c r="Z132" s="1495">
        <v>158036.65</v>
      </c>
      <c r="AA132" s="1495">
        <v>158036.65</v>
      </c>
      <c r="AB132" s="1808"/>
      <c r="AC132" s="1709">
        <v>158036.65</v>
      </c>
      <c r="AD132" s="1708">
        <v>158036.65</v>
      </c>
      <c r="AE132" s="1495">
        <v>158036.65</v>
      </c>
      <c r="AF132" s="1495">
        <v>0</v>
      </c>
    </row>
    <row r="133" spans="1:32" ht="16" thickBot="1">
      <c r="A133" s="2157">
        <v>125</v>
      </c>
      <c r="B133" s="841">
        <f>W134</f>
        <v>0</v>
      </c>
      <c r="C133" s="841">
        <f>X134</f>
        <v>0</v>
      </c>
      <c r="D133" s="841">
        <f>Y134</f>
        <v>0</v>
      </c>
      <c r="E133" s="841">
        <f>Z134</f>
        <v>52678.89</v>
      </c>
      <c r="F133" s="841">
        <f>AA134</f>
        <v>52678.89</v>
      </c>
      <c r="G133" s="841" t="s">
        <v>513</v>
      </c>
      <c r="H133" s="841" t="s">
        <v>3720</v>
      </c>
      <c r="I133" s="2180"/>
      <c r="J133" s="841" t="s">
        <v>2971</v>
      </c>
      <c r="K133" s="712" t="s">
        <v>238</v>
      </c>
      <c r="L133" s="1808">
        <f>SUM(B133:F133)/EUR</f>
        <v>5368.6305469183408</v>
      </c>
      <c r="N133" s="958" t="s">
        <v>1845</v>
      </c>
      <c r="O133" s="946"/>
      <c r="P133" s="1848"/>
      <c r="Q133" s="1855">
        <v>0.25</v>
      </c>
      <c r="R133" s="1855">
        <v>0.25</v>
      </c>
      <c r="S133" s="1855">
        <v>0.25</v>
      </c>
      <c r="T133" s="1855">
        <v>0.25</v>
      </c>
      <c r="U133" s="1855">
        <v>0.25</v>
      </c>
      <c r="V133" s="1808"/>
      <c r="W133" s="1850">
        <v>0</v>
      </c>
      <c r="X133" s="1850">
        <v>0</v>
      </c>
      <c r="Y133" s="1850">
        <v>0</v>
      </c>
      <c r="Z133" s="1850">
        <v>1</v>
      </c>
      <c r="AA133" s="1850">
        <v>1</v>
      </c>
      <c r="AB133" s="1808"/>
      <c r="AC133" s="1694">
        <v>1</v>
      </c>
      <c r="AD133" s="1694">
        <v>1</v>
      </c>
      <c r="AE133" s="1694">
        <v>1</v>
      </c>
      <c r="AF133" s="1850"/>
    </row>
    <row r="134" spans="1:32" ht="16" thickBot="1">
      <c r="A134" s="2157">
        <v>126</v>
      </c>
      <c r="B134" s="841">
        <f>AC134</f>
        <v>52678.888533780002</v>
      </c>
      <c r="C134" s="841">
        <f>AD134</f>
        <v>52678.888533780002</v>
      </c>
      <c r="D134" s="841">
        <f>AE134</f>
        <v>52678.888533780002</v>
      </c>
      <c r="E134" s="841">
        <f>AF134</f>
        <v>-1.4662199973827228E-3</v>
      </c>
      <c r="F134" s="841">
        <f>AG134</f>
        <v>0</v>
      </c>
      <c r="G134" s="841" t="s">
        <v>351</v>
      </c>
      <c r="H134" s="841" t="s">
        <v>3720</v>
      </c>
      <c r="I134" s="2180" t="s">
        <v>3715</v>
      </c>
      <c r="J134" s="841" t="s">
        <v>2971</v>
      </c>
      <c r="K134" s="712" t="s">
        <v>238</v>
      </c>
      <c r="L134" s="1808">
        <f>SUM(B134:F134)/EUR</f>
        <v>8052.9455215255994</v>
      </c>
      <c r="N134" s="1851" t="s">
        <v>2189</v>
      </c>
      <c r="O134" s="1852"/>
      <c r="P134" s="1853"/>
      <c r="Q134" s="1854">
        <v>52678.888533780002</v>
      </c>
      <c r="R134" s="1854">
        <v>52678.888533780002</v>
      </c>
      <c r="S134" s="1854">
        <v>52678.888533780002</v>
      </c>
      <c r="T134" s="1854">
        <v>52678.888533780002</v>
      </c>
      <c r="U134" s="1854">
        <v>52678.888533780002</v>
      </c>
      <c r="V134" s="1808"/>
      <c r="W134" s="1709">
        <v>0</v>
      </c>
      <c r="X134" s="1708">
        <v>0</v>
      </c>
      <c r="Y134" s="1495">
        <v>0</v>
      </c>
      <c r="Z134" s="1495">
        <v>52678.89</v>
      </c>
      <c r="AA134" s="1495">
        <v>52678.89</v>
      </c>
      <c r="AB134" s="1808"/>
      <c r="AC134" s="1709">
        <v>52678.888533780002</v>
      </c>
      <c r="AD134" s="1708">
        <v>52678.888533780002</v>
      </c>
      <c r="AE134" s="1495">
        <v>52678.888533780002</v>
      </c>
      <c r="AF134" s="1495">
        <v>-1.4662199973827228E-3</v>
      </c>
    </row>
    <row r="135" spans="1:32">
      <c r="K135" s="712" t="s">
        <v>238</v>
      </c>
      <c r="L135" s="1808"/>
      <c r="N135" s="1808"/>
      <c r="O135" s="1808"/>
      <c r="P135" s="1808"/>
      <c r="Q135" s="734"/>
      <c r="R135" s="1808"/>
      <c r="S135" s="1808"/>
      <c r="T135" s="1808"/>
      <c r="U135" s="1808"/>
      <c r="V135" s="1808"/>
      <c r="W135" s="1808"/>
      <c r="X135" s="1808"/>
      <c r="Y135" s="1808"/>
      <c r="Z135" s="1808"/>
      <c r="AA135" s="1808"/>
      <c r="AB135" s="1808"/>
      <c r="AC135" s="1808"/>
      <c r="AD135" s="1808"/>
      <c r="AE135" s="1808"/>
      <c r="AF135" s="1808"/>
    </row>
    <row r="136" spans="1:32">
      <c r="K136" s="712" t="s">
        <v>238</v>
      </c>
      <c r="L136" s="1808"/>
      <c r="N136" s="1808"/>
      <c r="O136" s="1808"/>
      <c r="P136" s="1808"/>
      <c r="Q136" s="734"/>
      <c r="R136" s="1808"/>
      <c r="S136" s="1808"/>
      <c r="T136" s="1808"/>
      <c r="U136" s="1808"/>
      <c r="V136" s="1808"/>
      <c r="W136" s="1808"/>
      <c r="X136" s="1808"/>
      <c r="Y136" s="1808"/>
      <c r="Z136" s="1808"/>
      <c r="AA136" s="1808"/>
      <c r="AB136" s="1808"/>
      <c r="AC136" s="1808"/>
      <c r="AD136" s="1808"/>
      <c r="AE136" s="1808"/>
      <c r="AF136" s="1808"/>
    </row>
    <row r="137" spans="1:32" ht="21">
      <c r="K137" s="712" t="s">
        <v>238</v>
      </c>
      <c r="L137" s="2516" t="s">
        <v>3232</v>
      </c>
      <c r="M137" s="1808"/>
      <c r="N137" s="1808"/>
      <c r="O137" s="1808"/>
      <c r="P137" s="734"/>
      <c r="Q137" s="1808"/>
      <c r="R137" s="734"/>
      <c r="S137" s="734"/>
      <c r="T137" s="734"/>
      <c r="U137" s="734"/>
      <c r="V137" s="734"/>
      <c r="W137" s="734"/>
      <c r="X137" s="734"/>
      <c r="Y137" s="1808"/>
      <c r="Z137" s="1808"/>
      <c r="AA137" s="1808"/>
      <c r="AB137" s="1808"/>
      <c r="AC137" s="1808"/>
      <c r="AD137" s="1808"/>
      <c r="AE137" s="1808"/>
      <c r="AF137" s="1808"/>
    </row>
    <row r="138" spans="1:32">
      <c r="K138" s="712" t="s">
        <v>238</v>
      </c>
      <c r="L138" s="1808"/>
      <c r="M138" s="1808"/>
      <c r="N138" s="1808"/>
      <c r="O138" s="1808"/>
      <c r="P138" s="734"/>
      <c r="Q138" s="1808"/>
      <c r="R138" s="734"/>
      <c r="S138" s="734"/>
      <c r="T138" s="734"/>
      <c r="U138" s="734"/>
      <c r="V138" s="734"/>
      <c r="W138" s="734"/>
      <c r="X138" s="734"/>
      <c r="Y138" s="1808"/>
      <c r="Z138" s="1808"/>
      <c r="AA138" s="1808"/>
      <c r="AB138" s="1808"/>
      <c r="AC138" s="1808"/>
      <c r="AD138" s="1808"/>
      <c r="AE138" s="1808"/>
      <c r="AF138" s="1808"/>
    </row>
    <row r="139" spans="1:32">
      <c r="K139" s="712" t="s">
        <v>238</v>
      </c>
      <c r="L139" s="1808"/>
      <c r="M139" s="1808"/>
      <c r="N139" s="1808"/>
      <c r="O139" s="1808"/>
      <c r="P139" s="734"/>
      <c r="Q139" s="1808"/>
      <c r="R139" s="734"/>
      <c r="S139" s="734"/>
      <c r="T139" s="734"/>
      <c r="U139" s="734"/>
      <c r="V139" s="734"/>
      <c r="W139" s="734"/>
      <c r="X139" s="734"/>
      <c r="Y139" s="1808"/>
      <c r="Z139" s="1808"/>
      <c r="AA139" s="1808"/>
      <c r="AB139" s="1808"/>
      <c r="AC139" s="1808"/>
      <c r="AD139" s="1808"/>
      <c r="AE139" s="1808"/>
      <c r="AF139" s="1808"/>
    </row>
    <row r="140" spans="1:32">
      <c r="K140" s="712" t="s">
        <v>238</v>
      </c>
      <c r="L140" s="1808"/>
      <c r="M140" s="1808"/>
      <c r="N140" s="1808"/>
      <c r="O140" s="1808"/>
      <c r="P140" s="845">
        <v>2021</v>
      </c>
      <c r="Q140" s="845">
        <v>2022</v>
      </c>
      <c r="R140" s="845">
        <v>2023</v>
      </c>
      <c r="S140" s="845">
        <v>2024</v>
      </c>
      <c r="T140" s="845">
        <v>2025</v>
      </c>
      <c r="U140" s="734"/>
      <c r="V140" s="734"/>
      <c r="W140" s="734"/>
      <c r="X140" s="734"/>
      <c r="Y140" s="1808"/>
      <c r="Z140" s="1808"/>
      <c r="AA140" s="1808"/>
      <c r="AB140" s="1808"/>
      <c r="AC140" s="1808"/>
      <c r="AD140" s="1808"/>
      <c r="AE140" s="1808"/>
      <c r="AF140" s="1808"/>
    </row>
    <row r="141" spans="1:32">
      <c r="K141" s="712" t="s">
        <v>238</v>
      </c>
      <c r="L141" s="1808"/>
      <c r="M141" s="958" t="s">
        <v>4074</v>
      </c>
      <c r="N141" s="958"/>
      <c r="O141" s="946"/>
      <c r="P141" s="1040"/>
      <c r="Q141" s="1395">
        <v>12</v>
      </c>
      <c r="R141" s="1395">
        <v>12</v>
      </c>
      <c r="S141" s="1395">
        <v>12</v>
      </c>
      <c r="T141" s="1395">
        <v>12</v>
      </c>
      <c r="U141" s="734"/>
      <c r="V141" s="734"/>
      <c r="W141" s="734"/>
      <c r="X141" s="734"/>
      <c r="Y141" s="1808"/>
      <c r="Z141" s="1808"/>
      <c r="AA141" s="1808"/>
      <c r="AB141" s="1808"/>
      <c r="AC141" s="1808"/>
      <c r="AD141" s="1808"/>
      <c r="AE141" s="1808"/>
      <c r="AF141" s="1808"/>
    </row>
    <row r="142" spans="1:32">
      <c r="K142" s="712" t="s">
        <v>238</v>
      </c>
      <c r="L142" s="1808"/>
      <c r="M142" s="958" t="s">
        <v>4075</v>
      </c>
      <c r="N142" s="958"/>
      <c r="O142" s="958"/>
      <c r="P142" s="2517"/>
      <c r="Q142" s="2518">
        <v>4</v>
      </c>
      <c r="R142" s="2518">
        <v>4</v>
      </c>
      <c r="S142" s="2518">
        <v>4</v>
      </c>
      <c r="T142" s="2518">
        <v>4</v>
      </c>
      <c r="U142" s="734"/>
      <c r="V142" s="734"/>
      <c r="W142" s="734"/>
      <c r="X142" s="734"/>
      <c r="Y142" s="1808"/>
      <c r="Z142" s="1808"/>
      <c r="AA142" s="1808"/>
      <c r="AB142" s="1808"/>
      <c r="AC142" s="1808"/>
      <c r="AD142" s="1808"/>
      <c r="AE142" s="1808"/>
      <c r="AF142" s="1808"/>
    </row>
    <row r="143" spans="1:32">
      <c r="K143" s="712" t="s">
        <v>238</v>
      </c>
      <c r="L143" s="1808"/>
      <c r="M143" s="1808"/>
      <c r="N143" s="1808"/>
      <c r="O143" s="1808"/>
      <c r="P143" s="734"/>
      <c r="Q143" s="1808"/>
      <c r="R143" s="734"/>
      <c r="S143" s="734"/>
      <c r="T143" s="734"/>
      <c r="U143" s="734"/>
      <c r="V143" s="734"/>
      <c r="W143" s="734"/>
      <c r="X143" s="734"/>
      <c r="Y143" s="1808"/>
      <c r="Z143" s="1808"/>
      <c r="AA143" s="1808"/>
      <c r="AB143" s="1808"/>
      <c r="AC143" s="1808"/>
      <c r="AD143" s="1808"/>
      <c r="AE143" s="1808"/>
      <c r="AF143" s="1808"/>
    </row>
    <row r="144" spans="1:32">
      <c r="K144" s="712" t="s">
        <v>238</v>
      </c>
      <c r="L144" s="1808"/>
      <c r="M144" s="958"/>
      <c r="N144" s="958"/>
      <c r="O144" s="958"/>
      <c r="P144" s="958"/>
      <c r="Q144" s="946"/>
      <c r="R144" s="946"/>
      <c r="S144" s="946"/>
      <c r="T144" s="946"/>
      <c r="U144" s="734"/>
      <c r="V144" s="734"/>
      <c r="W144" s="734"/>
      <c r="X144" s="734"/>
      <c r="Y144" s="1808"/>
      <c r="Z144" s="1808"/>
      <c r="AA144" s="1808"/>
      <c r="AB144" s="1808"/>
      <c r="AC144" s="1808"/>
      <c r="AD144" s="1808"/>
      <c r="AE144" s="1808"/>
      <c r="AF144" s="1808"/>
    </row>
    <row r="145" spans="1:35">
      <c r="K145" s="712" t="s">
        <v>238</v>
      </c>
      <c r="L145" s="1808"/>
      <c r="M145" s="958" t="s">
        <v>4076</v>
      </c>
      <c r="N145" s="958" t="s">
        <v>4077</v>
      </c>
      <c r="O145" s="1040">
        <v>92</v>
      </c>
      <c r="P145" s="1849">
        <f>P141+$O145</f>
        <v>92</v>
      </c>
      <c r="Q145" s="1849">
        <f t="shared" ref="Q145:T146" si="5">Q141+$O145</f>
        <v>104</v>
      </c>
      <c r="R145" s="1849">
        <f t="shared" si="5"/>
        <v>104</v>
      </c>
      <c r="S145" s="1849">
        <f t="shared" si="5"/>
        <v>104</v>
      </c>
      <c r="T145" s="1849">
        <f t="shared" si="5"/>
        <v>104</v>
      </c>
      <c r="U145" s="734"/>
      <c r="V145" s="734"/>
      <c r="W145" s="734"/>
      <c r="X145" s="734"/>
      <c r="Y145" s="1808"/>
      <c r="Z145" s="1808"/>
      <c r="AA145" s="1808"/>
      <c r="AB145" s="1808"/>
      <c r="AC145" s="1808"/>
      <c r="AD145" s="1808"/>
      <c r="AE145" s="1808"/>
      <c r="AF145" s="1808"/>
    </row>
    <row r="146" spans="1:35">
      <c r="K146" s="712" t="s">
        <v>238</v>
      </c>
      <c r="L146" s="1808"/>
      <c r="M146" s="958" t="s">
        <v>179</v>
      </c>
      <c r="N146" s="958" t="s">
        <v>4077</v>
      </c>
      <c r="O146" s="1040">
        <v>22</v>
      </c>
      <c r="P146" s="1849">
        <f>P142+$O146</f>
        <v>22</v>
      </c>
      <c r="Q146" s="1849">
        <f>Q142+$O146</f>
        <v>26</v>
      </c>
      <c r="R146" s="1849">
        <f t="shared" si="5"/>
        <v>26</v>
      </c>
      <c r="S146" s="1849">
        <f t="shared" si="5"/>
        <v>26</v>
      </c>
      <c r="T146" s="1849">
        <f t="shared" si="5"/>
        <v>26</v>
      </c>
      <c r="U146" s="734"/>
      <c r="V146" s="734"/>
      <c r="W146" s="734"/>
      <c r="X146" s="734"/>
      <c r="Y146" s="1808"/>
      <c r="Z146" s="1808"/>
      <c r="AA146" s="1808"/>
      <c r="AB146" s="1808"/>
      <c r="AC146" s="1808"/>
      <c r="AD146" s="1808"/>
      <c r="AE146" s="1808"/>
      <c r="AF146" s="1808"/>
    </row>
    <row r="147" spans="1:35">
      <c r="K147" s="712" t="s">
        <v>238</v>
      </c>
      <c r="L147" s="1808"/>
      <c r="M147" s="1857" t="s">
        <v>3236</v>
      </c>
      <c r="N147" s="1808"/>
      <c r="O147" s="2519"/>
      <c r="P147" s="1808"/>
      <c r="Q147" s="734"/>
      <c r="R147" s="734"/>
      <c r="S147" s="734"/>
      <c r="T147" s="734"/>
      <c r="U147" s="734"/>
      <c r="V147" s="734"/>
      <c r="W147" s="734"/>
      <c r="X147" s="734"/>
      <c r="Y147" s="1808"/>
      <c r="Z147" s="1808"/>
      <c r="AA147" s="1808"/>
      <c r="AB147" s="1808"/>
      <c r="AC147" s="1808"/>
      <c r="AD147" s="1808"/>
      <c r="AE147" s="1808"/>
      <c r="AF147" s="1808"/>
    </row>
    <row r="148" spans="1:35">
      <c r="K148" s="712" t="s">
        <v>238</v>
      </c>
      <c r="L148" s="1808"/>
      <c r="M148" s="1808"/>
      <c r="N148" s="1808"/>
      <c r="O148" s="1808"/>
      <c r="P148" s="734"/>
      <c r="Q148" s="1808"/>
      <c r="R148" s="734"/>
      <c r="S148" s="734"/>
      <c r="T148" s="734"/>
      <c r="U148" s="734"/>
      <c r="V148" s="734"/>
      <c r="W148" s="734"/>
      <c r="X148" s="734"/>
      <c r="Y148" s="1808"/>
      <c r="Z148" s="1808"/>
      <c r="AA148" s="1808"/>
      <c r="AB148" s="734">
        <f>AB155/USD</f>
        <v>2000</v>
      </c>
      <c r="AC148" s="734">
        <f>AC155/USD</f>
        <v>2500.0000000000005</v>
      </c>
      <c r="AD148" s="734">
        <f>AD155/USD</f>
        <v>2500.0000000000005</v>
      </c>
      <c r="AE148" s="734">
        <f>AE155/USD</f>
        <v>-2.8459363713404277E-4</v>
      </c>
      <c r="AF148" s="1808"/>
    </row>
    <row r="149" spans="1:35">
      <c r="K149" s="712" t="s">
        <v>238</v>
      </c>
      <c r="L149" s="2335" t="s">
        <v>4078</v>
      </c>
      <c r="M149" s="1808"/>
      <c r="N149" s="1808"/>
      <c r="O149" s="1808"/>
      <c r="P149" s="734"/>
      <c r="Q149" s="1808"/>
      <c r="R149" s="734"/>
      <c r="S149" s="734"/>
      <c r="T149" s="734"/>
      <c r="U149" s="734"/>
      <c r="V149" s="734"/>
      <c r="W149" s="734"/>
      <c r="X149" s="734"/>
      <c r="Y149" s="1808"/>
      <c r="Z149" s="1808"/>
      <c r="AA149" s="1808"/>
      <c r="AB149" s="1808"/>
      <c r="AC149" s="1808"/>
      <c r="AD149" s="1808"/>
      <c r="AE149" s="1808"/>
      <c r="AF149" s="1808"/>
    </row>
    <row r="150" spans="1:35">
      <c r="K150" s="712" t="s">
        <v>238</v>
      </c>
      <c r="L150" s="1808"/>
      <c r="M150" s="958"/>
      <c r="N150" s="958"/>
      <c r="O150" s="958" t="s">
        <v>4079</v>
      </c>
      <c r="P150" s="1694">
        <v>0.2</v>
      </c>
      <c r="Q150" s="1694">
        <v>0.2</v>
      </c>
      <c r="R150" s="1694">
        <v>0.2</v>
      </c>
      <c r="S150" s="1694">
        <v>0.2</v>
      </c>
      <c r="T150" s="1694">
        <v>0.2</v>
      </c>
      <c r="U150" s="946"/>
      <c r="V150" s="734" t="s">
        <v>4080</v>
      </c>
      <c r="W150" s="734"/>
      <c r="X150" s="734"/>
      <c r="Y150" s="1808"/>
      <c r="Z150" s="1808"/>
      <c r="AA150" s="1808"/>
      <c r="AB150" s="1808" t="s">
        <v>351</v>
      </c>
      <c r="AC150" s="1808"/>
      <c r="AD150" s="1808"/>
      <c r="AE150" s="1808"/>
      <c r="AF150" s="1808"/>
    </row>
    <row r="151" spans="1:35">
      <c r="K151" s="712" t="s">
        <v>238</v>
      </c>
      <c r="L151" s="1808"/>
      <c r="M151" s="1808"/>
      <c r="N151" s="1808"/>
      <c r="O151" s="1808"/>
      <c r="P151" s="734"/>
      <c r="Q151" s="1808"/>
      <c r="R151" s="734"/>
      <c r="S151" s="734"/>
      <c r="T151" s="734"/>
      <c r="U151" s="734"/>
      <c r="V151" s="946"/>
      <c r="W151" s="946"/>
      <c r="X151" s="946"/>
      <c r="Y151" s="958"/>
      <c r="Z151" s="958"/>
      <c r="AA151" s="1808"/>
      <c r="AB151" s="958"/>
      <c r="AC151" s="946"/>
      <c r="AD151" s="958"/>
      <c r="AE151" s="958"/>
      <c r="AF151" s="958"/>
    </row>
    <row r="152" spans="1:35" ht="16" thickBot="1">
      <c r="K152" s="712" t="s">
        <v>238</v>
      </c>
      <c r="L152" s="1808"/>
      <c r="M152" s="958" t="s">
        <v>4076</v>
      </c>
      <c r="N152" s="958" t="s">
        <v>4081</v>
      </c>
      <c r="O152" s="2529">
        <f>500*USD</f>
        <v>8784.4549999999999</v>
      </c>
      <c r="P152" s="946">
        <f>ROUND(P145*P150,0)</f>
        <v>18</v>
      </c>
      <c r="Q152" s="946">
        <f>ROUND(Q145*Q150,0)</f>
        <v>21</v>
      </c>
      <c r="R152" s="946">
        <f>ROUND(R145*R150,0)</f>
        <v>21</v>
      </c>
      <c r="S152" s="946">
        <f>ROUND(S145*S150,0)</f>
        <v>21</v>
      </c>
      <c r="T152" s="946">
        <f>ROUND(T145*T150,0)</f>
        <v>21</v>
      </c>
      <c r="U152" s="734"/>
      <c r="V152" s="1880">
        <f>1-AB152</f>
        <v>0</v>
      </c>
      <c r="W152" s="1880">
        <f t="shared" ref="W152:Z152" si="6">1-AC152</f>
        <v>0</v>
      </c>
      <c r="X152" s="1880">
        <f t="shared" si="6"/>
        <v>0</v>
      </c>
      <c r="Y152" s="1850">
        <f t="shared" si="6"/>
        <v>1</v>
      </c>
      <c r="Z152" s="1850">
        <f t="shared" si="6"/>
        <v>1</v>
      </c>
      <c r="AA152" s="1808"/>
      <c r="AB152" s="1694">
        <v>1</v>
      </c>
      <c r="AC152" s="1694">
        <v>1</v>
      </c>
      <c r="AD152" s="1694">
        <v>1</v>
      </c>
      <c r="AE152" s="1850"/>
      <c r="AF152" s="1850"/>
    </row>
    <row r="153" spans="1:35" ht="16" thickBot="1">
      <c r="K153" s="712" t="s">
        <v>238</v>
      </c>
      <c r="L153" s="1808"/>
      <c r="M153" s="1851" t="s">
        <v>4082</v>
      </c>
      <c r="N153" s="1851"/>
      <c r="O153" s="1808"/>
      <c r="P153" s="2519">
        <f>P152*$O152</f>
        <v>158120.19</v>
      </c>
      <c r="Q153" s="2519">
        <f t="shared" ref="Q153:T153" si="7">Q152*$O152</f>
        <v>184473.55499999999</v>
      </c>
      <c r="R153" s="2519">
        <f t="shared" si="7"/>
        <v>184473.55499999999</v>
      </c>
      <c r="S153" s="2519">
        <f t="shared" si="7"/>
        <v>184473.55499999999</v>
      </c>
      <c r="T153" s="2519">
        <f t="shared" si="7"/>
        <v>184473.55499999999</v>
      </c>
      <c r="U153" s="734"/>
      <c r="V153" s="1709">
        <f>ROUND(P153*V152,2)</f>
        <v>0</v>
      </c>
      <c r="W153" s="1708">
        <f t="shared" ref="W153:X153" si="8">ROUND(Q153*W152,2)</f>
        <v>0</v>
      </c>
      <c r="X153" s="2457">
        <f t="shared" si="8"/>
        <v>0</v>
      </c>
      <c r="Y153" s="2457">
        <f>ROUND(S153*Y152,2)</f>
        <v>184473.56</v>
      </c>
      <c r="Z153" s="2457">
        <f t="shared" ref="Z153" si="9">ROUND(T153*Z152,2)</f>
        <v>184473.56</v>
      </c>
      <c r="AA153" s="1808"/>
      <c r="AB153" s="1709">
        <f>P153-V153</f>
        <v>158120.19</v>
      </c>
      <c r="AC153" s="1708">
        <f t="shared" ref="AC153:AF153" si="10">Q153-W153</f>
        <v>184473.55499999999</v>
      </c>
      <c r="AD153" s="2457">
        <f t="shared" si="10"/>
        <v>184473.55499999999</v>
      </c>
      <c r="AE153" s="2457">
        <f t="shared" si="10"/>
        <v>-5.0000000046566129E-3</v>
      </c>
      <c r="AF153" s="2457">
        <f t="shared" si="10"/>
        <v>-5.0000000046566129E-3</v>
      </c>
      <c r="AI153" s="1791">
        <f>SUM(AB153:AH153)</f>
        <v>527067.29</v>
      </c>
    </row>
    <row r="154" spans="1:35" ht="16" thickBot="1">
      <c r="K154" s="712" t="s">
        <v>238</v>
      </c>
      <c r="L154" s="1808"/>
      <c r="M154" s="958" t="s">
        <v>179</v>
      </c>
      <c r="N154" s="958" t="s">
        <v>4081</v>
      </c>
      <c r="O154" s="2529">
        <f>500*USD</f>
        <v>8784.4549999999999</v>
      </c>
      <c r="P154" s="946">
        <f>ROUND(P146*P150,0)</f>
        <v>4</v>
      </c>
      <c r="Q154" s="946">
        <f>ROUND(Q146*Q150,0)</f>
        <v>5</v>
      </c>
      <c r="R154" s="946">
        <f>ROUND(R146*R150,0)</f>
        <v>5</v>
      </c>
      <c r="S154" s="946">
        <f>ROUND(S146*S150,0)</f>
        <v>5</v>
      </c>
      <c r="T154" s="946">
        <f>ROUND(T146*T150,0)</f>
        <v>5</v>
      </c>
      <c r="U154" s="734"/>
      <c r="V154" s="1880">
        <f>1-AB154</f>
        <v>0</v>
      </c>
      <c r="W154" s="1880">
        <f t="shared" ref="W154:Z154" si="11">1-AC154</f>
        <v>0</v>
      </c>
      <c r="X154" s="1880">
        <f t="shared" si="11"/>
        <v>0</v>
      </c>
      <c r="Y154" s="1850">
        <f t="shared" si="11"/>
        <v>1</v>
      </c>
      <c r="Z154" s="1850">
        <f t="shared" si="11"/>
        <v>1</v>
      </c>
      <c r="AA154" s="1808"/>
      <c r="AB154" s="1694">
        <v>1</v>
      </c>
      <c r="AC154" s="1694">
        <v>1</v>
      </c>
      <c r="AD154" s="1694">
        <v>1</v>
      </c>
      <c r="AE154" s="1850"/>
      <c r="AF154" s="1850"/>
      <c r="AI154" s="1791">
        <f t="shared" ref="AI154:AI189" si="12">SUM(AB154:AH154)</f>
        <v>3</v>
      </c>
    </row>
    <row r="155" spans="1:35" ht="16" thickBot="1">
      <c r="A155" s="2157">
        <v>127</v>
      </c>
      <c r="B155" s="841">
        <f>V153+V157+V160</f>
        <v>0</v>
      </c>
      <c r="C155" s="841">
        <f t="shared" ref="C155:E155" si="13">W153+W157+W160</f>
        <v>0</v>
      </c>
      <c r="D155" s="841">
        <f t="shared" si="13"/>
        <v>0</v>
      </c>
      <c r="E155" s="841">
        <f t="shared" si="13"/>
        <v>184473.56</v>
      </c>
      <c r="F155" s="841">
        <f>Z153+Z157+Z160</f>
        <v>184473.56</v>
      </c>
      <c r="G155" s="841" t="s">
        <v>349</v>
      </c>
      <c r="H155" s="841" t="s">
        <v>4088</v>
      </c>
      <c r="I155" s="2180"/>
      <c r="J155" s="841" t="s">
        <v>2971</v>
      </c>
      <c r="K155" s="712" t="s">
        <v>238</v>
      </c>
      <c r="L155" s="1808"/>
      <c r="M155" s="1851" t="s">
        <v>4082</v>
      </c>
      <c r="N155" s="1851"/>
      <c r="O155" s="1853"/>
      <c r="P155" s="2519">
        <f>P154*$O154</f>
        <v>35137.82</v>
      </c>
      <c r="Q155" s="2519">
        <f t="shared" ref="Q155" si="14">Q154*$O154</f>
        <v>43922.275000000001</v>
      </c>
      <c r="R155" s="2519">
        <f t="shared" ref="R155" si="15">R154*$O154</f>
        <v>43922.275000000001</v>
      </c>
      <c r="S155" s="2519">
        <f t="shared" ref="S155" si="16">S154*$O154</f>
        <v>43922.275000000001</v>
      </c>
      <c r="T155" s="2519">
        <f t="shared" ref="T155" si="17">T154*$O154</f>
        <v>43922.275000000001</v>
      </c>
      <c r="U155" s="734"/>
      <c r="V155" s="1709">
        <f>ROUND(P155*V154,2)</f>
        <v>0</v>
      </c>
      <c r="W155" s="1708">
        <f t="shared" ref="W155:Z155" si="18">ROUND(Q155*W154,2)</f>
        <v>0</v>
      </c>
      <c r="X155" s="2457">
        <f t="shared" si="18"/>
        <v>0</v>
      </c>
      <c r="Y155" s="2457">
        <f t="shared" si="18"/>
        <v>43922.28</v>
      </c>
      <c r="Z155" s="2457">
        <f t="shared" si="18"/>
        <v>43922.28</v>
      </c>
      <c r="AA155" s="1808"/>
      <c r="AB155" s="1709">
        <f>P155-V155</f>
        <v>35137.82</v>
      </c>
      <c r="AC155" s="1708">
        <f t="shared" ref="AC155:AF155" si="19">Q155-W155</f>
        <v>43922.275000000001</v>
      </c>
      <c r="AD155" s="2457">
        <f t="shared" si="19"/>
        <v>43922.275000000001</v>
      </c>
      <c r="AE155" s="2457">
        <f t="shared" si="19"/>
        <v>-4.9999999973806553E-3</v>
      </c>
      <c r="AF155" s="2457">
        <f t="shared" si="19"/>
        <v>-4.9999999973806553E-3</v>
      </c>
      <c r="AI155" s="1791">
        <f t="shared" si="12"/>
        <v>122982.35999999999</v>
      </c>
    </row>
    <row r="156" spans="1:35">
      <c r="A156" s="2157">
        <v>128</v>
      </c>
      <c r="B156" s="841">
        <f>AB153+AB157+AB160</f>
        <v>189744.22999999998</v>
      </c>
      <c r="C156" s="841">
        <f t="shared" ref="C156:D156" si="20">AC153+AC157+AC160</f>
        <v>221368.27499999997</v>
      </c>
      <c r="D156" s="841">
        <f t="shared" si="20"/>
        <v>221368.27499999997</v>
      </c>
      <c r="E156" s="841">
        <v>0</v>
      </c>
      <c r="F156" s="841">
        <v>0</v>
      </c>
      <c r="G156" s="841" t="s">
        <v>351</v>
      </c>
      <c r="H156" s="841" t="s">
        <v>4088</v>
      </c>
      <c r="I156" s="2180" t="s">
        <v>3715</v>
      </c>
      <c r="J156" s="841" t="s">
        <v>2971</v>
      </c>
      <c r="K156" s="712" t="s">
        <v>238</v>
      </c>
      <c r="L156" s="1808"/>
      <c r="M156" s="1808"/>
      <c r="N156" s="1808"/>
      <c r="O156" s="1808"/>
      <c r="P156" s="734"/>
      <c r="Q156" s="1808"/>
      <c r="R156" s="734"/>
      <c r="S156" s="734"/>
      <c r="T156" s="734"/>
      <c r="U156" s="734"/>
      <c r="V156" s="734"/>
      <c r="W156" s="734"/>
      <c r="X156" s="734"/>
      <c r="Y156" s="1808"/>
      <c r="Z156" s="1808"/>
      <c r="AA156" s="1808"/>
      <c r="AB156" s="1808"/>
      <c r="AC156" s="1808"/>
      <c r="AD156" s="1808"/>
      <c r="AE156" s="1808"/>
      <c r="AF156" s="1808"/>
      <c r="AI156" s="1791">
        <f t="shared" si="12"/>
        <v>0</v>
      </c>
    </row>
    <row r="157" spans="1:35">
      <c r="K157" s="712" t="s">
        <v>238</v>
      </c>
      <c r="L157" s="1808"/>
      <c r="M157" s="1851" t="s">
        <v>178</v>
      </c>
      <c r="N157" s="958" t="s">
        <v>4</v>
      </c>
      <c r="O157" s="1855">
        <v>0.1</v>
      </c>
      <c r="P157" s="946"/>
      <c r="Q157" s="958"/>
      <c r="R157" s="946"/>
      <c r="S157" s="946"/>
      <c r="T157" s="946"/>
      <c r="U157" s="946"/>
      <c r="V157" s="946"/>
      <c r="W157" s="946"/>
      <c r="X157" s="946"/>
      <c r="Y157" s="958"/>
      <c r="Z157" s="958"/>
      <c r="AA157" s="958"/>
      <c r="AB157" s="1849">
        <f>ROUND(AB153*$O157,2)</f>
        <v>15812.02</v>
      </c>
      <c r="AC157" s="1849">
        <f t="shared" ref="AC157:AF157" si="21">ROUND(AC153*$O157,2)</f>
        <v>18447.36</v>
      </c>
      <c r="AD157" s="1849">
        <f t="shared" si="21"/>
        <v>18447.36</v>
      </c>
      <c r="AE157" s="1849">
        <f t="shared" si="21"/>
        <v>0</v>
      </c>
      <c r="AF157" s="1849">
        <f t="shared" si="21"/>
        <v>0</v>
      </c>
      <c r="AI157" s="1791">
        <f t="shared" si="12"/>
        <v>52706.740000000005</v>
      </c>
    </row>
    <row r="158" spans="1:35">
      <c r="A158" s="2157">
        <v>129</v>
      </c>
      <c r="B158" s="841">
        <f>V155+V158+V161</f>
        <v>0</v>
      </c>
      <c r="C158" s="841">
        <f>W155+W158+W161</f>
        <v>0</v>
      </c>
      <c r="D158" s="841">
        <f>X155+X158+X161</f>
        <v>0</v>
      </c>
      <c r="E158" s="841">
        <f>Y155+Y158+Y161</f>
        <v>43922.28</v>
      </c>
      <c r="F158" s="841">
        <f>Z155+Z158+Z161</f>
        <v>43922.28</v>
      </c>
      <c r="G158" s="841" t="s">
        <v>513</v>
      </c>
      <c r="H158" s="841" t="s">
        <v>4089</v>
      </c>
      <c r="I158" s="2180"/>
      <c r="J158" s="841" t="s">
        <v>2971</v>
      </c>
      <c r="K158" s="712" t="s">
        <v>238</v>
      </c>
      <c r="L158" s="1808"/>
      <c r="M158" s="1851" t="s">
        <v>179</v>
      </c>
      <c r="N158" s="958" t="s">
        <v>4</v>
      </c>
      <c r="O158" s="1855">
        <v>0.1</v>
      </c>
      <c r="P158" s="946"/>
      <c r="Q158" s="958"/>
      <c r="R158" s="946"/>
      <c r="S158" s="946"/>
      <c r="T158" s="946"/>
      <c r="U158" s="946"/>
      <c r="V158" s="946"/>
      <c r="W158" s="946"/>
      <c r="X158" s="946"/>
      <c r="Y158" s="958"/>
      <c r="Z158" s="958"/>
      <c r="AA158" s="958"/>
      <c r="AB158" s="1849">
        <f>ROUND(AB155*$O158,2)</f>
        <v>3513.78</v>
      </c>
      <c r="AC158" s="1849">
        <f t="shared" ref="AC158:AF158" si="22">ROUND(AC155*$O158,2)</f>
        <v>4392.2299999999996</v>
      </c>
      <c r="AD158" s="1849">
        <f t="shared" si="22"/>
        <v>4392.2299999999996</v>
      </c>
      <c r="AE158" s="1849">
        <f t="shared" si="22"/>
        <v>0</v>
      </c>
      <c r="AF158" s="1849">
        <f t="shared" si="22"/>
        <v>0</v>
      </c>
      <c r="AI158" s="1791">
        <f t="shared" si="12"/>
        <v>12298.24</v>
      </c>
    </row>
    <row r="159" spans="1:35">
      <c r="A159" s="2157">
        <v>130</v>
      </c>
      <c r="B159" s="841">
        <f>AB155+AB158+AB161</f>
        <v>42165.38</v>
      </c>
      <c r="C159" s="841">
        <f>AC155+AC158+AC161</f>
        <v>52706.735000000001</v>
      </c>
      <c r="D159" s="841">
        <f>AD155+AD158+AD161</f>
        <v>52706.735000000001</v>
      </c>
      <c r="E159" s="841">
        <f>AE155+AE158+AE161</f>
        <v>-4.9999999973806553E-3</v>
      </c>
      <c r="F159" s="841">
        <f>AF155+AF158+AF161</f>
        <v>-4.9999999973806553E-3</v>
      </c>
      <c r="G159" s="841" t="s">
        <v>351</v>
      </c>
      <c r="H159" s="841" t="s">
        <v>4089</v>
      </c>
      <c r="I159" s="2180" t="s">
        <v>3715</v>
      </c>
      <c r="J159" s="841" t="s">
        <v>2971</v>
      </c>
      <c r="K159" s="712" t="s">
        <v>238</v>
      </c>
      <c r="L159" s="1808"/>
      <c r="M159" s="1808"/>
      <c r="N159" s="1808"/>
      <c r="O159" s="1808"/>
      <c r="P159" s="734"/>
      <c r="Q159" s="1808"/>
      <c r="R159" s="734"/>
      <c r="S159" s="734"/>
      <c r="T159" s="734"/>
      <c r="U159" s="734"/>
      <c r="V159" s="734"/>
      <c r="W159" s="734"/>
      <c r="X159" s="734"/>
      <c r="Y159" s="1808"/>
      <c r="Z159" s="1808"/>
      <c r="AA159" s="1808"/>
      <c r="AB159" s="1808"/>
      <c r="AC159" s="1808"/>
      <c r="AD159" s="1808"/>
      <c r="AE159" s="1808"/>
      <c r="AF159" s="1808"/>
      <c r="AI159" s="1791">
        <f t="shared" si="12"/>
        <v>0</v>
      </c>
    </row>
    <row r="160" spans="1:35">
      <c r="K160" s="712" t="s">
        <v>238</v>
      </c>
      <c r="L160" s="1808"/>
      <c r="M160" s="1851" t="s">
        <v>178</v>
      </c>
      <c r="N160" s="2520" t="s">
        <v>3234</v>
      </c>
      <c r="O160" s="1855">
        <v>0.1</v>
      </c>
      <c r="P160" s="946"/>
      <c r="Q160" s="958"/>
      <c r="R160" s="946"/>
      <c r="S160" s="946"/>
      <c r="T160" s="946"/>
      <c r="U160" s="946"/>
      <c r="V160" s="946"/>
      <c r="W160" s="946"/>
      <c r="X160" s="946"/>
      <c r="Y160" s="958"/>
      <c r="Z160" s="958"/>
      <c r="AA160" s="958"/>
      <c r="AB160" s="1849">
        <f>ROUND(AB153*$O157,2)</f>
        <v>15812.02</v>
      </c>
      <c r="AC160" s="1849">
        <f t="shared" ref="AC160:AF160" si="23">ROUND(AC153*$O157,2)</f>
        <v>18447.36</v>
      </c>
      <c r="AD160" s="1849">
        <f t="shared" si="23"/>
        <v>18447.36</v>
      </c>
      <c r="AE160" s="1849">
        <f t="shared" si="23"/>
        <v>0</v>
      </c>
      <c r="AF160" s="1849">
        <f t="shared" si="23"/>
        <v>0</v>
      </c>
      <c r="AI160" s="1791">
        <f t="shared" si="12"/>
        <v>52706.740000000005</v>
      </c>
    </row>
    <row r="161" spans="1:35">
      <c r="K161" s="712" t="s">
        <v>238</v>
      </c>
      <c r="L161" s="1808"/>
      <c r="M161" s="1851" t="s">
        <v>179</v>
      </c>
      <c r="N161" s="2520" t="s">
        <v>3234</v>
      </c>
      <c r="O161" s="1855">
        <v>0.1</v>
      </c>
      <c r="P161" s="946"/>
      <c r="Q161" s="958"/>
      <c r="R161" s="946"/>
      <c r="S161" s="946"/>
      <c r="T161" s="946"/>
      <c r="U161" s="946"/>
      <c r="V161" s="946"/>
      <c r="W161" s="946"/>
      <c r="X161" s="946"/>
      <c r="Y161" s="958"/>
      <c r="Z161" s="958"/>
      <c r="AA161" s="958"/>
      <c r="AB161" s="1849">
        <f>ROUND(AB155*$O158,2)</f>
        <v>3513.78</v>
      </c>
      <c r="AC161" s="1849">
        <f>ROUND(AC155*$O158,2)</f>
        <v>4392.2299999999996</v>
      </c>
      <c r="AD161" s="1849">
        <f t="shared" ref="AD161:AF161" si="24">ROUND(AD155*$O158,2)</f>
        <v>4392.2299999999996</v>
      </c>
      <c r="AE161" s="1849">
        <f t="shared" si="24"/>
        <v>0</v>
      </c>
      <c r="AF161" s="1849">
        <f t="shared" si="24"/>
        <v>0</v>
      </c>
      <c r="AI161" s="1791">
        <f t="shared" si="12"/>
        <v>12298.24</v>
      </c>
    </row>
    <row r="162" spans="1:35">
      <c r="K162" s="712" t="s">
        <v>238</v>
      </c>
      <c r="L162" s="1808"/>
      <c r="M162" s="2521"/>
      <c r="N162" s="2522"/>
      <c r="O162" s="2523"/>
      <c r="P162" s="2524"/>
      <c r="Q162" s="1690"/>
      <c r="R162" s="2524"/>
      <c r="S162" s="2524"/>
      <c r="T162" s="2524"/>
      <c r="U162" s="734"/>
      <c r="V162" s="734"/>
      <c r="W162" s="734"/>
      <c r="X162" s="734"/>
      <c r="Y162" s="1808"/>
      <c r="Z162" s="1808"/>
      <c r="AA162" s="1808"/>
      <c r="AB162" s="1791"/>
      <c r="AC162" s="1791"/>
      <c r="AD162" s="1791"/>
      <c r="AE162" s="1791"/>
      <c r="AF162" s="1791"/>
      <c r="AI162" s="1791">
        <f t="shared" si="12"/>
        <v>0</v>
      </c>
    </row>
    <row r="163" spans="1:35">
      <c r="K163" s="712" t="s">
        <v>238</v>
      </c>
      <c r="L163" s="1808"/>
      <c r="M163" s="431"/>
      <c r="N163" s="2525"/>
      <c r="O163" s="1242"/>
      <c r="P163" s="734"/>
      <c r="Q163" s="1808"/>
      <c r="R163" s="734"/>
      <c r="S163" s="734"/>
      <c r="T163" s="734"/>
      <c r="U163" s="734"/>
      <c r="V163" s="734" t="s">
        <v>4080</v>
      </c>
      <c r="W163" s="734"/>
      <c r="X163" s="734"/>
      <c r="Y163" s="1808"/>
      <c r="Z163" s="1808"/>
      <c r="AA163" s="1808"/>
      <c r="AB163" s="1808" t="s">
        <v>351</v>
      </c>
      <c r="AC163" s="1808"/>
      <c r="AD163" s="1808"/>
      <c r="AE163" s="1808"/>
      <c r="AF163" s="1808"/>
      <c r="AI163" s="1791">
        <f t="shared" si="12"/>
        <v>0</v>
      </c>
    </row>
    <row r="164" spans="1:35">
      <c r="K164" s="712" t="s">
        <v>238</v>
      </c>
      <c r="L164" s="2335" t="s">
        <v>4083</v>
      </c>
      <c r="M164" s="431"/>
      <c r="N164" s="2525"/>
      <c r="O164" s="1242"/>
      <c r="P164" s="734"/>
      <c r="Q164" s="1808"/>
      <c r="R164" s="734"/>
      <c r="S164" s="734"/>
      <c r="T164" s="734"/>
      <c r="U164" s="734"/>
      <c r="V164" s="946"/>
      <c r="W164" s="946"/>
      <c r="X164" s="946"/>
      <c r="Y164" s="958"/>
      <c r="Z164" s="958"/>
      <c r="AA164" s="1808"/>
      <c r="AB164" s="958"/>
      <c r="AC164" s="946"/>
      <c r="AD164" s="958"/>
      <c r="AE164" s="958"/>
      <c r="AF164" s="958"/>
      <c r="AI164" s="1791">
        <f t="shared" si="12"/>
        <v>0</v>
      </c>
    </row>
    <row r="165" spans="1:35" s="1808" customFormat="1" ht="16" thickBot="1">
      <c r="K165" s="712"/>
      <c r="M165" s="2031" t="s">
        <v>178</v>
      </c>
      <c r="N165" s="2526"/>
      <c r="O165" s="2527"/>
      <c r="P165" s="1504"/>
      <c r="Q165" s="1503"/>
      <c r="R165" s="1504"/>
      <c r="S165" s="1504"/>
      <c r="T165" s="1504"/>
      <c r="U165" s="734"/>
      <c r="V165" s="1880">
        <f>1-AB165</f>
        <v>0</v>
      </c>
      <c r="W165" s="1880">
        <f t="shared" ref="W165:Z165" si="25">1-AC165</f>
        <v>0</v>
      </c>
      <c r="X165" s="1880">
        <f t="shared" si="25"/>
        <v>0</v>
      </c>
      <c r="Y165" s="1850">
        <f t="shared" si="25"/>
        <v>1</v>
      </c>
      <c r="Z165" s="1850">
        <f t="shared" si="25"/>
        <v>1</v>
      </c>
      <c r="AB165" s="1694">
        <v>1</v>
      </c>
      <c r="AC165" s="1694">
        <v>1</v>
      </c>
      <c r="AD165" s="1694">
        <v>1</v>
      </c>
      <c r="AE165" s="1850"/>
      <c r="AF165" s="1850"/>
      <c r="AI165" s="1791">
        <f t="shared" si="12"/>
        <v>3</v>
      </c>
    </row>
    <row r="166" spans="1:35" s="1808" customFormat="1" ht="16" thickBot="1">
      <c r="K166" s="712"/>
      <c r="M166" s="2528" t="s">
        <v>4084</v>
      </c>
      <c r="N166" s="2520"/>
      <c r="O166" s="2529">
        <f>90*USD</f>
        <v>1581.2018999999998</v>
      </c>
      <c r="P166" s="1848">
        <f>P145*$O166</f>
        <v>145470.57479999997</v>
      </c>
      <c r="Q166" s="1848">
        <f t="shared" ref="Q166:T166" si="26">Q145*$O166</f>
        <v>164444.99759999997</v>
      </c>
      <c r="R166" s="1848">
        <f t="shared" si="26"/>
        <v>164444.99759999997</v>
      </c>
      <c r="S166" s="1848">
        <f t="shared" si="26"/>
        <v>164444.99759999997</v>
      </c>
      <c r="T166" s="1848">
        <f t="shared" si="26"/>
        <v>164444.99759999997</v>
      </c>
      <c r="U166" s="734"/>
      <c r="V166" s="1709">
        <f>ROUND(P166*V165,2)</f>
        <v>0</v>
      </c>
      <c r="W166" s="1708">
        <f t="shared" ref="W166:X166" si="27">ROUND(Q166*W165,2)</f>
        <v>0</v>
      </c>
      <c r="X166" s="2457">
        <f t="shared" si="27"/>
        <v>0</v>
      </c>
      <c r="Y166" s="2457">
        <f>ROUND(S166*Y165,2)</f>
        <v>164445</v>
      </c>
      <c r="Z166" s="2457">
        <f t="shared" ref="Z166" si="28">ROUND(T166*Z165,2)</f>
        <v>164445</v>
      </c>
      <c r="AB166" s="1709">
        <f>P166-V166</f>
        <v>145470.57479999997</v>
      </c>
      <c r="AC166" s="1708">
        <f t="shared" ref="AC166" si="29">Q166-W166</f>
        <v>164444.99759999997</v>
      </c>
      <c r="AD166" s="2457">
        <f t="shared" ref="AD166" si="30">R166-X166</f>
        <v>164444.99759999997</v>
      </c>
      <c r="AE166" s="2457">
        <f t="shared" ref="AE166" si="31">S166-Y166</f>
        <v>-2.4000000266823918E-3</v>
      </c>
      <c r="AF166" s="2457">
        <f t="shared" ref="AF166" si="32">T166-Z166</f>
        <v>-2.4000000266823918E-3</v>
      </c>
      <c r="AI166" s="1791">
        <f t="shared" si="12"/>
        <v>474360.56519999995</v>
      </c>
    </row>
    <row r="167" spans="1:35" s="1808" customFormat="1" ht="16" thickBot="1">
      <c r="A167" s="2157">
        <v>131</v>
      </c>
      <c r="B167" s="841">
        <f>V166+V170+V173+V183+V189</f>
        <v>0</v>
      </c>
      <c r="C167" s="841">
        <f>W166+W170+W173+W183+W189</f>
        <v>0</v>
      </c>
      <c r="D167" s="841">
        <f>X166+X170+X173+X183+X189</f>
        <v>0</v>
      </c>
      <c r="E167" s="841">
        <f>Y166+Y170+Y173+Y183+Y189</f>
        <v>409101.5</v>
      </c>
      <c r="F167" s="841">
        <f>Z166+Z170+Z173+Z183+Z189</f>
        <v>409101.5</v>
      </c>
      <c r="G167" s="841" t="s">
        <v>338</v>
      </c>
      <c r="H167" s="960" t="s">
        <v>4090</v>
      </c>
      <c r="I167" s="2180"/>
      <c r="J167" s="841" t="s">
        <v>2971</v>
      </c>
      <c r="K167" s="712"/>
      <c r="M167" s="431" t="s">
        <v>179</v>
      </c>
      <c r="P167" s="1791"/>
      <c r="Q167" s="1791"/>
      <c r="R167" s="2519"/>
      <c r="S167" s="2519"/>
      <c r="T167" s="2519"/>
      <c r="U167" s="734"/>
      <c r="V167" s="1880">
        <f>1-AB167</f>
        <v>0</v>
      </c>
      <c r="W167" s="1880">
        <f t="shared" ref="W167:Z167" si="33">1-AC167</f>
        <v>0</v>
      </c>
      <c r="X167" s="1880">
        <f t="shared" si="33"/>
        <v>0</v>
      </c>
      <c r="Y167" s="1850">
        <f t="shared" si="33"/>
        <v>1</v>
      </c>
      <c r="Z167" s="1850">
        <f t="shared" si="33"/>
        <v>1</v>
      </c>
      <c r="AB167" s="1694">
        <v>1</v>
      </c>
      <c r="AC167" s="1694">
        <v>1</v>
      </c>
      <c r="AD167" s="1694">
        <v>1</v>
      </c>
      <c r="AE167" s="1850"/>
      <c r="AF167" s="1850"/>
      <c r="AI167" s="1791">
        <f t="shared" si="12"/>
        <v>3</v>
      </c>
    </row>
    <row r="168" spans="1:35" s="1808" customFormat="1" ht="16" thickBot="1">
      <c r="A168" s="2157">
        <v>132</v>
      </c>
      <c r="B168" s="841">
        <f>AB166+AB170+AB173+AB183+AB189</f>
        <v>392762.69479999994</v>
      </c>
      <c r="C168" s="841">
        <f>AC166+AC170+AC173+AC183+AC189</f>
        <v>425545.9976</v>
      </c>
      <c r="D168" s="841">
        <f>AD166+AD170+AD173+AD183+AD189</f>
        <v>425545.9976</v>
      </c>
      <c r="E168" s="841">
        <f>AE166+AE170+AE173+AE183+AE189</f>
        <v>-2.4000000266823918E-3</v>
      </c>
      <c r="F168" s="841">
        <f>AF166+AF170+AF173+AF183+AF189</f>
        <v>-2.4000000266823918E-3</v>
      </c>
      <c r="G168" s="841" t="s">
        <v>351</v>
      </c>
      <c r="H168" s="960" t="s">
        <v>4090</v>
      </c>
      <c r="I168" s="2180" t="s">
        <v>3715</v>
      </c>
      <c r="J168" s="841" t="s">
        <v>2971</v>
      </c>
      <c r="K168" s="712"/>
      <c r="M168" s="2528" t="s">
        <v>4084</v>
      </c>
      <c r="N168" s="2520"/>
      <c r="O168" s="2529">
        <f>90*USD</f>
        <v>1581.2018999999998</v>
      </c>
      <c r="P168" s="1848">
        <f>P146*$O168</f>
        <v>34786.441799999993</v>
      </c>
      <c r="Q168" s="1848">
        <f t="shared" ref="Q168:T168" si="34">Q146*$O168</f>
        <v>41111.249399999993</v>
      </c>
      <c r="R168" s="1848">
        <f t="shared" si="34"/>
        <v>41111.249399999993</v>
      </c>
      <c r="S168" s="1848">
        <f t="shared" si="34"/>
        <v>41111.249399999993</v>
      </c>
      <c r="T168" s="1848">
        <f t="shared" si="34"/>
        <v>41111.249399999993</v>
      </c>
      <c r="U168" s="734"/>
      <c r="V168" s="1709">
        <f>ROUND(P168*V167,2)</f>
        <v>0</v>
      </c>
      <c r="W168" s="1708">
        <f t="shared" ref="W168:Z168" si="35">ROUND(Q168*W167,2)</f>
        <v>0</v>
      </c>
      <c r="X168" s="2457">
        <f t="shared" si="35"/>
        <v>0</v>
      </c>
      <c r="Y168" s="2457">
        <f t="shared" si="35"/>
        <v>41111.25</v>
      </c>
      <c r="Z168" s="2457">
        <f t="shared" si="35"/>
        <v>41111.25</v>
      </c>
      <c r="AB168" s="1709">
        <f>P168-V168</f>
        <v>34786.441799999993</v>
      </c>
      <c r="AC168" s="1708">
        <f t="shared" ref="AC168" si="36">Q168-W168</f>
        <v>41111.249399999993</v>
      </c>
      <c r="AD168" s="2457">
        <f t="shared" ref="AD168" si="37">R168-X168</f>
        <v>41111.249399999993</v>
      </c>
      <c r="AE168" s="2457">
        <f t="shared" ref="AE168" si="38">S168-Y168</f>
        <v>-6.0000000667059794E-4</v>
      </c>
      <c r="AF168" s="2457">
        <f t="shared" ref="AF168" si="39">T168-Z168</f>
        <v>-6.0000000667059794E-4</v>
      </c>
      <c r="AI168" s="1791">
        <f t="shared" si="12"/>
        <v>117008.93939999997</v>
      </c>
    </row>
    <row r="169" spans="1:35" s="1808" customFormat="1">
      <c r="A169" s="960"/>
      <c r="B169" s="960"/>
      <c r="C169" s="960"/>
      <c r="D169" s="960"/>
      <c r="E169" s="960"/>
      <c r="F169" s="960"/>
      <c r="G169" s="960"/>
      <c r="H169" s="960"/>
      <c r="I169" s="2164"/>
      <c r="J169" s="960"/>
      <c r="K169" s="712"/>
      <c r="M169" s="1693"/>
      <c r="N169" s="2520"/>
      <c r="O169" s="1855"/>
      <c r="P169" s="946"/>
      <c r="Q169" s="958"/>
      <c r="R169" s="946"/>
      <c r="S169" s="946"/>
      <c r="T169" s="946"/>
      <c r="U169" s="734"/>
      <c r="V169" s="734"/>
      <c r="W169" s="734"/>
      <c r="X169" s="734"/>
      <c r="AI169" s="1791">
        <f t="shared" si="12"/>
        <v>0</v>
      </c>
    </row>
    <row r="170" spans="1:35" s="1808" customFormat="1">
      <c r="A170" s="960"/>
      <c r="B170" s="960"/>
      <c r="C170" s="960"/>
      <c r="D170" s="960"/>
      <c r="E170" s="960"/>
      <c r="F170" s="960"/>
      <c r="G170" s="960"/>
      <c r="H170" s="960"/>
      <c r="I170" s="2164"/>
      <c r="J170" s="960"/>
      <c r="K170" s="712"/>
      <c r="M170" s="1851" t="s">
        <v>178</v>
      </c>
      <c r="N170" s="958" t="s">
        <v>4</v>
      </c>
      <c r="O170" s="1855">
        <v>0.1</v>
      </c>
      <c r="P170" s="946"/>
      <c r="Q170" s="958"/>
      <c r="R170" s="946"/>
      <c r="S170" s="946"/>
      <c r="T170" s="946"/>
      <c r="U170" s="946"/>
      <c r="V170" s="946"/>
      <c r="W170" s="946"/>
      <c r="X170" s="946"/>
      <c r="Y170" s="958"/>
      <c r="Z170" s="958"/>
      <c r="AA170" s="958"/>
      <c r="AB170" s="1849">
        <f>ROUND(AB166*$O170,2)</f>
        <v>14547.06</v>
      </c>
      <c r="AC170" s="1849">
        <f t="shared" ref="AC170:AF170" si="40">ROUND(AC166*$O170,2)</f>
        <v>16444.5</v>
      </c>
      <c r="AD170" s="1849">
        <f t="shared" si="40"/>
        <v>16444.5</v>
      </c>
      <c r="AE170" s="1849">
        <f t="shared" si="40"/>
        <v>0</v>
      </c>
      <c r="AF170" s="1849">
        <f t="shared" si="40"/>
        <v>0</v>
      </c>
      <c r="AI170" s="1791">
        <f t="shared" si="12"/>
        <v>47436.06</v>
      </c>
    </row>
    <row r="171" spans="1:35" s="1808" customFormat="1">
      <c r="A171" s="960"/>
      <c r="B171" s="960"/>
      <c r="C171" s="960"/>
      <c r="D171" s="960"/>
      <c r="E171" s="960"/>
      <c r="F171" s="960"/>
      <c r="G171" s="960"/>
      <c r="H171" s="960"/>
      <c r="I171" s="2164"/>
      <c r="J171" s="960"/>
      <c r="K171" s="712"/>
      <c r="M171" s="1851" t="s">
        <v>179</v>
      </c>
      <c r="N171" s="958" t="s">
        <v>4</v>
      </c>
      <c r="O171" s="1855">
        <v>0.1</v>
      </c>
      <c r="P171" s="946"/>
      <c r="Q171" s="958"/>
      <c r="R171" s="946"/>
      <c r="S171" s="946"/>
      <c r="T171" s="946"/>
      <c r="U171" s="946"/>
      <c r="V171" s="946"/>
      <c r="W171" s="946"/>
      <c r="X171" s="946"/>
      <c r="Y171" s="958"/>
      <c r="Z171" s="958"/>
      <c r="AA171" s="958"/>
      <c r="AB171" s="1849">
        <f>ROUND(AB168*$O171,2)</f>
        <v>3478.64</v>
      </c>
      <c r="AC171" s="1849">
        <f t="shared" ref="AC171:AF171" si="41">ROUND(AC168*$O171,2)</f>
        <v>4111.12</v>
      </c>
      <c r="AD171" s="1849">
        <f t="shared" si="41"/>
        <v>4111.12</v>
      </c>
      <c r="AE171" s="1849">
        <f t="shared" si="41"/>
        <v>0</v>
      </c>
      <c r="AF171" s="1849">
        <f t="shared" si="41"/>
        <v>0</v>
      </c>
      <c r="AI171" s="1791">
        <f t="shared" si="12"/>
        <v>11700.880000000001</v>
      </c>
    </row>
    <row r="172" spans="1:35" s="1808" customFormat="1">
      <c r="A172" s="2157">
        <v>246</v>
      </c>
      <c r="B172" s="841">
        <f>V168+V171+V174+V185</f>
        <v>0</v>
      </c>
      <c r="C172" s="841">
        <f t="shared" ref="C172:F172" si="42">W168+W171+W174+W185</f>
        <v>0</v>
      </c>
      <c r="D172" s="841">
        <f t="shared" si="42"/>
        <v>0</v>
      </c>
      <c r="E172" s="841">
        <f t="shared" si="42"/>
        <v>75264.375</v>
      </c>
      <c r="F172" s="841">
        <f t="shared" si="42"/>
        <v>75264.375</v>
      </c>
      <c r="G172" s="841" t="s">
        <v>513</v>
      </c>
      <c r="H172" s="960" t="s">
        <v>4091</v>
      </c>
      <c r="I172" s="2180"/>
      <c r="J172" s="841" t="s">
        <v>2971</v>
      </c>
      <c r="K172" s="712"/>
      <c r="M172" s="1693"/>
      <c r="N172" s="2520"/>
      <c r="O172" s="1855"/>
      <c r="P172" s="946"/>
      <c r="Q172" s="958"/>
      <c r="R172" s="946"/>
      <c r="S172" s="946"/>
      <c r="T172" s="946"/>
      <c r="U172" s="734"/>
      <c r="V172" s="734"/>
      <c r="W172" s="734"/>
      <c r="X172" s="734"/>
      <c r="AI172" s="1791">
        <f t="shared" si="12"/>
        <v>0</v>
      </c>
    </row>
    <row r="173" spans="1:35" s="1808" customFormat="1">
      <c r="A173" s="2157">
        <v>247</v>
      </c>
      <c r="B173" s="841">
        <f>AB168+AB171+AB174+AB185</f>
        <v>71785.721799999999</v>
      </c>
      <c r="C173" s="841">
        <f t="shared" ref="C173:F173" si="43">AC168+AC171+AC174+AC185</f>
        <v>79375.489399999991</v>
      </c>
      <c r="D173" s="841">
        <f t="shared" si="43"/>
        <v>79375.489399999991</v>
      </c>
      <c r="E173" s="841">
        <f t="shared" si="43"/>
        <v>-6.0000000667059794E-4</v>
      </c>
      <c r="F173" s="841">
        <f t="shared" si="43"/>
        <v>-6.0000000667059794E-4</v>
      </c>
      <c r="G173" s="841" t="s">
        <v>351</v>
      </c>
      <c r="H173" s="960" t="s">
        <v>4091</v>
      </c>
      <c r="I173" s="2180" t="s">
        <v>3715</v>
      </c>
      <c r="J173" s="841" t="s">
        <v>2971</v>
      </c>
      <c r="K173" s="712"/>
      <c r="M173" s="1851" t="s">
        <v>178</v>
      </c>
      <c r="N173" s="2520" t="s">
        <v>3233</v>
      </c>
      <c r="O173" s="1855">
        <v>0.1</v>
      </c>
      <c r="P173" s="946"/>
      <c r="Q173" s="958"/>
      <c r="R173" s="946"/>
      <c r="S173" s="946"/>
      <c r="T173" s="946"/>
      <c r="U173" s="734"/>
      <c r="V173" s="958">
        <f t="shared" ref="V173:X173" si="44">V166*$O173</f>
        <v>0</v>
      </c>
      <c r="W173" s="958">
        <f t="shared" si="44"/>
        <v>0</v>
      </c>
      <c r="X173" s="958">
        <f t="shared" si="44"/>
        <v>0</v>
      </c>
      <c r="Y173" s="958">
        <f>Y166*$O173</f>
        <v>16444.5</v>
      </c>
      <c r="Z173" s="958">
        <f>Z166*$O173</f>
        <v>16444.5</v>
      </c>
      <c r="AA173" s="958"/>
      <c r="AB173" s="1849">
        <f>ROUND(AB166*$O170,2)</f>
        <v>14547.06</v>
      </c>
      <c r="AC173" s="1849">
        <f t="shared" ref="AC173:AF173" si="45">ROUND(AC166*$O170,2)</f>
        <v>16444.5</v>
      </c>
      <c r="AD173" s="1849">
        <f t="shared" si="45"/>
        <v>16444.5</v>
      </c>
      <c r="AE173" s="1849">
        <f t="shared" si="45"/>
        <v>0</v>
      </c>
      <c r="AF173" s="1849">
        <f t="shared" si="45"/>
        <v>0</v>
      </c>
      <c r="AI173" s="1791">
        <f t="shared" si="12"/>
        <v>47436.06</v>
      </c>
    </row>
    <row r="174" spans="1:35" s="1808" customFormat="1">
      <c r="K174" s="712"/>
      <c r="M174" s="1851" t="s">
        <v>179</v>
      </c>
      <c r="N174" s="2520" t="s">
        <v>3233</v>
      </c>
      <c r="O174" s="1855">
        <v>0.1</v>
      </c>
      <c r="P174" s="946"/>
      <c r="Q174" s="958"/>
      <c r="R174" s="946"/>
      <c r="S174" s="946"/>
      <c r="T174" s="946"/>
      <c r="U174" s="734"/>
      <c r="V174" s="2531">
        <f>V168*$O174</f>
        <v>0</v>
      </c>
      <c r="W174" s="2531">
        <f t="shared" ref="W174:Z174" si="46">W168*$O174</f>
        <v>0</v>
      </c>
      <c r="X174" s="2531">
        <f t="shared" si="46"/>
        <v>0</v>
      </c>
      <c r="Y174" s="2531">
        <f t="shared" si="46"/>
        <v>4111.125</v>
      </c>
      <c r="Z174" s="2531">
        <f t="shared" si="46"/>
        <v>4111.125</v>
      </c>
      <c r="AA174" s="958"/>
      <c r="AB174" s="1849">
        <f>ROUND(AB168*$O171,2)</f>
        <v>3478.64</v>
      </c>
      <c r="AC174" s="1849">
        <f>ROUND(AC168*$O171,2)</f>
        <v>4111.12</v>
      </c>
      <c r="AD174" s="1849">
        <f t="shared" ref="AD174:AF174" si="47">ROUND(AD168*$O171,2)</f>
        <v>4111.12</v>
      </c>
      <c r="AE174" s="1849">
        <f t="shared" si="47"/>
        <v>0</v>
      </c>
      <c r="AF174" s="1849">
        <f t="shared" si="47"/>
        <v>0</v>
      </c>
      <c r="AI174" s="1791">
        <f t="shared" si="12"/>
        <v>11700.880000000001</v>
      </c>
    </row>
    <row r="175" spans="1:35" s="1808" customFormat="1">
      <c r="K175" s="712"/>
      <c r="M175" s="431"/>
      <c r="N175" s="2525"/>
      <c r="O175" s="1242"/>
      <c r="P175" s="734"/>
      <c r="R175" s="734"/>
      <c r="S175" s="734"/>
      <c r="T175" s="734"/>
      <c r="U175" s="734"/>
      <c r="V175" s="734"/>
      <c r="W175" s="734"/>
      <c r="X175" s="734"/>
      <c r="AI175" s="1791">
        <f t="shared" si="12"/>
        <v>0</v>
      </c>
    </row>
    <row r="176" spans="1:35" s="1808" customFormat="1">
      <c r="K176" s="712"/>
      <c r="L176" s="2530" t="s">
        <v>4085</v>
      </c>
      <c r="M176" s="431"/>
      <c r="N176" s="2525"/>
      <c r="O176" s="1242"/>
      <c r="P176" s="734"/>
      <c r="R176" s="734"/>
      <c r="S176" s="734"/>
      <c r="T176" s="734"/>
      <c r="U176" s="734"/>
      <c r="V176" s="734"/>
      <c r="W176" s="734"/>
      <c r="X176" s="734"/>
      <c r="AI176" s="1791">
        <f t="shared" si="12"/>
        <v>0</v>
      </c>
    </row>
    <row r="177" spans="1:38" s="1808" customFormat="1" ht="60">
      <c r="K177" s="712"/>
      <c r="M177" s="1856" t="s">
        <v>3235</v>
      </c>
      <c r="P177" s="845">
        <v>2021</v>
      </c>
      <c r="Q177" s="845">
        <v>2022</v>
      </c>
      <c r="R177" s="845">
        <v>2023</v>
      </c>
      <c r="S177" s="845">
        <v>2024</v>
      </c>
      <c r="T177" s="845">
        <v>2025</v>
      </c>
      <c r="U177" s="734"/>
      <c r="V177" s="734"/>
      <c r="W177" s="734"/>
      <c r="X177" s="734"/>
      <c r="AI177" s="1791">
        <f t="shared" si="12"/>
        <v>0</v>
      </c>
    </row>
    <row r="178" spans="1:38" s="1808" customFormat="1">
      <c r="K178" s="712"/>
      <c r="M178" s="958" t="s">
        <v>4074</v>
      </c>
      <c r="N178" s="958"/>
      <c r="O178" s="946"/>
      <c r="P178" s="1040"/>
      <c r="Q178" s="1040">
        <v>3</v>
      </c>
      <c r="R178" s="1040">
        <v>3</v>
      </c>
      <c r="S178" s="1040">
        <v>3</v>
      </c>
      <c r="T178" s="1040">
        <v>3</v>
      </c>
      <c r="U178" s="734"/>
      <c r="V178" s="734"/>
      <c r="W178" s="734"/>
      <c r="X178" s="734"/>
      <c r="AI178" s="1791">
        <f t="shared" si="12"/>
        <v>0</v>
      </c>
    </row>
    <row r="179" spans="1:38" s="1808" customFormat="1">
      <c r="K179" s="712"/>
      <c r="M179" s="958" t="s">
        <v>4075</v>
      </c>
      <c r="N179" s="958"/>
      <c r="O179" s="958"/>
      <c r="P179" s="1040"/>
      <c r="Q179" s="1040">
        <v>1</v>
      </c>
      <c r="R179" s="1040">
        <v>1</v>
      </c>
      <c r="S179" s="1040">
        <v>1</v>
      </c>
      <c r="T179" s="1040">
        <v>1</v>
      </c>
      <c r="U179" s="734"/>
      <c r="V179" s="734"/>
      <c r="W179" s="734"/>
      <c r="X179" s="734"/>
      <c r="AI179" s="1791">
        <f t="shared" si="12"/>
        <v>0</v>
      </c>
    </row>
    <row r="180" spans="1:38" s="1808" customFormat="1">
      <c r="K180" s="712"/>
      <c r="P180" s="734"/>
      <c r="R180" s="734"/>
      <c r="S180" s="734"/>
      <c r="T180" s="734"/>
      <c r="U180" s="734"/>
      <c r="V180" s="734" t="s">
        <v>4080</v>
      </c>
      <c r="W180" s="734"/>
      <c r="X180" s="734"/>
      <c r="AB180" s="1808" t="s">
        <v>351</v>
      </c>
      <c r="AI180" s="1791">
        <f t="shared" si="12"/>
        <v>0</v>
      </c>
    </row>
    <row r="181" spans="1:38" s="1808" customFormat="1">
      <c r="K181" s="712"/>
      <c r="M181" s="958"/>
      <c r="N181" s="958"/>
      <c r="O181" s="958"/>
      <c r="P181" s="958"/>
      <c r="Q181" s="946"/>
      <c r="R181" s="946"/>
      <c r="S181" s="946"/>
      <c r="T181" s="946"/>
      <c r="U181" s="734"/>
      <c r="V181" s="946"/>
      <c r="W181" s="946"/>
      <c r="X181" s="946"/>
      <c r="Y181" s="958"/>
      <c r="Z181" s="958"/>
      <c r="AB181" s="958"/>
      <c r="AC181" s="946"/>
      <c r="AD181" s="958"/>
      <c r="AE181" s="958"/>
      <c r="AF181" s="958"/>
      <c r="AI181" s="1791">
        <f t="shared" si="12"/>
        <v>0</v>
      </c>
    </row>
    <row r="182" spans="1:38" s="1808" customFormat="1" ht="16" thickBot="1">
      <c r="K182" s="712"/>
      <c r="M182" s="958" t="s">
        <v>1842</v>
      </c>
      <c r="N182" s="958" t="s">
        <v>4086</v>
      </c>
      <c r="O182" s="734">
        <v>43</v>
      </c>
      <c r="P182" s="1849">
        <f>$O182+P178</f>
        <v>43</v>
      </c>
      <c r="Q182" s="1849">
        <f t="shared" ref="Q182:T184" si="48">$O182+Q178</f>
        <v>46</v>
      </c>
      <c r="R182" s="1849">
        <f t="shared" si="48"/>
        <v>46</v>
      </c>
      <c r="S182" s="1849">
        <f t="shared" si="48"/>
        <v>46</v>
      </c>
      <c r="T182" s="1849">
        <f t="shared" si="48"/>
        <v>46</v>
      </c>
      <c r="U182" s="734"/>
      <c r="V182" s="1880">
        <f>1-AB182</f>
        <v>0</v>
      </c>
      <c r="W182" s="1880">
        <f t="shared" ref="W182:Z182" si="49">1-AC182</f>
        <v>0</v>
      </c>
      <c r="X182" s="1880">
        <f t="shared" si="49"/>
        <v>0</v>
      </c>
      <c r="Y182" s="1850">
        <f t="shared" si="49"/>
        <v>1</v>
      </c>
      <c r="Z182" s="1850">
        <f t="shared" si="49"/>
        <v>1</v>
      </c>
      <c r="AB182" s="1694">
        <v>1</v>
      </c>
      <c r="AC182" s="1694">
        <v>1</v>
      </c>
      <c r="AD182" s="1694">
        <v>1</v>
      </c>
      <c r="AE182" s="1850"/>
      <c r="AF182" s="1850"/>
      <c r="AI182" s="1791">
        <f t="shared" si="12"/>
        <v>3</v>
      </c>
    </row>
    <row r="183" spans="1:38" s="1808" customFormat="1" ht="16" thickBot="1">
      <c r="K183" s="712"/>
      <c r="M183" s="1851" t="s">
        <v>2189</v>
      </c>
      <c r="N183" s="1851"/>
      <c r="O183" s="1040">
        <v>3338</v>
      </c>
      <c r="P183" s="1851">
        <f>ROUND($O183*P182,2)</f>
        <v>143534</v>
      </c>
      <c r="Q183" s="1851">
        <f t="shared" ref="Q183:T183" si="50">ROUND($O183*Q182,2)</f>
        <v>153548</v>
      </c>
      <c r="R183" s="1851">
        <f t="shared" si="50"/>
        <v>153548</v>
      </c>
      <c r="S183" s="1851">
        <f t="shared" si="50"/>
        <v>153548</v>
      </c>
      <c r="T183" s="1851">
        <f t="shared" si="50"/>
        <v>153548</v>
      </c>
      <c r="U183" s="734"/>
      <c r="V183" s="1709">
        <f>ROUND(P183*V182,2)</f>
        <v>0</v>
      </c>
      <c r="W183" s="1708">
        <f t="shared" ref="W183:Z183" si="51">ROUND(Q183*W182,2)</f>
        <v>0</v>
      </c>
      <c r="X183" s="2457">
        <f t="shared" si="51"/>
        <v>0</v>
      </c>
      <c r="Y183" s="2457">
        <f>ROUND(S183*Y182,2)</f>
        <v>153548</v>
      </c>
      <c r="Z183" s="2457">
        <f t="shared" si="51"/>
        <v>153548</v>
      </c>
      <c r="AB183" s="1709">
        <f>P183-V183</f>
        <v>143534</v>
      </c>
      <c r="AC183" s="1708">
        <f t="shared" ref="AC183:AF183" si="52">Q183-W183</f>
        <v>153548</v>
      </c>
      <c r="AD183" s="2457">
        <f t="shared" si="52"/>
        <v>153548</v>
      </c>
      <c r="AE183" s="2457">
        <f t="shared" si="52"/>
        <v>0</v>
      </c>
      <c r="AF183" s="2457">
        <f t="shared" si="52"/>
        <v>0</v>
      </c>
      <c r="AI183" s="1791">
        <f t="shared" si="12"/>
        <v>450630</v>
      </c>
    </row>
    <row r="184" spans="1:38" s="1808" customFormat="1" ht="16" thickBot="1">
      <c r="A184" s="960"/>
      <c r="B184" s="960"/>
      <c r="C184" s="960"/>
      <c r="D184" s="960"/>
      <c r="E184" s="960"/>
      <c r="F184" s="960"/>
      <c r="G184" s="960"/>
      <c r="H184" s="960"/>
      <c r="I184" s="2164"/>
      <c r="J184" s="960"/>
      <c r="K184" s="712"/>
      <c r="M184" s="958" t="s">
        <v>1845</v>
      </c>
      <c r="N184" s="958" t="s">
        <v>4086</v>
      </c>
      <c r="O184" s="1309">
        <v>9</v>
      </c>
      <c r="P184" s="1849">
        <f>$O184+P180</f>
        <v>9</v>
      </c>
      <c r="Q184" s="1849">
        <f t="shared" si="48"/>
        <v>9</v>
      </c>
      <c r="R184" s="1849">
        <f t="shared" si="48"/>
        <v>9</v>
      </c>
      <c r="S184" s="1849">
        <f t="shared" si="48"/>
        <v>9</v>
      </c>
      <c r="T184" s="1849">
        <f t="shared" si="48"/>
        <v>9</v>
      </c>
      <c r="U184" s="734"/>
      <c r="V184" s="1880">
        <f>1-AB184</f>
        <v>0</v>
      </c>
      <c r="W184" s="1880">
        <f t="shared" ref="W184:Z184" si="53">1-AC184</f>
        <v>0</v>
      </c>
      <c r="X184" s="1880">
        <f t="shared" si="53"/>
        <v>0</v>
      </c>
      <c r="Y184" s="1850">
        <f t="shared" si="53"/>
        <v>1</v>
      </c>
      <c r="Z184" s="1850">
        <f t="shared" si="53"/>
        <v>1</v>
      </c>
      <c r="AB184" s="1694">
        <v>1</v>
      </c>
      <c r="AC184" s="1694">
        <v>1</v>
      </c>
      <c r="AD184" s="1694">
        <v>1</v>
      </c>
      <c r="AE184" s="1850"/>
      <c r="AF184" s="1850"/>
      <c r="AI184" s="1791">
        <f t="shared" si="12"/>
        <v>3</v>
      </c>
    </row>
    <row r="185" spans="1:38" s="1808" customFormat="1" ht="16" thickBot="1">
      <c r="A185" s="960"/>
      <c r="B185" s="960"/>
      <c r="C185" s="960"/>
      <c r="D185" s="960"/>
      <c r="E185" s="960"/>
      <c r="F185" s="960"/>
      <c r="G185" s="960"/>
      <c r="H185" s="960"/>
      <c r="I185" s="2164"/>
      <c r="J185" s="960"/>
      <c r="K185" s="712"/>
      <c r="M185" s="1851" t="s">
        <v>2189</v>
      </c>
      <c r="N185" s="1851"/>
      <c r="O185" s="1040">
        <v>3338</v>
      </c>
      <c r="P185" s="1851">
        <f>ROUND($O185*P184,2)</f>
        <v>30042</v>
      </c>
      <c r="Q185" s="1851">
        <f t="shared" ref="Q185:T185" si="54">ROUND($O185*Q184,2)</f>
        <v>30042</v>
      </c>
      <c r="R185" s="1851">
        <f t="shared" si="54"/>
        <v>30042</v>
      </c>
      <c r="S185" s="1851">
        <f t="shared" si="54"/>
        <v>30042</v>
      </c>
      <c r="T185" s="1851">
        <f t="shared" si="54"/>
        <v>30042</v>
      </c>
      <c r="U185" s="734"/>
      <c r="V185" s="1709">
        <f>ROUND(P185*V184,2)</f>
        <v>0</v>
      </c>
      <c r="W185" s="1708">
        <f t="shared" ref="W185:Z185" si="55">ROUND(Q185*W184,2)</f>
        <v>0</v>
      </c>
      <c r="X185" s="2457">
        <f t="shared" si="55"/>
        <v>0</v>
      </c>
      <c r="Y185" s="2457">
        <f t="shared" si="55"/>
        <v>30042</v>
      </c>
      <c r="Z185" s="2457">
        <f t="shared" si="55"/>
        <v>30042</v>
      </c>
      <c r="AB185" s="1709">
        <f>P185-V185</f>
        <v>30042</v>
      </c>
      <c r="AC185" s="1708">
        <f t="shared" ref="AC185:AF185" si="56">Q185-W185</f>
        <v>30042</v>
      </c>
      <c r="AD185" s="2457">
        <f t="shared" si="56"/>
        <v>30042</v>
      </c>
      <c r="AE185" s="2457">
        <f t="shared" si="56"/>
        <v>0</v>
      </c>
      <c r="AF185" s="2457">
        <f t="shared" si="56"/>
        <v>0</v>
      </c>
      <c r="AI185" s="1791">
        <f t="shared" si="12"/>
        <v>90126</v>
      </c>
    </row>
    <row r="186" spans="1:38" s="1808" customFormat="1">
      <c r="A186" s="960"/>
      <c r="B186" s="960"/>
      <c r="C186" s="960"/>
      <c r="D186" s="960"/>
      <c r="E186" s="960"/>
      <c r="F186" s="960"/>
      <c r="G186" s="960"/>
      <c r="H186" s="960"/>
      <c r="I186" s="2164"/>
      <c r="J186" s="960"/>
      <c r="K186" s="712"/>
      <c r="M186" s="1857" t="s">
        <v>3236</v>
      </c>
      <c r="O186" s="2519"/>
      <c r="Q186" s="734"/>
      <c r="R186" s="734"/>
      <c r="S186" s="734"/>
      <c r="T186" s="734"/>
      <c r="U186" s="734"/>
      <c r="V186" s="734"/>
      <c r="W186" s="734"/>
      <c r="X186" s="734"/>
      <c r="AC186" s="734"/>
      <c r="AI186" s="1791">
        <f t="shared" si="12"/>
        <v>0</v>
      </c>
    </row>
    <row r="187" spans="1:38" s="1808" customFormat="1">
      <c r="A187" s="960"/>
      <c r="B187" s="960"/>
      <c r="C187" s="960"/>
      <c r="D187" s="960"/>
      <c r="E187" s="960"/>
      <c r="F187" s="960"/>
      <c r="G187" s="960"/>
      <c r="H187" s="960"/>
      <c r="I187" s="2164"/>
      <c r="J187" s="960"/>
      <c r="K187" s="712"/>
      <c r="M187" s="1857"/>
      <c r="O187" s="2519"/>
      <c r="Q187" s="734"/>
      <c r="R187" s="734"/>
      <c r="S187" s="734"/>
      <c r="T187" s="734"/>
      <c r="U187" s="734"/>
      <c r="V187" s="734"/>
      <c r="W187" s="734"/>
      <c r="X187" s="734"/>
      <c r="AC187" s="734"/>
      <c r="AI187" s="1791">
        <f t="shared" si="12"/>
        <v>0</v>
      </c>
    </row>
    <row r="188" spans="1:38" s="1808" customFormat="1" ht="16" thickBot="1">
      <c r="A188" s="960"/>
      <c r="B188" s="960"/>
      <c r="C188" s="960"/>
      <c r="D188" s="960"/>
      <c r="E188" s="960"/>
      <c r="F188" s="960"/>
      <c r="G188" s="960"/>
      <c r="H188" s="960"/>
      <c r="I188" s="2164"/>
      <c r="J188" s="960"/>
      <c r="K188" s="712"/>
      <c r="N188" s="734" t="s">
        <v>3237</v>
      </c>
      <c r="O188" s="734" t="s">
        <v>3238</v>
      </c>
      <c r="P188" s="734"/>
      <c r="Q188" s="734"/>
      <c r="R188" s="734"/>
      <c r="S188" s="734"/>
      <c r="T188" s="734"/>
      <c r="U188" s="734"/>
      <c r="V188" s="1880">
        <f>1-AB188</f>
        <v>0</v>
      </c>
      <c r="W188" s="1880">
        <f t="shared" ref="W188:Z188" si="57">1-AC188</f>
        <v>0</v>
      </c>
      <c r="X188" s="1880">
        <f t="shared" si="57"/>
        <v>0</v>
      </c>
      <c r="Y188" s="1850">
        <f t="shared" si="57"/>
        <v>1</v>
      </c>
      <c r="Z188" s="1850">
        <f t="shared" si="57"/>
        <v>1</v>
      </c>
      <c r="AB188" s="1694">
        <v>1</v>
      </c>
      <c r="AC188" s="1694">
        <v>1</v>
      </c>
      <c r="AD188" s="1694">
        <v>1</v>
      </c>
      <c r="AE188" s="1850"/>
      <c r="AF188" s="1850"/>
      <c r="AI188" s="1791">
        <f t="shared" si="12"/>
        <v>3</v>
      </c>
      <c r="AL188" s="836">
        <f>SUM(B156:F156)</f>
        <v>632480.77999999991</v>
      </c>
    </row>
    <row r="189" spans="1:38" s="1808" customFormat="1" ht="16" thickBot="1">
      <c r="A189" s="960"/>
      <c r="B189" s="960"/>
      <c r="C189" s="960"/>
      <c r="D189" s="960"/>
      <c r="E189" s="960"/>
      <c r="F189" s="960"/>
      <c r="G189" s="960"/>
      <c r="H189" s="960"/>
      <c r="I189" s="2164"/>
      <c r="J189" s="960"/>
      <c r="K189" s="712"/>
      <c r="M189" s="1851" t="s">
        <v>3239</v>
      </c>
      <c r="N189" s="1852">
        <v>6222</v>
      </c>
      <c r="O189" s="1852">
        <v>12</v>
      </c>
      <c r="P189" s="1852">
        <f>O189*N189</f>
        <v>74664</v>
      </c>
      <c r="Q189" s="1851">
        <f>P189</f>
        <v>74664</v>
      </c>
      <c r="R189" s="1852">
        <f t="shared" ref="R189:T189" si="58">Q189</f>
        <v>74664</v>
      </c>
      <c r="S189" s="1852">
        <f t="shared" si="58"/>
        <v>74664</v>
      </c>
      <c r="T189" s="1852">
        <f t="shared" si="58"/>
        <v>74664</v>
      </c>
      <c r="U189" s="734"/>
      <c r="V189" s="1709">
        <f>ROUND(P189*V188,2)</f>
        <v>0</v>
      </c>
      <c r="W189" s="1708">
        <f t="shared" ref="W189:Z189" si="59">ROUND(Q189*W188,2)</f>
        <v>0</v>
      </c>
      <c r="X189" s="2457">
        <f t="shared" si="59"/>
        <v>0</v>
      </c>
      <c r="Y189" s="2457">
        <f t="shared" si="59"/>
        <v>74664</v>
      </c>
      <c r="Z189" s="2457">
        <f t="shared" si="59"/>
        <v>74664</v>
      </c>
      <c r="AB189" s="1709">
        <f>P189-V189</f>
        <v>74664</v>
      </c>
      <c r="AC189" s="1708">
        <f t="shared" ref="AC189:AF189" si="60">Q189-W189</f>
        <v>74664</v>
      </c>
      <c r="AD189" s="2457">
        <f t="shared" si="60"/>
        <v>74664</v>
      </c>
      <c r="AE189" s="2457">
        <f t="shared" si="60"/>
        <v>0</v>
      </c>
      <c r="AF189" s="2457">
        <f t="shared" si="60"/>
        <v>0</v>
      </c>
      <c r="AI189" s="1791">
        <f t="shared" si="12"/>
        <v>223992</v>
      </c>
      <c r="AL189" s="836">
        <f>SUM(B159:F159)</f>
        <v>147578.83999999997</v>
      </c>
    </row>
    <row r="190" spans="1:38" s="1808" customFormat="1">
      <c r="A190" s="960"/>
      <c r="B190" s="960"/>
      <c r="C190" s="960"/>
      <c r="D190" s="960"/>
      <c r="E190" s="960"/>
      <c r="F190" s="960"/>
      <c r="G190" s="960"/>
      <c r="H190" s="960"/>
      <c r="I190" s="2164"/>
      <c r="J190" s="960"/>
      <c r="K190" s="712"/>
      <c r="R190" s="734"/>
      <c r="S190" s="734"/>
      <c r="T190" s="734"/>
      <c r="U190" s="734"/>
      <c r="V190" s="734"/>
      <c r="W190" s="734"/>
      <c r="X190" s="734"/>
      <c r="AL190" s="836">
        <f>SUM(B168:F168)</f>
        <v>1243854.6851999997</v>
      </c>
    </row>
    <row r="191" spans="1:38" s="1808" customFormat="1">
      <c r="A191" s="960"/>
      <c r="B191" s="960"/>
      <c r="C191" s="960"/>
      <c r="D191" s="960"/>
      <c r="E191" s="960"/>
      <c r="F191" s="960"/>
      <c r="G191" s="960"/>
      <c r="H191" s="960"/>
      <c r="I191" s="2164"/>
      <c r="J191" s="960"/>
      <c r="K191" s="712"/>
      <c r="M191" s="1808" t="s">
        <v>4087</v>
      </c>
      <c r="R191" s="734"/>
      <c r="S191" s="734"/>
      <c r="T191" s="734"/>
      <c r="U191" s="734"/>
      <c r="V191" s="734"/>
      <c r="W191" s="734"/>
      <c r="X191" s="734"/>
      <c r="AL191" s="836">
        <f>SUM(B173:F173)</f>
        <v>230536.69939999998</v>
      </c>
    </row>
    <row r="192" spans="1:38" s="1808" customFormat="1">
      <c r="A192" s="960"/>
      <c r="B192" s="960"/>
      <c r="C192" s="960"/>
      <c r="D192" s="960"/>
      <c r="E192" s="960"/>
      <c r="F192" s="960"/>
      <c r="G192" s="960"/>
      <c r="H192" s="960"/>
      <c r="I192" s="2164"/>
      <c r="J192" s="960"/>
      <c r="K192" s="712"/>
      <c r="R192" s="734"/>
      <c r="S192" s="734"/>
      <c r="T192" s="734"/>
      <c r="U192" s="734"/>
      <c r="V192" s="734"/>
      <c r="W192" s="734"/>
      <c r="X192" s="734"/>
      <c r="AL192" s="836">
        <f>SUM(AL188:AL191)</f>
        <v>2254451.0045999996</v>
      </c>
    </row>
    <row r="193" spans="1:21" s="1808" customFormat="1">
      <c r="A193" s="960"/>
      <c r="B193" s="960"/>
      <c r="C193" s="960"/>
      <c r="D193" s="960"/>
      <c r="E193" s="960"/>
      <c r="F193" s="960"/>
      <c r="G193" s="960"/>
      <c r="H193" s="960"/>
      <c r="I193" s="2164"/>
      <c r="J193" s="960"/>
      <c r="K193" s="712"/>
    </row>
    <row r="194" spans="1:21" s="1808" customFormat="1">
      <c r="A194" s="960"/>
      <c r="B194" s="960"/>
      <c r="C194" s="960"/>
      <c r="D194" s="960"/>
      <c r="E194" s="960"/>
      <c r="F194" s="960"/>
      <c r="G194" s="960"/>
      <c r="H194" s="960"/>
      <c r="I194" s="2164"/>
      <c r="J194" s="960"/>
      <c r="K194" s="712"/>
    </row>
    <row r="195" spans="1:21" s="1808" customFormat="1">
      <c r="A195" s="960"/>
      <c r="B195" s="960"/>
      <c r="C195" s="960"/>
      <c r="D195" s="960"/>
      <c r="E195" s="960"/>
      <c r="F195" s="960"/>
      <c r="G195" s="960"/>
      <c r="H195" s="960"/>
      <c r="I195" s="2164"/>
      <c r="J195" s="960"/>
      <c r="K195" s="712"/>
    </row>
    <row r="196" spans="1:21" s="1808" customFormat="1">
      <c r="A196" s="960"/>
      <c r="B196" s="960"/>
      <c r="C196" s="960"/>
      <c r="D196" s="960"/>
      <c r="E196" s="960"/>
      <c r="F196" s="960"/>
      <c r="G196" s="960"/>
      <c r="H196" s="960"/>
      <c r="I196" s="2164"/>
      <c r="J196" s="960"/>
      <c r="K196" s="712"/>
    </row>
    <row r="197" spans="1:21" s="1808" customFormat="1">
      <c r="A197" s="960"/>
      <c r="B197" s="960"/>
      <c r="C197" s="960"/>
      <c r="D197" s="960"/>
      <c r="E197" s="960"/>
      <c r="F197" s="960"/>
      <c r="G197" s="960"/>
      <c r="H197" s="960"/>
      <c r="I197" s="2164"/>
      <c r="J197" s="960"/>
      <c r="K197" s="712"/>
    </row>
    <row r="198" spans="1:21" s="1808" customFormat="1">
      <c r="A198" s="960"/>
      <c r="B198" s="960"/>
      <c r="C198" s="960"/>
      <c r="D198" s="960"/>
      <c r="E198" s="960"/>
      <c r="F198" s="960"/>
      <c r="G198" s="960"/>
      <c r="H198" s="960"/>
      <c r="I198" s="2164"/>
      <c r="J198" s="960"/>
      <c r="K198" s="712"/>
    </row>
    <row r="199" spans="1:21" s="1808" customFormat="1">
      <c r="A199" s="960"/>
      <c r="B199" s="960"/>
      <c r="C199" s="960"/>
      <c r="D199" s="960"/>
      <c r="E199" s="960"/>
      <c r="F199" s="960"/>
      <c r="G199" s="960"/>
      <c r="H199" s="960"/>
      <c r="I199" s="2164"/>
      <c r="J199" s="960"/>
      <c r="K199" s="712"/>
    </row>
    <row r="200" spans="1:21" s="1808" customFormat="1">
      <c r="A200" s="960"/>
      <c r="B200" s="960"/>
      <c r="C200" s="960"/>
      <c r="D200" s="960"/>
      <c r="E200" s="960"/>
      <c r="F200" s="960"/>
      <c r="G200" s="960"/>
      <c r="H200" s="960"/>
      <c r="I200" s="2164"/>
      <c r="J200" s="960"/>
      <c r="K200" s="712"/>
    </row>
    <row r="201" spans="1:21" s="1808" customFormat="1">
      <c r="A201" s="960"/>
      <c r="B201" s="960"/>
      <c r="C201" s="960"/>
      <c r="D201" s="960"/>
      <c r="E201" s="960"/>
      <c r="F201" s="960"/>
      <c r="G201" s="960"/>
      <c r="H201" s="960"/>
      <c r="I201" s="2164"/>
      <c r="J201" s="960"/>
      <c r="K201" s="712"/>
      <c r="L201" s="1845" t="s">
        <v>2972</v>
      </c>
    </row>
    <row r="202" spans="1:21" s="1808" customFormat="1">
      <c r="A202" s="960"/>
      <c r="B202" s="960"/>
      <c r="C202" s="960"/>
      <c r="D202" s="960"/>
      <c r="E202" s="960"/>
      <c r="F202" s="960"/>
      <c r="G202" s="960"/>
      <c r="H202" s="960"/>
      <c r="I202" s="2164"/>
      <c r="J202" s="960"/>
      <c r="K202" s="712"/>
    </row>
    <row r="203" spans="1:21" s="1808" customFormat="1">
      <c r="A203" s="960"/>
      <c r="B203" s="960"/>
      <c r="C203" s="960"/>
      <c r="D203" s="960"/>
      <c r="E203" s="960"/>
      <c r="F203" s="960"/>
      <c r="G203" s="960"/>
      <c r="H203" s="960"/>
      <c r="I203" s="2164"/>
      <c r="J203" s="960"/>
      <c r="K203" s="712"/>
      <c r="L203" s="1845" t="s">
        <v>3484</v>
      </c>
    </row>
    <row r="204" spans="1:21" s="1808" customFormat="1">
      <c r="A204" s="960"/>
      <c r="B204" s="960"/>
      <c r="C204" s="960"/>
      <c r="D204" s="960"/>
      <c r="E204" s="960"/>
      <c r="F204" s="960"/>
      <c r="G204" s="960"/>
      <c r="H204" s="960"/>
      <c r="I204" s="2164"/>
      <c r="J204" s="960"/>
      <c r="K204" s="712"/>
    </row>
    <row r="205" spans="1:21" s="1808" customFormat="1" ht="16" thickBot="1">
      <c r="A205" s="960"/>
      <c r="B205" s="960"/>
      <c r="C205" s="960"/>
      <c r="D205" s="960"/>
      <c r="E205" s="960"/>
      <c r="F205" s="960"/>
      <c r="G205" s="960"/>
      <c r="H205" s="960"/>
      <c r="I205" s="2164"/>
      <c r="J205" s="960"/>
      <c r="K205" s="712"/>
    </row>
    <row r="206" spans="1:21" s="1808" customFormat="1" ht="32">
      <c r="A206" s="960"/>
      <c r="B206" s="960"/>
      <c r="C206" s="960"/>
      <c r="D206" s="960"/>
      <c r="E206" s="960"/>
      <c r="F206" s="960"/>
      <c r="G206" s="960"/>
      <c r="H206" s="960"/>
      <c r="I206" s="2164"/>
      <c r="J206" s="960"/>
      <c r="K206" s="712"/>
      <c r="N206" s="1758" t="s">
        <v>2155</v>
      </c>
      <c r="O206" s="966"/>
      <c r="P206" s="966"/>
      <c r="Q206" s="966"/>
      <c r="R206" s="1759" t="s">
        <v>3060</v>
      </c>
      <c r="S206" s="966"/>
      <c r="T206" s="966"/>
      <c r="U206" s="967"/>
    </row>
    <row r="207" spans="1:21" s="1808" customFormat="1" ht="32">
      <c r="A207" s="960"/>
      <c r="B207" s="960"/>
      <c r="C207" s="960"/>
      <c r="D207" s="960"/>
      <c r="E207" s="960"/>
      <c r="F207" s="960"/>
      <c r="G207" s="960"/>
      <c r="H207" s="960"/>
      <c r="I207" s="2164"/>
      <c r="J207" s="960"/>
      <c r="K207" s="712"/>
      <c r="N207" s="1760" t="s">
        <v>3054</v>
      </c>
      <c r="O207" s="1749"/>
      <c r="P207" s="1565"/>
      <c r="Q207" s="1750">
        <v>1</v>
      </c>
      <c r="R207" s="1383">
        <v>15</v>
      </c>
      <c r="S207" s="960"/>
      <c r="T207" s="960"/>
      <c r="U207" s="62"/>
    </row>
    <row r="208" spans="1:21" s="1808" customFormat="1" ht="32">
      <c r="A208" s="960"/>
      <c r="B208" s="960"/>
      <c r="C208" s="960"/>
      <c r="D208" s="960"/>
      <c r="E208" s="960"/>
      <c r="F208" s="960"/>
      <c r="G208" s="960"/>
      <c r="H208" s="960"/>
      <c r="I208" s="2164"/>
      <c r="J208" s="960"/>
      <c r="K208" s="712"/>
      <c r="N208" s="1760" t="s">
        <v>3055</v>
      </c>
      <c r="O208" s="1749"/>
      <c r="P208" s="1565"/>
      <c r="Q208" s="1750">
        <v>2</v>
      </c>
      <c r="R208" s="1383">
        <v>10</v>
      </c>
      <c r="S208" s="960"/>
      <c r="T208" s="960"/>
      <c r="U208" s="62"/>
    </row>
    <row r="209" spans="1:21" s="1808" customFormat="1">
      <c r="A209" s="960"/>
      <c r="B209" s="960"/>
      <c r="C209" s="960"/>
      <c r="D209" s="960"/>
      <c r="E209" s="960"/>
      <c r="F209" s="960"/>
      <c r="G209" s="960"/>
      <c r="H209" s="960"/>
      <c r="I209" s="2164"/>
      <c r="J209" s="960"/>
      <c r="K209" s="712"/>
      <c r="N209" s="1049"/>
      <c r="O209" s="960"/>
      <c r="P209" s="960"/>
      <c r="Q209" s="960"/>
      <c r="R209" s="960"/>
      <c r="S209" s="960"/>
      <c r="T209" s="960"/>
      <c r="U209" s="62"/>
    </row>
    <row r="210" spans="1:21" s="1808" customFormat="1">
      <c r="A210" s="960"/>
      <c r="B210" s="960"/>
      <c r="C210" s="960"/>
      <c r="D210" s="960"/>
      <c r="E210" s="960"/>
      <c r="F210" s="960"/>
      <c r="G210" s="960"/>
      <c r="H210" s="960"/>
      <c r="I210" s="2164"/>
      <c r="J210" s="960"/>
      <c r="K210" s="712"/>
      <c r="N210" s="1049" t="s">
        <v>3059</v>
      </c>
      <c r="O210" s="960"/>
      <c r="P210" s="960"/>
      <c r="Q210" s="960"/>
      <c r="R210" s="960"/>
      <c r="S210" s="960"/>
      <c r="T210" s="960"/>
      <c r="U210" s="62"/>
    </row>
    <row r="211" spans="1:21" s="1808" customFormat="1" ht="32">
      <c r="A211" s="960"/>
      <c r="B211" s="960"/>
      <c r="C211" s="960"/>
      <c r="D211" s="960"/>
      <c r="E211" s="960"/>
      <c r="F211" s="960"/>
      <c r="G211" s="960"/>
      <c r="H211" s="960"/>
      <c r="I211" s="2164"/>
      <c r="J211" s="960"/>
      <c r="K211" s="712"/>
      <c r="N211" s="1760" t="s">
        <v>3061</v>
      </c>
      <c r="O211" s="1749"/>
      <c r="P211" s="1565"/>
      <c r="Q211" s="1750"/>
      <c r="R211" s="1383"/>
      <c r="S211" s="960"/>
      <c r="T211" s="960"/>
      <c r="U211" s="62"/>
    </row>
    <row r="212" spans="1:21" s="1808" customFormat="1" ht="32">
      <c r="A212" s="960"/>
      <c r="B212" s="960"/>
      <c r="C212" s="960"/>
      <c r="D212" s="960"/>
      <c r="E212" s="960"/>
      <c r="F212" s="960"/>
      <c r="G212" s="960"/>
      <c r="H212" s="960"/>
      <c r="I212" s="2164"/>
      <c r="J212" s="960"/>
      <c r="K212" s="712"/>
      <c r="N212" s="1760" t="s">
        <v>3062</v>
      </c>
      <c r="O212" s="1749"/>
      <c r="P212" s="1565"/>
      <c r="Q212" s="1750"/>
      <c r="R212" s="1383"/>
      <c r="S212" s="960"/>
      <c r="T212" s="960"/>
      <c r="U212" s="62"/>
    </row>
    <row r="213" spans="1:21" s="1808" customFormat="1">
      <c r="A213" s="960"/>
      <c r="B213" s="960"/>
      <c r="C213" s="960"/>
      <c r="D213" s="960"/>
      <c r="E213" s="960"/>
      <c r="F213" s="960"/>
      <c r="G213" s="960"/>
      <c r="H213" s="960"/>
      <c r="I213" s="2164"/>
      <c r="J213" s="960"/>
      <c r="K213" s="712"/>
      <c r="N213" s="1049"/>
      <c r="O213" s="960"/>
      <c r="P213" s="960"/>
      <c r="Q213" s="960"/>
      <c r="R213" s="960"/>
      <c r="S213" s="960"/>
      <c r="T213" s="960"/>
      <c r="U213" s="62"/>
    </row>
    <row r="214" spans="1:21" s="1808" customFormat="1">
      <c r="A214" s="960"/>
      <c r="B214" s="960"/>
      <c r="C214" s="960"/>
      <c r="D214" s="960"/>
      <c r="E214" s="960"/>
      <c r="F214" s="960"/>
      <c r="G214" s="960"/>
      <c r="H214" s="960"/>
      <c r="I214" s="2164"/>
      <c r="J214" s="960"/>
      <c r="K214" s="712"/>
      <c r="N214" s="1049"/>
      <c r="O214" s="960"/>
      <c r="P214" s="960"/>
      <c r="Q214" s="960"/>
      <c r="R214" s="960"/>
      <c r="S214" s="960"/>
      <c r="T214" s="960"/>
      <c r="U214" s="62"/>
    </row>
    <row r="215" spans="1:21" s="1808" customFormat="1" ht="16" thickBot="1">
      <c r="A215" s="960"/>
      <c r="B215" s="960"/>
      <c r="C215" s="960"/>
      <c r="D215" s="960"/>
      <c r="E215" s="960"/>
      <c r="F215" s="960"/>
      <c r="G215" s="960"/>
      <c r="H215" s="960"/>
      <c r="I215" s="2164"/>
      <c r="J215" s="960"/>
      <c r="K215" s="712"/>
      <c r="N215" s="1049" t="s">
        <v>3058</v>
      </c>
      <c r="O215" s="960"/>
      <c r="P215" s="960"/>
      <c r="Q215" s="960"/>
      <c r="R215" s="960"/>
      <c r="S215" s="960"/>
      <c r="T215" s="960"/>
      <c r="U215" s="62"/>
    </row>
    <row r="216" spans="1:21" s="1808" customFormat="1" ht="32">
      <c r="A216" s="960"/>
      <c r="B216" s="960"/>
      <c r="C216" s="960"/>
      <c r="D216" s="960"/>
      <c r="E216" s="960"/>
      <c r="F216" s="960"/>
      <c r="G216" s="960"/>
      <c r="H216" s="960"/>
      <c r="I216" s="2164"/>
      <c r="J216" s="960"/>
      <c r="K216" s="712"/>
      <c r="N216" s="1699" t="s">
        <v>3033</v>
      </c>
      <c r="O216" s="1700" t="s">
        <v>3034</v>
      </c>
      <c r="P216" s="1702" t="s">
        <v>3040</v>
      </c>
      <c r="Q216" s="1702" t="s">
        <v>3041</v>
      </c>
      <c r="R216" s="1702" t="s">
        <v>3042</v>
      </c>
      <c r="S216" s="1700" t="s">
        <v>3035</v>
      </c>
      <c r="T216" s="1702" t="s">
        <v>3067</v>
      </c>
      <c r="U216" s="1701" t="s">
        <v>2189</v>
      </c>
    </row>
    <row r="217" spans="1:21" s="1808" customFormat="1">
      <c r="A217" s="960"/>
      <c r="B217" s="960"/>
      <c r="C217" s="960"/>
      <c r="D217" s="960"/>
      <c r="E217" s="960"/>
      <c r="F217" s="960"/>
      <c r="G217" s="960"/>
      <c r="H217" s="960"/>
      <c r="I217" s="2164"/>
      <c r="J217" s="960"/>
      <c r="K217" s="712"/>
      <c r="N217" s="1539" t="s">
        <v>3051</v>
      </c>
      <c r="O217" s="958" t="str">
        <f>IFERROR(VLOOKUP(N217,Price_list!$B$1:$H$187,2,0),"")</f>
        <v>International Consultancy fee (3.1)</v>
      </c>
      <c r="P217" s="958" t="str">
        <f>IFERROR(VLOOKUP(N217,Price_list!$B$1:$H$187,3,0),"")</f>
        <v>cost/zi</v>
      </c>
      <c r="Q217" s="946">
        <f>IFERROR(VLOOKUP(N217,Price_list!$B$1:$H$187,4,0),"")</f>
        <v>350</v>
      </c>
      <c r="R217" s="946" t="str">
        <f>IFERROR(VLOOKUP(N217,Price_list!$B$1:$H$187,5,0),"")</f>
        <v>EUR</v>
      </c>
      <c r="S217" s="958">
        <f t="shared" ref="S217:S223" ca="1" si="61">ROUND(IFERROR(IF(R217="MDL",Q217,Q217*INDIRECT(R217)),0),2)</f>
        <v>6868.65</v>
      </c>
      <c r="T217" s="946">
        <f>Q207*R207</f>
        <v>15</v>
      </c>
      <c r="U217" s="1889">
        <f t="shared" ref="U217:U223" ca="1" si="62">T217*S217</f>
        <v>103029.75</v>
      </c>
    </row>
    <row r="218" spans="1:21" s="1808" customFormat="1">
      <c r="A218" s="960"/>
      <c r="B218" s="960"/>
      <c r="C218" s="960"/>
      <c r="D218" s="960"/>
      <c r="E218" s="960"/>
      <c r="F218" s="960"/>
      <c r="G218" s="960"/>
      <c r="H218" s="960"/>
      <c r="I218" s="2164"/>
      <c r="J218" s="960"/>
      <c r="K218" s="712"/>
      <c r="N218" s="1539" t="s">
        <v>3050</v>
      </c>
      <c r="O218" s="958" t="str">
        <f>IFERROR(VLOOKUP(N218,Price_list!$B$1:$H$187,2,0),"")</f>
        <v>National Consultancy fee (3.1)</v>
      </c>
      <c r="P218" s="958" t="str">
        <f>IFERROR(VLOOKUP(N218,Price_list!$B$1:$H$187,3,0),"")</f>
        <v>cost/zi</v>
      </c>
      <c r="Q218" s="946">
        <f>IFERROR(VLOOKUP(N218,Price_list!$B$1:$H$187,4,0),"")</f>
        <v>2000</v>
      </c>
      <c r="R218" s="946" t="str">
        <f>IFERROR(VLOOKUP(N218,Price_list!$B$1:$H$187,5,0),"")</f>
        <v>MDL</v>
      </c>
      <c r="S218" s="958">
        <f t="shared" ca="1" si="61"/>
        <v>2000</v>
      </c>
      <c r="T218" s="946">
        <f>Q208*R208</f>
        <v>20</v>
      </c>
      <c r="U218" s="1889">
        <f t="shared" ca="1" si="62"/>
        <v>40000</v>
      </c>
    </row>
    <row r="219" spans="1:21" s="1808" customFormat="1">
      <c r="A219" s="960"/>
      <c r="B219" s="960"/>
      <c r="C219" s="960"/>
      <c r="D219" s="960"/>
      <c r="E219" s="960"/>
      <c r="F219" s="960"/>
      <c r="G219" s="960"/>
      <c r="H219" s="960"/>
      <c r="I219" s="2164"/>
      <c r="J219" s="960"/>
      <c r="K219" s="712"/>
      <c r="N219" s="1539" t="s">
        <v>3063</v>
      </c>
      <c r="O219" s="958" t="str">
        <f>IFERROR(VLOOKUP(N219,Price_list!$B$1:$H$187,2,0),"")</f>
        <v>Translation per page</v>
      </c>
      <c r="P219" s="958" t="str">
        <f>IFERROR(VLOOKUP(N219,Price_list!$B$1:$H$187,3,0),"")</f>
        <v>pagina</v>
      </c>
      <c r="Q219" s="946">
        <f>IFERROR(VLOOKUP(N219,Price_list!$B$1:$H$187,4,0),"")</f>
        <v>150</v>
      </c>
      <c r="R219" s="946" t="str">
        <f>IFERROR(VLOOKUP(N219,Price_list!$B$1:$H$187,5,0),"")</f>
        <v>MDL</v>
      </c>
      <c r="S219" s="958">
        <f t="shared" ca="1" si="61"/>
        <v>150</v>
      </c>
      <c r="T219" s="946">
        <f>Q211</f>
        <v>0</v>
      </c>
      <c r="U219" s="1889">
        <f t="shared" ca="1" si="62"/>
        <v>0</v>
      </c>
    </row>
    <row r="220" spans="1:21" s="1808" customFormat="1">
      <c r="A220" s="960"/>
      <c r="B220" s="960"/>
      <c r="C220" s="960"/>
      <c r="D220" s="960"/>
      <c r="E220" s="960"/>
      <c r="F220" s="960"/>
      <c r="G220" s="960"/>
      <c r="H220" s="960"/>
      <c r="I220" s="2164"/>
      <c r="J220" s="960"/>
      <c r="K220" s="712"/>
      <c r="N220" s="1539" t="s">
        <v>3068</v>
      </c>
      <c r="O220" s="958" t="str">
        <f>IFERROR(VLOOKUP(N220,Price_list!$B$1:$H$187,2,0),"")</f>
        <v xml:space="preserve">Formatting, design, printing </v>
      </c>
      <c r="P220" s="958" t="str">
        <f>IFERROR(VLOOKUP(N220,Price_list!$B$1:$H$187,3,0),"")</f>
        <v>pagina</v>
      </c>
      <c r="Q220" s="946">
        <f>IFERROR(VLOOKUP(N220,Price_list!$B$1:$H$187,4,0),"")</f>
        <v>2</v>
      </c>
      <c r="R220" s="946" t="str">
        <f>IFERROR(VLOOKUP(N220,Price_list!$B$1:$H$187,5,0),"")</f>
        <v>MDL</v>
      </c>
      <c r="S220" s="958">
        <f t="shared" ca="1" si="61"/>
        <v>2</v>
      </c>
      <c r="T220" s="946">
        <f>Q211*Q212</f>
        <v>0</v>
      </c>
      <c r="U220" s="1889">
        <f t="shared" ca="1" si="62"/>
        <v>0</v>
      </c>
    </row>
    <row r="221" spans="1:21" s="1808" customFormat="1">
      <c r="A221" s="960"/>
      <c r="B221" s="960"/>
      <c r="C221" s="960"/>
      <c r="D221" s="960"/>
      <c r="E221" s="960"/>
      <c r="F221" s="960"/>
      <c r="G221" s="960"/>
      <c r="H221" s="960"/>
      <c r="I221" s="2164"/>
      <c r="J221" s="960"/>
      <c r="K221" s="712"/>
      <c r="N221" s="1539"/>
      <c r="O221" s="958" t="str">
        <f>IFERROR(VLOOKUP(N221,Price_list!$B$1:$H$187,2,0),"")</f>
        <v/>
      </c>
      <c r="P221" s="958" t="str">
        <f>IFERROR(VLOOKUP(N221,Price_list!$B$1:$H$187,3,0),"")</f>
        <v/>
      </c>
      <c r="Q221" s="946" t="str">
        <f>IFERROR(VLOOKUP(N221,Price_list!$B$1:$H$187,4,0),"")</f>
        <v/>
      </c>
      <c r="R221" s="946" t="str">
        <f>IFERROR(VLOOKUP(N221,Price_list!$B$1:$H$187,5,0),"")</f>
        <v/>
      </c>
      <c r="S221" s="958">
        <f t="shared" ca="1" si="61"/>
        <v>0</v>
      </c>
      <c r="T221" s="946"/>
      <c r="U221" s="1889">
        <f t="shared" ca="1" si="62"/>
        <v>0</v>
      </c>
    </row>
    <row r="222" spans="1:21" s="1808" customFormat="1">
      <c r="A222" s="960"/>
      <c r="B222" s="960"/>
      <c r="C222" s="960"/>
      <c r="D222" s="960"/>
      <c r="E222" s="960"/>
      <c r="F222" s="960"/>
      <c r="G222" s="960"/>
      <c r="H222" s="960"/>
      <c r="I222" s="2164"/>
      <c r="J222" s="960"/>
      <c r="K222" s="712"/>
      <c r="N222" s="1539"/>
      <c r="O222" s="958" t="str">
        <f>IFERROR(VLOOKUP(N222,Price_list!$B$1:$H$187,2,0),"")</f>
        <v/>
      </c>
      <c r="P222" s="958" t="str">
        <f>IFERROR(VLOOKUP(N222,Price_list!$B$1:$H$187,3,0),"")</f>
        <v/>
      </c>
      <c r="Q222" s="946" t="str">
        <f>IFERROR(VLOOKUP(N222,Price_list!$B$1:$H$187,4,0),"")</f>
        <v/>
      </c>
      <c r="R222" s="946" t="str">
        <f>IFERROR(VLOOKUP(N222,Price_list!$B$1:$H$187,5,0),"")</f>
        <v/>
      </c>
      <c r="S222" s="958">
        <f t="shared" ca="1" si="61"/>
        <v>0</v>
      </c>
      <c r="T222" s="946"/>
      <c r="U222" s="1889">
        <f t="shared" ca="1" si="62"/>
        <v>0</v>
      </c>
    </row>
    <row r="223" spans="1:21" s="1808" customFormat="1" ht="16" thickBot="1">
      <c r="A223" s="960"/>
      <c r="B223" s="960"/>
      <c r="C223" s="960"/>
      <c r="D223" s="960"/>
      <c r="E223" s="960"/>
      <c r="F223" s="960"/>
      <c r="G223" s="960"/>
      <c r="H223" s="960"/>
      <c r="I223" s="2164"/>
      <c r="J223" s="960"/>
      <c r="K223" s="712"/>
      <c r="N223" s="1539"/>
      <c r="O223" s="958" t="str">
        <f>IFERROR(VLOOKUP(N223,Price_list!$B$1:$H$187,2,0),"")</f>
        <v/>
      </c>
      <c r="P223" s="958" t="str">
        <f>IFERROR(VLOOKUP(N223,Price_list!$B$1:$H$187,3,0),"")</f>
        <v/>
      </c>
      <c r="Q223" s="946" t="str">
        <f>IFERROR(VLOOKUP(N223,Price_list!$B$1:$H$187,4,0),"")</f>
        <v/>
      </c>
      <c r="R223" s="946" t="str">
        <f>IFERROR(VLOOKUP(N223,Price_list!$B$1:$H$187,5,0),"")</f>
        <v/>
      </c>
      <c r="S223" s="958">
        <f t="shared" ca="1" si="61"/>
        <v>0</v>
      </c>
      <c r="T223" s="946"/>
      <c r="U223" s="1889">
        <f t="shared" ca="1" si="62"/>
        <v>0</v>
      </c>
    </row>
    <row r="224" spans="1:21" s="1808" customFormat="1" ht="16" thickBot="1">
      <c r="A224" s="960"/>
      <c r="B224" s="960"/>
      <c r="C224" s="960"/>
      <c r="D224" s="960"/>
      <c r="E224" s="960"/>
      <c r="F224" s="960"/>
      <c r="G224" s="960"/>
      <c r="H224" s="960"/>
      <c r="I224" s="2164"/>
      <c r="J224" s="960"/>
      <c r="K224" s="712"/>
      <c r="N224" s="1704"/>
      <c r="O224" s="1761"/>
      <c r="P224" s="1761"/>
      <c r="Q224" s="1761"/>
      <c r="R224" s="1761"/>
      <c r="S224" s="1761"/>
      <c r="T224" s="1761"/>
      <c r="U224" s="1706">
        <f ca="1">SUM(U217:U223)</f>
        <v>143029.75</v>
      </c>
    </row>
    <row r="225" spans="1:21" s="1808" customFormat="1">
      <c r="A225" s="960"/>
      <c r="B225" s="960"/>
      <c r="C225" s="960"/>
      <c r="D225" s="960"/>
      <c r="E225" s="960"/>
      <c r="F225" s="960"/>
      <c r="G225" s="960"/>
      <c r="H225" s="960"/>
      <c r="I225" s="2164"/>
      <c r="J225" s="960"/>
      <c r="K225" s="712"/>
      <c r="N225" s="1049"/>
      <c r="O225" s="960"/>
      <c r="P225" s="960"/>
      <c r="Q225" s="960"/>
      <c r="R225" s="960"/>
      <c r="S225" s="960"/>
      <c r="T225" s="960"/>
      <c r="U225" s="62"/>
    </row>
    <row r="226" spans="1:21" s="1808" customFormat="1" ht="16" thickBot="1">
      <c r="A226" s="960"/>
      <c r="B226" s="960"/>
      <c r="C226" s="960"/>
      <c r="D226" s="960"/>
      <c r="E226" s="960"/>
      <c r="F226" s="960"/>
      <c r="G226" s="960"/>
      <c r="H226" s="960"/>
      <c r="I226" s="2164"/>
      <c r="J226" s="960"/>
      <c r="K226" s="712"/>
      <c r="N226" s="1049"/>
      <c r="O226" s="960"/>
      <c r="P226" s="960"/>
      <c r="Q226" s="960"/>
      <c r="R226" s="960"/>
      <c r="S226" s="960"/>
      <c r="T226" s="960"/>
      <c r="U226" s="62"/>
    </row>
    <row r="227" spans="1:21" s="1808" customFormat="1" ht="16" thickBot="1">
      <c r="A227" s="960"/>
      <c r="B227" s="960"/>
      <c r="C227" s="960"/>
      <c r="D227" s="960"/>
      <c r="E227" s="960"/>
      <c r="F227" s="960"/>
      <c r="G227" s="960"/>
      <c r="H227" s="960"/>
      <c r="I227" s="2164"/>
      <c r="J227" s="960"/>
      <c r="K227" s="712"/>
      <c r="N227" s="1049" t="s">
        <v>2171</v>
      </c>
      <c r="O227" s="960"/>
      <c r="P227" s="960"/>
      <c r="Q227" s="1500">
        <v>2021</v>
      </c>
      <c r="R227" s="1762">
        <v>2022</v>
      </c>
      <c r="S227" s="1762">
        <v>2023</v>
      </c>
      <c r="T227" s="1762">
        <v>2024</v>
      </c>
      <c r="U227" s="1763">
        <v>2025</v>
      </c>
    </row>
    <row r="228" spans="1:21" s="1808" customFormat="1" ht="16" thickBot="1">
      <c r="A228" s="960"/>
      <c r="B228" s="960"/>
      <c r="C228" s="960"/>
      <c r="D228" s="960"/>
      <c r="E228" s="960"/>
      <c r="F228" s="960"/>
      <c r="G228" s="960"/>
      <c r="H228" s="960"/>
      <c r="I228" s="2164"/>
      <c r="J228" s="960"/>
      <c r="K228" s="712"/>
      <c r="N228" s="1764"/>
      <c r="O228" s="1504"/>
      <c r="P228" s="1504"/>
      <c r="Q228" s="1713">
        <v>1</v>
      </c>
      <c r="R228" s="1713">
        <v>0</v>
      </c>
      <c r="S228" s="1713">
        <v>0</v>
      </c>
      <c r="T228" s="1713">
        <v>0</v>
      </c>
      <c r="U228" s="1765">
        <v>0</v>
      </c>
    </row>
    <row r="229" spans="1:21" s="1808" customFormat="1" ht="16" thickBot="1">
      <c r="A229" s="2157">
        <v>179</v>
      </c>
      <c r="B229" s="841">
        <f ca="1">Q229</f>
        <v>143029.75</v>
      </c>
      <c r="C229" s="841">
        <f ca="1">R229</f>
        <v>0</v>
      </c>
      <c r="D229" s="841">
        <f ca="1">S229</f>
        <v>0</v>
      </c>
      <c r="E229" s="841">
        <f ca="1">T229</f>
        <v>0</v>
      </c>
      <c r="F229" s="841">
        <f ca="1">U229</f>
        <v>0</v>
      </c>
      <c r="G229" s="841" t="s">
        <v>351</v>
      </c>
      <c r="H229" s="841" t="s">
        <v>3484</v>
      </c>
      <c r="I229" s="2180" t="s">
        <v>3716</v>
      </c>
      <c r="J229" s="841" t="s">
        <v>2972</v>
      </c>
      <c r="K229" s="712"/>
      <c r="N229" s="1710" t="s">
        <v>3044</v>
      </c>
      <c r="O229" s="1732"/>
      <c r="P229" s="1708"/>
      <c r="Q229" s="1495">
        <f ca="1">U224*Q228</f>
        <v>143029.75</v>
      </c>
      <c r="R229" s="1495">
        <f ca="1">U224*R228</f>
        <v>0</v>
      </c>
      <c r="S229" s="1495">
        <f ca="1">U224*S228</f>
        <v>0</v>
      </c>
      <c r="T229" s="1495">
        <f ca="1">U224*T228</f>
        <v>0</v>
      </c>
      <c r="U229" s="1495">
        <f ca="1">U224*U228</f>
        <v>0</v>
      </c>
    </row>
    <row r="230" spans="1:21" s="1808" customFormat="1">
      <c r="A230" s="960"/>
      <c r="B230" s="960"/>
      <c r="C230" s="960"/>
      <c r="D230" s="960"/>
      <c r="E230" s="960"/>
      <c r="F230" s="960"/>
      <c r="G230" s="960"/>
      <c r="H230" s="960"/>
      <c r="I230" s="2164"/>
      <c r="J230" s="960"/>
      <c r="K230" s="712"/>
    </row>
    <row r="231" spans="1:21" s="1808" customFormat="1">
      <c r="A231" s="960"/>
      <c r="B231" s="960"/>
      <c r="C231" s="960"/>
      <c r="D231" s="960"/>
      <c r="E231" s="960"/>
      <c r="F231" s="960"/>
      <c r="G231" s="960"/>
      <c r="H231" s="960"/>
      <c r="I231" s="2164"/>
      <c r="J231" s="960"/>
      <c r="K231" s="712"/>
    </row>
    <row r="232" spans="1:21" s="1808" customFormat="1">
      <c r="A232" s="960"/>
      <c r="B232" s="960"/>
      <c r="C232" s="960"/>
      <c r="D232" s="960"/>
      <c r="E232" s="960"/>
      <c r="F232" s="960"/>
      <c r="G232" s="960"/>
      <c r="H232" s="960"/>
      <c r="I232" s="2164"/>
      <c r="J232" s="960"/>
      <c r="K232" s="712"/>
    </row>
    <row r="233" spans="1:21" s="1808" customFormat="1" ht="19">
      <c r="A233" s="960"/>
      <c r="B233" s="960"/>
      <c r="C233" s="960"/>
      <c r="D233" s="960"/>
      <c r="E233" s="960"/>
      <c r="F233" s="960"/>
      <c r="G233" s="960"/>
      <c r="H233" s="960"/>
      <c r="I233" s="2164"/>
      <c r="J233" s="960"/>
      <c r="K233" s="712"/>
      <c r="L233" s="1968"/>
    </row>
    <row r="234" spans="1:21" s="1808" customFormat="1" ht="19">
      <c r="A234" s="960"/>
      <c r="B234" s="960"/>
      <c r="C234" s="960"/>
      <c r="D234" s="960"/>
      <c r="E234" s="960"/>
      <c r="F234" s="960"/>
      <c r="G234" s="960"/>
      <c r="H234" s="960"/>
      <c r="I234" s="2164"/>
      <c r="J234" s="960"/>
      <c r="K234" s="712"/>
      <c r="L234" s="1969" t="s">
        <v>3131</v>
      </c>
      <c r="M234"/>
      <c r="N234"/>
      <c r="O234"/>
      <c r="P234"/>
      <c r="Q234"/>
    </row>
    <row r="235" spans="1:21" s="1808" customFormat="1" ht="19">
      <c r="A235" s="960"/>
      <c r="B235" s="960"/>
      <c r="C235" s="960"/>
      <c r="D235" s="960"/>
      <c r="E235" s="960"/>
      <c r="F235" s="960"/>
      <c r="G235" s="960"/>
      <c r="H235" s="960"/>
      <c r="I235" s="2164"/>
      <c r="J235" s="960"/>
      <c r="K235" s="712"/>
      <c r="L235" s="1969"/>
    </row>
    <row r="236" spans="1:21" ht="19">
      <c r="K236" s="712" t="s">
        <v>238</v>
      </c>
      <c r="L236" s="1969" t="s">
        <v>3706</v>
      </c>
    </row>
    <row r="237" spans="1:21">
      <c r="K237" s="712" t="s">
        <v>238</v>
      </c>
    </row>
    <row r="238" spans="1:21">
      <c r="K238" s="712" t="s">
        <v>238</v>
      </c>
    </row>
    <row r="239" spans="1:21" s="1808" customFormat="1">
      <c r="A239" s="960"/>
      <c r="B239" s="960"/>
      <c r="C239" s="960"/>
      <c r="D239" s="960"/>
      <c r="E239" s="960"/>
      <c r="F239" s="960"/>
      <c r="G239" s="960"/>
      <c r="H239" s="960"/>
      <c r="I239" s="2164"/>
      <c r="J239" s="960"/>
      <c r="K239" s="712"/>
      <c r="M239"/>
      <c r="N239"/>
      <c r="O239"/>
      <c r="P239"/>
      <c r="Q239"/>
    </row>
    <row r="240" spans="1:21">
      <c r="K240" s="712" t="s">
        <v>238</v>
      </c>
    </row>
    <row r="241" spans="1:21" ht="16" thickBot="1">
      <c r="K241" s="712" t="s">
        <v>238</v>
      </c>
    </row>
    <row r="242" spans="1:21" ht="16" thickBot="1">
      <c r="K242" s="712" t="s">
        <v>238</v>
      </c>
      <c r="N242" s="1808"/>
      <c r="O242" s="960"/>
      <c r="P242" s="960" t="s">
        <v>3485</v>
      </c>
      <c r="Q242" s="1500">
        <v>2021</v>
      </c>
      <c r="R242" s="1762">
        <v>2022</v>
      </c>
      <c r="S242" s="1762">
        <v>2023</v>
      </c>
      <c r="T242" s="1762">
        <v>2024</v>
      </c>
      <c r="U242" s="1763">
        <v>2025</v>
      </c>
    </row>
    <row r="243" spans="1:21" ht="16" thickBot="1">
      <c r="K243" s="712" t="s">
        <v>238</v>
      </c>
      <c r="N243" s="1764"/>
      <c r="O243" s="1504"/>
      <c r="P243" s="1504"/>
      <c r="Q243" s="1713">
        <v>1</v>
      </c>
      <c r="R243" s="1713">
        <v>0</v>
      </c>
      <c r="S243" s="1713">
        <v>0</v>
      </c>
      <c r="T243" s="1713">
        <v>0</v>
      </c>
      <c r="U243" s="1765">
        <v>0</v>
      </c>
    </row>
    <row r="244" spans="1:21" ht="16" thickBot="1">
      <c r="A244" s="2157">
        <v>182</v>
      </c>
      <c r="B244" s="841">
        <f>Q244</f>
        <v>264453.15000000002</v>
      </c>
      <c r="C244" s="841">
        <f>R244</f>
        <v>0</v>
      </c>
      <c r="D244" s="841">
        <f>S244</f>
        <v>0</v>
      </c>
      <c r="E244" s="841">
        <f>T244</f>
        <v>0</v>
      </c>
      <c r="F244" s="841">
        <f>U244</f>
        <v>0</v>
      </c>
      <c r="G244" s="841" t="s">
        <v>351</v>
      </c>
      <c r="H244" s="841" t="s">
        <v>3706</v>
      </c>
      <c r="I244" s="2180" t="s">
        <v>3716</v>
      </c>
      <c r="J244" s="841" t="s">
        <v>3131</v>
      </c>
      <c r="K244" s="712" t="s">
        <v>238</v>
      </c>
      <c r="N244" s="1710" t="s">
        <v>3044</v>
      </c>
      <c r="O244" s="1732"/>
      <c r="P244" s="2011">
        <v>264453.15000000002</v>
      </c>
      <c r="Q244" s="1495">
        <f>P244*Q243</f>
        <v>264453.15000000002</v>
      </c>
      <c r="R244" s="1495">
        <f>P244*R243</f>
        <v>0</v>
      </c>
      <c r="S244" s="1495">
        <f>P244*S243</f>
        <v>0</v>
      </c>
      <c r="T244" s="1495">
        <f>P244*T243</f>
        <v>0</v>
      </c>
      <c r="U244" s="1495">
        <f>P244*U243</f>
        <v>0</v>
      </c>
    </row>
    <row r="245" spans="1:21" s="1808" customFormat="1" ht="19">
      <c r="A245" s="960"/>
      <c r="B245" s="960"/>
      <c r="C245" s="960"/>
      <c r="D245" s="960"/>
      <c r="E245" s="960"/>
      <c r="F245" s="960"/>
      <c r="G245" s="960"/>
      <c r="H245" s="960"/>
      <c r="I245" s="2164"/>
      <c r="J245" s="960"/>
      <c r="K245" s="712"/>
      <c r="L245" s="1969"/>
      <c r="P245" t="s">
        <v>3544</v>
      </c>
    </row>
    <row r="246" spans="1:21" s="1808" customFormat="1" ht="19">
      <c r="A246" s="960"/>
      <c r="B246" s="960"/>
      <c r="C246" s="960"/>
      <c r="D246" s="960"/>
      <c r="E246" s="960"/>
      <c r="F246" s="960"/>
      <c r="G246" s="960"/>
      <c r="H246" s="960"/>
      <c r="I246" s="2164"/>
      <c r="J246" s="960"/>
      <c r="K246" s="712"/>
      <c r="L246" s="1969"/>
    </row>
    <row r="247" spans="1:21" s="1808" customFormat="1" ht="19">
      <c r="A247" s="960"/>
      <c r="B247" s="960"/>
      <c r="C247" s="960"/>
      <c r="D247" s="960"/>
      <c r="E247" s="960"/>
      <c r="F247" s="960"/>
      <c r="G247" s="960"/>
      <c r="H247" s="960"/>
      <c r="I247" s="2164"/>
      <c r="J247" s="960"/>
      <c r="K247" s="712"/>
      <c r="L247" s="1968"/>
      <c r="M247"/>
      <c r="N247"/>
      <c r="O247"/>
      <c r="P247"/>
      <c r="Q247"/>
    </row>
    <row r="248" spans="1:21" s="1808" customFormat="1" ht="19">
      <c r="A248" s="960"/>
      <c r="B248" s="960"/>
      <c r="C248" s="960"/>
      <c r="D248" s="960"/>
      <c r="E248" s="960"/>
      <c r="F248" s="960"/>
      <c r="G248" s="960"/>
      <c r="H248" s="960"/>
      <c r="I248" s="2164"/>
      <c r="J248" s="960"/>
      <c r="K248" s="712"/>
      <c r="L248" s="1969" t="s">
        <v>3707</v>
      </c>
    </row>
    <row r="249" spans="1:21" s="1808" customFormat="1" ht="20" thickBot="1">
      <c r="A249" s="960"/>
      <c r="B249" s="960"/>
      <c r="C249" s="960"/>
      <c r="D249" s="960"/>
      <c r="E249" s="960"/>
      <c r="F249" s="960"/>
      <c r="G249" s="960"/>
      <c r="H249" s="960"/>
      <c r="I249" s="2164"/>
      <c r="J249" s="960"/>
      <c r="K249" s="712"/>
      <c r="L249" s="1968"/>
    </row>
    <row r="250" spans="1:21" s="1808" customFormat="1" ht="33">
      <c r="A250" s="960"/>
      <c r="B250" s="960"/>
      <c r="C250" s="960"/>
      <c r="D250" s="960"/>
      <c r="E250" s="960"/>
      <c r="F250" s="960"/>
      <c r="G250" s="960"/>
      <c r="H250" s="960"/>
      <c r="I250" s="2164"/>
      <c r="J250" s="960"/>
      <c r="K250" s="712"/>
      <c r="L250" s="1968"/>
      <c r="N250" s="1758" t="s">
        <v>2155</v>
      </c>
      <c r="O250" s="966"/>
      <c r="P250" s="966"/>
      <c r="Q250" s="966"/>
      <c r="R250" s="1759" t="s">
        <v>3060</v>
      </c>
      <c r="S250" s="966"/>
      <c r="T250" s="966"/>
      <c r="U250" s="967"/>
    </row>
    <row r="251" spans="1:21" s="1808" customFormat="1" ht="32">
      <c r="A251" s="960"/>
      <c r="B251" s="960"/>
      <c r="C251" s="960"/>
      <c r="D251" s="960"/>
      <c r="E251" s="960"/>
      <c r="F251" s="960"/>
      <c r="G251" s="960"/>
      <c r="H251" s="960"/>
      <c r="I251" s="2164"/>
      <c r="J251" s="960"/>
      <c r="K251" s="712"/>
      <c r="N251" s="1760" t="s">
        <v>3054</v>
      </c>
      <c r="O251" s="1749"/>
      <c r="P251" s="1565"/>
      <c r="Q251" s="1750"/>
      <c r="R251" s="1383"/>
      <c r="S251" s="960"/>
      <c r="T251" s="960"/>
      <c r="U251" s="62"/>
    </row>
    <row r="252" spans="1:21" s="1808" customFormat="1" ht="32">
      <c r="A252" s="960"/>
      <c r="B252" s="960"/>
      <c r="C252" s="960"/>
      <c r="D252" s="960"/>
      <c r="E252" s="960"/>
      <c r="F252" s="960"/>
      <c r="G252" s="960"/>
      <c r="H252" s="960"/>
      <c r="I252" s="2164"/>
      <c r="J252" s="960"/>
      <c r="K252" s="712"/>
      <c r="N252" s="1760" t="s">
        <v>3055</v>
      </c>
      <c r="O252" s="1749"/>
      <c r="P252" s="1565"/>
      <c r="Q252" s="1750">
        <v>2</v>
      </c>
      <c r="R252" s="1383">
        <v>10</v>
      </c>
      <c r="S252" s="960"/>
      <c r="T252" s="960"/>
      <c r="U252" s="62"/>
    </row>
    <row r="253" spans="1:21" s="1808" customFormat="1">
      <c r="A253" s="960"/>
      <c r="B253" s="960"/>
      <c r="C253" s="960"/>
      <c r="D253" s="960"/>
      <c r="E253" s="960"/>
      <c r="F253" s="960"/>
      <c r="G253" s="960"/>
      <c r="H253" s="960"/>
      <c r="I253" s="2164"/>
      <c r="J253" s="960"/>
      <c r="K253" s="712"/>
      <c r="N253" s="1049"/>
      <c r="O253" s="960"/>
      <c r="P253" s="960"/>
      <c r="Q253" s="960"/>
      <c r="R253" s="960"/>
      <c r="S253" s="960"/>
      <c r="T253" s="960"/>
      <c r="U253" s="62"/>
    </row>
    <row r="254" spans="1:21" s="1808" customFormat="1">
      <c r="A254" s="960"/>
      <c r="B254" s="960"/>
      <c r="C254" s="960"/>
      <c r="D254" s="960"/>
      <c r="E254" s="960"/>
      <c r="F254" s="960"/>
      <c r="G254" s="960"/>
      <c r="H254" s="960"/>
      <c r="I254" s="2164"/>
      <c r="J254" s="960"/>
      <c r="K254" s="712"/>
      <c r="N254" s="1049" t="s">
        <v>3059</v>
      </c>
      <c r="O254" s="960"/>
      <c r="P254" s="960"/>
      <c r="Q254" s="960"/>
      <c r="R254" s="960"/>
      <c r="S254" s="960"/>
      <c r="T254" s="960"/>
      <c r="U254" s="62"/>
    </row>
    <row r="255" spans="1:21" s="1808" customFormat="1" ht="32">
      <c r="A255" s="960"/>
      <c r="B255" s="960"/>
      <c r="C255" s="960"/>
      <c r="D255" s="960"/>
      <c r="E255" s="960"/>
      <c r="F255" s="960"/>
      <c r="G255" s="960"/>
      <c r="H255" s="960"/>
      <c r="I255" s="2164"/>
      <c r="J255" s="960"/>
      <c r="K255" s="712"/>
      <c r="N255" s="1760" t="s">
        <v>3061</v>
      </c>
      <c r="O255" s="1749"/>
      <c r="P255" s="1565"/>
      <c r="Q255" s="1750"/>
      <c r="R255" s="1383"/>
      <c r="S255" s="960"/>
      <c r="T255" s="960"/>
      <c r="U255" s="62"/>
    </row>
    <row r="256" spans="1:21" ht="32">
      <c r="K256" s="712" t="s">
        <v>238</v>
      </c>
      <c r="N256" s="1760" t="s">
        <v>3062</v>
      </c>
      <c r="O256" s="1749"/>
      <c r="P256" s="1565"/>
      <c r="Q256" s="1750"/>
      <c r="R256" s="1383"/>
      <c r="S256" s="960"/>
      <c r="T256" s="960"/>
      <c r="U256" s="62"/>
    </row>
    <row r="257" spans="1:21">
      <c r="K257" s="712" t="s">
        <v>238</v>
      </c>
      <c r="N257" s="1049"/>
      <c r="O257" s="960"/>
      <c r="P257" s="960"/>
      <c r="Q257" s="960"/>
      <c r="R257" s="960"/>
      <c r="S257" s="960"/>
      <c r="T257" s="960"/>
      <c r="U257" s="62"/>
    </row>
    <row r="258" spans="1:21" s="1808" customFormat="1">
      <c r="A258" s="960"/>
      <c r="B258" s="960"/>
      <c r="C258" s="960"/>
      <c r="D258" s="960"/>
      <c r="E258" s="960"/>
      <c r="F258" s="960"/>
      <c r="G258" s="960"/>
      <c r="H258" s="960"/>
      <c r="I258" s="2164"/>
      <c r="J258" s="960"/>
      <c r="K258" s="712"/>
      <c r="N258" s="1049"/>
      <c r="O258" s="960"/>
      <c r="P258" s="960"/>
      <c r="Q258" s="960"/>
      <c r="R258" s="960"/>
      <c r="S258" s="960"/>
      <c r="T258" s="960"/>
      <c r="U258" s="62"/>
    </row>
    <row r="259" spans="1:21" s="1808" customFormat="1" ht="16" thickBot="1">
      <c r="A259" s="960"/>
      <c r="B259" s="960"/>
      <c r="C259" s="960"/>
      <c r="D259" s="960"/>
      <c r="E259" s="960"/>
      <c r="F259" s="960"/>
      <c r="G259" s="960"/>
      <c r="H259" s="960"/>
      <c r="I259" s="2164"/>
      <c r="J259" s="960"/>
      <c r="K259" s="712"/>
      <c r="N259" s="1049" t="s">
        <v>3058</v>
      </c>
      <c r="O259" s="960"/>
      <c r="P259" s="960"/>
      <c r="Q259" s="960"/>
      <c r="R259" s="960"/>
      <c r="S259" s="960"/>
      <c r="T259" s="960"/>
      <c r="U259" s="62"/>
    </row>
    <row r="260" spans="1:21" s="1808" customFormat="1" ht="32">
      <c r="A260" s="960"/>
      <c r="B260" s="960"/>
      <c r="C260" s="960"/>
      <c r="D260" s="960"/>
      <c r="E260" s="960"/>
      <c r="F260" s="960"/>
      <c r="G260" s="960"/>
      <c r="H260" s="960"/>
      <c r="I260" s="2164"/>
      <c r="J260" s="960"/>
      <c r="K260" s="712"/>
      <c r="N260" s="1699" t="s">
        <v>3033</v>
      </c>
      <c r="O260" s="1700" t="s">
        <v>3034</v>
      </c>
      <c r="P260" s="1702" t="s">
        <v>3040</v>
      </c>
      <c r="Q260" s="1702" t="s">
        <v>3041</v>
      </c>
      <c r="R260" s="1702" t="s">
        <v>3042</v>
      </c>
      <c r="S260" s="1700" t="s">
        <v>3035</v>
      </c>
      <c r="T260" s="1702" t="s">
        <v>3067</v>
      </c>
      <c r="U260" s="1701" t="s">
        <v>2189</v>
      </c>
    </row>
    <row r="261" spans="1:21" s="1808" customFormat="1">
      <c r="A261" s="960"/>
      <c r="B261" s="960"/>
      <c r="C261" s="960"/>
      <c r="D261" s="960"/>
      <c r="E261" s="960"/>
      <c r="F261" s="960"/>
      <c r="G261" s="960"/>
      <c r="H261" s="960"/>
      <c r="I261" s="2164"/>
      <c r="J261" s="960"/>
      <c r="K261" s="712"/>
      <c r="N261" s="1539" t="s">
        <v>3051</v>
      </c>
      <c r="O261" s="958" t="str">
        <f>IFERROR(VLOOKUP(N261,Price_list!$B$1:$H$187,2,0),"")</f>
        <v>International Consultancy fee (3.1)</v>
      </c>
      <c r="P261" s="958" t="str">
        <f>IFERROR(VLOOKUP(N261,Price_list!$B$1:$H$187,3,0),"")</f>
        <v>cost/zi</v>
      </c>
      <c r="Q261" s="946">
        <f>IFERROR(VLOOKUP(N261,Price_list!$B$1:$H$187,4,0),"")</f>
        <v>350</v>
      </c>
      <c r="R261" s="946" t="str">
        <f>IFERROR(VLOOKUP(N261,Price_list!$B$1:$H$187,5,0),"")</f>
        <v>EUR</v>
      </c>
      <c r="S261" s="958">
        <f t="shared" ref="S261:S267" ca="1" si="63">ROUND(IFERROR(IF(R261="MDL",Q261,Q261*INDIRECT(R261)),0),2)</f>
        <v>6868.65</v>
      </c>
      <c r="T261" s="946">
        <f>Q251*R251</f>
        <v>0</v>
      </c>
      <c r="U261" s="1889">
        <f t="shared" ref="U261:U267" ca="1" si="64">T261*S261</f>
        <v>0</v>
      </c>
    </row>
    <row r="262" spans="1:21" s="1808" customFormat="1">
      <c r="A262" s="960"/>
      <c r="B262" s="960"/>
      <c r="C262" s="960"/>
      <c r="D262" s="960"/>
      <c r="E262" s="960"/>
      <c r="F262" s="960"/>
      <c r="G262" s="960"/>
      <c r="H262" s="960"/>
      <c r="I262" s="2164"/>
      <c r="J262" s="960"/>
      <c r="K262" s="712"/>
      <c r="N262" s="1539" t="s">
        <v>3050</v>
      </c>
      <c r="O262" s="958" t="str">
        <f>IFERROR(VLOOKUP(N262,Price_list!$B$1:$H$187,2,0),"")</f>
        <v>National Consultancy fee (3.1)</v>
      </c>
      <c r="P262" s="958" t="str">
        <f>IFERROR(VLOOKUP(N262,Price_list!$B$1:$H$187,3,0),"")</f>
        <v>cost/zi</v>
      </c>
      <c r="Q262" s="946">
        <f>IFERROR(VLOOKUP(N262,Price_list!$B$1:$H$187,4,0),"")</f>
        <v>2000</v>
      </c>
      <c r="R262" s="946" t="str">
        <f>IFERROR(VLOOKUP(N262,Price_list!$B$1:$H$187,5,0),"")</f>
        <v>MDL</v>
      </c>
      <c r="S262" s="958">
        <f t="shared" ca="1" si="63"/>
        <v>2000</v>
      </c>
      <c r="T262" s="946">
        <f>Q252*R252</f>
        <v>20</v>
      </c>
      <c r="U262" s="1889">
        <f t="shared" ca="1" si="64"/>
        <v>40000</v>
      </c>
    </row>
    <row r="263" spans="1:21" s="1808" customFormat="1">
      <c r="A263" s="960"/>
      <c r="B263" s="960"/>
      <c r="C263" s="960"/>
      <c r="D263" s="960"/>
      <c r="E263" s="960"/>
      <c r="F263" s="960"/>
      <c r="G263" s="960"/>
      <c r="H263" s="960"/>
      <c r="I263" s="2164"/>
      <c r="J263" s="960"/>
      <c r="K263" s="712"/>
      <c r="N263" s="1539" t="s">
        <v>3063</v>
      </c>
      <c r="O263" s="958" t="str">
        <f>IFERROR(VLOOKUP(N263,Price_list!$B$1:$H$187,2,0),"")</f>
        <v>Translation per page</v>
      </c>
      <c r="P263" s="958" t="str">
        <f>IFERROR(VLOOKUP(N263,Price_list!$B$1:$H$187,3,0),"")</f>
        <v>pagina</v>
      </c>
      <c r="Q263" s="946">
        <f>IFERROR(VLOOKUP(N263,Price_list!$B$1:$H$187,4,0),"")</f>
        <v>150</v>
      </c>
      <c r="R263" s="946" t="str">
        <f>IFERROR(VLOOKUP(N263,Price_list!$B$1:$H$187,5,0),"")</f>
        <v>MDL</v>
      </c>
      <c r="S263" s="958">
        <f t="shared" ca="1" si="63"/>
        <v>150</v>
      </c>
      <c r="T263" s="946">
        <f>Q255</f>
        <v>0</v>
      </c>
      <c r="U263" s="1889">
        <f t="shared" ca="1" si="64"/>
        <v>0</v>
      </c>
    </row>
    <row r="264" spans="1:21" s="1808" customFormat="1">
      <c r="A264" s="960"/>
      <c r="B264" s="960"/>
      <c r="C264" s="960"/>
      <c r="D264" s="960"/>
      <c r="E264" s="960"/>
      <c r="F264" s="960"/>
      <c r="G264" s="960"/>
      <c r="H264" s="960"/>
      <c r="I264" s="2164"/>
      <c r="J264" s="960"/>
      <c r="K264" s="712"/>
      <c r="N264" s="1539" t="s">
        <v>3068</v>
      </c>
      <c r="O264" s="958" t="str">
        <f>IFERROR(VLOOKUP(N264,Price_list!$B$1:$H$187,2,0),"")</f>
        <v xml:space="preserve">Formatting, design, printing </v>
      </c>
      <c r="P264" s="958" t="str">
        <f>IFERROR(VLOOKUP(N264,Price_list!$B$1:$H$187,3,0),"")</f>
        <v>pagina</v>
      </c>
      <c r="Q264" s="946">
        <f>IFERROR(VLOOKUP(N264,Price_list!$B$1:$H$187,4,0),"")</f>
        <v>2</v>
      </c>
      <c r="R264" s="946" t="str">
        <f>IFERROR(VLOOKUP(N264,Price_list!$B$1:$H$187,5,0),"")</f>
        <v>MDL</v>
      </c>
      <c r="S264" s="958">
        <f t="shared" ca="1" si="63"/>
        <v>2</v>
      </c>
      <c r="T264" s="946">
        <f>Q255*Q256</f>
        <v>0</v>
      </c>
      <c r="U264" s="1889">
        <f t="shared" ca="1" si="64"/>
        <v>0</v>
      </c>
    </row>
    <row r="265" spans="1:21" s="1808" customFormat="1">
      <c r="A265" s="960"/>
      <c r="B265" s="960"/>
      <c r="C265" s="960"/>
      <c r="D265" s="960"/>
      <c r="E265" s="960"/>
      <c r="F265" s="960"/>
      <c r="G265" s="960"/>
      <c r="H265" s="960"/>
      <c r="I265" s="2164"/>
      <c r="J265" s="960"/>
      <c r="K265" s="712"/>
      <c r="N265" s="1539"/>
      <c r="O265" s="958" t="str">
        <f>IFERROR(VLOOKUP(N265,Price_list!$B$1:$H$187,2,0),"")</f>
        <v/>
      </c>
      <c r="P265" s="958" t="str">
        <f>IFERROR(VLOOKUP(N265,Price_list!$B$1:$H$187,3,0),"")</f>
        <v/>
      </c>
      <c r="Q265" s="946" t="str">
        <f>IFERROR(VLOOKUP(N265,Price_list!$B$1:$H$187,4,0),"")</f>
        <v/>
      </c>
      <c r="R265" s="946" t="str">
        <f>IFERROR(VLOOKUP(N265,Price_list!$B$1:$H$187,5,0),"")</f>
        <v/>
      </c>
      <c r="S265" s="958">
        <f t="shared" ca="1" si="63"/>
        <v>0</v>
      </c>
      <c r="T265" s="946"/>
      <c r="U265" s="1889">
        <f t="shared" ca="1" si="64"/>
        <v>0</v>
      </c>
    </row>
    <row r="266" spans="1:21" s="1808" customFormat="1">
      <c r="A266" s="960"/>
      <c r="B266" s="960"/>
      <c r="C266" s="960"/>
      <c r="D266" s="960"/>
      <c r="E266" s="960"/>
      <c r="F266" s="960"/>
      <c r="G266" s="960"/>
      <c r="H266" s="960"/>
      <c r="I266" s="2164"/>
      <c r="J266" s="960"/>
      <c r="K266" s="712"/>
      <c r="N266" s="1539"/>
      <c r="O266" s="958" t="str">
        <f>IFERROR(VLOOKUP(N266,Price_list!$B$1:$H$187,2,0),"")</f>
        <v/>
      </c>
      <c r="P266" s="958" t="str">
        <f>IFERROR(VLOOKUP(N266,Price_list!$B$1:$H$187,3,0),"")</f>
        <v/>
      </c>
      <c r="Q266" s="946" t="str">
        <f>IFERROR(VLOOKUP(N266,Price_list!$B$1:$H$187,4,0),"")</f>
        <v/>
      </c>
      <c r="R266" s="946" t="str">
        <f>IFERROR(VLOOKUP(N266,Price_list!$B$1:$H$187,5,0),"")</f>
        <v/>
      </c>
      <c r="S266" s="958">
        <f t="shared" ca="1" si="63"/>
        <v>0</v>
      </c>
      <c r="T266" s="946"/>
      <c r="U266" s="1889">
        <f t="shared" ca="1" si="64"/>
        <v>0</v>
      </c>
    </row>
    <row r="267" spans="1:21" s="1808" customFormat="1" ht="16" thickBot="1">
      <c r="A267" s="960"/>
      <c r="B267" s="960"/>
      <c r="C267" s="960"/>
      <c r="D267" s="960"/>
      <c r="E267" s="960"/>
      <c r="F267" s="960"/>
      <c r="G267" s="960"/>
      <c r="H267" s="960"/>
      <c r="I267" s="2164"/>
      <c r="J267" s="960"/>
      <c r="K267" s="712"/>
      <c r="N267" s="1539"/>
      <c r="O267" s="958" t="str">
        <f>IFERROR(VLOOKUP(N267,Price_list!$B$1:$H$187,2,0),"")</f>
        <v/>
      </c>
      <c r="P267" s="958" t="str">
        <f>IFERROR(VLOOKUP(N267,Price_list!$B$1:$H$187,3,0),"")</f>
        <v/>
      </c>
      <c r="Q267" s="946" t="str">
        <f>IFERROR(VLOOKUP(N267,Price_list!$B$1:$H$187,4,0),"")</f>
        <v/>
      </c>
      <c r="R267" s="946" t="str">
        <f>IFERROR(VLOOKUP(N267,Price_list!$B$1:$H$187,5,0),"")</f>
        <v/>
      </c>
      <c r="S267" s="958">
        <f t="shared" ca="1" si="63"/>
        <v>0</v>
      </c>
      <c r="T267" s="946"/>
      <c r="U267" s="1889">
        <f t="shared" ca="1" si="64"/>
        <v>0</v>
      </c>
    </row>
    <row r="268" spans="1:21" s="1808" customFormat="1" ht="16" thickBot="1">
      <c r="A268" s="960"/>
      <c r="B268" s="960"/>
      <c r="C268" s="960"/>
      <c r="D268" s="960"/>
      <c r="E268" s="960"/>
      <c r="F268" s="960"/>
      <c r="G268" s="960"/>
      <c r="H268" s="960"/>
      <c r="I268" s="2164"/>
      <c r="J268" s="960"/>
      <c r="K268" s="712"/>
      <c r="N268" s="1704"/>
      <c r="O268" s="1761"/>
      <c r="P268" s="1761"/>
      <c r="Q268" s="1761"/>
      <c r="R268" s="1761"/>
      <c r="S268" s="1761"/>
      <c r="T268" s="1761"/>
      <c r="U268" s="1706">
        <f ca="1">SUM(U261:U267)</f>
        <v>40000</v>
      </c>
    </row>
    <row r="269" spans="1:21" s="1808" customFormat="1">
      <c r="A269" s="960"/>
      <c r="B269" s="960"/>
      <c r="C269" s="960"/>
      <c r="D269" s="960"/>
      <c r="E269" s="960"/>
      <c r="F269" s="960"/>
      <c r="G269" s="960"/>
      <c r="H269" s="960"/>
      <c r="I269" s="2164"/>
      <c r="J269" s="960"/>
      <c r="K269" s="712"/>
      <c r="N269" s="1049"/>
      <c r="O269" s="960"/>
      <c r="P269" s="960"/>
      <c r="Q269" s="960"/>
      <c r="R269" s="960"/>
      <c r="S269" s="960"/>
      <c r="T269" s="960"/>
      <c r="U269" s="62"/>
    </row>
    <row r="270" spans="1:21" s="1808" customFormat="1" ht="16" thickBot="1">
      <c r="A270" s="960"/>
      <c r="B270" s="960"/>
      <c r="C270" s="960"/>
      <c r="D270" s="960"/>
      <c r="E270" s="960"/>
      <c r="F270" s="960"/>
      <c r="G270" s="960"/>
      <c r="H270" s="960"/>
      <c r="I270" s="2164"/>
      <c r="J270" s="960"/>
      <c r="K270" s="712"/>
      <c r="N270" s="1049"/>
      <c r="O270" s="960"/>
      <c r="P270" s="960"/>
      <c r="Q270" s="960"/>
      <c r="R270" s="960"/>
      <c r="S270" s="960"/>
      <c r="T270" s="960"/>
      <c r="U270" s="62"/>
    </row>
    <row r="271" spans="1:21" s="1808" customFormat="1" ht="16" thickBot="1">
      <c r="A271" s="960"/>
      <c r="B271" s="960"/>
      <c r="C271" s="960"/>
      <c r="D271" s="960"/>
      <c r="E271" s="960"/>
      <c r="F271" s="960"/>
      <c r="G271" s="960"/>
      <c r="H271" s="960"/>
      <c r="I271" s="2164"/>
      <c r="J271" s="960"/>
      <c r="K271" s="712"/>
      <c r="N271" s="1049" t="s">
        <v>2171</v>
      </c>
      <c r="O271" s="960"/>
      <c r="P271" s="960"/>
      <c r="Q271" s="1500">
        <v>2021</v>
      </c>
      <c r="R271" s="1762">
        <v>2022</v>
      </c>
      <c r="S271" s="1762">
        <v>2023</v>
      </c>
      <c r="T271" s="1762">
        <v>2024</v>
      </c>
      <c r="U271" s="1763">
        <v>2025</v>
      </c>
    </row>
    <row r="272" spans="1:21" ht="16" thickBot="1">
      <c r="K272" s="712" t="s">
        <v>238</v>
      </c>
      <c r="N272" s="1764"/>
      <c r="O272" s="1504"/>
      <c r="P272" s="1504"/>
      <c r="Q272" s="1713">
        <v>0</v>
      </c>
      <c r="R272" s="1713">
        <v>1</v>
      </c>
      <c r="S272" s="1713">
        <v>0</v>
      </c>
      <c r="T272" s="1713">
        <v>0</v>
      </c>
      <c r="U272" s="1765">
        <v>0</v>
      </c>
    </row>
    <row r="273" spans="1:21" ht="16" thickBot="1">
      <c r="A273" s="2157">
        <v>180</v>
      </c>
      <c r="B273" s="841">
        <f ca="1">Q273</f>
        <v>0</v>
      </c>
      <c r="C273" s="841">
        <f ca="1">R273</f>
        <v>40000</v>
      </c>
      <c r="D273" s="841">
        <f ca="1">S273</f>
        <v>0</v>
      </c>
      <c r="E273" s="841">
        <f ca="1">T273</f>
        <v>0</v>
      </c>
      <c r="F273" s="841">
        <f ca="1">U273</f>
        <v>0</v>
      </c>
      <c r="G273" s="841" t="s">
        <v>351</v>
      </c>
      <c r="H273" s="841" t="s">
        <v>3707</v>
      </c>
      <c r="I273" s="2180" t="s">
        <v>3716</v>
      </c>
      <c r="J273" s="841" t="s">
        <v>3131</v>
      </c>
      <c r="K273" s="712" t="s">
        <v>238</v>
      </c>
      <c r="N273" s="1710" t="s">
        <v>3044</v>
      </c>
      <c r="O273" s="1732"/>
      <c r="P273" s="1708"/>
      <c r="Q273" s="1495">
        <f ca="1">U268*Q272</f>
        <v>0</v>
      </c>
      <c r="R273" s="1495">
        <f ca="1">U268*R272</f>
        <v>40000</v>
      </c>
      <c r="S273" s="1495">
        <f ca="1">U268*S272</f>
        <v>0</v>
      </c>
      <c r="T273" s="1495">
        <f ca="1">U268*T272</f>
        <v>0</v>
      </c>
      <c r="U273" s="1495">
        <f ca="1">U268*U272</f>
        <v>0</v>
      </c>
    </row>
    <row r="274" spans="1:21">
      <c r="K274" s="712" t="s">
        <v>238</v>
      </c>
    </row>
    <row r="275" spans="1:21">
      <c r="K275" s="712" t="s">
        <v>238</v>
      </c>
    </row>
    <row r="276" spans="1:21">
      <c r="K276" s="712" t="s">
        <v>238</v>
      </c>
    </row>
    <row r="277" spans="1:21">
      <c r="K277" s="712" t="s">
        <v>238</v>
      </c>
    </row>
    <row r="278" spans="1:21" ht="19">
      <c r="K278" s="712" t="s">
        <v>238</v>
      </c>
      <c r="L278" s="1969" t="s">
        <v>3705</v>
      </c>
    </row>
    <row r="279" spans="1:21">
      <c r="K279" s="712" t="s">
        <v>238</v>
      </c>
    </row>
    <row r="280" spans="1:21">
      <c r="K280" s="712" t="s">
        <v>238</v>
      </c>
    </row>
    <row r="281" spans="1:21">
      <c r="K281" s="712" t="s">
        <v>238</v>
      </c>
    </row>
    <row r="282" spans="1:21">
      <c r="K282" s="712" t="s">
        <v>238</v>
      </c>
    </row>
    <row r="283" spans="1:21" ht="16" thickBot="1">
      <c r="K283" s="712" t="s">
        <v>238</v>
      </c>
      <c r="P283" s="2003" t="s">
        <v>3543</v>
      </c>
    </row>
    <row r="284" spans="1:21" ht="16" thickBot="1">
      <c r="K284" s="712" t="s">
        <v>238</v>
      </c>
      <c r="O284" s="960"/>
      <c r="P284" s="1081" t="s">
        <v>3485</v>
      </c>
      <c r="Q284" s="1500">
        <v>2021</v>
      </c>
      <c r="R284" s="1762">
        <v>2022</v>
      </c>
      <c r="S284" s="1762">
        <v>2023</v>
      </c>
      <c r="T284" s="1762">
        <v>2024</v>
      </c>
      <c r="U284" s="1763">
        <v>2025</v>
      </c>
    </row>
    <row r="285" spans="1:21" ht="16" thickBot="1">
      <c r="K285" s="712" t="s">
        <v>238</v>
      </c>
      <c r="N285" s="1764"/>
      <c r="O285" s="1504"/>
      <c r="P285" s="1829"/>
      <c r="Q285" s="1713">
        <v>3</v>
      </c>
      <c r="R285" s="1713">
        <v>0</v>
      </c>
      <c r="S285" s="1713">
        <v>0</v>
      </c>
      <c r="T285" s="1713">
        <v>0</v>
      </c>
      <c r="U285" s="1765">
        <v>0</v>
      </c>
    </row>
    <row r="286" spans="1:21" ht="16" thickBot="1">
      <c r="A286" s="2157">
        <v>181</v>
      </c>
      <c r="B286" s="841">
        <f>Q286</f>
        <v>450000</v>
      </c>
      <c r="C286" s="841">
        <f>R286</f>
        <v>0</v>
      </c>
      <c r="D286" s="841">
        <f>S286</f>
        <v>0</v>
      </c>
      <c r="E286" s="841">
        <f>T286</f>
        <v>0</v>
      </c>
      <c r="F286" s="841">
        <f>U286</f>
        <v>0</v>
      </c>
      <c r="G286" s="841" t="s">
        <v>351</v>
      </c>
      <c r="H286" s="841" t="s">
        <v>3705</v>
      </c>
      <c r="I286" s="2180" t="s">
        <v>3716</v>
      </c>
      <c r="J286" s="841" t="s">
        <v>3131</v>
      </c>
      <c r="K286" s="712" t="s">
        <v>238</v>
      </c>
      <c r="N286" s="1710" t="s">
        <v>3044</v>
      </c>
      <c r="O286" s="1732"/>
      <c r="P286" s="2011">
        <v>150000</v>
      </c>
      <c r="Q286" s="1495">
        <f>P286*Q285</f>
        <v>450000</v>
      </c>
      <c r="R286" s="1495">
        <f>P286*R285</f>
        <v>0</v>
      </c>
      <c r="S286" s="1495">
        <f>P286*S285</f>
        <v>0</v>
      </c>
      <c r="T286" s="1495">
        <f>P286*T285</f>
        <v>0</v>
      </c>
      <c r="U286" s="1495">
        <f>P286*U285</f>
        <v>0</v>
      </c>
    </row>
    <row r="287" spans="1:21">
      <c r="K287" s="712" t="s">
        <v>238</v>
      </c>
    </row>
    <row r="288" spans="1:21">
      <c r="K288" s="712" t="s">
        <v>238</v>
      </c>
    </row>
    <row r="289" spans="1:21">
      <c r="K289" s="712" t="s">
        <v>238</v>
      </c>
    </row>
    <row r="290" spans="1:21">
      <c r="K290" s="712" t="s">
        <v>238</v>
      </c>
    </row>
    <row r="291" spans="1:21">
      <c r="K291" s="712" t="s">
        <v>238</v>
      </c>
    </row>
    <row r="292" spans="1:21" ht="19">
      <c r="K292" s="712" t="s">
        <v>238</v>
      </c>
      <c r="L292" s="1969" t="s">
        <v>3132</v>
      </c>
    </row>
    <row r="293" spans="1:21" s="1808" customFormat="1" ht="19">
      <c r="A293" s="960"/>
      <c r="B293" s="960"/>
      <c r="C293" s="960"/>
      <c r="D293" s="960"/>
      <c r="E293" s="960"/>
      <c r="F293" s="960"/>
      <c r="G293" s="960"/>
      <c r="H293" s="960"/>
      <c r="I293" s="2164"/>
      <c r="J293" s="960"/>
      <c r="K293" s="712" t="s">
        <v>238</v>
      </c>
      <c r="L293" s="1969"/>
    </row>
    <row r="294" spans="1:21" s="1808" customFormat="1" ht="64">
      <c r="A294" s="960"/>
      <c r="B294" s="960"/>
      <c r="C294" s="960"/>
      <c r="D294" s="960"/>
      <c r="E294" s="960"/>
      <c r="F294" s="960"/>
      <c r="G294" s="960"/>
      <c r="H294" s="960"/>
      <c r="I294" s="2164"/>
      <c r="J294" s="960"/>
      <c r="K294" s="712"/>
      <c r="L294" s="1969"/>
      <c r="N294" s="2099"/>
      <c r="O294" s="2099" t="s">
        <v>3594</v>
      </c>
      <c r="P294" s="2099"/>
      <c r="Q294" s="2099">
        <v>2021</v>
      </c>
      <c r="R294" s="2099">
        <v>2022</v>
      </c>
      <c r="S294" s="2099">
        <v>2023</v>
      </c>
      <c r="T294" s="2099">
        <v>2024</v>
      </c>
      <c r="U294" s="2099">
        <v>2025</v>
      </c>
    </row>
    <row r="295" spans="1:21" s="1808" customFormat="1" ht="19">
      <c r="A295" s="960"/>
      <c r="B295" s="960"/>
      <c r="C295" s="960"/>
      <c r="D295" s="960"/>
      <c r="E295" s="960"/>
      <c r="F295" s="960"/>
      <c r="G295" s="960"/>
      <c r="H295" s="960"/>
      <c r="I295" s="2164"/>
      <c r="J295" s="960"/>
      <c r="K295" s="712"/>
      <c r="L295" s="1969"/>
      <c r="N295" s="2100" t="s">
        <v>3595</v>
      </c>
      <c r="O295" s="2100"/>
      <c r="P295" s="2100"/>
      <c r="Q295" s="1040">
        <v>7</v>
      </c>
      <c r="R295" s="1040">
        <v>7</v>
      </c>
      <c r="S295" s="1040">
        <v>7</v>
      </c>
      <c r="T295" s="1040">
        <v>7</v>
      </c>
      <c r="U295" s="1040">
        <v>7</v>
      </c>
    </row>
    <row r="296" spans="1:21" s="1808" customFormat="1" ht="32">
      <c r="A296" s="960"/>
      <c r="B296" s="960"/>
      <c r="C296" s="960"/>
      <c r="D296" s="960"/>
      <c r="E296" s="960"/>
      <c r="F296" s="960"/>
      <c r="G296" s="960"/>
      <c r="H296" s="960"/>
      <c r="I296" s="2164"/>
      <c r="J296" s="960"/>
      <c r="K296" s="712"/>
      <c r="L296" s="1969"/>
      <c r="N296" s="2100" t="s">
        <v>3596</v>
      </c>
      <c r="O296" s="2100"/>
      <c r="P296" s="2100"/>
      <c r="Q296" s="1040">
        <v>78333</v>
      </c>
      <c r="R296" s="1040">
        <v>78333</v>
      </c>
      <c r="S296" s="1040">
        <v>78333</v>
      </c>
      <c r="T296" s="1040">
        <v>78333</v>
      </c>
      <c r="U296" s="1040">
        <v>78333</v>
      </c>
    </row>
    <row r="297" spans="1:21" s="1808" customFormat="1" ht="19">
      <c r="A297" s="960"/>
      <c r="B297" s="960"/>
      <c r="C297" s="960"/>
      <c r="D297" s="960"/>
      <c r="E297" s="960"/>
      <c r="F297" s="960"/>
      <c r="G297" s="960"/>
      <c r="H297" s="960"/>
      <c r="I297" s="2164"/>
      <c r="J297" s="960"/>
      <c r="K297" s="712"/>
      <c r="L297" s="1969"/>
      <c r="N297" s="2100" t="s">
        <v>3597</v>
      </c>
      <c r="O297" s="2100"/>
      <c r="P297" s="2100"/>
      <c r="Q297" s="1040">
        <v>5720</v>
      </c>
      <c r="R297" s="1040">
        <v>5720</v>
      </c>
      <c r="S297" s="1040">
        <v>5720</v>
      </c>
      <c r="T297" s="1040">
        <v>5720</v>
      </c>
      <c r="U297" s="1040">
        <v>5720</v>
      </c>
    </row>
    <row r="298" spans="1:21" s="1808" customFormat="1" ht="20" thickBot="1">
      <c r="A298" s="2157">
        <v>183</v>
      </c>
      <c r="B298" s="841">
        <f>Q298</f>
        <v>588371</v>
      </c>
      <c r="C298" s="841">
        <f>R298</f>
        <v>588371</v>
      </c>
      <c r="D298" s="841">
        <f>S298</f>
        <v>588371</v>
      </c>
      <c r="E298" s="841">
        <f>T298</f>
        <v>588371</v>
      </c>
      <c r="F298" s="841">
        <f>U298</f>
        <v>588371</v>
      </c>
      <c r="G298" s="841" t="s">
        <v>349</v>
      </c>
      <c r="H298" s="841" t="s">
        <v>3486</v>
      </c>
      <c r="I298" s="2180"/>
      <c r="J298" s="841" t="s">
        <v>3132</v>
      </c>
      <c r="K298" s="712"/>
      <c r="L298" s="1969"/>
      <c r="N298" s="2096" t="s">
        <v>1913</v>
      </c>
      <c r="O298" s="2097"/>
      <c r="P298" s="2098"/>
      <c r="Q298" s="1967">
        <v>588371</v>
      </c>
      <c r="R298" s="1967">
        <v>588371</v>
      </c>
      <c r="S298" s="1967">
        <v>588371</v>
      </c>
      <c r="T298" s="1967">
        <v>588371</v>
      </c>
      <c r="U298" s="1967">
        <v>588371</v>
      </c>
    </row>
    <row r="299" spans="1:21" s="1808" customFormat="1" ht="19">
      <c r="A299" s="960"/>
      <c r="B299" s="960"/>
      <c r="C299" s="960"/>
      <c r="D299" s="960"/>
      <c r="E299" s="960"/>
      <c r="F299" s="960"/>
      <c r="G299" s="960"/>
      <c r="H299" s="960"/>
      <c r="I299" s="2164"/>
      <c r="J299" s="960"/>
      <c r="K299" s="712"/>
      <c r="L299" s="1969"/>
    </row>
    <row r="300" spans="1:21" s="1808" customFormat="1" ht="19">
      <c r="A300" s="960"/>
      <c r="B300" s="960"/>
      <c r="C300" s="960"/>
      <c r="D300" s="960"/>
      <c r="E300" s="960"/>
      <c r="F300" s="960"/>
      <c r="G300" s="960"/>
      <c r="H300" s="960"/>
      <c r="I300" s="2164"/>
      <c r="J300" s="960"/>
      <c r="K300" s="712" t="s">
        <v>238</v>
      </c>
      <c r="L300" s="1969"/>
    </row>
    <row r="301" spans="1:21" s="1808" customFormat="1" ht="19">
      <c r="A301" s="960"/>
      <c r="B301" s="960"/>
      <c r="C301" s="960"/>
      <c r="D301" s="960"/>
      <c r="E301" s="960"/>
      <c r="F301" s="960"/>
      <c r="G301" s="960"/>
      <c r="H301" s="960"/>
      <c r="I301" s="2164"/>
      <c r="J301" s="960"/>
      <c r="K301" s="712" t="s">
        <v>238</v>
      </c>
      <c r="L301" s="1969"/>
    </row>
    <row r="302" spans="1:21" ht="19">
      <c r="K302" s="712" t="s">
        <v>238</v>
      </c>
      <c r="L302" s="1969" t="s">
        <v>3133</v>
      </c>
    </row>
    <row r="303" spans="1:21">
      <c r="K303" s="712" t="s">
        <v>238</v>
      </c>
    </row>
    <row r="304" spans="1:21" s="1808" customFormat="1" ht="19">
      <c r="A304" s="960"/>
      <c r="B304" s="960"/>
      <c r="C304" s="960"/>
      <c r="D304" s="960"/>
      <c r="E304" s="960"/>
      <c r="F304" s="960"/>
      <c r="G304" s="960"/>
      <c r="H304" s="960"/>
      <c r="I304" s="2164"/>
      <c r="J304" s="960"/>
      <c r="K304" s="712" t="s">
        <v>238</v>
      </c>
      <c r="L304" s="1969" t="s">
        <v>3487</v>
      </c>
    </row>
    <row r="305" spans="1:21" s="1808" customFormat="1" ht="16" thickBot="1">
      <c r="A305" s="960"/>
      <c r="B305" s="960"/>
      <c r="C305" s="960"/>
      <c r="D305" s="960"/>
      <c r="E305" s="960"/>
      <c r="F305" s="960"/>
      <c r="G305" s="960"/>
      <c r="H305" s="960"/>
      <c r="I305" s="2164"/>
      <c r="J305" s="960"/>
      <c r="K305" s="712" t="s">
        <v>238</v>
      </c>
    </row>
    <row r="306" spans="1:21" ht="32">
      <c r="K306" s="712" t="s">
        <v>238</v>
      </c>
      <c r="N306" s="1766" t="s">
        <v>3054</v>
      </c>
      <c r="O306" s="1696"/>
      <c r="P306" s="1767"/>
      <c r="Q306" s="1220"/>
      <c r="R306" s="966"/>
      <c r="S306" s="1768"/>
      <c r="T306" s="966"/>
      <c r="U306" s="967"/>
    </row>
    <row r="307" spans="1:21" ht="32">
      <c r="K307" s="712" t="s">
        <v>238</v>
      </c>
      <c r="N307" s="1769" t="s">
        <v>3055</v>
      </c>
      <c r="O307" s="1693"/>
      <c r="P307" s="958"/>
      <c r="Q307" s="1040">
        <v>0</v>
      </c>
      <c r="R307" s="960"/>
      <c r="S307" s="960"/>
      <c r="T307" s="960"/>
      <c r="U307" s="62"/>
    </row>
    <row r="308" spans="1:21" ht="32">
      <c r="K308" s="712" t="s">
        <v>238</v>
      </c>
      <c r="N308" s="1769" t="s">
        <v>3056</v>
      </c>
      <c r="O308" s="1693"/>
      <c r="P308" s="958"/>
      <c r="Q308" s="1040">
        <v>200</v>
      </c>
      <c r="R308" s="960"/>
      <c r="S308" s="960"/>
      <c r="T308" s="960"/>
      <c r="U308" s="62"/>
    </row>
    <row r="309" spans="1:21" ht="32">
      <c r="K309" s="712" t="s">
        <v>238</v>
      </c>
      <c r="N309" s="1769" t="s">
        <v>3057</v>
      </c>
      <c r="O309" s="1693"/>
      <c r="P309" s="958"/>
      <c r="Q309" s="1040">
        <v>1</v>
      </c>
      <c r="R309" s="960"/>
      <c r="S309" s="960"/>
      <c r="T309" s="960"/>
      <c r="U309" s="62"/>
    </row>
    <row r="310" spans="1:21" ht="32">
      <c r="K310" s="712" t="s">
        <v>238</v>
      </c>
      <c r="N310" s="1769" t="s">
        <v>3052</v>
      </c>
      <c r="O310" s="1693"/>
      <c r="P310" s="1694"/>
      <c r="Q310" s="1028">
        <f>ROUND(Q308*P310,0)</f>
        <v>0</v>
      </c>
      <c r="R310" s="960"/>
      <c r="S310" s="960"/>
      <c r="T310" s="960"/>
      <c r="U310" s="62"/>
    </row>
    <row r="311" spans="1:21" ht="32">
      <c r="K311" s="712" t="s">
        <v>238</v>
      </c>
      <c r="N311" s="1769" t="s">
        <v>3053</v>
      </c>
      <c r="O311" s="1693"/>
      <c r="P311" s="1694">
        <v>0.75</v>
      </c>
      <c r="Q311" s="1028">
        <f>ROUND(Q308*P311,0)</f>
        <v>150</v>
      </c>
      <c r="R311" s="960"/>
      <c r="S311" s="960"/>
      <c r="T311" s="960"/>
      <c r="U311" s="62"/>
    </row>
    <row r="312" spans="1:21">
      <c r="K312" s="712" t="s">
        <v>238</v>
      </c>
      <c r="N312" s="1770" t="s">
        <v>3036</v>
      </c>
      <c r="O312" s="1019"/>
      <c r="P312" s="1695"/>
      <c r="Q312" s="1028">
        <f>Q309-1</f>
        <v>0</v>
      </c>
      <c r="R312" s="960"/>
      <c r="S312" s="960"/>
      <c r="T312" s="960"/>
      <c r="U312" s="62"/>
    </row>
    <row r="313" spans="1:21" ht="16" thickBot="1">
      <c r="K313" s="712" t="s">
        <v>238</v>
      </c>
      <c r="N313" s="1049"/>
      <c r="O313" s="960"/>
      <c r="P313" s="960"/>
      <c r="Q313" s="960"/>
      <c r="R313" s="960"/>
      <c r="S313" s="960"/>
      <c r="T313" s="960"/>
      <c r="U313" s="62"/>
    </row>
    <row r="314" spans="1:21" ht="32">
      <c r="K314" s="712" t="s">
        <v>238</v>
      </c>
      <c r="N314" s="1699" t="s">
        <v>3033</v>
      </c>
      <c r="O314" s="1700" t="s">
        <v>3034</v>
      </c>
      <c r="P314" s="1702" t="s">
        <v>3040</v>
      </c>
      <c r="Q314" s="1702" t="s">
        <v>3041</v>
      </c>
      <c r="R314" s="1702" t="s">
        <v>3042</v>
      </c>
      <c r="S314" s="1700" t="s">
        <v>3035</v>
      </c>
      <c r="T314" s="1702" t="s">
        <v>3039</v>
      </c>
      <c r="U314" s="1701" t="s">
        <v>2189</v>
      </c>
    </row>
    <row r="315" spans="1:21">
      <c r="K315" s="712" t="s">
        <v>238</v>
      </c>
      <c r="N315" s="1539" t="s">
        <v>3051</v>
      </c>
      <c r="O315" s="958" t="str">
        <f>IFERROR(VLOOKUP(N315,Price_list!$B$1:$H$187,2,0),"")</f>
        <v>International Consultancy fee (3.1)</v>
      </c>
      <c r="P315" s="958" t="str">
        <f>IFERROR(VLOOKUP(N315,Price_list!$B$1:$H$187,3,0),"")</f>
        <v>cost/zi</v>
      </c>
      <c r="Q315" s="946">
        <f>IFERROR(VLOOKUP(N315,Price_list!$B$1:$H$187,4,0),"")</f>
        <v>350</v>
      </c>
      <c r="R315" s="946" t="str">
        <f>IFERROR(VLOOKUP(N315,Price_list!$B$1:$H$187,5,0),"")</f>
        <v>EUR</v>
      </c>
      <c r="S315" s="958">
        <f t="shared" ref="S315:S332" ca="1" si="65">ROUND(IFERROR(IF(R315="MDL",Q315,Q315*INDIRECT(R315)),0),2)</f>
        <v>6868.65</v>
      </c>
      <c r="T315" s="1888">
        <f>Q309</f>
        <v>1</v>
      </c>
      <c r="U315" s="1889">
        <f ca="1">IFERROR(Q306*S315*T315,"")</f>
        <v>0</v>
      </c>
    </row>
    <row r="316" spans="1:21">
      <c r="K316" s="712" t="s">
        <v>238</v>
      </c>
      <c r="N316" s="1539" t="s">
        <v>3029</v>
      </c>
      <c r="O316" s="958" t="str">
        <f>IFERROR(VLOOKUP(N316,Price_list!$B$1:$H$187,2,0),"")</f>
        <v xml:space="preserve">Travel costs </v>
      </c>
      <c r="P316" s="958" t="str">
        <f>IFERROR(VLOOKUP(N316,Price_list!$B$1:$H$187,3,0),"")</f>
        <v>cost tichet o directie</v>
      </c>
      <c r="Q316" s="946">
        <f>IFERROR(VLOOKUP(N316,Price_list!$B$1:$H$187,4,0),"")</f>
        <v>5000</v>
      </c>
      <c r="R316" s="946" t="str">
        <f>IFERROR(VLOOKUP(N316,Price_list!$B$1:$H$187,5,0),"")</f>
        <v>MDL</v>
      </c>
      <c r="S316" s="958">
        <f t="shared" ca="1" si="65"/>
        <v>5000</v>
      </c>
      <c r="T316" s="1040">
        <v>2</v>
      </c>
      <c r="U316" s="1889">
        <f ca="1">Q306*T316*S316</f>
        <v>0</v>
      </c>
    </row>
    <row r="317" spans="1:21">
      <c r="K317" s="712" t="s">
        <v>238</v>
      </c>
      <c r="N317" s="1539" t="s">
        <v>3020</v>
      </c>
      <c r="O317" s="958" t="str">
        <f>IFERROR(VLOOKUP(N317,Price_list!$B$1:$H$187,2,0),"")</f>
        <v xml:space="preserve">Per diem, WHO DSA, average </v>
      </c>
      <c r="P317" s="958" t="str">
        <f>IFERROR(VLOOKUP(N317,Price_list!$B$1:$H$187,3,0),"")</f>
        <v>diurna</v>
      </c>
      <c r="Q317" s="946">
        <f>IFERROR(VLOOKUP(N317,Price_list!$B$1:$H$187,4,0),"")</f>
        <v>200</v>
      </c>
      <c r="R317" s="946" t="str">
        <f>IFERROR(VLOOKUP(N317,Price_list!$B$1:$H$187,5,0),"")</f>
        <v>EUR</v>
      </c>
      <c r="S317" s="958">
        <f t="shared" ca="1" si="65"/>
        <v>3924.94</v>
      </c>
      <c r="T317" s="946">
        <f>Q309+1</f>
        <v>2</v>
      </c>
      <c r="U317" s="1889">
        <f ca="1">Q306*S317*T317</f>
        <v>0</v>
      </c>
    </row>
    <row r="318" spans="1:21">
      <c r="K318" s="712" t="s">
        <v>238</v>
      </c>
      <c r="N318" s="1539" t="s">
        <v>3050</v>
      </c>
      <c r="O318" s="958" t="str">
        <f>IFERROR(VLOOKUP(N318,Price_list!$B$1:$H$187,2,0),"")</f>
        <v>National Consultancy fee (3.1)</v>
      </c>
      <c r="P318" s="958" t="str">
        <f>IFERROR(VLOOKUP(N318,Price_list!$B$1:$H$187,3,0),"")</f>
        <v>cost/zi</v>
      </c>
      <c r="Q318" s="946">
        <f>IFERROR(VLOOKUP(N318,Price_list!$B$1:$H$187,4,0),"")</f>
        <v>2000</v>
      </c>
      <c r="R318" s="946" t="str">
        <f>IFERROR(VLOOKUP(N318,Price_list!$B$1:$H$187,5,0),"")</f>
        <v>MDL</v>
      </c>
      <c r="S318" s="958">
        <f t="shared" ca="1" si="65"/>
        <v>2000</v>
      </c>
      <c r="T318" s="946">
        <f>Q309</f>
        <v>1</v>
      </c>
      <c r="U318" s="1889">
        <f ca="1">Q307*S318*T318</f>
        <v>0</v>
      </c>
    </row>
    <row r="319" spans="1:21">
      <c r="K319" s="712" t="s">
        <v>238</v>
      </c>
      <c r="N319" s="1539"/>
      <c r="O319" s="958" t="str">
        <f>IFERROR(VLOOKUP(N319,Price_list!$B$1:$H$187,2,0),"")</f>
        <v/>
      </c>
      <c r="P319" s="958" t="str">
        <f>IFERROR(VLOOKUP(N319,Price_list!$B$1:$H$187,3,0),"")</f>
        <v/>
      </c>
      <c r="Q319" s="946" t="str">
        <f>IFERROR(VLOOKUP(N319,Price_list!$B$1:$H$187,4,0),"")</f>
        <v/>
      </c>
      <c r="R319" s="946" t="str">
        <f>IFERROR(VLOOKUP(N319,Price_list!$B$1:$H$187,5,0),"")</f>
        <v/>
      </c>
      <c r="S319" s="958">
        <f t="shared" ca="1" si="65"/>
        <v>0</v>
      </c>
      <c r="T319" s="946" t="str">
        <f>IFERROR(VLOOKUP(AE319,N310:P315,3,0),"")</f>
        <v/>
      </c>
      <c r="U319" s="1889" t="str">
        <f>IFERROR(#REF!*T319*Q319,"")</f>
        <v/>
      </c>
    </row>
    <row r="320" spans="1:21">
      <c r="K320" s="712" t="s">
        <v>238</v>
      </c>
      <c r="N320" s="1539"/>
      <c r="O320" s="958" t="str">
        <f>IFERROR(VLOOKUP(N320,Price_list!$B$1:$H$187,2,0),"")</f>
        <v/>
      </c>
      <c r="P320" s="958" t="str">
        <f>IFERROR(VLOOKUP(N320,Price_list!$B$1:$H$187,3,0),"")</f>
        <v/>
      </c>
      <c r="Q320" s="946" t="str">
        <f>IFERROR(VLOOKUP(N320,Price_list!$B$1:$H$187,4,0),"")</f>
        <v/>
      </c>
      <c r="R320" s="946" t="str">
        <f>IFERROR(VLOOKUP(N320,Price_list!$B$1:$H$187,5,0),"")</f>
        <v/>
      </c>
      <c r="S320" s="958">
        <f t="shared" ca="1" si="65"/>
        <v>0</v>
      </c>
      <c r="T320" s="946" t="str">
        <f>IFERROR(VLOOKUP(AE320,N312:P316,3,0),"")</f>
        <v/>
      </c>
      <c r="U320" s="1889" t="str">
        <f>IFERROR(#REF!*T320*Q320,"")</f>
        <v/>
      </c>
    </row>
    <row r="321" spans="11:22">
      <c r="K321" s="712" t="s">
        <v>238</v>
      </c>
      <c r="N321" s="1539" t="s">
        <v>3016</v>
      </c>
      <c r="O321" s="958" t="str">
        <f>IFERROR(VLOOKUP(N321,Price_list!$B$1:$H$187,2,0),"")</f>
        <v>Coffe break</v>
      </c>
      <c r="P321" s="958" t="str">
        <f>IFERROR(VLOOKUP(N321,Price_list!$B$1:$H$187,3,0),"")</f>
        <v>unitate</v>
      </c>
      <c r="Q321" s="946">
        <f>IFERROR(VLOOKUP(N321,Price_list!$B$1:$H$187,4,0),"")</f>
        <v>75</v>
      </c>
      <c r="R321" s="946" t="str">
        <f>IFERROR(VLOOKUP(N321,Price_list!$B$1:$H$187,5,0),"")</f>
        <v>MDL</v>
      </c>
      <c r="S321" s="958">
        <f t="shared" ca="1" si="65"/>
        <v>75</v>
      </c>
      <c r="T321" s="946">
        <v>2</v>
      </c>
      <c r="U321" s="1889">
        <f ca="1">T321*S321*Q308*Q309</f>
        <v>30000</v>
      </c>
    </row>
    <row r="322" spans="11:22">
      <c r="K322" s="712" t="s">
        <v>238</v>
      </c>
      <c r="N322" s="1539" t="s">
        <v>3021</v>
      </c>
      <c r="O322" s="958" t="str">
        <f>IFERROR(VLOOKUP(N322,Price_list!$B$1:$H$187,2,0),"")</f>
        <v xml:space="preserve">Meal ( lunch) </v>
      </c>
      <c r="P322" s="958" t="str">
        <f>IFERROR(VLOOKUP(N322,Price_list!$B$1:$H$187,3,0),"")</f>
        <v>unitate</v>
      </c>
      <c r="Q322" s="946">
        <f>IFERROR(VLOOKUP(N322,Price_list!$B$1:$H$187,4,0),"")</f>
        <v>220</v>
      </c>
      <c r="R322" s="946" t="str">
        <f>IFERROR(VLOOKUP(N322,Price_list!$B$1:$H$187,5,0),"")</f>
        <v>MDL</v>
      </c>
      <c r="S322" s="958">
        <f t="shared" ca="1" si="65"/>
        <v>220</v>
      </c>
      <c r="T322" s="946">
        <f>Q309</f>
        <v>1</v>
      </c>
      <c r="U322" s="1889">
        <f ca="1">Q308*T322*S322</f>
        <v>44000</v>
      </c>
    </row>
    <row r="323" spans="11:22">
      <c r="K323" s="712" t="s">
        <v>238</v>
      </c>
      <c r="N323" s="1539" t="s">
        <v>3023</v>
      </c>
      <c r="O323" s="958" t="str">
        <f>IFERROR(VLOOKUP(N323,Price_list!$B$1:$H$187,2,0),"")</f>
        <v>Meal(dinner)</v>
      </c>
      <c r="P323" s="958" t="str">
        <f>IFERROR(VLOOKUP(N323,Price_list!$B$1:$H$187,3,0),"")</f>
        <v>unitate</v>
      </c>
      <c r="Q323" s="946">
        <f>IFERROR(VLOOKUP(N323,Price_list!$B$1:$H$187,4,0),"")</f>
        <v>220</v>
      </c>
      <c r="R323" s="946" t="str">
        <f>IFERROR(VLOOKUP(N323,Price_list!$B$1:$H$187,5,0),"")</f>
        <v>MDL</v>
      </c>
      <c r="S323" s="958">
        <f t="shared" ca="1" si="65"/>
        <v>220</v>
      </c>
      <c r="T323" s="946">
        <f>Q312</f>
        <v>0</v>
      </c>
      <c r="U323" s="1889">
        <f ca="1">T323*S323*Q310</f>
        <v>0</v>
      </c>
    </row>
    <row r="324" spans="11:22">
      <c r="K324" s="712" t="s">
        <v>238</v>
      </c>
      <c r="N324" s="1539" t="s">
        <v>3024</v>
      </c>
      <c r="O324" s="958" t="str">
        <f>IFERROR(VLOOKUP(N324,Price_list!$B$1:$H$187,2,0),"")</f>
        <v xml:space="preserve">Accomodation </v>
      </c>
      <c r="P324" s="958" t="str">
        <f>IFERROR(VLOOKUP(N324,Price_list!$B$1:$H$187,3,0),"")</f>
        <v>cost/noapte</v>
      </c>
      <c r="Q324" s="946">
        <f>IFERROR(VLOOKUP(N324,Price_list!$B$1:$H$187,4,0),"")</f>
        <v>750</v>
      </c>
      <c r="R324" s="946" t="str">
        <f>IFERROR(VLOOKUP(N324,Price_list!$B$1:$H$187,5,0),"")</f>
        <v>MDL</v>
      </c>
      <c r="S324" s="958">
        <f t="shared" ca="1" si="65"/>
        <v>750</v>
      </c>
      <c r="T324" s="946">
        <f>Q312</f>
        <v>0</v>
      </c>
      <c r="U324" s="1889">
        <f ca="1">T324*S324*Q310</f>
        <v>0</v>
      </c>
    </row>
    <row r="325" spans="11:22">
      <c r="K325" s="712" t="s">
        <v>238</v>
      </c>
      <c r="N325" s="1539" t="s">
        <v>3030</v>
      </c>
      <c r="O325" s="958" t="str">
        <f>IFERROR(VLOOKUP(N325,Price_list!$B$1:$H$187,2,0),"")</f>
        <v>Travel participants</v>
      </c>
      <c r="P325" s="958" t="str">
        <f>IFERROR(VLOOKUP(N325,Price_list!$B$1:$H$187,3,0),"")</f>
        <v>cost tichet o directie</v>
      </c>
      <c r="Q325" s="946">
        <f>IFERROR(VLOOKUP(N325,Price_list!$B$1:$H$187,4,0),"")</f>
        <v>80</v>
      </c>
      <c r="R325" s="946" t="str">
        <f>IFERROR(VLOOKUP(N325,Price_list!$B$1:$H$187,5,0),"")</f>
        <v>MDL</v>
      </c>
      <c r="S325" s="958">
        <f t="shared" ca="1" si="65"/>
        <v>80</v>
      </c>
      <c r="T325" s="1040">
        <v>2</v>
      </c>
      <c r="U325" s="1889">
        <f ca="1">T325*Q311*S325</f>
        <v>24000</v>
      </c>
    </row>
    <row r="326" spans="11:22">
      <c r="K326" s="712" t="s">
        <v>238</v>
      </c>
      <c r="N326" s="1539"/>
      <c r="O326" s="958" t="str">
        <f>IFERROR(VLOOKUP(N326,Price_list!$B$1:$H$187,2,0),"")</f>
        <v/>
      </c>
      <c r="P326" s="958" t="str">
        <f>IFERROR(VLOOKUP(N326,Price_list!$B$1:$H$187,3,0),"")</f>
        <v/>
      </c>
      <c r="Q326" s="946" t="str">
        <f>IFERROR(VLOOKUP(N326,Price_list!$B$1:$H$187,4,0),"")</f>
        <v/>
      </c>
      <c r="R326" s="946" t="str">
        <f>IFERROR(VLOOKUP(N326,Price_list!$B$1:$H$187,5,0),"")</f>
        <v/>
      </c>
      <c r="S326" s="958">
        <f t="shared" ca="1" si="65"/>
        <v>0</v>
      </c>
      <c r="T326" s="946" t="str">
        <f>IFERROR(VLOOKUP(AE326,N316:P322,3,0),"")</f>
        <v/>
      </c>
      <c r="U326" s="1889" t="str">
        <f>IFERROR(#REF!*T326*Q326,"")</f>
        <v/>
      </c>
    </row>
    <row r="327" spans="11:22">
      <c r="K327" s="712" t="s">
        <v>238</v>
      </c>
      <c r="N327" s="1539" t="s">
        <v>3025</v>
      </c>
      <c r="O327" s="958" t="str">
        <f>IFERROR(VLOOKUP(N327,Price_list!$B$1:$H$187,2,0),"")</f>
        <v>Supplies</v>
      </c>
      <c r="P327" s="958" t="str">
        <f>IFERROR(VLOOKUP(N327,Price_list!$B$1:$H$187,3,0),"")</f>
        <v>set/participant</v>
      </c>
      <c r="Q327" s="946">
        <f>IFERROR(VLOOKUP(N327,Price_list!$B$1:$H$187,4,0),"")</f>
        <v>140</v>
      </c>
      <c r="R327" s="946" t="str">
        <f>IFERROR(VLOOKUP(N327,Price_list!$B$1:$H$187,5,0),"")</f>
        <v>MDL</v>
      </c>
      <c r="S327" s="958">
        <f t="shared" ca="1" si="65"/>
        <v>140</v>
      </c>
      <c r="T327" s="946">
        <v>0</v>
      </c>
      <c r="U327" s="1889">
        <f ca="1">T327*S327*Q308</f>
        <v>0</v>
      </c>
    </row>
    <row r="328" spans="11:22">
      <c r="K328" s="712" t="s">
        <v>238</v>
      </c>
      <c r="N328" s="1539" t="s">
        <v>3022</v>
      </c>
      <c r="O328" s="958" t="str">
        <f>IFERROR(VLOOKUP(N328,Price_list!$B$1:$H$187,2,0),"")</f>
        <v>Rent of premises</v>
      </c>
      <c r="P328" s="958" t="str">
        <f>IFERROR(VLOOKUP(N328,Price_list!$B$1:$H$187,3,0),"")</f>
        <v>cost/zi</v>
      </c>
      <c r="Q328" s="946">
        <f>IFERROR(VLOOKUP(N328,Price_list!$B$1:$H$187,4,0),"")</f>
        <v>1800</v>
      </c>
      <c r="R328" s="946" t="str">
        <f>IFERROR(VLOOKUP(N328,Price_list!$B$1:$H$187,5,0),"")</f>
        <v>MDL</v>
      </c>
      <c r="S328" s="958">
        <f t="shared" ca="1" si="65"/>
        <v>1800</v>
      </c>
      <c r="T328" s="946">
        <v>0</v>
      </c>
      <c r="U328" s="1889">
        <f ca="1">T328*S328</f>
        <v>0</v>
      </c>
    </row>
    <row r="329" spans="11:22">
      <c r="K329" s="712" t="s">
        <v>238</v>
      </c>
      <c r="N329" s="1539" t="s">
        <v>3031</v>
      </c>
      <c r="O329" s="958" t="str">
        <f>IFERROR(VLOOKUP(N329,Price_list!$B$1:$H$187,2,0),"")</f>
        <v>Interpreter's fee, per day</v>
      </c>
      <c r="P329" s="958" t="str">
        <f>IFERROR(VLOOKUP(N329,Price_list!$B$1:$H$187,3,0),"")</f>
        <v>cost/zi</v>
      </c>
      <c r="Q329" s="946">
        <f>IFERROR(VLOOKUP(N329,Price_list!$B$1:$H$187,4,0),"")</f>
        <v>2000</v>
      </c>
      <c r="R329" s="946" t="str">
        <f>IFERROR(VLOOKUP(N329,Price_list!$B$1:$H$187,5,0),"")</f>
        <v>MDL</v>
      </c>
      <c r="S329" s="958">
        <f t="shared" ca="1" si="65"/>
        <v>2000</v>
      </c>
      <c r="T329" s="946">
        <f>IF(Q306&gt;0,Q309,0)</f>
        <v>0</v>
      </c>
      <c r="U329" s="1889">
        <f ca="1">T329*S329</f>
        <v>0</v>
      </c>
    </row>
    <row r="330" spans="11:22">
      <c r="K330" s="712" t="s">
        <v>238</v>
      </c>
      <c r="N330" s="1539" t="s">
        <v>3022</v>
      </c>
      <c r="O330" s="958" t="str">
        <f>IFERROR(VLOOKUP(N330,Price_list!$B$1:$H$187,2,0),"")</f>
        <v>Rent of premises</v>
      </c>
      <c r="P330" s="958" t="str">
        <f>IFERROR(VLOOKUP(N330,Price_list!$B$1:$H$187,3,0),"")</f>
        <v>cost/zi</v>
      </c>
      <c r="Q330" s="946">
        <f>IFERROR(VLOOKUP(N330,Price_list!$B$1:$H$187,4,0),"")</f>
        <v>1800</v>
      </c>
      <c r="R330" s="946" t="str">
        <f>IFERROR(VLOOKUP(N330,Price_list!$B$1:$H$187,5,0),"")</f>
        <v>MDL</v>
      </c>
      <c r="S330" s="958">
        <f t="shared" ca="1" si="65"/>
        <v>1800</v>
      </c>
      <c r="T330" s="946">
        <v>0</v>
      </c>
      <c r="U330" s="1986">
        <f ca="1">T330*S330</f>
        <v>0</v>
      </c>
      <c r="V330" t="s">
        <v>3562</v>
      </c>
    </row>
    <row r="331" spans="11:22">
      <c r="K331" s="712" t="s">
        <v>238</v>
      </c>
      <c r="N331" s="1539"/>
      <c r="O331" s="958" t="str">
        <f>IFERROR(VLOOKUP(N331,Price_list!$B$1:$H$187,2,0),"")</f>
        <v/>
      </c>
      <c r="P331" s="958" t="str">
        <f>IFERROR(VLOOKUP(N331,Price_list!$B$1:$H$187,3,0),"")</f>
        <v/>
      </c>
      <c r="Q331" s="946" t="str">
        <f>IFERROR(VLOOKUP(N331,Price_list!$B$1:$H$187,4,0),"")</f>
        <v/>
      </c>
      <c r="R331" s="946" t="str">
        <f>IFERROR(VLOOKUP(N331,Price_list!$B$1:$H$187,5,0),"")</f>
        <v/>
      </c>
      <c r="S331" s="958">
        <f t="shared" ca="1" si="65"/>
        <v>0</v>
      </c>
      <c r="T331" s="946" t="str">
        <f>IFERROR(VLOOKUP(AE331,N322:P327,3,0),"")</f>
        <v/>
      </c>
      <c r="U331" s="1889" t="str">
        <f>IFERROR(#REF!*T331*Q331,"")</f>
        <v/>
      </c>
    </row>
    <row r="332" spans="11:22">
      <c r="K332" s="712" t="s">
        <v>238</v>
      </c>
      <c r="N332" s="1539"/>
      <c r="O332" s="958" t="str">
        <f>IFERROR(VLOOKUP(N332,Price_list!$B$1:$H$187,2,0),"")</f>
        <v/>
      </c>
      <c r="P332" s="958" t="str">
        <f>IFERROR(VLOOKUP(N332,Price_list!$B$1:$H$187,3,0),"")</f>
        <v/>
      </c>
      <c r="Q332" s="946" t="str">
        <f>IFERROR(VLOOKUP(N332,Price_list!$B$1:$H$187,4,0),"")</f>
        <v/>
      </c>
      <c r="R332" s="946" t="str">
        <f>IFERROR(VLOOKUP(N332,Price_list!$B$1:$H$187,5,0),"")</f>
        <v/>
      </c>
      <c r="S332" s="958">
        <f t="shared" ca="1" si="65"/>
        <v>0</v>
      </c>
      <c r="T332" s="946" t="str">
        <f>IFERROR(VLOOKUP(AE332,N323:P328,3,0),"")</f>
        <v/>
      </c>
      <c r="U332" s="1889" t="str">
        <f>IFERROR(#REF!*T332*Q332,"")</f>
        <v/>
      </c>
    </row>
    <row r="333" spans="11:22" ht="16" thickBot="1">
      <c r="K333" s="712" t="s">
        <v>238</v>
      </c>
      <c r="N333" s="1697"/>
      <c r="O333" s="1698" t="str">
        <f>IFERROR(VLOOKUP(N333,Price_list!$B$1:$H$187,2,0),"")</f>
        <v/>
      </c>
      <c r="P333" s="1698" t="str">
        <f>IFERROR(VLOOKUP(N333,Price_list!$B$1:$H$187,3,0),"")</f>
        <v/>
      </c>
      <c r="Q333" s="1034" t="str">
        <f>IFERROR(VLOOKUP(N333,Price_list!$B$1:$H$187,4,0),"")</f>
        <v/>
      </c>
      <c r="R333" s="1034" t="str">
        <f>IFERROR(VLOOKUP(N333,Price_list!$B$1:$H$187,5,0),"")</f>
        <v/>
      </c>
      <c r="S333" s="1698"/>
      <c r="T333" s="1034" t="str">
        <f>IFERROR(VLOOKUP(AE333,N324:P329,3,0),"")</f>
        <v/>
      </c>
      <c r="U333" s="1703">
        <f ca="1">SUM(U315:U332)</f>
        <v>98000</v>
      </c>
    </row>
    <row r="334" spans="11:22">
      <c r="K334" s="712" t="s">
        <v>238</v>
      </c>
      <c r="N334" s="1771" t="s">
        <v>3037</v>
      </c>
      <c r="O334" s="1742" t="s">
        <v>3006</v>
      </c>
      <c r="P334" s="1743"/>
      <c r="Q334" s="1772">
        <v>7.0000000000000007E-2</v>
      </c>
      <c r="R334" s="1773"/>
      <c r="S334" s="1773"/>
      <c r="T334" s="1773"/>
      <c r="U334" s="1774">
        <f ca="1">ROUND(U333*Q334,2)</f>
        <v>6860</v>
      </c>
    </row>
    <row r="335" spans="11:22" ht="16" thickBot="1">
      <c r="K335" s="712" t="s">
        <v>238</v>
      </c>
      <c r="N335" s="1049"/>
      <c r="O335" s="960"/>
      <c r="P335" s="960"/>
      <c r="Q335" s="960"/>
      <c r="R335" s="960"/>
      <c r="S335" s="960"/>
      <c r="T335" s="960"/>
      <c r="U335" s="62"/>
    </row>
    <row r="336" spans="11:22" ht="16" thickBot="1">
      <c r="K336" s="712" t="s">
        <v>238</v>
      </c>
      <c r="N336" s="1704" t="s">
        <v>3038</v>
      </c>
      <c r="O336" s="1761"/>
      <c r="P336" s="1761"/>
      <c r="Q336" s="1761"/>
      <c r="R336" s="1761"/>
      <c r="S336" s="1761"/>
      <c r="T336" s="1761"/>
      <c r="U336" s="1706">
        <f ca="1">U334+U333</f>
        <v>104860</v>
      </c>
    </row>
    <row r="337" spans="1:21">
      <c r="K337" s="712" t="s">
        <v>238</v>
      </c>
      <c r="N337" s="1049"/>
      <c r="O337" s="960"/>
      <c r="P337" s="960"/>
      <c r="Q337" s="960"/>
      <c r="R337" s="960"/>
      <c r="S337" s="960"/>
      <c r="T337" s="960"/>
      <c r="U337" s="62"/>
    </row>
    <row r="338" spans="1:21" ht="16" thickBot="1">
      <c r="K338" s="712" t="s">
        <v>238</v>
      </c>
      <c r="N338" s="1049"/>
      <c r="O338" s="960"/>
      <c r="P338" s="960"/>
      <c r="Q338" s="960"/>
      <c r="R338" s="960"/>
      <c r="S338" s="960"/>
      <c r="T338" s="960"/>
      <c r="U338" s="62"/>
    </row>
    <row r="339" spans="1:21" ht="16" thickBot="1">
      <c r="K339" s="712" t="s">
        <v>238</v>
      </c>
      <c r="N339" s="1049" t="s">
        <v>2171</v>
      </c>
      <c r="O339" s="960"/>
      <c r="P339" s="960"/>
      <c r="Q339" s="1500">
        <v>2021</v>
      </c>
      <c r="R339" s="1762">
        <v>2022</v>
      </c>
      <c r="S339" s="1762">
        <v>2023</v>
      </c>
      <c r="T339" s="1762">
        <v>2024</v>
      </c>
      <c r="U339" s="1763">
        <v>2025</v>
      </c>
    </row>
    <row r="340" spans="1:21" ht="16" thickBot="1">
      <c r="K340" s="712" t="s">
        <v>238</v>
      </c>
      <c r="N340" s="1764" t="s">
        <v>3043</v>
      </c>
      <c r="O340" s="1504"/>
      <c r="P340" s="1504"/>
      <c r="Q340" s="1713">
        <v>4</v>
      </c>
      <c r="R340" s="1713">
        <v>4</v>
      </c>
      <c r="S340" s="1713">
        <v>4</v>
      </c>
      <c r="T340" s="1713">
        <v>0</v>
      </c>
      <c r="U340" s="1765">
        <v>0</v>
      </c>
    </row>
    <row r="341" spans="1:21" ht="16" thickBot="1">
      <c r="A341" s="2157">
        <v>184</v>
      </c>
      <c r="B341" s="841">
        <f ca="1">Q341</f>
        <v>419440</v>
      </c>
      <c r="C341" s="841">
        <f ca="1">R341</f>
        <v>419440</v>
      </c>
      <c r="D341" s="841">
        <f ca="1">S341</f>
        <v>419440</v>
      </c>
      <c r="E341" s="841">
        <f ca="1">T341</f>
        <v>0</v>
      </c>
      <c r="F341" s="841">
        <f ca="1">U341</f>
        <v>0</v>
      </c>
      <c r="G341" s="841" t="s">
        <v>351</v>
      </c>
      <c r="H341" s="841" t="s">
        <v>3487</v>
      </c>
      <c r="I341" s="2180" t="s">
        <v>3716</v>
      </c>
      <c r="J341" s="841" t="s">
        <v>3133</v>
      </c>
      <c r="K341" s="712" t="s">
        <v>238</v>
      </c>
      <c r="N341" s="1710" t="s">
        <v>3044</v>
      </c>
      <c r="O341" s="1732"/>
      <c r="P341" s="1708"/>
      <c r="Q341" s="1495">
        <f ca="1">U336*Q340</f>
        <v>419440</v>
      </c>
      <c r="R341" s="1495">
        <f ca="1">U336*R340</f>
        <v>419440</v>
      </c>
      <c r="S341" s="1495">
        <f ca="1">U336*S340</f>
        <v>419440</v>
      </c>
      <c r="T341" s="1495">
        <f ca="1">U336*T340</f>
        <v>0</v>
      </c>
      <c r="U341" s="1495">
        <f ca="1">U336*U340</f>
        <v>0</v>
      </c>
    </row>
    <row r="342" spans="1:21">
      <c r="K342" s="712" t="s">
        <v>238</v>
      </c>
    </row>
    <row r="343" spans="1:21">
      <c r="K343" s="712" t="s">
        <v>238</v>
      </c>
    </row>
    <row r="344" spans="1:21">
      <c r="K344" s="712" t="s">
        <v>238</v>
      </c>
      <c r="L344" s="1970" t="s">
        <v>3135</v>
      </c>
    </row>
    <row r="345" spans="1:21">
      <c r="K345" s="712" t="s">
        <v>238</v>
      </c>
    </row>
    <row r="346" spans="1:21" s="1808" customFormat="1">
      <c r="A346" s="960"/>
      <c r="B346" s="960"/>
      <c r="C346" s="960"/>
      <c r="D346" s="960"/>
      <c r="E346" s="960"/>
      <c r="F346" s="960"/>
      <c r="G346" s="960"/>
      <c r="H346" s="960"/>
      <c r="I346" s="2164"/>
      <c r="J346" s="960"/>
      <c r="K346" s="712"/>
      <c r="L346" s="1970" t="s">
        <v>3488</v>
      </c>
    </row>
    <row r="347" spans="1:21" ht="16" thickBot="1">
      <c r="K347" s="712" t="s">
        <v>238</v>
      </c>
    </row>
    <row r="348" spans="1:21" ht="32">
      <c r="K348" s="712" t="s">
        <v>238</v>
      </c>
      <c r="N348" s="1766" t="s">
        <v>3054</v>
      </c>
      <c r="O348" s="1696"/>
      <c r="P348" s="1767"/>
      <c r="Q348" s="1220"/>
      <c r="R348" s="966"/>
      <c r="S348" s="1768"/>
      <c r="T348" s="966"/>
      <c r="U348" s="967"/>
    </row>
    <row r="349" spans="1:21" ht="32">
      <c r="K349" s="712" t="s">
        <v>238</v>
      </c>
      <c r="N349" s="1769" t="s">
        <v>3055</v>
      </c>
      <c r="O349" s="1693"/>
      <c r="P349" s="958"/>
      <c r="Q349" s="1040">
        <v>1</v>
      </c>
      <c r="R349" s="960"/>
      <c r="S349" s="960"/>
      <c r="T349" s="960"/>
      <c r="U349" s="62"/>
    </row>
    <row r="350" spans="1:21" ht="32">
      <c r="K350" s="712" t="s">
        <v>238</v>
      </c>
      <c r="N350" s="1769" t="s">
        <v>3056</v>
      </c>
      <c r="O350" s="1693"/>
      <c r="P350" s="958"/>
      <c r="Q350" s="1040">
        <v>20</v>
      </c>
      <c r="R350" s="960"/>
      <c r="S350" s="960"/>
      <c r="T350" s="960"/>
      <c r="U350" s="62"/>
    </row>
    <row r="351" spans="1:21" ht="32">
      <c r="K351" s="712" t="s">
        <v>238</v>
      </c>
      <c r="N351" s="1769" t="s">
        <v>3057</v>
      </c>
      <c r="O351" s="1693"/>
      <c r="P351" s="958"/>
      <c r="Q351" s="1040">
        <v>1</v>
      </c>
      <c r="R351" s="960"/>
      <c r="S351" s="960"/>
      <c r="T351" s="960"/>
      <c r="U351" s="62"/>
    </row>
    <row r="352" spans="1:21" ht="32">
      <c r="K352" s="712" t="s">
        <v>238</v>
      </c>
      <c r="N352" s="1769" t="s">
        <v>3052</v>
      </c>
      <c r="O352" s="1693"/>
      <c r="P352" s="1694">
        <v>0</v>
      </c>
      <c r="Q352" s="1028">
        <f>ROUND(Q350*P352,0)</f>
        <v>0</v>
      </c>
      <c r="R352" s="960"/>
      <c r="S352" s="960"/>
      <c r="T352" s="960"/>
      <c r="U352" s="62"/>
    </row>
    <row r="353" spans="11:21" ht="32">
      <c r="K353" s="712" t="s">
        <v>238</v>
      </c>
      <c r="N353" s="1769" t="s">
        <v>3053</v>
      </c>
      <c r="O353" s="1693"/>
      <c r="P353" s="1694">
        <v>0.75</v>
      </c>
      <c r="Q353" s="1028">
        <f>ROUND(Q350*P353,0)</f>
        <v>15</v>
      </c>
      <c r="R353" s="960"/>
      <c r="S353" s="960"/>
      <c r="T353" s="960"/>
      <c r="U353" s="62"/>
    </row>
    <row r="354" spans="11:21">
      <c r="K354" s="712" t="s">
        <v>238</v>
      </c>
      <c r="N354" s="1770" t="s">
        <v>3036</v>
      </c>
      <c r="O354" s="1019"/>
      <c r="P354" s="1695"/>
      <c r="Q354" s="1028">
        <f>Q351-1</f>
        <v>0</v>
      </c>
      <c r="R354" s="960"/>
      <c r="S354" s="960"/>
      <c r="T354" s="960"/>
      <c r="U354" s="62"/>
    </row>
    <row r="355" spans="11:21" ht="16" thickBot="1">
      <c r="K355" s="712" t="s">
        <v>238</v>
      </c>
      <c r="N355" s="1049"/>
      <c r="O355" s="960"/>
      <c r="P355" s="960"/>
      <c r="Q355" s="960"/>
      <c r="R355" s="960"/>
      <c r="S355" s="960"/>
      <c r="T355" s="960"/>
      <c r="U355" s="62"/>
    </row>
    <row r="356" spans="11:21" ht="32">
      <c r="K356" s="712" t="s">
        <v>238</v>
      </c>
      <c r="N356" s="1699" t="s">
        <v>3033</v>
      </c>
      <c r="O356" s="1700" t="s">
        <v>3034</v>
      </c>
      <c r="P356" s="1702" t="s">
        <v>3040</v>
      </c>
      <c r="Q356" s="1702" t="s">
        <v>3041</v>
      </c>
      <c r="R356" s="1702" t="s">
        <v>3042</v>
      </c>
      <c r="S356" s="1700" t="s">
        <v>3035</v>
      </c>
      <c r="T356" s="1702" t="s">
        <v>3039</v>
      </c>
      <c r="U356" s="1701" t="s">
        <v>2189</v>
      </c>
    </row>
    <row r="357" spans="11:21">
      <c r="K357" s="712" t="s">
        <v>238</v>
      </c>
      <c r="N357" s="1539" t="s">
        <v>3051</v>
      </c>
      <c r="O357" s="958" t="str">
        <f>IFERROR(VLOOKUP(N357,Price_list!$B$1:$H$187,2,0),"")</f>
        <v>International Consultancy fee (3.1)</v>
      </c>
      <c r="P357" s="958" t="str">
        <f>IFERROR(VLOOKUP(N357,Price_list!$B$1:$H$187,3,0),"")</f>
        <v>cost/zi</v>
      </c>
      <c r="Q357" s="946">
        <f>IFERROR(VLOOKUP(N357,Price_list!$B$1:$H$187,4,0),"")</f>
        <v>350</v>
      </c>
      <c r="R357" s="946" t="str">
        <f>IFERROR(VLOOKUP(N357,Price_list!$B$1:$H$187,5,0),"")</f>
        <v>EUR</v>
      </c>
      <c r="S357" s="958">
        <f t="shared" ref="S357:S374" ca="1" si="66">ROUND(IFERROR(IF(R357="MDL",Q357,Q357*INDIRECT(R357)),0),2)</f>
        <v>6868.65</v>
      </c>
      <c r="T357" s="1888">
        <f>Q351</f>
        <v>1</v>
      </c>
      <c r="U357" s="1889">
        <f ca="1">IFERROR(Q348*S357*T357,"")</f>
        <v>0</v>
      </c>
    </row>
    <row r="358" spans="11:21">
      <c r="K358" s="712" t="s">
        <v>238</v>
      </c>
      <c r="N358" s="1539" t="s">
        <v>3029</v>
      </c>
      <c r="O358" s="958" t="str">
        <f>IFERROR(VLOOKUP(N358,Price_list!$B$1:$H$187,2,0),"")</f>
        <v xml:space="preserve">Travel costs </v>
      </c>
      <c r="P358" s="958" t="str">
        <f>IFERROR(VLOOKUP(N358,Price_list!$B$1:$H$187,3,0),"")</f>
        <v>cost tichet o directie</v>
      </c>
      <c r="Q358" s="946">
        <f>IFERROR(VLOOKUP(N358,Price_list!$B$1:$H$187,4,0),"")</f>
        <v>5000</v>
      </c>
      <c r="R358" s="946" t="str">
        <f>IFERROR(VLOOKUP(N358,Price_list!$B$1:$H$187,5,0),"")</f>
        <v>MDL</v>
      </c>
      <c r="S358" s="958">
        <f t="shared" ca="1" si="66"/>
        <v>5000</v>
      </c>
      <c r="T358" s="1040">
        <v>2</v>
      </c>
      <c r="U358" s="1889">
        <f ca="1">Q348*T358*S358</f>
        <v>0</v>
      </c>
    </row>
    <row r="359" spans="11:21">
      <c r="K359" s="712" t="s">
        <v>238</v>
      </c>
      <c r="N359" s="1539" t="s">
        <v>3020</v>
      </c>
      <c r="O359" s="958" t="str">
        <f>IFERROR(VLOOKUP(N359,Price_list!$B$1:$H$187,2,0),"")</f>
        <v xml:space="preserve">Per diem, WHO DSA, average </v>
      </c>
      <c r="P359" s="958" t="str">
        <f>IFERROR(VLOOKUP(N359,Price_list!$B$1:$H$187,3,0),"")</f>
        <v>diurna</v>
      </c>
      <c r="Q359" s="946">
        <f>IFERROR(VLOOKUP(N359,Price_list!$B$1:$H$187,4,0),"")</f>
        <v>200</v>
      </c>
      <c r="R359" s="946" t="str">
        <f>IFERROR(VLOOKUP(N359,Price_list!$B$1:$H$187,5,0),"")</f>
        <v>EUR</v>
      </c>
      <c r="S359" s="958">
        <f t="shared" ca="1" si="66"/>
        <v>3924.94</v>
      </c>
      <c r="T359" s="946">
        <f>Q351+1</f>
        <v>2</v>
      </c>
      <c r="U359" s="1889">
        <f ca="1">Q348*S359*T359</f>
        <v>0</v>
      </c>
    </row>
    <row r="360" spans="11:21">
      <c r="K360" s="712" t="s">
        <v>238</v>
      </c>
      <c r="N360" s="1539" t="s">
        <v>3050</v>
      </c>
      <c r="O360" s="958" t="str">
        <f>IFERROR(VLOOKUP(N360,Price_list!$B$1:$H$187,2,0),"")</f>
        <v>National Consultancy fee (3.1)</v>
      </c>
      <c r="P360" s="958" t="str">
        <f>IFERROR(VLOOKUP(N360,Price_list!$B$1:$H$187,3,0),"")</f>
        <v>cost/zi</v>
      </c>
      <c r="Q360" s="946">
        <f>IFERROR(VLOOKUP(N360,Price_list!$B$1:$H$187,4,0),"")</f>
        <v>2000</v>
      </c>
      <c r="R360" s="946" t="str">
        <f>IFERROR(VLOOKUP(N360,Price_list!$B$1:$H$187,5,0),"")</f>
        <v>MDL</v>
      </c>
      <c r="S360" s="958">
        <f t="shared" ca="1" si="66"/>
        <v>2000</v>
      </c>
      <c r="T360" s="946">
        <f>Q351</f>
        <v>1</v>
      </c>
      <c r="U360" s="1889">
        <f ca="1">Q349*S360*T360</f>
        <v>2000</v>
      </c>
    </row>
    <row r="361" spans="11:21">
      <c r="K361" s="712" t="s">
        <v>238</v>
      </c>
      <c r="N361" s="1539"/>
      <c r="O361" s="958" t="str">
        <f>IFERROR(VLOOKUP(N361,Price_list!$B$1:$H$187,2,0),"")</f>
        <v/>
      </c>
      <c r="P361" s="958" t="str">
        <f>IFERROR(VLOOKUP(N361,Price_list!$B$1:$H$187,3,0),"")</f>
        <v/>
      </c>
      <c r="Q361" s="946" t="str">
        <f>IFERROR(VLOOKUP(N361,Price_list!$B$1:$H$187,4,0),"")</f>
        <v/>
      </c>
      <c r="R361" s="946" t="str">
        <f>IFERROR(VLOOKUP(N361,Price_list!$B$1:$H$187,5,0),"")</f>
        <v/>
      </c>
      <c r="S361" s="958">
        <f t="shared" ca="1" si="66"/>
        <v>0</v>
      </c>
      <c r="T361" s="946" t="str">
        <f>IFERROR(VLOOKUP(AE361,N352:P357,3,0),"")</f>
        <v/>
      </c>
      <c r="U361" s="1889" t="str">
        <f>IFERROR(#REF!*T361*Q361,"")</f>
        <v/>
      </c>
    </row>
    <row r="362" spans="11:21">
      <c r="K362" s="712" t="s">
        <v>238</v>
      </c>
      <c r="N362" s="1539"/>
      <c r="O362" s="958" t="str">
        <f>IFERROR(VLOOKUP(N362,Price_list!$B$1:$H$187,2,0),"")</f>
        <v/>
      </c>
      <c r="P362" s="958" t="str">
        <f>IFERROR(VLOOKUP(N362,Price_list!$B$1:$H$187,3,0),"")</f>
        <v/>
      </c>
      <c r="Q362" s="946" t="str">
        <f>IFERROR(VLOOKUP(N362,Price_list!$B$1:$H$187,4,0),"")</f>
        <v/>
      </c>
      <c r="R362" s="946" t="str">
        <f>IFERROR(VLOOKUP(N362,Price_list!$B$1:$H$187,5,0),"")</f>
        <v/>
      </c>
      <c r="S362" s="958">
        <f t="shared" ca="1" si="66"/>
        <v>0</v>
      </c>
      <c r="T362" s="946" t="str">
        <f>IFERROR(VLOOKUP(AE362,N354:P358,3,0),"")</f>
        <v/>
      </c>
      <c r="U362" s="1889" t="str">
        <f>IFERROR(#REF!*T362*Q362,"")</f>
        <v/>
      </c>
    </row>
    <row r="363" spans="11:21">
      <c r="K363" s="712" t="s">
        <v>238</v>
      </c>
      <c r="N363" s="1539" t="s">
        <v>3016</v>
      </c>
      <c r="O363" s="958" t="str">
        <f>IFERROR(VLOOKUP(N363,Price_list!$B$1:$H$187,2,0),"")</f>
        <v>Coffe break</v>
      </c>
      <c r="P363" s="958" t="str">
        <f>IFERROR(VLOOKUP(N363,Price_list!$B$1:$H$187,3,0),"")</f>
        <v>unitate</v>
      </c>
      <c r="Q363" s="946">
        <f>IFERROR(VLOOKUP(N363,Price_list!$B$1:$H$187,4,0),"")</f>
        <v>75</v>
      </c>
      <c r="R363" s="946" t="str">
        <f>IFERROR(VLOOKUP(N363,Price_list!$B$1:$H$187,5,0),"")</f>
        <v>MDL</v>
      </c>
      <c r="S363" s="958">
        <f t="shared" ca="1" si="66"/>
        <v>75</v>
      </c>
      <c r="T363" s="946">
        <v>2</v>
      </c>
      <c r="U363" s="1889">
        <f ca="1">T363*S363*Q350*Q351</f>
        <v>3000</v>
      </c>
    </row>
    <row r="364" spans="11:21">
      <c r="K364" s="712" t="s">
        <v>238</v>
      </c>
      <c r="N364" s="1539" t="s">
        <v>3021</v>
      </c>
      <c r="O364" s="958" t="str">
        <f>IFERROR(VLOOKUP(N364,Price_list!$B$1:$H$187,2,0),"")</f>
        <v xml:space="preserve">Meal ( lunch) </v>
      </c>
      <c r="P364" s="958" t="str">
        <f>IFERROR(VLOOKUP(N364,Price_list!$B$1:$H$187,3,0),"")</f>
        <v>unitate</v>
      </c>
      <c r="Q364" s="946">
        <f>IFERROR(VLOOKUP(N364,Price_list!$B$1:$H$187,4,0),"")</f>
        <v>220</v>
      </c>
      <c r="R364" s="946" t="str">
        <f>IFERROR(VLOOKUP(N364,Price_list!$B$1:$H$187,5,0),"")</f>
        <v>MDL</v>
      </c>
      <c r="S364" s="958">
        <f t="shared" ca="1" si="66"/>
        <v>220</v>
      </c>
      <c r="T364" s="946">
        <f>Q351</f>
        <v>1</v>
      </c>
      <c r="U364" s="1889">
        <f ca="1">Q350*T364*S364</f>
        <v>4400</v>
      </c>
    </row>
    <row r="365" spans="11:21">
      <c r="K365" s="712" t="s">
        <v>238</v>
      </c>
      <c r="N365" s="1539" t="s">
        <v>3023</v>
      </c>
      <c r="O365" s="958" t="str">
        <f>IFERROR(VLOOKUP(N365,Price_list!$B$1:$H$187,2,0),"")</f>
        <v>Meal(dinner)</v>
      </c>
      <c r="P365" s="958" t="str">
        <f>IFERROR(VLOOKUP(N365,Price_list!$B$1:$H$187,3,0),"")</f>
        <v>unitate</v>
      </c>
      <c r="Q365" s="946">
        <f>IFERROR(VLOOKUP(N365,Price_list!$B$1:$H$187,4,0),"")</f>
        <v>220</v>
      </c>
      <c r="R365" s="946" t="str">
        <f>IFERROR(VLOOKUP(N365,Price_list!$B$1:$H$187,5,0),"")</f>
        <v>MDL</v>
      </c>
      <c r="S365" s="958">
        <f t="shared" ca="1" si="66"/>
        <v>220</v>
      </c>
      <c r="T365" s="946">
        <f>Q354</f>
        <v>0</v>
      </c>
      <c r="U365" s="1889">
        <f ca="1">T365*S365*Q352</f>
        <v>0</v>
      </c>
    </row>
    <row r="366" spans="11:21">
      <c r="K366" s="712" t="s">
        <v>238</v>
      </c>
      <c r="N366" s="1539" t="s">
        <v>3024</v>
      </c>
      <c r="O366" s="958" t="str">
        <f>IFERROR(VLOOKUP(N366,Price_list!$B$1:$H$187,2,0),"")</f>
        <v xml:space="preserve">Accomodation </v>
      </c>
      <c r="P366" s="958" t="str">
        <f>IFERROR(VLOOKUP(N366,Price_list!$B$1:$H$187,3,0),"")</f>
        <v>cost/noapte</v>
      </c>
      <c r="Q366" s="946">
        <f>IFERROR(VLOOKUP(N366,Price_list!$B$1:$H$187,4,0),"")</f>
        <v>750</v>
      </c>
      <c r="R366" s="946" t="str">
        <f>IFERROR(VLOOKUP(N366,Price_list!$B$1:$H$187,5,0),"")</f>
        <v>MDL</v>
      </c>
      <c r="S366" s="958">
        <f t="shared" ca="1" si="66"/>
        <v>750</v>
      </c>
      <c r="T366" s="946">
        <f>Q354</f>
        <v>0</v>
      </c>
      <c r="U366" s="1889">
        <f ca="1">T366*S366*Q352</f>
        <v>0</v>
      </c>
    </row>
    <row r="367" spans="11:21">
      <c r="K367" s="712" t="s">
        <v>238</v>
      </c>
      <c r="N367" s="1539" t="s">
        <v>3030</v>
      </c>
      <c r="O367" s="958" t="str">
        <f>IFERROR(VLOOKUP(N367,Price_list!$B$1:$H$187,2,0),"")</f>
        <v>Travel participants</v>
      </c>
      <c r="P367" s="958" t="str">
        <f>IFERROR(VLOOKUP(N367,Price_list!$B$1:$H$187,3,0),"")</f>
        <v>cost tichet o directie</v>
      </c>
      <c r="Q367" s="946">
        <f>IFERROR(VLOOKUP(N367,Price_list!$B$1:$H$187,4,0),"")</f>
        <v>80</v>
      </c>
      <c r="R367" s="946" t="str">
        <f>IFERROR(VLOOKUP(N367,Price_list!$B$1:$H$187,5,0),"")</f>
        <v>MDL</v>
      </c>
      <c r="S367" s="958">
        <f t="shared" ca="1" si="66"/>
        <v>80</v>
      </c>
      <c r="T367" s="1040">
        <v>2</v>
      </c>
      <c r="U367" s="1889">
        <f ca="1">T367*Q353*S367</f>
        <v>2400</v>
      </c>
    </row>
    <row r="368" spans="11:21">
      <c r="K368" s="712" t="s">
        <v>238</v>
      </c>
      <c r="N368" s="1539"/>
      <c r="O368" s="958" t="str">
        <f>IFERROR(VLOOKUP(N368,Price_list!$B$1:$H$187,2,0),"")</f>
        <v/>
      </c>
      <c r="P368" s="958" t="str">
        <f>IFERROR(VLOOKUP(N368,Price_list!$B$1:$H$187,3,0),"")</f>
        <v/>
      </c>
      <c r="Q368" s="946" t="str">
        <f>IFERROR(VLOOKUP(N368,Price_list!$B$1:$H$187,4,0),"")</f>
        <v/>
      </c>
      <c r="R368" s="946" t="str">
        <f>IFERROR(VLOOKUP(N368,Price_list!$B$1:$H$187,5,0),"")</f>
        <v/>
      </c>
      <c r="S368" s="958">
        <f t="shared" ca="1" si="66"/>
        <v>0</v>
      </c>
      <c r="T368" s="946" t="str">
        <f>IFERROR(VLOOKUP(AE368,N358:P364,3,0),"")</f>
        <v/>
      </c>
      <c r="U368" s="1889" t="str">
        <f>IFERROR(#REF!*T368*Q368,"")</f>
        <v/>
      </c>
    </row>
    <row r="369" spans="1:21">
      <c r="K369" s="712" t="s">
        <v>238</v>
      </c>
      <c r="N369" s="1539" t="s">
        <v>3025</v>
      </c>
      <c r="O369" s="958" t="str">
        <f>IFERROR(VLOOKUP(N369,Price_list!$B$1:$H$187,2,0),"")</f>
        <v>Supplies</v>
      </c>
      <c r="P369" s="958" t="str">
        <f>IFERROR(VLOOKUP(N369,Price_list!$B$1:$H$187,3,0),"")</f>
        <v>set/participant</v>
      </c>
      <c r="Q369" s="946">
        <f>IFERROR(VLOOKUP(N369,Price_list!$B$1:$H$187,4,0),"")</f>
        <v>140</v>
      </c>
      <c r="R369" s="946" t="str">
        <f>IFERROR(VLOOKUP(N369,Price_list!$B$1:$H$187,5,0),"")</f>
        <v>MDL</v>
      </c>
      <c r="S369" s="958">
        <f t="shared" ca="1" si="66"/>
        <v>140</v>
      </c>
      <c r="T369" s="946">
        <v>1</v>
      </c>
      <c r="U369" s="1889">
        <f ca="1">T369*S369*Q350</f>
        <v>2800</v>
      </c>
    </row>
    <row r="370" spans="1:21">
      <c r="K370" s="712" t="s">
        <v>238</v>
      </c>
      <c r="N370" s="1539" t="s">
        <v>3022</v>
      </c>
      <c r="O370" s="958" t="str">
        <f>IFERROR(VLOOKUP(N370,Price_list!$B$1:$H$187,2,0),"")</f>
        <v>Rent of premises</v>
      </c>
      <c r="P370" s="958" t="str">
        <f>IFERROR(VLOOKUP(N370,Price_list!$B$1:$H$187,3,0),"")</f>
        <v>cost/zi</v>
      </c>
      <c r="Q370" s="946">
        <f>IFERROR(VLOOKUP(N370,Price_list!$B$1:$H$187,4,0),"")</f>
        <v>1800</v>
      </c>
      <c r="R370" s="946" t="str">
        <f>IFERROR(VLOOKUP(N370,Price_list!$B$1:$H$187,5,0),"")</f>
        <v>MDL</v>
      </c>
      <c r="S370" s="958">
        <f t="shared" ca="1" si="66"/>
        <v>1800</v>
      </c>
      <c r="T370" s="946">
        <f>Q351</f>
        <v>1</v>
      </c>
      <c r="U370" s="1889">
        <f ca="1">T370*S370</f>
        <v>1800</v>
      </c>
    </row>
    <row r="371" spans="1:21">
      <c r="K371" s="712" t="s">
        <v>238</v>
      </c>
      <c r="N371" s="1539" t="s">
        <v>3031</v>
      </c>
      <c r="O371" s="958" t="str">
        <f>IFERROR(VLOOKUP(N371,Price_list!$B$1:$H$187,2,0),"")</f>
        <v>Interpreter's fee, per day</v>
      </c>
      <c r="P371" s="958" t="str">
        <f>IFERROR(VLOOKUP(N371,Price_list!$B$1:$H$187,3,0),"")</f>
        <v>cost/zi</v>
      </c>
      <c r="Q371" s="946">
        <f>IFERROR(VLOOKUP(N371,Price_list!$B$1:$H$187,4,0),"")</f>
        <v>2000</v>
      </c>
      <c r="R371" s="946" t="str">
        <f>IFERROR(VLOOKUP(N371,Price_list!$B$1:$H$187,5,0),"")</f>
        <v>MDL</v>
      </c>
      <c r="S371" s="958">
        <f t="shared" ca="1" si="66"/>
        <v>2000</v>
      </c>
      <c r="T371" s="946">
        <f>IF(Q348&gt;0,Q351,0)</f>
        <v>0</v>
      </c>
      <c r="U371" s="1889">
        <f ca="1">T371*S371</f>
        <v>0</v>
      </c>
    </row>
    <row r="372" spans="1:21">
      <c r="K372" s="712" t="s">
        <v>238</v>
      </c>
      <c r="N372" s="1539"/>
      <c r="O372" s="958" t="str">
        <f>IFERROR(VLOOKUP(N372,Price_list!$B$1:$H$187,2,0),"")</f>
        <v/>
      </c>
      <c r="P372" s="958" t="str">
        <f>IFERROR(VLOOKUP(N372,Price_list!$B$1:$H$187,3,0),"")</f>
        <v/>
      </c>
      <c r="Q372" s="946" t="str">
        <f>IFERROR(VLOOKUP(N372,Price_list!$B$1:$H$187,4,0),"")</f>
        <v/>
      </c>
      <c r="R372" s="946" t="str">
        <f>IFERROR(VLOOKUP(N372,Price_list!$B$1:$H$187,5,0),"")</f>
        <v/>
      </c>
      <c r="S372" s="958">
        <f t="shared" ca="1" si="66"/>
        <v>0</v>
      </c>
      <c r="T372" s="946" t="str">
        <f>IFERROR(VLOOKUP(AE372,N363:P367,3,0),"")</f>
        <v/>
      </c>
      <c r="U372" s="1889" t="str">
        <f>IFERROR(#REF!*T372*Q372,"")</f>
        <v/>
      </c>
    </row>
    <row r="373" spans="1:21">
      <c r="K373" s="712" t="s">
        <v>238</v>
      </c>
      <c r="N373" s="1539"/>
      <c r="O373" s="958" t="str">
        <f>IFERROR(VLOOKUP(N373,Price_list!$B$1:$H$187,2,0),"")</f>
        <v/>
      </c>
      <c r="P373" s="958" t="str">
        <f>IFERROR(VLOOKUP(N373,Price_list!$B$1:$H$187,3,0),"")</f>
        <v/>
      </c>
      <c r="Q373" s="946" t="str">
        <f>IFERROR(VLOOKUP(N373,Price_list!$B$1:$H$187,4,0),"")</f>
        <v/>
      </c>
      <c r="R373" s="946" t="str">
        <f>IFERROR(VLOOKUP(N373,Price_list!$B$1:$H$187,5,0),"")</f>
        <v/>
      </c>
      <c r="S373" s="958">
        <f t="shared" ca="1" si="66"/>
        <v>0</v>
      </c>
      <c r="T373" s="946" t="str">
        <f>IFERROR(VLOOKUP(AE373,N364:P369,3,0),"")</f>
        <v/>
      </c>
      <c r="U373" s="1889" t="str">
        <f>IFERROR(#REF!*T373*Q373,"")</f>
        <v/>
      </c>
    </row>
    <row r="374" spans="1:21">
      <c r="K374" s="712" t="s">
        <v>238</v>
      </c>
      <c r="N374" s="1539"/>
      <c r="O374" s="958" t="str">
        <f>IFERROR(VLOOKUP(N374,Price_list!$B$1:$H$187,2,0),"")</f>
        <v/>
      </c>
      <c r="P374" s="958" t="str">
        <f>IFERROR(VLOOKUP(N374,Price_list!$B$1:$H$187,3,0),"")</f>
        <v/>
      </c>
      <c r="Q374" s="946" t="str">
        <f>IFERROR(VLOOKUP(N374,Price_list!$B$1:$H$187,4,0),"")</f>
        <v/>
      </c>
      <c r="R374" s="946" t="str">
        <f>IFERROR(VLOOKUP(N374,Price_list!$B$1:$H$187,5,0),"")</f>
        <v/>
      </c>
      <c r="S374" s="958">
        <f t="shared" ca="1" si="66"/>
        <v>0</v>
      </c>
      <c r="T374" s="946" t="str">
        <f>IFERROR(VLOOKUP(AE374,N365:P370,3,0),"")</f>
        <v/>
      </c>
      <c r="U374" s="1889" t="str">
        <f>IFERROR(#REF!*T374*Q374,"")</f>
        <v/>
      </c>
    </row>
    <row r="375" spans="1:21" ht="16" thickBot="1">
      <c r="K375" s="712" t="s">
        <v>238</v>
      </c>
      <c r="N375" s="1697"/>
      <c r="O375" s="1698" t="str">
        <f>IFERROR(VLOOKUP(N375,Price_list!$B$1:$H$187,2,0),"")</f>
        <v/>
      </c>
      <c r="P375" s="1698" t="str">
        <f>IFERROR(VLOOKUP(N375,Price_list!$B$1:$H$187,3,0),"")</f>
        <v/>
      </c>
      <c r="Q375" s="1034" t="str">
        <f>IFERROR(VLOOKUP(N375,Price_list!$B$1:$H$187,4,0),"")</f>
        <v/>
      </c>
      <c r="R375" s="1034" t="str">
        <f>IFERROR(VLOOKUP(N375,Price_list!$B$1:$H$187,5,0),"")</f>
        <v/>
      </c>
      <c r="S375" s="1698"/>
      <c r="T375" s="1034" t="str">
        <f>IFERROR(VLOOKUP(AE375,N366:P371,3,0),"")</f>
        <v/>
      </c>
      <c r="U375" s="1703">
        <f ca="1">SUM(U357:U374)</f>
        <v>16400</v>
      </c>
    </row>
    <row r="376" spans="1:21">
      <c r="K376" s="712" t="s">
        <v>238</v>
      </c>
      <c r="N376" s="1771" t="s">
        <v>3037</v>
      </c>
      <c r="O376" s="1742" t="s">
        <v>3006</v>
      </c>
      <c r="P376" s="1743"/>
      <c r="Q376" s="1772">
        <v>7.0000000000000007E-2</v>
      </c>
      <c r="R376" s="1773"/>
      <c r="S376" s="1773"/>
      <c r="T376" s="1773"/>
      <c r="U376" s="1774">
        <f ca="1">ROUND(U375*Q376,2)</f>
        <v>1148</v>
      </c>
    </row>
    <row r="377" spans="1:21" ht="16" thickBot="1">
      <c r="K377" s="712" t="s">
        <v>238</v>
      </c>
      <c r="N377" s="1049"/>
      <c r="O377" s="960"/>
      <c r="P377" s="960"/>
      <c r="Q377" s="960"/>
      <c r="R377" s="960"/>
      <c r="S377" s="960"/>
      <c r="T377" s="960"/>
      <c r="U377" s="62"/>
    </row>
    <row r="378" spans="1:21" ht="16" thickBot="1">
      <c r="K378" s="712" t="s">
        <v>238</v>
      </c>
      <c r="N378" s="1704" t="s">
        <v>3038</v>
      </c>
      <c r="O378" s="1761"/>
      <c r="P378" s="1761"/>
      <c r="Q378" s="1761"/>
      <c r="R378" s="1761"/>
      <c r="S378" s="1761"/>
      <c r="T378" s="1761"/>
      <c r="U378" s="1706">
        <f ca="1">U376+U375</f>
        <v>17548</v>
      </c>
    </row>
    <row r="379" spans="1:21">
      <c r="K379" s="712" t="s">
        <v>238</v>
      </c>
      <c r="N379" s="1049"/>
      <c r="O379" s="960"/>
      <c r="P379" s="960"/>
      <c r="Q379" s="960"/>
      <c r="R379" s="960"/>
      <c r="S379" s="960"/>
      <c r="T379" s="960"/>
      <c r="U379" s="62"/>
    </row>
    <row r="380" spans="1:21" ht="16" thickBot="1">
      <c r="K380" s="712" t="s">
        <v>238</v>
      </c>
      <c r="N380" s="1049"/>
      <c r="O380" s="960"/>
      <c r="P380" s="960"/>
      <c r="Q380" s="960"/>
      <c r="R380" s="960"/>
      <c r="S380" s="960"/>
      <c r="T380" s="960"/>
      <c r="U380" s="62"/>
    </row>
    <row r="381" spans="1:21" ht="16" thickBot="1">
      <c r="K381" s="712" t="s">
        <v>238</v>
      </c>
      <c r="N381" s="1049" t="s">
        <v>2171</v>
      </c>
      <c r="O381" s="960"/>
      <c r="P381" s="960"/>
      <c r="Q381" s="1500">
        <v>2021</v>
      </c>
      <c r="R381" s="1762">
        <v>2022</v>
      </c>
      <c r="S381" s="1762">
        <v>2023</v>
      </c>
      <c r="T381" s="1762">
        <v>2024</v>
      </c>
      <c r="U381" s="1763">
        <v>2025</v>
      </c>
    </row>
    <row r="382" spans="1:21" ht="16" thickBot="1">
      <c r="K382" s="712" t="s">
        <v>238</v>
      </c>
      <c r="N382" s="1764" t="s">
        <v>3043</v>
      </c>
      <c r="O382" s="1504"/>
      <c r="P382" s="1504"/>
      <c r="Q382" s="1713">
        <v>4</v>
      </c>
      <c r="R382" s="1713">
        <v>4</v>
      </c>
      <c r="S382" s="1713">
        <v>4</v>
      </c>
      <c r="T382" s="1713">
        <v>0</v>
      </c>
      <c r="U382" s="1765">
        <v>0</v>
      </c>
    </row>
    <row r="383" spans="1:21" ht="16" thickBot="1">
      <c r="A383" s="2157">
        <v>185</v>
      </c>
      <c r="B383" s="841">
        <f ca="1">Q383</f>
        <v>70192</v>
      </c>
      <c r="C383" s="841">
        <f ca="1">R383</f>
        <v>70192</v>
      </c>
      <c r="D383" s="841">
        <f ca="1">S383</f>
        <v>70192</v>
      </c>
      <c r="E383" s="841">
        <f ca="1">T383</f>
        <v>0</v>
      </c>
      <c r="F383" s="841">
        <f ca="1">U383</f>
        <v>0</v>
      </c>
      <c r="G383" s="841" t="s">
        <v>351</v>
      </c>
      <c r="H383" s="841" t="s">
        <v>3488</v>
      </c>
      <c r="I383" s="2180" t="s">
        <v>3716</v>
      </c>
      <c r="J383" s="841" t="s">
        <v>3490</v>
      </c>
      <c r="K383" s="712" t="s">
        <v>238</v>
      </c>
      <c r="N383" s="1710" t="s">
        <v>3044</v>
      </c>
      <c r="O383" s="1732"/>
      <c r="P383" s="1708"/>
      <c r="Q383" s="1495">
        <f ca="1">U378*Q382</f>
        <v>70192</v>
      </c>
      <c r="R383" s="1495">
        <f ca="1">U378*R382</f>
        <v>70192</v>
      </c>
      <c r="S383" s="1495">
        <f ca="1">U378*S382</f>
        <v>70192</v>
      </c>
      <c r="T383" s="1495">
        <f ca="1">U378*T382</f>
        <v>0</v>
      </c>
      <c r="U383" s="1495">
        <f ca="1">U378*U382</f>
        <v>0</v>
      </c>
    </row>
    <row r="384" spans="1:21">
      <c r="K384" s="712" t="s">
        <v>238</v>
      </c>
    </row>
    <row r="385" spans="1:21">
      <c r="K385" s="712" t="s">
        <v>238</v>
      </c>
    </row>
    <row r="386" spans="1:21">
      <c r="K386" s="712" t="s">
        <v>238</v>
      </c>
    </row>
    <row r="387" spans="1:21">
      <c r="K387" s="712" t="s">
        <v>238</v>
      </c>
      <c r="L387" s="1970" t="s">
        <v>3489</v>
      </c>
    </row>
    <row r="388" spans="1:21" ht="16" thickBot="1">
      <c r="K388" s="712" t="s">
        <v>238</v>
      </c>
    </row>
    <row r="389" spans="1:21">
      <c r="K389" s="712" t="s">
        <v>238</v>
      </c>
      <c r="N389" s="958" t="s">
        <v>3119</v>
      </c>
      <c r="P389" s="960"/>
      <c r="Q389" s="1959">
        <v>2021</v>
      </c>
      <c r="R389" s="1915">
        <v>2022</v>
      </c>
      <c r="S389" s="1915">
        <v>2023</v>
      </c>
      <c r="T389" s="1915">
        <v>2024</v>
      </c>
      <c r="U389" s="1916">
        <v>2025</v>
      </c>
    </row>
    <row r="390" spans="1:21">
      <c r="K390" s="712" t="s">
        <v>238</v>
      </c>
      <c r="N390" s="958" t="str">
        <f>IFERROR(VLOOKUP(N389,Price_list!$B$1:$H$187,2,0),"")</f>
        <v>Training of staff (abroad)</v>
      </c>
      <c r="O390" s="946">
        <f>IFERROR(VLOOKUP(N389,Price_list!$B$1:$H$187,4,0),"")</f>
        <v>3079.33</v>
      </c>
      <c r="P390" s="946" t="str">
        <f>IFERROR(VLOOKUP(N389,Price_list!$B$1:$H$187,5,0),"")</f>
        <v>EUR</v>
      </c>
      <c r="Q390" s="1040">
        <v>1</v>
      </c>
      <c r="R390" s="1040">
        <v>1</v>
      </c>
      <c r="S390" s="1040">
        <v>1</v>
      </c>
      <c r="T390" s="1040">
        <v>0</v>
      </c>
      <c r="U390" s="1040">
        <v>0</v>
      </c>
    </row>
    <row r="391" spans="1:21" s="1808" customFormat="1">
      <c r="A391" s="960"/>
      <c r="B391" s="960"/>
      <c r="C391" s="960"/>
      <c r="D391" s="960"/>
      <c r="E391" s="960"/>
      <c r="F391" s="960"/>
      <c r="G391" s="960"/>
      <c r="H391" s="960"/>
      <c r="I391" s="2164"/>
      <c r="J391" s="960"/>
      <c r="K391" s="712"/>
      <c r="N391" s="2296" t="s">
        <v>3940</v>
      </c>
      <c r="O391" s="1025"/>
      <c r="P391" s="1025"/>
      <c r="Q391" s="1794"/>
      <c r="R391" s="1794"/>
      <c r="S391" s="1838"/>
      <c r="T391" s="1838"/>
      <c r="U391" s="2445"/>
    </row>
    <row r="392" spans="1:21" s="1808" customFormat="1" ht="16" thickBot="1">
      <c r="A392" s="960"/>
      <c r="B392" s="960"/>
      <c r="C392" s="960"/>
      <c r="D392" s="960"/>
      <c r="E392" s="960"/>
      <c r="F392" s="960"/>
      <c r="G392" s="960"/>
      <c r="H392" s="960"/>
      <c r="I392" s="2164"/>
      <c r="J392" s="960"/>
      <c r="K392" s="712"/>
      <c r="N392" s="958" t="str">
        <f>IFERROR(VLOOKUP(N391,Price_list!$B$1:$H$187,2,0),"")</f>
        <v>Attendance of international meetings abroad for NP HIV/TB</v>
      </c>
      <c r="O392" s="946">
        <f>IFERROR(VLOOKUP(N391,Price_list!$B$1:$H$187,4,0),"")</f>
        <v>1047.5</v>
      </c>
      <c r="P392" s="946" t="str">
        <f>IFERROR(VLOOKUP(N391,Price_list!$B$1:$H$187,5,0),"")</f>
        <v>EUR</v>
      </c>
      <c r="Q392" s="1040">
        <v>1</v>
      </c>
      <c r="R392" s="1040">
        <v>1</v>
      </c>
      <c r="S392" s="1040">
        <v>1</v>
      </c>
      <c r="T392" s="1040">
        <v>0</v>
      </c>
      <c r="U392" s="1040">
        <v>0</v>
      </c>
    </row>
    <row r="393" spans="1:21" ht="16" thickBot="1">
      <c r="A393" s="2157">
        <v>186</v>
      </c>
      <c r="B393" s="841">
        <f>Q393</f>
        <v>80987.813081489992</v>
      </c>
      <c r="C393" s="841">
        <f>R393</f>
        <v>80987.813081489992</v>
      </c>
      <c r="D393" s="841">
        <f>S393</f>
        <v>80987.813081489992</v>
      </c>
      <c r="E393" s="841">
        <f>T393</f>
        <v>0</v>
      </c>
      <c r="F393" s="841">
        <f>U393</f>
        <v>0</v>
      </c>
      <c r="G393" s="841" t="s">
        <v>351</v>
      </c>
      <c r="H393" s="841" t="s">
        <v>3489</v>
      </c>
      <c r="I393" s="2180" t="s">
        <v>3716</v>
      </c>
      <c r="J393" s="841" t="s">
        <v>3490</v>
      </c>
      <c r="K393" s="712" t="s">
        <v>238</v>
      </c>
      <c r="N393" s="1710" t="s">
        <v>3044</v>
      </c>
      <c r="O393" s="1732"/>
      <c r="P393" s="1708"/>
      <c r="Q393" s="1495">
        <f>($O390*EUR*Q390)+(Q392*$O392*EUR)</f>
        <v>80987.813081489992</v>
      </c>
      <c r="R393" s="1495">
        <f>($O390*EUR*R390)+(R392*$O392*EUR)</f>
        <v>80987.813081489992</v>
      </c>
      <c r="S393" s="1495">
        <f>($O390*EUR*S390)+(S392*$O392*EUR)</f>
        <v>80987.813081489992</v>
      </c>
      <c r="T393" s="1495">
        <f>($O390*EUR*T390)+(T392*$O392*EUR)</f>
        <v>0</v>
      </c>
      <c r="U393" s="1495">
        <f>($O390*EUR*U390)+(U392*$O392*EUR)</f>
        <v>0</v>
      </c>
    </row>
    <row r="394" spans="1:21">
      <c r="K394" s="712" t="s">
        <v>238</v>
      </c>
    </row>
    <row r="395" spans="1:21">
      <c r="K395" s="712" t="s">
        <v>238</v>
      </c>
    </row>
    <row r="396" spans="1:21" ht="19">
      <c r="K396" s="712" t="s">
        <v>238</v>
      </c>
      <c r="L396" s="1775" t="s">
        <v>3136</v>
      </c>
      <c r="N396" s="1969"/>
    </row>
    <row r="397" spans="1:21" ht="19">
      <c r="K397" s="712" t="s">
        <v>238</v>
      </c>
      <c r="N397" s="1969"/>
    </row>
    <row r="398" spans="1:21" ht="19">
      <c r="K398" s="712" t="s">
        <v>238</v>
      </c>
      <c r="L398" s="1775" t="s">
        <v>3491</v>
      </c>
      <c r="N398" s="1969"/>
    </row>
    <row r="399" spans="1:21" ht="16" thickBot="1">
      <c r="K399" s="712" t="s">
        <v>238</v>
      </c>
    </row>
    <row r="400" spans="1:21" ht="32">
      <c r="K400" s="712" t="s">
        <v>238</v>
      </c>
      <c r="N400" s="1758" t="s">
        <v>2155</v>
      </c>
      <c r="O400" s="966"/>
      <c r="P400" s="966"/>
      <c r="Q400" s="966"/>
      <c r="R400" s="1759" t="s">
        <v>3060</v>
      </c>
      <c r="S400" s="966"/>
      <c r="T400" s="966"/>
      <c r="U400" s="967"/>
    </row>
    <row r="401" spans="11:21" ht="32">
      <c r="K401" s="712" t="s">
        <v>238</v>
      </c>
      <c r="N401" s="1760" t="s">
        <v>3054</v>
      </c>
      <c r="O401" s="1749"/>
      <c r="P401" s="1565"/>
      <c r="Q401" s="1750"/>
      <c r="R401" s="1383"/>
      <c r="S401" s="960"/>
      <c r="T401" s="960"/>
      <c r="U401" s="62"/>
    </row>
    <row r="402" spans="11:21" ht="32">
      <c r="K402" s="712" t="s">
        <v>238</v>
      </c>
      <c r="N402" s="1760" t="s">
        <v>3055</v>
      </c>
      <c r="O402" s="1749"/>
      <c r="P402" s="1565"/>
      <c r="Q402" s="1750">
        <v>1</v>
      </c>
      <c r="R402" s="1383">
        <v>10</v>
      </c>
      <c r="S402" s="960"/>
      <c r="T402" s="960"/>
      <c r="U402" s="62"/>
    </row>
    <row r="403" spans="11:21">
      <c r="K403" s="712" t="s">
        <v>238</v>
      </c>
      <c r="L403" s="1970"/>
      <c r="N403" s="1049"/>
      <c r="O403" s="960"/>
      <c r="P403" s="960"/>
      <c r="Q403" s="960"/>
      <c r="R403" s="960"/>
      <c r="S403" s="960"/>
      <c r="T403" s="960"/>
      <c r="U403" s="62"/>
    </row>
    <row r="404" spans="11:21">
      <c r="K404" s="712" t="s">
        <v>238</v>
      </c>
      <c r="N404" s="1049" t="s">
        <v>3059</v>
      </c>
      <c r="O404" s="960"/>
      <c r="P404" s="960"/>
      <c r="Q404" s="960"/>
      <c r="R404" s="960"/>
      <c r="S404" s="960"/>
      <c r="T404" s="960"/>
      <c r="U404" s="62"/>
    </row>
    <row r="405" spans="11:21" ht="32">
      <c r="K405" s="712" t="s">
        <v>238</v>
      </c>
      <c r="N405" s="1760" t="s">
        <v>3061</v>
      </c>
      <c r="O405" s="1749"/>
      <c r="P405" s="1565"/>
      <c r="Q405" s="1750"/>
      <c r="R405" s="1383"/>
      <c r="S405" s="960"/>
      <c r="T405" s="960"/>
      <c r="U405" s="62"/>
    </row>
    <row r="406" spans="11:21" ht="32">
      <c r="K406" s="712" t="s">
        <v>238</v>
      </c>
      <c r="N406" s="1760" t="s">
        <v>3062</v>
      </c>
      <c r="O406" s="1749"/>
      <c r="P406" s="1565"/>
      <c r="Q406" s="1750"/>
      <c r="R406" s="1383"/>
      <c r="S406" s="960"/>
      <c r="T406" s="960"/>
      <c r="U406" s="62"/>
    </row>
    <row r="407" spans="11:21">
      <c r="K407" s="712" t="s">
        <v>238</v>
      </c>
      <c r="N407" s="1049"/>
      <c r="O407" s="960"/>
      <c r="P407" s="960"/>
      <c r="Q407" s="960"/>
      <c r="R407" s="960"/>
      <c r="S407" s="960"/>
      <c r="T407" s="960"/>
      <c r="U407" s="62"/>
    </row>
    <row r="408" spans="11:21">
      <c r="K408" s="712" t="s">
        <v>238</v>
      </c>
      <c r="N408" s="1049"/>
      <c r="O408" s="960"/>
      <c r="P408" s="960"/>
      <c r="Q408" s="960"/>
      <c r="R408" s="960"/>
      <c r="S408" s="960"/>
      <c r="T408" s="960"/>
      <c r="U408" s="62"/>
    </row>
    <row r="409" spans="11:21" ht="16" thickBot="1">
      <c r="K409" s="712" t="s">
        <v>238</v>
      </c>
      <c r="N409" s="1049" t="s">
        <v>3058</v>
      </c>
      <c r="O409" s="960"/>
      <c r="P409" s="960"/>
      <c r="Q409" s="960"/>
      <c r="R409" s="960"/>
      <c r="S409" s="960"/>
      <c r="T409" s="960"/>
      <c r="U409" s="62"/>
    </row>
    <row r="410" spans="11:21" ht="32">
      <c r="K410" s="712" t="s">
        <v>238</v>
      </c>
      <c r="N410" s="1699" t="s">
        <v>3033</v>
      </c>
      <c r="O410" s="1700" t="s">
        <v>3034</v>
      </c>
      <c r="P410" s="1702" t="s">
        <v>3040</v>
      </c>
      <c r="Q410" s="1702" t="s">
        <v>3041</v>
      </c>
      <c r="R410" s="1702" t="s">
        <v>3042</v>
      </c>
      <c r="S410" s="1700" t="s">
        <v>3035</v>
      </c>
      <c r="T410" s="1702" t="s">
        <v>3067</v>
      </c>
      <c r="U410" s="1701" t="s">
        <v>2189</v>
      </c>
    </row>
    <row r="411" spans="11:21">
      <c r="K411" s="712" t="s">
        <v>238</v>
      </c>
      <c r="N411" s="1539" t="s">
        <v>3051</v>
      </c>
      <c r="O411" s="958" t="str">
        <f>IFERROR(VLOOKUP(N411,Price_list!$B$1:$H$187,2,0),"")</f>
        <v>International Consultancy fee (3.1)</v>
      </c>
      <c r="P411" s="958" t="str">
        <f>IFERROR(VLOOKUP(N411,Price_list!$B$1:$H$187,3,0),"")</f>
        <v>cost/zi</v>
      </c>
      <c r="Q411" s="946">
        <f>IFERROR(VLOOKUP(N411,Price_list!$B$1:$H$187,4,0),"")</f>
        <v>350</v>
      </c>
      <c r="R411" s="946" t="str">
        <f>IFERROR(VLOOKUP(N411,Price_list!$B$1:$H$187,5,0),"")</f>
        <v>EUR</v>
      </c>
      <c r="S411" s="958">
        <f t="shared" ref="S411:S417" ca="1" si="67">ROUND(IFERROR(IF(R411="MDL",Q411,Q411*INDIRECT(R411)),0),2)</f>
        <v>6868.65</v>
      </c>
      <c r="T411" s="946">
        <f>Q401*R401</f>
        <v>0</v>
      </c>
      <c r="U411" s="1889">
        <f t="shared" ref="U411:U417" ca="1" si="68">T411*S411</f>
        <v>0</v>
      </c>
    </row>
    <row r="412" spans="11:21">
      <c r="K412" s="712" t="s">
        <v>238</v>
      </c>
      <c r="N412" s="1539" t="s">
        <v>3050</v>
      </c>
      <c r="O412" s="958" t="str">
        <f>IFERROR(VLOOKUP(N412,Price_list!$B$1:$H$187,2,0),"")</f>
        <v>National Consultancy fee (3.1)</v>
      </c>
      <c r="P412" s="958" t="str">
        <f>IFERROR(VLOOKUP(N412,Price_list!$B$1:$H$187,3,0),"")</f>
        <v>cost/zi</v>
      </c>
      <c r="Q412" s="946">
        <f>IFERROR(VLOOKUP(N412,Price_list!$B$1:$H$187,4,0),"")</f>
        <v>2000</v>
      </c>
      <c r="R412" s="946" t="str">
        <f>IFERROR(VLOOKUP(N412,Price_list!$B$1:$H$187,5,0),"")</f>
        <v>MDL</v>
      </c>
      <c r="S412" s="958">
        <f t="shared" ca="1" si="67"/>
        <v>2000</v>
      </c>
      <c r="T412" s="946">
        <f>Q402*R402</f>
        <v>10</v>
      </c>
      <c r="U412" s="1889">
        <f t="shared" ca="1" si="68"/>
        <v>20000</v>
      </c>
    </row>
    <row r="413" spans="11:21">
      <c r="K413" s="712" t="s">
        <v>238</v>
      </c>
      <c r="N413" s="1539" t="s">
        <v>3063</v>
      </c>
      <c r="O413" s="958" t="str">
        <f>IFERROR(VLOOKUP(N413,Price_list!$B$1:$H$187,2,0),"")</f>
        <v>Translation per page</v>
      </c>
      <c r="P413" s="958" t="str">
        <f>IFERROR(VLOOKUP(N413,Price_list!$B$1:$H$187,3,0),"")</f>
        <v>pagina</v>
      </c>
      <c r="Q413" s="946">
        <f>IFERROR(VLOOKUP(N413,Price_list!$B$1:$H$187,4,0),"")</f>
        <v>150</v>
      </c>
      <c r="R413" s="946" t="str">
        <f>IFERROR(VLOOKUP(N413,Price_list!$B$1:$H$187,5,0),"")</f>
        <v>MDL</v>
      </c>
      <c r="S413" s="958">
        <f t="shared" ca="1" si="67"/>
        <v>150</v>
      </c>
      <c r="T413" s="946">
        <f>Q405</f>
        <v>0</v>
      </c>
      <c r="U413" s="1889">
        <f t="shared" ca="1" si="68"/>
        <v>0</v>
      </c>
    </row>
    <row r="414" spans="11:21">
      <c r="K414" s="712" t="s">
        <v>238</v>
      </c>
      <c r="N414" s="1539" t="s">
        <v>3068</v>
      </c>
      <c r="O414" s="958" t="str">
        <f>IFERROR(VLOOKUP(N414,Price_list!$B$1:$H$187,2,0),"")</f>
        <v xml:space="preserve">Formatting, design, printing </v>
      </c>
      <c r="P414" s="958" t="str">
        <f>IFERROR(VLOOKUP(N414,Price_list!$B$1:$H$187,3,0),"")</f>
        <v>pagina</v>
      </c>
      <c r="Q414" s="946">
        <f>IFERROR(VLOOKUP(N414,Price_list!$B$1:$H$187,4,0),"")</f>
        <v>2</v>
      </c>
      <c r="R414" s="946" t="str">
        <f>IFERROR(VLOOKUP(N414,Price_list!$B$1:$H$187,5,0),"")</f>
        <v>MDL</v>
      </c>
      <c r="S414" s="958">
        <f t="shared" ca="1" si="67"/>
        <v>2</v>
      </c>
      <c r="T414" s="946">
        <f>Q405*Q406</f>
        <v>0</v>
      </c>
      <c r="U414" s="1889">
        <f t="shared" ca="1" si="68"/>
        <v>0</v>
      </c>
    </row>
    <row r="415" spans="11:21">
      <c r="K415" s="712" t="s">
        <v>238</v>
      </c>
      <c r="N415" s="1539"/>
      <c r="O415" s="958" t="str">
        <f>IFERROR(VLOOKUP(N415,Price_list!$B$1:$H$187,2,0),"")</f>
        <v/>
      </c>
      <c r="P415" s="958" t="str">
        <f>IFERROR(VLOOKUP(N415,Price_list!$B$1:$H$187,3,0),"")</f>
        <v/>
      </c>
      <c r="Q415" s="946" t="str">
        <f>IFERROR(VLOOKUP(N415,Price_list!$B$1:$H$187,4,0),"")</f>
        <v/>
      </c>
      <c r="R415" s="946" t="str">
        <f>IFERROR(VLOOKUP(N415,Price_list!$B$1:$H$187,5,0),"")</f>
        <v/>
      </c>
      <c r="S415" s="958">
        <f t="shared" ca="1" si="67"/>
        <v>0</v>
      </c>
      <c r="T415" s="946"/>
      <c r="U415" s="1889">
        <f t="shared" ca="1" si="68"/>
        <v>0</v>
      </c>
    </row>
    <row r="416" spans="11:21">
      <c r="K416" s="712" t="s">
        <v>238</v>
      </c>
      <c r="N416" s="1539"/>
      <c r="O416" s="958" t="str">
        <f>IFERROR(VLOOKUP(N416,Price_list!$B$1:$H$187,2,0),"")</f>
        <v/>
      </c>
      <c r="P416" s="958" t="str">
        <f>IFERROR(VLOOKUP(N416,Price_list!$B$1:$H$187,3,0),"")</f>
        <v/>
      </c>
      <c r="Q416" s="946" t="str">
        <f>IFERROR(VLOOKUP(N416,Price_list!$B$1:$H$187,4,0),"")</f>
        <v/>
      </c>
      <c r="R416" s="946" t="str">
        <f>IFERROR(VLOOKUP(N416,Price_list!$B$1:$H$187,5,0),"")</f>
        <v/>
      </c>
      <c r="S416" s="958">
        <f t="shared" ca="1" si="67"/>
        <v>0</v>
      </c>
      <c r="T416" s="946"/>
      <c r="U416" s="1889">
        <f t="shared" ca="1" si="68"/>
        <v>0</v>
      </c>
    </row>
    <row r="417" spans="1:21" ht="16" thickBot="1">
      <c r="K417" s="712" t="s">
        <v>238</v>
      </c>
      <c r="N417" s="1539"/>
      <c r="O417" s="958" t="str">
        <f>IFERROR(VLOOKUP(N417,Price_list!$B$1:$H$187,2,0),"")</f>
        <v/>
      </c>
      <c r="P417" s="958" t="str">
        <f>IFERROR(VLOOKUP(N417,Price_list!$B$1:$H$187,3,0),"")</f>
        <v/>
      </c>
      <c r="Q417" s="946" t="str">
        <f>IFERROR(VLOOKUP(N417,Price_list!$B$1:$H$187,4,0),"")</f>
        <v/>
      </c>
      <c r="R417" s="946" t="str">
        <f>IFERROR(VLOOKUP(N417,Price_list!$B$1:$H$187,5,0),"")</f>
        <v/>
      </c>
      <c r="S417" s="958">
        <f t="shared" ca="1" si="67"/>
        <v>0</v>
      </c>
      <c r="T417" s="946"/>
      <c r="U417" s="1889">
        <f t="shared" ca="1" si="68"/>
        <v>0</v>
      </c>
    </row>
    <row r="418" spans="1:21" ht="16" thickBot="1">
      <c r="K418" s="712" t="s">
        <v>238</v>
      </c>
      <c r="N418" s="1704"/>
      <c r="O418" s="1761"/>
      <c r="P418" s="1761"/>
      <c r="Q418" s="1761"/>
      <c r="R418" s="1761"/>
      <c r="S418" s="1761"/>
      <c r="T418" s="1761"/>
      <c r="U418" s="1706">
        <f ca="1">SUM(U411:U417)</f>
        <v>20000</v>
      </c>
    </row>
    <row r="419" spans="1:21">
      <c r="K419" s="712" t="s">
        <v>238</v>
      </c>
      <c r="N419" s="1049"/>
      <c r="O419" s="960"/>
      <c r="P419" s="960"/>
      <c r="Q419" s="960"/>
      <c r="R419" s="960"/>
      <c r="S419" s="960"/>
      <c r="T419" s="960"/>
      <c r="U419" s="62"/>
    </row>
    <row r="420" spans="1:21" ht="16" thickBot="1">
      <c r="K420" s="712" t="s">
        <v>238</v>
      </c>
      <c r="N420" s="1049"/>
      <c r="O420" s="960"/>
      <c r="P420" s="960"/>
      <c r="Q420" s="960"/>
      <c r="R420" s="960"/>
      <c r="S420" s="960"/>
      <c r="T420" s="960"/>
      <c r="U420" s="62"/>
    </row>
    <row r="421" spans="1:21" ht="16" thickBot="1">
      <c r="K421" s="712" t="s">
        <v>238</v>
      </c>
      <c r="N421" s="1049" t="s">
        <v>2171</v>
      </c>
      <c r="O421" s="960"/>
      <c r="P421" s="960"/>
      <c r="Q421" s="1500">
        <v>2021</v>
      </c>
      <c r="R421" s="1762">
        <v>2022</v>
      </c>
      <c r="S421" s="1762">
        <v>2023</v>
      </c>
      <c r="T421" s="1762">
        <v>2024</v>
      </c>
      <c r="U421" s="1763">
        <v>2025</v>
      </c>
    </row>
    <row r="422" spans="1:21" ht="16" thickBot="1">
      <c r="K422" s="712" t="s">
        <v>238</v>
      </c>
      <c r="N422" s="1764"/>
      <c r="O422" s="1504"/>
      <c r="P422" s="1504"/>
      <c r="Q422" s="1713">
        <v>1</v>
      </c>
      <c r="R422" s="1713">
        <v>0</v>
      </c>
      <c r="S422" s="1713">
        <v>0</v>
      </c>
      <c r="T422" s="1713">
        <v>0</v>
      </c>
      <c r="U422" s="1765">
        <v>0</v>
      </c>
    </row>
    <row r="423" spans="1:21" ht="16" thickBot="1">
      <c r="A423" s="2157">
        <v>187</v>
      </c>
      <c r="B423" s="841">
        <f ca="1">Q423</f>
        <v>20000</v>
      </c>
      <c r="C423" s="841">
        <f ca="1">R423</f>
        <v>0</v>
      </c>
      <c r="D423" s="841">
        <f ca="1">S423</f>
        <v>0</v>
      </c>
      <c r="E423" s="841">
        <f ca="1">T423</f>
        <v>0</v>
      </c>
      <c r="F423" s="841">
        <f ca="1">U423</f>
        <v>0</v>
      </c>
      <c r="G423" s="841" t="s">
        <v>351</v>
      </c>
      <c r="H423" s="841" t="s">
        <v>3491</v>
      </c>
      <c r="I423" s="2180" t="s">
        <v>3716</v>
      </c>
      <c r="J423" s="841" t="s">
        <v>3136</v>
      </c>
      <c r="K423" s="712" t="s">
        <v>238</v>
      </c>
      <c r="N423" s="1710" t="s">
        <v>3044</v>
      </c>
      <c r="O423" s="1732"/>
      <c r="P423" s="1708"/>
      <c r="Q423" s="1495">
        <f ca="1">U418*Q422</f>
        <v>20000</v>
      </c>
      <c r="R423" s="1495">
        <f ca="1">U418*R422</f>
        <v>0</v>
      </c>
      <c r="S423" s="1495">
        <f ca="1">U418*S422</f>
        <v>0</v>
      </c>
      <c r="T423" s="1495">
        <f ca="1">U418*T422</f>
        <v>0</v>
      </c>
      <c r="U423" s="1495">
        <f ca="1">U418*U422</f>
        <v>0</v>
      </c>
    </row>
    <row r="424" spans="1:21">
      <c r="K424" s="712" t="s">
        <v>238</v>
      </c>
    </row>
    <row r="425" spans="1:21">
      <c r="K425" s="712" t="s">
        <v>238</v>
      </c>
    </row>
    <row r="426" spans="1:21">
      <c r="K426" s="712" t="s">
        <v>238</v>
      </c>
    </row>
    <row r="427" spans="1:21">
      <c r="K427" s="712" t="s">
        <v>238</v>
      </c>
      <c r="L427" s="1775" t="s">
        <v>2975</v>
      </c>
    </row>
    <row r="428" spans="1:21">
      <c r="K428" s="712" t="s">
        <v>238</v>
      </c>
    </row>
    <row r="429" spans="1:21">
      <c r="K429" s="712" t="s">
        <v>238</v>
      </c>
      <c r="L429" s="1775" t="s">
        <v>3492</v>
      </c>
    </row>
    <row r="430" spans="1:21" ht="16" thickBot="1">
      <c r="K430" s="712" t="s">
        <v>238</v>
      </c>
    </row>
    <row r="431" spans="1:21" ht="32">
      <c r="K431" s="712" t="s">
        <v>238</v>
      </c>
      <c r="N431" s="1758" t="s">
        <v>2155</v>
      </c>
      <c r="O431" s="966"/>
      <c r="P431" s="966"/>
      <c r="Q431" s="966"/>
      <c r="R431" s="1759" t="s">
        <v>3060</v>
      </c>
      <c r="S431" s="966"/>
      <c r="T431" s="966"/>
      <c r="U431" s="967"/>
    </row>
    <row r="432" spans="1:21" ht="32">
      <c r="K432" s="712" t="s">
        <v>238</v>
      </c>
      <c r="N432" s="1760" t="s">
        <v>3054</v>
      </c>
      <c r="O432" s="1749"/>
      <c r="P432" s="1565"/>
      <c r="Q432" s="1750"/>
      <c r="R432" s="1383"/>
      <c r="S432" s="960"/>
      <c r="T432" s="960"/>
      <c r="U432" s="62"/>
    </row>
    <row r="433" spans="11:21" ht="32">
      <c r="K433" s="712" t="s">
        <v>238</v>
      </c>
      <c r="N433" s="1760" t="s">
        <v>3055</v>
      </c>
      <c r="O433" s="1749"/>
      <c r="P433" s="1565"/>
      <c r="Q433" s="1750">
        <v>2</v>
      </c>
      <c r="R433" s="1383">
        <v>10</v>
      </c>
      <c r="S433" s="960"/>
      <c r="T433" s="960"/>
      <c r="U433" s="62"/>
    </row>
    <row r="434" spans="11:21">
      <c r="K434" s="712" t="s">
        <v>238</v>
      </c>
      <c r="N434" s="1049"/>
      <c r="O434" s="960"/>
      <c r="P434" s="960"/>
      <c r="Q434" s="960"/>
      <c r="R434" s="960"/>
      <c r="S434" s="960"/>
      <c r="T434" s="960"/>
      <c r="U434" s="62"/>
    </row>
    <row r="435" spans="11:21">
      <c r="K435" s="712" t="s">
        <v>238</v>
      </c>
      <c r="N435" s="1049" t="s">
        <v>3059</v>
      </c>
      <c r="O435" s="960"/>
      <c r="P435" s="960"/>
      <c r="Q435" s="960"/>
      <c r="R435" s="960"/>
      <c r="S435" s="960"/>
      <c r="T435" s="960"/>
      <c r="U435" s="62"/>
    </row>
    <row r="436" spans="11:21" ht="32">
      <c r="K436" s="712" t="s">
        <v>238</v>
      </c>
      <c r="N436" s="1760" t="s">
        <v>3061</v>
      </c>
      <c r="O436" s="1749"/>
      <c r="P436" s="1565"/>
      <c r="Q436" s="1750"/>
      <c r="R436" s="1383"/>
      <c r="S436" s="960"/>
      <c r="T436" s="960"/>
      <c r="U436" s="62"/>
    </row>
    <row r="437" spans="11:21" ht="32">
      <c r="K437" s="712" t="s">
        <v>238</v>
      </c>
      <c r="N437" s="1760" t="s">
        <v>3062</v>
      </c>
      <c r="O437" s="1749"/>
      <c r="P437" s="1565"/>
      <c r="Q437" s="1750"/>
      <c r="R437" s="1383"/>
      <c r="S437" s="960"/>
      <c r="T437" s="960"/>
      <c r="U437" s="62"/>
    </row>
    <row r="438" spans="11:21">
      <c r="K438" s="712" t="s">
        <v>238</v>
      </c>
      <c r="N438" s="1049"/>
      <c r="O438" s="960"/>
      <c r="P438" s="960"/>
      <c r="Q438" s="960"/>
      <c r="R438" s="960"/>
      <c r="S438" s="960"/>
      <c r="T438" s="960"/>
      <c r="U438" s="62"/>
    </row>
    <row r="439" spans="11:21">
      <c r="K439" s="712" t="s">
        <v>238</v>
      </c>
      <c r="N439" s="1049"/>
      <c r="O439" s="960"/>
      <c r="P439" s="960"/>
      <c r="Q439" s="960"/>
      <c r="R439" s="960"/>
      <c r="S439" s="960"/>
      <c r="T439" s="960"/>
      <c r="U439" s="62"/>
    </row>
    <row r="440" spans="11:21" ht="16" thickBot="1">
      <c r="K440" s="712" t="s">
        <v>238</v>
      </c>
      <c r="N440" s="1049" t="s">
        <v>3058</v>
      </c>
      <c r="O440" s="960"/>
      <c r="P440" s="960"/>
      <c r="Q440" s="960"/>
      <c r="R440" s="960"/>
      <c r="S440" s="960"/>
      <c r="T440" s="960"/>
      <c r="U440" s="62"/>
    </row>
    <row r="441" spans="11:21" ht="32">
      <c r="K441" s="712" t="s">
        <v>238</v>
      </c>
      <c r="N441" s="1699" t="s">
        <v>3033</v>
      </c>
      <c r="O441" s="1700" t="s">
        <v>3034</v>
      </c>
      <c r="P441" s="1702" t="s">
        <v>3040</v>
      </c>
      <c r="Q441" s="1702" t="s">
        <v>3041</v>
      </c>
      <c r="R441" s="1702" t="s">
        <v>3042</v>
      </c>
      <c r="S441" s="1700" t="s">
        <v>3035</v>
      </c>
      <c r="T441" s="1702" t="s">
        <v>3067</v>
      </c>
      <c r="U441" s="1701" t="s">
        <v>2189</v>
      </c>
    </row>
    <row r="442" spans="11:21">
      <c r="K442" s="712" t="s">
        <v>238</v>
      </c>
      <c r="N442" s="1539" t="s">
        <v>3051</v>
      </c>
      <c r="O442" s="958" t="str">
        <f>IFERROR(VLOOKUP(N442,Price_list!$B$1:$H$187,2,0),"")</f>
        <v>International Consultancy fee (3.1)</v>
      </c>
      <c r="P442" s="958" t="str">
        <f>IFERROR(VLOOKUP(N442,Price_list!$B$1:$H$187,3,0),"")</f>
        <v>cost/zi</v>
      </c>
      <c r="Q442" s="946">
        <f>IFERROR(VLOOKUP(N442,Price_list!$B$1:$H$187,4,0),"")</f>
        <v>350</v>
      </c>
      <c r="R442" s="946" t="str">
        <f>IFERROR(VLOOKUP(N442,Price_list!$B$1:$H$187,5,0),"")</f>
        <v>EUR</v>
      </c>
      <c r="S442" s="958">
        <f t="shared" ref="S442:S448" ca="1" si="69">ROUND(IFERROR(IF(R442="MDL",Q442,Q442*INDIRECT(R442)),0),2)</f>
        <v>6868.65</v>
      </c>
      <c r="T442" s="946">
        <f>Q432*R432</f>
        <v>0</v>
      </c>
      <c r="U442" s="1889">
        <f t="shared" ref="U442:U448" ca="1" si="70">T442*S442</f>
        <v>0</v>
      </c>
    </row>
    <row r="443" spans="11:21">
      <c r="K443" s="712" t="s">
        <v>238</v>
      </c>
      <c r="N443" s="1539" t="s">
        <v>3050</v>
      </c>
      <c r="O443" s="958" t="str">
        <f>IFERROR(VLOOKUP(N443,Price_list!$B$1:$H$187,2,0),"")</f>
        <v>National Consultancy fee (3.1)</v>
      </c>
      <c r="P443" s="958" t="str">
        <f>IFERROR(VLOOKUP(N443,Price_list!$B$1:$H$187,3,0),"")</f>
        <v>cost/zi</v>
      </c>
      <c r="Q443" s="946">
        <f>IFERROR(VLOOKUP(N443,Price_list!$B$1:$H$187,4,0),"")</f>
        <v>2000</v>
      </c>
      <c r="R443" s="946" t="str">
        <f>IFERROR(VLOOKUP(N443,Price_list!$B$1:$H$187,5,0),"")</f>
        <v>MDL</v>
      </c>
      <c r="S443" s="958">
        <f t="shared" ca="1" si="69"/>
        <v>2000</v>
      </c>
      <c r="T443" s="946">
        <f>Q433*R433</f>
        <v>20</v>
      </c>
      <c r="U443" s="1889">
        <f t="shared" ca="1" si="70"/>
        <v>40000</v>
      </c>
    </row>
    <row r="444" spans="11:21">
      <c r="K444" s="712" t="s">
        <v>238</v>
      </c>
      <c r="N444" s="1539" t="s">
        <v>3063</v>
      </c>
      <c r="O444" s="958" t="str">
        <f>IFERROR(VLOOKUP(N444,Price_list!$B$1:$H$187,2,0),"")</f>
        <v>Translation per page</v>
      </c>
      <c r="P444" s="958" t="str">
        <f>IFERROR(VLOOKUP(N444,Price_list!$B$1:$H$187,3,0),"")</f>
        <v>pagina</v>
      </c>
      <c r="Q444" s="946">
        <f>IFERROR(VLOOKUP(N444,Price_list!$B$1:$H$187,4,0),"")</f>
        <v>150</v>
      </c>
      <c r="R444" s="946" t="str">
        <f>IFERROR(VLOOKUP(N444,Price_list!$B$1:$H$187,5,0),"")</f>
        <v>MDL</v>
      </c>
      <c r="S444" s="958">
        <f t="shared" ca="1" si="69"/>
        <v>150</v>
      </c>
      <c r="T444" s="946">
        <f>Q436</f>
        <v>0</v>
      </c>
      <c r="U444" s="1889">
        <f t="shared" ca="1" si="70"/>
        <v>0</v>
      </c>
    </row>
    <row r="445" spans="11:21">
      <c r="K445" s="712" t="s">
        <v>238</v>
      </c>
      <c r="N445" s="1539" t="s">
        <v>3068</v>
      </c>
      <c r="O445" s="958" t="str">
        <f>IFERROR(VLOOKUP(N445,Price_list!$B$1:$H$187,2,0),"")</f>
        <v xml:space="preserve">Formatting, design, printing </v>
      </c>
      <c r="P445" s="958" t="str">
        <f>IFERROR(VLOOKUP(N445,Price_list!$B$1:$H$187,3,0),"")</f>
        <v>pagina</v>
      </c>
      <c r="Q445" s="946">
        <f>IFERROR(VLOOKUP(N445,Price_list!$B$1:$H$187,4,0),"")</f>
        <v>2</v>
      </c>
      <c r="R445" s="946" t="str">
        <f>IFERROR(VLOOKUP(N445,Price_list!$B$1:$H$187,5,0),"")</f>
        <v>MDL</v>
      </c>
      <c r="S445" s="958">
        <f t="shared" ca="1" si="69"/>
        <v>2</v>
      </c>
      <c r="T445" s="946">
        <f>Q436*Q437</f>
        <v>0</v>
      </c>
      <c r="U445" s="1889">
        <f t="shared" ca="1" si="70"/>
        <v>0</v>
      </c>
    </row>
    <row r="446" spans="11:21">
      <c r="K446" s="712" t="s">
        <v>238</v>
      </c>
      <c r="N446" s="1539"/>
      <c r="O446" s="958" t="str">
        <f>IFERROR(VLOOKUP(N446,Price_list!$B$1:$H$187,2,0),"")</f>
        <v/>
      </c>
      <c r="P446" s="958" t="str">
        <f>IFERROR(VLOOKUP(N446,Price_list!$B$1:$H$187,3,0),"")</f>
        <v/>
      </c>
      <c r="Q446" s="946" t="str">
        <f>IFERROR(VLOOKUP(N446,Price_list!$B$1:$H$187,4,0),"")</f>
        <v/>
      </c>
      <c r="R446" s="946" t="str">
        <f>IFERROR(VLOOKUP(N446,Price_list!$B$1:$H$187,5,0),"")</f>
        <v/>
      </c>
      <c r="S446" s="958">
        <f t="shared" ca="1" si="69"/>
        <v>0</v>
      </c>
      <c r="T446" s="946"/>
      <c r="U446" s="1889">
        <f t="shared" ca="1" si="70"/>
        <v>0</v>
      </c>
    </row>
    <row r="447" spans="11:21">
      <c r="K447" s="712" t="s">
        <v>238</v>
      </c>
      <c r="N447" s="1539"/>
      <c r="O447" s="958" t="str">
        <f>IFERROR(VLOOKUP(N447,Price_list!$B$1:$H$187,2,0),"")</f>
        <v/>
      </c>
      <c r="P447" s="958" t="str">
        <f>IFERROR(VLOOKUP(N447,Price_list!$B$1:$H$187,3,0),"")</f>
        <v/>
      </c>
      <c r="Q447" s="946" t="str">
        <f>IFERROR(VLOOKUP(N447,Price_list!$B$1:$H$187,4,0),"")</f>
        <v/>
      </c>
      <c r="R447" s="946" t="str">
        <f>IFERROR(VLOOKUP(N447,Price_list!$B$1:$H$187,5,0),"")</f>
        <v/>
      </c>
      <c r="S447" s="958">
        <f t="shared" ca="1" si="69"/>
        <v>0</v>
      </c>
      <c r="T447" s="946"/>
      <c r="U447" s="1889">
        <f t="shared" ca="1" si="70"/>
        <v>0</v>
      </c>
    </row>
    <row r="448" spans="11:21" ht="16" thickBot="1">
      <c r="K448" s="712" t="s">
        <v>238</v>
      </c>
      <c r="N448" s="1539"/>
      <c r="O448" s="958" t="str">
        <f>IFERROR(VLOOKUP(N448,Price_list!$B$1:$H$187,2,0),"")</f>
        <v/>
      </c>
      <c r="P448" s="958" t="str">
        <f>IFERROR(VLOOKUP(N448,Price_list!$B$1:$H$187,3,0),"")</f>
        <v/>
      </c>
      <c r="Q448" s="946" t="str">
        <f>IFERROR(VLOOKUP(N448,Price_list!$B$1:$H$187,4,0),"")</f>
        <v/>
      </c>
      <c r="R448" s="946" t="str">
        <f>IFERROR(VLOOKUP(N448,Price_list!$B$1:$H$187,5,0),"")</f>
        <v/>
      </c>
      <c r="S448" s="958">
        <f t="shared" ca="1" si="69"/>
        <v>0</v>
      </c>
      <c r="T448" s="946"/>
      <c r="U448" s="1889">
        <f t="shared" ca="1" si="70"/>
        <v>0</v>
      </c>
    </row>
    <row r="449" spans="1:23" ht="16" thickBot="1">
      <c r="K449" s="712" t="s">
        <v>238</v>
      </c>
      <c r="N449" s="1704"/>
      <c r="O449" s="1761"/>
      <c r="P449" s="1761"/>
      <c r="Q449" s="1761"/>
      <c r="R449" s="1761"/>
      <c r="S449" s="1761"/>
      <c r="T449" s="1761"/>
      <c r="U449" s="1706">
        <f ca="1">SUM(U442:U448)</f>
        <v>40000</v>
      </c>
    </row>
    <row r="450" spans="1:23">
      <c r="K450" s="712" t="s">
        <v>238</v>
      </c>
      <c r="N450" s="1049"/>
      <c r="O450" s="960"/>
      <c r="P450" s="960"/>
      <c r="Q450" s="960"/>
      <c r="R450" s="960"/>
      <c r="S450" s="960"/>
      <c r="T450" s="960"/>
      <c r="U450" s="62"/>
    </row>
    <row r="451" spans="1:23" ht="16" thickBot="1">
      <c r="K451" s="712" t="s">
        <v>238</v>
      </c>
      <c r="N451" s="1049"/>
      <c r="O451" s="960"/>
      <c r="P451" s="960"/>
      <c r="Q451" s="960"/>
      <c r="R451" s="960"/>
      <c r="S451" s="960"/>
      <c r="T451" s="960"/>
      <c r="U451" s="62"/>
    </row>
    <row r="452" spans="1:23" ht="16" thickBot="1">
      <c r="K452" s="712" t="s">
        <v>238</v>
      </c>
      <c r="N452" s="1049" t="s">
        <v>2171</v>
      </c>
      <c r="O452" s="960"/>
      <c r="P452" s="960"/>
      <c r="Q452" s="1500">
        <v>2021</v>
      </c>
      <c r="R452" s="1762">
        <v>2022</v>
      </c>
      <c r="S452" s="1762">
        <v>2023</v>
      </c>
      <c r="T452" s="1762">
        <v>2024</v>
      </c>
      <c r="U452" s="1763">
        <v>2025</v>
      </c>
    </row>
    <row r="453" spans="1:23" ht="16" thickBot="1">
      <c r="K453" s="712" t="s">
        <v>238</v>
      </c>
      <c r="N453" s="1764"/>
      <c r="O453" s="1504"/>
      <c r="P453" s="1504"/>
      <c r="Q453" s="1713">
        <v>0</v>
      </c>
      <c r="R453" s="1713">
        <v>1</v>
      </c>
      <c r="S453" s="1713">
        <v>0</v>
      </c>
      <c r="T453" s="1713">
        <v>0</v>
      </c>
      <c r="U453" s="1765">
        <v>0</v>
      </c>
    </row>
    <row r="454" spans="1:23" ht="16" thickBot="1">
      <c r="A454" s="2157">
        <v>188</v>
      </c>
      <c r="B454" s="841">
        <f ca="1">Q454</f>
        <v>0</v>
      </c>
      <c r="C454" s="841">
        <f ca="1">R454</f>
        <v>40000</v>
      </c>
      <c r="D454" s="841">
        <f ca="1">S454</f>
        <v>0</v>
      </c>
      <c r="E454" s="841">
        <f ca="1">T454</f>
        <v>0</v>
      </c>
      <c r="F454" s="841">
        <f ca="1">U454</f>
        <v>0</v>
      </c>
      <c r="G454" s="841" t="s">
        <v>351</v>
      </c>
      <c r="H454" s="841" t="s">
        <v>3492</v>
      </c>
      <c r="I454" s="2180" t="s">
        <v>3716</v>
      </c>
      <c r="J454" s="841" t="s">
        <v>2975</v>
      </c>
      <c r="K454" s="712" t="s">
        <v>238</v>
      </c>
      <c r="N454" s="1710" t="s">
        <v>3044</v>
      </c>
      <c r="O454" s="1732"/>
      <c r="P454" s="1708"/>
      <c r="Q454" s="1495">
        <f ca="1">U449*Q453</f>
        <v>0</v>
      </c>
      <c r="R454" s="1495">
        <f ca="1">U449*R453</f>
        <v>40000</v>
      </c>
      <c r="S454" s="1495">
        <f ca="1">U449*S453</f>
        <v>0</v>
      </c>
      <c r="T454" s="1495">
        <f ca="1">U449*T453</f>
        <v>0</v>
      </c>
      <c r="U454" s="1495">
        <f ca="1">U449*U453</f>
        <v>0</v>
      </c>
    </row>
    <row r="455" spans="1:23">
      <c r="K455" s="712" t="s">
        <v>238</v>
      </c>
    </row>
    <row r="456" spans="1:23">
      <c r="K456" s="712" t="s">
        <v>238</v>
      </c>
    </row>
    <row r="457" spans="1:23">
      <c r="K457" s="712" t="s">
        <v>238</v>
      </c>
      <c r="N457" s="1808"/>
      <c r="O457" s="1808"/>
      <c r="P457" s="1808"/>
      <c r="Q457" s="1808"/>
      <c r="R457" s="1808"/>
      <c r="S457" s="1808"/>
      <c r="T457" s="1808"/>
      <c r="U457" s="1808"/>
      <c r="V457" s="1808"/>
      <c r="W457" s="1808"/>
    </row>
    <row r="458" spans="1:23">
      <c r="K458" s="712" t="s">
        <v>238</v>
      </c>
      <c r="L458" s="1775" t="s">
        <v>2977</v>
      </c>
      <c r="N458" s="1808"/>
      <c r="O458" s="1808"/>
      <c r="P458" s="1808"/>
      <c r="Q458" s="1808"/>
      <c r="R458" s="1808"/>
      <c r="S458" s="1808"/>
      <c r="T458" s="1808"/>
      <c r="U458" s="1808"/>
      <c r="V458" s="1808"/>
      <c r="W458" s="1808"/>
    </row>
    <row r="459" spans="1:23" s="1808" customFormat="1">
      <c r="A459" s="960"/>
      <c r="B459" s="960"/>
      <c r="C459" s="960"/>
      <c r="D459" s="960"/>
      <c r="E459" s="960"/>
      <c r="F459" s="960"/>
      <c r="G459" s="960"/>
      <c r="H459" s="960"/>
      <c r="I459" s="2164"/>
      <c r="J459" s="960"/>
      <c r="K459" s="712"/>
      <c r="L459" s="1775"/>
    </row>
    <row r="460" spans="1:23" s="1808" customFormat="1">
      <c r="A460" s="960"/>
      <c r="B460" s="960"/>
      <c r="C460" s="960"/>
      <c r="D460" s="960"/>
      <c r="E460" s="960"/>
      <c r="F460" s="960"/>
      <c r="G460" s="960"/>
      <c r="H460" s="960"/>
      <c r="I460" s="2164"/>
      <c r="J460" s="960"/>
      <c r="K460" s="712"/>
      <c r="L460" s="1775" t="s">
        <v>3514</v>
      </c>
    </row>
    <row r="461" spans="1:23" s="1808" customFormat="1">
      <c r="A461" s="960"/>
      <c r="B461" s="960"/>
      <c r="C461" s="960"/>
      <c r="D461" s="960"/>
      <c r="E461" s="960"/>
      <c r="F461" s="960"/>
      <c r="G461" s="960"/>
      <c r="H461" s="960"/>
      <c r="I461" s="2164"/>
      <c r="J461" s="960"/>
      <c r="K461" s="712"/>
      <c r="L461"/>
      <c r="M461"/>
    </row>
    <row r="462" spans="1:23" s="1808" customFormat="1">
      <c r="A462" s="960"/>
      <c r="B462" s="960"/>
      <c r="C462" s="960"/>
      <c r="D462" s="960"/>
      <c r="E462" s="960"/>
      <c r="F462" s="960"/>
      <c r="G462" s="960"/>
      <c r="H462" s="960"/>
      <c r="I462" s="2164"/>
      <c r="J462" s="960"/>
      <c r="K462" s="712"/>
      <c r="L462"/>
      <c r="M462"/>
    </row>
    <row r="463" spans="1:23" s="1808" customFormat="1">
      <c r="A463" s="960"/>
      <c r="B463" s="960"/>
      <c r="C463" s="960"/>
      <c r="D463" s="960"/>
      <c r="E463" s="960"/>
      <c r="F463" s="960"/>
      <c r="G463" s="960"/>
      <c r="H463" s="960"/>
      <c r="I463" s="2164"/>
      <c r="J463" s="960"/>
      <c r="K463" s="712"/>
      <c r="L463"/>
      <c r="M463"/>
    </row>
    <row r="464" spans="1:23" s="1808" customFormat="1" ht="14.5" customHeight="1">
      <c r="A464" s="960"/>
      <c r="B464" s="960"/>
      <c r="C464" s="960"/>
      <c r="D464" s="960"/>
      <c r="E464" s="960"/>
      <c r="F464" s="960"/>
      <c r="G464" s="960"/>
      <c r="H464" s="960"/>
      <c r="I464" s="2164"/>
      <c r="J464" s="960"/>
      <c r="K464" s="712"/>
      <c r="L464"/>
      <c r="M464"/>
      <c r="N464" s="2654" t="s">
        <v>2812</v>
      </c>
      <c r="O464" s="2655"/>
      <c r="P464" s="2655"/>
      <c r="Q464" s="2655"/>
      <c r="R464" s="2655"/>
      <c r="S464" s="2656"/>
    </row>
    <row r="465" spans="1:19" s="1808" customFormat="1">
      <c r="A465" s="960"/>
      <c r="B465" s="960"/>
      <c r="C465" s="960"/>
      <c r="D465" s="960"/>
      <c r="E465" s="960"/>
      <c r="F465" s="960"/>
      <c r="G465" s="960"/>
      <c r="H465" s="960"/>
      <c r="I465" s="2164"/>
      <c r="J465" s="960"/>
      <c r="K465" s="712"/>
      <c r="L465"/>
      <c r="M465"/>
      <c r="N465" s="1972"/>
      <c r="O465" s="1972" t="s">
        <v>3073</v>
      </c>
      <c r="P465" s="1972" t="s">
        <v>2482</v>
      </c>
      <c r="Q465" s="1972" t="s">
        <v>3073</v>
      </c>
      <c r="R465" s="1972" t="s">
        <v>3374</v>
      </c>
      <c r="S465" s="1973" t="s">
        <v>97</v>
      </c>
    </row>
    <row r="466" spans="1:19" s="1808" customFormat="1">
      <c r="A466" s="960"/>
      <c r="B466" s="960"/>
      <c r="C466" s="960"/>
      <c r="D466" s="960"/>
      <c r="E466" s="960"/>
      <c r="F466" s="960"/>
      <c r="G466" s="960"/>
      <c r="H466" s="960"/>
      <c r="I466" s="2164"/>
      <c r="J466" s="960"/>
      <c r="K466" s="712"/>
      <c r="L466"/>
      <c r="M466"/>
      <c r="N466" s="1974" t="s">
        <v>3494</v>
      </c>
      <c r="O466" s="1975"/>
      <c r="P466" s="1976"/>
      <c r="Q466" s="1975"/>
      <c r="R466" s="1975">
        <v>1</v>
      </c>
      <c r="S466" s="1977">
        <f>Q484</f>
        <v>256000</v>
      </c>
    </row>
    <row r="467" spans="1:19" s="1808" customFormat="1">
      <c r="A467" s="960"/>
      <c r="B467" s="960"/>
      <c r="C467" s="960"/>
      <c r="D467" s="960"/>
      <c r="E467" s="960"/>
      <c r="F467" s="960"/>
      <c r="G467" s="960"/>
      <c r="H467" s="960"/>
      <c r="I467" s="2164"/>
      <c r="J467" s="960"/>
      <c r="K467" s="712"/>
      <c r="L467"/>
      <c r="M467"/>
      <c r="N467" s="1978"/>
      <c r="O467" s="1979" t="s">
        <v>2482</v>
      </c>
      <c r="P467" s="1979" t="s">
        <v>3495</v>
      </c>
      <c r="Q467" s="1979" t="s">
        <v>3496</v>
      </c>
      <c r="S467" s="1980"/>
    </row>
    <row r="468" spans="1:19" s="1808" customFormat="1">
      <c r="A468" s="960"/>
      <c r="B468" s="960"/>
      <c r="C468" s="960"/>
      <c r="D468" s="960"/>
      <c r="E468" s="960"/>
      <c r="F468" s="960"/>
      <c r="G468" s="960"/>
      <c r="H468" s="960"/>
      <c r="I468" s="2164"/>
      <c r="J468" s="960"/>
      <c r="K468" s="712"/>
      <c r="L468"/>
      <c r="M468"/>
      <c r="N468" s="1981" t="s">
        <v>3497</v>
      </c>
      <c r="O468" s="1982">
        <v>23500</v>
      </c>
      <c r="P468" s="1982">
        <v>1</v>
      </c>
      <c r="Q468" s="1982">
        <f t="shared" ref="Q468:Q483" si="71">O468*P468</f>
        <v>23500</v>
      </c>
      <c r="S468" s="1980"/>
    </row>
    <row r="469" spans="1:19" s="1808" customFormat="1">
      <c r="A469" s="960"/>
      <c r="B469" s="960"/>
      <c r="C469" s="960"/>
      <c r="D469" s="960"/>
      <c r="E469" s="960"/>
      <c r="F469" s="960"/>
      <c r="G469" s="960"/>
      <c r="H469" s="960"/>
      <c r="I469" s="2164"/>
      <c r="J469" s="960"/>
      <c r="K469" s="712"/>
      <c r="L469"/>
      <c r="M469"/>
      <c r="N469" s="1981" t="s">
        <v>3498</v>
      </c>
      <c r="O469" s="1982">
        <v>6000</v>
      </c>
      <c r="P469" s="1982">
        <v>1</v>
      </c>
      <c r="Q469" s="1982">
        <f t="shared" si="71"/>
        <v>6000</v>
      </c>
      <c r="S469" s="1980"/>
    </row>
    <row r="470" spans="1:19" s="1808" customFormat="1">
      <c r="A470" s="960"/>
      <c r="B470" s="960"/>
      <c r="C470" s="960"/>
      <c r="D470" s="960"/>
      <c r="E470" s="960"/>
      <c r="F470" s="960"/>
      <c r="G470" s="960"/>
      <c r="H470" s="960"/>
      <c r="I470" s="2164"/>
      <c r="J470" s="960"/>
      <c r="K470" s="712"/>
      <c r="L470"/>
      <c r="M470"/>
      <c r="N470" s="1981" t="s">
        <v>3499</v>
      </c>
      <c r="O470" s="1982">
        <v>15600</v>
      </c>
      <c r="P470" s="1982">
        <v>2</v>
      </c>
      <c r="Q470" s="1982">
        <f t="shared" si="71"/>
        <v>31200</v>
      </c>
      <c r="S470" s="1980"/>
    </row>
    <row r="471" spans="1:19" s="1808" customFormat="1">
      <c r="A471" s="960"/>
      <c r="B471" s="960"/>
      <c r="C471" s="960"/>
      <c r="D471" s="960"/>
      <c r="E471" s="960"/>
      <c r="F471" s="960"/>
      <c r="G471" s="960"/>
      <c r="H471" s="960"/>
      <c r="I471" s="2164"/>
      <c r="J471" s="960"/>
      <c r="K471" s="712"/>
      <c r="L471"/>
      <c r="M471"/>
      <c r="N471" s="1981" t="s">
        <v>3500</v>
      </c>
      <c r="O471" s="1982">
        <v>19500</v>
      </c>
      <c r="P471" s="1982">
        <v>1</v>
      </c>
      <c r="Q471" s="1982">
        <f t="shared" si="71"/>
        <v>19500</v>
      </c>
      <c r="S471" s="1980"/>
    </row>
    <row r="472" spans="1:19" s="1808" customFormat="1">
      <c r="A472" s="960"/>
      <c r="B472" s="960"/>
      <c r="C472" s="960"/>
      <c r="D472" s="960"/>
      <c r="E472" s="960"/>
      <c r="F472" s="960"/>
      <c r="G472" s="960"/>
      <c r="H472" s="960"/>
      <c r="I472" s="2164"/>
      <c r="J472" s="960"/>
      <c r="K472" s="712"/>
      <c r="L472"/>
      <c r="M472"/>
      <c r="N472" s="1981" t="s">
        <v>3501</v>
      </c>
      <c r="O472" s="1982">
        <v>200</v>
      </c>
      <c r="P472" s="1982">
        <v>10</v>
      </c>
      <c r="Q472" s="1982">
        <f t="shared" si="71"/>
        <v>2000</v>
      </c>
      <c r="S472" s="1980"/>
    </row>
    <row r="473" spans="1:19" s="1808" customFormat="1">
      <c r="A473" s="960"/>
      <c r="B473" s="960"/>
      <c r="C473" s="960"/>
      <c r="D473" s="960"/>
      <c r="E473" s="960"/>
      <c r="F473" s="960"/>
      <c r="G473" s="960"/>
      <c r="H473" s="960"/>
      <c r="I473" s="2164"/>
      <c r="J473" s="960"/>
      <c r="K473" s="712"/>
      <c r="L473"/>
      <c r="M473"/>
      <c r="N473" s="1981" t="s">
        <v>3502</v>
      </c>
      <c r="O473" s="1982">
        <v>200</v>
      </c>
      <c r="P473" s="1982">
        <v>10</v>
      </c>
      <c r="Q473" s="1982">
        <f t="shared" si="71"/>
        <v>2000</v>
      </c>
      <c r="S473" s="1980"/>
    </row>
    <row r="474" spans="1:19" s="1808" customFormat="1">
      <c r="A474" s="960"/>
      <c r="B474" s="960"/>
      <c r="C474" s="960"/>
      <c r="D474" s="960"/>
      <c r="E474" s="960"/>
      <c r="F474" s="960"/>
      <c r="G474" s="960"/>
      <c r="H474" s="960"/>
      <c r="I474" s="2164"/>
      <c r="J474" s="960"/>
      <c r="K474" s="712"/>
      <c r="L474"/>
      <c r="M474"/>
      <c r="N474" s="1981" t="s">
        <v>3503</v>
      </c>
      <c r="O474" s="1982">
        <v>5900</v>
      </c>
      <c r="P474" s="1982">
        <v>10</v>
      </c>
      <c r="Q474" s="1982">
        <f t="shared" si="71"/>
        <v>59000</v>
      </c>
      <c r="S474" s="1980"/>
    </row>
    <row r="475" spans="1:19" s="1808" customFormat="1">
      <c r="A475" s="960"/>
      <c r="B475" s="960"/>
      <c r="C475" s="960"/>
      <c r="D475" s="960"/>
      <c r="E475" s="960"/>
      <c r="F475" s="960"/>
      <c r="G475" s="960"/>
      <c r="H475" s="960"/>
      <c r="I475" s="2164"/>
      <c r="J475" s="960"/>
      <c r="K475" s="712"/>
      <c r="L475"/>
      <c r="M475"/>
      <c r="N475" s="1981" t="s">
        <v>3504</v>
      </c>
      <c r="O475" s="1982">
        <v>3900</v>
      </c>
      <c r="P475" s="1982">
        <v>1</v>
      </c>
      <c r="Q475" s="1982">
        <f t="shared" si="71"/>
        <v>3900</v>
      </c>
      <c r="S475" s="1980"/>
    </row>
    <row r="476" spans="1:19" s="1808" customFormat="1">
      <c r="A476" s="960"/>
      <c r="B476" s="960"/>
      <c r="C476" s="960"/>
      <c r="D476" s="960"/>
      <c r="E476" s="960"/>
      <c r="F476" s="960"/>
      <c r="G476" s="960"/>
      <c r="H476" s="960"/>
      <c r="I476" s="2164"/>
      <c r="J476" s="960"/>
      <c r="K476" s="712"/>
      <c r="L476"/>
      <c r="M476"/>
      <c r="N476" s="1981" t="s">
        <v>3505</v>
      </c>
      <c r="O476" s="1982">
        <v>5900</v>
      </c>
      <c r="P476" s="1982">
        <v>1</v>
      </c>
      <c r="Q476" s="1982">
        <f t="shared" si="71"/>
        <v>5900</v>
      </c>
      <c r="S476" s="1980"/>
    </row>
    <row r="477" spans="1:19" s="1808" customFormat="1">
      <c r="A477" s="960"/>
      <c r="B477" s="960"/>
      <c r="C477" s="960"/>
      <c r="D477" s="960"/>
      <c r="E477" s="960"/>
      <c r="F477" s="960"/>
      <c r="G477" s="960"/>
      <c r="H477" s="960"/>
      <c r="I477" s="2164"/>
      <c r="J477" s="960"/>
      <c r="K477" s="712"/>
      <c r="L477"/>
      <c r="M477"/>
      <c r="N477" s="1981" t="s">
        <v>3506</v>
      </c>
      <c r="O477" s="1982">
        <v>3900</v>
      </c>
      <c r="P477" s="1982">
        <v>2</v>
      </c>
      <c r="Q477" s="1982">
        <f t="shared" si="71"/>
        <v>7800</v>
      </c>
      <c r="S477" s="1980"/>
    </row>
    <row r="478" spans="1:19" s="1808" customFormat="1">
      <c r="A478" s="960"/>
      <c r="B478" s="960"/>
      <c r="C478" s="960"/>
      <c r="D478" s="960"/>
      <c r="E478" s="960"/>
      <c r="F478" s="960"/>
      <c r="G478" s="960"/>
      <c r="H478" s="960"/>
      <c r="I478" s="2164"/>
      <c r="J478" s="960"/>
      <c r="K478" s="712"/>
      <c r="L478"/>
      <c r="M478"/>
      <c r="N478" s="1981" t="s">
        <v>3507</v>
      </c>
      <c r="O478" s="1982">
        <v>3900</v>
      </c>
      <c r="P478" s="1982">
        <v>2</v>
      </c>
      <c r="Q478" s="1982">
        <f t="shared" si="71"/>
        <v>7800</v>
      </c>
      <c r="S478" s="1980"/>
    </row>
    <row r="479" spans="1:19" s="1808" customFormat="1">
      <c r="A479" s="960"/>
      <c r="B479" s="960"/>
      <c r="C479" s="960"/>
      <c r="D479" s="960"/>
      <c r="E479" s="960"/>
      <c r="F479" s="960"/>
      <c r="G479" s="960"/>
      <c r="H479" s="960"/>
      <c r="I479" s="2164"/>
      <c r="J479" s="960"/>
      <c r="K479" s="712"/>
      <c r="L479"/>
      <c r="M479"/>
      <c r="N479" s="1981" t="s">
        <v>3508</v>
      </c>
      <c r="O479" s="1982">
        <v>5900</v>
      </c>
      <c r="P479" s="1982">
        <v>1</v>
      </c>
      <c r="Q479" s="1982">
        <f t="shared" si="71"/>
        <v>5900</v>
      </c>
      <c r="S479" s="1980"/>
    </row>
    <row r="480" spans="1:19" s="1808" customFormat="1">
      <c r="A480" s="960"/>
      <c r="B480" s="960"/>
      <c r="C480" s="960"/>
      <c r="D480" s="960"/>
      <c r="E480" s="960"/>
      <c r="F480" s="960"/>
      <c r="G480" s="960"/>
      <c r="H480" s="960"/>
      <c r="I480" s="2164"/>
      <c r="J480" s="960"/>
      <c r="K480" s="712"/>
      <c r="L480"/>
      <c r="M480"/>
      <c r="N480" s="1981" t="s">
        <v>3509</v>
      </c>
      <c r="O480" s="1982">
        <v>5900</v>
      </c>
      <c r="P480" s="1982">
        <v>1</v>
      </c>
      <c r="Q480" s="1982">
        <f t="shared" si="71"/>
        <v>5900</v>
      </c>
      <c r="S480" s="1980"/>
    </row>
    <row r="481" spans="1:21" s="1808" customFormat="1">
      <c r="A481" s="960"/>
      <c r="B481" s="960"/>
      <c r="C481" s="960"/>
      <c r="D481" s="960"/>
      <c r="E481" s="960"/>
      <c r="F481" s="960"/>
      <c r="G481" s="960"/>
      <c r="H481" s="960"/>
      <c r="I481" s="2164"/>
      <c r="J481" s="960"/>
      <c r="K481" s="712"/>
      <c r="L481" s="1775"/>
      <c r="N481" s="1981" t="s">
        <v>3510</v>
      </c>
      <c r="O481" s="1982">
        <v>200</v>
      </c>
      <c r="P481" s="1982">
        <v>100</v>
      </c>
      <c r="Q481" s="1982">
        <f t="shared" si="71"/>
        <v>20000</v>
      </c>
      <c r="S481" s="1980"/>
    </row>
    <row r="482" spans="1:21" s="1808" customFormat="1">
      <c r="A482" s="960"/>
      <c r="B482" s="960"/>
      <c r="C482" s="960"/>
      <c r="D482" s="960"/>
      <c r="E482" s="960"/>
      <c r="F482" s="960"/>
      <c r="G482" s="960"/>
      <c r="H482" s="960"/>
      <c r="I482" s="2164"/>
      <c r="J482" s="960"/>
      <c r="K482" s="712"/>
      <c r="L482" s="1775"/>
      <c r="N482" s="1981" t="s">
        <v>3511</v>
      </c>
      <c r="O482" s="1982">
        <v>15600</v>
      </c>
      <c r="P482" s="1982">
        <v>1</v>
      </c>
      <c r="Q482" s="1982">
        <f t="shared" si="71"/>
        <v>15600</v>
      </c>
      <c r="S482" s="1980"/>
    </row>
    <row r="483" spans="1:21" s="1808" customFormat="1">
      <c r="A483" s="960"/>
      <c r="B483" s="960"/>
      <c r="C483" s="960"/>
      <c r="D483" s="960"/>
      <c r="E483" s="960"/>
      <c r="F483" s="960"/>
      <c r="G483" s="960"/>
      <c r="H483" s="960"/>
      <c r="I483" s="2164"/>
      <c r="J483" s="960"/>
      <c r="K483" s="712"/>
      <c r="L483" s="1775"/>
      <c r="N483" s="1981" t="s">
        <v>3512</v>
      </c>
      <c r="O483" s="1982">
        <v>200</v>
      </c>
      <c r="P483" s="1982">
        <v>200</v>
      </c>
      <c r="Q483" s="1982">
        <f t="shared" si="71"/>
        <v>40000</v>
      </c>
      <c r="S483" s="1980"/>
    </row>
    <row r="484" spans="1:21" s="1808" customFormat="1">
      <c r="A484" s="2157">
        <v>191</v>
      </c>
      <c r="B484" s="841">
        <f>Q484</f>
        <v>256000</v>
      </c>
      <c r="C484" s="841"/>
      <c r="D484" s="841"/>
      <c r="E484" s="841"/>
      <c r="F484" s="841"/>
      <c r="G484" s="841" t="s">
        <v>351</v>
      </c>
      <c r="H484" s="841" t="s">
        <v>3514</v>
      </c>
      <c r="I484" s="2180" t="s">
        <v>3716</v>
      </c>
      <c r="J484" s="841" t="s">
        <v>2977</v>
      </c>
      <c r="K484" s="712"/>
      <c r="L484" s="1775"/>
      <c r="N484" s="1983" t="s">
        <v>3513</v>
      </c>
      <c r="O484" s="1984"/>
      <c r="P484" s="1984"/>
      <c r="Q484" s="1985">
        <f>SUM(Q468:Q483)</f>
        <v>256000</v>
      </c>
    </row>
    <row r="485" spans="1:21" s="1808" customFormat="1">
      <c r="A485" s="960"/>
      <c r="B485" s="960"/>
      <c r="C485" s="960"/>
      <c r="D485" s="960"/>
      <c r="E485" s="960"/>
      <c r="F485" s="960"/>
      <c r="G485" s="960"/>
      <c r="H485" s="960"/>
      <c r="I485" s="2164"/>
      <c r="J485" s="960"/>
      <c r="K485" s="712"/>
      <c r="L485" s="1775"/>
    </row>
    <row r="486" spans="1:21" s="1808" customFormat="1">
      <c r="A486" s="960"/>
      <c r="B486" s="960"/>
      <c r="C486" s="960"/>
      <c r="D486" s="960"/>
      <c r="E486" s="960"/>
      <c r="F486" s="960"/>
      <c r="G486" s="960"/>
      <c r="H486" s="960"/>
      <c r="I486" s="2164"/>
      <c r="J486" s="960"/>
      <c r="K486" s="712"/>
      <c r="L486" s="1775"/>
    </row>
    <row r="487" spans="1:21" s="1808" customFormat="1">
      <c r="A487" s="960"/>
      <c r="B487" s="960"/>
      <c r="C487" s="960"/>
      <c r="D487" s="960"/>
      <c r="E487" s="960"/>
      <c r="F487" s="960"/>
      <c r="G487" s="960"/>
      <c r="H487" s="960"/>
      <c r="I487" s="2164"/>
      <c r="J487" s="960"/>
      <c r="K487" s="712"/>
    </row>
    <row r="488" spans="1:21" s="1808" customFormat="1" ht="14.5" customHeight="1">
      <c r="A488" s="960"/>
      <c r="B488" s="960"/>
      <c r="C488" s="960"/>
      <c r="D488" s="960"/>
      <c r="E488" s="960"/>
      <c r="F488" s="960"/>
      <c r="G488" s="960"/>
      <c r="H488" s="960"/>
      <c r="I488" s="2164"/>
      <c r="J488" s="960"/>
      <c r="K488" s="712"/>
      <c r="L488" s="1775" t="s">
        <v>3515</v>
      </c>
    </row>
    <row r="489" spans="1:21" s="1808" customFormat="1">
      <c r="A489" s="960"/>
      <c r="B489" s="960"/>
      <c r="C489" s="960"/>
      <c r="D489" s="960"/>
      <c r="E489" s="960"/>
      <c r="F489" s="960"/>
      <c r="G489" s="960"/>
      <c r="H489" s="960"/>
      <c r="I489" s="2164"/>
      <c r="J489" s="960"/>
      <c r="K489" s="712"/>
      <c r="L489" s="1775"/>
    </row>
    <row r="490" spans="1:21" s="1808" customFormat="1" ht="16" thickBot="1">
      <c r="A490" s="960"/>
      <c r="B490" s="960"/>
      <c r="C490" s="960"/>
      <c r="D490" s="960"/>
      <c r="E490" s="960"/>
      <c r="F490" s="960"/>
      <c r="G490" s="960"/>
      <c r="H490" s="960"/>
      <c r="I490" s="2164"/>
      <c r="J490" s="960"/>
      <c r="K490" s="712"/>
      <c r="L490" s="1775"/>
    </row>
    <row r="491" spans="1:21" s="1808" customFormat="1" ht="32">
      <c r="A491" s="960"/>
      <c r="B491" s="960"/>
      <c r="C491" s="960"/>
      <c r="D491" s="960"/>
      <c r="E491" s="960"/>
      <c r="F491" s="960"/>
      <c r="G491" s="960"/>
      <c r="H491" s="960"/>
      <c r="I491" s="2164"/>
      <c r="J491" s="960"/>
      <c r="K491" s="712"/>
      <c r="L491" s="1775"/>
      <c r="N491" s="1766" t="s">
        <v>3054</v>
      </c>
      <c r="O491" s="1696"/>
      <c r="P491" s="1767"/>
      <c r="Q491" s="1220"/>
      <c r="R491" s="966"/>
      <c r="S491" s="1768"/>
      <c r="T491" s="966"/>
      <c r="U491" s="967"/>
    </row>
    <row r="492" spans="1:21" s="1808" customFormat="1" ht="14.5" customHeight="1">
      <c r="A492" s="960"/>
      <c r="B492" s="960"/>
      <c r="C492" s="960"/>
      <c r="D492" s="960"/>
      <c r="E492" s="960"/>
      <c r="F492" s="960"/>
      <c r="G492" s="960"/>
      <c r="H492" s="960"/>
      <c r="I492" s="2164"/>
      <c r="J492" s="960"/>
      <c r="K492" s="712"/>
      <c r="N492" s="1769" t="s">
        <v>3055</v>
      </c>
      <c r="O492" s="1693"/>
      <c r="P492" s="958"/>
      <c r="Q492" s="1040">
        <v>1</v>
      </c>
      <c r="R492" s="960"/>
      <c r="S492" s="960"/>
      <c r="T492" s="960"/>
      <c r="U492" s="62"/>
    </row>
    <row r="493" spans="1:21" s="1808" customFormat="1" ht="32">
      <c r="A493" s="960"/>
      <c r="B493" s="960"/>
      <c r="C493" s="960"/>
      <c r="D493" s="960"/>
      <c r="E493" s="960"/>
      <c r="F493" s="960"/>
      <c r="G493" s="960"/>
      <c r="H493" s="960"/>
      <c r="I493" s="2164"/>
      <c r="J493" s="960"/>
      <c r="K493" s="712"/>
      <c r="N493" s="1769" t="s">
        <v>3056</v>
      </c>
      <c r="O493" s="1693"/>
      <c r="P493" s="958"/>
      <c r="Q493" s="1040">
        <v>40</v>
      </c>
      <c r="R493" s="960"/>
      <c r="S493" s="960"/>
      <c r="T493" s="960"/>
      <c r="U493" s="62"/>
    </row>
    <row r="494" spans="1:21" s="1808" customFormat="1" ht="32">
      <c r="A494" s="960"/>
      <c r="B494" s="960"/>
      <c r="C494" s="960"/>
      <c r="D494" s="960"/>
      <c r="E494" s="960"/>
      <c r="F494" s="960"/>
      <c r="G494" s="960"/>
      <c r="H494" s="960"/>
      <c r="I494" s="2164"/>
      <c r="J494" s="960"/>
      <c r="K494" s="712"/>
      <c r="N494" s="1769" t="s">
        <v>3057</v>
      </c>
      <c r="O494" s="1693"/>
      <c r="P494" s="958"/>
      <c r="Q494" s="1040">
        <v>1</v>
      </c>
      <c r="R494" s="960"/>
      <c r="S494" s="960"/>
      <c r="T494" s="960"/>
      <c r="U494" s="62"/>
    </row>
    <row r="495" spans="1:21" s="1808" customFormat="1" ht="32">
      <c r="A495" s="960"/>
      <c r="B495" s="960"/>
      <c r="C495" s="960"/>
      <c r="D495" s="960"/>
      <c r="E495" s="960"/>
      <c r="F495" s="960"/>
      <c r="G495" s="960"/>
      <c r="H495" s="960"/>
      <c r="I495" s="2164"/>
      <c r="J495" s="2213"/>
      <c r="K495" s="712"/>
      <c r="N495" s="1769" t="s">
        <v>3052</v>
      </c>
      <c r="O495" s="1693"/>
      <c r="P495" s="1694">
        <v>0</v>
      </c>
      <c r="Q495" s="1028">
        <f>ROUND(Q493*P495,0)</f>
        <v>0</v>
      </c>
      <c r="R495" s="960"/>
      <c r="S495" s="960"/>
      <c r="T495" s="960"/>
      <c r="U495" s="62"/>
    </row>
    <row r="496" spans="1:21" s="1808" customFormat="1" ht="14.5" customHeight="1">
      <c r="A496" s="960"/>
      <c r="B496" s="960"/>
      <c r="C496" s="960"/>
      <c r="D496" s="960"/>
      <c r="E496" s="960"/>
      <c r="F496" s="960"/>
      <c r="G496" s="960"/>
      <c r="H496" s="960"/>
      <c r="I496" s="2164"/>
      <c r="J496" s="2213"/>
      <c r="K496" s="712"/>
      <c r="N496" s="1769" t="s">
        <v>3053</v>
      </c>
      <c r="O496" s="1693"/>
      <c r="P496" s="1694">
        <v>0.75</v>
      </c>
      <c r="Q496" s="1028">
        <f>ROUND(Q493*P496,0)</f>
        <v>30</v>
      </c>
      <c r="R496" s="960"/>
      <c r="S496" s="960"/>
      <c r="T496" s="960"/>
      <c r="U496" s="62"/>
    </row>
    <row r="497" spans="1:21" s="1808" customFormat="1">
      <c r="A497" s="960"/>
      <c r="B497" s="960"/>
      <c r="C497" s="960"/>
      <c r="D497" s="960"/>
      <c r="E497" s="960"/>
      <c r="F497" s="960"/>
      <c r="G497" s="960"/>
      <c r="H497" s="960"/>
      <c r="I497" s="2164"/>
      <c r="J497" s="2213"/>
      <c r="K497" s="712"/>
      <c r="N497" s="1770" t="s">
        <v>3036</v>
      </c>
      <c r="O497" s="1019"/>
      <c r="P497" s="1695"/>
      <c r="Q497" s="1028">
        <f>Q494-1</f>
        <v>0</v>
      </c>
      <c r="R497" s="960"/>
      <c r="S497" s="960"/>
      <c r="T497" s="960"/>
      <c r="U497" s="62"/>
    </row>
    <row r="498" spans="1:21" s="1808" customFormat="1" ht="16" thickBot="1">
      <c r="A498" s="960"/>
      <c r="B498" s="960"/>
      <c r="C498" s="960"/>
      <c r="D498" s="960"/>
      <c r="E498" s="960"/>
      <c r="F498" s="960"/>
      <c r="G498" s="960"/>
      <c r="H498" s="960"/>
      <c r="I498" s="2164"/>
      <c r="J498" s="2213"/>
      <c r="K498" s="712"/>
      <c r="L498" s="1775"/>
      <c r="N498" s="1049"/>
      <c r="O498" s="960"/>
      <c r="P498" s="960"/>
      <c r="Q498" s="960"/>
      <c r="R498" s="960"/>
      <c r="S498" s="960"/>
      <c r="T498" s="960"/>
      <c r="U498" s="62"/>
    </row>
    <row r="499" spans="1:21" s="1808" customFormat="1" ht="32">
      <c r="A499" s="960"/>
      <c r="B499" s="960"/>
      <c r="C499" s="960"/>
      <c r="D499" s="960"/>
      <c r="E499" s="960"/>
      <c r="F499" s="960"/>
      <c r="G499" s="960"/>
      <c r="H499" s="960"/>
      <c r="I499" s="2164"/>
      <c r="J499" s="2213" t="s">
        <v>2825</v>
      </c>
      <c r="K499" s="712"/>
      <c r="L499" s="1775"/>
      <c r="N499" s="1699" t="s">
        <v>3033</v>
      </c>
      <c r="O499" s="1700" t="s">
        <v>3034</v>
      </c>
      <c r="P499" s="1702" t="s">
        <v>3040</v>
      </c>
      <c r="Q499" s="1702" t="s">
        <v>3041</v>
      </c>
      <c r="R499" s="1702" t="s">
        <v>3042</v>
      </c>
      <c r="S499" s="1700" t="s">
        <v>3035</v>
      </c>
      <c r="T499" s="1702" t="s">
        <v>3039</v>
      </c>
      <c r="U499" s="1701" t="s">
        <v>2189</v>
      </c>
    </row>
    <row r="500" spans="1:21" s="1808" customFormat="1">
      <c r="A500" s="960"/>
      <c r="B500" s="960"/>
      <c r="C500" s="960"/>
      <c r="D500" s="960"/>
      <c r="E500" s="960"/>
      <c r="F500" s="960"/>
      <c r="G500" s="960"/>
      <c r="H500" s="960"/>
      <c r="I500" s="2164"/>
      <c r="J500" s="2213"/>
      <c r="K500" s="712"/>
      <c r="L500" s="1775"/>
      <c r="N500" s="1539" t="s">
        <v>3051</v>
      </c>
      <c r="O500" s="958" t="str">
        <f>IFERROR(VLOOKUP(N500,Price_list!$B$1:$H$187,2,0),"")</f>
        <v>International Consultancy fee (3.1)</v>
      </c>
      <c r="P500" s="958" t="str">
        <f>IFERROR(VLOOKUP(N500,Price_list!$B$1:$H$187,3,0),"")</f>
        <v>cost/zi</v>
      </c>
      <c r="Q500" s="946">
        <f>IFERROR(VLOOKUP(N500,Price_list!$B$1:$H$187,4,0),"")</f>
        <v>350</v>
      </c>
      <c r="R500" s="946" t="str">
        <f>IFERROR(VLOOKUP(N500,Price_list!$B$1:$H$187,5,0),"")</f>
        <v>EUR</v>
      </c>
      <c r="S500" s="958">
        <f t="shared" ref="S500:S517" ca="1" si="72">ROUND(IFERROR(IF(R500="MDL",Q500,Q500*INDIRECT(R500)),0),2)</f>
        <v>6868.65</v>
      </c>
      <c r="T500" s="1888">
        <f>Q494</f>
        <v>1</v>
      </c>
      <c r="U500" s="1889">
        <f ca="1">IFERROR(Q491*S500*T500,"")</f>
        <v>0</v>
      </c>
    </row>
    <row r="501" spans="1:21" s="1808" customFormat="1">
      <c r="A501" s="960"/>
      <c r="B501" s="960"/>
      <c r="C501" s="960"/>
      <c r="D501" s="960"/>
      <c r="E501" s="960"/>
      <c r="F501" s="960"/>
      <c r="G501" s="960"/>
      <c r="H501" s="960"/>
      <c r="I501" s="2164"/>
      <c r="J501" s="960"/>
      <c r="K501" s="712"/>
      <c r="L501" s="1775"/>
      <c r="N501" s="1539" t="s">
        <v>3029</v>
      </c>
      <c r="O501" s="958" t="str">
        <f>IFERROR(VLOOKUP(N501,Price_list!$B$1:$H$187,2,0),"")</f>
        <v xml:space="preserve">Travel costs </v>
      </c>
      <c r="P501" s="958" t="str">
        <f>IFERROR(VLOOKUP(N501,Price_list!$B$1:$H$187,3,0),"")</f>
        <v>cost tichet o directie</v>
      </c>
      <c r="Q501" s="946">
        <f>IFERROR(VLOOKUP(N501,Price_list!$B$1:$H$187,4,0),"")</f>
        <v>5000</v>
      </c>
      <c r="R501" s="946" t="str">
        <f>IFERROR(VLOOKUP(N501,Price_list!$B$1:$H$187,5,0),"")</f>
        <v>MDL</v>
      </c>
      <c r="S501" s="958">
        <f t="shared" ca="1" si="72"/>
        <v>5000</v>
      </c>
      <c r="T501" s="1040">
        <v>2</v>
      </c>
      <c r="U501" s="1889">
        <f ca="1">Q491*T501*S501</f>
        <v>0</v>
      </c>
    </row>
    <row r="502" spans="1:21" s="1808" customFormat="1">
      <c r="A502" s="960"/>
      <c r="B502" s="960"/>
      <c r="C502" s="960"/>
      <c r="D502" s="960"/>
      <c r="E502" s="960"/>
      <c r="F502" s="960"/>
      <c r="G502" s="960"/>
      <c r="H502" s="960"/>
      <c r="I502" s="2164"/>
      <c r="J502" s="960"/>
      <c r="K502" s="712"/>
      <c r="L502" s="1775"/>
      <c r="N502" s="1539" t="s">
        <v>3020</v>
      </c>
      <c r="O502" s="958" t="str">
        <f>IFERROR(VLOOKUP(N502,Price_list!$B$1:$H$187,2,0),"")</f>
        <v xml:space="preserve">Per diem, WHO DSA, average </v>
      </c>
      <c r="P502" s="958" t="str">
        <f>IFERROR(VLOOKUP(N502,Price_list!$B$1:$H$187,3,0),"")</f>
        <v>diurna</v>
      </c>
      <c r="Q502" s="946">
        <f>IFERROR(VLOOKUP(N502,Price_list!$B$1:$H$187,4,0),"")</f>
        <v>200</v>
      </c>
      <c r="R502" s="946" t="str">
        <f>IFERROR(VLOOKUP(N502,Price_list!$B$1:$H$187,5,0),"")</f>
        <v>EUR</v>
      </c>
      <c r="S502" s="958">
        <f t="shared" ca="1" si="72"/>
        <v>3924.94</v>
      </c>
      <c r="T502" s="946">
        <f>Q494+1</f>
        <v>2</v>
      </c>
      <c r="U502" s="1889">
        <f ca="1">Q491*S502*T502</f>
        <v>0</v>
      </c>
    </row>
    <row r="503" spans="1:21" s="1808" customFormat="1">
      <c r="A503" s="960"/>
      <c r="B503" s="960"/>
      <c r="C503" s="960"/>
      <c r="D503" s="960"/>
      <c r="E503" s="960"/>
      <c r="F503" s="960"/>
      <c r="G503" s="960"/>
      <c r="H503" s="960"/>
      <c r="I503" s="2164"/>
      <c r="J503" s="960"/>
      <c r="K503" s="712"/>
      <c r="L503" s="1775"/>
      <c r="N503" s="1539" t="s">
        <v>3050</v>
      </c>
      <c r="O503" s="958" t="str">
        <f>IFERROR(VLOOKUP(N503,Price_list!$B$1:$H$187,2,0),"")</f>
        <v>National Consultancy fee (3.1)</v>
      </c>
      <c r="P503" s="958" t="str">
        <f>IFERROR(VLOOKUP(N503,Price_list!$B$1:$H$187,3,0),"")</f>
        <v>cost/zi</v>
      </c>
      <c r="Q503" s="946">
        <f>IFERROR(VLOOKUP(N503,Price_list!$B$1:$H$187,4,0),"")</f>
        <v>2000</v>
      </c>
      <c r="R503" s="946" t="str">
        <f>IFERROR(VLOOKUP(N503,Price_list!$B$1:$H$187,5,0),"")</f>
        <v>MDL</v>
      </c>
      <c r="S503" s="958">
        <f t="shared" ca="1" si="72"/>
        <v>2000</v>
      </c>
      <c r="T503" s="946">
        <f>Q494</f>
        <v>1</v>
      </c>
      <c r="U503" s="1889">
        <f ca="1">Q492*S503*T503</f>
        <v>2000</v>
      </c>
    </row>
    <row r="504" spans="1:21" s="1808" customFormat="1">
      <c r="A504" s="960"/>
      <c r="B504" s="960"/>
      <c r="C504" s="960"/>
      <c r="D504" s="960"/>
      <c r="E504" s="960"/>
      <c r="F504" s="960"/>
      <c r="G504" s="960"/>
      <c r="H504" s="960"/>
      <c r="I504" s="2164"/>
      <c r="J504" s="960"/>
      <c r="K504" s="712"/>
      <c r="L504" s="1775"/>
      <c r="N504" s="1539"/>
      <c r="O504" s="958" t="str">
        <f>IFERROR(VLOOKUP(N504,Price_list!$B$1:$H$187,2,0),"")</f>
        <v/>
      </c>
      <c r="P504" s="958" t="str">
        <f>IFERROR(VLOOKUP(N504,Price_list!$B$1:$H$187,3,0),"")</f>
        <v/>
      </c>
      <c r="Q504" s="946" t="str">
        <f>IFERROR(VLOOKUP(N504,Price_list!$B$1:$H$187,4,0),"")</f>
        <v/>
      </c>
      <c r="R504" s="946" t="str">
        <f>IFERROR(VLOOKUP(N504,Price_list!$B$1:$H$187,5,0),"")</f>
        <v/>
      </c>
      <c r="S504" s="958">
        <f t="shared" ca="1" si="72"/>
        <v>0</v>
      </c>
      <c r="T504" s="946" t="str">
        <f>IFERROR(VLOOKUP(AE504,N495:P500,3,0),"")</f>
        <v/>
      </c>
      <c r="U504" s="1889" t="str">
        <f>IFERROR(#REF!*T504*Q504,"")</f>
        <v/>
      </c>
    </row>
    <row r="505" spans="1:21" s="1808" customFormat="1">
      <c r="A505" s="960"/>
      <c r="B505" s="960"/>
      <c r="C505" s="960"/>
      <c r="D505" s="960"/>
      <c r="E505" s="960"/>
      <c r="F505" s="960"/>
      <c r="G505" s="960"/>
      <c r="H505" s="960"/>
      <c r="I505" s="2164"/>
      <c r="J505" s="960"/>
      <c r="K505" s="712"/>
      <c r="L505" s="1775"/>
      <c r="N505" s="1539"/>
      <c r="O505" s="958" t="str">
        <f>IFERROR(VLOOKUP(N505,Price_list!$B$1:$H$187,2,0),"")</f>
        <v/>
      </c>
      <c r="P505" s="958" t="str">
        <f>IFERROR(VLOOKUP(N505,Price_list!$B$1:$H$187,3,0),"")</f>
        <v/>
      </c>
      <c r="Q505" s="946" t="str">
        <f>IFERROR(VLOOKUP(N505,Price_list!$B$1:$H$187,4,0),"")</f>
        <v/>
      </c>
      <c r="R505" s="946" t="str">
        <f>IFERROR(VLOOKUP(N505,Price_list!$B$1:$H$187,5,0),"")</f>
        <v/>
      </c>
      <c r="S505" s="958">
        <f t="shared" ca="1" si="72"/>
        <v>0</v>
      </c>
      <c r="T505" s="946" t="str">
        <f>IFERROR(VLOOKUP(AE505,N497:P501,3,0),"")</f>
        <v/>
      </c>
      <c r="U505" s="1889" t="str">
        <f>IFERROR(#REF!*T505*Q505,"")</f>
        <v/>
      </c>
    </row>
    <row r="506" spans="1:21" s="1808" customFormat="1">
      <c r="A506" s="960"/>
      <c r="B506" s="960"/>
      <c r="C506" s="960"/>
      <c r="D506" s="960"/>
      <c r="E506" s="960"/>
      <c r="F506" s="960"/>
      <c r="G506" s="960"/>
      <c r="H506" s="960"/>
      <c r="I506" s="2164"/>
      <c r="J506" s="960"/>
      <c r="K506" s="712"/>
      <c r="L506" s="1775"/>
      <c r="N506" s="1539" t="s">
        <v>3016</v>
      </c>
      <c r="O506" s="958" t="str">
        <f>IFERROR(VLOOKUP(N506,Price_list!$B$1:$H$187,2,0),"")</f>
        <v>Coffe break</v>
      </c>
      <c r="P506" s="958" t="str">
        <f>IFERROR(VLOOKUP(N506,Price_list!$B$1:$H$187,3,0),"")</f>
        <v>unitate</v>
      </c>
      <c r="Q506" s="946">
        <f>IFERROR(VLOOKUP(N506,Price_list!$B$1:$H$187,4,0),"")</f>
        <v>75</v>
      </c>
      <c r="R506" s="946" t="str">
        <f>IFERROR(VLOOKUP(N506,Price_list!$B$1:$H$187,5,0),"")</f>
        <v>MDL</v>
      </c>
      <c r="S506" s="958">
        <f t="shared" ca="1" si="72"/>
        <v>75</v>
      </c>
      <c r="T506" s="946">
        <v>2</v>
      </c>
      <c r="U506" s="1889">
        <f ca="1">T506*S506*Q493*Q494</f>
        <v>6000</v>
      </c>
    </row>
    <row r="507" spans="1:21" s="1808" customFormat="1">
      <c r="A507" s="960"/>
      <c r="B507" s="960"/>
      <c r="C507" s="960"/>
      <c r="D507" s="960"/>
      <c r="E507" s="960"/>
      <c r="F507" s="960"/>
      <c r="G507" s="960"/>
      <c r="H507" s="960"/>
      <c r="I507" s="2164"/>
      <c r="J507" s="960"/>
      <c r="K507" s="712"/>
      <c r="L507" s="1775"/>
      <c r="N507" s="1539" t="s">
        <v>3021</v>
      </c>
      <c r="O507" s="958" t="str">
        <f>IFERROR(VLOOKUP(N507,Price_list!$B$1:$H$187,2,0),"")</f>
        <v xml:space="preserve">Meal ( lunch) </v>
      </c>
      <c r="P507" s="958" t="str">
        <f>IFERROR(VLOOKUP(N507,Price_list!$B$1:$H$187,3,0),"")</f>
        <v>unitate</v>
      </c>
      <c r="Q507" s="946">
        <f>IFERROR(VLOOKUP(N507,Price_list!$B$1:$H$187,4,0),"")</f>
        <v>220</v>
      </c>
      <c r="R507" s="946" t="str">
        <f>IFERROR(VLOOKUP(N507,Price_list!$B$1:$H$187,5,0),"")</f>
        <v>MDL</v>
      </c>
      <c r="S507" s="958">
        <f t="shared" ca="1" si="72"/>
        <v>220</v>
      </c>
      <c r="T507" s="946">
        <f>Q494</f>
        <v>1</v>
      </c>
      <c r="U507" s="1889">
        <f ca="1">Q493*T507*S507</f>
        <v>8800</v>
      </c>
    </row>
    <row r="508" spans="1:21" s="1808" customFormat="1">
      <c r="A508" s="960"/>
      <c r="B508" s="960"/>
      <c r="C508" s="960"/>
      <c r="D508" s="960"/>
      <c r="E508" s="960"/>
      <c r="F508" s="960"/>
      <c r="G508" s="960"/>
      <c r="H508" s="960"/>
      <c r="I508" s="2164"/>
      <c r="J508" s="960"/>
      <c r="K508" s="712"/>
      <c r="L508" s="1775"/>
      <c r="N508" s="1539" t="s">
        <v>3023</v>
      </c>
      <c r="O508" s="958" t="str">
        <f>IFERROR(VLOOKUP(N508,Price_list!$B$1:$H$187,2,0),"")</f>
        <v>Meal(dinner)</v>
      </c>
      <c r="P508" s="958" t="str">
        <f>IFERROR(VLOOKUP(N508,Price_list!$B$1:$H$187,3,0),"")</f>
        <v>unitate</v>
      </c>
      <c r="Q508" s="946">
        <f>IFERROR(VLOOKUP(N508,Price_list!$B$1:$H$187,4,0),"")</f>
        <v>220</v>
      </c>
      <c r="R508" s="946" t="str">
        <f>IFERROR(VLOOKUP(N508,Price_list!$B$1:$H$187,5,0),"")</f>
        <v>MDL</v>
      </c>
      <c r="S508" s="958">
        <f t="shared" ca="1" si="72"/>
        <v>220</v>
      </c>
      <c r="T508" s="946">
        <f>Q497</f>
        <v>0</v>
      </c>
      <c r="U508" s="1889">
        <f ca="1">T508*S508*Q495</f>
        <v>0</v>
      </c>
    </row>
    <row r="509" spans="1:21" s="1808" customFormat="1">
      <c r="A509" s="960"/>
      <c r="B509" s="960"/>
      <c r="C509" s="960"/>
      <c r="D509" s="960"/>
      <c r="E509" s="960"/>
      <c r="F509" s="960"/>
      <c r="G509" s="960"/>
      <c r="H509" s="960"/>
      <c r="I509" s="2164"/>
      <c r="J509" s="960"/>
      <c r="K509" s="712"/>
      <c r="L509" s="1775"/>
      <c r="N509" s="1539" t="s">
        <v>3024</v>
      </c>
      <c r="O509" s="958" t="str">
        <f>IFERROR(VLOOKUP(N509,Price_list!$B$1:$H$187,2,0),"")</f>
        <v xml:space="preserve">Accomodation </v>
      </c>
      <c r="P509" s="958" t="str">
        <f>IFERROR(VLOOKUP(N509,Price_list!$B$1:$H$187,3,0),"")</f>
        <v>cost/noapte</v>
      </c>
      <c r="Q509" s="946">
        <f>IFERROR(VLOOKUP(N509,Price_list!$B$1:$H$187,4,0),"")</f>
        <v>750</v>
      </c>
      <c r="R509" s="946" t="str">
        <f>IFERROR(VLOOKUP(N509,Price_list!$B$1:$H$187,5,0),"")</f>
        <v>MDL</v>
      </c>
      <c r="S509" s="958">
        <f t="shared" ca="1" si="72"/>
        <v>750</v>
      </c>
      <c r="T509" s="946">
        <f>Q497</f>
        <v>0</v>
      </c>
      <c r="U509" s="1889">
        <f ca="1">T509*S509*Q495</f>
        <v>0</v>
      </c>
    </row>
    <row r="510" spans="1:21" s="1808" customFormat="1">
      <c r="A510" s="960"/>
      <c r="B510" s="960"/>
      <c r="C510" s="960"/>
      <c r="D510" s="960"/>
      <c r="E510" s="960"/>
      <c r="F510" s="960"/>
      <c r="G510" s="960"/>
      <c r="H510" s="960"/>
      <c r="I510" s="2164"/>
      <c r="J510" s="960"/>
      <c r="K510" s="712"/>
      <c r="L510" s="1775"/>
      <c r="N510" s="1539" t="s">
        <v>3030</v>
      </c>
      <c r="O510" s="958" t="str">
        <f>IFERROR(VLOOKUP(N510,Price_list!$B$1:$H$187,2,0),"")</f>
        <v>Travel participants</v>
      </c>
      <c r="P510" s="958" t="str">
        <f>IFERROR(VLOOKUP(N510,Price_list!$B$1:$H$187,3,0),"")</f>
        <v>cost tichet o directie</v>
      </c>
      <c r="Q510" s="946">
        <f>IFERROR(VLOOKUP(N510,Price_list!$B$1:$H$187,4,0),"")</f>
        <v>80</v>
      </c>
      <c r="R510" s="946" t="str">
        <f>IFERROR(VLOOKUP(N510,Price_list!$B$1:$H$187,5,0),"")</f>
        <v>MDL</v>
      </c>
      <c r="S510" s="958">
        <f t="shared" ca="1" si="72"/>
        <v>80</v>
      </c>
      <c r="T510" s="1040">
        <v>2</v>
      </c>
      <c r="U510" s="1889">
        <f ca="1">T510*Q496*S510</f>
        <v>4800</v>
      </c>
    </row>
    <row r="511" spans="1:21" s="1808" customFormat="1">
      <c r="A511" s="960"/>
      <c r="B511" s="960"/>
      <c r="C511" s="960"/>
      <c r="D511" s="960"/>
      <c r="E511" s="960"/>
      <c r="F511" s="960"/>
      <c r="G511" s="960"/>
      <c r="H511" s="960"/>
      <c r="I511" s="2164"/>
      <c r="J511" s="960"/>
      <c r="K511" s="712"/>
      <c r="L511" s="1775"/>
      <c r="N511" s="1539"/>
      <c r="O511" s="958" t="str">
        <f>IFERROR(VLOOKUP(N511,Price_list!$B$1:$H$187,2,0),"")</f>
        <v/>
      </c>
      <c r="P511" s="958" t="str">
        <f>IFERROR(VLOOKUP(N511,Price_list!$B$1:$H$187,3,0),"")</f>
        <v/>
      </c>
      <c r="Q511" s="946" t="str">
        <f>IFERROR(VLOOKUP(N511,Price_list!$B$1:$H$187,4,0),"")</f>
        <v/>
      </c>
      <c r="R511" s="946" t="str">
        <f>IFERROR(VLOOKUP(N511,Price_list!$B$1:$H$187,5,0),"")</f>
        <v/>
      </c>
      <c r="S511" s="958">
        <f t="shared" ca="1" si="72"/>
        <v>0</v>
      </c>
      <c r="T511" s="946" t="str">
        <f>IFERROR(VLOOKUP(AE511,N501:P507,3,0),"")</f>
        <v/>
      </c>
      <c r="U511" s="1889" t="str">
        <f>IFERROR(#REF!*T511*Q511,"")</f>
        <v/>
      </c>
    </row>
    <row r="512" spans="1:21" s="1808" customFormat="1">
      <c r="A512" s="960"/>
      <c r="B512" s="960"/>
      <c r="C512" s="960"/>
      <c r="D512" s="960"/>
      <c r="E512" s="960"/>
      <c r="F512" s="960"/>
      <c r="G512" s="960"/>
      <c r="H512" s="960"/>
      <c r="I512" s="2164"/>
      <c r="J512" s="960"/>
      <c r="K512" s="712"/>
      <c r="L512" s="1775"/>
      <c r="N512" s="1539" t="s">
        <v>3025</v>
      </c>
      <c r="O512" s="958" t="str">
        <f>IFERROR(VLOOKUP(N512,Price_list!$B$1:$H$187,2,0),"")</f>
        <v>Supplies</v>
      </c>
      <c r="P512" s="958" t="str">
        <f>IFERROR(VLOOKUP(N512,Price_list!$B$1:$H$187,3,0),"")</f>
        <v>set/participant</v>
      </c>
      <c r="Q512" s="946">
        <f>IFERROR(VLOOKUP(N512,Price_list!$B$1:$H$187,4,0),"")</f>
        <v>140</v>
      </c>
      <c r="R512" s="946" t="str">
        <f>IFERROR(VLOOKUP(N512,Price_list!$B$1:$H$187,5,0),"")</f>
        <v>MDL</v>
      </c>
      <c r="S512" s="958">
        <f t="shared" ca="1" si="72"/>
        <v>140</v>
      </c>
      <c r="T512" s="946">
        <v>1</v>
      </c>
      <c r="U512" s="1889">
        <f ca="1">T512*S512*Q493</f>
        <v>5600</v>
      </c>
    </row>
    <row r="513" spans="1:21" s="1808" customFormat="1">
      <c r="A513" s="960"/>
      <c r="B513" s="960"/>
      <c r="C513" s="960"/>
      <c r="D513" s="960"/>
      <c r="E513" s="960"/>
      <c r="F513" s="960"/>
      <c r="G513" s="960"/>
      <c r="H513" s="960"/>
      <c r="I513" s="2164"/>
      <c r="J513" s="960"/>
      <c r="K513" s="712"/>
      <c r="L513" s="1775"/>
      <c r="N513" s="1539" t="s">
        <v>3022</v>
      </c>
      <c r="O513" s="958" t="str">
        <f>IFERROR(VLOOKUP(N513,Price_list!$B$1:$H$187,2,0),"")</f>
        <v>Rent of premises</v>
      </c>
      <c r="P513" s="958" t="str">
        <f>IFERROR(VLOOKUP(N513,Price_list!$B$1:$H$187,3,0),"")</f>
        <v>cost/zi</v>
      </c>
      <c r="Q513" s="946">
        <f>IFERROR(VLOOKUP(N513,Price_list!$B$1:$H$187,4,0),"")</f>
        <v>1800</v>
      </c>
      <c r="R513" s="946" t="str">
        <f>IFERROR(VLOOKUP(N513,Price_list!$B$1:$H$187,5,0),"")</f>
        <v>MDL</v>
      </c>
      <c r="S513" s="958">
        <f t="shared" ca="1" si="72"/>
        <v>1800</v>
      </c>
      <c r="T513" s="946">
        <f>Q494</f>
        <v>1</v>
      </c>
      <c r="U513" s="1889">
        <f ca="1">T513*S513</f>
        <v>1800</v>
      </c>
    </row>
    <row r="514" spans="1:21" s="1808" customFormat="1">
      <c r="A514" s="960"/>
      <c r="B514" s="960"/>
      <c r="C514" s="960"/>
      <c r="D514" s="960"/>
      <c r="E514" s="960"/>
      <c r="F514" s="960"/>
      <c r="G514" s="960"/>
      <c r="H514" s="960"/>
      <c r="I514" s="2164"/>
      <c r="J514" s="960"/>
      <c r="K514" s="712"/>
      <c r="L514" s="1775"/>
      <c r="N514" s="1539" t="s">
        <v>3031</v>
      </c>
      <c r="O514" s="958" t="str">
        <f>IFERROR(VLOOKUP(N514,Price_list!$B$1:$H$187,2,0),"")</f>
        <v>Interpreter's fee, per day</v>
      </c>
      <c r="P514" s="958" t="str">
        <f>IFERROR(VLOOKUP(N514,Price_list!$B$1:$H$187,3,0),"")</f>
        <v>cost/zi</v>
      </c>
      <c r="Q514" s="946">
        <f>IFERROR(VLOOKUP(N514,Price_list!$B$1:$H$187,4,0),"")</f>
        <v>2000</v>
      </c>
      <c r="R514" s="946" t="str">
        <f>IFERROR(VLOOKUP(N514,Price_list!$B$1:$H$187,5,0),"")</f>
        <v>MDL</v>
      </c>
      <c r="S514" s="958">
        <f t="shared" ca="1" si="72"/>
        <v>2000</v>
      </c>
      <c r="T514" s="946">
        <f>IF(Q491&gt;0,Q494,0)</f>
        <v>0</v>
      </c>
      <c r="U514" s="1889">
        <f ca="1">T514*S514</f>
        <v>0</v>
      </c>
    </row>
    <row r="515" spans="1:21" s="1808" customFormat="1">
      <c r="A515" s="960"/>
      <c r="B515" s="960"/>
      <c r="C515" s="960"/>
      <c r="D515" s="960"/>
      <c r="E515" s="960"/>
      <c r="F515" s="960"/>
      <c r="G515" s="960"/>
      <c r="H515" s="960"/>
      <c r="I515" s="2164"/>
      <c r="J515" s="960"/>
      <c r="K515" s="712"/>
      <c r="L515" s="1775"/>
      <c r="N515" s="1539"/>
      <c r="O515" s="958" t="str">
        <f>IFERROR(VLOOKUP(N515,Price_list!$B$1:$H$187,2,0),"")</f>
        <v/>
      </c>
      <c r="P515" s="958" t="str">
        <f>IFERROR(VLOOKUP(N515,Price_list!$B$1:$H$187,3,0),"")</f>
        <v/>
      </c>
      <c r="Q515" s="946" t="str">
        <f>IFERROR(VLOOKUP(N515,Price_list!$B$1:$H$187,4,0),"")</f>
        <v/>
      </c>
      <c r="R515" s="946" t="str">
        <f>IFERROR(VLOOKUP(N515,Price_list!$B$1:$H$187,5,0),"")</f>
        <v/>
      </c>
      <c r="S515" s="958">
        <f t="shared" ca="1" si="72"/>
        <v>0</v>
      </c>
      <c r="T515" s="946" t="str">
        <f>IFERROR(VLOOKUP(AE515,N506:P510,3,0),"")</f>
        <v/>
      </c>
      <c r="U515" s="1889" t="str">
        <f>IFERROR(#REF!*T515*Q515,"")</f>
        <v/>
      </c>
    </row>
    <row r="516" spans="1:21" s="1808" customFormat="1">
      <c r="A516" s="960"/>
      <c r="B516" s="960"/>
      <c r="C516" s="960"/>
      <c r="D516" s="960"/>
      <c r="E516" s="960"/>
      <c r="F516" s="960"/>
      <c r="G516" s="960"/>
      <c r="H516" s="960"/>
      <c r="I516" s="2164"/>
      <c r="J516" s="960"/>
      <c r="K516" s="712"/>
      <c r="L516" s="1775"/>
      <c r="N516" s="1539"/>
      <c r="O516" s="958" t="str">
        <f>IFERROR(VLOOKUP(N516,Price_list!$B$1:$H$187,2,0),"")</f>
        <v/>
      </c>
      <c r="P516" s="958" t="str">
        <f>IFERROR(VLOOKUP(N516,Price_list!$B$1:$H$187,3,0),"")</f>
        <v/>
      </c>
      <c r="Q516" s="946" t="str">
        <f>IFERROR(VLOOKUP(N516,Price_list!$B$1:$H$187,4,0),"")</f>
        <v/>
      </c>
      <c r="R516" s="946" t="str">
        <f>IFERROR(VLOOKUP(N516,Price_list!$B$1:$H$187,5,0),"")</f>
        <v/>
      </c>
      <c r="S516" s="958">
        <f t="shared" ca="1" si="72"/>
        <v>0</v>
      </c>
      <c r="T516" s="946" t="str">
        <f>IFERROR(VLOOKUP(AE516,N507:P512,3,0),"")</f>
        <v/>
      </c>
      <c r="U516" s="1889" t="str">
        <f>IFERROR(#REF!*T516*Q516,"")</f>
        <v/>
      </c>
    </row>
    <row r="517" spans="1:21" s="1808" customFormat="1">
      <c r="A517" s="960"/>
      <c r="B517" s="960"/>
      <c r="C517" s="960"/>
      <c r="D517" s="960"/>
      <c r="E517" s="960"/>
      <c r="F517" s="960"/>
      <c r="G517" s="960"/>
      <c r="H517" s="960"/>
      <c r="I517" s="2164"/>
      <c r="J517" s="960"/>
      <c r="K517" s="712"/>
      <c r="L517" s="1775"/>
      <c r="N517" s="1539"/>
      <c r="O517" s="958" t="str">
        <f>IFERROR(VLOOKUP(N517,Price_list!$B$1:$H$187,2,0),"")</f>
        <v/>
      </c>
      <c r="P517" s="958" t="str">
        <f>IFERROR(VLOOKUP(N517,Price_list!$B$1:$H$187,3,0),"")</f>
        <v/>
      </c>
      <c r="Q517" s="946" t="str">
        <f>IFERROR(VLOOKUP(N517,Price_list!$B$1:$H$187,4,0),"")</f>
        <v/>
      </c>
      <c r="R517" s="946" t="str">
        <f>IFERROR(VLOOKUP(N517,Price_list!$B$1:$H$187,5,0),"")</f>
        <v/>
      </c>
      <c r="S517" s="958">
        <f t="shared" ca="1" si="72"/>
        <v>0</v>
      </c>
      <c r="T517" s="946" t="str">
        <f>IFERROR(VLOOKUP(AE517,N508:P513,3,0),"")</f>
        <v/>
      </c>
      <c r="U517" s="1889" t="str">
        <f>IFERROR(#REF!*T517*Q517,"")</f>
        <v/>
      </c>
    </row>
    <row r="518" spans="1:21" s="1808" customFormat="1" ht="16" thickBot="1">
      <c r="A518" s="960"/>
      <c r="B518" s="960"/>
      <c r="C518" s="960"/>
      <c r="D518" s="960"/>
      <c r="E518" s="960"/>
      <c r="F518" s="960"/>
      <c r="G518" s="960"/>
      <c r="H518" s="960"/>
      <c r="I518" s="2164"/>
      <c r="J518" s="960"/>
      <c r="K518" s="712"/>
      <c r="L518" s="1775"/>
      <c r="N518" s="1697"/>
      <c r="O518" s="1698" t="str">
        <f>IFERROR(VLOOKUP(N518,Price_list!$B$1:$H$187,2,0),"")</f>
        <v/>
      </c>
      <c r="P518" s="1698" t="str">
        <f>IFERROR(VLOOKUP(N518,Price_list!$B$1:$H$187,3,0),"")</f>
        <v/>
      </c>
      <c r="Q518" s="1034" t="str">
        <f>IFERROR(VLOOKUP(N518,Price_list!$B$1:$H$187,4,0),"")</f>
        <v/>
      </c>
      <c r="R518" s="1034" t="str">
        <f>IFERROR(VLOOKUP(N518,Price_list!$B$1:$H$187,5,0),"")</f>
        <v/>
      </c>
      <c r="S518" s="1698"/>
      <c r="T518" s="1034" t="str">
        <f>IFERROR(VLOOKUP(AE518,N509:P514,3,0),"")</f>
        <v/>
      </c>
      <c r="U518" s="1703">
        <f ca="1">SUM(U500:U517)</f>
        <v>29000</v>
      </c>
    </row>
    <row r="519" spans="1:21" s="1808" customFormat="1">
      <c r="A519" s="960"/>
      <c r="B519" s="960"/>
      <c r="C519" s="960"/>
      <c r="D519" s="960"/>
      <c r="E519" s="960"/>
      <c r="F519" s="960"/>
      <c r="G519" s="960"/>
      <c r="H519" s="960"/>
      <c r="I519" s="2164"/>
      <c r="J519" s="960"/>
      <c r="K519" s="712"/>
      <c r="L519" s="1775"/>
      <c r="N519" s="1771" t="s">
        <v>3037</v>
      </c>
      <c r="O519" s="1742" t="s">
        <v>3006</v>
      </c>
      <c r="P519" s="1743"/>
      <c r="Q519" s="1772">
        <v>7.0000000000000007E-2</v>
      </c>
      <c r="R519" s="1773"/>
      <c r="S519" s="1773"/>
      <c r="T519" s="1773"/>
      <c r="U519" s="1774">
        <f ca="1">ROUND(U518*Q519,2)</f>
        <v>2030</v>
      </c>
    </row>
    <row r="520" spans="1:21" s="1808" customFormat="1" ht="16" thickBot="1">
      <c r="A520" s="960"/>
      <c r="B520" s="960"/>
      <c r="C520" s="960"/>
      <c r="D520" s="960"/>
      <c r="E520" s="960"/>
      <c r="F520" s="960"/>
      <c r="G520" s="960"/>
      <c r="H520" s="960"/>
      <c r="I520" s="2164"/>
      <c r="J520" s="960"/>
      <c r="K520" s="712"/>
      <c r="L520" s="1775"/>
      <c r="N520" s="1049"/>
      <c r="O520" s="960"/>
      <c r="P520" s="960"/>
      <c r="Q520" s="960"/>
      <c r="R520" s="960"/>
      <c r="S520" s="960"/>
      <c r="T520" s="960"/>
      <c r="U520" s="62"/>
    </row>
    <row r="521" spans="1:21" s="1808" customFormat="1" ht="16" thickBot="1">
      <c r="A521" s="960"/>
      <c r="B521" s="960"/>
      <c r="C521" s="960"/>
      <c r="D521" s="960"/>
      <c r="E521" s="960"/>
      <c r="F521" s="960"/>
      <c r="G521" s="960"/>
      <c r="H521" s="960"/>
      <c r="I521" s="2164"/>
      <c r="J521" s="960"/>
      <c r="K521" s="712"/>
      <c r="L521" s="1775"/>
      <c r="N521" s="1704" t="s">
        <v>3038</v>
      </c>
      <c r="O521" s="1761"/>
      <c r="P521" s="1761"/>
      <c r="Q521" s="1761"/>
      <c r="R521" s="1761"/>
      <c r="S521" s="1761"/>
      <c r="T521" s="1761"/>
      <c r="U521" s="1706">
        <f ca="1">U519+U518</f>
        <v>31030</v>
      </c>
    </row>
    <row r="522" spans="1:21" s="1808" customFormat="1">
      <c r="A522" s="960"/>
      <c r="B522" s="960"/>
      <c r="C522" s="960"/>
      <c r="D522" s="960"/>
      <c r="E522" s="960"/>
      <c r="F522" s="960"/>
      <c r="G522" s="960"/>
      <c r="H522" s="960"/>
      <c r="I522" s="2164"/>
      <c r="J522" s="960"/>
      <c r="K522" s="712"/>
      <c r="L522" s="1775"/>
      <c r="N522" s="1049"/>
      <c r="O522" s="960"/>
      <c r="P522" s="960"/>
      <c r="Q522" s="960"/>
      <c r="R522" s="960"/>
      <c r="S522" s="960"/>
      <c r="T522" s="960"/>
      <c r="U522" s="62"/>
    </row>
    <row r="523" spans="1:21" s="1808" customFormat="1" ht="16" thickBot="1">
      <c r="A523" s="960"/>
      <c r="B523" s="960"/>
      <c r="C523" s="960"/>
      <c r="D523" s="960"/>
      <c r="E523" s="960"/>
      <c r="F523" s="960"/>
      <c r="G523" s="960"/>
      <c r="H523" s="960"/>
      <c r="I523" s="2164"/>
      <c r="J523" s="960"/>
      <c r="K523" s="712"/>
      <c r="L523" s="1775"/>
      <c r="N523" s="1049"/>
      <c r="O523" s="960"/>
      <c r="P523" s="960"/>
      <c r="Q523" s="960"/>
      <c r="R523" s="960"/>
      <c r="S523" s="960"/>
      <c r="T523" s="960"/>
      <c r="U523" s="62"/>
    </row>
    <row r="524" spans="1:21" s="1808" customFormat="1" ht="16" thickBot="1">
      <c r="A524" s="960"/>
      <c r="B524" s="960"/>
      <c r="C524" s="960"/>
      <c r="D524" s="960"/>
      <c r="E524" s="960"/>
      <c r="F524" s="960"/>
      <c r="G524" s="960"/>
      <c r="H524" s="960"/>
      <c r="I524" s="2164"/>
      <c r="J524" s="960"/>
      <c r="K524" s="712"/>
      <c r="L524" s="1775"/>
      <c r="N524" s="1049" t="s">
        <v>2171</v>
      </c>
      <c r="O524" s="960"/>
      <c r="P524" s="960"/>
      <c r="Q524" s="1500">
        <v>2021</v>
      </c>
      <c r="R524" s="1762">
        <v>2022</v>
      </c>
      <c r="S524" s="1762">
        <v>2023</v>
      </c>
      <c r="T524" s="1762">
        <v>2024</v>
      </c>
      <c r="U524" s="1763">
        <v>2025</v>
      </c>
    </row>
    <row r="525" spans="1:21" s="1808" customFormat="1" ht="16" thickBot="1">
      <c r="A525" s="960"/>
      <c r="B525" s="960"/>
      <c r="C525" s="960"/>
      <c r="D525" s="960"/>
      <c r="E525" s="960"/>
      <c r="F525" s="960"/>
      <c r="G525" s="960"/>
      <c r="H525" s="960"/>
      <c r="I525" s="2164"/>
      <c r="J525" s="960"/>
      <c r="K525" s="712"/>
      <c r="L525" s="1775"/>
      <c r="N525" s="1764" t="s">
        <v>3043</v>
      </c>
      <c r="O525" s="1504"/>
      <c r="P525" s="1504"/>
      <c r="Q525" s="1713">
        <v>0</v>
      </c>
      <c r="R525" s="1713">
        <v>0</v>
      </c>
      <c r="S525" s="1713">
        <v>0</v>
      </c>
      <c r="T525" s="1713">
        <v>0</v>
      </c>
      <c r="U525" s="1765">
        <v>0</v>
      </c>
    </row>
    <row r="526" spans="1:21" s="1808" customFormat="1" ht="16" thickBot="1">
      <c r="A526" s="2157">
        <v>192</v>
      </c>
      <c r="B526" s="841">
        <f ca="1">Q526</f>
        <v>0</v>
      </c>
      <c r="C526" s="841">
        <f ca="1">R526</f>
        <v>0</v>
      </c>
      <c r="D526" s="841">
        <f ca="1">S526</f>
        <v>0</v>
      </c>
      <c r="E526" s="841">
        <f ca="1">T526</f>
        <v>0</v>
      </c>
      <c r="F526" s="841">
        <f ca="1">U526</f>
        <v>0</v>
      </c>
      <c r="G526" s="841" t="s">
        <v>351</v>
      </c>
      <c r="H526" s="841" t="s">
        <v>3515</v>
      </c>
      <c r="I526" s="2180" t="s">
        <v>3716</v>
      </c>
      <c r="J526" s="841" t="s">
        <v>2977</v>
      </c>
      <c r="K526" s="712"/>
      <c r="L526" s="1775"/>
      <c r="N526" s="1710" t="s">
        <v>3044</v>
      </c>
      <c r="O526" s="1732"/>
      <c r="P526" s="1708"/>
      <c r="Q526" s="1495">
        <f ca="1">U521*Q525</f>
        <v>0</v>
      </c>
      <c r="R526" s="1495">
        <f ca="1">U521*R525</f>
        <v>0</v>
      </c>
      <c r="S526" s="1495">
        <f ca="1">U521*S525</f>
        <v>0</v>
      </c>
      <c r="T526" s="1495">
        <f ca="1">U521*T525</f>
        <v>0</v>
      </c>
      <c r="U526" s="1495">
        <f ca="1">U521*U525</f>
        <v>0</v>
      </c>
    </row>
    <row r="527" spans="1:21">
      <c r="K527" s="712" t="s">
        <v>238</v>
      </c>
      <c r="L527" s="1775"/>
    </row>
    <row r="528" spans="1:21">
      <c r="K528" s="712" t="s">
        <v>238</v>
      </c>
      <c r="L528" s="1775"/>
    </row>
    <row r="529" spans="11:21">
      <c r="K529" s="712" t="s">
        <v>238</v>
      </c>
      <c r="L529" s="1775"/>
    </row>
    <row r="530" spans="11:21">
      <c r="K530" s="712" t="s">
        <v>238</v>
      </c>
      <c r="L530" s="1775" t="s">
        <v>3516</v>
      </c>
    </row>
    <row r="531" spans="11:21">
      <c r="K531" s="712" t="s">
        <v>238</v>
      </c>
      <c r="L531" s="1775"/>
    </row>
    <row r="532" spans="11:21" ht="16" thickBot="1">
      <c r="K532" s="712" t="s">
        <v>238</v>
      </c>
      <c r="L532" s="1775"/>
    </row>
    <row r="533" spans="11:21" ht="32">
      <c r="K533" s="712" t="s">
        <v>238</v>
      </c>
      <c r="L533" s="1775"/>
      <c r="N533" s="1758" t="s">
        <v>2155</v>
      </c>
      <c r="O533" s="966"/>
      <c r="P533" s="966"/>
      <c r="Q533" s="966"/>
      <c r="R533" s="1759" t="s">
        <v>3060</v>
      </c>
      <c r="S533" s="966"/>
      <c r="T533" s="966"/>
      <c r="U533" s="967"/>
    </row>
    <row r="534" spans="11:21" ht="32">
      <c r="K534" s="712" t="s">
        <v>238</v>
      </c>
      <c r="L534" s="1775"/>
      <c r="N534" s="1760" t="s">
        <v>3054</v>
      </c>
      <c r="O534" s="1749"/>
      <c r="P534" s="1565"/>
      <c r="Q534" s="1750"/>
      <c r="R534" s="1383"/>
      <c r="S534" s="960"/>
      <c r="T534" s="960"/>
      <c r="U534" s="62"/>
    </row>
    <row r="535" spans="11:21" ht="32">
      <c r="K535" s="712" t="s">
        <v>238</v>
      </c>
      <c r="L535" s="1775"/>
      <c r="N535" s="1760" t="s">
        <v>3055</v>
      </c>
      <c r="O535" s="1749"/>
      <c r="P535" s="1565"/>
      <c r="Q535" s="1750">
        <v>3</v>
      </c>
      <c r="R535" s="1383">
        <v>10</v>
      </c>
      <c r="S535" s="960" t="s">
        <v>3949</v>
      </c>
      <c r="T535" s="960"/>
      <c r="U535" s="62"/>
    </row>
    <row r="536" spans="11:21">
      <c r="K536" s="712" t="s">
        <v>238</v>
      </c>
      <c r="L536" s="1775"/>
      <c r="N536" s="1049"/>
      <c r="O536" s="960"/>
      <c r="P536" s="960"/>
      <c r="Q536" s="960"/>
      <c r="R536" s="960"/>
      <c r="S536" s="960"/>
      <c r="T536" s="960"/>
      <c r="U536" s="62"/>
    </row>
    <row r="537" spans="11:21">
      <c r="K537" s="712" t="s">
        <v>238</v>
      </c>
      <c r="L537" s="1775"/>
      <c r="N537" s="1049" t="s">
        <v>3059</v>
      </c>
      <c r="O537" s="960"/>
      <c r="P537" s="960"/>
      <c r="Q537" s="960"/>
      <c r="R537" s="960"/>
      <c r="S537" s="960"/>
      <c r="T537" s="960"/>
      <c r="U537" s="62"/>
    </row>
    <row r="538" spans="11:21" ht="32">
      <c r="K538" s="712" t="s">
        <v>238</v>
      </c>
      <c r="L538" s="1775"/>
      <c r="N538" s="1760" t="s">
        <v>3061</v>
      </c>
      <c r="O538" s="1749"/>
      <c r="P538" s="1565"/>
      <c r="Q538" s="1750"/>
      <c r="R538" s="1383"/>
      <c r="S538" s="960"/>
      <c r="T538" s="960"/>
      <c r="U538" s="62"/>
    </row>
    <row r="539" spans="11:21" ht="32">
      <c r="K539" s="712" t="s">
        <v>238</v>
      </c>
      <c r="L539" s="1775"/>
      <c r="N539" s="1760" t="s">
        <v>3062</v>
      </c>
      <c r="O539" s="1749"/>
      <c r="P539" s="1565"/>
      <c r="Q539" s="1750"/>
      <c r="R539" s="1383"/>
      <c r="S539" s="960"/>
      <c r="T539" s="960"/>
      <c r="U539" s="62"/>
    </row>
    <row r="540" spans="11:21">
      <c r="K540" s="712" t="s">
        <v>238</v>
      </c>
      <c r="L540" s="1775"/>
      <c r="N540" s="1049"/>
      <c r="O540" s="960"/>
      <c r="P540" s="960"/>
      <c r="Q540" s="960"/>
      <c r="R540" s="960"/>
      <c r="S540" s="960"/>
      <c r="T540" s="960"/>
      <c r="U540" s="62"/>
    </row>
    <row r="541" spans="11:21">
      <c r="K541" s="712" t="s">
        <v>238</v>
      </c>
      <c r="N541" s="1049"/>
      <c r="O541" s="960"/>
      <c r="P541" s="960"/>
      <c r="Q541" s="960"/>
      <c r="R541" s="960"/>
      <c r="S541" s="960"/>
      <c r="T541" s="960"/>
      <c r="U541" s="62"/>
    </row>
    <row r="542" spans="11:21" ht="16" thickBot="1">
      <c r="K542" s="712" t="s">
        <v>238</v>
      </c>
      <c r="N542" s="1049" t="s">
        <v>3058</v>
      </c>
      <c r="O542" s="960"/>
      <c r="P542" s="960"/>
      <c r="Q542" s="960"/>
      <c r="R542" s="960"/>
      <c r="S542" s="960"/>
      <c r="T542" s="960"/>
      <c r="U542" s="62"/>
    </row>
    <row r="543" spans="11:21" ht="32">
      <c r="K543" s="712" t="s">
        <v>238</v>
      </c>
      <c r="N543" s="1699" t="s">
        <v>3033</v>
      </c>
      <c r="O543" s="1700" t="s">
        <v>3034</v>
      </c>
      <c r="P543" s="1702" t="s">
        <v>3040</v>
      </c>
      <c r="Q543" s="1702" t="s">
        <v>3041</v>
      </c>
      <c r="R543" s="1702" t="s">
        <v>3042</v>
      </c>
      <c r="S543" s="1700" t="s">
        <v>3035</v>
      </c>
      <c r="T543" s="1702" t="s">
        <v>3067</v>
      </c>
      <c r="U543" s="1701" t="s">
        <v>2189</v>
      </c>
    </row>
    <row r="544" spans="11:21">
      <c r="K544" s="712" t="s">
        <v>238</v>
      </c>
      <c r="N544" s="1539" t="s">
        <v>3051</v>
      </c>
      <c r="O544" s="958" t="str">
        <f>IFERROR(VLOOKUP(N544,Price_list!$B$1:$H$187,2,0),"")</f>
        <v>International Consultancy fee (3.1)</v>
      </c>
      <c r="P544" s="958" t="str">
        <f>IFERROR(VLOOKUP(N544,Price_list!$B$1:$H$187,3,0),"")</f>
        <v>cost/zi</v>
      </c>
      <c r="Q544" s="946">
        <f>IFERROR(VLOOKUP(N544,Price_list!$B$1:$H$187,4,0),"")</f>
        <v>350</v>
      </c>
      <c r="R544" s="946" t="str">
        <f>IFERROR(VLOOKUP(N544,Price_list!$B$1:$H$187,5,0),"")</f>
        <v>EUR</v>
      </c>
      <c r="S544" s="958">
        <f t="shared" ref="S544:S550" ca="1" si="73">ROUND(IFERROR(IF(R544="MDL",Q544,Q544*INDIRECT(R544)),0),2)</f>
        <v>6868.65</v>
      </c>
      <c r="T544" s="946">
        <f>Q534*R534</f>
        <v>0</v>
      </c>
      <c r="U544" s="1889">
        <f t="shared" ref="U544:U550" ca="1" si="74">T544*S544</f>
        <v>0</v>
      </c>
    </row>
    <row r="545" spans="1:21">
      <c r="K545" s="712" t="s">
        <v>238</v>
      </c>
      <c r="N545" s="1539" t="s">
        <v>3050</v>
      </c>
      <c r="O545" s="958" t="str">
        <f>IFERROR(VLOOKUP(N545,Price_list!$B$1:$H$187,2,0),"")</f>
        <v>National Consultancy fee (3.1)</v>
      </c>
      <c r="P545" s="958" t="str">
        <f>IFERROR(VLOOKUP(N545,Price_list!$B$1:$H$187,3,0),"")</f>
        <v>cost/zi</v>
      </c>
      <c r="Q545" s="946">
        <f>IFERROR(VLOOKUP(N545,Price_list!$B$1:$H$187,4,0),"")</f>
        <v>2000</v>
      </c>
      <c r="R545" s="946" t="str">
        <f>IFERROR(VLOOKUP(N545,Price_list!$B$1:$H$187,5,0),"")</f>
        <v>MDL</v>
      </c>
      <c r="S545" s="958">
        <f t="shared" ca="1" si="73"/>
        <v>2000</v>
      </c>
      <c r="T545" s="946">
        <f>Q535*R535</f>
        <v>30</v>
      </c>
      <c r="U545" s="1889">
        <f t="shared" ca="1" si="74"/>
        <v>60000</v>
      </c>
    </row>
    <row r="546" spans="1:21">
      <c r="K546" s="712" t="s">
        <v>238</v>
      </c>
      <c r="N546" s="1539" t="s">
        <v>3063</v>
      </c>
      <c r="O546" s="958" t="str">
        <f>IFERROR(VLOOKUP(N546,Price_list!$B$1:$H$187,2,0),"")</f>
        <v>Translation per page</v>
      </c>
      <c r="P546" s="958" t="str">
        <f>IFERROR(VLOOKUP(N546,Price_list!$B$1:$H$187,3,0),"")</f>
        <v>pagina</v>
      </c>
      <c r="Q546" s="946">
        <f>IFERROR(VLOOKUP(N546,Price_list!$B$1:$H$187,4,0),"")</f>
        <v>150</v>
      </c>
      <c r="R546" s="946" t="str">
        <f>IFERROR(VLOOKUP(N546,Price_list!$B$1:$H$187,5,0),"")</f>
        <v>MDL</v>
      </c>
      <c r="S546" s="958">
        <f t="shared" ca="1" si="73"/>
        <v>150</v>
      </c>
      <c r="T546" s="946">
        <f>Q538</f>
        <v>0</v>
      </c>
      <c r="U546" s="1889">
        <f t="shared" ca="1" si="74"/>
        <v>0</v>
      </c>
    </row>
    <row r="547" spans="1:21">
      <c r="K547" s="712" t="s">
        <v>238</v>
      </c>
      <c r="N547" s="1539" t="s">
        <v>3068</v>
      </c>
      <c r="O547" s="958" t="str">
        <f>IFERROR(VLOOKUP(N547,Price_list!$B$1:$H$187,2,0),"")</f>
        <v xml:space="preserve">Formatting, design, printing </v>
      </c>
      <c r="P547" s="958" t="str">
        <f>IFERROR(VLOOKUP(N547,Price_list!$B$1:$H$187,3,0),"")</f>
        <v>pagina</v>
      </c>
      <c r="Q547" s="946">
        <f>IFERROR(VLOOKUP(N547,Price_list!$B$1:$H$187,4,0),"")</f>
        <v>2</v>
      </c>
      <c r="R547" s="946" t="str">
        <f>IFERROR(VLOOKUP(N547,Price_list!$B$1:$H$187,5,0),"")</f>
        <v>MDL</v>
      </c>
      <c r="S547" s="958">
        <f t="shared" ca="1" si="73"/>
        <v>2</v>
      </c>
      <c r="T547" s="946">
        <f>Q538*Q539</f>
        <v>0</v>
      </c>
      <c r="U547" s="1889">
        <f t="shared" ca="1" si="74"/>
        <v>0</v>
      </c>
    </row>
    <row r="548" spans="1:21">
      <c r="K548" s="712" t="s">
        <v>238</v>
      </c>
      <c r="N548" s="1539"/>
      <c r="O548" s="958" t="str">
        <f>IFERROR(VLOOKUP(N548,Price_list!$B$1:$H$187,2,0),"")</f>
        <v/>
      </c>
      <c r="P548" s="958" t="str">
        <f>IFERROR(VLOOKUP(N548,Price_list!$B$1:$H$187,3,0),"")</f>
        <v/>
      </c>
      <c r="Q548" s="946" t="str">
        <f>IFERROR(VLOOKUP(N548,Price_list!$B$1:$H$187,4,0),"")</f>
        <v/>
      </c>
      <c r="R548" s="946" t="str">
        <f>IFERROR(VLOOKUP(N548,Price_list!$B$1:$H$187,5,0),"")</f>
        <v/>
      </c>
      <c r="S548" s="958">
        <f t="shared" ca="1" si="73"/>
        <v>0</v>
      </c>
      <c r="T548" s="946"/>
      <c r="U548" s="1889">
        <f t="shared" ca="1" si="74"/>
        <v>0</v>
      </c>
    </row>
    <row r="549" spans="1:21">
      <c r="K549" s="712" t="s">
        <v>238</v>
      </c>
      <c r="N549" s="1539"/>
      <c r="O549" s="958" t="str">
        <f>IFERROR(VLOOKUP(N549,Price_list!$B$1:$H$187,2,0),"")</f>
        <v/>
      </c>
      <c r="P549" s="958" t="str">
        <f>IFERROR(VLOOKUP(N549,Price_list!$B$1:$H$187,3,0),"")</f>
        <v/>
      </c>
      <c r="Q549" s="946" t="str">
        <f>IFERROR(VLOOKUP(N549,Price_list!$B$1:$H$187,4,0),"")</f>
        <v/>
      </c>
      <c r="R549" s="946" t="str">
        <f>IFERROR(VLOOKUP(N549,Price_list!$B$1:$H$187,5,0),"")</f>
        <v/>
      </c>
      <c r="S549" s="958">
        <f t="shared" ca="1" si="73"/>
        <v>0</v>
      </c>
      <c r="T549" s="946"/>
      <c r="U549" s="1889">
        <f t="shared" ca="1" si="74"/>
        <v>0</v>
      </c>
    </row>
    <row r="550" spans="1:21" ht="16" thickBot="1">
      <c r="K550" s="712" t="s">
        <v>238</v>
      </c>
      <c r="N550" s="1539"/>
      <c r="O550" s="958" t="str">
        <f>IFERROR(VLOOKUP(N550,Price_list!$B$1:$H$187,2,0),"")</f>
        <v/>
      </c>
      <c r="P550" s="958" t="str">
        <f>IFERROR(VLOOKUP(N550,Price_list!$B$1:$H$187,3,0),"")</f>
        <v/>
      </c>
      <c r="Q550" s="946" t="str">
        <f>IFERROR(VLOOKUP(N550,Price_list!$B$1:$H$187,4,0),"")</f>
        <v/>
      </c>
      <c r="R550" s="946" t="str">
        <f>IFERROR(VLOOKUP(N550,Price_list!$B$1:$H$187,5,0),"")</f>
        <v/>
      </c>
      <c r="S550" s="958">
        <f t="shared" ca="1" si="73"/>
        <v>0</v>
      </c>
      <c r="T550" s="946"/>
      <c r="U550" s="1889">
        <f t="shared" ca="1" si="74"/>
        <v>0</v>
      </c>
    </row>
    <row r="551" spans="1:21" ht="16" thickBot="1">
      <c r="K551" s="712" t="s">
        <v>238</v>
      </c>
      <c r="N551" s="1704"/>
      <c r="O551" s="1761"/>
      <c r="P551" s="1761"/>
      <c r="Q551" s="1761"/>
      <c r="R551" s="1761"/>
      <c r="S551" s="1761"/>
      <c r="T551" s="1761"/>
      <c r="U551" s="1706">
        <f ca="1">SUM(U544:U550)</f>
        <v>60000</v>
      </c>
    </row>
    <row r="552" spans="1:21">
      <c r="K552" s="712" t="s">
        <v>238</v>
      </c>
      <c r="N552" s="1049"/>
      <c r="O552" s="960"/>
      <c r="P552" s="960"/>
      <c r="Q552" s="960"/>
      <c r="R552" s="960"/>
      <c r="S552" s="960"/>
      <c r="T552" s="960"/>
      <c r="U552" s="62"/>
    </row>
    <row r="553" spans="1:21" ht="16" thickBot="1">
      <c r="K553" s="712" t="s">
        <v>238</v>
      </c>
      <c r="N553" s="1049"/>
      <c r="O553" s="960"/>
      <c r="P553" s="960"/>
      <c r="Q553" s="960"/>
      <c r="R553" s="960"/>
      <c r="S553" s="960"/>
      <c r="T553" s="960"/>
      <c r="U553" s="62"/>
    </row>
    <row r="554" spans="1:21" ht="16" thickBot="1">
      <c r="K554" s="712" t="s">
        <v>238</v>
      </c>
      <c r="N554" s="1049" t="s">
        <v>2171</v>
      </c>
      <c r="O554" s="960"/>
      <c r="P554" s="960"/>
      <c r="Q554" s="1500">
        <v>2021</v>
      </c>
      <c r="R554" s="1762">
        <v>2022</v>
      </c>
      <c r="S554" s="1762">
        <v>2023</v>
      </c>
      <c r="T554" s="1762">
        <v>2024</v>
      </c>
      <c r="U554" s="1763">
        <v>2025</v>
      </c>
    </row>
    <row r="555" spans="1:21" ht="16" thickBot="1">
      <c r="K555" s="712" t="s">
        <v>238</v>
      </c>
      <c r="N555" s="1764"/>
      <c r="O555" s="1504"/>
      <c r="P555" s="1504"/>
      <c r="Q555" s="1713">
        <v>1</v>
      </c>
      <c r="R555" s="1713">
        <v>0</v>
      </c>
      <c r="S555" s="1713">
        <v>0</v>
      </c>
      <c r="T555" s="1713">
        <v>0</v>
      </c>
      <c r="U555" s="1765">
        <v>0</v>
      </c>
    </row>
    <row r="556" spans="1:21" ht="16" thickBot="1">
      <c r="A556" s="2157">
        <v>193</v>
      </c>
      <c r="B556" s="841">
        <f ca="1">Q556</f>
        <v>60000</v>
      </c>
      <c r="C556" s="841">
        <f ca="1">R556</f>
        <v>0</v>
      </c>
      <c r="D556" s="841">
        <f ca="1">S556</f>
        <v>0</v>
      </c>
      <c r="E556" s="841">
        <f ca="1">T556</f>
        <v>0</v>
      </c>
      <c r="F556" s="841">
        <f ca="1">U556</f>
        <v>0</v>
      </c>
      <c r="G556" s="841" t="s">
        <v>351</v>
      </c>
      <c r="H556" s="841" t="s">
        <v>3516</v>
      </c>
      <c r="I556" s="2180" t="s">
        <v>3716</v>
      </c>
      <c r="J556" s="841" t="s">
        <v>2977</v>
      </c>
      <c r="K556" s="712" t="s">
        <v>238</v>
      </c>
      <c r="N556" s="1710" t="s">
        <v>3044</v>
      </c>
      <c r="O556" s="1732"/>
      <c r="P556" s="1708"/>
      <c r="Q556" s="1495">
        <f ca="1">U551*Q555</f>
        <v>60000</v>
      </c>
      <c r="R556" s="1495">
        <f ca="1">U551*R555</f>
        <v>0</v>
      </c>
      <c r="S556" s="1495">
        <f ca="1">U551*S555</f>
        <v>0</v>
      </c>
      <c r="T556" s="1495">
        <f ca="1">U551*T555</f>
        <v>0</v>
      </c>
      <c r="U556" s="1495">
        <f ca="1">U551*U555</f>
        <v>0</v>
      </c>
    </row>
    <row r="557" spans="1:21">
      <c r="K557" s="712" t="s">
        <v>238</v>
      </c>
    </row>
    <row r="558" spans="1:21">
      <c r="K558" s="712" t="s">
        <v>238</v>
      </c>
    </row>
    <row r="559" spans="1:21">
      <c r="K559" s="712" t="s">
        <v>238</v>
      </c>
      <c r="L559" s="1775" t="s">
        <v>3517</v>
      </c>
    </row>
    <row r="560" spans="1:21">
      <c r="K560" s="712" t="s">
        <v>238</v>
      </c>
    </row>
    <row r="561" spans="11:21" ht="16" thickBot="1">
      <c r="K561" s="712" t="s">
        <v>238</v>
      </c>
    </row>
    <row r="562" spans="11:21" ht="32">
      <c r="K562" s="712" t="s">
        <v>238</v>
      </c>
      <c r="N562" s="1758" t="s">
        <v>2155</v>
      </c>
      <c r="O562" s="966"/>
      <c r="P562" s="966"/>
      <c r="Q562" s="966"/>
      <c r="R562" s="1759" t="s">
        <v>3060</v>
      </c>
      <c r="S562" s="966"/>
      <c r="T562" s="966"/>
      <c r="U562" s="967"/>
    </row>
    <row r="563" spans="11:21" ht="32">
      <c r="K563" s="712" t="s">
        <v>238</v>
      </c>
      <c r="N563" s="1760" t="s">
        <v>3054</v>
      </c>
      <c r="O563" s="1749"/>
      <c r="P563" s="1565"/>
      <c r="Q563" s="1750"/>
      <c r="R563" s="1383"/>
      <c r="S563" s="960"/>
      <c r="T563" s="960"/>
      <c r="U563" s="62"/>
    </row>
    <row r="564" spans="11:21" ht="32">
      <c r="K564" s="712" t="s">
        <v>238</v>
      </c>
      <c r="N564" s="1760" t="s">
        <v>3055</v>
      </c>
      <c r="O564" s="1749"/>
      <c r="P564" s="1565"/>
      <c r="Q564" s="1750">
        <v>2</v>
      </c>
      <c r="R564" s="1383">
        <v>10</v>
      </c>
      <c r="S564" s="960"/>
      <c r="T564" s="960"/>
      <c r="U564" s="62"/>
    </row>
    <row r="565" spans="11:21">
      <c r="K565" s="712" t="s">
        <v>238</v>
      </c>
      <c r="N565" s="1049"/>
      <c r="O565" s="960"/>
      <c r="P565" s="960"/>
      <c r="Q565" s="960"/>
      <c r="R565" s="960"/>
      <c r="S565" s="960"/>
      <c r="T565" s="960"/>
      <c r="U565" s="62"/>
    </row>
    <row r="566" spans="11:21">
      <c r="K566" s="712" t="s">
        <v>238</v>
      </c>
      <c r="N566" s="1049" t="s">
        <v>3059</v>
      </c>
      <c r="O566" s="960"/>
      <c r="P566" s="960"/>
      <c r="Q566" s="960"/>
      <c r="R566" s="960"/>
      <c r="S566" s="960"/>
      <c r="T566" s="960"/>
      <c r="U566" s="62"/>
    </row>
    <row r="567" spans="11:21" ht="32">
      <c r="K567" s="712" t="s">
        <v>238</v>
      </c>
      <c r="N567" s="1760" t="s">
        <v>3061</v>
      </c>
      <c r="O567" s="1749"/>
      <c r="P567" s="1565"/>
      <c r="Q567" s="1750"/>
      <c r="R567" s="1383"/>
      <c r="S567" s="960"/>
      <c r="T567" s="960"/>
      <c r="U567" s="62"/>
    </row>
    <row r="568" spans="11:21" ht="32">
      <c r="K568" s="712" t="s">
        <v>238</v>
      </c>
      <c r="N568" s="1760" t="s">
        <v>3062</v>
      </c>
      <c r="O568" s="1749"/>
      <c r="P568" s="1565"/>
      <c r="Q568" s="1750"/>
      <c r="R568" s="1383"/>
      <c r="S568" s="960"/>
      <c r="T568" s="960"/>
      <c r="U568" s="62"/>
    </row>
    <row r="569" spans="11:21">
      <c r="K569" s="712" t="s">
        <v>238</v>
      </c>
      <c r="N569" s="1049"/>
      <c r="O569" s="960"/>
      <c r="P569" s="960"/>
      <c r="Q569" s="960"/>
      <c r="R569" s="960"/>
      <c r="S569" s="960"/>
      <c r="T569" s="960"/>
      <c r="U569" s="62"/>
    </row>
    <row r="570" spans="11:21">
      <c r="K570" s="712" t="s">
        <v>238</v>
      </c>
      <c r="N570" s="1049"/>
      <c r="O570" s="960"/>
      <c r="P570" s="960"/>
      <c r="Q570" s="960"/>
      <c r="R570" s="960"/>
      <c r="S570" s="960"/>
      <c r="T570" s="960"/>
      <c r="U570" s="62"/>
    </row>
    <row r="571" spans="11:21" ht="16" thickBot="1">
      <c r="K571" s="712" t="s">
        <v>238</v>
      </c>
      <c r="N571" s="1049" t="s">
        <v>3058</v>
      </c>
      <c r="O571" s="960"/>
      <c r="P571" s="960"/>
      <c r="Q571" s="960"/>
      <c r="R571" s="960"/>
      <c r="S571" s="960"/>
      <c r="T571" s="960"/>
      <c r="U571" s="62"/>
    </row>
    <row r="572" spans="11:21" ht="32">
      <c r="K572" s="712" t="s">
        <v>238</v>
      </c>
      <c r="N572" s="1699" t="s">
        <v>3033</v>
      </c>
      <c r="O572" s="1700" t="s">
        <v>3034</v>
      </c>
      <c r="P572" s="1702" t="s">
        <v>3040</v>
      </c>
      <c r="Q572" s="1702" t="s">
        <v>3041</v>
      </c>
      <c r="R572" s="1702" t="s">
        <v>3042</v>
      </c>
      <c r="S572" s="1700" t="s">
        <v>3035</v>
      </c>
      <c r="T572" s="1702" t="s">
        <v>3067</v>
      </c>
      <c r="U572" s="1701" t="s">
        <v>2189</v>
      </c>
    </row>
    <row r="573" spans="11:21">
      <c r="K573" s="712" t="s">
        <v>238</v>
      </c>
      <c r="N573" s="1539" t="s">
        <v>3051</v>
      </c>
      <c r="O573" s="958" t="str">
        <f>IFERROR(VLOOKUP(N573,Price_list!$B$1:$H$187,2,0),"")</f>
        <v>International Consultancy fee (3.1)</v>
      </c>
      <c r="P573" s="958" t="str">
        <f>IFERROR(VLOOKUP(N573,Price_list!$B$1:$H$187,3,0),"")</f>
        <v>cost/zi</v>
      </c>
      <c r="Q573" s="946">
        <f>IFERROR(VLOOKUP(N573,Price_list!$B$1:$H$187,4,0),"")</f>
        <v>350</v>
      </c>
      <c r="R573" s="946" t="str">
        <f>IFERROR(VLOOKUP(N573,Price_list!$B$1:$H$187,5,0),"")</f>
        <v>EUR</v>
      </c>
      <c r="S573" s="958">
        <f t="shared" ref="S573:S579" ca="1" si="75">ROUND(IFERROR(IF(R573="MDL",Q573,Q573*INDIRECT(R573)),0),2)</f>
        <v>6868.65</v>
      </c>
      <c r="T573" s="946">
        <f>Q563*R563</f>
        <v>0</v>
      </c>
      <c r="U573" s="1889">
        <f t="shared" ref="U573:U579" ca="1" si="76">T573*S573</f>
        <v>0</v>
      </c>
    </row>
    <row r="574" spans="11:21">
      <c r="K574" s="712" t="s">
        <v>238</v>
      </c>
      <c r="N574" s="1539" t="s">
        <v>3050</v>
      </c>
      <c r="O574" s="958" t="str">
        <f>IFERROR(VLOOKUP(N574,Price_list!$B$1:$H$187,2,0),"")</f>
        <v>National Consultancy fee (3.1)</v>
      </c>
      <c r="P574" s="958" t="str">
        <f>IFERROR(VLOOKUP(N574,Price_list!$B$1:$H$187,3,0),"")</f>
        <v>cost/zi</v>
      </c>
      <c r="Q574" s="946">
        <f>IFERROR(VLOOKUP(N574,Price_list!$B$1:$H$187,4,0),"")</f>
        <v>2000</v>
      </c>
      <c r="R574" s="946" t="str">
        <f>IFERROR(VLOOKUP(N574,Price_list!$B$1:$H$187,5,0),"")</f>
        <v>MDL</v>
      </c>
      <c r="S574" s="958">
        <f t="shared" ca="1" si="75"/>
        <v>2000</v>
      </c>
      <c r="T574" s="946">
        <f>Q564*R564</f>
        <v>20</v>
      </c>
      <c r="U574" s="1889">
        <f t="shared" ca="1" si="76"/>
        <v>40000</v>
      </c>
    </row>
    <row r="575" spans="11:21">
      <c r="K575" s="712" t="s">
        <v>238</v>
      </c>
      <c r="N575" s="1539" t="s">
        <v>3063</v>
      </c>
      <c r="O575" s="958" t="str">
        <f>IFERROR(VLOOKUP(N575,Price_list!$B$1:$H$187,2,0),"")</f>
        <v>Translation per page</v>
      </c>
      <c r="P575" s="958" t="str">
        <f>IFERROR(VLOOKUP(N575,Price_list!$B$1:$H$187,3,0),"")</f>
        <v>pagina</v>
      </c>
      <c r="Q575" s="946">
        <f>IFERROR(VLOOKUP(N575,Price_list!$B$1:$H$187,4,0),"")</f>
        <v>150</v>
      </c>
      <c r="R575" s="946" t="str">
        <f>IFERROR(VLOOKUP(N575,Price_list!$B$1:$H$187,5,0),"")</f>
        <v>MDL</v>
      </c>
      <c r="S575" s="958">
        <f t="shared" ca="1" si="75"/>
        <v>150</v>
      </c>
      <c r="T575" s="946">
        <f>Q567</f>
        <v>0</v>
      </c>
      <c r="U575" s="1889">
        <f t="shared" ca="1" si="76"/>
        <v>0</v>
      </c>
    </row>
    <row r="576" spans="11:21">
      <c r="K576" s="712" t="s">
        <v>238</v>
      </c>
      <c r="N576" s="1539" t="s">
        <v>3068</v>
      </c>
      <c r="O576" s="958" t="str">
        <f>IFERROR(VLOOKUP(N576,Price_list!$B$1:$H$187,2,0),"")</f>
        <v xml:space="preserve">Formatting, design, printing </v>
      </c>
      <c r="P576" s="958" t="str">
        <f>IFERROR(VLOOKUP(N576,Price_list!$B$1:$H$187,3,0),"")</f>
        <v>pagina</v>
      </c>
      <c r="Q576" s="946">
        <f>IFERROR(VLOOKUP(N576,Price_list!$B$1:$H$187,4,0),"")</f>
        <v>2</v>
      </c>
      <c r="R576" s="946" t="str">
        <f>IFERROR(VLOOKUP(N576,Price_list!$B$1:$H$187,5,0),"")</f>
        <v>MDL</v>
      </c>
      <c r="S576" s="958">
        <f t="shared" ca="1" si="75"/>
        <v>2</v>
      </c>
      <c r="T576" s="946">
        <f>Q567*Q568</f>
        <v>0</v>
      </c>
      <c r="U576" s="1889">
        <f t="shared" ca="1" si="76"/>
        <v>0</v>
      </c>
    </row>
    <row r="577" spans="1:21">
      <c r="K577" s="712" t="s">
        <v>238</v>
      </c>
      <c r="N577" s="1539"/>
      <c r="O577" s="958" t="str">
        <f>IFERROR(VLOOKUP(N577,Price_list!$B$1:$H$187,2,0),"")</f>
        <v/>
      </c>
      <c r="P577" s="958" t="str">
        <f>IFERROR(VLOOKUP(N577,Price_list!$B$1:$H$187,3,0),"")</f>
        <v/>
      </c>
      <c r="Q577" s="946" t="str">
        <f>IFERROR(VLOOKUP(N577,Price_list!$B$1:$H$187,4,0),"")</f>
        <v/>
      </c>
      <c r="R577" s="946" t="str">
        <f>IFERROR(VLOOKUP(N577,Price_list!$B$1:$H$187,5,0),"")</f>
        <v/>
      </c>
      <c r="S577" s="958">
        <f t="shared" ca="1" si="75"/>
        <v>0</v>
      </c>
      <c r="T577" s="946"/>
      <c r="U577" s="1889">
        <f t="shared" ca="1" si="76"/>
        <v>0</v>
      </c>
    </row>
    <row r="578" spans="1:21">
      <c r="K578" s="712" t="s">
        <v>238</v>
      </c>
      <c r="N578" s="1539"/>
      <c r="O578" s="958" t="str">
        <f>IFERROR(VLOOKUP(N578,Price_list!$B$1:$H$187,2,0),"")</f>
        <v/>
      </c>
      <c r="P578" s="958" t="str">
        <f>IFERROR(VLOOKUP(N578,Price_list!$B$1:$H$187,3,0),"")</f>
        <v/>
      </c>
      <c r="Q578" s="946" t="str">
        <f>IFERROR(VLOOKUP(N578,Price_list!$B$1:$H$187,4,0),"")</f>
        <v/>
      </c>
      <c r="R578" s="946" t="str">
        <f>IFERROR(VLOOKUP(N578,Price_list!$B$1:$H$187,5,0),"")</f>
        <v/>
      </c>
      <c r="S578" s="958">
        <f t="shared" ca="1" si="75"/>
        <v>0</v>
      </c>
      <c r="T578" s="946"/>
      <c r="U578" s="1889">
        <f t="shared" ca="1" si="76"/>
        <v>0</v>
      </c>
    </row>
    <row r="579" spans="1:21" ht="16" thickBot="1">
      <c r="K579" s="712" t="s">
        <v>238</v>
      </c>
      <c r="N579" s="1539"/>
      <c r="O579" s="958" t="str">
        <f>IFERROR(VLOOKUP(N579,Price_list!$B$1:$H$187,2,0),"")</f>
        <v/>
      </c>
      <c r="P579" s="958" t="str">
        <f>IFERROR(VLOOKUP(N579,Price_list!$B$1:$H$187,3,0),"")</f>
        <v/>
      </c>
      <c r="Q579" s="946" t="str">
        <f>IFERROR(VLOOKUP(N579,Price_list!$B$1:$H$187,4,0),"")</f>
        <v/>
      </c>
      <c r="R579" s="946" t="str">
        <f>IFERROR(VLOOKUP(N579,Price_list!$B$1:$H$187,5,0),"")</f>
        <v/>
      </c>
      <c r="S579" s="958">
        <f t="shared" ca="1" si="75"/>
        <v>0</v>
      </c>
      <c r="T579" s="946"/>
      <c r="U579" s="1889">
        <f t="shared" ca="1" si="76"/>
        <v>0</v>
      </c>
    </row>
    <row r="580" spans="1:21" ht="16" thickBot="1">
      <c r="K580" s="712" t="s">
        <v>238</v>
      </c>
      <c r="N580" s="1704"/>
      <c r="O580" s="1761"/>
      <c r="P580" s="1761"/>
      <c r="Q580" s="1761"/>
      <c r="R580" s="1761"/>
      <c r="S580" s="1761"/>
      <c r="T580" s="1761"/>
      <c r="U580" s="1706">
        <f ca="1">SUM(U573:U579)</f>
        <v>40000</v>
      </c>
    </row>
    <row r="581" spans="1:21">
      <c r="K581" s="712" t="s">
        <v>238</v>
      </c>
      <c r="N581" s="1049"/>
      <c r="O581" s="960"/>
      <c r="P581" s="960"/>
      <c r="Q581" s="960"/>
      <c r="R581" s="960"/>
      <c r="S581" s="960"/>
      <c r="T581" s="960"/>
      <c r="U581" s="62"/>
    </row>
    <row r="582" spans="1:21" ht="16" thickBot="1">
      <c r="K582" s="712" t="s">
        <v>238</v>
      </c>
      <c r="N582" s="1049"/>
      <c r="O582" s="960"/>
      <c r="P582" s="960"/>
      <c r="Q582" s="960"/>
      <c r="R582" s="960"/>
      <c r="S582" s="960"/>
      <c r="T582" s="960"/>
      <c r="U582" s="62"/>
    </row>
    <row r="583" spans="1:21" ht="16" thickBot="1">
      <c r="K583" s="712" t="s">
        <v>238</v>
      </c>
      <c r="N583" s="1049" t="s">
        <v>2171</v>
      </c>
      <c r="O583" s="960"/>
      <c r="P583" s="960"/>
      <c r="Q583" s="1500">
        <v>2021</v>
      </c>
      <c r="R583" s="1762">
        <v>2022</v>
      </c>
      <c r="S583" s="1762">
        <v>2023</v>
      </c>
      <c r="T583" s="1762">
        <v>2024</v>
      </c>
      <c r="U583" s="1763">
        <v>2025</v>
      </c>
    </row>
    <row r="584" spans="1:21" ht="16" thickBot="1">
      <c r="K584" s="712" t="s">
        <v>238</v>
      </c>
      <c r="N584" s="1764"/>
      <c r="O584" s="1504"/>
      <c r="P584" s="1504"/>
      <c r="Q584" s="1713">
        <v>1</v>
      </c>
      <c r="R584" s="1713">
        <v>0</v>
      </c>
      <c r="S584" s="1713">
        <v>0</v>
      </c>
      <c r="T584" s="1713">
        <v>0</v>
      </c>
      <c r="U584" s="1765">
        <v>0</v>
      </c>
    </row>
    <row r="585" spans="1:21" ht="16" thickBot="1">
      <c r="A585" s="2157">
        <v>194</v>
      </c>
      <c r="B585" s="841">
        <f ca="1">Q585</f>
        <v>40000</v>
      </c>
      <c r="C585" s="841">
        <f ca="1">R585</f>
        <v>0</v>
      </c>
      <c r="D585" s="841">
        <f ca="1">S585</f>
        <v>0</v>
      </c>
      <c r="E585" s="841">
        <f ca="1">T585</f>
        <v>0</v>
      </c>
      <c r="F585" s="841">
        <f ca="1">U585</f>
        <v>0</v>
      </c>
      <c r="G585" s="841" t="s">
        <v>351</v>
      </c>
      <c r="H585" s="841" t="s">
        <v>3517</v>
      </c>
      <c r="I585" s="2180" t="s">
        <v>3716</v>
      </c>
      <c r="J585" s="841" t="s">
        <v>2977</v>
      </c>
      <c r="K585" s="712" t="s">
        <v>238</v>
      </c>
      <c r="N585" s="1710" t="s">
        <v>3044</v>
      </c>
      <c r="O585" s="1732"/>
      <c r="P585" s="1708"/>
      <c r="Q585" s="1495">
        <f ca="1">U580*Q584</f>
        <v>40000</v>
      </c>
      <c r="R585" s="1495">
        <f ca="1">U580*R584</f>
        <v>0</v>
      </c>
      <c r="S585" s="1495">
        <f ca="1">U580*S584</f>
        <v>0</v>
      </c>
      <c r="T585" s="1495">
        <f ca="1">U580*T584</f>
        <v>0</v>
      </c>
      <c r="U585" s="1495">
        <f ca="1">U580*U584</f>
        <v>0</v>
      </c>
    </row>
    <row r="586" spans="1:21">
      <c r="K586" s="712" t="s">
        <v>238</v>
      </c>
    </row>
    <row r="587" spans="1:21" s="1808" customFormat="1">
      <c r="A587" s="960"/>
      <c r="B587" s="960"/>
      <c r="C587" s="960"/>
      <c r="D587" s="960"/>
      <c r="E587" s="960"/>
      <c r="F587" s="960"/>
      <c r="G587" s="960"/>
      <c r="H587" s="960"/>
      <c r="I587" s="2164"/>
      <c r="J587" s="960"/>
      <c r="K587" s="712"/>
    </row>
    <row r="590" spans="1:21">
      <c r="K590" s="712" t="s">
        <v>238</v>
      </c>
    </row>
    <row r="591" spans="1:21">
      <c r="K591" s="712" t="s">
        <v>238</v>
      </c>
    </row>
    <row r="592" spans="1:21">
      <c r="K592" s="712" t="s">
        <v>238</v>
      </c>
    </row>
    <row r="593" spans="1:21">
      <c r="K593" s="712" t="s">
        <v>238</v>
      </c>
      <c r="L593" s="1775" t="s">
        <v>2980</v>
      </c>
    </row>
    <row r="594" spans="1:21">
      <c r="K594" s="712" t="s">
        <v>238</v>
      </c>
    </row>
    <row r="595" spans="1:21">
      <c r="K595" s="712" t="s">
        <v>238</v>
      </c>
      <c r="L595" s="1775" t="s">
        <v>3703</v>
      </c>
      <c r="O595" s="2003" t="s">
        <v>3993</v>
      </c>
      <c r="P595" s="853"/>
    </row>
    <row r="596" spans="1:21">
      <c r="K596" s="712" t="s">
        <v>238</v>
      </c>
      <c r="N596" s="1752" t="s">
        <v>3494</v>
      </c>
      <c r="O596" s="1994"/>
      <c r="P596" s="1753"/>
      <c r="Q596" s="1994"/>
      <c r="R596" s="1808"/>
      <c r="S596" s="1808"/>
      <c r="T596" s="1808"/>
      <c r="U596" s="1808"/>
    </row>
    <row r="597" spans="1:21" s="1808" customFormat="1">
      <c r="A597" s="960"/>
      <c r="B597" s="960"/>
      <c r="C597" s="960"/>
      <c r="D597" s="960"/>
      <c r="E597" s="960"/>
      <c r="F597" s="960"/>
      <c r="G597" s="960"/>
      <c r="H597" s="960"/>
      <c r="I597" s="2164"/>
      <c r="J597" s="960"/>
      <c r="K597" s="712" t="s">
        <v>238</v>
      </c>
      <c r="N597" s="1995"/>
      <c r="O597" s="1996" t="s">
        <v>2482</v>
      </c>
      <c r="P597" s="1996" t="s">
        <v>3495</v>
      </c>
      <c r="Q597" s="1996" t="s">
        <v>3496</v>
      </c>
    </row>
    <row r="598" spans="1:21" s="1808" customFormat="1">
      <c r="A598" s="960"/>
      <c r="B598" s="960"/>
      <c r="C598" s="960"/>
      <c r="D598" s="960"/>
      <c r="E598" s="960"/>
      <c r="F598" s="960"/>
      <c r="G598" s="960"/>
      <c r="H598" s="960"/>
      <c r="I598" s="2164"/>
      <c r="J598" s="960"/>
      <c r="K598" s="712" t="s">
        <v>238</v>
      </c>
      <c r="N598" s="1997" t="s">
        <v>3497</v>
      </c>
      <c r="O598" s="1998">
        <v>23500</v>
      </c>
      <c r="P598" s="1998">
        <v>1</v>
      </c>
      <c r="Q598" s="1998">
        <f t="shared" ref="Q598:Q613" si="77">O598*P598</f>
        <v>23500</v>
      </c>
    </row>
    <row r="599" spans="1:21" s="1808" customFormat="1">
      <c r="A599" s="960"/>
      <c r="B599" s="960"/>
      <c r="C599" s="960"/>
      <c r="D599" s="960"/>
      <c r="E599" s="960"/>
      <c r="F599" s="960"/>
      <c r="G599" s="960"/>
      <c r="H599" s="960"/>
      <c r="I599" s="2164"/>
      <c r="J599" s="960"/>
      <c r="K599" s="712" t="s">
        <v>238</v>
      </c>
      <c r="N599" s="1997" t="s">
        <v>3498</v>
      </c>
      <c r="O599" s="1998">
        <v>6000</v>
      </c>
      <c r="P599" s="1998">
        <v>1</v>
      </c>
      <c r="Q599" s="1998">
        <f t="shared" si="77"/>
        <v>6000</v>
      </c>
    </row>
    <row r="600" spans="1:21" s="1808" customFormat="1">
      <c r="A600" s="960"/>
      <c r="B600" s="960"/>
      <c r="C600" s="960"/>
      <c r="D600" s="960"/>
      <c r="E600" s="960"/>
      <c r="F600" s="960"/>
      <c r="G600" s="960"/>
      <c r="H600" s="960"/>
      <c r="I600" s="2164"/>
      <c r="J600" s="960"/>
      <c r="K600" s="712" t="s">
        <v>238</v>
      </c>
      <c r="N600" s="1997" t="s">
        <v>3499</v>
      </c>
      <c r="O600" s="1998">
        <v>15600</v>
      </c>
      <c r="P600" s="1998">
        <v>2</v>
      </c>
      <c r="Q600" s="1998">
        <f t="shared" si="77"/>
        <v>31200</v>
      </c>
    </row>
    <row r="601" spans="1:21" s="1808" customFormat="1">
      <c r="A601" s="960"/>
      <c r="B601" s="960"/>
      <c r="C601" s="960"/>
      <c r="D601" s="960"/>
      <c r="E601" s="960"/>
      <c r="F601" s="960"/>
      <c r="G601" s="960"/>
      <c r="H601" s="960"/>
      <c r="I601" s="2164"/>
      <c r="J601" s="960"/>
      <c r="K601" s="712" t="s">
        <v>238</v>
      </c>
      <c r="N601" s="1997" t="s">
        <v>3500</v>
      </c>
      <c r="O601" s="1998">
        <v>19500</v>
      </c>
      <c r="P601" s="1998">
        <v>1</v>
      </c>
      <c r="Q601" s="1998">
        <f t="shared" si="77"/>
        <v>19500</v>
      </c>
      <c r="S601" s="1980"/>
    </row>
    <row r="602" spans="1:21" s="1808" customFormat="1">
      <c r="A602" s="960"/>
      <c r="B602" s="960"/>
      <c r="C602" s="960"/>
      <c r="D602" s="960"/>
      <c r="E602" s="960"/>
      <c r="F602" s="960"/>
      <c r="G602" s="960"/>
      <c r="H602" s="960"/>
      <c r="I602" s="2164"/>
      <c r="J602" s="960"/>
      <c r="K602" s="712" t="s">
        <v>238</v>
      </c>
      <c r="N602" s="1997" t="s">
        <v>3501</v>
      </c>
      <c r="O602" s="1998">
        <v>200</v>
      </c>
      <c r="P602" s="1998">
        <v>10</v>
      </c>
      <c r="Q602" s="1998">
        <f t="shared" si="77"/>
        <v>2000</v>
      </c>
      <c r="S602" s="1980"/>
    </row>
    <row r="603" spans="1:21" s="1808" customFormat="1">
      <c r="A603" s="960"/>
      <c r="B603" s="960"/>
      <c r="C603" s="960"/>
      <c r="D603" s="960"/>
      <c r="E603" s="960"/>
      <c r="F603" s="960"/>
      <c r="G603" s="960"/>
      <c r="H603" s="960"/>
      <c r="I603" s="2164"/>
      <c r="J603" s="960"/>
      <c r="K603" s="712" t="s">
        <v>238</v>
      </c>
      <c r="N603" s="1997" t="s">
        <v>3502</v>
      </c>
      <c r="O603" s="1998">
        <v>200</v>
      </c>
      <c r="P603" s="1998">
        <v>10</v>
      </c>
      <c r="Q603" s="1998">
        <f t="shared" si="77"/>
        <v>2000</v>
      </c>
      <c r="S603" s="1980"/>
    </row>
    <row r="604" spans="1:21" s="1808" customFormat="1">
      <c r="A604" s="960"/>
      <c r="B604" s="960"/>
      <c r="C604" s="960"/>
      <c r="D604" s="960"/>
      <c r="E604" s="960"/>
      <c r="F604" s="960"/>
      <c r="G604" s="960"/>
      <c r="H604" s="960"/>
      <c r="I604" s="2164"/>
      <c r="J604" s="960"/>
      <c r="K604" s="712" t="s">
        <v>238</v>
      </c>
      <c r="N604" s="1997" t="s">
        <v>3503</v>
      </c>
      <c r="O604" s="1998">
        <v>5900</v>
      </c>
      <c r="P604" s="1998">
        <v>10</v>
      </c>
      <c r="Q604" s="1998">
        <f t="shared" si="77"/>
        <v>59000</v>
      </c>
      <c r="S604" s="1980"/>
    </row>
    <row r="605" spans="1:21" s="1808" customFormat="1">
      <c r="A605" s="960"/>
      <c r="B605" s="960"/>
      <c r="C605" s="960"/>
      <c r="D605" s="960"/>
      <c r="E605" s="960"/>
      <c r="F605" s="960"/>
      <c r="G605" s="960"/>
      <c r="H605" s="960"/>
      <c r="I605" s="2164"/>
      <c r="J605" s="960"/>
      <c r="K605" s="712" t="s">
        <v>238</v>
      </c>
      <c r="N605" s="1997" t="s">
        <v>3504</v>
      </c>
      <c r="O605" s="1998">
        <v>3900</v>
      </c>
      <c r="P605" s="1998">
        <v>1</v>
      </c>
      <c r="Q605" s="1998">
        <f t="shared" si="77"/>
        <v>3900</v>
      </c>
      <c r="S605" s="1980"/>
    </row>
    <row r="606" spans="1:21" s="1808" customFormat="1">
      <c r="A606" s="960"/>
      <c r="B606" s="960"/>
      <c r="C606" s="960"/>
      <c r="D606" s="960"/>
      <c r="E606" s="960"/>
      <c r="F606" s="960"/>
      <c r="G606" s="960"/>
      <c r="H606" s="960"/>
      <c r="I606" s="2164"/>
      <c r="J606" s="960"/>
      <c r="K606" s="712" t="s">
        <v>238</v>
      </c>
      <c r="N606" s="1997" t="s">
        <v>3505</v>
      </c>
      <c r="O606" s="1998">
        <v>5900</v>
      </c>
      <c r="P606" s="1998">
        <v>1</v>
      </c>
      <c r="Q606" s="1998">
        <f t="shared" si="77"/>
        <v>5900</v>
      </c>
      <c r="S606" s="1980"/>
    </row>
    <row r="607" spans="1:21" s="1808" customFormat="1">
      <c r="A607" s="960"/>
      <c r="B607" s="960"/>
      <c r="C607" s="960"/>
      <c r="D607" s="960"/>
      <c r="E607" s="960"/>
      <c r="F607" s="960"/>
      <c r="G607" s="960"/>
      <c r="H607" s="960"/>
      <c r="I607" s="2164"/>
      <c r="J607" s="960"/>
      <c r="K607" s="712" t="s">
        <v>238</v>
      </c>
      <c r="N607" s="1997" t="s">
        <v>3506</v>
      </c>
      <c r="O607" s="1998">
        <v>3900</v>
      </c>
      <c r="P607" s="1998">
        <v>2</v>
      </c>
      <c r="Q607" s="1998">
        <f t="shared" si="77"/>
        <v>7800</v>
      </c>
      <c r="S607" s="1980"/>
    </row>
    <row r="608" spans="1:21" s="1808" customFormat="1">
      <c r="A608" s="960"/>
      <c r="B608" s="960"/>
      <c r="C608" s="960"/>
      <c r="D608" s="960"/>
      <c r="E608" s="960"/>
      <c r="F608" s="960"/>
      <c r="G608" s="960"/>
      <c r="H608" s="960"/>
      <c r="I608" s="2164"/>
      <c r="J608" s="960"/>
      <c r="K608" s="712" t="s">
        <v>238</v>
      </c>
      <c r="N608" s="1997" t="s">
        <v>3507</v>
      </c>
      <c r="O608" s="1998">
        <v>3900</v>
      </c>
      <c r="P608" s="1998">
        <v>2</v>
      </c>
      <c r="Q608" s="1998">
        <f t="shared" si="77"/>
        <v>7800</v>
      </c>
      <c r="S608" s="1980"/>
    </row>
    <row r="609" spans="1:21" s="1808" customFormat="1">
      <c r="A609" s="960"/>
      <c r="B609" s="960"/>
      <c r="C609" s="960"/>
      <c r="D609" s="960"/>
      <c r="E609" s="960"/>
      <c r="F609" s="960"/>
      <c r="G609" s="960"/>
      <c r="H609" s="960"/>
      <c r="I609" s="2164"/>
      <c r="J609" s="960"/>
      <c r="K609" s="712" t="s">
        <v>238</v>
      </c>
      <c r="N609" s="1997" t="s">
        <v>3508</v>
      </c>
      <c r="O609" s="1998">
        <v>5900</v>
      </c>
      <c r="P609" s="1998">
        <v>1</v>
      </c>
      <c r="Q609" s="1998">
        <f t="shared" si="77"/>
        <v>5900</v>
      </c>
      <c r="S609" s="1980"/>
    </row>
    <row r="610" spans="1:21" s="1808" customFormat="1">
      <c r="A610" s="960"/>
      <c r="B610" s="960"/>
      <c r="C610" s="960"/>
      <c r="D610" s="960"/>
      <c r="E610" s="960"/>
      <c r="F610" s="960"/>
      <c r="G610" s="960"/>
      <c r="H610" s="960"/>
      <c r="I610" s="2164"/>
      <c r="J610" s="960"/>
      <c r="K610" s="712" t="s">
        <v>238</v>
      </c>
      <c r="N610" s="1997" t="s">
        <v>3509</v>
      </c>
      <c r="O610" s="1998">
        <v>5900</v>
      </c>
      <c r="P610" s="1998">
        <v>1</v>
      </c>
      <c r="Q610" s="1998">
        <f t="shared" si="77"/>
        <v>5900</v>
      </c>
      <c r="S610" s="1980"/>
    </row>
    <row r="611" spans="1:21" s="1808" customFormat="1">
      <c r="A611" s="960"/>
      <c r="B611" s="960"/>
      <c r="C611" s="960"/>
      <c r="D611" s="960"/>
      <c r="E611" s="960"/>
      <c r="F611" s="960"/>
      <c r="G611" s="960"/>
      <c r="H611" s="960"/>
      <c r="I611" s="2164"/>
      <c r="J611" s="960"/>
      <c r="K611" s="712" t="s">
        <v>238</v>
      </c>
      <c r="N611" s="1997" t="s">
        <v>3510</v>
      </c>
      <c r="O611" s="2002">
        <v>200</v>
      </c>
      <c r="P611" s="1998">
        <v>100</v>
      </c>
      <c r="Q611" s="1998">
        <f t="shared" si="77"/>
        <v>20000</v>
      </c>
      <c r="S611" s="1980"/>
    </row>
    <row r="612" spans="1:21" s="1808" customFormat="1">
      <c r="A612" s="960"/>
      <c r="B612" s="960"/>
      <c r="C612" s="960"/>
      <c r="D612" s="960"/>
      <c r="E612" s="960"/>
      <c r="F612" s="960"/>
      <c r="G612" s="960"/>
      <c r="H612" s="960"/>
      <c r="I612" s="2164"/>
      <c r="J612" s="960"/>
      <c r="K612" s="712" t="s">
        <v>238</v>
      </c>
      <c r="N612" s="1997" t="s">
        <v>3511</v>
      </c>
      <c r="O612" s="1998">
        <v>15600</v>
      </c>
      <c r="P612" s="1998">
        <v>1</v>
      </c>
      <c r="Q612" s="1998">
        <f t="shared" si="77"/>
        <v>15600</v>
      </c>
      <c r="S612" s="1980"/>
    </row>
    <row r="613" spans="1:21" s="1808" customFormat="1">
      <c r="A613" s="960"/>
      <c r="B613" s="960"/>
      <c r="C613" s="960"/>
      <c r="D613" s="960"/>
      <c r="E613" s="960"/>
      <c r="F613" s="960"/>
      <c r="G613" s="960"/>
      <c r="H613" s="960"/>
      <c r="I613" s="2164"/>
      <c r="J613" s="960"/>
      <c r="K613" s="712" t="s">
        <v>238</v>
      </c>
      <c r="N613" s="1997" t="s">
        <v>3512</v>
      </c>
      <c r="O613" s="1998">
        <v>200</v>
      </c>
      <c r="P613" s="1998">
        <v>200</v>
      </c>
      <c r="Q613" s="1998">
        <f t="shared" si="77"/>
        <v>40000</v>
      </c>
      <c r="S613" s="1980"/>
    </row>
    <row r="614" spans="1:21" s="1808" customFormat="1">
      <c r="A614" s="960"/>
      <c r="B614" s="960"/>
      <c r="C614" s="960"/>
      <c r="D614" s="960"/>
      <c r="E614" s="960"/>
      <c r="F614" s="960"/>
      <c r="G614" s="960"/>
      <c r="H614" s="960"/>
      <c r="I614" s="2164"/>
      <c r="J614" s="960"/>
      <c r="K614" s="712" t="s">
        <v>238</v>
      </c>
      <c r="N614" s="1999" t="s">
        <v>3513</v>
      </c>
      <c r="O614" s="2000"/>
      <c r="P614" s="2000"/>
      <c r="Q614" s="2001">
        <f>SUM(Q598:Q613)</f>
        <v>256000</v>
      </c>
    </row>
    <row r="615" spans="1:21" s="1808" customFormat="1">
      <c r="A615" s="960"/>
      <c r="B615" s="960"/>
      <c r="C615" s="960"/>
      <c r="D615" s="960"/>
      <c r="E615" s="960"/>
      <c r="F615" s="960"/>
      <c r="G615" s="960"/>
      <c r="H615" s="960"/>
      <c r="I615" s="2164"/>
      <c r="J615" s="960"/>
      <c r="K615" s="712" t="s">
        <v>238</v>
      </c>
    </row>
    <row r="616" spans="1:21" s="1808" customFormat="1">
      <c r="A616" s="960"/>
      <c r="B616" s="960"/>
      <c r="C616" s="960"/>
      <c r="D616" s="960"/>
      <c r="E616" s="960"/>
      <c r="F616" s="960"/>
      <c r="G616" s="960"/>
      <c r="H616" s="960"/>
      <c r="I616" s="2164"/>
      <c r="J616" s="960"/>
      <c r="K616" s="712" t="s">
        <v>238</v>
      </c>
    </row>
    <row r="617" spans="1:21" s="1808" customFormat="1" ht="16" thickBot="1">
      <c r="A617" s="960"/>
      <c r="B617" s="960"/>
      <c r="C617" s="960"/>
      <c r="D617" s="960"/>
      <c r="E617" s="960"/>
      <c r="F617" s="960"/>
      <c r="G617" s="960"/>
      <c r="H617" s="960"/>
      <c r="I617" s="2164"/>
      <c r="J617" s="960"/>
      <c r="K617" s="712" t="s">
        <v>238</v>
      </c>
    </row>
    <row r="618" spans="1:21" s="1808" customFormat="1" ht="16" thickBot="1">
      <c r="A618" s="960"/>
      <c r="B618" s="960"/>
      <c r="C618" s="960"/>
      <c r="D618" s="960"/>
      <c r="E618" s="960"/>
      <c r="F618" s="960"/>
      <c r="G618" s="960"/>
      <c r="H618" s="960"/>
      <c r="I618" s="2164"/>
      <c r="J618" s="960"/>
      <c r="K618" s="712" t="s">
        <v>238</v>
      </c>
      <c r="O618" s="960"/>
      <c r="P618" s="960" t="s">
        <v>3591</v>
      </c>
      <c r="Q618" s="1500">
        <v>2021</v>
      </c>
      <c r="R618" s="1762">
        <v>2022</v>
      </c>
      <c r="S618" s="1762">
        <v>2023</v>
      </c>
      <c r="T618" s="1762">
        <v>2024</v>
      </c>
      <c r="U618" s="1763">
        <v>2025</v>
      </c>
    </row>
    <row r="619" spans="1:21" s="1808" customFormat="1" ht="16" thickBot="1">
      <c r="A619" s="960"/>
      <c r="B619" s="960"/>
      <c r="C619" s="960"/>
      <c r="D619" s="960"/>
      <c r="E619" s="960"/>
      <c r="F619" s="960"/>
      <c r="G619" s="960"/>
      <c r="H619" s="960"/>
      <c r="I619" s="2164"/>
      <c r="J619" s="960"/>
      <c r="K619" s="712" t="s">
        <v>238</v>
      </c>
      <c r="N619" s="1764"/>
      <c r="O619" s="1504"/>
      <c r="P619" s="1504"/>
      <c r="Q619" s="1713">
        <v>0</v>
      </c>
      <c r="R619" s="1713">
        <v>0</v>
      </c>
      <c r="S619" s="1713">
        <v>0</v>
      </c>
      <c r="T619" s="1713">
        <v>0</v>
      </c>
      <c r="U619" s="1765">
        <v>0</v>
      </c>
    </row>
    <row r="620" spans="1:21" s="1808" customFormat="1" ht="16" thickBot="1">
      <c r="A620" s="2157">
        <v>197</v>
      </c>
      <c r="B620" s="841">
        <f>Q620</f>
        <v>0</v>
      </c>
      <c r="C620" s="841">
        <f t="shared" ref="C620:F620" si="78">R620</f>
        <v>0</v>
      </c>
      <c r="D620" s="841">
        <f t="shared" si="78"/>
        <v>0</v>
      </c>
      <c r="E620" s="841">
        <f t="shared" si="78"/>
        <v>0</v>
      </c>
      <c r="F620" s="841">
        <f t="shared" si="78"/>
        <v>0</v>
      </c>
      <c r="G620" s="841" t="s">
        <v>351</v>
      </c>
      <c r="H620" s="841" t="s">
        <v>3703</v>
      </c>
      <c r="I620" s="2180" t="s">
        <v>3716</v>
      </c>
      <c r="J620" s="841" t="s">
        <v>2980</v>
      </c>
      <c r="K620" s="712" t="s">
        <v>238</v>
      </c>
      <c r="N620" s="1710" t="s">
        <v>3044</v>
      </c>
      <c r="O620" s="1732"/>
      <c r="P620" s="1708">
        <f>Q614</f>
        <v>256000</v>
      </c>
      <c r="Q620" s="1495">
        <f>P620*Q619</f>
        <v>0</v>
      </c>
      <c r="R620" s="1495">
        <f>P620*R619</f>
        <v>0</v>
      </c>
      <c r="S620" s="1495">
        <f>P620*S619</f>
        <v>0</v>
      </c>
      <c r="T620" s="1495">
        <f>P620*T619</f>
        <v>0</v>
      </c>
      <c r="U620" s="1495">
        <f>P620*U619</f>
        <v>0</v>
      </c>
    </row>
    <row r="621" spans="1:21">
      <c r="K621" s="712" t="s">
        <v>238</v>
      </c>
    </row>
    <row r="622" spans="1:21">
      <c r="K622" s="712" t="s">
        <v>238</v>
      </c>
    </row>
    <row r="623" spans="1:21">
      <c r="K623" s="712" t="s">
        <v>238</v>
      </c>
      <c r="L623" s="1775" t="s">
        <v>3704</v>
      </c>
      <c r="O623" s="2003" t="s">
        <v>3993</v>
      </c>
    </row>
    <row r="624" spans="1:21">
      <c r="K624" s="712" t="s">
        <v>238</v>
      </c>
    </row>
    <row r="625" spans="11:21" ht="16" thickBot="1">
      <c r="K625" s="712" t="s">
        <v>238</v>
      </c>
    </row>
    <row r="626" spans="11:21" ht="32">
      <c r="K626" s="712" t="s">
        <v>238</v>
      </c>
      <c r="N626" s="1766" t="s">
        <v>3054</v>
      </c>
      <c r="O626" s="1696"/>
      <c r="P626" s="1767"/>
      <c r="Q626" s="1220"/>
      <c r="R626" s="966"/>
      <c r="S626" s="1768"/>
      <c r="T626" s="966"/>
      <c r="U626" s="967"/>
    </row>
    <row r="627" spans="11:21" ht="32">
      <c r="K627" s="712" t="s">
        <v>238</v>
      </c>
      <c r="N627" s="1769" t="s">
        <v>3055</v>
      </c>
      <c r="O627" s="1693"/>
      <c r="P627" s="958"/>
      <c r="Q627" s="1040">
        <v>1</v>
      </c>
      <c r="R627" s="960"/>
      <c r="S627" s="960"/>
      <c r="T627" s="960"/>
      <c r="U627" s="62"/>
    </row>
    <row r="628" spans="11:21" ht="32">
      <c r="K628" s="712" t="s">
        <v>238</v>
      </c>
      <c r="N628" s="1769" t="s">
        <v>3056</v>
      </c>
      <c r="O628" s="1693"/>
      <c r="P628" s="958"/>
      <c r="Q628" s="1040">
        <v>20</v>
      </c>
      <c r="R628" s="960"/>
      <c r="S628" s="960"/>
      <c r="T628" s="960"/>
      <c r="U628" s="62"/>
    </row>
    <row r="629" spans="11:21" ht="32">
      <c r="K629" s="712" t="s">
        <v>238</v>
      </c>
      <c r="N629" s="1769" t="s">
        <v>3057</v>
      </c>
      <c r="O629" s="1693"/>
      <c r="P629" s="958"/>
      <c r="Q629" s="1040">
        <v>1</v>
      </c>
      <c r="R629" s="960"/>
      <c r="S629" s="960"/>
      <c r="T629" s="960"/>
      <c r="U629" s="62"/>
    </row>
    <row r="630" spans="11:21" ht="32">
      <c r="K630" s="712" t="s">
        <v>238</v>
      </c>
      <c r="N630" s="1769" t="s">
        <v>3052</v>
      </c>
      <c r="O630" s="1693"/>
      <c r="P630" s="1694">
        <v>0</v>
      </c>
      <c r="Q630" s="1028">
        <f>ROUND(Q628*P630,0)</f>
        <v>0</v>
      </c>
      <c r="R630" s="960"/>
      <c r="S630" s="960"/>
      <c r="T630" s="960"/>
      <c r="U630" s="62"/>
    </row>
    <row r="631" spans="11:21" ht="32">
      <c r="K631" s="712" t="s">
        <v>238</v>
      </c>
      <c r="N631" s="1769" t="s">
        <v>3053</v>
      </c>
      <c r="O631" s="1693"/>
      <c r="P631" s="1694">
        <v>0</v>
      </c>
      <c r="Q631" s="1028">
        <f>ROUND(Q628*P631,0)</f>
        <v>0</v>
      </c>
      <c r="R631" s="960"/>
      <c r="S631" s="960"/>
      <c r="T631" s="960"/>
      <c r="U631" s="62"/>
    </row>
    <row r="632" spans="11:21">
      <c r="K632" s="712" t="s">
        <v>238</v>
      </c>
      <c r="N632" s="1770" t="s">
        <v>3036</v>
      </c>
      <c r="O632" s="1019"/>
      <c r="P632" s="1695"/>
      <c r="Q632" s="1028">
        <f>Q629-1</f>
        <v>0</v>
      </c>
      <c r="R632" s="960"/>
      <c r="S632" s="960"/>
      <c r="T632" s="960"/>
      <c r="U632" s="62"/>
    </row>
    <row r="633" spans="11:21" ht="16" thickBot="1">
      <c r="K633" s="712" t="s">
        <v>238</v>
      </c>
      <c r="N633" s="1049"/>
      <c r="O633" s="960"/>
      <c r="P633" s="960"/>
      <c r="Q633" s="960"/>
      <c r="R633" s="960"/>
      <c r="S633" s="960"/>
      <c r="T633" s="960"/>
      <c r="U633" s="62"/>
    </row>
    <row r="634" spans="11:21" ht="32">
      <c r="K634" s="712" t="s">
        <v>238</v>
      </c>
      <c r="N634" s="1699" t="s">
        <v>3033</v>
      </c>
      <c r="O634" s="1700" t="s">
        <v>3034</v>
      </c>
      <c r="P634" s="1702" t="s">
        <v>3040</v>
      </c>
      <c r="Q634" s="1702" t="s">
        <v>3041</v>
      </c>
      <c r="R634" s="1702" t="s">
        <v>3042</v>
      </c>
      <c r="S634" s="1700" t="s">
        <v>3035</v>
      </c>
      <c r="T634" s="1702" t="s">
        <v>3039</v>
      </c>
      <c r="U634" s="1701" t="s">
        <v>2189</v>
      </c>
    </row>
    <row r="635" spans="11:21">
      <c r="K635" s="712" t="s">
        <v>238</v>
      </c>
      <c r="N635" s="1539" t="s">
        <v>3051</v>
      </c>
      <c r="O635" s="958" t="str">
        <f>IFERROR(VLOOKUP(N635,Price_list!$B$1:$H$187,2,0),"")</f>
        <v>International Consultancy fee (3.1)</v>
      </c>
      <c r="P635" s="958" t="str">
        <f>IFERROR(VLOOKUP(N635,Price_list!$B$1:$H$187,3,0),"")</f>
        <v>cost/zi</v>
      </c>
      <c r="Q635" s="946">
        <f>IFERROR(VLOOKUP(N635,Price_list!$B$1:$H$187,4,0),"")</f>
        <v>350</v>
      </c>
      <c r="R635" s="946" t="str">
        <f>IFERROR(VLOOKUP(N635,Price_list!$B$1:$H$187,5,0),"")</f>
        <v>EUR</v>
      </c>
      <c r="S635" s="958">
        <f ca="1">ROUND(IFERROR(IF(R635="MDL",Q635,Q635*INDIRECT(R635)),0),2)</f>
        <v>6868.65</v>
      </c>
      <c r="T635" s="1888">
        <f>Q629</f>
        <v>1</v>
      </c>
      <c r="U635" s="1889">
        <f ca="1">IFERROR(Q626*S635*T635,"")</f>
        <v>0</v>
      </c>
    </row>
    <row r="636" spans="11:21">
      <c r="K636" s="712" t="s">
        <v>238</v>
      </c>
      <c r="N636" s="1539" t="s">
        <v>3029</v>
      </c>
      <c r="O636" s="958" t="str">
        <f>IFERROR(VLOOKUP(N636,Price_list!$B$1:$H$187,2,0),"")</f>
        <v xml:space="preserve">Travel costs </v>
      </c>
      <c r="P636" s="958" t="str">
        <f>IFERROR(VLOOKUP(N636,Price_list!$B$1:$H$187,3,0),"")</f>
        <v>cost tichet o directie</v>
      </c>
      <c r="Q636" s="946">
        <f>IFERROR(VLOOKUP(N636,Price_list!$B$1:$H$187,4,0),"")</f>
        <v>5000</v>
      </c>
      <c r="R636" s="946" t="str">
        <f>IFERROR(VLOOKUP(N636,Price_list!$B$1:$H$187,5,0),"")</f>
        <v>MDL</v>
      </c>
      <c r="S636" s="958">
        <f t="shared" ref="S636:S652" ca="1" si="79">ROUND(IFERROR(IF(R636="MDL",Q636,Q636*INDIRECT(R636)),0),2)</f>
        <v>5000</v>
      </c>
      <c r="T636" s="1040">
        <v>2</v>
      </c>
      <c r="U636" s="1889">
        <f ca="1">Q626*T636*S636</f>
        <v>0</v>
      </c>
    </row>
    <row r="637" spans="11:21">
      <c r="K637" s="712" t="s">
        <v>238</v>
      </c>
      <c r="N637" s="1539" t="s">
        <v>3020</v>
      </c>
      <c r="O637" s="958" t="str">
        <f>IFERROR(VLOOKUP(N637,Price_list!$B$1:$H$187,2,0),"")</f>
        <v xml:space="preserve">Per diem, WHO DSA, average </v>
      </c>
      <c r="P637" s="958" t="str">
        <f>IFERROR(VLOOKUP(N637,Price_list!$B$1:$H$187,3,0),"")</f>
        <v>diurna</v>
      </c>
      <c r="Q637" s="946">
        <f>IFERROR(VLOOKUP(N637,Price_list!$B$1:$H$187,4,0),"")</f>
        <v>200</v>
      </c>
      <c r="R637" s="946" t="str">
        <f>IFERROR(VLOOKUP(N637,Price_list!$B$1:$H$187,5,0),"")</f>
        <v>EUR</v>
      </c>
      <c r="S637" s="958">
        <f t="shared" ca="1" si="79"/>
        <v>3924.94</v>
      </c>
      <c r="T637" s="946">
        <f>Q629+1</f>
        <v>2</v>
      </c>
      <c r="U637" s="1889">
        <f ca="1">Q626*S637*T637</f>
        <v>0</v>
      </c>
    </row>
    <row r="638" spans="11:21">
      <c r="K638" s="712" t="s">
        <v>238</v>
      </c>
      <c r="N638" s="1539" t="s">
        <v>3050</v>
      </c>
      <c r="O638" s="958" t="str">
        <f>IFERROR(VLOOKUP(N638,Price_list!$B$1:$H$187,2,0),"")</f>
        <v>National Consultancy fee (3.1)</v>
      </c>
      <c r="P638" s="958" t="str">
        <f>IFERROR(VLOOKUP(N638,Price_list!$B$1:$H$187,3,0),"")</f>
        <v>cost/zi</v>
      </c>
      <c r="Q638" s="946">
        <f>IFERROR(VLOOKUP(N638,Price_list!$B$1:$H$187,4,0),"")</f>
        <v>2000</v>
      </c>
      <c r="R638" s="946" t="str">
        <f>IFERROR(VLOOKUP(N638,Price_list!$B$1:$H$187,5,0),"")</f>
        <v>MDL</v>
      </c>
      <c r="S638" s="958">
        <f t="shared" ca="1" si="79"/>
        <v>2000</v>
      </c>
      <c r="T638" s="946">
        <f>Q629</f>
        <v>1</v>
      </c>
      <c r="U638" s="1889">
        <f ca="1">Q627*S638*T638</f>
        <v>2000</v>
      </c>
    </row>
    <row r="639" spans="11:21">
      <c r="K639" s="712" t="s">
        <v>238</v>
      </c>
      <c r="N639" s="1539"/>
      <c r="O639" s="958" t="str">
        <f>IFERROR(VLOOKUP(N639,Price_list!$B$1:$H$187,2,0),"")</f>
        <v/>
      </c>
      <c r="P639" s="958" t="str">
        <f>IFERROR(VLOOKUP(N639,Price_list!$B$1:$H$187,3,0),"")</f>
        <v/>
      </c>
      <c r="Q639" s="946" t="str">
        <f>IFERROR(VLOOKUP(N639,Price_list!$B$1:$H$187,4,0),"")</f>
        <v/>
      </c>
      <c r="R639" s="946" t="str">
        <f>IFERROR(VLOOKUP(N639,Price_list!$B$1:$H$187,5,0),"")</f>
        <v/>
      </c>
      <c r="S639" s="958">
        <f t="shared" ca="1" si="79"/>
        <v>0</v>
      </c>
      <c r="T639" s="946" t="str">
        <f>IFERROR(VLOOKUP(AE639,N630:P635,3,0),"")</f>
        <v/>
      </c>
      <c r="U639" s="1889" t="str">
        <f>IFERROR(#REF!*T639*Q639,"")</f>
        <v/>
      </c>
    </row>
    <row r="640" spans="11:21">
      <c r="K640" s="712" t="s">
        <v>238</v>
      </c>
      <c r="N640" s="1539"/>
      <c r="O640" s="958" t="str">
        <f>IFERROR(VLOOKUP(N640,Price_list!$B$1:$H$187,2,0),"")</f>
        <v/>
      </c>
      <c r="P640" s="958" t="str">
        <f>IFERROR(VLOOKUP(N640,Price_list!$B$1:$H$187,3,0),"")</f>
        <v/>
      </c>
      <c r="Q640" s="946" t="str">
        <f>IFERROR(VLOOKUP(N640,Price_list!$B$1:$H$187,4,0),"")</f>
        <v/>
      </c>
      <c r="R640" s="946" t="str">
        <f>IFERROR(VLOOKUP(N640,Price_list!$B$1:$H$187,5,0),"")</f>
        <v/>
      </c>
      <c r="S640" s="958">
        <f t="shared" ca="1" si="79"/>
        <v>0</v>
      </c>
      <c r="T640" s="946" t="str">
        <f>IFERROR(VLOOKUP(AE640,N632:P636,3,0),"")</f>
        <v/>
      </c>
      <c r="U640" s="1889" t="str">
        <f>IFERROR(#REF!*T640*Q640,"")</f>
        <v/>
      </c>
    </row>
    <row r="641" spans="11:21">
      <c r="K641" s="712" t="s">
        <v>238</v>
      </c>
      <c r="N641" s="1539" t="s">
        <v>3016</v>
      </c>
      <c r="O641" s="958" t="str">
        <f>IFERROR(VLOOKUP(N641,Price_list!$B$1:$H$187,2,0),"")</f>
        <v>Coffe break</v>
      </c>
      <c r="P641" s="958" t="str">
        <f>IFERROR(VLOOKUP(N641,Price_list!$B$1:$H$187,3,0),"")</f>
        <v>unitate</v>
      </c>
      <c r="Q641" s="946">
        <f>IFERROR(VLOOKUP(N641,Price_list!$B$1:$H$187,4,0),"")</f>
        <v>75</v>
      </c>
      <c r="R641" s="946" t="str">
        <f>IFERROR(VLOOKUP(N641,Price_list!$B$1:$H$187,5,0),"")</f>
        <v>MDL</v>
      </c>
      <c r="S641" s="958">
        <f t="shared" ca="1" si="79"/>
        <v>75</v>
      </c>
      <c r="T641" s="946">
        <v>2</v>
      </c>
      <c r="U641" s="1889">
        <f ca="1">T641*S641*Q628*Q629</f>
        <v>3000</v>
      </c>
    </row>
    <row r="642" spans="11:21">
      <c r="K642" s="712" t="s">
        <v>238</v>
      </c>
      <c r="N642" s="1539" t="s">
        <v>3021</v>
      </c>
      <c r="O642" s="958" t="str">
        <f>IFERROR(VLOOKUP(N642,Price_list!$B$1:$H$187,2,0),"")</f>
        <v xml:space="preserve">Meal ( lunch) </v>
      </c>
      <c r="P642" s="958" t="str">
        <f>IFERROR(VLOOKUP(N642,Price_list!$B$1:$H$187,3,0),"")</f>
        <v>unitate</v>
      </c>
      <c r="Q642" s="946">
        <f>IFERROR(VLOOKUP(N642,Price_list!$B$1:$H$187,4,0),"")</f>
        <v>220</v>
      </c>
      <c r="R642" s="946" t="str">
        <f>IFERROR(VLOOKUP(N642,Price_list!$B$1:$H$187,5,0),"")</f>
        <v>MDL</v>
      </c>
      <c r="S642" s="958">
        <f t="shared" ca="1" si="79"/>
        <v>220</v>
      </c>
      <c r="T642" s="946">
        <f>Q629</f>
        <v>1</v>
      </c>
      <c r="U642" s="1889">
        <f ca="1">Q628*T642*S642</f>
        <v>4400</v>
      </c>
    </row>
    <row r="643" spans="11:21">
      <c r="K643" s="712" t="s">
        <v>238</v>
      </c>
      <c r="N643" s="1539" t="s">
        <v>3023</v>
      </c>
      <c r="O643" s="958" t="str">
        <f>IFERROR(VLOOKUP(N643,Price_list!$B$1:$H$187,2,0),"")</f>
        <v>Meal(dinner)</v>
      </c>
      <c r="P643" s="958" t="str">
        <f>IFERROR(VLOOKUP(N643,Price_list!$B$1:$H$187,3,0),"")</f>
        <v>unitate</v>
      </c>
      <c r="Q643" s="946">
        <f>IFERROR(VLOOKUP(N643,Price_list!$B$1:$H$187,4,0),"")</f>
        <v>220</v>
      </c>
      <c r="R643" s="946" t="str">
        <f>IFERROR(VLOOKUP(N643,Price_list!$B$1:$H$187,5,0),"")</f>
        <v>MDL</v>
      </c>
      <c r="S643" s="958">
        <f t="shared" ca="1" si="79"/>
        <v>220</v>
      </c>
      <c r="T643" s="946">
        <f>Q632</f>
        <v>0</v>
      </c>
      <c r="U643" s="1889">
        <f ca="1">T643*S643*Q630</f>
        <v>0</v>
      </c>
    </row>
    <row r="644" spans="11:21">
      <c r="K644" s="712" t="s">
        <v>238</v>
      </c>
      <c r="N644" s="1539" t="s">
        <v>3024</v>
      </c>
      <c r="O644" s="958" t="str">
        <f>IFERROR(VLOOKUP(N644,Price_list!$B$1:$H$187,2,0),"")</f>
        <v xml:space="preserve">Accomodation </v>
      </c>
      <c r="P644" s="958" t="str">
        <f>IFERROR(VLOOKUP(N644,Price_list!$B$1:$H$187,3,0),"")</f>
        <v>cost/noapte</v>
      </c>
      <c r="Q644" s="946">
        <f>IFERROR(VLOOKUP(N644,Price_list!$B$1:$H$187,4,0),"")</f>
        <v>750</v>
      </c>
      <c r="R644" s="946" t="str">
        <f>IFERROR(VLOOKUP(N644,Price_list!$B$1:$H$187,5,0),"")</f>
        <v>MDL</v>
      </c>
      <c r="S644" s="958">
        <f t="shared" ca="1" si="79"/>
        <v>750</v>
      </c>
      <c r="T644" s="946">
        <f>Q632</f>
        <v>0</v>
      </c>
      <c r="U644" s="1889">
        <f ca="1">T644*S644*Q630</f>
        <v>0</v>
      </c>
    </row>
    <row r="645" spans="11:21">
      <c r="K645" s="712" t="s">
        <v>238</v>
      </c>
      <c r="N645" s="1539" t="s">
        <v>3030</v>
      </c>
      <c r="O645" s="958" t="str">
        <f>IFERROR(VLOOKUP(N645,Price_list!$B$1:$H$187,2,0),"")</f>
        <v>Travel participants</v>
      </c>
      <c r="P645" s="958" t="str">
        <f>IFERROR(VLOOKUP(N645,Price_list!$B$1:$H$187,3,0),"")</f>
        <v>cost tichet o directie</v>
      </c>
      <c r="Q645" s="946">
        <f>IFERROR(VLOOKUP(N645,Price_list!$B$1:$H$187,4,0),"")</f>
        <v>80</v>
      </c>
      <c r="R645" s="946" t="str">
        <f>IFERROR(VLOOKUP(N645,Price_list!$B$1:$H$187,5,0),"")</f>
        <v>MDL</v>
      </c>
      <c r="S645" s="958">
        <f t="shared" ca="1" si="79"/>
        <v>80</v>
      </c>
      <c r="T645" s="1040">
        <v>2</v>
      </c>
      <c r="U645" s="1889">
        <f ca="1">T645*Q631*S645</f>
        <v>0</v>
      </c>
    </row>
    <row r="646" spans="11:21">
      <c r="K646" s="712" t="s">
        <v>238</v>
      </c>
      <c r="N646" s="1539"/>
      <c r="O646" s="958" t="str">
        <f>IFERROR(VLOOKUP(N646,Price_list!$B$1:$H$187,2,0),"")</f>
        <v/>
      </c>
      <c r="P646" s="958" t="str">
        <f>IFERROR(VLOOKUP(N646,Price_list!$B$1:$H$187,3,0),"")</f>
        <v/>
      </c>
      <c r="Q646" s="946" t="str">
        <f>IFERROR(VLOOKUP(N646,Price_list!$B$1:$H$187,4,0),"")</f>
        <v/>
      </c>
      <c r="R646" s="946" t="str">
        <f>IFERROR(VLOOKUP(N646,Price_list!$B$1:$H$187,5,0),"")</f>
        <v/>
      </c>
      <c r="S646" s="958">
        <f t="shared" ca="1" si="79"/>
        <v>0</v>
      </c>
      <c r="T646" s="946" t="str">
        <f>IFERROR(VLOOKUP(AE646,N636:P642,3,0),"")</f>
        <v/>
      </c>
      <c r="U646" s="1889" t="str">
        <f>IFERROR(#REF!*T646*Q646,"")</f>
        <v/>
      </c>
    </row>
    <row r="647" spans="11:21">
      <c r="K647" s="712" t="s">
        <v>238</v>
      </c>
      <c r="N647" s="1539" t="s">
        <v>3025</v>
      </c>
      <c r="O647" s="958" t="str">
        <f>IFERROR(VLOOKUP(N647,Price_list!$B$1:$H$187,2,0),"")</f>
        <v>Supplies</v>
      </c>
      <c r="P647" s="958" t="str">
        <f>IFERROR(VLOOKUP(N647,Price_list!$B$1:$H$187,3,0),"")</f>
        <v>set/participant</v>
      </c>
      <c r="Q647" s="946">
        <f>IFERROR(VLOOKUP(N647,Price_list!$B$1:$H$187,4,0),"")</f>
        <v>140</v>
      </c>
      <c r="R647" s="946" t="str">
        <f>IFERROR(VLOOKUP(N647,Price_list!$B$1:$H$187,5,0),"")</f>
        <v>MDL</v>
      </c>
      <c r="S647" s="958">
        <f t="shared" ca="1" si="79"/>
        <v>140</v>
      </c>
      <c r="T647" s="946">
        <v>1</v>
      </c>
      <c r="U647" s="1889">
        <f ca="1">T647*S647*Q628</f>
        <v>2800</v>
      </c>
    </row>
    <row r="648" spans="11:21">
      <c r="K648" s="712" t="s">
        <v>238</v>
      </c>
      <c r="N648" s="1539" t="s">
        <v>3022</v>
      </c>
      <c r="O648" s="958" t="str">
        <f>IFERROR(VLOOKUP(N648,Price_list!$B$1:$H$187,2,0),"")</f>
        <v>Rent of premises</v>
      </c>
      <c r="P648" s="958" t="str">
        <f>IFERROR(VLOOKUP(N648,Price_list!$B$1:$H$187,3,0),"")</f>
        <v>cost/zi</v>
      </c>
      <c r="Q648" s="946">
        <f>IFERROR(VLOOKUP(N648,Price_list!$B$1:$H$187,4,0),"")</f>
        <v>1800</v>
      </c>
      <c r="R648" s="946" t="str">
        <f>IFERROR(VLOOKUP(N648,Price_list!$B$1:$H$187,5,0),"")</f>
        <v>MDL</v>
      </c>
      <c r="S648" s="958">
        <f t="shared" ca="1" si="79"/>
        <v>1800</v>
      </c>
      <c r="T648" s="946">
        <f>Q629</f>
        <v>1</v>
      </c>
      <c r="U648" s="1889">
        <f ca="1">T648*S648</f>
        <v>1800</v>
      </c>
    </row>
    <row r="649" spans="11:21">
      <c r="K649" s="712" t="s">
        <v>238</v>
      </c>
      <c r="N649" s="1539" t="s">
        <v>3031</v>
      </c>
      <c r="O649" s="958" t="str">
        <f>IFERROR(VLOOKUP(N649,Price_list!$B$1:$H$187,2,0),"")</f>
        <v>Interpreter's fee, per day</v>
      </c>
      <c r="P649" s="958" t="str">
        <f>IFERROR(VLOOKUP(N649,Price_list!$B$1:$H$187,3,0),"")</f>
        <v>cost/zi</v>
      </c>
      <c r="Q649" s="946">
        <f>IFERROR(VLOOKUP(N649,Price_list!$B$1:$H$187,4,0),"")</f>
        <v>2000</v>
      </c>
      <c r="R649" s="946" t="str">
        <f>IFERROR(VLOOKUP(N649,Price_list!$B$1:$H$187,5,0),"")</f>
        <v>MDL</v>
      </c>
      <c r="S649" s="958">
        <f t="shared" ca="1" si="79"/>
        <v>2000</v>
      </c>
      <c r="T649" s="946">
        <f>IF(Q626&gt;0,Q629,0)</f>
        <v>0</v>
      </c>
      <c r="U649" s="1889">
        <f ca="1">T649*S649</f>
        <v>0</v>
      </c>
    </row>
    <row r="650" spans="11:21">
      <c r="K650" s="712" t="s">
        <v>238</v>
      </c>
      <c r="N650" s="1539"/>
      <c r="O650" s="958" t="str">
        <f>IFERROR(VLOOKUP(N650,Price_list!$B$1:$H$187,2,0),"")</f>
        <v/>
      </c>
      <c r="P650" s="958" t="str">
        <f>IFERROR(VLOOKUP(N650,Price_list!$B$1:$H$187,3,0),"")</f>
        <v/>
      </c>
      <c r="Q650" s="946" t="str">
        <f>IFERROR(VLOOKUP(N650,Price_list!$B$1:$H$187,4,0),"")</f>
        <v/>
      </c>
      <c r="R650" s="946" t="str">
        <f>IFERROR(VLOOKUP(N650,Price_list!$B$1:$H$187,5,0),"")</f>
        <v/>
      </c>
      <c r="S650" s="958">
        <f t="shared" ca="1" si="79"/>
        <v>0</v>
      </c>
      <c r="T650" s="946" t="str">
        <f>IFERROR(VLOOKUP(AE650,N641:P645,3,0),"")</f>
        <v/>
      </c>
      <c r="U650" s="1889" t="str">
        <f>IFERROR(#REF!*T650*Q650,"")</f>
        <v/>
      </c>
    </row>
    <row r="651" spans="11:21">
      <c r="K651" s="712" t="s">
        <v>238</v>
      </c>
      <c r="N651" s="1539"/>
      <c r="O651" s="958" t="str">
        <f>IFERROR(VLOOKUP(N651,Price_list!$B$1:$H$187,2,0),"")</f>
        <v/>
      </c>
      <c r="P651" s="958" t="str">
        <f>IFERROR(VLOOKUP(N651,Price_list!$B$1:$H$187,3,0),"")</f>
        <v/>
      </c>
      <c r="Q651" s="946" t="str">
        <f>IFERROR(VLOOKUP(N651,Price_list!$B$1:$H$187,4,0),"")</f>
        <v/>
      </c>
      <c r="R651" s="946" t="str">
        <f>IFERROR(VLOOKUP(N651,Price_list!$B$1:$H$187,5,0),"")</f>
        <v/>
      </c>
      <c r="S651" s="958">
        <f t="shared" ca="1" si="79"/>
        <v>0</v>
      </c>
      <c r="T651" s="946" t="str">
        <f>IFERROR(VLOOKUP(AE651,N642:P647,3,0),"")</f>
        <v/>
      </c>
      <c r="U651" s="1889" t="str">
        <f>IFERROR(#REF!*T651*Q651,"")</f>
        <v/>
      </c>
    </row>
    <row r="652" spans="11:21">
      <c r="K652" s="712" t="s">
        <v>238</v>
      </c>
      <c r="N652" s="1539"/>
      <c r="O652" s="958" t="str">
        <f>IFERROR(VLOOKUP(N652,Price_list!$B$1:$H$187,2,0),"")</f>
        <v/>
      </c>
      <c r="P652" s="958" t="str">
        <f>IFERROR(VLOOKUP(N652,Price_list!$B$1:$H$187,3,0),"")</f>
        <v/>
      </c>
      <c r="Q652" s="946" t="str">
        <f>IFERROR(VLOOKUP(N652,Price_list!$B$1:$H$187,4,0),"")</f>
        <v/>
      </c>
      <c r="R652" s="946" t="str">
        <f>IFERROR(VLOOKUP(N652,Price_list!$B$1:$H$187,5,0),"")</f>
        <v/>
      </c>
      <c r="S652" s="958">
        <f t="shared" ca="1" si="79"/>
        <v>0</v>
      </c>
      <c r="T652" s="946" t="str">
        <f>IFERROR(VLOOKUP(AE652,N643:P648,3,0),"")</f>
        <v/>
      </c>
      <c r="U652" s="1889" t="str">
        <f>IFERROR(#REF!*T652*Q652,"")</f>
        <v/>
      </c>
    </row>
    <row r="653" spans="11:21" ht="16" thickBot="1">
      <c r="K653" s="712" t="s">
        <v>238</v>
      </c>
      <c r="N653" s="1697"/>
      <c r="O653" s="1698" t="str">
        <f>IFERROR(VLOOKUP(N653,Price_list!$B$1:$H$187,2,0),"")</f>
        <v/>
      </c>
      <c r="P653" s="1698" t="str">
        <f>IFERROR(VLOOKUP(N653,Price_list!$B$1:$H$187,3,0),"")</f>
        <v/>
      </c>
      <c r="Q653" s="1034" t="str">
        <f>IFERROR(VLOOKUP(N653,Price_list!$B$1:$H$187,4,0),"")</f>
        <v/>
      </c>
      <c r="R653" s="1034" t="str">
        <f>IFERROR(VLOOKUP(N653,Price_list!$B$1:$H$187,5,0),"")</f>
        <v/>
      </c>
      <c r="S653" s="1698"/>
      <c r="T653" s="1034" t="str">
        <f>IFERROR(VLOOKUP(AE653,N644:P649,3,0),"")</f>
        <v/>
      </c>
      <c r="U653" s="1703">
        <f ca="1">SUM(U635:U652)</f>
        <v>14000</v>
      </c>
    </row>
    <row r="654" spans="11:21">
      <c r="K654" s="712" t="s">
        <v>238</v>
      </c>
      <c r="N654" s="1771" t="s">
        <v>3037</v>
      </c>
      <c r="O654" s="1742" t="s">
        <v>3006</v>
      </c>
      <c r="P654" s="1743"/>
      <c r="Q654" s="1772">
        <v>7.0000000000000007E-2</v>
      </c>
      <c r="R654" s="1773"/>
      <c r="S654" s="1773"/>
      <c r="T654" s="1773"/>
      <c r="U654" s="1774">
        <f ca="1">ROUND(U653*Q654,2)</f>
        <v>980</v>
      </c>
    </row>
    <row r="655" spans="11:21" ht="16" thickBot="1">
      <c r="K655" s="712" t="s">
        <v>238</v>
      </c>
      <c r="N655" s="1049"/>
      <c r="O655" s="960"/>
      <c r="P655" s="960"/>
      <c r="Q655" s="960"/>
      <c r="R655" s="960"/>
      <c r="S655" s="960"/>
      <c r="T655" s="960"/>
      <c r="U655" s="62"/>
    </row>
    <row r="656" spans="11:21" ht="16" thickBot="1">
      <c r="K656" s="712" t="s">
        <v>238</v>
      </c>
      <c r="N656" s="1704" t="s">
        <v>3038</v>
      </c>
      <c r="O656" s="1761"/>
      <c r="P656" s="1761"/>
      <c r="Q656" s="1761"/>
      <c r="R656" s="1761"/>
      <c r="S656" s="1761"/>
      <c r="T656" s="1761"/>
      <c r="U656" s="1706">
        <f ca="1">U654+U653</f>
        <v>14980</v>
      </c>
    </row>
    <row r="657" spans="1:21">
      <c r="K657" s="712" t="s">
        <v>238</v>
      </c>
      <c r="N657" s="1049"/>
      <c r="O657" s="960"/>
      <c r="P657" s="960"/>
      <c r="Q657" s="960"/>
      <c r="R657" s="960"/>
      <c r="S657" s="960"/>
      <c r="T657" s="960"/>
      <c r="U657" s="62"/>
    </row>
    <row r="658" spans="1:21" ht="16" thickBot="1">
      <c r="K658" s="712" t="s">
        <v>238</v>
      </c>
      <c r="N658" s="1049"/>
      <c r="O658" s="960"/>
      <c r="P658" s="960"/>
      <c r="Q658" s="960"/>
      <c r="R658" s="960"/>
      <c r="S658" s="960"/>
      <c r="T658" s="960"/>
      <c r="U658" s="62"/>
    </row>
    <row r="659" spans="1:21" ht="16" thickBot="1">
      <c r="K659" s="712" t="s">
        <v>238</v>
      </c>
      <c r="N659" s="1049" t="s">
        <v>2171</v>
      </c>
      <c r="O659" s="960"/>
      <c r="P659" s="960"/>
      <c r="Q659" s="1500">
        <v>2021</v>
      </c>
      <c r="R659" s="1762">
        <v>2022</v>
      </c>
      <c r="S659" s="1762">
        <v>2023</v>
      </c>
      <c r="T659" s="1762">
        <v>2024</v>
      </c>
      <c r="U659" s="1763">
        <v>2025</v>
      </c>
    </row>
    <row r="660" spans="1:21" ht="16" thickBot="1">
      <c r="K660" s="712" t="s">
        <v>238</v>
      </c>
      <c r="N660" s="1764" t="s">
        <v>3043</v>
      </c>
      <c r="O660" s="1504"/>
      <c r="P660" s="1504"/>
      <c r="Q660" s="1713">
        <v>0</v>
      </c>
      <c r="R660" s="1713">
        <v>0</v>
      </c>
      <c r="S660" s="1713">
        <v>0</v>
      </c>
      <c r="T660" s="1713">
        <v>0</v>
      </c>
      <c r="U660" s="1765">
        <v>0</v>
      </c>
    </row>
    <row r="661" spans="1:21" ht="16" thickBot="1">
      <c r="A661" s="2157">
        <v>198</v>
      </c>
      <c r="B661" s="841">
        <f ca="1">Q661</f>
        <v>0</v>
      </c>
      <c r="C661" s="841">
        <f t="shared" ref="C661:F661" ca="1" si="80">R661</f>
        <v>0</v>
      </c>
      <c r="D661" s="841">
        <f t="shared" ca="1" si="80"/>
        <v>0</v>
      </c>
      <c r="E661" s="841">
        <f t="shared" ca="1" si="80"/>
        <v>0</v>
      </c>
      <c r="F661" s="841">
        <f t="shared" ca="1" si="80"/>
        <v>0</v>
      </c>
      <c r="G661" s="841" t="s">
        <v>351</v>
      </c>
      <c r="H661" s="841" t="s">
        <v>3704</v>
      </c>
      <c r="I661" s="2180" t="s">
        <v>3716</v>
      </c>
      <c r="J661" s="841" t="s">
        <v>2980</v>
      </c>
      <c r="K661" s="712" t="s">
        <v>238</v>
      </c>
      <c r="N661" s="1710" t="s">
        <v>3044</v>
      </c>
      <c r="O661" s="1732"/>
      <c r="P661" s="1708"/>
      <c r="Q661" s="1495">
        <f ca="1">U656*Q660</f>
        <v>0</v>
      </c>
      <c r="R661" s="1495">
        <f ca="1">U656*R660</f>
        <v>0</v>
      </c>
      <c r="S661" s="1495">
        <f ca="1">U656*S660</f>
        <v>0</v>
      </c>
      <c r="T661" s="1495">
        <f ca="1">U656*T660</f>
        <v>0</v>
      </c>
      <c r="U661" s="1495">
        <f ca="1">U656*U660</f>
        <v>0</v>
      </c>
    </row>
    <row r="662" spans="1:21">
      <c r="K662" s="712" t="s">
        <v>238</v>
      </c>
    </row>
    <row r="663" spans="1:21">
      <c r="K663" s="712" t="s">
        <v>238</v>
      </c>
    </row>
    <row r="664" spans="1:21">
      <c r="K664" s="712" t="s">
        <v>238</v>
      </c>
    </row>
    <row r="665" spans="1:21">
      <c r="K665" s="712" t="s">
        <v>238</v>
      </c>
      <c r="L665" s="1775" t="s">
        <v>3520</v>
      </c>
    </row>
    <row r="666" spans="1:21" ht="16" thickBot="1">
      <c r="K666" s="712" t="s">
        <v>238</v>
      </c>
    </row>
    <row r="667" spans="1:21" ht="32">
      <c r="K667" s="712" t="s">
        <v>238</v>
      </c>
      <c r="N667" s="1766" t="s">
        <v>3054</v>
      </c>
      <c r="O667" s="1696"/>
      <c r="P667" s="1767"/>
      <c r="Q667" s="1220"/>
      <c r="R667" s="966"/>
      <c r="S667" s="1768"/>
      <c r="T667" s="966"/>
      <c r="U667" s="967"/>
    </row>
    <row r="668" spans="1:21" ht="32">
      <c r="K668" s="712" t="s">
        <v>238</v>
      </c>
      <c r="N668" s="1769" t="s">
        <v>3055</v>
      </c>
      <c r="O668" s="1693"/>
      <c r="P668" s="958"/>
      <c r="Q668" s="1040">
        <v>2</v>
      </c>
      <c r="R668" s="960"/>
      <c r="S668" s="960"/>
      <c r="T668" s="960"/>
      <c r="U668" s="62"/>
    </row>
    <row r="669" spans="1:21" ht="32">
      <c r="K669" s="712" t="s">
        <v>238</v>
      </c>
      <c r="N669" s="1769" t="s">
        <v>3056</v>
      </c>
      <c r="O669" s="1693"/>
      <c r="P669" s="958"/>
      <c r="Q669" s="1040">
        <v>20</v>
      </c>
      <c r="R669" s="960"/>
      <c r="S669" s="960"/>
      <c r="T669" s="960"/>
      <c r="U669" s="62"/>
    </row>
    <row r="670" spans="1:21" ht="32">
      <c r="K670" s="712" t="s">
        <v>238</v>
      </c>
      <c r="N670" s="1769" t="s">
        <v>3057</v>
      </c>
      <c r="O670" s="1693"/>
      <c r="P670" s="958"/>
      <c r="Q670" s="1040">
        <v>1</v>
      </c>
      <c r="R670" s="960"/>
      <c r="S670" s="960"/>
      <c r="T670" s="960"/>
      <c r="U670" s="62"/>
    </row>
    <row r="671" spans="1:21" ht="32">
      <c r="K671" s="712" t="s">
        <v>238</v>
      </c>
      <c r="N671" s="1769" t="s">
        <v>3052</v>
      </c>
      <c r="O671" s="1693"/>
      <c r="P671" s="1694">
        <v>0</v>
      </c>
      <c r="Q671" s="1028">
        <f>ROUND(Q669*P671,0)</f>
        <v>0</v>
      </c>
      <c r="R671" s="960"/>
      <c r="S671" s="960"/>
      <c r="T671" s="960"/>
      <c r="U671" s="62"/>
    </row>
    <row r="672" spans="1:21" ht="32">
      <c r="K672" s="712" t="s">
        <v>238</v>
      </c>
      <c r="N672" s="1769" t="s">
        <v>3053</v>
      </c>
      <c r="O672" s="1693"/>
      <c r="P672" s="1694">
        <v>0</v>
      </c>
      <c r="Q672" s="1028">
        <f>ROUND(Q669*P672,0)</f>
        <v>0</v>
      </c>
      <c r="R672" s="960"/>
      <c r="S672" s="960"/>
      <c r="T672" s="960"/>
      <c r="U672" s="62"/>
    </row>
    <row r="673" spans="11:21">
      <c r="K673" s="712" t="s">
        <v>238</v>
      </c>
      <c r="N673" s="1770" t="s">
        <v>3036</v>
      </c>
      <c r="O673" s="1019"/>
      <c r="P673" s="1695"/>
      <c r="Q673" s="1028">
        <f>Q670-1</f>
        <v>0</v>
      </c>
      <c r="R673" s="960"/>
      <c r="S673" s="960"/>
      <c r="T673" s="960"/>
      <c r="U673" s="62"/>
    </row>
    <row r="674" spans="11:21" ht="16" thickBot="1">
      <c r="K674" s="712" t="s">
        <v>238</v>
      </c>
      <c r="N674" s="1049"/>
      <c r="O674" s="960"/>
      <c r="P674" s="960"/>
      <c r="Q674" s="960"/>
      <c r="R674" s="960"/>
      <c r="S674" s="960"/>
      <c r="T674" s="960"/>
      <c r="U674" s="62"/>
    </row>
    <row r="675" spans="11:21" ht="32">
      <c r="K675" s="712" t="s">
        <v>238</v>
      </c>
      <c r="N675" s="1699" t="s">
        <v>3033</v>
      </c>
      <c r="O675" s="1700" t="s">
        <v>3034</v>
      </c>
      <c r="P675" s="1702" t="s">
        <v>3040</v>
      </c>
      <c r="Q675" s="1702" t="s">
        <v>3041</v>
      </c>
      <c r="R675" s="1702" t="s">
        <v>3042</v>
      </c>
      <c r="S675" s="1700" t="s">
        <v>3035</v>
      </c>
      <c r="T675" s="1702" t="s">
        <v>3039</v>
      </c>
      <c r="U675" s="1701" t="s">
        <v>2189</v>
      </c>
    </row>
    <row r="676" spans="11:21">
      <c r="K676" s="712" t="s">
        <v>238</v>
      </c>
      <c r="N676" s="1539" t="s">
        <v>3051</v>
      </c>
      <c r="O676" s="958" t="str">
        <f>IFERROR(VLOOKUP(N676,Price_list!$B$1:$H$187,2,0),"")</f>
        <v>International Consultancy fee (3.1)</v>
      </c>
      <c r="P676" s="958" t="str">
        <f>IFERROR(VLOOKUP(N676,Price_list!$B$1:$H$187,3,0),"")</f>
        <v>cost/zi</v>
      </c>
      <c r="Q676" s="946">
        <f>IFERROR(VLOOKUP(N676,Price_list!$B$1:$H$187,4,0),"")</f>
        <v>350</v>
      </c>
      <c r="R676" s="946" t="str">
        <f>IFERROR(VLOOKUP(N676,Price_list!$B$1:$H$187,5,0),"")</f>
        <v>EUR</v>
      </c>
      <c r="S676" s="958">
        <f ca="1">ROUND(IFERROR(IF(R676="MDL",Q676,Q676*INDIRECT(R676)),0),2)</f>
        <v>6868.65</v>
      </c>
      <c r="T676" s="1888">
        <f>Q670</f>
        <v>1</v>
      </c>
      <c r="U676" s="1889">
        <f ca="1">IFERROR(Q667*S676*T676,"")</f>
        <v>0</v>
      </c>
    </row>
    <row r="677" spans="11:21">
      <c r="K677" s="712" t="s">
        <v>238</v>
      </c>
      <c r="N677" s="1539" t="s">
        <v>3029</v>
      </c>
      <c r="O677" s="958" t="str">
        <f>IFERROR(VLOOKUP(N677,Price_list!$B$1:$H$187,2,0),"")</f>
        <v xml:space="preserve">Travel costs </v>
      </c>
      <c r="P677" s="958" t="str">
        <f>IFERROR(VLOOKUP(N677,Price_list!$B$1:$H$187,3,0),"")</f>
        <v>cost tichet o directie</v>
      </c>
      <c r="Q677" s="946">
        <f>IFERROR(VLOOKUP(N677,Price_list!$B$1:$H$187,4,0),"")</f>
        <v>5000</v>
      </c>
      <c r="R677" s="946" t="str">
        <f>IFERROR(VLOOKUP(N677,Price_list!$B$1:$H$187,5,0),"")</f>
        <v>MDL</v>
      </c>
      <c r="S677" s="958">
        <f t="shared" ref="S677:S693" ca="1" si="81">ROUND(IFERROR(IF(R677="MDL",Q677,Q677*INDIRECT(R677)),0),2)</f>
        <v>5000</v>
      </c>
      <c r="T677" s="1040">
        <v>2</v>
      </c>
      <c r="U677" s="1889">
        <f ca="1">Q667*T677*S677</f>
        <v>0</v>
      </c>
    </row>
    <row r="678" spans="11:21">
      <c r="K678" s="712" t="s">
        <v>238</v>
      </c>
      <c r="N678" s="1539" t="s">
        <v>3020</v>
      </c>
      <c r="O678" s="958" t="str">
        <f>IFERROR(VLOOKUP(N678,Price_list!$B$1:$H$187,2,0),"")</f>
        <v xml:space="preserve">Per diem, WHO DSA, average </v>
      </c>
      <c r="P678" s="958" t="str">
        <f>IFERROR(VLOOKUP(N678,Price_list!$B$1:$H$187,3,0),"")</f>
        <v>diurna</v>
      </c>
      <c r="Q678" s="946">
        <f>IFERROR(VLOOKUP(N678,Price_list!$B$1:$H$187,4,0),"")</f>
        <v>200</v>
      </c>
      <c r="R678" s="946" t="str">
        <f>IFERROR(VLOOKUP(N678,Price_list!$B$1:$H$187,5,0),"")</f>
        <v>EUR</v>
      </c>
      <c r="S678" s="958">
        <f t="shared" ca="1" si="81"/>
        <v>3924.94</v>
      </c>
      <c r="T678" s="946">
        <f>Q670+1</f>
        <v>2</v>
      </c>
      <c r="U678" s="1889">
        <f ca="1">Q667*S678*T678</f>
        <v>0</v>
      </c>
    </row>
    <row r="679" spans="11:21">
      <c r="K679" s="712" t="s">
        <v>238</v>
      </c>
      <c r="N679" s="1539" t="s">
        <v>3050</v>
      </c>
      <c r="O679" s="958" t="str">
        <f>IFERROR(VLOOKUP(N679,Price_list!$B$1:$H$187,2,0),"")</f>
        <v>National Consultancy fee (3.1)</v>
      </c>
      <c r="P679" s="958" t="str">
        <f>IFERROR(VLOOKUP(N679,Price_list!$B$1:$H$187,3,0),"")</f>
        <v>cost/zi</v>
      </c>
      <c r="Q679" s="946">
        <f>IFERROR(VLOOKUP(N679,Price_list!$B$1:$H$187,4,0),"")</f>
        <v>2000</v>
      </c>
      <c r="R679" s="946" t="str">
        <f>IFERROR(VLOOKUP(N679,Price_list!$B$1:$H$187,5,0),"")</f>
        <v>MDL</v>
      </c>
      <c r="S679" s="958">
        <f t="shared" ca="1" si="81"/>
        <v>2000</v>
      </c>
      <c r="T679" s="946">
        <f>Q670</f>
        <v>1</v>
      </c>
      <c r="U679" s="1889">
        <f ca="1">Q668*S679*T679</f>
        <v>4000</v>
      </c>
    </row>
    <row r="680" spans="11:21">
      <c r="K680" s="712" t="s">
        <v>238</v>
      </c>
      <c r="N680" s="1539"/>
      <c r="O680" s="958" t="str">
        <f>IFERROR(VLOOKUP(N680,Price_list!$B$1:$H$187,2,0),"")</f>
        <v/>
      </c>
      <c r="P680" s="958" t="str">
        <f>IFERROR(VLOOKUP(N680,Price_list!$B$1:$H$187,3,0),"")</f>
        <v/>
      </c>
      <c r="Q680" s="946" t="str">
        <f>IFERROR(VLOOKUP(N680,Price_list!$B$1:$H$187,4,0),"")</f>
        <v/>
      </c>
      <c r="R680" s="946" t="str">
        <f>IFERROR(VLOOKUP(N680,Price_list!$B$1:$H$187,5,0),"")</f>
        <v/>
      </c>
      <c r="S680" s="958">
        <f t="shared" ca="1" si="81"/>
        <v>0</v>
      </c>
      <c r="T680" s="946" t="str">
        <f>IFERROR(VLOOKUP(AE680,N671:P676,3,0),"")</f>
        <v/>
      </c>
      <c r="U680" s="1889" t="str">
        <f>IFERROR(#REF!*T680*Q680,"")</f>
        <v/>
      </c>
    </row>
    <row r="681" spans="11:21">
      <c r="K681" s="712" t="s">
        <v>238</v>
      </c>
      <c r="N681" s="1539"/>
      <c r="O681" s="958" t="str">
        <f>IFERROR(VLOOKUP(N681,Price_list!$B$1:$H$187,2,0),"")</f>
        <v/>
      </c>
      <c r="P681" s="958" t="str">
        <f>IFERROR(VLOOKUP(N681,Price_list!$B$1:$H$187,3,0),"")</f>
        <v/>
      </c>
      <c r="Q681" s="946" t="str">
        <f>IFERROR(VLOOKUP(N681,Price_list!$B$1:$H$187,4,0),"")</f>
        <v/>
      </c>
      <c r="R681" s="946" t="str">
        <f>IFERROR(VLOOKUP(N681,Price_list!$B$1:$H$187,5,0),"")</f>
        <v/>
      </c>
      <c r="S681" s="958">
        <f t="shared" ca="1" si="81"/>
        <v>0</v>
      </c>
      <c r="T681" s="946" t="str">
        <f>IFERROR(VLOOKUP(AE681,N673:P677,3,0),"")</f>
        <v/>
      </c>
      <c r="U681" s="1889" t="str">
        <f>IFERROR(#REF!*T681*Q681,"")</f>
        <v/>
      </c>
    </row>
    <row r="682" spans="11:21">
      <c r="K682" s="712" t="s">
        <v>238</v>
      </c>
      <c r="N682" s="1539" t="s">
        <v>3016</v>
      </c>
      <c r="O682" s="958" t="str">
        <f>IFERROR(VLOOKUP(N682,Price_list!$B$1:$H$187,2,0),"")</f>
        <v>Coffe break</v>
      </c>
      <c r="P682" s="958" t="str">
        <f>IFERROR(VLOOKUP(N682,Price_list!$B$1:$H$187,3,0),"")</f>
        <v>unitate</v>
      </c>
      <c r="Q682" s="946">
        <f>IFERROR(VLOOKUP(N682,Price_list!$B$1:$H$187,4,0),"")</f>
        <v>75</v>
      </c>
      <c r="R682" s="946" t="str">
        <f>IFERROR(VLOOKUP(N682,Price_list!$B$1:$H$187,5,0),"")</f>
        <v>MDL</v>
      </c>
      <c r="S682" s="958">
        <f t="shared" ca="1" si="81"/>
        <v>75</v>
      </c>
      <c r="T682" s="946">
        <v>2</v>
      </c>
      <c r="U682" s="1889">
        <f ca="1">T682*S682*Q669*Q670</f>
        <v>3000</v>
      </c>
    </row>
    <row r="683" spans="11:21">
      <c r="K683" s="712" t="s">
        <v>238</v>
      </c>
      <c r="N683" s="1539" t="s">
        <v>3021</v>
      </c>
      <c r="O683" s="958" t="str">
        <f>IFERROR(VLOOKUP(N683,Price_list!$B$1:$H$187,2,0),"")</f>
        <v xml:space="preserve">Meal ( lunch) </v>
      </c>
      <c r="P683" s="958" t="str">
        <f>IFERROR(VLOOKUP(N683,Price_list!$B$1:$H$187,3,0),"")</f>
        <v>unitate</v>
      </c>
      <c r="Q683" s="946">
        <f>IFERROR(VLOOKUP(N683,Price_list!$B$1:$H$187,4,0),"")</f>
        <v>220</v>
      </c>
      <c r="R683" s="946" t="str">
        <f>IFERROR(VLOOKUP(N683,Price_list!$B$1:$H$187,5,0),"")</f>
        <v>MDL</v>
      </c>
      <c r="S683" s="958">
        <f t="shared" ca="1" si="81"/>
        <v>220</v>
      </c>
      <c r="T683" s="946">
        <f>Q670</f>
        <v>1</v>
      </c>
      <c r="U683" s="1889">
        <f ca="1">Q669*T683*S683</f>
        <v>4400</v>
      </c>
    </row>
    <row r="684" spans="11:21">
      <c r="K684" s="712" t="s">
        <v>238</v>
      </c>
      <c r="N684" s="1539" t="s">
        <v>3023</v>
      </c>
      <c r="O684" s="958" t="str">
        <f>IFERROR(VLOOKUP(N684,Price_list!$B$1:$H$187,2,0),"")</f>
        <v>Meal(dinner)</v>
      </c>
      <c r="P684" s="958" t="str">
        <f>IFERROR(VLOOKUP(N684,Price_list!$B$1:$H$187,3,0),"")</f>
        <v>unitate</v>
      </c>
      <c r="Q684" s="946">
        <f>IFERROR(VLOOKUP(N684,Price_list!$B$1:$H$187,4,0),"")</f>
        <v>220</v>
      </c>
      <c r="R684" s="946" t="str">
        <f>IFERROR(VLOOKUP(N684,Price_list!$B$1:$H$187,5,0),"")</f>
        <v>MDL</v>
      </c>
      <c r="S684" s="958">
        <f t="shared" ca="1" si="81"/>
        <v>220</v>
      </c>
      <c r="T684" s="946">
        <f>Q673</f>
        <v>0</v>
      </c>
      <c r="U684" s="1889">
        <f ca="1">T684*S684*Q671</f>
        <v>0</v>
      </c>
    </row>
    <row r="685" spans="11:21">
      <c r="K685" s="712" t="s">
        <v>238</v>
      </c>
      <c r="N685" s="1539" t="s">
        <v>3024</v>
      </c>
      <c r="O685" s="958" t="str">
        <f>IFERROR(VLOOKUP(N685,Price_list!$B$1:$H$187,2,0),"")</f>
        <v xml:space="preserve">Accomodation </v>
      </c>
      <c r="P685" s="958" t="str">
        <f>IFERROR(VLOOKUP(N685,Price_list!$B$1:$H$187,3,0),"")</f>
        <v>cost/noapte</v>
      </c>
      <c r="Q685" s="946">
        <f>IFERROR(VLOOKUP(N685,Price_list!$B$1:$H$187,4,0),"")</f>
        <v>750</v>
      </c>
      <c r="R685" s="946" t="str">
        <f>IFERROR(VLOOKUP(N685,Price_list!$B$1:$H$187,5,0),"")</f>
        <v>MDL</v>
      </c>
      <c r="S685" s="958">
        <f t="shared" ca="1" si="81"/>
        <v>750</v>
      </c>
      <c r="T685" s="946">
        <f>Q673</f>
        <v>0</v>
      </c>
      <c r="U685" s="1889">
        <f ca="1">T685*S685*Q671</f>
        <v>0</v>
      </c>
    </row>
    <row r="686" spans="11:21">
      <c r="K686" s="712" t="s">
        <v>238</v>
      </c>
      <c r="N686" s="1539" t="s">
        <v>3030</v>
      </c>
      <c r="O686" s="958" t="str">
        <f>IFERROR(VLOOKUP(N686,Price_list!$B$1:$H$187,2,0),"")</f>
        <v>Travel participants</v>
      </c>
      <c r="P686" s="958" t="str">
        <f>IFERROR(VLOOKUP(N686,Price_list!$B$1:$H$187,3,0),"")</f>
        <v>cost tichet o directie</v>
      </c>
      <c r="Q686" s="946">
        <f>IFERROR(VLOOKUP(N686,Price_list!$B$1:$H$187,4,0),"")</f>
        <v>80</v>
      </c>
      <c r="R686" s="946" t="str">
        <f>IFERROR(VLOOKUP(N686,Price_list!$B$1:$H$187,5,0),"")</f>
        <v>MDL</v>
      </c>
      <c r="S686" s="958">
        <f t="shared" ca="1" si="81"/>
        <v>80</v>
      </c>
      <c r="T686" s="1040">
        <v>2</v>
      </c>
      <c r="U686" s="1889">
        <f ca="1">T686*Q672*S686</f>
        <v>0</v>
      </c>
    </row>
    <row r="687" spans="11:21">
      <c r="K687" s="712" t="s">
        <v>238</v>
      </c>
      <c r="N687" s="1539"/>
      <c r="O687" s="958" t="str">
        <f>IFERROR(VLOOKUP(N687,Price_list!$B$1:$H$187,2,0),"")</f>
        <v/>
      </c>
      <c r="P687" s="958" t="str">
        <f>IFERROR(VLOOKUP(N687,Price_list!$B$1:$H$187,3,0),"")</f>
        <v/>
      </c>
      <c r="Q687" s="946" t="str">
        <f>IFERROR(VLOOKUP(N687,Price_list!$B$1:$H$187,4,0),"")</f>
        <v/>
      </c>
      <c r="R687" s="946" t="str">
        <f>IFERROR(VLOOKUP(N687,Price_list!$B$1:$H$187,5,0),"")</f>
        <v/>
      </c>
      <c r="S687" s="958">
        <f t="shared" ca="1" si="81"/>
        <v>0</v>
      </c>
      <c r="T687" s="946" t="str">
        <f>IFERROR(VLOOKUP(AE687,N677:P683,3,0),"")</f>
        <v/>
      </c>
      <c r="U687" s="1889" t="str">
        <f>IFERROR(#REF!*T687*Q687,"")</f>
        <v/>
      </c>
    </row>
    <row r="688" spans="11:21">
      <c r="K688" s="712" t="s">
        <v>238</v>
      </c>
      <c r="N688" s="1539" t="s">
        <v>3025</v>
      </c>
      <c r="O688" s="958" t="str">
        <f>IFERROR(VLOOKUP(N688,Price_list!$B$1:$H$187,2,0),"")</f>
        <v>Supplies</v>
      </c>
      <c r="P688" s="958" t="str">
        <f>IFERROR(VLOOKUP(N688,Price_list!$B$1:$H$187,3,0),"")</f>
        <v>set/participant</v>
      </c>
      <c r="Q688" s="946">
        <f>IFERROR(VLOOKUP(N688,Price_list!$B$1:$H$187,4,0),"")</f>
        <v>140</v>
      </c>
      <c r="R688" s="946" t="str">
        <f>IFERROR(VLOOKUP(N688,Price_list!$B$1:$H$187,5,0),"")</f>
        <v>MDL</v>
      </c>
      <c r="S688" s="958">
        <f t="shared" ca="1" si="81"/>
        <v>140</v>
      </c>
      <c r="T688" s="946">
        <v>1</v>
      </c>
      <c r="U688" s="1889">
        <f ca="1">T688*S688*Q669</f>
        <v>2800</v>
      </c>
    </row>
    <row r="689" spans="1:21">
      <c r="K689" s="712" t="s">
        <v>238</v>
      </c>
      <c r="N689" s="1539" t="s">
        <v>3022</v>
      </c>
      <c r="O689" s="958" t="str">
        <f>IFERROR(VLOOKUP(N689,Price_list!$B$1:$H$187,2,0),"")</f>
        <v>Rent of premises</v>
      </c>
      <c r="P689" s="958" t="str">
        <f>IFERROR(VLOOKUP(N689,Price_list!$B$1:$H$187,3,0),"")</f>
        <v>cost/zi</v>
      </c>
      <c r="Q689" s="946">
        <f>IFERROR(VLOOKUP(N689,Price_list!$B$1:$H$187,4,0),"")</f>
        <v>1800</v>
      </c>
      <c r="R689" s="946" t="str">
        <f>IFERROR(VLOOKUP(N689,Price_list!$B$1:$H$187,5,0),"")</f>
        <v>MDL</v>
      </c>
      <c r="S689" s="958">
        <f t="shared" ca="1" si="81"/>
        <v>1800</v>
      </c>
      <c r="T689" s="946">
        <f>Q670</f>
        <v>1</v>
      </c>
      <c r="U689" s="1889">
        <f ca="1">T689*S689</f>
        <v>1800</v>
      </c>
    </row>
    <row r="690" spans="1:21">
      <c r="K690" s="712" t="s">
        <v>238</v>
      </c>
      <c r="N690" s="1539" t="s">
        <v>3031</v>
      </c>
      <c r="O690" s="958" t="str">
        <f>IFERROR(VLOOKUP(N690,Price_list!$B$1:$H$187,2,0),"")</f>
        <v>Interpreter's fee, per day</v>
      </c>
      <c r="P690" s="958" t="str">
        <f>IFERROR(VLOOKUP(N690,Price_list!$B$1:$H$187,3,0),"")</f>
        <v>cost/zi</v>
      </c>
      <c r="Q690" s="946">
        <f>IFERROR(VLOOKUP(N690,Price_list!$B$1:$H$187,4,0),"")</f>
        <v>2000</v>
      </c>
      <c r="R690" s="946" t="str">
        <f>IFERROR(VLOOKUP(N690,Price_list!$B$1:$H$187,5,0),"")</f>
        <v>MDL</v>
      </c>
      <c r="S690" s="958">
        <f t="shared" ca="1" si="81"/>
        <v>2000</v>
      </c>
      <c r="T690" s="946">
        <f>IF(Q667&gt;0,Q670,0)</f>
        <v>0</v>
      </c>
      <c r="U690" s="1889">
        <f ca="1">T690*S690</f>
        <v>0</v>
      </c>
    </row>
    <row r="691" spans="1:21">
      <c r="K691" s="712" t="s">
        <v>238</v>
      </c>
      <c r="N691" s="1539"/>
      <c r="O691" s="958" t="str">
        <f>IFERROR(VLOOKUP(N691,Price_list!$B$1:$H$187,2,0),"")</f>
        <v/>
      </c>
      <c r="P691" s="958" t="str">
        <f>IFERROR(VLOOKUP(N691,Price_list!$B$1:$H$187,3,0),"")</f>
        <v/>
      </c>
      <c r="Q691" s="946" t="str">
        <f>IFERROR(VLOOKUP(N691,Price_list!$B$1:$H$187,4,0),"")</f>
        <v/>
      </c>
      <c r="R691" s="946" t="str">
        <f>IFERROR(VLOOKUP(N691,Price_list!$B$1:$H$187,5,0),"")</f>
        <v/>
      </c>
      <c r="S691" s="958">
        <f t="shared" ca="1" si="81"/>
        <v>0</v>
      </c>
      <c r="T691" s="946" t="str">
        <f>IFERROR(VLOOKUP(AE691,N682:P686,3,0),"")</f>
        <v/>
      </c>
      <c r="U691" s="1889" t="str">
        <f>IFERROR(#REF!*T691*Q691,"")</f>
        <v/>
      </c>
    </row>
    <row r="692" spans="1:21">
      <c r="K692" s="712" t="s">
        <v>238</v>
      </c>
      <c r="N692" s="1539"/>
      <c r="O692" s="958" t="str">
        <f>IFERROR(VLOOKUP(N692,Price_list!$B$1:$H$187,2,0),"")</f>
        <v/>
      </c>
      <c r="P692" s="958" t="str">
        <f>IFERROR(VLOOKUP(N692,Price_list!$B$1:$H$187,3,0),"")</f>
        <v/>
      </c>
      <c r="Q692" s="946" t="str">
        <f>IFERROR(VLOOKUP(N692,Price_list!$B$1:$H$187,4,0),"")</f>
        <v/>
      </c>
      <c r="R692" s="946" t="str">
        <f>IFERROR(VLOOKUP(N692,Price_list!$B$1:$H$187,5,0),"")</f>
        <v/>
      </c>
      <c r="S692" s="958">
        <f t="shared" ca="1" si="81"/>
        <v>0</v>
      </c>
      <c r="T692" s="946" t="str">
        <f>IFERROR(VLOOKUP(AE692,N683:P688,3,0),"")</f>
        <v/>
      </c>
      <c r="U692" s="1889" t="str">
        <f>IFERROR(#REF!*T692*Q692,"")</f>
        <v/>
      </c>
    </row>
    <row r="693" spans="1:21">
      <c r="K693" s="712" t="s">
        <v>238</v>
      </c>
      <c r="N693" s="1539"/>
      <c r="O693" s="958" t="str">
        <f>IFERROR(VLOOKUP(N693,Price_list!$B$1:$H$187,2,0),"")</f>
        <v/>
      </c>
      <c r="P693" s="958" t="str">
        <f>IFERROR(VLOOKUP(N693,Price_list!$B$1:$H$187,3,0),"")</f>
        <v/>
      </c>
      <c r="Q693" s="946" t="str">
        <f>IFERROR(VLOOKUP(N693,Price_list!$B$1:$H$187,4,0),"")</f>
        <v/>
      </c>
      <c r="R693" s="946" t="str">
        <f>IFERROR(VLOOKUP(N693,Price_list!$B$1:$H$187,5,0),"")</f>
        <v/>
      </c>
      <c r="S693" s="958">
        <f t="shared" ca="1" si="81"/>
        <v>0</v>
      </c>
      <c r="T693" s="946" t="str">
        <f>IFERROR(VLOOKUP(AE693,N684:P689,3,0),"")</f>
        <v/>
      </c>
      <c r="U693" s="1889" t="str">
        <f>IFERROR(#REF!*T693*Q693,"")</f>
        <v/>
      </c>
    </row>
    <row r="694" spans="1:21" ht="16" thickBot="1">
      <c r="K694" s="712" t="s">
        <v>238</v>
      </c>
      <c r="N694" s="1697"/>
      <c r="O694" s="1698" t="str">
        <f>IFERROR(VLOOKUP(N694,Price_list!$B$1:$H$187,2,0),"")</f>
        <v/>
      </c>
      <c r="P694" s="1698" t="str">
        <f>IFERROR(VLOOKUP(N694,Price_list!$B$1:$H$187,3,0),"")</f>
        <v/>
      </c>
      <c r="Q694" s="1034" t="str">
        <f>IFERROR(VLOOKUP(N694,Price_list!$B$1:$H$187,4,0),"")</f>
        <v/>
      </c>
      <c r="R694" s="1034" t="str">
        <f>IFERROR(VLOOKUP(N694,Price_list!$B$1:$H$187,5,0),"")</f>
        <v/>
      </c>
      <c r="S694" s="1698"/>
      <c r="T694" s="1034" t="str">
        <f>IFERROR(VLOOKUP(AE694,N685:P690,3,0),"")</f>
        <v/>
      </c>
      <c r="U694" s="1703">
        <f ca="1">SUM(U676:U693)</f>
        <v>16000</v>
      </c>
    </row>
    <row r="695" spans="1:21">
      <c r="K695" s="712" t="s">
        <v>238</v>
      </c>
      <c r="N695" s="1771" t="s">
        <v>3037</v>
      </c>
      <c r="O695" s="1742" t="s">
        <v>3006</v>
      </c>
      <c r="P695" s="1743"/>
      <c r="Q695" s="1772">
        <v>7.0000000000000007E-2</v>
      </c>
      <c r="R695" s="1773"/>
      <c r="S695" s="1773"/>
      <c r="T695" s="1773"/>
      <c r="U695" s="1774">
        <f ca="1">ROUND(U694*Q695,2)</f>
        <v>1120</v>
      </c>
    </row>
    <row r="696" spans="1:21" ht="16" thickBot="1">
      <c r="K696" s="712" t="s">
        <v>238</v>
      </c>
      <c r="N696" s="1049"/>
      <c r="O696" s="960"/>
      <c r="P696" s="960"/>
      <c r="Q696" s="960"/>
      <c r="R696" s="960"/>
      <c r="S696" s="960"/>
      <c r="T696" s="960"/>
      <c r="U696" s="62"/>
    </row>
    <row r="697" spans="1:21" ht="16" thickBot="1">
      <c r="K697" s="712" t="s">
        <v>238</v>
      </c>
      <c r="N697" s="1704" t="s">
        <v>3038</v>
      </c>
      <c r="O697" s="1761"/>
      <c r="P697" s="1761"/>
      <c r="Q697" s="1761"/>
      <c r="R697" s="1761"/>
      <c r="S697" s="1761"/>
      <c r="T697" s="1761"/>
      <c r="U697" s="1706">
        <f ca="1">U695+U694</f>
        <v>17120</v>
      </c>
    </row>
    <row r="698" spans="1:21">
      <c r="K698" s="712" t="s">
        <v>238</v>
      </c>
      <c r="N698" s="1049"/>
      <c r="O698" s="960"/>
      <c r="P698" s="960"/>
      <c r="Q698" s="960"/>
      <c r="R698" s="960"/>
      <c r="S698" s="960"/>
      <c r="T698" s="960"/>
      <c r="U698" s="62"/>
    </row>
    <row r="699" spans="1:21" ht="16" thickBot="1">
      <c r="K699" s="712" t="s">
        <v>238</v>
      </c>
      <c r="N699" s="1049"/>
      <c r="O699" s="960"/>
      <c r="P699" s="960"/>
      <c r="Q699" s="960"/>
      <c r="R699" s="960"/>
      <c r="S699" s="960"/>
      <c r="T699" s="960"/>
      <c r="U699" s="62"/>
    </row>
    <row r="700" spans="1:21" ht="16" thickBot="1">
      <c r="K700" s="712" t="s">
        <v>238</v>
      </c>
      <c r="N700" s="1049" t="s">
        <v>2171</v>
      </c>
      <c r="O700" s="960"/>
      <c r="P700" s="960"/>
      <c r="Q700" s="1500">
        <v>2021</v>
      </c>
      <c r="R700" s="1762">
        <v>2022</v>
      </c>
      <c r="S700" s="1762">
        <v>2023</v>
      </c>
      <c r="T700" s="1762">
        <v>2024</v>
      </c>
      <c r="U700" s="1763">
        <v>2025</v>
      </c>
    </row>
    <row r="701" spans="1:21" ht="16" thickBot="1">
      <c r="K701" s="712" t="s">
        <v>238</v>
      </c>
      <c r="N701" s="1764" t="s">
        <v>3043</v>
      </c>
      <c r="O701" s="1504"/>
      <c r="P701" s="1504"/>
      <c r="Q701" s="1713">
        <v>0</v>
      </c>
      <c r="R701" s="1713">
        <v>0</v>
      </c>
      <c r="S701" s="1713">
        <v>0</v>
      </c>
      <c r="T701" s="1713">
        <v>0</v>
      </c>
      <c r="U701" s="1765">
        <v>0</v>
      </c>
    </row>
    <row r="702" spans="1:21" ht="16" thickBot="1">
      <c r="A702" s="2157">
        <v>199</v>
      </c>
      <c r="B702" s="841">
        <f ca="1">Q702</f>
        <v>0</v>
      </c>
      <c r="C702" s="841">
        <f t="shared" ref="C702" ca="1" si="82">R702</f>
        <v>0</v>
      </c>
      <c r="D702" s="841">
        <f t="shared" ref="D702" ca="1" si="83">S702</f>
        <v>0</v>
      </c>
      <c r="E702" s="841">
        <f t="shared" ref="E702" ca="1" si="84">T702</f>
        <v>0</v>
      </c>
      <c r="F702" s="841">
        <f t="shared" ref="F702" ca="1" si="85">U702</f>
        <v>0</v>
      </c>
      <c r="G702" s="841" t="s">
        <v>351</v>
      </c>
      <c r="H702" s="841" t="s">
        <v>3520</v>
      </c>
      <c r="I702" s="2180" t="s">
        <v>3716</v>
      </c>
      <c r="J702" s="841" t="s">
        <v>2980</v>
      </c>
      <c r="K702" s="712" t="s">
        <v>238</v>
      </c>
      <c r="N702" s="1710" t="s">
        <v>3044</v>
      </c>
      <c r="O702" s="1732"/>
      <c r="P702" s="1708"/>
      <c r="Q702" s="1495">
        <f ca="1">U697*Q701</f>
        <v>0</v>
      </c>
      <c r="R702" s="1495">
        <f ca="1">U697*R701</f>
        <v>0</v>
      </c>
      <c r="S702" s="1495">
        <f ca="1">U697*S701</f>
        <v>0</v>
      </c>
      <c r="T702" s="1495">
        <f ca="1">U697*T701</f>
        <v>0</v>
      </c>
      <c r="U702" s="1495">
        <f ca="1">U697*U701</f>
        <v>0</v>
      </c>
    </row>
    <row r="703" spans="1:21">
      <c r="K703" s="712" t="s">
        <v>238</v>
      </c>
    </row>
    <row r="704" spans="1:21">
      <c r="K704" s="712" t="s">
        <v>238</v>
      </c>
    </row>
    <row r="705" spans="11:21">
      <c r="K705" s="712" t="s">
        <v>238</v>
      </c>
    </row>
    <row r="706" spans="11:21">
      <c r="K706" s="712" t="s">
        <v>238</v>
      </c>
    </row>
    <row r="707" spans="11:21">
      <c r="K707" s="712" t="s">
        <v>238</v>
      </c>
    </row>
    <row r="708" spans="11:21">
      <c r="K708" s="712" t="s">
        <v>238</v>
      </c>
      <c r="L708" s="1775" t="s">
        <v>2981</v>
      </c>
    </row>
    <row r="709" spans="11:21">
      <c r="K709" s="712" t="s">
        <v>238</v>
      </c>
    </row>
    <row r="710" spans="11:21">
      <c r="K710" s="712" t="s">
        <v>238</v>
      </c>
    </row>
    <row r="711" spans="11:21">
      <c r="K711" s="712" t="s">
        <v>238</v>
      </c>
      <c r="L711" s="1775" t="s">
        <v>3521</v>
      </c>
    </row>
    <row r="712" spans="11:21" ht="16" thickBot="1">
      <c r="K712" s="712" t="s">
        <v>238</v>
      </c>
    </row>
    <row r="713" spans="11:21" ht="32">
      <c r="K713" s="712" t="s">
        <v>238</v>
      </c>
      <c r="N713" s="1758" t="s">
        <v>2155</v>
      </c>
      <c r="O713" s="966"/>
      <c r="P713" s="966"/>
      <c r="Q713" s="966"/>
      <c r="R713" s="1759" t="s">
        <v>3060</v>
      </c>
      <c r="S713" s="966"/>
      <c r="T713" s="966"/>
      <c r="U713" s="967"/>
    </row>
    <row r="714" spans="11:21" ht="32">
      <c r="K714" s="712" t="s">
        <v>238</v>
      </c>
      <c r="N714" s="1760" t="s">
        <v>3054</v>
      </c>
      <c r="O714" s="1749"/>
      <c r="P714" s="1565"/>
      <c r="Q714" s="1750"/>
      <c r="R714" s="1383"/>
      <c r="S714" s="960"/>
      <c r="T714" s="960"/>
      <c r="U714" s="62"/>
    </row>
    <row r="715" spans="11:21" ht="32">
      <c r="K715" s="712" t="s">
        <v>238</v>
      </c>
      <c r="N715" s="1760" t="s">
        <v>3055</v>
      </c>
      <c r="O715" s="1749"/>
      <c r="P715" s="1565"/>
      <c r="Q715" s="1750">
        <v>2</v>
      </c>
      <c r="R715" s="1383">
        <v>10</v>
      </c>
      <c r="S715" s="960"/>
      <c r="T715" s="960"/>
      <c r="U715" s="62"/>
    </row>
    <row r="716" spans="11:21">
      <c r="K716" s="712" t="s">
        <v>238</v>
      </c>
      <c r="N716" s="1049"/>
      <c r="O716" s="960"/>
      <c r="P716" s="960"/>
      <c r="Q716" s="960"/>
      <c r="R716" s="960"/>
      <c r="S716" s="960"/>
      <c r="T716" s="960"/>
      <c r="U716" s="62"/>
    </row>
    <row r="717" spans="11:21">
      <c r="K717" s="712" t="s">
        <v>238</v>
      </c>
      <c r="N717" s="1049" t="s">
        <v>3059</v>
      </c>
      <c r="O717" s="960"/>
      <c r="P717" s="960"/>
      <c r="Q717" s="960"/>
      <c r="R717" s="960"/>
      <c r="S717" s="960"/>
      <c r="T717" s="960"/>
      <c r="U717" s="62"/>
    </row>
    <row r="718" spans="11:21" ht="32">
      <c r="K718" s="712" t="s">
        <v>238</v>
      </c>
      <c r="N718" s="1760" t="s">
        <v>3061</v>
      </c>
      <c r="O718" s="1749"/>
      <c r="P718" s="1565"/>
      <c r="Q718" s="1750"/>
      <c r="R718" s="1383"/>
      <c r="S718" s="960"/>
      <c r="T718" s="960"/>
      <c r="U718" s="62"/>
    </row>
    <row r="719" spans="11:21" ht="32">
      <c r="K719" s="712" t="s">
        <v>238</v>
      </c>
      <c r="N719" s="1760" t="s">
        <v>3062</v>
      </c>
      <c r="O719" s="1749"/>
      <c r="P719" s="1565"/>
      <c r="Q719" s="1750"/>
      <c r="R719" s="1383"/>
      <c r="S719" s="960"/>
      <c r="T719" s="960"/>
      <c r="U719" s="62"/>
    </row>
    <row r="720" spans="11:21">
      <c r="K720" s="712" t="s">
        <v>238</v>
      </c>
      <c r="N720" s="1049"/>
      <c r="O720" s="960"/>
      <c r="P720" s="960"/>
      <c r="Q720" s="960"/>
      <c r="R720" s="960"/>
      <c r="S720" s="960"/>
      <c r="T720" s="960"/>
      <c r="U720" s="62"/>
    </row>
    <row r="721" spans="1:21">
      <c r="K721" s="712" t="s">
        <v>238</v>
      </c>
      <c r="N721" s="1049"/>
      <c r="O721" s="960"/>
      <c r="P721" s="960"/>
      <c r="Q721" s="960"/>
      <c r="R721" s="960"/>
      <c r="S721" s="960"/>
      <c r="T721" s="960"/>
      <c r="U721" s="62"/>
    </row>
    <row r="722" spans="1:21" ht="16" thickBot="1">
      <c r="K722" s="712" t="s">
        <v>238</v>
      </c>
      <c r="N722" s="1049" t="s">
        <v>3058</v>
      </c>
      <c r="O722" s="960"/>
      <c r="P722" s="960"/>
      <c r="Q722" s="960"/>
      <c r="R722" s="960"/>
      <c r="S722" s="960"/>
      <c r="T722" s="960"/>
      <c r="U722" s="62"/>
    </row>
    <row r="723" spans="1:21" ht="32">
      <c r="K723" s="712" t="s">
        <v>238</v>
      </c>
      <c r="N723" s="1699" t="s">
        <v>3033</v>
      </c>
      <c r="O723" s="1700" t="s">
        <v>3034</v>
      </c>
      <c r="P723" s="1702" t="s">
        <v>3040</v>
      </c>
      <c r="Q723" s="1702" t="s">
        <v>3041</v>
      </c>
      <c r="R723" s="1702" t="s">
        <v>3042</v>
      </c>
      <c r="S723" s="1700" t="s">
        <v>3035</v>
      </c>
      <c r="T723" s="1702" t="s">
        <v>3067</v>
      </c>
      <c r="U723" s="1701" t="s">
        <v>2189</v>
      </c>
    </row>
    <row r="724" spans="1:21">
      <c r="K724" s="712" t="s">
        <v>238</v>
      </c>
      <c r="N724" s="1539" t="s">
        <v>3051</v>
      </c>
      <c r="O724" s="958" t="str">
        <f>IFERROR(VLOOKUP(N724,Price_list!$B$1:$H$187,2,0),"")</f>
        <v>International Consultancy fee (3.1)</v>
      </c>
      <c r="P724" s="958" t="str">
        <f>IFERROR(VLOOKUP(N724,Price_list!$B$1:$H$187,3,0),"")</f>
        <v>cost/zi</v>
      </c>
      <c r="Q724" s="946">
        <f>IFERROR(VLOOKUP(N724,Price_list!$B$1:$H$187,4,0),"")</f>
        <v>350</v>
      </c>
      <c r="R724" s="946" t="str">
        <f>IFERROR(VLOOKUP(N724,Price_list!$B$1:$H$187,5,0),"")</f>
        <v>EUR</v>
      </c>
      <c r="S724" s="958">
        <f t="shared" ref="S724:S730" ca="1" si="86">ROUND(IFERROR(IF(R724="MDL",Q724,Q724*INDIRECT(R724)),0),2)</f>
        <v>6868.65</v>
      </c>
      <c r="T724" s="946">
        <f>Q714*R714</f>
        <v>0</v>
      </c>
      <c r="U724" s="1889">
        <f ca="1">T724*S724</f>
        <v>0</v>
      </c>
    </row>
    <row r="725" spans="1:21">
      <c r="K725" s="712" t="s">
        <v>238</v>
      </c>
      <c r="N725" s="1539" t="s">
        <v>3050</v>
      </c>
      <c r="O725" s="958" t="str">
        <f>IFERROR(VLOOKUP(N725,Price_list!$B$1:$H$187,2,0),"")</f>
        <v>National Consultancy fee (3.1)</v>
      </c>
      <c r="P725" s="958" t="str">
        <f>IFERROR(VLOOKUP(N725,Price_list!$B$1:$H$187,3,0),"")</f>
        <v>cost/zi</v>
      </c>
      <c r="Q725" s="946">
        <f>IFERROR(VLOOKUP(N725,Price_list!$B$1:$H$187,4,0),"")</f>
        <v>2000</v>
      </c>
      <c r="R725" s="946" t="str">
        <f>IFERROR(VLOOKUP(N725,Price_list!$B$1:$H$187,5,0),"")</f>
        <v>MDL</v>
      </c>
      <c r="S725" s="958">
        <f t="shared" ca="1" si="86"/>
        <v>2000</v>
      </c>
      <c r="T725" s="946">
        <f>Q715*R715</f>
        <v>20</v>
      </c>
      <c r="U725" s="1889">
        <f ca="1">T725*S725</f>
        <v>40000</v>
      </c>
    </row>
    <row r="726" spans="1:21">
      <c r="K726" s="712" t="s">
        <v>238</v>
      </c>
      <c r="N726" s="1539" t="s">
        <v>3063</v>
      </c>
      <c r="O726" s="958" t="str">
        <f>IFERROR(VLOOKUP(N726,Price_list!$B$1:$H$187,2,0),"")</f>
        <v>Translation per page</v>
      </c>
      <c r="P726" s="958" t="str">
        <f>IFERROR(VLOOKUP(N726,Price_list!$B$1:$H$187,3,0),"")</f>
        <v>pagina</v>
      </c>
      <c r="Q726" s="946">
        <f>IFERROR(VLOOKUP(N726,Price_list!$B$1:$H$187,4,0),"")</f>
        <v>150</v>
      </c>
      <c r="R726" s="946" t="str">
        <f>IFERROR(VLOOKUP(N726,Price_list!$B$1:$H$187,5,0),"")</f>
        <v>MDL</v>
      </c>
      <c r="S726" s="958">
        <f t="shared" ca="1" si="86"/>
        <v>150</v>
      </c>
      <c r="T726" s="946">
        <f>Q718</f>
        <v>0</v>
      </c>
      <c r="U726" s="1889">
        <f t="shared" ref="U726:U729" ca="1" si="87">T726*S726</f>
        <v>0</v>
      </c>
    </row>
    <row r="727" spans="1:21">
      <c r="K727" s="712" t="s">
        <v>238</v>
      </c>
      <c r="N727" s="1539" t="s">
        <v>3068</v>
      </c>
      <c r="O727" s="958" t="str">
        <f>IFERROR(VLOOKUP(N727,Price_list!$B$1:$H$187,2,0),"")</f>
        <v xml:space="preserve">Formatting, design, printing </v>
      </c>
      <c r="P727" s="958" t="str">
        <f>IFERROR(VLOOKUP(N727,Price_list!$B$1:$H$187,3,0),"")</f>
        <v>pagina</v>
      </c>
      <c r="Q727" s="946">
        <f>IFERROR(VLOOKUP(N727,Price_list!$B$1:$H$187,4,0),"")</f>
        <v>2</v>
      </c>
      <c r="R727" s="946" t="str">
        <f>IFERROR(VLOOKUP(N727,Price_list!$B$1:$H$187,5,0),"")</f>
        <v>MDL</v>
      </c>
      <c r="S727" s="958">
        <f t="shared" ca="1" si="86"/>
        <v>2</v>
      </c>
      <c r="T727" s="946">
        <f>Q718*Q719</f>
        <v>0</v>
      </c>
      <c r="U727" s="1889">
        <f t="shared" ca="1" si="87"/>
        <v>0</v>
      </c>
    </row>
    <row r="728" spans="1:21">
      <c r="K728" s="712" t="s">
        <v>238</v>
      </c>
      <c r="N728" s="1539"/>
      <c r="O728" s="958" t="str">
        <f>IFERROR(VLOOKUP(N728,Price_list!$B$1:$H$187,2,0),"")</f>
        <v/>
      </c>
      <c r="P728" s="958" t="str">
        <f>IFERROR(VLOOKUP(N728,Price_list!$B$1:$H$187,3,0),"")</f>
        <v/>
      </c>
      <c r="Q728" s="946" t="str">
        <f>IFERROR(VLOOKUP(N728,Price_list!$B$1:$H$187,4,0),"")</f>
        <v/>
      </c>
      <c r="R728" s="946" t="str">
        <f>IFERROR(VLOOKUP(N728,Price_list!$B$1:$H$187,5,0),"")</f>
        <v/>
      </c>
      <c r="S728" s="958">
        <f t="shared" ca="1" si="86"/>
        <v>0</v>
      </c>
      <c r="T728" s="946"/>
      <c r="U728" s="1889">
        <f t="shared" ca="1" si="87"/>
        <v>0</v>
      </c>
    </row>
    <row r="729" spans="1:21">
      <c r="K729" s="712" t="s">
        <v>238</v>
      </c>
      <c r="N729" s="1539"/>
      <c r="O729" s="958" t="str">
        <f>IFERROR(VLOOKUP(N729,Price_list!$B$1:$H$187,2,0),"")</f>
        <v/>
      </c>
      <c r="P729" s="958" t="str">
        <f>IFERROR(VLOOKUP(N729,Price_list!$B$1:$H$187,3,0),"")</f>
        <v/>
      </c>
      <c r="Q729" s="946" t="str">
        <f>IFERROR(VLOOKUP(N729,Price_list!$B$1:$H$187,4,0),"")</f>
        <v/>
      </c>
      <c r="R729" s="946" t="str">
        <f>IFERROR(VLOOKUP(N729,Price_list!$B$1:$H$187,5,0),"")</f>
        <v/>
      </c>
      <c r="S729" s="958">
        <f t="shared" ca="1" si="86"/>
        <v>0</v>
      </c>
      <c r="T729" s="946"/>
      <c r="U729" s="1889">
        <f t="shared" ca="1" si="87"/>
        <v>0</v>
      </c>
    </row>
    <row r="730" spans="1:21" ht="16" thickBot="1">
      <c r="K730" s="712" t="s">
        <v>238</v>
      </c>
      <c r="N730" s="1539"/>
      <c r="O730" s="958" t="str">
        <f>IFERROR(VLOOKUP(N730,Price_list!$B$1:$H$187,2,0),"")</f>
        <v/>
      </c>
      <c r="P730" s="958" t="str">
        <f>IFERROR(VLOOKUP(N730,Price_list!$B$1:$H$187,3,0),"")</f>
        <v/>
      </c>
      <c r="Q730" s="946" t="str">
        <f>IFERROR(VLOOKUP(N730,Price_list!$B$1:$H$187,4,0),"")</f>
        <v/>
      </c>
      <c r="R730" s="946" t="str">
        <f>IFERROR(VLOOKUP(N730,Price_list!$B$1:$H$187,5,0),"")</f>
        <v/>
      </c>
      <c r="S730" s="958">
        <f t="shared" ca="1" si="86"/>
        <v>0</v>
      </c>
      <c r="T730" s="946"/>
      <c r="U730" s="1889">
        <f ca="1">T730*S730</f>
        <v>0</v>
      </c>
    </row>
    <row r="731" spans="1:21" ht="16" thickBot="1">
      <c r="K731" s="712" t="s">
        <v>238</v>
      </c>
      <c r="N731" s="1704"/>
      <c r="O731" s="1761"/>
      <c r="P731" s="1761"/>
      <c r="Q731" s="1761"/>
      <c r="R731" s="1761"/>
      <c r="S731" s="1761"/>
      <c r="T731" s="1761"/>
      <c r="U731" s="1706">
        <f ca="1">SUM(U724:U730)</f>
        <v>40000</v>
      </c>
    </row>
    <row r="732" spans="1:21">
      <c r="K732" s="712" t="s">
        <v>238</v>
      </c>
      <c r="N732" s="1049"/>
      <c r="O732" s="960"/>
      <c r="P732" s="960"/>
      <c r="Q732" s="960"/>
      <c r="R732" s="960"/>
      <c r="S732" s="960"/>
      <c r="T732" s="960"/>
      <c r="U732" s="62"/>
    </row>
    <row r="733" spans="1:21" ht="16" thickBot="1">
      <c r="K733" s="712" t="s">
        <v>238</v>
      </c>
      <c r="N733" s="1049"/>
      <c r="O733" s="960"/>
      <c r="P733" s="960"/>
      <c r="Q733" s="960"/>
      <c r="R733" s="960"/>
      <c r="S733" s="960"/>
      <c r="T733" s="960"/>
      <c r="U733" s="62"/>
    </row>
    <row r="734" spans="1:21" ht="16" thickBot="1">
      <c r="K734" s="712" t="s">
        <v>238</v>
      </c>
      <c r="N734" s="1049" t="s">
        <v>2171</v>
      </c>
      <c r="O734" s="960"/>
      <c r="P734" s="960"/>
      <c r="Q734" s="1500">
        <v>2021</v>
      </c>
      <c r="R734" s="1762">
        <v>2022</v>
      </c>
      <c r="S734" s="1762">
        <v>2023</v>
      </c>
      <c r="T734" s="1762">
        <v>2024</v>
      </c>
      <c r="U734" s="1763">
        <v>2025</v>
      </c>
    </row>
    <row r="735" spans="1:21" ht="16" thickBot="1">
      <c r="K735" s="712" t="s">
        <v>238</v>
      </c>
      <c r="N735" s="1764"/>
      <c r="O735" s="1504"/>
      <c r="P735" s="1504"/>
      <c r="Q735" s="1713">
        <v>1</v>
      </c>
      <c r="R735" s="1713">
        <v>0</v>
      </c>
      <c r="S735" s="1713">
        <v>0</v>
      </c>
      <c r="T735" s="1713">
        <v>0</v>
      </c>
      <c r="U735" s="1765">
        <v>0</v>
      </c>
    </row>
    <row r="736" spans="1:21" ht="16" thickBot="1">
      <c r="A736" s="2157">
        <v>201</v>
      </c>
      <c r="B736" s="841">
        <f ca="1">Q736</f>
        <v>40000</v>
      </c>
      <c r="C736" s="841">
        <f t="shared" ref="C736" ca="1" si="88">R736</f>
        <v>0</v>
      </c>
      <c r="D736" s="841">
        <f t="shared" ref="D736" ca="1" si="89">S736</f>
        <v>0</v>
      </c>
      <c r="E736" s="841">
        <f t="shared" ref="E736" ca="1" si="90">T736</f>
        <v>0</v>
      </c>
      <c r="F736" s="841">
        <f t="shared" ref="F736" ca="1" si="91">U736</f>
        <v>0</v>
      </c>
      <c r="G736" s="841" t="s">
        <v>351</v>
      </c>
      <c r="H736" s="841" t="s">
        <v>3521</v>
      </c>
      <c r="I736" s="2180" t="s">
        <v>3716</v>
      </c>
      <c r="J736" s="841" t="s">
        <v>2981</v>
      </c>
      <c r="K736" s="712" t="s">
        <v>238</v>
      </c>
      <c r="N736" s="1710" t="s">
        <v>3044</v>
      </c>
      <c r="O736" s="1732"/>
      <c r="P736" s="1708"/>
      <c r="Q736" s="1495">
        <f ca="1">U731*Q735</f>
        <v>40000</v>
      </c>
      <c r="R736" s="1495">
        <f ca="1">U731*R735</f>
        <v>0</v>
      </c>
      <c r="S736" s="1495">
        <f ca="1">U731*S735</f>
        <v>0</v>
      </c>
      <c r="T736" s="1495">
        <f ca="1">U731*T735</f>
        <v>0</v>
      </c>
      <c r="U736" s="1495">
        <f ca="1">U731*U735</f>
        <v>0</v>
      </c>
    </row>
    <row r="737" spans="1:21">
      <c r="K737" s="712" t="s">
        <v>238</v>
      </c>
    </row>
    <row r="738" spans="1:21">
      <c r="K738" s="712" t="s">
        <v>238</v>
      </c>
    </row>
    <row r="739" spans="1:21">
      <c r="K739" s="712" t="s">
        <v>238</v>
      </c>
    </row>
    <row r="740" spans="1:21">
      <c r="K740" s="712" t="s">
        <v>238</v>
      </c>
      <c r="L740" s="1775" t="s">
        <v>2983</v>
      </c>
    </row>
    <row r="741" spans="1:21">
      <c r="K741" s="712" t="s">
        <v>238</v>
      </c>
    </row>
    <row r="742" spans="1:21">
      <c r="K742" s="712" t="s">
        <v>238</v>
      </c>
      <c r="L742" s="1775" t="s">
        <v>3522</v>
      </c>
    </row>
    <row r="743" spans="1:21">
      <c r="K743" s="712" t="s">
        <v>238</v>
      </c>
      <c r="O743" s="1270" t="s">
        <v>3994</v>
      </c>
    </row>
    <row r="744" spans="1:21" s="1808" customFormat="1">
      <c r="A744" s="960"/>
      <c r="B744" s="960"/>
      <c r="C744" s="960"/>
      <c r="D744" s="960"/>
      <c r="E744" s="960"/>
      <c r="F744" s="960"/>
      <c r="G744" s="960"/>
      <c r="H744" s="960"/>
      <c r="I744" s="2164"/>
      <c r="J744" s="960"/>
      <c r="K744" s="712" t="s">
        <v>238</v>
      </c>
      <c r="L744" s="1775"/>
      <c r="N744" s="958" t="s">
        <v>3563</v>
      </c>
      <c r="O744" s="958">
        <v>7500</v>
      </c>
      <c r="P744"/>
    </row>
    <row r="745" spans="1:21" s="1808" customFormat="1">
      <c r="A745" s="960"/>
      <c r="B745" s="960"/>
      <c r="C745" s="960"/>
      <c r="D745" s="960"/>
      <c r="E745" s="960"/>
      <c r="F745" s="960"/>
      <c r="G745" s="960"/>
      <c r="H745" s="960"/>
      <c r="I745" s="2164"/>
      <c r="J745" s="960"/>
      <c r="K745" s="712" t="s">
        <v>238</v>
      </c>
      <c r="L745" s="1775"/>
      <c r="N745" s="1496" t="s">
        <v>3566</v>
      </c>
      <c r="O745" s="958">
        <v>2</v>
      </c>
      <c r="P745"/>
    </row>
    <row r="746" spans="1:21" s="1808" customFormat="1" ht="16" thickBot="1">
      <c r="A746" s="960"/>
      <c r="B746" s="960"/>
      <c r="C746" s="960"/>
      <c r="D746" s="960"/>
      <c r="E746" s="960"/>
      <c r="F746" s="960"/>
      <c r="G746" s="960"/>
      <c r="H746" s="960"/>
      <c r="I746" s="2164"/>
      <c r="J746" s="960"/>
      <c r="K746" s="712" t="s">
        <v>238</v>
      </c>
      <c r="L746" s="1775"/>
      <c r="N746"/>
      <c r="O746"/>
      <c r="P746"/>
    </row>
    <row r="747" spans="1:21" s="1808" customFormat="1" ht="16" thickBot="1">
      <c r="A747" s="960"/>
      <c r="B747" s="960"/>
      <c r="C747" s="960"/>
      <c r="D747" s="960"/>
      <c r="E747" s="960"/>
      <c r="F747" s="960"/>
      <c r="G747" s="960"/>
      <c r="H747" s="960"/>
      <c r="I747" s="2164"/>
      <c r="J747" s="960"/>
      <c r="K747" s="712" t="s">
        <v>238</v>
      </c>
      <c r="L747" s="1775"/>
      <c r="N747" s="2657" t="s">
        <v>2858</v>
      </c>
      <c r="O747" s="2658"/>
      <c r="P747" s="2658"/>
      <c r="Q747" s="2658"/>
      <c r="R747" s="2658"/>
      <c r="S747" s="2659"/>
    </row>
    <row r="748" spans="1:21" s="1808" customFormat="1" ht="32">
      <c r="A748" s="960"/>
      <c r="B748" s="960"/>
      <c r="C748" s="960"/>
      <c r="D748" s="960"/>
      <c r="E748" s="960"/>
      <c r="F748" s="960"/>
      <c r="G748" s="960"/>
      <c r="H748" s="960"/>
      <c r="I748" s="2164"/>
      <c r="J748" s="960"/>
      <c r="K748" s="712" t="s">
        <v>238</v>
      </c>
      <c r="L748" s="1775"/>
      <c r="N748" s="1699" t="s">
        <v>3033</v>
      </c>
      <c r="O748" s="1700" t="s">
        <v>3034</v>
      </c>
      <c r="P748" s="1702" t="s">
        <v>3040</v>
      </c>
      <c r="Q748" s="1702" t="s">
        <v>3041</v>
      </c>
      <c r="R748" s="1702" t="s">
        <v>3042</v>
      </c>
      <c r="S748" s="1700" t="s">
        <v>3035</v>
      </c>
      <c r="T748" s="1702" t="s">
        <v>3067</v>
      </c>
      <c r="U748" s="1701" t="s">
        <v>2189</v>
      </c>
    </row>
    <row r="749" spans="1:21" s="1808" customFormat="1">
      <c r="A749" s="960"/>
      <c r="B749" s="960"/>
      <c r="C749" s="960"/>
      <c r="D749" s="960"/>
      <c r="E749" s="960"/>
      <c r="F749" s="960"/>
      <c r="G749" s="960"/>
      <c r="H749" s="960"/>
      <c r="I749" s="2164"/>
      <c r="J749" s="960"/>
      <c r="K749" s="712" t="s">
        <v>238</v>
      </c>
      <c r="L749" s="1775"/>
      <c r="N749" s="1539" t="s">
        <v>3063</v>
      </c>
      <c r="O749" s="958" t="str">
        <f>IFERROR(VLOOKUP(N749,Price_list!$B$1:$H$187,2,0),"")</f>
        <v>Translation per page</v>
      </c>
      <c r="P749" s="958" t="str">
        <f>IFERROR(VLOOKUP(N749,Price_list!$B$1:$H$187,3,0),"")</f>
        <v>pagina</v>
      </c>
      <c r="Q749" s="946">
        <f>IFERROR(VLOOKUP(N749,Price_list!$B$1:$H$187,4,0),"")</f>
        <v>150</v>
      </c>
      <c r="R749" s="946" t="str">
        <f>IFERROR(VLOOKUP(N749,Price_list!$B$1:$H$187,5,0),"")</f>
        <v>MDL</v>
      </c>
      <c r="S749" s="958">
        <f t="shared" ref="S749:S753" ca="1" si="92">ROUND(IFERROR(IF(R749="MDL",Q749,Q749*INDIRECT(R749)),0),2)</f>
        <v>150</v>
      </c>
      <c r="T749" s="946">
        <f>O745</f>
        <v>2</v>
      </c>
      <c r="U749" s="2012">
        <f ca="1">T749*S749</f>
        <v>300</v>
      </c>
    </row>
    <row r="750" spans="1:21" s="1808" customFormat="1">
      <c r="A750" s="960"/>
      <c r="B750" s="960"/>
      <c r="C750" s="960"/>
      <c r="D750" s="960"/>
      <c r="E750" s="960"/>
      <c r="F750" s="960"/>
      <c r="G750" s="960"/>
      <c r="H750" s="960"/>
      <c r="I750" s="2164"/>
      <c r="J750" s="960"/>
      <c r="K750" s="712" t="s">
        <v>238</v>
      </c>
      <c r="L750" s="1775"/>
      <c r="N750" s="1539" t="s">
        <v>3063</v>
      </c>
      <c r="O750" s="958" t="str">
        <f>IFERROR(VLOOKUP(N750,Price_list!$B$1:$H$187,2,0),"")</f>
        <v>Translation per page</v>
      </c>
      <c r="P750" s="958" t="str">
        <f>IFERROR(VLOOKUP(N750,Price_list!$B$1:$H$187,3,0),"")</f>
        <v>pagina</v>
      </c>
      <c r="Q750" s="946">
        <f>IFERROR(VLOOKUP(N750,Price_list!$B$1:$H$187,4,0),"")</f>
        <v>150</v>
      </c>
      <c r="R750" s="946" t="str">
        <f>IFERROR(VLOOKUP(N750,Price_list!$B$1:$H$187,5,0),"")</f>
        <v>MDL</v>
      </c>
      <c r="S750" s="958">
        <f t="shared" ref="S750" ca="1" si="93">ROUND(IFERROR(IF(R750="MDL",Q750,Q750*INDIRECT(R750)),0),2)</f>
        <v>150</v>
      </c>
      <c r="T750" s="946">
        <f>O745</f>
        <v>2</v>
      </c>
      <c r="U750" s="2012">
        <f ca="1">T750*S750</f>
        <v>300</v>
      </c>
    </row>
    <row r="751" spans="1:21" s="431" customFormat="1">
      <c r="A751" s="1544"/>
      <c r="B751" s="1544"/>
      <c r="C751" s="1544"/>
      <c r="D751" s="1544"/>
      <c r="E751" s="1544"/>
      <c r="F751" s="1544"/>
      <c r="G751" s="1544"/>
      <c r="H751" s="1544"/>
      <c r="I751" s="2189"/>
      <c r="J751" s="1544"/>
      <c r="K751" s="712" t="s">
        <v>238</v>
      </c>
      <c r="L751" s="1775"/>
      <c r="N751" s="1561" t="s">
        <v>1887</v>
      </c>
      <c r="O751" s="1693"/>
      <c r="P751" s="1693"/>
      <c r="Q751" s="1499"/>
      <c r="R751" s="1499"/>
      <c r="S751" s="1693"/>
      <c r="T751" s="1499"/>
      <c r="U751" s="2024">
        <f ca="1">SUM(U749:U750)</f>
        <v>600</v>
      </c>
    </row>
    <row r="752" spans="1:21" s="1808" customFormat="1">
      <c r="A752" s="960"/>
      <c r="B752" s="960"/>
      <c r="C752" s="960"/>
      <c r="D752" s="960"/>
      <c r="E752" s="960"/>
      <c r="F752" s="960"/>
      <c r="G752" s="960"/>
      <c r="H752" s="960"/>
      <c r="I752" s="2164"/>
      <c r="J752" s="960"/>
      <c r="K752" s="712" t="s">
        <v>238</v>
      </c>
      <c r="L752" s="1775"/>
      <c r="N752" s="1561"/>
      <c r="O752" s="958"/>
      <c r="P752" s="958"/>
      <c r="Q752" s="946"/>
      <c r="R752" s="946"/>
      <c r="S752" s="958"/>
      <c r="T752" s="946"/>
      <c r="U752" s="2012"/>
    </row>
    <row r="753" spans="1:22" s="1808" customFormat="1">
      <c r="A753" s="960"/>
      <c r="B753" s="960"/>
      <c r="C753" s="960"/>
      <c r="D753" s="960"/>
      <c r="E753" s="960"/>
      <c r="F753" s="960"/>
      <c r="G753" s="960"/>
      <c r="H753" s="960"/>
      <c r="I753" s="2164"/>
      <c r="J753" s="960"/>
      <c r="K753" s="712" t="s">
        <v>238</v>
      </c>
      <c r="L753" s="1775"/>
      <c r="N753" s="1539" t="s">
        <v>3068</v>
      </c>
      <c r="O753" s="958" t="str">
        <f>IFERROR(VLOOKUP(N753,Price_list!$B$1:$H$187,2,0),"")</f>
        <v xml:space="preserve">Formatting, design, printing </v>
      </c>
      <c r="P753" s="958" t="str">
        <f>IFERROR(VLOOKUP(N753,Price_list!$B$1:$H$187,3,0),"")</f>
        <v>pagina</v>
      </c>
      <c r="Q753" s="946">
        <f>IFERROR(VLOOKUP(N753,Price_list!$B$1:$H$187,4,0),"")</f>
        <v>2</v>
      </c>
      <c r="R753" s="946" t="str">
        <f>IFERROR(VLOOKUP(N753,Price_list!$B$1:$H$187,5,0),"")</f>
        <v>MDL</v>
      </c>
      <c r="S753" s="958">
        <f t="shared" ca="1" si="92"/>
        <v>2</v>
      </c>
      <c r="T753" s="1310">
        <f>T749*O744</f>
        <v>15000</v>
      </c>
      <c r="U753" s="2012">
        <f ca="1">T753*S753</f>
        <v>30000</v>
      </c>
    </row>
    <row r="754" spans="1:22" s="431" customFormat="1">
      <c r="A754" s="1544"/>
      <c r="B754" s="1544"/>
      <c r="C754" s="1544"/>
      <c r="D754" s="1544"/>
      <c r="E754" s="1544"/>
      <c r="F754" s="1544"/>
      <c r="G754" s="1544"/>
      <c r="H754" s="1544"/>
      <c r="I754" s="2189"/>
      <c r="J754" s="1544"/>
      <c r="K754" s="712" t="s">
        <v>238</v>
      </c>
      <c r="N754" s="1561"/>
    </row>
    <row r="755" spans="1:22" s="1808" customFormat="1">
      <c r="A755" s="960"/>
      <c r="B755" s="960"/>
      <c r="C755" s="960"/>
      <c r="D755" s="960"/>
      <c r="E755" s="960"/>
      <c r="F755" s="960"/>
      <c r="G755" s="960"/>
      <c r="H755" s="960"/>
      <c r="I755" s="2164"/>
      <c r="J755" s="960"/>
      <c r="K755" s="712" t="s">
        <v>238</v>
      </c>
      <c r="L755" s="1775"/>
      <c r="P755"/>
      <c r="Q755" s="1025"/>
      <c r="R755" s="1025"/>
      <c r="S755"/>
      <c r="T755"/>
    </row>
    <row r="756" spans="1:22" s="1808" customFormat="1">
      <c r="A756" s="960"/>
      <c r="B756" s="960"/>
      <c r="C756" s="960"/>
      <c r="D756" s="960"/>
      <c r="E756" s="960"/>
      <c r="F756" s="960"/>
      <c r="G756" s="960"/>
      <c r="H756" s="960"/>
      <c r="I756" s="2164"/>
      <c r="J756" s="960"/>
      <c r="K756" s="712" t="s">
        <v>238</v>
      </c>
      <c r="L756" s="1775"/>
      <c r="P756"/>
      <c r="S756"/>
      <c r="T756"/>
      <c r="V756" s="2020"/>
    </row>
    <row r="757" spans="1:22" s="1808" customFormat="1">
      <c r="A757" s="960"/>
      <c r="B757" s="960"/>
      <c r="C757" s="960"/>
      <c r="D757" s="960"/>
      <c r="E757" s="960"/>
      <c r="F757" s="960"/>
      <c r="G757" s="960"/>
      <c r="H757" s="960"/>
      <c r="I757" s="2164"/>
      <c r="J757" s="960"/>
      <c r="K757" s="712" t="s">
        <v>238</v>
      </c>
      <c r="L757" s="1775"/>
      <c r="N757"/>
      <c r="O757"/>
      <c r="P757"/>
      <c r="S757"/>
      <c r="T757"/>
      <c r="V757" s="2020"/>
    </row>
    <row r="758" spans="1:22" s="1808" customFormat="1" ht="16" thickBot="1">
      <c r="A758" s="960"/>
      <c r="B758" s="960"/>
      <c r="C758" s="960"/>
      <c r="D758" s="960"/>
      <c r="E758" s="960"/>
      <c r="F758" s="960"/>
      <c r="G758" s="960"/>
      <c r="H758" s="960"/>
      <c r="I758" s="2164"/>
      <c r="J758" s="960"/>
      <c r="K758" s="712" t="s">
        <v>238</v>
      </c>
      <c r="L758" s="1775"/>
      <c r="N758"/>
      <c r="O758"/>
      <c r="P758"/>
      <c r="S758"/>
      <c r="T758"/>
      <c r="V758" s="2020"/>
    </row>
    <row r="759" spans="1:22" s="1808" customFormat="1" ht="16" thickBot="1">
      <c r="A759" s="960"/>
      <c r="B759" s="960"/>
      <c r="C759" s="960"/>
      <c r="D759" s="960"/>
      <c r="E759" s="960"/>
      <c r="F759" s="960"/>
      <c r="G759" s="960"/>
      <c r="H759" s="960"/>
      <c r="I759" s="2164"/>
      <c r="J759" s="960"/>
      <c r="K759" s="712" t="s">
        <v>238</v>
      </c>
      <c r="L759" s="1775"/>
      <c r="N759" s="1049" t="s">
        <v>2171</v>
      </c>
      <c r="O759" s="960"/>
      <c r="P759" s="960" t="s">
        <v>3378</v>
      </c>
      <c r="Q759" s="1500">
        <v>2021</v>
      </c>
      <c r="R759" s="1762">
        <v>2022</v>
      </c>
      <c r="S759" s="1762">
        <v>2023</v>
      </c>
      <c r="T759" s="1762">
        <v>2024</v>
      </c>
      <c r="U759" s="1763">
        <v>2025</v>
      </c>
      <c r="V759" s="2020"/>
    </row>
    <row r="760" spans="1:22" s="1808" customFormat="1">
      <c r="A760" s="960"/>
      <c r="B760" s="960"/>
      <c r="C760" s="960"/>
      <c r="D760" s="960"/>
      <c r="E760" s="960"/>
      <c r="F760" s="960"/>
      <c r="G760" s="960"/>
      <c r="H760" s="960"/>
      <c r="I760" s="2164"/>
      <c r="J760" s="960"/>
      <c r="K760" s="712" t="s">
        <v>238</v>
      </c>
      <c r="L760" s="1775"/>
      <c r="N760" s="1764" t="s">
        <v>3564</v>
      </c>
      <c r="O760" s="1504"/>
      <c r="P760" s="1504">
        <f ca="1">U751</f>
        <v>600</v>
      </c>
      <c r="Q760" s="1713">
        <v>0</v>
      </c>
      <c r="R760" s="1713">
        <v>0</v>
      </c>
      <c r="S760" s="1713">
        <v>0</v>
      </c>
      <c r="T760" s="1713">
        <v>0</v>
      </c>
      <c r="U760" s="1765">
        <v>0</v>
      </c>
      <c r="V760" s="2020"/>
    </row>
    <row r="761" spans="1:22" s="1808" customFormat="1" ht="16" thickBot="1">
      <c r="A761" s="960"/>
      <c r="B761" s="960"/>
      <c r="C761" s="960"/>
      <c r="D761" s="960"/>
      <c r="E761" s="960"/>
      <c r="F761" s="960"/>
      <c r="G761" s="960"/>
      <c r="H761" s="960"/>
      <c r="I761" s="2164"/>
      <c r="J761" s="960"/>
      <c r="K761" s="712" t="s">
        <v>238</v>
      </c>
      <c r="L761" s="1775"/>
      <c r="N761" s="1049" t="s">
        <v>3565</v>
      </c>
      <c r="O761" s="1025"/>
      <c r="P761" s="1025">
        <f ca="1">U753</f>
        <v>30000</v>
      </c>
      <c r="Q761" s="1839">
        <v>0</v>
      </c>
      <c r="R761" s="1839"/>
      <c r="S761" s="1839"/>
      <c r="T761" s="1839"/>
      <c r="U761" s="2023"/>
      <c r="V761" s="2020"/>
    </row>
    <row r="762" spans="1:22" s="1808" customFormat="1" ht="16" thickBot="1">
      <c r="A762" s="2157">
        <v>202</v>
      </c>
      <c r="B762" s="841">
        <f ca="1">Q762</f>
        <v>0</v>
      </c>
      <c r="C762" s="841">
        <f ca="1">R762</f>
        <v>0</v>
      </c>
      <c r="D762" s="841">
        <f ca="1">S762</f>
        <v>0</v>
      </c>
      <c r="E762" s="841">
        <f ca="1">T762</f>
        <v>0</v>
      </c>
      <c r="F762" s="841">
        <f ca="1">U762</f>
        <v>0</v>
      </c>
      <c r="G762" s="841" t="s">
        <v>351</v>
      </c>
      <c r="H762" s="841" t="s">
        <v>3522</v>
      </c>
      <c r="I762" s="2180" t="s">
        <v>3716</v>
      </c>
      <c r="J762" s="841" t="s">
        <v>2983</v>
      </c>
      <c r="K762" s="712" t="s">
        <v>238</v>
      </c>
      <c r="L762" s="1775"/>
      <c r="N762" s="1710" t="s">
        <v>3044</v>
      </c>
      <c r="O762" s="1732"/>
      <c r="P762" s="1708">
        <f>U754</f>
        <v>0</v>
      </c>
      <c r="Q762" s="1495">
        <f ca="1">$P761*Q761+$P760*Q760</f>
        <v>0</v>
      </c>
      <c r="R762" s="1495">
        <f t="shared" ref="R762:U762" ca="1" si="94">$P761*R761+$P760*R760</f>
        <v>0</v>
      </c>
      <c r="S762" s="1495">
        <f t="shared" ca="1" si="94"/>
        <v>0</v>
      </c>
      <c r="T762" s="1495">
        <f t="shared" ca="1" si="94"/>
        <v>0</v>
      </c>
      <c r="U762" s="1495">
        <f t="shared" ca="1" si="94"/>
        <v>0</v>
      </c>
      <c r="V762" s="2020"/>
    </row>
    <row r="763" spans="1:22" s="1808" customFormat="1" ht="19">
      <c r="A763" s="960"/>
      <c r="B763" s="960"/>
      <c r="C763" s="960"/>
      <c r="D763" s="960"/>
      <c r="E763" s="960"/>
      <c r="F763" s="960"/>
      <c r="G763" s="960"/>
      <c r="H763" s="960"/>
      <c r="I763" s="2164"/>
      <c r="J763" s="960"/>
      <c r="K763" s="712" t="s">
        <v>238</v>
      </c>
      <c r="L763" s="1879"/>
      <c r="N763" s="2021"/>
      <c r="O763" s="2022"/>
      <c r="T763"/>
      <c r="V763" s="2020"/>
    </row>
    <row r="764" spans="1:22" s="1808" customFormat="1" ht="19">
      <c r="A764" s="960"/>
      <c r="B764" s="960"/>
      <c r="C764" s="960"/>
      <c r="D764" s="960"/>
      <c r="E764" s="960"/>
      <c r="F764" s="960"/>
      <c r="G764" s="960"/>
      <c r="H764" s="960"/>
      <c r="I764" s="2164"/>
      <c r="J764" s="960"/>
      <c r="K764" s="712" t="s">
        <v>238</v>
      </c>
      <c r="L764" s="1879"/>
      <c r="N764" s="2021"/>
      <c r="O764" s="2022"/>
      <c r="V764" s="2020"/>
    </row>
    <row r="765" spans="1:22" ht="19">
      <c r="K765" s="712" t="s">
        <v>238</v>
      </c>
      <c r="L765" s="1879" t="s">
        <v>3523</v>
      </c>
    </row>
    <row r="766" spans="1:22" s="1808" customFormat="1" ht="20" thickBot="1">
      <c r="A766" s="960"/>
      <c r="B766" s="960"/>
      <c r="C766" s="960"/>
      <c r="D766" s="960"/>
      <c r="E766" s="960"/>
      <c r="F766" s="960"/>
      <c r="G766" s="960"/>
      <c r="H766" s="960"/>
      <c r="I766" s="2164"/>
      <c r="J766" s="960"/>
      <c r="K766" s="712" t="s">
        <v>238</v>
      </c>
      <c r="L766" s="1918"/>
      <c r="N766" s="2021"/>
      <c r="O766" s="960"/>
      <c r="P766" s="1964" t="s">
        <v>3567</v>
      </c>
      <c r="Q766" s="2025"/>
      <c r="R766"/>
      <c r="S766"/>
      <c r="T766"/>
    </row>
    <row r="767" spans="1:22" s="1808" customFormat="1" ht="20" thickBot="1">
      <c r="A767" s="960"/>
      <c r="B767" s="960"/>
      <c r="C767" s="960"/>
      <c r="D767" s="960"/>
      <c r="E767" s="960"/>
      <c r="F767" s="960"/>
      <c r="G767" s="960"/>
      <c r="H767" s="960"/>
      <c r="I767" s="2164"/>
      <c r="J767" s="960"/>
      <c r="K767" s="712" t="s">
        <v>238</v>
      </c>
      <c r="L767" s="1918"/>
      <c r="N767" s="1049" t="s">
        <v>2171</v>
      </c>
      <c r="O767" s="960"/>
      <c r="P767" s="960" t="s">
        <v>3378</v>
      </c>
      <c r="Q767" s="1500">
        <v>2021</v>
      </c>
      <c r="R767" s="1762">
        <v>2022</v>
      </c>
      <c r="S767" s="1762">
        <v>2023</v>
      </c>
      <c r="T767" s="1762">
        <v>2024</v>
      </c>
      <c r="U767" s="1763">
        <v>2025</v>
      </c>
    </row>
    <row r="768" spans="1:22" ht="20" thickBot="1">
      <c r="K768" s="712" t="s">
        <v>238</v>
      </c>
      <c r="L768" s="1918"/>
      <c r="N768" s="1764"/>
      <c r="O768" s="1504"/>
      <c r="P768" s="1504"/>
      <c r="Q768" s="1713">
        <v>0</v>
      </c>
      <c r="R768" s="1713">
        <v>0</v>
      </c>
      <c r="S768" s="1713">
        <v>0</v>
      </c>
      <c r="T768" s="1713">
        <v>0</v>
      </c>
      <c r="U768" s="1765">
        <v>0</v>
      </c>
    </row>
    <row r="769" spans="1:21" ht="20" thickBot="1">
      <c r="A769" s="2157">
        <v>203</v>
      </c>
      <c r="B769" s="841">
        <f>Q769</f>
        <v>0</v>
      </c>
      <c r="C769" s="841">
        <f t="shared" ref="C769:F769" si="95">R769</f>
        <v>0</v>
      </c>
      <c r="D769" s="841">
        <f t="shared" si="95"/>
        <v>0</v>
      </c>
      <c r="E769" s="841">
        <f t="shared" si="95"/>
        <v>0</v>
      </c>
      <c r="F769" s="841">
        <f t="shared" si="95"/>
        <v>0</v>
      </c>
      <c r="G769" s="841" t="s">
        <v>351</v>
      </c>
      <c r="H769" s="841" t="s">
        <v>3523</v>
      </c>
      <c r="I769" s="2180" t="s">
        <v>3716</v>
      </c>
      <c r="J769" s="841" t="s">
        <v>2983</v>
      </c>
      <c r="K769" s="712" t="s">
        <v>238</v>
      </c>
      <c r="L769" s="1918"/>
      <c r="N769" s="1710" t="s">
        <v>3044</v>
      </c>
      <c r="O769" s="1732"/>
      <c r="P769" s="1708">
        <v>45000</v>
      </c>
      <c r="Q769" s="1495">
        <f>P769*Q768</f>
        <v>0</v>
      </c>
      <c r="R769" s="1495">
        <f>P769*R768</f>
        <v>0</v>
      </c>
      <c r="S769" s="1495">
        <f>P769*S768</f>
        <v>0</v>
      </c>
      <c r="T769" s="1495">
        <f>P769*T768</f>
        <v>0</v>
      </c>
      <c r="U769" s="1495">
        <f>P769*U768</f>
        <v>0</v>
      </c>
    </row>
    <row r="770" spans="1:21">
      <c r="K770" s="712" t="s">
        <v>238</v>
      </c>
    </row>
    <row r="771" spans="1:21" ht="19">
      <c r="K771" s="712" t="s">
        <v>238</v>
      </c>
      <c r="L771" s="1879" t="s">
        <v>3524</v>
      </c>
    </row>
    <row r="772" spans="1:21" ht="19">
      <c r="K772" s="712" t="s">
        <v>238</v>
      </c>
      <c r="L772" s="1918"/>
      <c r="P772" s="1964" t="s">
        <v>3567</v>
      </c>
    </row>
    <row r="773" spans="1:21" s="1808" customFormat="1" ht="20" thickBot="1">
      <c r="A773" s="960"/>
      <c r="B773" s="960"/>
      <c r="C773" s="960"/>
      <c r="D773" s="960"/>
      <c r="E773" s="960"/>
      <c r="F773" s="960"/>
      <c r="G773" s="960"/>
      <c r="H773" s="960"/>
      <c r="I773" s="2164"/>
      <c r="J773" s="960"/>
      <c r="K773" s="712" t="s">
        <v>238</v>
      </c>
      <c r="L773" s="1918"/>
      <c r="P773" s="1964"/>
    </row>
    <row r="774" spans="1:21" s="1808" customFormat="1" ht="20" thickBot="1">
      <c r="A774" s="960"/>
      <c r="B774" s="960"/>
      <c r="C774" s="960"/>
      <c r="D774" s="960"/>
      <c r="E774" s="960"/>
      <c r="F774" s="960"/>
      <c r="G774" s="960"/>
      <c r="H774" s="960"/>
      <c r="I774" s="2164"/>
      <c r="J774" s="960"/>
      <c r="K774" s="712" t="s">
        <v>238</v>
      </c>
      <c r="L774" s="1918"/>
      <c r="N774" s="1049" t="s">
        <v>2171</v>
      </c>
      <c r="O774" s="960"/>
      <c r="P774" s="960" t="s">
        <v>3378</v>
      </c>
      <c r="Q774" s="1500">
        <v>2021</v>
      </c>
      <c r="R774" s="1762">
        <v>2022</v>
      </c>
      <c r="S774" s="1762">
        <v>2023</v>
      </c>
      <c r="T774" s="1762">
        <v>2024</v>
      </c>
      <c r="U774" s="1763">
        <v>2025</v>
      </c>
    </row>
    <row r="775" spans="1:21" s="1808" customFormat="1" ht="20" thickBot="1">
      <c r="A775" s="960"/>
      <c r="B775" s="960"/>
      <c r="C775" s="960"/>
      <c r="D775" s="960"/>
      <c r="E775" s="960"/>
      <c r="F775" s="960"/>
      <c r="G775" s="960"/>
      <c r="H775" s="960"/>
      <c r="I775" s="2164"/>
      <c r="J775" s="960"/>
      <c r="K775" s="712"/>
      <c r="L775" s="1918"/>
      <c r="N775" s="1764"/>
      <c r="O775" s="1504"/>
      <c r="P775" s="1504"/>
      <c r="Q775" s="1713">
        <v>1</v>
      </c>
      <c r="R775" s="1713">
        <v>0</v>
      </c>
      <c r="S775" s="1713">
        <v>0</v>
      </c>
      <c r="T775" s="1713">
        <v>0</v>
      </c>
      <c r="U775" s="1765">
        <v>0</v>
      </c>
    </row>
    <row r="776" spans="1:21" s="1808" customFormat="1" ht="20" thickBot="1">
      <c r="A776" s="960"/>
      <c r="B776" s="960"/>
      <c r="C776" s="960"/>
      <c r="D776" s="960"/>
      <c r="E776" s="960"/>
      <c r="F776" s="960"/>
      <c r="G776" s="960"/>
      <c r="H776" s="960"/>
      <c r="I776" s="2164"/>
      <c r="J776" s="960"/>
      <c r="K776" s="712"/>
      <c r="L776" s="1918"/>
      <c r="N776" s="1710" t="s">
        <v>3044</v>
      </c>
      <c r="O776" s="1732"/>
      <c r="P776" s="1708">
        <v>116508</v>
      </c>
      <c r="Q776" s="1495">
        <f>P776*Q775</f>
        <v>116508</v>
      </c>
      <c r="R776" s="1495">
        <f>P776*R775</f>
        <v>0</v>
      </c>
      <c r="S776" s="1495">
        <f>P776*S775</f>
        <v>0</v>
      </c>
      <c r="T776" s="1495">
        <f>P776*T775</f>
        <v>0</v>
      </c>
      <c r="U776" s="1495">
        <f>P776*U775</f>
        <v>0</v>
      </c>
    </row>
    <row r="777" spans="1:21" ht="19">
      <c r="A777" s="2157">
        <v>204</v>
      </c>
      <c r="B777" s="841">
        <v>116508</v>
      </c>
      <c r="C777" s="841">
        <v>0</v>
      </c>
      <c r="D777" s="841">
        <v>0</v>
      </c>
      <c r="E777" s="841">
        <v>0</v>
      </c>
      <c r="F777" s="841">
        <v>0</v>
      </c>
      <c r="G777" s="841" t="s">
        <v>351</v>
      </c>
      <c r="H777" s="841" t="s">
        <v>3524</v>
      </c>
      <c r="I777" s="2180" t="s">
        <v>3716</v>
      </c>
      <c r="J777" s="841" t="s">
        <v>2984</v>
      </c>
      <c r="K777" s="712" t="s">
        <v>238</v>
      </c>
      <c r="L777" s="1918"/>
    </row>
    <row r="778" spans="1:21" ht="19">
      <c r="K778" s="712" t="s">
        <v>238</v>
      </c>
      <c r="L778" s="1879" t="s">
        <v>3526</v>
      </c>
    </row>
    <row r="779" spans="1:21" ht="20" thickBot="1">
      <c r="K779" s="712" t="s">
        <v>238</v>
      </c>
      <c r="L779" s="1918" t="s">
        <v>3525</v>
      </c>
    </row>
    <row r="780" spans="1:21" ht="33">
      <c r="K780" s="712" t="s">
        <v>238</v>
      </c>
      <c r="L780" s="1918"/>
      <c r="N780" s="1766" t="s">
        <v>3054</v>
      </c>
      <c r="O780" s="1696"/>
      <c r="P780" s="1767"/>
      <c r="Q780" s="1220"/>
      <c r="R780" s="966"/>
      <c r="S780" s="1768"/>
      <c r="T780" s="966"/>
      <c r="U780" s="967"/>
    </row>
    <row r="781" spans="1:21" ht="32">
      <c r="K781" s="712" t="s">
        <v>238</v>
      </c>
      <c r="N781" s="1769" t="s">
        <v>3055</v>
      </c>
      <c r="O781" s="1693"/>
      <c r="P781" s="958"/>
      <c r="Q781" s="1040">
        <v>1</v>
      </c>
      <c r="R781" s="960"/>
      <c r="S781" s="960"/>
      <c r="T781" s="960"/>
      <c r="U781" s="62"/>
    </row>
    <row r="782" spans="1:21" ht="32">
      <c r="K782" s="712" t="s">
        <v>238</v>
      </c>
      <c r="N782" s="1769" t="s">
        <v>3056</v>
      </c>
      <c r="O782" s="1693"/>
      <c r="P782" s="958"/>
      <c r="Q782" s="1040">
        <v>25</v>
      </c>
      <c r="R782" s="960" t="s">
        <v>3546</v>
      </c>
      <c r="S782" s="960"/>
      <c r="T782" s="960"/>
      <c r="U782" s="62"/>
    </row>
    <row r="783" spans="1:21" ht="32">
      <c r="K783" s="712" t="s">
        <v>238</v>
      </c>
      <c r="N783" s="1769" t="s">
        <v>3057</v>
      </c>
      <c r="O783" s="1693"/>
      <c r="P783" s="958"/>
      <c r="Q783" s="1040">
        <v>1</v>
      </c>
      <c r="R783" s="960"/>
      <c r="S783" s="960"/>
      <c r="T783" s="960"/>
      <c r="U783" s="62"/>
    </row>
    <row r="784" spans="1:21" ht="32">
      <c r="K784" s="712" t="s">
        <v>238</v>
      </c>
      <c r="N784" s="1769" t="s">
        <v>3052</v>
      </c>
      <c r="O784" s="1693"/>
      <c r="P784" s="1694">
        <v>0</v>
      </c>
      <c r="Q784" s="1028">
        <f>ROUND(Q782*P784,0)</f>
        <v>0</v>
      </c>
      <c r="R784" s="960"/>
      <c r="S784" s="960"/>
      <c r="T784" s="960"/>
      <c r="U784" s="62"/>
    </row>
    <row r="785" spans="11:21" ht="32">
      <c r="K785" s="712" t="s">
        <v>238</v>
      </c>
      <c r="N785" s="1769" t="s">
        <v>3053</v>
      </c>
      <c r="O785" s="1693"/>
      <c r="P785" s="1694">
        <v>0.75</v>
      </c>
      <c r="Q785" s="1028">
        <f>ROUND(Q782*P785,0)</f>
        <v>19</v>
      </c>
      <c r="R785" s="960"/>
      <c r="S785" s="960"/>
      <c r="T785" s="960"/>
      <c r="U785" s="62"/>
    </row>
    <row r="786" spans="11:21">
      <c r="K786" s="712" t="s">
        <v>238</v>
      </c>
      <c r="N786" s="1770" t="s">
        <v>3036</v>
      </c>
      <c r="O786" s="1019"/>
      <c r="P786" s="1695"/>
      <c r="Q786" s="1028">
        <f>Q783-1</f>
        <v>0</v>
      </c>
      <c r="R786" s="960"/>
      <c r="S786" s="960"/>
      <c r="T786" s="960"/>
      <c r="U786" s="62"/>
    </row>
    <row r="787" spans="11:21" ht="16" thickBot="1">
      <c r="K787" s="712" t="s">
        <v>238</v>
      </c>
      <c r="N787" s="1049"/>
      <c r="O787" s="960"/>
      <c r="P787" s="960"/>
      <c r="Q787" s="960"/>
      <c r="R787" s="960"/>
      <c r="S787" s="960"/>
      <c r="T787" s="960"/>
      <c r="U787" s="62"/>
    </row>
    <row r="788" spans="11:21" ht="32">
      <c r="K788" s="712" t="s">
        <v>238</v>
      </c>
      <c r="N788" s="1699" t="s">
        <v>3033</v>
      </c>
      <c r="O788" s="1700" t="s">
        <v>3034</v>
      </c>
      <c r="P788" s="1702" t="s">
        <v>3040</v>
      </c>
      <c r="Q788" s="1702" t="s">
        <v>3041</v>
      </c>
      <c r="R788" s="1702" t="s">
        <v>3042</v>
      </c>
      <c r="S788" s="1700" t="s">
        <v>3035</v>
      </c>
      <c r="T788" s="1702" t="s">
        <v>3039</v>
      </c>
      <c r="U788" s="1701" t="s">
        <v>2189</v>
      </c>
    </row>
    <row r="789" spans="11:21">
      <c r="K789" s="712" t="s">
        <v>238</v>
      </c>
      <c r="N789" s="1539" t="s">
        <v>3051</v>
      </c>
      <c r="O789" s="958" t="str">
        <f>IFERROR(VLOOKUP(N789,Price_list!$B$1:$H$187,2,0),"")</f>
        <v>International Consultancy fee (3.1)</v>
      </c>
      <c r="P789" s="958" t="str">
        <f>IFERROR(VLOOKUP(N789,Price_list!$B$1:$H$187,3,0),"")</f>
        <v>cost/zi</v>
      </c>
      <c r="Q789" s="946">
        <f>IFERROR(VLOOKUP(N789,Price_list!$B$1:$H$187,4,0),"")</f>
        <v>350</v>
      </c>
      <c r="R789" s="946" t="str">
        <f>IFERROR(VLOOKUP(N789,Price_list!$B$1:$H$187,5,0),"")</f>
        <v>EUR</v>
      </c>
      <c r="S789" s="958">
        <f ca="1">ROUND(IFERROR(IF(R789="MDL",Q789,Q789*INDIRECT(R789)),0),2)</f>
        <v>6868.65</v>
      </c>
      <c r="T789" s="1888">
        <f>Q783</f>
        <v>1</v>
      </c>
      <c r="U789" s="1889">
        <f ca="1">IFERROR(Q780*S789*T789,"")</f>
        <v>0</v>
      </c>
    </row>
    <row r="790" spans="11:21">
      <c r="K790" s="712" t="s">
        <v>238</v>
      </c>
      <c r="N790" s="1539" t="s">
        <v>3029</v>
      </c>
      <c r="O790" s="958" t="str">
        <f>IFERROR(VLOOKUP(N790,Price_list!$B$1:$H$187,2,0),"")</f>
        <v xml:space="preserve">Travel costs </v>
      </c>
      <c r="P790" s="958" t="str">
        <f>IFERROR(VLOOKUP(N790,Price_list!$B$1:$H$187,3,0),"")</f>
        <v>cost tichet o directie</v>
      </c>
      <c r="Q790" s="946">
        <f>IFERROR(VLOOKUP(N790,Price_list!$B$1:$H$187,4,0),"")</f>
        <v>5000</v>
      </c>
      <c r="R790" s="946" t="str">
        <f>IFERROR(VLOOKUP(N790,Price_list!$B$1:$H$187,5,0),"")</f>
        <v>MDL</v>
      </c>
      <c r="S790" s="958">
        <f t="shared" ref="S790:S806" ca="1" si="96">ROUND(IFERROR(IF(R790="MDL",Q790,Q790*INDIRECT(R790)),0),2)</f>
        <v>5000</v>
      </c>
      <c r="T790" s="1040">
        <v>2</v>
      </c>
      <c r="U790" s="1889">
        <f ca="1">Q780*T790*S790</f>
        <v>0</v>
      </c>
    </row>
    <row r="791" spans="11:21">
      <c r="K791" s="712" t="s">
        <v>238</v>
      </c>
      <c r="N791" s="1539" t="s">
        <v>3020</v>
      </c>
      <c r="O791" s="958" t="str">
        <f>IFERROR(VLOOKUP(N791,Price_list!$B$1:$H$187,2,0),"")</f>
        <v xml:space="preserve">Per diem, WHO DSA, average </v>
      </c>
      <c r="P791" s="958" t="str">
        <f>IFERROR(VLOOKUP(N791,Price_list!$B$1:$H$187,3,0),"")</f>
        <v>diurna</v>
      </c>
      <c r="Q791" s="946">
        <f>IFERROR(VLOOKUP(N791,Price_list!$B$1:$H$187,4,0),"")</f>
        <v>200</v>
      </c>
      <c r="R791" s="946" t="str">
        <f>IFERROR(VLOOKUP(N791,Price_list!$B$1:$H$187,5,0),"")</f>
        <v>EUR</v>
      </c>
      <c r="S791" s="958">
        <f t="shared" ca="1" si="96"/>
        <v>3924.94</v>
      </c>
      <c r="T791" s="946">
        <f>Q783+1</f>
        <v>2</v>
      </c>
      <c r="U791" s="1889">
        <f ca="1">Q780*S791*T791</f>
        <v>0</v>
      </c>
    </row>
    <row r="792" spans="11:21">
      <c r="K792" s="712" t="s">
        <v>238</v>
      </c>
      <c r="N792" s="1539" t="s">
        <v>3050</v>
      </c>
      <c r="O792" s="958" t="str">
        <f>IFERROR(VLOOKUP(N792,Price_list!$B$1:$H$187,2,0),"")</f>
        <v>National Consultancy fee (3.1)</v>
      </c>
      <c r="P792" s="958" t="str">
        <f>IFERROR(VLOOKUP(N792,Price_list!$B$1:$H$187,3,0),"")</f>
        <v>cost/zi</v>
      </c>
      <c r="Q792" s="946">
        <f>IFERROR(VLOOKUP(N792,Price_list!$B$1:$H$187,4,0),"")</f>
        <v>2000</v>
      </c>
      <c r="R792" s="946" t="str">
        <f>IFERROR(VLOOKUP(N792,Price_list!$B$1:$H$187,5,0),"")</f>
        <v>MDL</v>
      </c>
      <c r="S792" s="958">
        <f t="shared" ca="1" si="96"/>
        <v>2000</v>
      </c>
      <c r="T792" s="946">
        <f>Q783</f>
        <v>1</v>
      </c>
      <c r="U792" s="1889">
        <f ca="1">Q781*S792*T792</f>
        <v>2000</v>
      </c>
    </row>
    <row r="793" spans="11:21">
      <c r="K793" s="712" t="s">
        <v>238</v>
      </c>
      <c r="N793" s="1539"/>
      <c r="O793" s="958" t="str">
        <f>IFERROR(VLOOKUP(N793,Price_list!$B$1:$H$187,2,0),"")</f>
        <v/>
      </c>
      <c r="P793" s="958" t="str">
        <f>IFERROR(VLOOKUP(N793,Price_list!$B$1:$H$187,3,0),"")</f>
        <v/>
      </c>
      <c r="Q793" s="946" t="str">
        <f>IFERROR(VLOOKUP(N793,Price_list!$B$1:$H$187,4,0),"")</f>
        <v/>
      </c>
      <c r="R793" s="946" t="str">
        <f>IFERROR(VLOOKUP(N793,Price_list!$B$1:$H$187,5,0),"")</f>
        <v/>
      </c>
      <c r="S793" s="958">
        <f t="shared" ca="1" si="96"/>
        <v>0</v>
      </c>
      <c r="T793" s="946" t="str">
        <f>IFERROR(VLOOKUP(AE792,N784:P789,3,0),"")</f>
        <v/>
      </c>
      <c r="U793" s="1889" t="str">
        <f>IFERROR(#REF!*T793*Q793,"")</f>
        <v/>
      </c>
    </row>
    <row r="794" spans="11:21">
      <c r="K794" s="712" t="s">
        <v>238</v>
      </c>
      <c r="N794" s="1539"/>
      <c r="O794" s="958" t="str">
        <f>IFERROR(VLOOKUP(N794,Price_list!$B$1:$H$187,2,0),"")</f>
        <v/>
      </c>
      <c r="P794" s="958" t="str">
        <f>IFERROR(VLOOKUP(N794,Price_list!$B$1:$H$187,3,0),"")</f>
        <v/>
      </c>
      <c r="Q794" s="946" t="str">
        <f>IFERROR(VLOOKUP(N794,Price_list!$B$1:$H$187,4,0),"")</f>
        <v/>
      </c>
      <c r="R794" s="946" t="str">
        <f>IFERROR(VLOOKUP(N794,Price_list!$B$1:$H$187,5,0),"")</f>
        <v/>
      </c>
      <c r="S794" s="958">
        <f t="shared" ca="1" si="96"/>
        <v>0</v>
      </c>
      <c r="T794" s="946" t="str">
        <f>IFERROR(VLOOKUP(AE793,N786:P790,3,0),"")</f>
        <v/>
      </c>
      <c r="U794" s="1889" t="str">
        <f>IFERROR(#REF!*T794*Q794,"")</f>
        <v/>
      </c>
    </row>
    <row r="795" spans="11:21">
      <c r="K795" s="712" t="s">
        <v>238</v>
      </c>
      <c r="N795" s="1539" t="s">
        <v>3016</v>
      </c>
      <c r="O795" s="958" t="str">
        <f>IFERROR(VLOOKUP(N795,Price_list!$B$1:$H$187,2,0),"")</f>
        <v>Coffe break</v>
      </c>
      <c r="P795" s="958" t="str">
        <f>IFERROR(VLOOKUP(N795,Price_list!$B$1:$H$187,3,0),"")</f>
        <v>unitate</v>
      </c>
      <c r="Q795" s="946">
        <f>IFERROR(VLOOKUP(N795,Price_list!$B$1:$H$187,4,0),"")</f>
        <v>75</v>
      </c>
      <c r="R795" s="946" t="str">
        <f>IFERROR(VLOOKUP(N795,Price_list!$B$1:$H$187,5,0),"")</f>
        <v>MDL</v>
      </c>
      <c r="S795" s="958">
        <f t="shared" ca="1" si="96"/>
        <v>75</v>
      </c>
      <c r="T795" s="946">
        <v>2</v>
      </c>
      <c r="U795" s="1889">
        <f ca="1">T795*S795*Q782*Q783</f>
        <v>3750</v>
      </c>
    </row>
    <row r="796" spans="11:21">
      <c r="K796" s="712" t="s">
        <v>238</v>
      </c>
      <c r="N796" s="1539" t="s">
        <v>3021</v>
      </c>
      <c r="O796" s="958" t="str">
        <f>IFERROR(VLOOKUP(N796,Price_list!$B$1:$H$187,2,0),"")</f>
        <v xml:space="preserve">Meal ( lunch) </v>
      </c>
      <c r="P796" s="958" t="str">
        <f>IFERROR(VLOOKUP(N796,Price_list!$B$1:$H$187,3,0),"")</f>
        <v>unitate</v>
      </c>
      <c r="Q796" s="946">
        <f>IFERROR(VLOOKUP(N796,Price_list!$B$1:$H$187,4,0),"")</f>
        <v>220</v>
      </c>
      <c r="R796" s="946" t="str">
        <f>IFERROR(VLOOKUP(N796,Price_list!$B$1:$H$187,5,0),"")</f>
        <v>MDL</v>
      </c>
      <c r="S796" s="958">
        <f t="shared" ca="1" si="96"/>
        <v>220</v>
      </c>
      <c r="T796" s="946">
        <f>Q783</f>
        <v>1</v>
      </c>
      <c r="U796" s="1889">
        <f ca="1">Q782*T796*S796</f>
        <v>5500</v>
      </c>
    </row>
    <row r="797" spans="11:21">
      <c r="K797" s="712" t="s">
        <v>238</v>
      </c>
      <c r="N797" s="1539" t="s">
        <v>3023</v>
      </c>
      <c r="O797" s="958" t="str">
        <f>IFERROR(VLOOKUP(N797,Price_list!$B$1:$H$187,2,0),"")</f>
        <v>Meal(dinner)</v>
      </c>
      <c r="P797" s="958" t="str">
        <f>IFERROR(VLOOKUP(N797,Price_list!$B$1:$H$187,3,0),"")</f>
        <v>unitate</v>
      </c>
      <c r="Q797" s="946">
        <f>IFERROR(VLOOKUP(N797,Price_list!$B$1:$H$187,4,0),"")</f>
        <v>220</v>
      </c>
      <c r="R797" s="946" t="str">
        <f>IFERROR(VLOOKUP(N797,Price_list!$B$1:$H$187,5,0),"")</f>
        <v>MDL</v>
      </c>
      <c r="S797" s="958">
        <f t="shared" ca="1" si="96"/>
        <v>220</v>
      </c>
      <c r="T797" s="946">
        <f>Q786</f>
        <v>0</v>
      </c>
      <c r="U797" s="1889">
        <f ca="1">T797*S797*Q784</f>
        <v>0</v>
      </c>
    </row>
    <row r="798" spans="11:21">
      <c r="K798" s="712" t="s">
        <v>238</v>
      </c>
      <c r="N798" s="1539" t="s">
        <v>3024</v>
      </c>
      <c r="O798" s="958" t="str">
        <f>IFERROR(VLOOKUP(N798,Price_list!$B$1:$H$187,2,0),"")</f>
        <v xml:space="preserve">Accomodation </v>
      </c>
      <c r="P798" s="958" t="str">
        <f>IFERROR(VLOOKUP(N798,Price_list!$B$1:$H$187,3,0),"")</f>
        <v>cost/noapte</v>
      </c>
      <c r="Q798" s="946">
        <f>IFERROR(VLOOKUP(N798,Price_list!$B$1:$H$187,4,0),"")</f>
        <v>750</v>
      </c>
      <c r="R798" s="946" t="str">
        <f>IFERROR(VLOOKUP(N798,Price_list!$B$1:$H$187,5,0),"")</f>
        <v>MDL</v>
      </c>
      <c r="S798" s="958">
        <f t="shared" ca="1" si="96"/>
        <v>750</v>
      </c>
      <c r="T798" s="946">
        <f>Q786</f>
        <v>0</v>
      </c>
      <c r="U798" s="1889">
        <f ca="1">T798*S798*Q784</f>
        <v>0</v>
      </c>
    </row>
    <row r="799" spans="11:21">
      <c r="K799" s="712" t="s">
        <v>238</v>
      </c>
      <c r="N799" s="1539" t="s">
        <v>3030</v>
      </c>
      <c r="O799" s="958" t="str">
        <f>IFERROR(VLOOKUP(N799,Price_list!$B$1:$H$187,2,0),"")</f>
        <v>Travel participants</v>
      </c>
      <c r="P799" s="958" t="str">
        <f>IFERROR(VLOOKUP(N799,Price_list!$B$1:$H$187,3,0),"")</f>
        <v>cost tichet o directie</v>
      </c>
      <c r="Q799" s="946">
        <f>IFERROR(VLOOKUP(N799,Price_list!$B$1:$H$187,4,0),"")</f>
        <v>80</v>
      </c>
      <c r="R799" s="946" t="str">
        <f>IFERROR(VLOOKUP(N799,Price_list!$B$1:$H$187,5,0),"")</f>
        <v>MDL</v>
      </c>
      <c r="S799" s="958">
        <f t="shared" ca="1" si="96"/>
        <v>80</v>
      </c>
      <c r="T799" s="1040">
        <v>2</v>
      </c>
      <c r="U799" s="1889">
        <f ca="1">T799*Q785*S799</f>
        <v>3040</v>
      </c>
    </row>
    <row r="800" spans="11:21">
      <c r="K800" s="712" t="s">
        <v>238</v>
      </c>
      <c r="N800" s="1539"/>
      <c r="O800" s="958" t="str">
        <f>IFERROR(VLOOKUP(N800,Price_list!$B$1:$H$187,2,0),"")</f>
        <v/>
      </c>
      <c r="P800" s="958" t="str">
        <f>IFERROR(VLOOKUP(N800,Price_list!$B$1:$H$187,3,0),"")</f>
        <v/>
      </c>
      <c r="Q800" s="946" t="str">
        <f>IFERROR(VLOOKUP(N800,Price_list!$B$1:$H$187,4,0),"")</f>
        <v/>
      </c>
      <c r="R800" s="946" t="str">
        <f>IFERROR(VLOOKUP(N800,Price_list!$B$1:$H$187,5,0),"")</f>
        <v/>
      </c>
      <c r="S800" s="958">
        <f t="shared" ca="1" si="96"/>
        <v>0</v>
      </c>
      <c r="T800" s="946" t="str">
        <f>IFERROR(VLOOKUP(AE799,N790:P796,3,0),"")</f>
        <v/>
      </c>
      <c r="U800" s="1889" t="str">
        <f>IFERROR(#REF!*T800*Q800,"")</f>
        <v/>
      </c>
    </row>
    <row r="801" spans="1:21">
      <c r="K801" s="712" t="s">
        <v>238</v>
      </c>
      <c r="N801" s="1539" t="s">
        <v>3025</v>
      </c>
      <c r="O801" s="958" t="str">
        <f>IFERROR(VLOOKUP(N801,Price_list!$B$1:$H$187,2,0),"")</f>
        <v>Supplies</v>
      </c>
      <c r="P801" s="958" t="str">
        <f>IFERROR(VLOOKUP(N801,Price_list!$B$1:$H$187,3,0),"")</f>
        <v>set/participant</v>
      </c>
      <c r="Q801" s="946">
        <f>IFERROR(VLOOKUP(N801,Price_list!$B$1:$H$187,4,0),"")</f>
        <v>140</v>
      </c>
      <c r="R801" s="946" t="str">
        <f>IFERROR(VLOOKUP(N801,Price_list!$B$1:$H$187,5,0),"")</f>
        <v>MDL</v>
      </c>
      <c r="S801" s="958">
        <f t="shared" ca="1" si="96"/>
        <v>140</v>
      </c>
      <c r="T801" s="946">
        <v>1</v>
      </c>
      <c r="U801" s="1889">
        <f ca="1">T801*S801*Q782</f>
        <v>3500</v>
      </c>
    </row>
    <row r="802" spans="1:21">
      <c r="K802" s="712" t="s">
        <v>238</v>
      </c>
      <c r="N802" s="1539" t="s">
        <v>3022</v>
      </c>
      <c r="O802" s="958" t="str">
        <f>IFERROR(VLOOKUP(N802,Price_list!$B$1:$H$187,2,0),"")</f>
        <v>Rent of premises</v>
      </c>
      <c r="P802" s="958" t="str">
        <f>IFERROR(VLOOKUP(N802,Price_list!$B$1:$H$187,3,0),"")</f>
        <v>cost/zi</v>
      </c>
      <c r="Q802" s="946">
        <f>IFERROR(VLOOKUP(N802,Price_list!$B$1:$H$187,4,0),"")</f>
        <v>1800</v>
      </c>
      <c r="R802" s="946" t="str">
        <f>IFERROR(VLOOKUP(N802,Price_list!$B$1:$H$187,5,0),"")</f>
        <v>MDL</v>
      </c>
      <c r="S802" s="958">
        <f t="shared" ca="1" si="96"/>
        <v>1800</v>
      </c>
      <c r="T802" s="946">
        <f>Q783</f>
        <v>1</v>
      </c>
      <c r="U802" s="1889">
        <f ca="1">T802*S802</f>
        <v>1800</v>
      </c>
    </row>
    <row r="803" spans="1:21">
      <c r="K803" s="712" t="s">
        <v>238</v>
      </c>
      <c r="N803" s="1539" t="s">
        <v>3031</v>
      </c>
      <c r="O803" s="958" t="str">
        <f>IFERROR(VLOOKUP(N803,Price_list!$B$1:$H$187,2,0),"")</f>
        <v>Interpreter's fee, per day</v>
      </c>
      <c r="P803" s="958" t="str">
        <f>IFERROR(VLOOKUP(N803,Price_list!$B$1:$H$187,3,0),"")</f>
        <v>cost/zi</v>
      </c>
      <c r="Q803" s="946">
        <f>IFERROR(VLOOKUP(N803,Price_list!$B$1:$H$187,4,0),"")</f>
        <v>2000</v>
      </c>
      <c r="R803" s="946" t="str">
        <f>IFERROR(VLOOKUP(N803,Price_list!$B$1:$H$187,5,0),"")</f>
        <v>MDL</v>
      </c>
      <c r="S803" s="958">
        <f t="shared" ca="1" si="96"/>
        <v>2000</v>
      </c>
      <c r="T803" s="946">
        <f>IF(Q780&gt;0,Q783,0)</f>
        <v>0</v>
      </c>
      <c r="U803" s="1889">
        <f ca="1">T803*S803</f>
        <v>0</v>
      </c>
    </row>
    <row r="804" spans="1:21">
      <c r="K804" s="712" t="s">
        <v>238</v>
      </c>
      <c r="N804" s="1539"/>
      <c r="O804" s="958" t="str">
        <f>IFERROR(VLOOKUP(N804,Price_list!$B$1:$H$187,2,0),"")</f>
        <v/>
      </c>
      <c r="P804" s="958" t="str">
        <f>IFERROR(VLOOKUP(N804,Price_list!$B$1:$H$187,3,0),"")</f>
        <v/>
      </c>
      <c r="Q804" s="946" t="str">
        <f>IFERROR(VLOOKUP(N804,Price_list!$B$1:$H$187,4,0),"")</f>
        <v/>
      </c>
      <c r="R804" s="946" t="str">
        <f>IFERROR(VLOOKUP(N804,Price_list!$B$1:$H$187,5,0),"")</f>
        <v/>
      </c>
      <c r="S804" s="958">
        <f t="shared" ca="1" si="96"/>
        <v>0</v>
      </c>
      <c r="T804" s="946" t="str">
        <f>IFERROR(VLOOKUP(AE803,N795:P799,3,0),"")</f>
        <v/>
      </c>
      <c r="U804" s="1889" t="str">
        <f>IFERROR(#REF!*T804*Q804,"")</f>
        <v/>
      </c>
    </row>
    <row r="805" spans="1:21">
      <c r="K805" s="712" t="s">
        <v>238</v>
      </c>
      <c r="N805" s="1539"/>
      <c r="O805" s="958" t="str">
        <f>IFERROR(VLOOKUP(N805,Price_list!$B$1:$H$187,2,0),"")</f>
        <v/>
      </c>
      <c r="P805" s="958" t="str">
        <f>IFERROR(VLOOKUP(N805,Price_list!$B$1:$H$187,3,0),"")</f>
        <v/>
      </c>
      <c r="Q805" s="946" t="str">
        <f>IFERROR(VLOOKUP(N805,Price_list!$B$1:$H$187,4,0),"")</f>
        <v/>
      </c>
      <c r="R805" s="946" t="str">
        <f>IFERROR(VLOOKUP(N805,Price_list!$B$1:$H$187,5,0),"")</f>
        <v/>
      </c>
      <c r="S805" s="958">
        <f t="shared" ca="1" si="96"/>
        <v>0</v>
      </c>
      <c r="T805" s="946" t="str">
        <f>IFERROR(VLOOKUP(AE804,N796:P801,3,0),"")</f>
        <v/>
      </c>
      <c r="U805" s="1889" t="str">
        <f>IFERROR(#REF!*T805*Q805,"")</f>
        <v/>
      </c>
    </row>
    <row r="806" spans="1:21">
      <c r="K806" s="712" t="s">
        <v>238</v>
      </c>
      <c r="N806" s="1539"/>
      <c r="O806" s="958" t="str">
        <f>IFERROR(VLOOKUP(N806,Price_list!$B$1:$H$187,2,0),"")</f>
        <v/>
      </c>
      <c r="P806" s="958" t="str">
        <f>IFERROR(VLOOKUP(N806,Price_list!$B$1:$H$187,3,0),"")</f>
        <v/>
      </c>
      <c r="Q806" s="946" t="str">
        <f>IFERROR(VLOOKUP(N806,Price_list!$B$1:$H$187,4,0),"")</f>
        <v/>
      </c>
      <c r="R806" s="946" t="str">
        <f>IFERROR(VLOOKUP(N806,Price_list!$B$1:$H$187,5,0),"")</f>
        <v/>
      </c>
      <c r="S806" s="958">
        <f t="shared" ca="1" si="96"/>
        <v>0</v>
      </c>
      <c r="T806" s="946" t="str">
        <f>IFERROR(VLOOKUP(AE805,N797:P802,3,0),"")</f>
        <v/>
      </c>
      <c r="U806" s="1889" t="str">
        <f>IFERROR(#REF!*T806*Q806,"")</f>
        <v/>
      </c>
    </row>
    <row r="807" spans="1:21" ht="16" thickBot="1">
      <c r="K807" s="712" t="s">
        <v>238</v>
      </c>
      <c r="N807" s="1697"/>
      <c r="O807" s="1698" t="str">
        <f>IFERROR(VLOOKUP(N807,Price_list!$B$1:$H$187,2,0),"")</f>
        <v/>
      </c>
      <c r="P807" s="1698" t="str">
        <f>IFERROR(VLOOKUP(N807,Price_list!$B$1:$H$187,3,0),"")</f>
        <v/>
      </c>
      <c r="Q807" s="1034" t="str">
        <f>IFERROR(VLOOKUP(N807,Price_list!$B$1:$H$187,4,0),"")</f>
        <v/>
      </c>
      <c r="R807" s="1034" t="str">
        <f>IFERROR(VLOOKUP(N807,Price_list!$B$1:$H$187,5,0),"")</f>
        <v/>
      </c>
      <c r="S807" s="1698"/>
      <c r="T807" s="1034" t="str">
        <f>IFERROR(VLOOKUP(AE806,N798:P803,3,0),"")</f>
        <v/>
      </c>
      <c r="U807" s="1703">
        <f ca="1">SUM(U789:U806)</f>
        <v>19590</v>
      </c>
    </row>
    <row r="808" spans="1:21">
      <c r="K808" s="712" t="s">
        <v>238</v>
      </c>
      <c r="N808" s="1771" t="s">
        <v>3037</v>
      </c>
      <c r="O808" s="1742" t="s">
        <v>3006</v>
      </c>
      <c r="P808" s="1743"/>
      <c r="Q808" s="1772">
        <v>7.0000000000000007E-2</v>
      </c>
      <c r="R808" s="1773"/>
      <c r="S808" s="1773"/>
      <c r="T808" s="1773"/>
      <c r="U808" s="1774">
        <f ca="1">ROUND(U807*Q808,2)</f>
        <v>1371.3</v>
      </c>
    </row>
    <row r="809" spans="1:21" ht="16" thickBot="1">
      <c r="K809" s="712" t="s">
        <v>238</v>
      </c>
      <c r="N809" s="1049"/>
      <c r="O809" s="960"/>
      <c r="P809" s="960"/>
      <c r="Q809" s="960"/>
      <c r="R809" s="960"/>
      <c r="S809" s="960"/>
      <c r="T809" s="960"/>
      <c r="U809" s="62"/>
    </row>
    <row r="810" spans="1:21" ht="16" thickBot="1">
      <c r="K810" s="712" t="s">
        <v>238</v>
      </c>
      <c r="N810" s="1704" t="s">
        <v>3038</v>
      </c>
      <c r="O810" s="1761"/>
      <c r="P810" s="1761"/>
      <c r="Q810" s="1761"/>
      <c r="R810" s="1761"/>
      <c r="S810" s="1761"/>
      <c r="T810" s="1761"/>
      <c r="U810" s="1706">
        <f ca="1">U808+U807</f>
        <v>20961.3</v>
      </c>
    </row>
    <row r="811" spans="1:21">
      <c r="K811" s="712" t="s">
        <v>238</v>
      </c>
      <c r="N811" s="1049"/>
      <c r="O811" s="960"/>
      <c r="P811" s="960"/>
      <c r="Q811" s="960"/>
      <c r="R811" s="960"/>
      <c r="S811" s="960"/>
      <c r="T811" s="960"/>
      <c r="U811" s="62"/>
    </row>
    <row r="812" spans="1:21" ht="16" thickBot="1">
      <c r="K812" s="712" t="s">
        <v>238</v>
      </c>
      <c r="N812" s="1049"/>
      <c r="O812" s="960"/>
      <c r="P812" s="960"/>
      <c r="Q812" s="960"/>
      <c r="R812" s="960"/>
      <c r="S812" s="960"/>
      <c r="T812" s="960"/>
      <c r="U812" s="62"/>
    </row>
    <row r="813" spans="1:21" ht="16" thickBot="1">
      <c r="K813" s="712" t="s">
        <v>238</v>
      </c>
      <c r="N813" s="1049" t="s">
        <v>2171</v>
      </c>
      <c r="O813" s="960"/>
      <c r="P813" s="960"/>
      <c r="Q813" s="1500">
        <v>2021</v>
      </c>
      <c r="R813" s="1762">
        <v>2022</v>
      </c>
      <c r="S813" s="1762">
        <v>2023</v>
      </c>
      <c r="T813" s="1762">
        <v>2024</v>
      </c>
      <c r="U813" s="1763">
        <v>2025</v>
      </c>
    </row>
    <row r="814" spans="1:21" ht="16" thickBot="1">
      <c r="K814" s="712" t="s">
        <v>238</v>
      </c>
      <c r="N814" s="1764" t="s">
        <v>3043</v>
      </c>
      <c r="O814" s="1504"/>
      <c r="P814" s="1504"/>
      <c r="Q814" s="1713">
        <v>4</v>
      </c>
      <c r="R814" s="1713">
        <v>4</v>
      </c>
      <c r="S814" s="1713">
        <v>4</v>
      </c>
      <c r="T814" s="1713">
        <v>0</v>
      </c>
      <c r="U814" s="1713">
        <v>0</v>
      </c>
    </row>
    <row r="815" spans="1:21" ht="16" thickBot="1">
      <c r="A815" s="2157">
        <v>205</v>
      </c>
      <c r="B815" s="841">
        <f ca="1">Q815</f>
        <v>83845.2</v>
      </c>
      <c r="C815" s="841">
        <f t="shared" ref="C815:D815" ca="1" si="97">R815</f>
        <v>83845.2</v>
      </c>
      <c r="D815" s="841">
        <f t="shared" ca="1" si="97"/>
        <v>83845.2</v>
      </c>
      <c r="E815" s="841"/>
      <c r="F815" s="841"/>
      <c r="G815" s="841" t="s">
        <v>351</v>
      </c>
      <c r="H815" s="841" t="s">
        <v>3526</v>
      </c>
      <c r="I815" s="2180" t="s">
        <v>3716</v>
      </c>
      <c r="J815" s="841" t="s">
        <v>2985</v>
      </c>
      <c r="K815" s="712" t="s">
        <v>238</v>
      </c>
      <c r="N815" s="1710" t="s">
        <v>3044</v>
      </c>
      <c r="O815" s="1732"/>
      <c r="P815" s="1708"/>
      <c r="Q815" s="1495">
        <f ca="1">U810*Q814</f>
        <v>83845.2</v>
      </c>
      <c r="R815" s="1495">
        <f ca="1">U810*R814</f>
        <v>83845.2</v>
      </c>
      <c r="S815" s="1495">
        <f ca="1">U810*S814</f>
        <v>83845.2</v>
      </c>
      <c r="T815" s="1495">
        <f ca="1">U810*T814</f>
        <v>0</v>
      </c>
      <c r="U815" s="1495">
        <f ca="1">U810*U814</f>
        <v>0</v>
      </c>
    </row>
    <row r="816" spans="1:21">
      <c r="K816" s="712" t="s">
        <v>238</v>
      </c>
    </row>
    <row r="817" spans="1:21">
      <c r="K817" s="712" t="s">
        <v>238</v>
      </c>
      <c r="L817" s="853"/>
      <c r="M817" s="853" t="s">
        <v>3547</v>
      </c>
      <c r="N817" s="853"/>
    </row>
    <row r="818" spans="1:21">
      <c r="K818" s="712" t="s">
        <v>238</v>
      </c>
    </row>
    <row r="819" spans="1:21" ht="19">
      <c r="K819" s="712" t="s">
        <v>238</v>
      </c>
      <c r="L819" s="1879" t="s">
        <v>3548</v>
      </c>
    </row>
    <row r="820" spans="1:21">
      <c r="K820" s="712" t="s">
        <v>238</v>
      </c>
    </row>
    <row r="821" spans="1:21" ht="16" thickBot="1">
      <c r="K821" s="712" t="s">
        <v>238</v>
      </c>
      <c r="P821" s="1964" t="s">
        <v>3567</v>
      </c>
    </row>
    <row r="822" spans="1:21" ht="16" thickBot="1">
      <c r="K822" s="712" t="s">
        <v>238</v>
      </c>
      <c r="N822" s="1049" t="s">
        <v>2171</v>
      </c>
      <c r="O822" s="960"/>
      <c r="P822" s="960" t="s">
        <v>3378</v>
      </c>
      <c r="Q822" s="1500">
        <v>2021</v>
      </c>
      <c r="R822" s="1762">
        <v>2022</v>
      </c>
      <c r="S822" s="1762">
        <v>2023</v>
      </c>
      <c r="T822" s="1762">
        <v>2024</v>
      </c>
      <c r="U822" s="1763">
        <v>2025</v>
      </c>
    </row>
    <row r="823" spans="1:21" ht="16" thickBot="1">
      <c r="K823" s="712" t="s">
        <v>238</v>
      </c>
      <c r="N823" s="1764"/>
      <c r="O823" s="1504"/>
      <c r="P823" s="1504"/>
      <c r="Q823" s="1713">
        <v>1</v>
      </c>
      <c r="R823" s="1713">
        <v>1</v>
      </c>
      <c r="S823" s="1713">
        <v>1</v>
      </c>
      <c r="T823" s="1713">
        <v>0</v>
      </c>
      <c r="U823" s="1765">
        <v>0</v>
      </c>
    </row>
    <row r="824" spans="1:21" ht="16" thickBot="1">
      <c r="A824" s="2157">
        <v>206</v>
      </c>
      <c r="B824" s="841">
        <f>Q824</f>
        <v>35000</v>
      </c>
      <c r="C824" s="841">
        <f t="shared" ref="C824:F824" si="98">R824</f>
        <v>35000</v>
      </c>
      <c r="D824" s="841">
        <f t="shared" si="98"/>
        <v>35000</v>
      </c>
      <c r="E824" s="841">
        <f t="shared" si="98"/>
        <v>0</v>
      </c>
      <c r="F824" s="841">
        <f t="shared" si="98"/>
        <v>0</v>
      </c>
      <c r="G824" s="841" t="s">
        <v>351</v>
      </c>
      <c r="H824" s="841" t="s">
        <v>3527</v>
      </c>
      <c r="I824" s="2180" t="s">
        <v>3716</v>
      </c>
      <c r="J824" s="841" t="s">
        <v>2985</v>
      </c>
      <c r="K824" s="712" t="s">
        <v>238</v>
      </c>
      <c r="N824" s="1710" t="s">
        <v>3044</v>
      </c>
      <c r="O824" s="1732"/>
      <c r="P824" s="1708">
        <v>35000</v>
      </c>
      <c r="Q824" s="1495">
        <f>P824*Q823</f>
        <v>35000</v>
      </c>
      <c r="R824" s="1495">
        <f>P824*R823</f>
        <v>35000</v>
      </c>
      <c r="S824" s="1495">
        <f>P824*S823</f>
        <v>35000</v>
      </c>
      <c r="T824" s="1495">
        <f>P824*T823</f>
        <v>0</v>
      </c>
      <c r="U824" s="1495">
        <f>P824*U823</f>
        <v>0</v>
      </c>
    </row>
    <row r="825" spans="1:21">
      <c r="K825" s="712" t="s">
        <v>238</v>
      </c>
    </row>
    <row r="826" spans="1:21" ht="19">
      <c r="K826" s="712" t="s">
        <v>238</v>
      </c>
      <c r="L826" s="1879" t="s">
        <v>3529</v>
      </c>
    </row>
    <row r="827" spans="1:21" s="1808" customFormat="1" ht="19">
      <c r="A827" s="960"/>
      <c r="B827" s="960"/>
      <c r="C827" s="960"/>
      <c r="D827" s="960"/>
      <c r="E827" s="960"/>
      <c r="F827" s="960"/>
      <c r="G827" s="960"/>
      <c r="H827" s="960"/>
      <c r="I827" s="2164"/>
      <c r="J827" s="960"/>
      <c r="K827" s="712" t="s">
        <v>238</v>
      </c>
      <c r="L827" s="1879"/>
    </row>
    <row r="828" spans="1:21" s="1808" customFormat="1" ht="20" thickBot="1">
      <c r="A828" s="960"/>
      <c r="B828" s="960"/>
      <c r="C828" s="960"/>
      <c r="D828" s="960"/>
      <c r="E828" s="960"/>
      <c r="F828" s="960"/>
      <c r="G828" s="960"/>
      <c r="H828" s="960"/>
      <c r="I828" s="2164"/>
      <c r="J828" s="960"/>
      <c r="K828" s="712"/>
      <c r="L828" s="1879"/>
    </row>
    <row r="829" spans="1:21" s="1808" customFormat="1" ht="32">
      <c r="A829" s="960"/>
      <c r="B829" s="960"/>
      <c r="C829" s="960"/>
      <c r="D829" s="960"/>
      <c r="E829" s="960"/>
      <c r="F829" s="960"/>
      <c r="G829" s="960"/>
      <c r="H829" s="960"/>
      <c r="I829" s="2164"/>
      <c r="J829" s="960"/>
      <c r="K829" s="712"/>
      <c r="N829" s="1758" t="s">
        <v>2155</v>
      </c>
      <c r="O829" s="966"/>
      <c r="P829" s="966"/>
      <c r="Q829" s="966"/>
      <c r="R829" s="1759" t="s">
        <v>3060</v>
      </c>
      <c r="S829" s="966"/>
      <c r="T829" s="966"/>
      <c r="U829" s="967"/>
    </row>
    <row r="830" spans="1:21" s="1808" customFormat="1" ht="32">
      <c r="A830" s="960"/>
      <c r="B830" s="960"/>
      <c r="C830" s="960"/>
      <c r="D830" s="960"/>
      <c r="E830" s="960"/>
      <c r="F830" s="960"/>
      <c r="G830" s="960"/>
      <c r="H830" s="960"/>
      <c r="I830" s="2164"/>
      <c r="J830" s="960"/>
      <c r="K830" s="712"/>
      <c r="N830" s="1760" t="s">
        <v>3054</v>
      </c>
      <c r="O830" s="1749"/>
      <c r="P830" s="1565"/>
      <c r="Q830" s="1750"/>
      <c r="R830" s="1383"/>
      <c r="S830" s="960"/>
      <c r="T830" s="960"/>
      <c r="U830" s="62"/>
    </row>
    <row r="831" spans="1:21" s="1808" customFormat="1" ht="32">
      <c r="A831" s="960"/>
      <c r="B831" s="960"/>
      <c r="C831" s="960"/>
      <c r="D831" s="960"/>
      <c r="E831" s="960"/>
      <c r="F831" s="960"/>
      <c r="G831" s="960"/>
      <c r="H831" s="960"/>
      <c r="I831" s="2164"/>
      <c r="J831" s="960"/>
      <c r="K831" s="712"/>
      <c r="N831" s="1760" t="s">
        <v>3055</v>
      </c>
      <c r="O831" s="1749"/>
      <c r="P831" s="1565"/>
      <c r="Q831" s="1750">
        <v>1</v>
      </c>
      <c r="R831" s="1383">
        <v>10</v>
      </c>
      <c r="S831" s="960"/>
      <c r="T831" s="960"/>
      <c r="U831" s="62"/>
    </row>
    <row r="832" spans="1:21" s="1808" customFormat="1">
      <c r="A832" s="960"/>
      <c r="B832" s="960"/>
      <c r="C832" s="960"/>
      <c r="D832" s="960"/>
      <c r="E832" s="960"/>
      <c r="F832" s="960"/>
      <c r="G832" s="960"/>
      <c r="H832" s="960"/>
      <c r="I832" s="2164"/>
      <c r="J832" s="960"/>
      <c r="K832" s="712"/>
      <c r="N832" s="1049"/>
      <c r="O832" s="960"/>
      <c r="P832" s="960"/>
      <c r="Q832" s="960"/>
      <c r="R832" s="960"/>
      <c r="S832" s="960"/>
      <c r="T832" s="960"/>
      <c r="U832" s="62"/>
    </row>
    <row r="833" spans="1:21" s="1808" customFormat="1">
      <c r="A833" s="960"/>
      <c r="B833" s="960"/>
      <c r="C833" s="960"/>
      <c r="D833" s="960"/>
      <c r="E833" s="960"/>
      <c r="F833" s="960"/>
      <c r="G833" s="960"/>
      <c r="H833" s="960"/>
      <c r="I833" s="2164"/>
      <c r="J833" s="960"/>
      <c r="K833" s="712"/>
      <c r="N833" s="1049" t="s">
        <v>3059</v>
      </c>
      <c r="O833" s="960"/>
      <c r="P833" s="960"/>
      <c r="Q833" s="960"/>
      <c r="R833" s="960"/>
      <c r="S833" s="960"/>
      <c r="T833" s="960"/>
      <c r="U833" s="62"/>
    </row>
    <row r="834" spans="1:21" s="1808" customFormat="1" ht="32">
      <c r="A834" s="960"/>
      <c r="B834" s="960"/>
      <c r="C834" s="960"/>
      <c r="D834" s="960"/>
      <c r="E834" s="960"/>
      <c r="F834" s="960"/>
      <c r="G834" s="960"/>
      <c r="H834" s="960"/>
      <c r="I834" s="2164"/>
      <c r="J834" s="960"/>
      <c r="K834" s="712"/>
      <c r="N834" s="1760" t="s">
        <v>3061</v>
      </c>
      <c r="O834" s="1749"/>
      <c r="P834" s="1565"/>
      <c r="Q834" s="1750"/>
      <c r="R834" s="1383"/>
      <c r="S834" s="960"/>
      <c r="T834" s="960"/>
      <c r="U834" s="62"/>
    </row>
    <row r="835" spans="1:21" s="1808" customFormat="1" ht="32">
      <c r="A835" s="960"/>
      <c r="B835" s="960"/>
      <c r="C835" s="960"/>
      <c r="D835" s="960"/>
      <c r="E835" s="960"/>
      <c r="F835" s="960"/>
      <c r="G835" s="960"/>
      <c r="H835" s="960"/>
      <c r="I835" s="2164"/>
      <c r="J835" s="960"/>
      <c r="K835" s="712"/>
      <c r="N835" s="1760" t="s">
        <v>3062</v>
      </c>
      <c r="O835" s="1749"/>
      <c r="P835" s="1565"/>
      <c r="Q835" s="1750"/>
      <c r="R835" s="1383"/>
      <c r="S835" s="960"/>
      <c r="T835" s="960"/>
      <c r="U835" s="62"/>
    </row>
    <row r="836" spans="1:21" s="1808" customFormat="1">
      <c r="A836" s="960"/>
      <c r="B836" s="960"/>
      <c r="C836" s="960"/>
      <c r="D836" s="960"/>
      <c r="E836" s="960"/>
      <c r="F836" s="960"/>
      <c r="G836" s="960"/>
      <c r="H836" s="960"/>
      <c r="I836" s="2164"/>
      <c r="J836" s="960"/>
      <c r="K836" s="712"/>
      <c r="N836" s="1049"/>
      <c r="O836" s="960"/>
      <c r="P836" s="960"/>
      <c r="Q836" s="960"/>
      <c r="R836" s="960"/>
      <c r="S836" s="960"/>
      <c r="T836" s="960"/>
      <c r="U836" s="62"/>
    </row>
    <row r="837" spans="1:21" s="1808" customFormat="1">
      <c r="A837" s="960"/>
      <c r="B837" s="960"/>
      <c r="C837" s="960"/>
      <c r="D837" s="960"/>
      <c r="E837" s="960"/>
      <c r="F837" s="960"/>
      <c r="G837" s="960"/>
      <c r="H837" s="960"/>
      <c r="I837" s="2164"/>
      <c r="J837" s="960"/>
      <c r="K837" s="712"/>
      <c r="N837" s="1049"/>
      <c r="O837" s="960"/>
      <c r="P837" s="960"/>
      <c r="Q837" s="960"/>
      <c r="R837" s="960"/>
      <c r="S837" s="960"/>
      <c r="T837" s="960"/>
      <c r="U837" s="62"/>
    </row>
    <row r="838" spans="1:21" s="1808" customFormat="1" ht="16" thickBot="1">
      <c r="A838" s="960"/>
      <c r="B838" s="960"/>
      <c r="C838" s="960"/>
      <c r="D838" s="960"/>
      <c r="E838" s="960"/>
      <c r="F838" s="960"/>
      <c r="G838" s="960"/>
      <c r="H838" s="960"/>
      <c r="I838" s="2164"/>
      <c r="J838" s="960"/>
      <c r="K838" s="712"/>
      <c r="N838" s="1049" t="s">
        <v>3058</v>
      </c>
      <c r="O838" s="960"/>
      <c r="P838" s="960"/>
      <c r="Q838" s="960"/>
      <c r="R838" s="960"/>
      <c r="S838" s="960"/>
      <c r="T838" s="960"/>
      <c r="U838" s="62"/>
    </row>
    <row r="839" spans="1:21" s="1808" customFormat="1" ht="32">
      <c r="A839" s="960"/>
      <c r="B839" s="960"/>
      <c r="C839" s="960"/>
      <c r="D839" s="960"/>
      <c r="E839" s="960"/>
      <c r="F839" s="960"/>
      <c r="G839" s="960"/>
      <c r="H839" s="960"/>
      <c r="I839" s="2164"/>
      <c r="J839" s="960"/>
      <c r="K839" s="712"/>
      <c r="N839" s="1699" t="s">
        <v>3033</v>
      </c>
      <c r="O839" s="1700" t="s">
        <v>3034</v>
      </c>
      <c r="P839" s="1702" t="s">
        <v>3040</v>
      </c>
      <c r="Q839" s="1702" t="s">
        <v>3041</v>
      </c>
      <c r="R839" s="1702" t="s">
        <v>3042</v>
      </c>
      <c r="S839" s="1700" t="s">
        <v>3035</v>
      </c>
      <c r="T839" s="1702" t="s">
        <v>3067</v>
      </c>
      <c r="U839" s="1701" t="s">
        <v>2189</v>
      </c>
    </row>
    <row r="840" spans="1:21" s="1808" customFormat="1">
      <c r="A840" s="960"/>
      <c r="B840" s="960"/>
      <c r="C840" s="960"/>
      <c r="D840" s="960"/>
      <c r="E840" s="960"/>
      <c r="F840" s="960"/>
      <c r="G840" s="960"/>
      <c r="H840" s="960"/>
      <c r="I840" s="2164"/>
      <c r="J840" s="960"/>
      <c r="K840" s="712"/>
      <c r="N840" s="1539" t="s">
        <v>3051</v>
      </c>
      <c r="O840" s="958" t="str">
        <f>IFERROR(VLOOKUP(N840,Price_list!$B$1:$H$187,2,0),"")</f>
        <v>International Consultancy fee (3.1)</v>
      </c>
      <c r="P840" s="958" t="str">
        <f>IFERROR(VLOOKUP(N840,Price_list!$B$1:$H$187,3,0),"")</f>
        <v>cost/zi</v>
      </c>
      <c r="Q840" s="946">
        <f>IFERROR(VLOOKUP(N840,Price_list!$B$1:$H$187,4,0),"")</f>
        <v>350</v>
      </c>
      <c r="R840" s="946" t="str">
        <f>IFERROR(VLOOKUP(N840,Price_list!$B$1:$H$187,5,0),"")</f>
        <v>EUR</v>
      </c>
      <c r="S840" s="958">
        <f t="shared" ref="S840:S846" ca="1" si="99">ROUND(IFERROR(IF(R840="MDL",Q840,Q840*INDIRECT(R840)),0),2)</f>
        <v>6868.65</v>
      </c>
      <c r="T840" s="946">
        <f>Q830*R830</f>
        <v>0</v>
      </c>
      <c r="U840" s="1889">
        <f ca="1">T840*S840</f>
        <v>0</v>
      </c>
    </row>
    <row r="841" spans="1:21" s="1808" customFormat="1">
      <c r="A841" s="960"/>
      <c r="B841" s="960"/>
      <c r="C841" s="960"/>
      <c r="D841" s="960"/>
      <c r="E841" s="960"/>
      <c r="F841" s="960"/>
      <c r="G841" s="960"/>
      <c r="H841" s="960"/>
      <c r="I841" s="2164"/>
      <c r="J841" s="960"/>
      <c r="K841" s="712"/>
      <c r="N841" s="1539" t="s">
        <v>3050</v>
      </c>
      <c r="O841" s="958" t="str">
        <f>IFERROR(VLOOKUP(N841,Price_list!$B$1:$H$187,2,0),"")</f>
        <v>National Consultancy fee (3.1)</v>
      </c>
      <c r="P841" s="958" t="str">
        <f>IFERROR(VLOOKUP(N841,Price_list!$B$1:$H$187,3,0),"")</f>
        <v>cost/zi</v>
      </c>
      <c r="Q841" s="946">
        <f>IFERROR(VLOOKUP(N841,Price_list!$B$1:$H$187,4,0),"")</f>
        <v>2000</v>
      </c>
      <c r="R841" s="946" t="str">
        <f>IFERROR(VLOOKUP(N841,Price_list!$B$1:$H$187,5,0),"")</f>
        <v>MDL</v>
      </c>
      <c r="S841" s="958">
        <f t="shared" ca="1" si="99"/>
        <v>2000</v>
      </c>
      <c r="T841" s="946">
        <f>Q831*R831</f>
        <v>10</v>
      </c>
      <c r="U841" s="1889">
        <f ca="1">T841*S841</f>
        <v>20000</v>
      </c>
    </row>
    <row r="842" spans="1:21" s="1808" customFormat="1">
      <c r="A842" s="960"/>
      <c r="B842" s="960"/>
      <c r="C842" s="960"/>
      <c r="D842" s="960"/>
      <c r="E842" s="960"/>
      <c r="F842" s="960"/>
      <c r="G842" s="960"/>
      <c r="H842" s="960"/>
      <c r="I842" s="2164"/>
      <c r="J842" s="960"/>
      <c r="K842" s="712"/>
      <c r="N842" s="1539" t="s">
        <v>3063</v>
      </c>
      <c r="O842" s="958" t="str">
        <f>IFERROR(VLOOKUP(N842,Price_list!$B$1:$H$187,2,0),"")</f>
        <v>Translation per page</v>
      </c>
      <c r="P842" s="958" t="str">
        <f>IFERROR(VLOOKUP(N842,Price_list!$B$1:$H$187,3,0),"")</f>
        <v>pagina</v>
      </c>
      <c r="Q842" s="946">
        <f>IFERROR(VLOOKUP(N842,Price_list!$B$1:$H$187,4,0),"")</f>
        <v>150</v>
      </c>
      <c r="R842" s="946" t="str">
        <f>IFERROR(VLOOKUP(N842,Price_list!$B$1:$H$187,5,0),"")</f>
        <v>MDL</v>
      </c>
      <c r="S842" s="958">
        <f t="shared" ca="1" si="99"/>
        <v>150</v>
      </c>
      <c r="T842" s="946">
        <f>Q834</f>
        <v>0</v>
      </c>
      <c r="U842" s="1889">
        <f t="shared" ref="U842:U845" ca="1" si="100">T842*S842</f>
        <v>0</v>
      </c>
    </row>
    <row r="843" spans="1:21" s="1808" customFormat="1">
      <c r="A843" s="960"/>
      <c r="B843" s="960"/>
      <c r="C843" s="960"/>
      <c r="D843" s="960"/>
      <c r="E843" s="960"/>
      <c r="F843" s="960"/>
      <c r="G843" s="960"/>
      <c r="H843" s="960"/>
      <c r="I843" s="2164"/>
      <c r="J843" s="960"/>
      <c r="K843" s="712"/>
      <c r="N843" s="1539" t="s">
        <v>3068</v>
      </c>
      <c r="O843" s="958" t="str">
        <f>IFERROR(VLOOKUP(N843,Price_list!$B$1:$H$187,2,0),"")</f>
        <v xml:space="preserve">Formatting, design, printing </v>
      </c>
      <c r="P843" s="958" t="str">
        <f>IFERROR(VLOOKUP(N843,Price_list!$B$1:$H$187,3,0),"")</f>
        <v>pagina</v>
      </c>
      <c r="Q843" s="946">
        <f>IFERROR(VLOOKUP(N843,Price_list!$B$1:$H$187,4,0),"")</f>
        <v>2</v>
      </c>
      <c r="R843" s="946" t="str">
        <f>IFERROR(VLOOKUP(N843,Price_list!$B$1:$H$187,5,0),"")</f>
        <v>MDL</v>
      </c>
      <c r="S843" s="958">
        <f t="shared" ca="1" si="99"/>
        <v>2</v>
      </c>
      <c r="T843" s="946">
        <f>Q834*Q835</f>
        <v>0</v>
      </c>
      <c r="U843" s="1889">
        <f t="shared" ca="1" si="100"/>
        <v>0</v>
      </c>
    </row>
    <row r="844" spans="1:21" s="1808" customFormat="1">
      <c r="A844" s="960"/>
      <c r="B844" s="960"/>
      <c r="C844" s="960"/>
      <c r="D844" s="960"/>
      <c r="E844" s="960"/>
      <c r="F844" s="960"/>
      <c r="G844" s="960"/>
      <c r="H844" s="960"/>
      <c r="I844" s="2164"/>
      <c r="J844" s="960"/>
      <c r="K844" s="712"/>
      <c r="N844" s="1539"/>
      <c r="O844" s="958" t="str">
        <f>IFERROR(VLOOKUP(N844,Price_list!$B$1:$H$187,2,0),"")</f>
        <v/>
      </c>
      <c r="P844" s="958" t="str">
        <f>IFERROR(VLOOKUP(N844,Price_list!$B$1:$H$187,3,0),"")</f>
        <v/>
      </c>
      <c r="Q844" s="946" t="str">
        <f>IFERROR(VLOOKUP(N844,Price_list!$B$1:$H$187,4,0),"")</f>
        <v/>
      </c>
      <c r="R844" s="946" t="str">
        <f>IFERROR(VLOOKUP(N844,Price_list!$B$1:$H$187,5,0),"")</f>
        <v/>
      </c>
      <c r="S844" s="958">
        <f t="shared" ca="1" si="99"/>
        <v>0</v>
      </c>
      <c r="T844" s="946"/>
      <c r="U844" s="1889">
        <f t="shared" ca="1" si="100"/>
        <v>0</v>
      </c>
    </row>
    <row r="845" spans="1:21" s="1808" customFormat="1">
      <c r="A845" s="960"/>
      <c r="B845" s="960"/>
      <c r="C845" s="960"/>
      <c r="D845" s="960"/>
      <c r="E845" s="960"/>
      <c r="F845" s="960"/>
      <c r="G845" s="960"/>
      <c r="H845" s="960"/>
      <c r="I845" s="2164"/>
      <c r="J845" s="960"/>
      <c r="K845" s="712"/>
      <c r="N845" s="1539"/>
      <c r="O845" s="958" t="str">
        <f>IFERROR(VLOOKUP(N845,Price_list!$B$1:$H$187,2,0),"")</f>
        <v/>
      </c>
      <c r="P845" s="958" t="str">
        <f>IFERROR(VLOOKUP(N845,Price_list!$B$1:$H$187,3,0),"")</f>
        <v/>
      </c>
      <c r="Q845" s="946" t="str">
        <f>IFERROR(VLOOKUP(N845,Price_list!$B$1:$H$187,4,0),"")</f>
        <v/>
      </c>
      <c r="R845" s="946" t="str">
        <f>IFERROR(VLOOKUP(N845,Price_list!$B$1:$H$187,5,0),"")</f>
        <v/>
      </c>
      <c r="S845" s="958">
        <f t="shared" ca="1" si="99"/>
        <v>0</v>
      </c>
      <c r="T845" s="946"/>
      <c r="U845" s="1889">
        <f t="shared" ca="1" si="100"/>
        <v>0</v>
      </c>
    </row>
    <row r="846" spans="1:21" s="1808" customFormat="1" ht="16" thickBot="1">
      <c r="A846" s="960"/>
      <c r="B846" s="960"/>
      <c r="C846" s="960"/>
      <c r="D846" s="960"/>
      <c r="E846" s="960"/>
      <c r="F846" s="960"/>
      <c r="G846" s="960"/>
      <c r="H846" s="960"/>
      <c r="I846" s="2164"/>
      <c r="J846" s="960"/>
      <c r="K846" s="712"/>
      <c r="N846" s="1539"/>
      <c r="O846" s="958" t="str">
        <f>IFERROR(VLOOKUP(N846,Price_list!$B$1:$H$187,2,0),"")</f>
        <v/>
      </c>
      <c r="P846" s="958" t="str">
        <f>IFERROR(VLOOKUP(N846,Price_list!$B$1:$H$187,3,0),"")</f>
        <v/>
      </c>
      <c r="Q846" s="946" t="str">
        <f>IFERROR(VLOOKUP(N846,Price_list!$B$1:$H$187,4,0),"")</f>
        <v/>
      </c>
      <c r="R846" s="946" t="str">
        <f>IFERROR(VLOOKUP(N846,Price_list!$B$1:$H$187,5,0),"")</f>
        <v/>
      </c>
      <c r="S846" s="958">
        <f t="shared" ca="1" si="99"/>
        <v>0</v>
      </c>
      <c r="T846" s="946"/>
      <c r="U846" s="1889">
        <f ca="1">T846*S846</f>
        <v>0</v>
      </c>
    </row>
    <row r="847" spans="1:21" s="1808" customFormat="1" ht="16" thickBot="1">
      <c r="A847" s="960"/>
      <c r="B847" s="960"/>
      <c r="C847" s="960"/>
      <c r="D847" s="960"/>
      <c r="E847" s="960"/>
      <c r="F847" s="960"/>
      <c r="G847" s="960"/>
      <c r="H847" s="960"/>
      <c r="I847" s="2164"/>
      <c r="J847" s="960"/>
      <c r="K847" s="712"/>
      <c r="N847" s="1704"/>
      <c r="O847" s="1761"/>
      <c r="P847" s="1761"/>
      <c r="Q847" s="1761"/>
      <c r="R847" s="1761"/>
      <c r="S847" s="1761"/>
      <c r="T847" s="1761"/>
      <c r="U847" s="1706">
        <f ca="1">SUM(U840:U846)</f>
        <v>20000</v>
      </c>
    </row>
    <row r="848" spans="1:21" s="1808" customFormat="1">
      <c r="A848" s="960"/>
      <c r="B848" s="960"/>
      <c r="C848" s="960"/>
      <c r="D848" s="960"/>
      <c r="E848" s="960"/>
      <c r="F848" s="960"/>
      <c r="G848" s="960"/>
      <c r="H848" s="960"/>
      <c r="I848" s="2164"/>
      <c r="J848" s="960"/>
      <c r="K848" s="712"/>
      <c r="N848" s="1049"/>
      <c r="O848" s="960"/>
      <c r="P848" s="960"/>
      <c r="Q848" s="960"/>
      <c r="R848" s="960"/>
      <c r="S848" s="960"/>
      <c r="T848" s="960"/>
      <c r="U848" s="62"/>
    </row>
    <row r="849" spans="1:21" s="1808" customFormat="1" ht="16" thickBot="1">
      <c r="A849" s="960"/>
      <c r="B849" s="960"/>
      <c r="C849" s="960"/>
      <c r="D849" s="960"/>
      <c r="E849" s="960"/>
      <c r="F849" s="960"/>
      <c r="G849" s="960"/>
      <c r="H849" s="960"/>
      <c r="I849" s="2164"/>
      <c r="J849" s="960"/>
      <c r="K849" s="712"/>
      <c r="N849" s="1049"/>
      <c r="O849" s="960"/>
      <c r="P849" s="960"/>
      <c r="Q849" s="960"/>
      <c r="R849" s="960"/>
      <c r="S849" s="960"/>
      <c r="T849" s="960"/>
      <c r="U849" s="62"/>
    </row>
    <row r="850" spans="1:21" s="1808" customFormat="1" ht="16" thickBot="1">
      <c r="A850" s="960"/>
      <c r="B850" s="960"/>
      <c r="C850" s="960"/>
      <c r="D850" s="960"/>
      <c r="E850" s="960"/>
      <c r="F850" s="960"/>
      <c r="G850" s="960"/>
      <c r="H850" s="960"/>
      <c r="I850" s="2164"/>
      <c r="J850" s="960"/>
      <c r="K850" s="712"/>
      <c r="N850" s="1049" t="s">
        <v>2171</v>
      </c>
      <c r="O850" s="960"/>
      <c r="P850" s="960"/>
      <c r="Q850" s="1500">
        <v>2021</v>
      </c>
      <c r="R850" s="1762">
        <v>2022</v>
      </c>
      <c r="S850" s="1762">
        <v>2023</v>
      </c>
      <c r="T850" s="1762">
        <v>2024</v>
      </c>
      <c r="U850" s="1763">
        <v>2025</v>
      </c>
    </row>
    <row r="851" spans="1:21" s="1808" customFormat="1" ht="16" thickBot="1">
      <c r="A851" s="960"/>
      <c r="B851" s="960"/>
      <c r="C851" s="960"/>
      <c r="D851" s="960"/>
      <c r="E851" s="960"/>
      <c r="F851" s="960"/>
      <c r="G851" s="960"/>
      <c r="H851" s="960"/>
      <c r="I851" s="2164"/>
      <c r="J851" s="960"/>
      <c r="K851" s="712"/>
      <c r="N851" s="1764"/>
      <c r="O851" s="1504"/>
      <c r="P851" s="1504"/>
      <c r="Q851" s="1713">
        <v>0</v>
      </c>
      <c r="R851" s="1713">
        <v>1</v>
      </c>
      <c r="S851" s="1713">
        <v>0</v>
      </c>
      <c r="T851" s="1713">
        <v>0</v>
      </c>
      <c r="U851" s="1765">
        <v>0</v>
      </c>
    </row>
    <row r="852" spans="1:21" s="1808" customFormat="1" ht="16" thickBot="1">
      <c r="A852" s="2157">
        <v>207</v>
      </c>
      <c r="B852" s="841">
        <f ca="1">Q852</f>
        <v>0</v>
      </c>
      <c r="C852" s="841">
        <f t="shared" ref="C852:F852" ca="1" si="101">R852</f>
        <v>20000</v>
      </c>
      <c r="D852" s="841">
        <f t="shared" ca="1" si="101"/>
        <v>0</v>
      </c>
      <c r="E852" s="841">
        <f t="shared" ca="1" si="101"/>
        <v>0</v>
      </c>
      <c r="F852" s="841">
        <f t="shared" ca="1" si="101"/>
        <v>0</v>
      </c>
      <c r="G852" s="841" t="s">
        <v>351</v>
      </c>
      <c r="H852" s="841" t="s">
        <v>3529</v>
      </c>
      <c r="I852" s="2180" t="s">
        <v>3716</v>
      </c>
      <c r="J852" s="841" t="s">
        <v>2985</v>
      </c>
      <c r="K852" s="712"/>
      <c r="N852" s="1710" t="s">
        <v>3044</v>
      </c>
      <c r="O852" s="1732"/>
      <c r="P852" s="1708"/>
      <c r="Q852" s="1495">
        <f ca="1">U847*Q851</f>
        <v>0</v>
      </c>
      <c r="R852" s="1495">
        <f ca="1">U847*R851</f>
        <v>20000</v>
      </c>
      <c r="S852" s="1495">
        <f ca="1">U847*S851</f>
        <v>0</v>
      </c>
      <c r="T852" s="1495">
        <f ca="1">U847*T851</f>
        <v>0</v>
      </c>
      <c r="U852" s="1495">
        <f ca="1">U847*U851</f>
        <v>0</v>
      </c>
    </row>
    <row r="853" spans="1:21" s="1808" customFormat="1">
      <c r="A853" s="960"/>
      <c r="B853" s="960"/>
      <c r="C853" s="960"/>
      <c r="D853" s="960"/>
      <c r="E853" s="960"/>
      <c r="F853" s="960"/>
      <c r="G853" s="960"/>
      <c r="H853" s="960"/>
      <c r="I853" s="2164"/>
      <c r="J853" s="960"/>
      <c r="K853" s="712"/>
    </row>
    <row r="854" spans="1:21" s="1808" customFormat="1">
      <c r="A854" s="960"/>
      <c r="B854" s="960"/>
      <c r="C854" s="960"/>
      <c r="D854" s="960"/>
      <c r="E854" s="960"/>
      <c r="F854" s="960"/>
      <c r="G854" s="960"/>
      <c r="H854" s="960"/>
      <c r="I854" s="2164"/>
      <c r="J854" s="960"/>
      <c r="K854" s="712"/>
    </row>
    <row r="855" spans="1:21" s="1808" customFormat="1">
      <c r="A855" s="960"/>
      <c r="B855" s="960"/>
      <c r="C855" s="960"/>
      <c r="D855" s="960"/>
      <c r="E855" s="960"/>
      <c r="F855" s="960"/>
      <c r="G855" s="960"/>
      <c r="H855" s="960"/>
      <c r="I855" s="2164"/>
      <c r="J855" s="960"/>
      <c r="K855" s="712"/>
    </row>
    <row r="856" spans="1:21" s="1808" customFormat="1">
      <c r="A856" s="960"/>
      <c r="B856" s="960"/>
      <c r="C856" s="960"/>
      <c r="D856" s="960"/>
      <c r="E856" s="960"/>
      <c r="F856" s="960"/>
      <c r="G856" s="960"/>
      <c r="H856" s="960"/>
      <c r="I856" s="2164"/>
      <c r="J856" s="960"/>
      <c r="K856" s="712"/>
    </row>
    <row r="857" spans="1:21" ht="15" customHeight="1" thickBot="1">
      <c r="K857" s="712" t="s">
        <v>238</v>
      </c>
      <c r="L857" s="1879" t="s">
        <v>3623</v>
      </c>
    </row>
    <row r="858" spans="1:21" ht="33">
      <c r="K858" s="712" t="s">
        <v>238</v>
      </c>
      <c r="L858" s="1879"/>
      <c r="N858" s="1766" t="s">
        <v>3054</v>
      </c>
      <c r="O858" s="1696"/>
      <c r="P858" s="1767"/>
      <c r="Q858" s="1220"/>
      <c r="R858" s="966"/>
      <c r="S858" s="1768"/>
      <c r="T858" s="966"/>
      <c r="U858" s="967"/>
    </row>
    <row r="859" spans="1:21" ht="33">
      <c r="K859" s="712" t="s">
        <v>238</v>
      </c>
      <c r="L859" s="1879"/>
      <c r="N859" s="1769" t="s">
        <v>3055</v>
      </c>
      <c r="O859" s="1693"/>
      <c r="P859" s="958"/>
      <c r="Q859" s="1040">
        <v>1</v>
      </c>
      <c r="R859" s="960"/>
      <c r="S859" s="960"/>
      <c r="T859" s="960"/>
      <c r="U859" s="62"/>
    </row>
    <row r="860" spans="1:21" ht="33">
      <c r="K860" s="712" t="s">
        <v>238</v>
      </c>
      <c r="L860" s="1879"/>
      <c r="N860" s="1769" t="s">
        <v>3056</v>
      </c>
      <c r="O860" s="1693"/>
      <c r="P860" s="958"/>
      <c r="Q860" s="1040">
        <v>20</v>
      </c>
      <c r="R860" s="960"/>
      <c r="S860" s="960"/>
      <c r="T860" s="960"/>
      <c r="U860" s="62"/>
    </row>
    <row r="861" spans="1:21" ht="32">
      <c r="K861" s="712" t="s">
        <v>238</v>
      </c>
      <c r="N861" s="1769" t="s">
        <v>3057</v>
      </c>
      <c r="O861" s="1693"/>
      <c r="P861" s="958"/>
      <c r="Q861" s="1040">
        <v>1</v>
      </c>
      <c r="R861" s="960"/>
      <c r="S861" s="960"/>
      <c r="T861" s="960"/>
      <c r="U861" s="62"/>
    </row>
    <row r="862" spans="1:21" ht="32">
      <c r="K862" s="712" t="s">
        <v>238</v>
      </c>
      <c r="N862" s="1769" t="s">
        <v>3052</v>
      </c>
      <c r="O862" s="1693"/>
      <c r="P862" s="1694">
        <v>0</v>
      </c>
      <c r="Q862" s="1028">
        <f>ROUND(Q860*P862,0)</f>
        <v>0</v>
      </c>
      <c r="R862" s="960"/>
      <c r="S862" s="960"/>
      <c r="T862" s="960"/>
      <c r="U862" s="62"/>
    </row>
    <row r="863" spans="1:21" ht="32">
      <c r="K863" s="712" t="s">
        <v>238</v>
      </c>
      <c r="N863" s="1769" t="s">
        <v>3053</v>
      </c>
      <c r="O863" s="1693"/>
      <c r="P863" s="1694">
        <v>0.75</v>
      </c>
      <c r="Q863" s="1028">
        <f>ROUND(Q860*P863,0)</f>
        <v>15</v>
      </c>
      <c r="R863" s="960"/>
      <c r="S863" s="960"/>
      <c r="T863" s="960"/>
      <c r="U863" s="62"/>
    </row>
    <row r="864" spans="1:21">
      <c r="K864" s="712" t="s">
        <v>238</v>
      </c>
      <c r="N864" s="1770" t="s">
        <v>3036</v>
      </c>
      <c r="O864" s="1019"/>
      <c r="P864" s="1695"/>
      <c r="Q864" s="1028">
        <f>Q861-1</f>
        <v>0</v>
      </c>
      <c r="R864" s="960"/>
      <c r="S864" s="960"/>
      <c r="T864" s="960"/>
      <c r="U864" s="62"/>
    </row>
    <row r="865" spans="11:21" ht="16" thickBot="1">
      <c r="K865" s="712" t="s">
        <v>238</v>
      </c>
      <c r="N865" s="1049"/>
      <c r="O865" s="960"/>
      <c r="P865" s="960"/>
      <c r="Q865" s="960"/>
      <c r="R865" s="960"/>
      <c r="S865" s="960"/>
      <c r="T865" s="960"/>
      <c r="U865" s="62"/>
    </row>
    <row r="866" spans="11:21" ht="32">
      <c r="K866" s="712" t="s">
        <v>238</v>
      </c>
      <c r="N866" s="1699" t="s">
        <v>3033</v>
      </c>
      <c r="O866" s="1700" t="s">
        <v>3034</v>
      </c>
      <c r="P866" s="1702" t="s">
        <v>3040</v>
      </c>
      <c r="Q866" s="1702" t="s">
        <v>3041</v>
      </c>
      <c r="R866" s="1702" t="s">
        <v>3042</v>
      </c>
      <c r="S866" s="1700" t="s">
        <v>3035</v>
      </c>
      <c r="T866" s="1702" t="s">
        <v>3039</v>
      </c>
      <c r="U866" s="1701" t="s">
        <v>2189</v>
      </c>
    </row>
    <row r="867" spans="11:21">
      <c r="K867" s="712" t="s">
        <v>238</v>
      </c>
      <c r="N867" s="1539" t="s">
        <v>3051</v>
      </c>
      <c r="O867" s="958" t="str">
        <f>IFERROR(VLOOKUP(N867,Price_list!$B$1:$H$187,2,0),"")</f>
        <v>International Consultancy fee (3.1)</v>
      </c>
      <c r="P867" s="958" t="str">
        <f>IFERROR(VLOOKUP(N867,Price_list!$B$1:$H$187,3,0),"")</f>
        <v>cost/zi</v>
      </c>
      <c r="Q867" s="946">
        <f>IFERROR(VLOOKUP(N867,Price_list!$B$1:$H$187,4,0),"")</f>
        <v>350</v>
      </c>
      <c r="R867" s="946" t="str">
        <f>IFERROR(VLOOKUP(N867,Price_list!$B$1:$H$187,5,0),"")</f>
        <v>EUR</v>
      </c>
      <c r="S867" s="958">
        <f ca="1">ROUND(IFERROR(IF(R867="MDL",Q867,Q867*INDIRECT(R867)),0),2)</f>
        <v>6868.65</v>
      </c>
      <c r="T867" s="1888">
        <f>Q861</f>
        <v>1</v>
      </c>
      <c r="U867" s="1889">
        <f ca="1">IFERROR(Q858*S867*T867,"")</f>
        <v>0</v>
      </c>
    </row>
    <row r="868" spans="11:21">
      <c r="K868" s="712" t="s">
        <v>238</v>
      </c>
      <c r="N868" s="1539" t="s">
        <v>3029</v>
      </c>
      <c r="O868" s="958" t="str">
        <f>IFERROR(VLOOKUP(N868,Price_list!$B$1:$H$187,2,0),"")</f>
        <v xml:space="preserve">Travel costs </v>
      </c>
      <c r="P868" s="958" t="str">
        <f>IFERROR(VLOOKUP(N868,Price_list!$B$1:$H$187,3,0),"")</f>
        <v>cost tichet o directie</v>
      </c>
      <c r="Q868" s="946">
        <f>IFERROR(VLOOKUP(N868,Price_list!$B$1:$H$187,4,0),"")</f>
        <v>5000</v>
      </c>
      <c r="R868" s="946" t="str">
        <f>IFERROR(VLOOKUP(N868,Price_list!$B$1:$H$187,5,0),"")</f>
        <v>MDL</v>
      </c>
      <c r="S868" s="958">
        <f t="shared" ref="S868:S884" ca="1" si="102">ROUND(IFERROR(IF(R868="MDL",Q868,Q868*INDIRECT(R868)),0),2)</f>
        <v>5000</v>
      </c>
      <c r="T868" s="1040">
        <v>2</v>
      </c>
      <c r="U868" s="1889">
        <f ca="1">Q858*T868*S868</f>
        <v>0</v>
      </c>
    </row>
    <row r="869" spans="11:21">
      <c r="K869" s="712" t="s">
        <v>238</v>
      </c>
      <c r="N869" s="1539" t="s">
        <v>3020</v>
      </c>
      <c r="O869" s="958" t="str">
        <f>IFERROR(VLOOKUP(N869,Price_list!$B$1:$H$187,2,0),"")</f>
        <v xml:space="preserve">Per diem, WHO DSA, average </v>
      </c>
      <c r="P869" s="958" t="str">
        <f>IFERROR(VLOOKUP(N869,Price_list!$B$1:$H$187,3,0),"")</f>
        <v>diurna</v>
      </c>
      <c r="Q869" s="946">
        <f>IFERROR(VLOOKUP(N869,Price_list!$B$1:$H$187,4,0),"")</f>
        <v>200</v>
      </c>
      <c r="R869" s="946" t="str">
        <f>IFERROR(VLOOKUP(N869,Price_list!$B$1:$H$187,5,0),"")</f>
        <v>EUR</v>
      </c>
      <c r="S869" s="958">
        <f t="shared" ca="1" si="102"/>
        <v>3924.94</v>
      </c>
      <c r="T869" s="946">
        <f>Q861+1</f>
        <v>2</v>
      </c>
      <c r="U869" s="1889">
        <f ca="1">Q858*S869*T869</f>
        <v>0</v>
      </c>
    </row>
    <row r="870" spans="11:21">
      <c r="K870" s="712" t="s">
        <v>238</v>
      </c>
      <c r="N870" s="1539" t="s">
        <v>3050</v>
      </c>
      <c r="O870" s="958" t="str">
        <f>IFERROR(VLOOKUP(N870,Price_list!$B$1:$H$187,2,0),"")</f>
        <v>National Consultancy fee (3.1)</v>
      </c>
      <c r="P870" s="958" t="str">
        <f>IFERROR(VLOOKUP(N870,Price_list!$B$1:$H$187,3,0),"")</f>
        <v>cost/zi</v>
      </c>
      <c r="Q870" s="946">
        <f>IFERROR(VLOOKUP(N870,Price_list!$B$1:$H$187,4,0),"")</f>
        <v>2000</v>
      </c>
      <c r="R870" s="946" t="str">
        <f>IFERROR(VLOOKUP(N870,Price_list!$B$1:$H$187,5,0),"")</f>
        <v>MDL</v>
      </c>
      <c r="S870" s="958">
        <f t="shared" ca="1" si="102"/>
        <v>2000</v>
      </c>
      <c r="T870" s="946">
        <f>Q861</f>
        <v>1</v>
      </c>
      <c r="U870" s="1889">
        <f ca="1">Q859*S870*T870</f>
        <v>2000</v>
      </c>
    </row>
    <row r="871" spans="11:21">
      <c r="K871" s="712" t="s">
        <v>238</v>
      </c>
      <c r="N871" s="1539"/>
      <c r="O871" s="958" t="str">
        <f>IFERROR(VLOOKUP(N871,Price_list!$B$1:$H$187,2,0),"")</f>
        <v/>
      </c>
      <c r="P871" s="958" t="str">
        <f>IFERROR(VLOOKUP(N871,Price_list!$B$1:$H$187,3,0),"")</f>
        <v/>
      </c>
      <c r="Q871" s="946" t="str">
        <f>IFERROR(VLOOKUP(N871,Price_list!$B$1:$H$187,4,0),"")</f>
        <v/>
      </c>
      <c r="R871" s="946" t="str">
        <f>IFERROR(VLOOKUP(N871,Price_list!$B$1:$H$187,5,0),"")</f>
        <v/>
      </c>
      <c r="S871" s="958">
        <f t="shared" ca="1" si="102"/>
        <v>0</v>
      </c>
      <c r="T871" s="946" t="str">
        <f>IFERROR(VLOOKUP(AE870,N862:P867,3,0),"")</f>
        <v/>
      </c>
      <c r="U871" s="1889" t="str">
        <f>IFERROR(#REF!*T871*Q871,"")</f>
        <v/>
      </c>
    </row>
    <row r="872" spans="11:21">
      <c r="K872" s="712" t="s">
        <v>238</v>
      </c>
      <c r="N872" s="1539"/>
      <c r="O872" s="958" t="str">
        <f>IFERROR(VLOOKUP(N872,Price_list!$B$1:$H$187,2,0),"")</f>
        <v/>
      </c>
      <c r="P872" s="958" t="str">
        <f>IFERROR(VLOOKUP(N872,Price_list!$B$1:$H$187,3,0),"")</f>
        <v/>
      </c>
      <c r="Q872" s="946" t="str">
        <f>IFERROR(VLOOKUP(N872,Price_list!$B$1:$H$187,4,0),"")</f>
        <v/>
      </c>
      <c r="R872" s="946" t="str">
        <f>IFERROR(VLOOKUP(N872,Price_list!$B$1:$H$187,5,0),"")</f>
        <v/>
      </c>
      <c r="S872" s="958">
        <f t="shared" ca="1" si="102"/>
        <v>0</v>
      </c>
      <c r="T872" s="946" t="str">
        <f>IFERROR(VLOOKUP(AE871,N864:P868,3,0),"")</f>
        <v/>
      </c>
      <c r="U872" s="1889" t="str">
        <f>IFERROR(#REF!*T872*Q872,"")</f>
        <v/>
      </c>
    </row>
    <row r="873" spans="11:21">
      <c r="K873" s="712" t="s">
        <v>238</v>
      </c>
      <c r="N873" s="1539" t="s">
        <v>3016</v>
      </c>
      <c r="O873" s="958" t="str">
        <f>IFERROR(VLOOKUP(N873,Price_list!$B$1:$H$187,2,0),"")</f>
        <v>Coffe break</v>
      </c>
      <c r="P873" s="958" t="str">
        <f>IFERROR(VLOOKUP(N873,Price_list!$B$1:$H$187,3,0),"")</f>
        <v>unitate</v>
      </c>
      <c r="Q873" s="946">
        <f>IFERROR(VLOOKUP(N873,Price_list!$B$1:$H$187,4,0),"")</f>
        <v>75</v>
      </c>
      <c r="R873" s="946" t="str">
        <f>IFERROR(VLOOKUP(N873,Price_list!$B$1:$H$187,5,0),"")</f>
        <v>MDL</v>
      </c>
      <c r="S873" s="958">
        <f t="shared" ca="1" si="102"/>
        <v>75</v>
      </c>
      <c r="T873" s="946">
        <v>2</v>
      </c>
      <c r="U873" s="1889">
        <f ca="1">T873*S873*Q860*Q861</f>
        <v>3000</v>
      </c>
    </row>
    <row r="874" spans="11:21">
      <c r="K874" s="712" t="s">
        <v>238</v>
      </c>
      <c r="N874" s="1539" t="s">
        <v>3021</v>
      </c>
      <c r="O874" s="958" t="str">
        <f>IFERROR(VLOOKUP(N874,Price_list!$B$1:$H$187,2,0),"")</f>
        <v xml:space="preserve">Meal ( lunch) </v>
      </c>
      <c r="P874" s="958" t="str">
        <f>IFERROR(VLOOKUP(N874,Price_list!$B$1:$H$187,3,0),"")</f>
        <v>unitate</v>
      </c>
      <c r="Q874" s="946">
        <f>IFERROR(VLOOKUP(N874,Price_list!$B$1:$H$187,4,0),"")</f>
        <v>220</v>
      </c>
      <c r="R874" s="946" t="str">
        <f>IFERROR(VLOOKUP(N874,Price_list!$B$1:$H$187,5,0),"")</f>
        <v>MDL</v>
      </c>
      <c r="S874" s="958">
        <f t="shared" ca="1" si="102"/>
        <v>220</v>
      </c>
      <c r="T874" s="946">
        <f>Q861</f>
        <v>1</v>
      </c>
      <c r="U874" s="1889">
        <f ca="1">Q860*T874*S874</f>
        <v>4400</v>
      </c>
    </row>
    <row r="875" spans="11:21">
      <c r="K875" s="712" t="s">
        <v>238</v>
      </c>
      <c r="N875" s="1539" t="s">
        <v>3023</v>
      </c>
      <c r="O875" s="958" t="str">
        <f>IFERROR(VLOOKUP(N875,Price_list!$B$1:$H$187,2,0),"")</f>
        <v>Meal(dinner)</v>
      </c>
      <c r="P875" s="958" t="str">
        <f>IFERROR(VLOOKUP(N875,Price_list!$B$1:$H$187,3,0),"")</f>
        <v>unitate</v>
      </c>
      <c r="Q875" s="946">
        <f>IFERROR(VLOOKUP(N875,Price_list!$B$1:$H$187,4,0),"")</f>
        <v>220</v>
      </c>
      <c r="R875" s="946" t="str">
        <f>IFERROR(VLOOKUP(N875,Price_list!$B$1:$H$187,5,0),"")</f>
        <v>MDL</v>
      </c>
      <c r="S875" s="958">
        <f t="shared" ca="1" si="102"/>
        <v>220</v>
      </c>
      <c r="T875" s="946">
        <f>Q864</f>
        <v>0</v>
      </c>
      <c r="U875" s="1889">
        <f ca="1">T875*S875*Q862</f>
        <v>0</v>
      </c>
    </row>
    <row r="876" spans="11:21">
      <c r="K876" s="712" t="s">
        <v>238</v>
      </c>
      <c r="N876" s="1539" t="s">
        <v>3024</v>
      </c>
      <c r="O876" s="958" t="str">
        <f>IFERROR(VLOOKUP(N876,Price_list!$B$1:$H$187,2,0),"")</f>
        <v xml:space="preserve">Accomodation </v>
      </c>
      <c r="P876" s="958" t="str">
        <f>IFERROR(VLOOKUP(N876,Price_list!$B$1:$H$187,3,0),"")</f>
        <v>cost/noapte</v>
      </c>
      <c r="Q876" s="946">
        <f>IFERROR(VLOOKUP(N876,Price_list!$B$1:$H$187,4,0),"")</f>
        <v>750</v>
      </c>
      <c r="R876" s="946" t="str">
        <f>IFERROR(VLOOKUP(N876,Price_list!$B$1:$H$187,5,0),"")</f>
        <v>MDL</v>
      </c>
      <c r="S876" s="958">
        <f t="shared" ca="1" si="102"/>
        <v>750</v>
      </c>
      <c r="T876" s="946">
        <f>Q864</f>
        <v>0</v>
      </c>
      <c r="U876" s="1889">
        <f ca="1">T876*S876*Q862</f>
        <v>0</v>
      </c>
    </row>
    <row r="877" spans="11:21">
      <c r="K877" s="712" t="s">
        <v>238</v>
      </c>
      <c r="N877" s="1539" t="s">
        <v>3030</v>
      </c>
      <c r="O877" s="958" t="str">
        <f>IFERROR(VLOOKUP(N877,Price_list!$B$1:$H$187,2,0),"")</f>
        <v>Travel participants</v>
      </c>
      <c r="P877" s="958" t="str">
        <f>IFERROR(VLOOKUP(N877,Price_list!$B$1:$H$187,3,0),"")</f>
        <v>cost tichet o directie</v>
      </c>
      <c r="Q877" s="946">
        <f>IFERROR(VLOOKUP(N877,Price_list!$B$1:$H$187,4,0),"")</f>
        <v>80</v>
      </c>
      <c r="R877" s="946" t="str">
        <f>IFERROR(VLOOKUP(N877,Price_list!$B$1:$H$187,5,0),"")</f>
        <v>MDL</v>
      </c>
      <c r="S877" s="958">
        <f t="shared" ca="1" si="102"/>
        <v>80</v>
      </c>
      <c r="T877" s="1040">
        <v>2</v>
      </c>
      <c r="U877" s="1889">
        <f ca="1">T877*Q863*S877</f>
        <v>2400</v>
      </c>
    </row>
    <row r="878" spans="11:21">
      <c r="K878" s="712" t="s">
        <v>238</v>
      </c>
      <c r="N878" s="1539"/>
      <c r="O878" s="958" t="str">
        <f>IFERROR(VLOOKUP(N878,Price_list!$B$1:$H$187,2,0),"")</f>
        <v/>
      </c>
      <c r="P878" s="958" t="str">
        <f>IFERROR(VLOOKUP(N878,Price_list!$B$1:$H$187,3,0),"")</f>
        <v/>
      </c>
      <c r="Q878" s="946" t="str">
        <f>IFERROR(VLOOKUP(N878,Price_list!$B$1:$H$187,4,0),"")</f>
        <v/>
      </c>
      <c r="R878" s="946" t="str">
        <f>IFERROR(VLOOKUP(N878,Price_list!$B$1:$H$187,5,0),"")</f>
        <v/>
      </c>
      <c r="S878" s="958">
        <f t="shared" ca="1" si="102"/>
        <v>0</v>
      </c>
      <c r="T878" s="946" t="str">
        <f>IFERROR(VLOOKUP(AE877,N868:P874,3,0),"")</f>
        <v/>
      </c>
      <c r="U878" s="1889" t="str">
        <f>IFERROR(#REF!*T878*Q878,"")</f>
        <v/>
      </c>
    </row>
    <row r="879" spans="11:21">
      <c r="K879" s="712" t="s">
        <v>238</v>
      </c>
      <c r="N879" s="1539" t="s">
        <v>3025</v>
      </c>
      <c r="O879" s="958" t="str">
        <f>IFERROR(VLOOKUP(N879,Price_list!$B$1:$H$187,2,0),"")</f>
        <v>Supplies</v>
      </c>
      <c r="P879" s="958" t="str">
        <f>IFERROR(VLOOKUP(N879,Price_list!$B$1:$H$187,3,0),"")</f>
        <v>set/participant</v>
      </c>
      <c r="Q879" s="946">
        <f>IFERROR(VLOOKUP(N879,Price_list!$B$1:$H$187,4,0),"")</f>
        <v>140</v>
      </c>
      <c r="R879" s="946" t="str">
        <f>IFERROR(VLOOKUP(N879,Price_list!$B$1:$H$187,5,0),"")</f>
        <v>MDL</v>
      </c>
      <c r="S879" s="958">
        <f t="shared" ca="1" si="102"/>
        <v>140</v>
      </c>
      <c r="T879" s="946">
        <v>1</v>
      </c>
      <c r="U879" s="1889">
        <f ca="1">T879*S879*Q860</f>
        <v>2800</v>
      </c>
    </row>
    <row r="880" spans="11:21">
      <c r="K880" s="712" t="s">
        <v>238</v>
      </c>
      <c r="N880" s="1539" t="s">
        <v>3022</v>
      </c>
      <c r="O880" s="958" t="str">
        <f>IFERROR(VLOOKUP(N880,Price_list!$B$1:$H$187,2,0),"")</f>
        <v>Rent of premises</v>
      </c>
      <c r="P880" s="958" t="str">
        <f>IFERROR(VLOOKUP(N880,Price_list!$B$1:$H$187,3,0),"")</f>
        <v>cost/zi</v>
      </c>
      <c r="Q880" s="946">
        <f>IFERROR(VLOOKUP(N880,Price_list!$B$1:$H$187,4,0),"")</f>
        <v>1800</v>
      </c>
      <c r="R880" s="946" t="str">
        <f>IFERROR(VLOOKUP(N880,Price_list!$B$1:$H$187,5,0),"")</f>
        <v>MDL</v>
      </c>
      <c r="S880" s="958">
        <f t="shared" ca="1" si="102"/>
        <v>1800</v>
      </c>
      <c r="T880" s="946">
        <f>Q861</f>
        <v>1</v>
      </c>
      <c r="U880" s="1889">
        <f ca="1">T880*S880</f>
        <v>1800</v>
      </c>
    </row>
    <row r="881" spans="1:21">
      <c r="K881" s="712" t="s">
        <v>238</v>
      </c>
      <c r="N881" s="1539" t="s">
        <v>3031</v>
      </c>
      <c r="O881" s="958" t="str">
        <f>IFERROR(VLOOKUP(N881,Price_list!$B$1:$H$187,2,0),"")</f>
        <v>Interpreter's fee, per day</v>
      </c>
      <c r="P881" s="958" t="str">
        <f>IFERROR(VLOOKUP(N881,Price_list!$B$1:$H$187,3,0),"")</f>
        <v>cost/zi</v>
      </c>
      <c r="Q881" s="946">
        <f>IFERROR(VLOOKUP(N881,Price_list!$B$1:$H$187,4,0),"")</f>
        <v>2000</v>
      </c>
      <c r="R881" s="946" t="str">
        <f>IFERROR(VLOOKUP(N881,Price_list!$B$1:$H$187,5,0),"")</f>
        <v>MDL</v>
      </c>
      <c r="S881" s="958">
        <f t="shared" ca="1" si="102"/>
        <v>2000</v>
      </c>
      <c r="T881" s="946">
        <f>IF(Q858&gt;0,Q861,0)</f>
        <v>0</v>
      </c>
      <c r="U881" s="1889">
        <f ca="1">T881*S881</f>
        <v>0</v>
      </c>
    </row>
    <row r="882" spans="1:21">
      <c r="K882" s="712" t="s">
        <v>238</v>
      </c>
      <c r="N882" s="1539"/>
      <c r="O882" s="958" t="str">
        <f>IFERROR(VLOOKUP(N882,Price_list!$B$1:$H$187,2,0),"")</f>
        <v/>
      </c>
      <c r="P882" s="958" t="str">
        <f>IFERROR(VLOOKUP(N882,Price_list!$B$1:$H$187,3,0),"")</f>
        <v/>
      </c>
      <c r="Q882" s="946" t="str">
        <f>IFERROR(VLOOKUP(N882,Price_list!$B$1:$H$187,4,0),"")</f>
        <v/>
      </c>
      <c r="R882" s="946" t="str">
        <f>IFERROR(VLOOKUP(N882,Price_list!$B$1:$H$187,5,0),"")</f>
        <v/>
      </c>
      <c r="S882" s="958">
        <f t="shared" ca="1" si="102"/>
        <v>0</v>
      </c>
      <c r="T882" s="946" t="str">
        <f>IFERROR(VLOOKUP(AE881,N873:P877,3,0),"")</f>
        <v/>
      </c>
      <c r="U882" s="1889" t="str">
        <f>IFERROR(#REF!*T882*Q882,"")</f>
        <v/>
      </c>
    </row>
    <row r="883" spans="1:21">
      <c r="K883" s="712" t="s">
        <v>238</v>
      </c>
      <c r="N883" s="1539"/>
      <c r="O883" s="958" t="str">
        <f>IFERROR(VLOOKUP(N883,Price_list!$B$1:$H$187,2,0),"")</f>
        <v/>
      </c>
      <c r="P883" s="958" t="str">
        <f>IFERROR(VLOOKUP(N883,Price_list!$B$1:$H$187,3,0),"")</f>
        <v/>
      </c>
      <c r="Q883" s="946" t="str">
        <f>IFERROR(VLOOKUP(N883,Price_list!$B$1:$H$187,4,0),"")</f>
        <v/>
      </c>
      <c r="R883" s="946" t="str">
        <f>IFERROR(VLOOKUP(N883,Price_list!$B$1:$H$187,5,0),"")</f>
        <v/>
      </c>
      <c r="S883" s="958">
        <f t="shared" ca="1" si="102"/>
        <v>0</v>
      </c>
      <c r="T883" s="946" t="str">
        <f>IFERROR(VLOOKUP(AE882,N874:P879,3,0),"")</f>
        <v/>
      </c>
      <c r="U883" s="1889" t="str">
        <f>IFERROR(#REF!*T883*Q883,"")</f>
        <v/>
      </c>
    </row>
    <row r="884" spans="1:21">
      <c r="K884" s="712" t="s">
        <v>238</v>
      </c>
      <c r="N884" s="1539"/>
      <c r="O884" s="958" t="str">
        <f>IFERROR(VLOOKUP(N884,Price_list!$B$1:$H$187,2,0),"")</f>
        <v/>
      </c>
      <c r="P884" s="958" t="str">
        <f>IFERROR(VLOOKUP(N884,Price_list!$B$1:$H$187,3,0),"")</f>
        <v/>
      </c>
      <c r="Q884" s="946" t="str">
        <f>IFERROR(VLOOKUP(N884,Price_list!$B$1:$H$187,4,0),"")</f>
        <v/>
      </c>
      <c r="R884" s="946" t="str">
        <f>IFERROR(VLOOKUP(N884,Price_list!$B$1:$H$187,5,0),"")</f>
        <v/>
      </c>
      <c r="S884" s="958">
        <f t="shared" ca="1" si="102"/>
        <v>0</v>
      </c>
      <c r="T884" s="946" t="str">
        <f>IFERROR(VLOOKUP(AE883,N875:P880,3,0),"")</f>
        <v/>
      </c>
      <c r="U884" s="1889" t="str">
        <f>IFERROR(#REF!*T884*Q884,"")</f>
        <v/>
      </c>
    </row>
    <row r="885" spans="1:21" ht="16" thickBot="1">
      <c r="K885" s="712" t="s">
        <v>238</v>
      </c>
      <c r="N885" s="1697"/>
      <c r="O885" s="1698" t="str">
        <f>IFERROR(VLOOKUP(N885,Price_list!$B$1:$H$187,2,0),"")</f>
        <v/>
      </c>
      <c r="P885" s="1698" t="str">
        <f>IFERROR(VLOOKUP(N885,Price_list!$B$1:$H$187,3,0),"")</f>
        <v/>
      </c>
      <c r="Q885" s="1034" t="str">
        <f>IFERROR(VLOOKUP(N885,Price_list!$B$1:$H$187,4,0),"")</f>
        <v/>
      </c>
      <c r="R885" s="1034" t="str">
        <f>IFERROR(VLOOKUP(N885,Price_list!$B$1:$H$187,5,0),"")</f>
        <v/>
      </c>
      <c r="S885" s="1698"/>
      <c r="T885" s="1034" t="str">
        <f>IFERROR(VLOOKUP(AE884,N876:P881,3,0),"")</f>
        <v/>
      </c>
      <c r="U885" s="1703">
        <f ca="1">SUM(U867:U884)</f>
        <v>16400</v>
      </c>
    </row>
    <row r="886" spans="1:21">
      <c r="K886" s="712" t="s">
        <v>238</v>
      </c>
      <c r="N886" s="1771" t="s">
        <v>3037</v>
      </c>
      <c r="O886" s="1742" t="s">
        <v>3006</v>
      </c>
      <c r="P886" s="1743"/>
      <c r="Q886" s="1772">
        <v>7.0000000000000007E-2</v>
      </c>
      <c r="R886" s="1773"/>
      <c r="S886" s="1773"/>
      <c r="T886" s="1773"/>
      <c r="U886" s="1774">
        <f ca="1">ROUND(U885*Q886,2)</f>
        <v>1148</v>
      </c>
    </row>
    <row r="887" spans="1:21" ht="16" thickBot="1">
      <c r="K887" s="712" t="s">
        <v>238</v>
      </c>
      <c r="N887" s="1049"/>
      <c r="O887" s="960"/>
      <c r="P887" s="960"/>
      <c r="Q887" s="960"/>
      <c r="R887" s="960"/>
      <c r="S887" s="960"/>
      <c r="T887" s="960"/>
      <c r="U887" s="62"/>
    </row>
    <row r="888" spans="1:21" ht="16" thickBot="1">
      <c r="K888" s="712" t="s">
        <v>238</v>
      </c>
      <c r="N888" s="1704" t="s">
        <v>3038</v>
      </c>
      <c r="O888" s="1761"/>
      <c r="P888" s="1761"/>
      <c r="Q888" s="1761"/>
      <c r="R888" s="1761"/>
      <c r="S888" s="1761"/>
      <c r="T888" s="1761"/>
      <c r="U888" s="1706">
        <f ca="1">U886+U885</f>
        <v>17548</v>
      </c>
    </row>
    <row r="889" spans="1:21">
      <c r="K889" s="712" t="s">
        <v>238</v>
      </c>
      <c r="N889" s="1049"/>
      <c r="O889" s="960"/>
      <c r="P889" s="960"/>
      <c r="Q889" s="960"/>
      <c r="R889" s="960"/>
      <c r="S889" s="960"/>
      <c r="T889" s="960"/>
      <c r="U889" s="62"/>
    </row>
    <row r="890" spans="1:21" ht="16" thickBot="1">
      <c r="K890" s="712" t="s">
        <v>238</v>
      </c>
      <c r="N890" s="1049"/>
      <c r="O890" s="960"/>
      <c r="P890" s="960"/>
      <c r="Q890" s="960"/>
      <c r="R890" s="960"/>
      <c r="S890" s="960"/>
      <c r="T890" s="960"/>
      <c r="U890" s="62"/>
    </row>
    <row r="891" spans="1:21" ht="16" thickBot="1">
      <c r="K891" s="712" t="s">
        <v>238</v>
      </c>
      <c r="N891" s="1049" t="s">
        <v>2171</v>
      </c>
      <c r="O891" s="960"/>
      <c r="P891" s="960"/>
      <c r="Q891" s="1500">
        <v>2021</v>
      </c>
      <c r="R891" s="1762">
        <v>2022</v>
      </c>
      <c r="S891" s="1762">
        <v>2023</v>
      </c>
      <c r="T891" s="1762">
        <v>2024</v>
      </c>
      <c r="U891" s="1763">
        <v>2025</v>
      </c>
    </row>
    <row r="892" spans="1:21" ht="16" thickBot="1">
      <c r="K892" s="712" t="s">
        <v>238</v>
      </c>
      <c r="N892" s="1764" t="s">
        <v>3043</v>
      </c>
      <c r="O892" s="1504"/>
      <c r="P892" s="1504"/>
      <c r="Q892" s="1713">
        <v>1</v>
      </c>
      <c r="R892" s="1713">
        <v>1</v>
      </c>
      <c r="S892" s="1713">
        <v>1</v>
      </c>
      <c r="T892" s="1713">
        <v>0</v>
      </c>
      <c r="U892" s="1713">
        <v>0</v>
      </c>
    </row>
    <row r="893" spans="1:21" ht="16" thickBot="1">
      <c r="A893" s="2157">
        <v>208</v>
      </c>
      <c r="B893" s="841">
        <f ca="1">Q893</f>
        <v>17548</v>
      </c>
      <c r="C893" s="841">
        <f t="shared" ref="C893:D893" ca="1" si="103">R893</f>
        <v>17548</v>
      </c>
      <c r="D893" s="841">
        <f t="shared" ca="1" si="103"/>
        <v>17548</v>
      </c>
      <c r="E893" s="841"/>
      <c r="F893" s="841"/>
      <c r="G893" s="841" t="s">
        <v>351</v>
      </c>
      <c r="H893" s="841" t="s">
        <v>3528</v>
      </c>
      <c r="I893" s="2180" t="s">
        <v>3716</v>
      </c>
      <c r="J893" s="841" t="s">
        <v>2985</v>
      </c>
      <c r="K893" s="712" t="s">
        <v>238</v>
      </c>
      <c r="N893" s="1710" t="s">
        <v>3044</v>
      </c>
      <c r="O893" s="1732"/>
      <c r="P893" s="1708"/>
      <c r="Q893" s="1495">
        <f ca="1">U888*Q892</f>
        <v>17548</v>
      </c>
      <c r="R893" s="1495">
        <f ca="1">U888*R892</f>
        <v>17548</v>
      </c>
      <c r="S893" s="1495">
        <f ca="1">U888*S892</f>
        <v>17548</v>
      </c>
      <c r="T893" s="1495">
        <f ca="1">U888*T892</f>
        <v>0</v>
      </c>
      <c r="U893" s="1495">
        <f ca="1">U888*U892</f>
        <v>0</v>
      </c>
    </row>
    <row r="894" spans="1:21">
      <c r="K894" s="712" t="s">
        <v>238</v>
      </c>
    </row>
    <row r="895" spans="1:21">
      <c r="K895" s="712" t="s">
        <v>238</v>
      </c>
    </row>
    <row r="896" spans="1:21" s="1808" customFormat="1" ht="19">
      <c r="A896" s="960"/>
      <c r="B896" s="960"/>
      <c r="C896" s="960"/>
      <c r="D896" s="960"/>
      <c r="E896" s="960"/>
      <c r="F896" s="960"/>
      <c r="G896" s="960"/>
      <c r="H896" s="960"/>
      <c r="I896" s="2164"/>
      <c r="J896" s="960"/>
      <c r="K896" s="712"/>
      <c r="L896" s="1879" t="s">
        <v>3725</v>
      </c>
    </row>
    <row r="897" spans="1:21" s="1808" customFormat="1">
      <c r="A897" s="960"/>
      <c r="B897" s="960"/>
      <c r="C897" s="960"/>
      <c r="D897" s="960"/>
      <c r="E897" s="960"/>
      <c r="F897" s="960"/>
      <c r="G897" s="960"/>
      <c r="H897" s="960"/>
      <c r="I897" s="2164"/>
      <c r="J897" s="960"/>
      <c r="K897" s="712"/>
    </row>
    <row r="898" spans="1:21" s="1808" customFormat="1">
      <c r="A898" s="960"/>
      <c r="B898" s="960"/>
      <c r="C898" s="960"/>
      <c r="D898" s="960"/>
      <c r="E898" s="960"/>
      <c r="F898" s="960"/>
      <c r="G898" s="960"/>
      <c r="H898" s="960"/>
      <c r="I898" s="2164"/>
      <c r="J898" s="960"/>
      <c r="K898" s="712"/>
    </row>
    <row r="899" spans="1:21" s="1808" customFormat="1" ht="16" thickBot="1">
      <c r="A899" s="960"/>
      <c r="B899" s="960"/>
      <c r="C899" s="960"/>
      <c r="D899" s="960"/>
      <c r="E899" s="960"/>
      <c r="F899" s="960"/>
      <c r="G899" s="960"/>
      <c r="H899" s="960"/>
      <c r="I899" s="2164"/>
      <c r="J899" s="960"/>
      <c r="K899" s="712"/>
    </row>
    <row r="900" spans="1:21" s="1808" customFormat="1" ht="32">
      <c r="A900" s="960"/>
      <c r="B900" s="960"/>
      <c r="C900" s="960"/>
      <c r="D900" s="960"/>
      <c r="E900" s="960"/>
      <c r="F900" s="960"/>
      <c r="G900" s="960"/>
      <c r="H900" s="960"/>
      <c r="I900" s="2164"/>
      <c r="J900" s="960"/>
      <c r="K900" s="712"/>
      <c r="N900" s="1758" t="s">
        <v>2155</v>
      </c>
      <c r="O900" s="966"/>
      <c r="P900" s="966"/>
      <c r="Q900" s="966"/>
      <c r="R900" s="1759" t="s">
        <v>3060</v>
      </c>
      <c r="S900" s="966"/>
      <c r="T900" s="966"/>
      <c r="U900" s="967"/>
    </row>
    <row r="901" spans="1:21" s="1808" customFormat="1" ht="32">
      <c r="A901" s="960"/>
      <c r="B901" s="960"/>
      <c r="C901" s="960"/>
      <c r="D901" s="960"/>
      <c r="E901" s="960"/>
      <c r="F901" s="960"/>
      <c r="G901" s="960"/>
      <c r="H901" s="960"/>
      <c r="I901" s="2164"/>
      <c r="J901" s="960"/>
      <c r="K901" s="712"/>
      <c r="N901" s="1760" t="s">
        <v>3054</v>
      </c>
      <c r="O901" s="1749"/>
      <c r="P901" s="1565"/>
      <c r="Q901" s="1750"/>
      <c r="R901" s="1383"/>
      <c r="S901" s="960"/>
      <c r="T901" s="960"/>
      <c r="U901" s="62"/>
    </row>
    <row r="902" spans="1:21" s="1808" customFormat="1" ht="32">
      <c r="A902" s="960"/>
      <c r="B902" s="960"/>
      <c r="C902" s="960"/>
      <c r="D902" s="960"/>
      <c r="E902" s="960"/>
      <c r="F902" s="960"/>
      <c r="G902" s="960"/>
      <c r="H902" s="960"/>
      <c r="I902" s="2164"/>
      <c r="J902" s="960"/>
      <c r="K902" s="712"/>
      <c r="N902" s="1760" t="s">
        <v>3055</v>
      </c>
      <c r="O902" s="1749"/>
      <c r="P902" s="1565"/>
      <c r="Q902" s="1750">
        <v>1</v>
      </c>
      <c r="R902" s="1383">
        <v>10</v>
      </c>
      <c r="S902" s="960"/>
      <c r="T902" s="960"/>
      <c r="U902" s="62"/>
    </row>
    <row r="903" spans="1:21" s="1808" customFormat="1">
      <c r="A903" s="960"/>
      <c r="B903" s="960"/>
      <c r="C903" s="960"/>
      <c r="D903" s="960"/>
      <c r="E903" s="960"/>
      <c r="F903" s="960"/>
      <c r="G903" s="960"/>
      <c r="H903" s="960"/>
      <c r="I903" s="2164"/>
      <c r="J903" s="960"/>
      <c r="K903" s="712"/>
      <c r="N903" s="1049"/>
      <c r="O903" s="960"/>
      <c r="P903" s="960"/>
      <c r="Q903" s="960"/>
      <c r="R903" s="960"/>
      <c r="S903" s="960"/>
      <c r="T903" s="960"/>
      <c r="U903" s="62"/>
    </row>
    <row r="904" spans="1:21" s="1808" customFormat="1">
      <c r="A904" s="960"/>
      <c r="B904" s="960"/>
      <c r="C904" s="960"/>
      <c r="D904" s="960"/>
      <c r="E904" s="960"/>
      <c r="F904" s="960"/>
      <c r="G904" s="960"/>
      <c r="H904" s="960"/>
      <c r="I904" s="2164"/>
      <c r="J904" s="960"/>
      <c r="K904" s="712"/>
      <c r="N904" s="1049" t="s">
        <v>3059</v>
      </c>
      <c r="O904" s="960"/>
      <c r="P904" s="960"/>
      <c r="Q904" s="960"/>
      <c r="R904" s="960"/>
      <c r="S904" s="960"/>
      <c r="T904" s="960"/>
      <c r="U904" s="62"/>
    </row>
    <row r="905" spans="1:21" s="1808" customFormat="1" ht="32">
      <c r="A905" s="960"/>
      <c r="B905" s="960"/>
      <c r="C905" s="960"/>
      <c r="D905" s="960"/>
      <c r="E905" s="960"/>
      <c r="F905" s="960"/>
      <c r="G905" s="960"/>
      <c r="H905" s="960"/>
      <c r="I905" s="2164"/>
      <c r="J905" s="960"/>
      <c r="K905" s="712"/>
      <c r="N905" s="1760" t="s">
        <v>3061</v>
      </c>
      <c r="O905" s="1749"/>
      <c r="P905" s="1565"/>
      <c r="Q905" s="1750">
        <v>30</v>
      </c>
      <c r="R905" s="1383"/>
      <c r="S905" s="960"/>
      <c r="T905" s="960"/>
      <c r="U905" s="62"/>
    </row>
    <row r="906" spans="1:21" s="1808" customFormat="1" ht="32">
      <c r="A906" s="960"/>
      <c r="B906" s="960"/>
      <c r="C906" s="960"/>
      <c r="D906" s="960"/>
      <c r="E906" s="960"/>
      <c r="F906" s="960"/>
      <c r="G906" s="960"/>
      <c r="H906" s="960"/>
      <c r="I906" s="2164"/>
      <c r="J906" s="960"/>
      <c r="K906" s="712"/>
      <c r="N906" s="1760" t="s">
        <v>3062</v>
      </c>
      <c r="O906" s="1749"/>
      <c r="P906" s="1565"/>
      <c r="Q906" s="1750">
        <v>30</v>
      </c>
      <c r="R906" s="1383"/>
      <c r="S906" s="960"/>
      <c r="T906" s="960"/>
      <c r="U906" s="62"/>
    </row>
    <row r="907" spans="1:21" s="1808" customFormat="1">
      <c r="A907" s="960"/>
      <c r="B907" s="960"/>
      <c r="C907" s="960"/>
      <c r="D907" s="960"/>
      <c r="E907" s="960"/>
      <c r="F907" s="960"/>
      <c r="G907" s="960"/>
      <c r="H907" s="960"/>
      <c r="I907" s="2164"/>
      <c r="J907" s="960"/>
      <c r="K907" s="712"/>
      <c r="N907" s="1049"/>
      <c r="O907" s="960"/>
      <c r="P907" s="960"/>
      <c r="Q907" s="960"/>
      <c r="R907" s="960"/>
      <c r="S907" s="960"/>
      <c r="T907" s="960"/>
      <c r="U907" s="62"/>
    </row>
    <row r="908" spans="1:21" s="1808" customFormat="1">
      <c r="A908" s="960"/>
      <c r="B908" s="960"/>
      <c r="C908" s="960"/>
      <c r="D908" s="960"/>
      <c r="E908" s="960"/>
      <c r="F908" s="960"/>
      <c r="G908" s="960"/>
      <c r="H908" s="960"/>
      <c r="I908" s="2164"/>
      <c r="J908" s="960"/>
      <c r="K908" s="712"/>
      <c r="N908" s="1049"/>
      <c r="O908" s="960"/>
      <c r="P908" s="960"/>
      <c r="Q908" s="960"/>
      <c r="R908" s="960"/>
      <c r="S908" s="960"/>
      <c r="T908" s="960"/>
      <c r="U908" s="62"/>
    </row>
    <row r="909" spans="1:21" s="1808" customFormat="1" ht="16" thickBot="1">
      <c r="A909" s="960"/>
      <c r="B909" s="960"/>
      <c r="C909" s="960"/>
      <c r="D909" s="960"/>
      <c r="E909" s="960"/>
      <c r="F909" s="960"/>
      <c r="G909" s="960"/>
      <c r="H909" s="960"/>
      <c r="I909" s="2164"/>
      <c r="J909" s="960"/>
      <c r="K909" s="712"/>
      <c r="N909" s="1049" t="s">
        <v>3058</v>
      </c>
      <c r="O909" s="960"/>
      <c r="P909" s="960"/>
      <c r="Q909" s="960"/>
      <c r="R909" s="960"/>
      <c r="S909" s="960"/>
      <c r="T909" s="960"/>
      <c r="U909" s="62"/>
    </row>
    <row r="910" spans="1:21" s="1808" customFormat="1" ht="32">
      <c r="A910" s="960"/>
      <c r="B910" s="960"/>
      <c r="C910" s="960"/>
      <c r="D910" s="960"/>
      <c r="E910" s="960"/>
      <c r="F910" s="960"/>
      <c r="G910" s="960"/>
      <c r="H910" s="960"/>
      <c r="I910" s="2164"/>
      <c r="J910" s="960"/>
      <c r="K910" s="712"/>
      <c r="N910" s="1699" t="s">
        <v>3033</v>
      </c>
      <c r="O910" s="1700" t="s">
        <v>3034</v>
      </c>
      <c r="P910" s="1702" t="s">
        <v>3040</v>
      </c>
      <c r="Q910" s="1702" t="s">
        <v>3041</v>
      </c>
      <c r="R910" s="1702" t="s">
        <v>3042</v>
      </c>
      <c r="S910" s="1700" t="s">
        <v>3035</v>
      </c>
      <c r="T910" s="1702" t="s">
        <v>3067</v>
      </c>
      <c r="U910" s="1701" t="s">
        <v>2189</v>
      </c>
    </row>
    <row r="911" spans="1:21" s="1808" customFormat="1">
      <c r="A911" s="960"/>
      <c r="B911" s="960"/>
      <c r="C911" s="960"/>
      <c r="D911" s="960"/>
      <c r="E911" s="960"/>
      <c r="F911" s="960"/>
      <c r="G911" s="960"/>
      <c r="H911" s="960"/>
      <c r="I911" s="2164"/>
      <c r="J911" s="960"/>
      <c r="K911" s="712"/>
      <c r="N911" s="1539" t="s">
        <v>3051</v>
      </c>
      <c r="O911" s="958" t="str">
        <f>IFERROR(VLOOKUP(N911,Price_list!$B$1:$H$187,2,0),"")</f>
        <v>International Consultancy fee (3.1)</v>
      </c>
      <c r="P911" s="958" t="str">
        <f>IFERROR(VLOOKUP(N911,Price_list!$B$1:$H$187,3,0),"")</f>
        <v>cost/zi</v>
      </c>
      <c r="Q911" s="946">
        <f>IFERROR(VLOOKUP(N911,Price_list!$B$1:$H$187,4,0),"")</f>
        <v>350</v>
      </c>
      <c r="R911" s="946" t="str">
        <f>IFERROR(VLOOKUP(N911,Price_list!$B$1:$H$187,5,0),"")</f>
        <v>EUR</v>
      </c>
      <c r="S911" s="958">
        <f t="shared" ref="S911:S917" ca="1" si="104">ROUND(IFERROR(IF(R911="MDL",Q911,Q911*INDIRECT(R911)),0),2)</f>
        <v>6868.65</v>
      </c>
      <c r="T911" s="946">
        <f>Q901*R901</f>
        <v>0</v>
      </c>
      <c r="U911" s="2124">
        <f ca="1">T911*S911</f>
        <v>0</v>
      </c>
    </row>
    <row r="912" spans="1:21" s="1808" customFormat="1">
      <c r="A912" s="960"/>
      <c r="B912" s="960"/>
      <c r="C912" s="960"/>
      <c r="D912" s="960"/>
      <c r="E912" s="960"/>
      <c r="F912" s="960"/>
      <c r="G912" s="960"/>
      <c r="H912" s="960"/>
      <c r="I912" s="2164"/>
      <c r="J912" s="960"/>
      <c r="K912" s="712"/>
      <c r="N912" s="1539" t="s">
        <v>3050</v>
      </c>
      <c r="O912" s="958" t="str">
        <f>IFERROR(VLOOKUP(N912,Price_list!$B$1:$H$187,2,0),"")</f>
        <v>National Consultancy fee (3.1)</v>
      </c>
      <c r="P912" s="958" t="str">
        <f>IFERROR(VLOOKUP(N912,Price_list!$B$1:$H$187,3,0),"")</f>
        <v>cost/zi</v>
      </c>
      <c r="Q912" s="946">
        <f>IFERROR(VLOOKUP(N912,Price_list!$B$1:$H$187,4,0),"")</f>
        <v>2000</v>
      </c>
      <c r="R912" s="946" t="str">
        <f>IFERROR(VLOOKUP(N912,Price_list!$B$1:$H$187,5,0),"")</f>
        <v>MDL</v>
      </c>
      <c r="S912" s="958">
        <f t="shared" ca="1" si="104"/>
        <v>2000</v>
      </c>
      <c r="T912" s="946">
        <f>Q902*R902</f>
        <v>10</v>
      </c>
      <c r="U912" s="2124">
        <f ca="1">T912*S912</f>
        <v>20000</v>
      </c>
    </row>
    <row r="913" spans="1:21" s="1808" customFormat="1">
      <c r="A913" s="960"/>
      <c r="B913" s="960"/>
      <c r="C913" s="960"/>
      <c r="D913" s="960"/>
      <c r="E913" s="960"/>
      <c r="F913" s="960"/>
      <c r="G913" s="960"/>
      <c r="H913" s="960"/>
      <c r="I913" s="2164"/>
      <c r="J913" s="960"/>
      <c r="K913" s="712"/>
      <c r="N913" s="1539" t="s">
        <v>3063</v>
      </c>
      <c r="O913" s="958" t="str">
        <f>IFERROR(VLOOKUP(N913,Price_list!$B$1:$H$187,2,0),"")</f>
        <v>Translation per page</v>
      </c>
      <c r="P913" s="958" t="str">
        <f>IFERROR(VLOOKUP(N913,Price_list!$B$1:$H$187,3,0),"")</f>
        <v>pagina</v>
      </c>
      <c r="Q913" s="946">
        <f>IFERROR(VLOOKUP(N913,Price_list!$B$1:$H$187,4,0),"")</f>
        <v>150</v>
      </c>
      <c r="R913" s="946" t="str">
        <f>IFERROR(VLOOKUP(N913,Price_list!$B$1:$H$187,5,0),"")</f>
        <v>MDL</v>
      </c>
      <c r="S913" s="958">
        <f t="shared" ca="1" si="104"/>
        <v>150</v>
      </c>
      <c r="T913" s="946">
        <f>Q905</f>
        <v>30</v>
      </c>
      <c r="U913" s="2124">
        <f t="shared" ref="U913:U916" ca="1" si="105">T913*S913</f>
        <v>4500</v>
      </c>
    </row>
    <row r="914" spans="1:21" s="1808" customFormat="1">
      <c r="A914" s="960"/>
      <c r="B914" s="960"/>
      <c r="C914" s="960"/>
      <c r="D914" s="960"/>
      <c r="E914" s="960"/>
      <c r="F914" s="960"/>
      <c r="G914" s="960"/>
      <c r="H914" s="960"/>
      <c r="I914" s="2164"/>
      <c r="J914" s="960"/>
      <c r="K914" s="712"/>
      <c r="N914" s="1539" t="s">
        <v>3068</v>
      </c>
      <c r="O914" s="958" t="str">
        <f>IFERROR(VLOOKUP(N914,Price_list!$B$1:$H$187,2,0),"")</f>
        <v xml:space="preserve">Formatting, design, printing </v>
      </c>
      <c r="P914" s="958" t="str">
        <f>IFERROR(VLOOKUP(N914,Price_list!$B$1:$H$187,3,0),"")</f>
        <v>pagina</v>
      </c>
      <c r="Q914" s="946">
        <f>IFERROR(VLOOKUP(N914,Price_list!$B$1:$H$187,4,0),"")</f>
        <v>2</v>
      </c>
      <c r="R914" s="946" t="str">
        <f>IFERROR(VLOOKUP(N914,Price_list!$B$1:$H$187,5,0),"")</f>
        <v>MDL</v>
      </c>
      <c r="S914" s="958">
        <f t="shared" ca="1" si="104"/>
        <v>2</v>
      </c>
      <c r="T914" s="946">
        <f>Q905*Q906</f>
        <v>900</v>
      </c>
      <c r="U914" s="2124">
        <f t="shared" ca="1" si="105"/>
        <v>1800</v>
      </c>
    </row>
    <row r="915" spans="1:21" s="1808" customFormat="1">
      <c r="A915" s="960"/>
      <c r="B915" s="960"/>
      <c r="C915" s="960"/>
      <c r="D915" s="960"/>
      <c r="E915" s="960"/>
      <c r="F915" s="960"/>
      <c r="G915" s="960"/>
      <c r="H915" s="960"/>
      <c r="I915" s="2164"/>
      <c r="J915" s="960"/>
      <c r="K915" s="712"/>
      <c r="N915" s="1539"/>
      <c r="O915" s="958" t="str">
        <f>IFERROR(VLOOKUP(N915,Price_list!$B$1:$H$187,2,0),"")</f>
        <v/>
      </c>
      <c r="P915" s="958" t="str">
        <f>IFERROR(VLOOKUP(N915,Price_list!$B$1:$H$187,3,0),"")</f>
        <v/>
      </c>
      <c r="Q915" s="946" t="str">
        <f>IFERROR(VLOOKUP(N915,Price_list!$B$1:$H$187,4,0),"")</f>
        <v/>
      </c>
      <c r="R915" s="946" t="str">
        <f>IFERROR(VLOOKUP(N915,Price_list!$B$1:$H$187,5,0),"")</f>
        <v/>
      </c>
      <c r="S915" s="958">
        <f t="shared" ca="1" si="104"/>
        <v>0</v>
      </c>
      <c r="T915" s="946"/>
      <c r="U915" s="2124">
        <f t="shared" ca="1" si="105"/>
        <v>0</v>
      </c>
    </row>
    <row r="916" spans="1:21" s="1808" customFormat="1">
      <c r="A916" s="960"/>
      <c r="B916" s="960"/>
      <c r="C916" s="960"/>
      <c r="D916" s="960"/>
      <c r="E916" s="960"/>
      <c r="F916" s="960"/>
      <c r="G916" s="960"/>
      <c r="H916" s="960"/>
      <c r="I916" s="2164"/>
      <c r="J916" s="960"/>
      <c r="K916" s="712"/>
      <c r="N916" s="1539"/>
      <c r="O916" s="958" t="str">
        <f>IFERROR(VLOOKUP(N916,Price_list!$B$1:$H$187,2,0),"")</f>
        <v/>
      </c>
      <c r="P916" s="958" t="str">
        <f>IFERROR(VLOOKUP(N916,Price_list!$B$1:$H$187,3,0),"")</f>
        <v/>
      </c>
      <c r="Q916" s="946" t="str">
        <f>IFERROR(VLOOKUP(N916,Price_list!$B$1:$H$187,4,0),"")</f>
        <v/>
      </c>
      <c r="R916" s="946" t="str">
        <f>IFERROR(VLOOKUP(N916,Price_list!$B$1:$H$187,5,0),"")</f>
        <v/>
      </c>
      <c r="S916" s="958">
        <f t="shared" ca="1" si="104"/>
        <v>0</v>
      </c>
      <c r="T916" s="946"/>
      <c r="U916" s="2124">
        <f t="shared" ca="1" si="105"/>
        <v>0</v>
      </c>
    </row>
    <row r="917" spans="1:21" s="1808" customFormat="1" ht="16" thickBot="1">
      <c r="A917" s="960"/>
      <c r="B917" s="960"/>
      <c r="C917" s="960"/>
      <c r="D917" s="960"/>
      <c r="E917" s="960"/>
      <c r="F917" s="960"/>
      <c r="G917" s="960"/>
      <c r="H917" s="960"/>
      <c r="I917" s="2164"/>
      <c r="J917" s="960"/>
      <c r="K917" s="712"/>
      <c r="N917" s="1539"/>
      <c r="O917" s="958" t="str">
        <f>IFERROR(VLOOKUP(N917,Price_list!$B$1:$H$187,2,0),"")</f>
        <v/>
      </c>
      <c r="P917" s="958" t="str">
        <f>IFERROR(VLOOKUP(N917,Price_list!$B$1:$H$187,3,0),"")</f>
        <v/>
      </c>
      <c r="Q917" s="946" t="str">
        <f>IFERROR(VLOOKUP(N917,Price_list!$B$1:$H$187,4,0),"")</f>
        <v/>
      </c>
      <c r="R917" s="946" t="str">
        <f>IFERROR(VLOOKUP(N917,Price_list!$B$1:$H$187,5,0),"")</f>
        <v/>
      </c>
      <c r="S917" s="958">
        <f t="shared" ca="1" si="104"/>
        <v>0</v>
      </c>
      <c r="T917" s="946"/>
      <c r="U917" s="2124">
        <f ca="1">T917*S917</f>
        <v>0</v>
      </c>
    </row>
    <row r="918" spans="1:21" s="1808" customFormat="1" ht="16" thickBot="1">
      <c r="A918" s="960"/>
      <c r="B918" s="960"/>
      <c r="C918" s="960"/>
      <c r="D918" s="960"/>
      <c r="E918" s="960"/>
      <c r="F918" s="960"/>
      <c r="G918" s="960"/>
      <c r="H918" s="960"/>
      <c r="I918" s="2164"/>
      <c r="J918" s="960"/>
      <c r="K918" s="712"/>
      <c r="N918" s="1704"/>
      <c r="O918" s="1761"/>
      <c r="P918" s="1761"/>
      <c r="Q918" s="1761"/>
      <c r="R918" s="1761"/>
      <c r="S918" s="1761"/>
      <c r="T918" s="1761"/>
      <c r="U918" s="1706">
        <f ca="1">SUM(U911:U917)</f>
        <v>26300</v>
      </c>
    </row>
    <row r="919" spans="1:21" s="1808" customFormat="1">
      <c r="A919" s="960"/>
      <c r="B919" s="960"/>
      <c r="C919" s="960"/>
      <c r="D919" s="960"/>
      <c r="E919" s="960"/>
      <c r="F919" s="960"/>
      <c r="G919" s="960"/>
      <c r="H919" s="960"/>
      <c r="I919" s="2164"/>
      <c r="J919" s="960"/>
      <c r="K919" s="712"/>
      <c r="N919" s="1049"/>
      <c r="O919" s="960"/>
      <c r="P919" s="960"/>
      <c r="Q919" s="960"/>
      <c r="R919" s="960"/>
      <c r="S919" s="960"/>
      <c r="T919" s="960"/>
      <c r="U919" s="62"/>
    </row>
    <row r="920" spans="1:21" s="1808" customFormat="1" ht="16" thickBot="1">
      <c r="A920" s="960"/>
      <c r="B920" s="960"/>
      <c r="C920" s="960"/>
      <c r="D920" s="960"/>
      <c r="E920" s="960"/>
      <c r="F920" s="960"/>
      <c r="G920" s="960"/>
      <c r="H920" s="960"/>
      <c r="I920" s="2164"/>
      <c r="J920" s="960"/>
      <c r="K920" s="712"/>
      <c r="N920" s="1049"/>
      <c r="O920" s="960"/>
      <c r="P920" s="960"/>
      <c r="Q920" s="960"/>
      <c r="R920" s="960"/>
      <c r="S920" s="960"/>
      <c r="T920" s="960"/>
      <c r="U920" s="62"/>
    </row>
    <row r="921" spans="1:21" s="1808" customFormat="1" ht="16" thickBot="1">
      <c r="A921" s="960"/>
      <c r="B921" s="960"/>
      <c r="C921" s="960"/>
      <c r="D921" s="960"/>
      <c r="E921" s="960"/>
      <c r="F921" s="960"/>
      <c r="G921" s="960"/>
      <c r="H921" s="960"/>
      <c r="I921" s="2164"/>
      <c r="J921" s="960"/>
      <c r="K921" s="712"/>
      <c r="N921" s="1049" t="s">
        <v>2171</v>
      </c>
      <c r="O921" s="960"/>
      <c r="P921" s="960"/>
      <c r="Q921" s="1500">
        <v>2021</v>
      </c>
      <c r="R921" s="1762">
        <v>2022</v>
      </c>
      <c r="S921" s="1762">
        <v>2023</v>
      </c>
      <c r="T921" s="1762">
        <v>2024</v>
      </c>
      <c r="U921" s="1763">
        <v>2025</v>
      </c>
    </row>
    <row r="922" spans="1:21" s="1808" customFormat="1" ht="16" thickBot="1">
      <c r="A922" s="960"/>
      <c r="B922" s="960"/>
      <c r="C922" s="960"/>
      <c r="D922" s="960"/>
      <c r="E922" s="960"/>
      <c r="F922" s="960"/>
      <c r="G922" s="960"/>
      <c r="H922" s="960"/>
      <c r="I922" s="2164"/>
      <c r="J922" s="960"/>
      <c r="K922" s="712"/>
      <c r="N922" s="1764"/>
      <c r="O922" s="1504"/>
      <c r="P922" s="1504"/>
      <c r="Q922" s="1713">
        <v>1</v>
      </c>
      <c r="R922" s="1713">
        <v>0</v>
      </c>
      <c r="S922" s="1713">
        <v>0</v>
      </c>
      <c r="T922" s="1713">
        <v>0</v>
      </c>
      <c r="U922" s="1765">
        <v>0</v>
      </c>
    </row>
    <row r="923" spans="1:21" s="1808" customFormat="1" ht="16" thickBot="1">
      <c r="A923" s="2157">
        <v>223</v>
      </c>
      <c r="B923" s="841">
        <f ca="1">Q923</f>
        <v>26300</v>
      </c>
      <c r="C923" s="841">
        <f t="shared" ref="C923" ca="1" si="106">R923</f>
        <v>0</v>
      </c>
      <c r="D923" s="841">
        <f t="shared" ref="D923" ca="1" si="107">S923</f>
        <v>0</v>
      </c>
      <c r="E923" s="841"/>
      <c r="F923" s="841"/>
      <c r="G923" s="841" t="s">
        <v>351</v>
      </c>
      <c r="H923" s="841" t="s">
        <v>3725</v>
      </c>
      <c r="I923" s="2180" t="s">
        <v>3716</v>
      </c>
      <c r="J923" s="841" t="s">
        <v>2985</v>
      </c>
      <c r="K923" s="712"/>
      <c r="N923" s="1710" t="s">
        <v>3044</v>
      </c>
      <c r="O923" s="1732"/>
      <c r="P923" s="1708"/>
      <c r="Q923" s="1495">
        <f ca="1">U918*Q922</f>
        <v>26300</v>
      </c>
      <c r="R923" s="1495">
        <f ca="1">U918*R922</f>
        <v>0</v>
      </c>
      <c r="S923" s="1495">
        <f ca="1">U918*S922</f>
        <v>0</v>
      </c>
      <c r="T923" s="1495">
        <f ca="1">U918*T922</f>
        <v>0</v>
      </c>
      <c r="U923" s="1495">
        <f ca="1">U918*U922</f>
        <v>0</v>
      </c>
    </row>
    <row r="924" spans="1:21" s="1808" customFormat="1">
      <c r="A924" s="960"/>
      <c r="B924" s="960"/>
      <c r="C924" s="960"/>
      <c r="D924" s="960"/>
      <c r="E924" s="960"/>
      <c r="F924" s="960"/>
      <c r="G924" s="960"/>
      <c r="H924" s="960"/>
      <c r="I924" s="2164"/>
      <c r="J924" s="960"/>
      <c r="K924" s="712"/>
    </row>
    <row r="925" spans="1:21" s="1808" customFormat="1">
      <c r="A925" s="960"/>
      <c r="B925" s="960"/>
      <c r="C925" s="960"/>
      <c r="D925" s="960"/>
      <c r="E925" s="960"/>
      <c r="F925" s="960"/>
      <c r="G925" s="960"/>
      <c r="H925" s="960"/>
      <c r="I925" s="2164"/>
      <c r="J925" s="960"/>
      <c r="K925" s="712"/>
    </row>
    <row r="926" spans="1:21" s="1808" customFormat="1" ht="19">
      <c r="A926" s="960"/>
      <c r="B926" s="960"/>
      <c r="C926" s="960"/>
      <c r="D926" s="960"/>
      <c r="E926" s="960"/>
      <c r="F926" s="960"/>
      <c r="G926" s="960"/>
      <c r="H926" s="960"/>
      <c r="I926" s="2164"/>
      <c r="J926" s="960"/>
      <c r="K926" s="712"/>
      <c r="L926" s="1879" t="s">
        <v>3724</v>
      </c>
    </row>
    <row r="927" spans="1:21" s="1808" customFormat="1">
      <c r="A927" s="960"/>
      <c r="B927" s="960"/>
      <c r="C927" s="960"/>
      <c r="D927" s="960"/>
      <c r="E927" s="960"/>
      <c r="F927" s="960"/>
      <c r="G927" s="960"/>
      <c r="H927" s="960"/>
      <c r="I927" s="2164"/>
      <c r="J927" s="960"/>
      <c r="K927" s="712"/>
    </row>
    <row r="928" spans="1:21" s="1808" customFormat="1" ht="16" thickBot="1">
      <c r="A928" s="960"/>
      <c r="B928" s="960"/>
      <c r="C928" s="960"/>
      <c r="D928" s="960"/>
      <c r="E928" s="960"/>
      <c r="F928" s="960"/>
      <c r="G928" s="960"/>
      <c r="H928" s="960"/>
      <c r="I928" s="2164"/>
      <c r="J928" s="960"/>
      <c r="K928" s="712"/>
    </row>
    <row r="929" spans="1:21" s="1808" customFormat="1" ht="32">
      <c r="A929" s="960"/>
      <c r="B929" s="960"/>
      <c r="C929" s="960"/>
      <c r="D929" s="960"/>
      <c r="E929" s="960"/>
      <c r="F929" s="960"/>
      <c r="G929" s="960"/>
      <c r="H929" s="960"/>
      <c r="I929" s="2164"/>
      <c r="J929" s="960"/>
      <c r="K929" s="712"/>
      <c r="N929" s="1766" t="s">
        <v>3054</v>
      </c>
      <c r="O929" s="1696"/>
      <c r="P929" s="1767"/>
      <c r="Q929" s="1220"/>
      <c r="R929" s="966"/>
      <c r="S929" s="1768"/>
      <c r="T929" s="966"/>
      <c r="U929" s="967"/>
    </row>
    <row r="930" spans="1:21" s="1808" customFormat="1" ht="32">
      <c r="A930" s="960"/>
      <c r="B930" s="960"/>
      <c r="C930" s="960"/>
      <c r="D930" s="960"/>
      <c r="E930" s="960"/>
      <c r="F930" s="960"/>
      <c r="G930" s="960"/>
      <c r="H930" s="960"/>
      <c r="I930" s="2164"/>
      <c r="J930" s="960"/>
      <c r="K930" s="712"/>
      <c r="N930" s="1769" t="s">
        <v>3055</v>
      </c>
      <c r="O930" s="1693"/>
      <c r="P930" s="958"/>
      <c r="Q930" s="1040">
        <v>1</v>
      </c>
      <c r="R930" s="960"/>
      <c r="S930" s="960"/>
      <c r="T930" s="960"/>
      <c r="U930" s="62"/>
    </row>
    <row r="931" spans="1:21" s="1808" customFormat="1" ht="32">
      <c r="A931" s="960"/>
      <c r="B931" s="960"/>
      <c r="C931" s="960"/>
      <c r="D931" s="960"/>
      <c r="E931" s="960"/>
      <c r="F931" s="960"/>
      <c r="G931" s="960"/>
      <c r="H931" s="960"/>
      <c r="I931" s="2164"/>
      <c r="J931" s="960"/>
      <c r="K931" s="712"/>
      <c r="N931" s="1769" t="s">
        <v>3056</v>
      </c>
      <c r="O931" s="1693"/>
      <c r="P931" s="958"/>
      <c r="Q931" s="1040">
        <v>20</v>
      </c>
      <c r="R931" s="960"/>
      <c r="S931" s="960"/>
      <c r="T931" s="960"/>
      <c r="U931" s="62"/>
    </row>
    <row r="932" spans="1:21" s="1808" customFormat="1" ht="32">
      <c r="A932" s="960"/>
      <c r="B932" s="960"/>
      <c r="C932" s="960"/>
      <c r="D932" s="960"/>
      <c r="E932" s="960"/>
      <c r="F932" s="960"/>
      <c r="G932" s="960"/>
      <c r="H932" s="960"/>
      <c r="I932" s="2164"/>
      <c r="J932" s="960"/>
      <c r="K932" s="712"/>
      <c r="N932" s="1769" t="s">
        <v>3057</v>
      </c>
      <c r="O932" s="1693"/>
      <c r="P932" s="958"/>
      <c r="Q932" s="1040">
        <v>1</v>
      </c>
      <c r="R932" s="960"/>
      <c r="S932" s="960"/>
      <c r="T932" s="960"/>
      <c r="U932" s="62"/>
    </row>
    <row r="933" spans="1:21" s="1808" customFormat="1" ht="32">
      <c r="A933" s="960"/>
      <c r="B933" s="960"/>
      <c r="C933" s="960"/>
      <c r="D933" s="960"/>
      <c r="E933" s="960"/>
      <c r="F933" s="960"/>
      <c r="G933" s="960"/>
      <c r="H933" s="960"/>
      <c r="I933" s="2164"/>
      <c r="J933" s="960"/>
      <c r="K933" s="712"/>
      <c r="N933" s="1769" t="s">
        <v>3052</v>
      </c>
      <c r="O933" s="1693"/>
      <c r="P933" s="1694">
        <v>0</v>
      </c>
      <c r="Q933" s="1028">
        <f>ROUND(Q931*P933,0)</f>
        <v>0</v>
      </c>
      <c r="R933" s="960"/>
      <c r="S933" s="960"/>
      <c r="T933" s="960"/>
      <c r="U933" s="62"/>
    </row>
    <row r="934" spans="1:21" s="1808" customFormat="1" ht="32">
      <c r="A934" s="960"/>
      <c r="B934" s="960"/>
      <c r="C934" s="960"/>
      <c r="D934" s="960"/>
      <c r="E934" s="960"/>
      <c r="F934" s="960"/>
      <c r="G934" s="960"/>
      <c r="H934" s="960"/>
      <c r="I934" s="2164"/>
      <c r="J934" s="960"/>
      <c r="K934" s="712"/>
      <c r="N934" s="1769" t="s">
        <v>3053</v>
      </c>
      <c r="O934" s="1693"/>
      <c r="P934" s="1694">
        <v>0.75</v>
      </c>
      <c r="Q934" s="1028">
        <f>ROUND(Q931*P934,0)</f>
        <v>15</v>
      </c>
      <c r="R934" s="960"/>
      <c r="S934" s="960"/>
      <c r="T934" s="960"/>
      <c r="U934" s="62"/>
    </row>
    <row r="935" spans="1:21" s="1808" customFormat="1">
      <c r="A935" s="960"/>
      <c r="B935" s="960"/>
      <c r="C935" s="960"/>
      <c r="D935" s="960"/>
      <c r="E935" s="960"/>
      <c r="F935" s="960"/>
      <c r="G935" s="960"/>
      <c r="H935" s="960"/>
      <c r="I935" s="2164"/>
      <c r="J935" s="960"/>
      <c r="K935" s="712"/>
      <c r="N935" s="1770" t="s">
        <v>3036</v>
      </c>
      <c r="O935" s="1019"/>
      <c r="P935" s="1695"/>
      <c r="Q935" s="1028">
        <f>Q932-1</f>
        <v>0</v>
      </c>
      <c r="R935" s="960"/>
      <c r="S935" s="960"/>
      <c r="T935" s="960"/>
      <c r="U935" s="62"/>
    </row>
    <row r="936" spans="1:21" s="1808" customFormat="1" ht="16" thickBot="1">
      <c r="A936" s="960"/>
      <c r="B936" s="960"/>
      <c r="C936" s="960"/>
      <c r="D936" s="960"/>
      <c r="E936" s="960"/>
      <c r="F936" s="960"/>
      <c r="G936" s="960"/>
      <c r="H936" s="960"/>
      <c r="I936" s="2164"/>
      <c r="J936" s="960"/>
      <c r="K936" s="712"/>
      <c r="N936" s="1049"/>
      <c r="O936" s="960"/>
      <c r="P936" s="960"/>
      <c r="Q936" s="960"/>
      <c r="R936" s="960"/>
      <c r="S936" s="960"/>
      <c r="T936" s="960"/>
      <c r="U936" s="62"/>
    </row>
    <row r="937" spans="1:21" s="1808" customFormat="1" ht="32">
      <c r="A937" s="960"/>
      <c r="B937" s="960"/>
      <c r="C937" s="960"/>
      <c r="D937" s="960"/>
      <c r="E937" s="960"/>
      <c r="F937" s="960"/>
      <c r="G937" s="960"/>
      <c r="H937" s="960"/>
      <c r="I937" s="2164"/>
      <c r="J937" s="960"/>
      <c r="K937" s="712"/>
      <c r="N937" s="1699" t="s">
        <v>3033</v>
      </c>
      <c r="O937" s="1700" t="s">
        <v>3034</v>
      </c>
      <c r="P937" s="1702" t="s">
        <v>3040</v>
      </c>
      <c r="Q937" s="1702" t="s">
        <v>3041</v>
      </c>
      <c r="R937" s="1702" t="s">
        <v>3042</v>
      </c>
      <c r="S937" s="1700" t="s">
        <v>3035</v>
      </c>
      <c r="T937" s="1702" t="s">
        <v>3039</v>
      </c>
      <c r="U937" s="1701" t="s">
        <v>2189</v>
      </c>
    </row>
    <row r="938" spans="1:21" s="1808" customFormat="1">
      <c r="A938" s="960"/>
      <c r="B938" s="960"/>
      <c r="C938" s="960"/>
      <c r="D938" s="960"/>
      <c r="E938" s="960"/>
      <c r="F938" s="960"/>
      <c r="G938" s="960"/>
      <c r="H938" s="960"/>
      <c r="I938" s="2164"/>
      <c r="J938" s="960"/>
      <c r="K938" s="712"/>
      <c r="N938" s="1539" t="s">
        <v>3051</v>
      </c>
      <c r="O938" s="958" t="str">
        <f>IFERROR(VLOOKUP(N938,Price_list!$B$1:$H$187,2,0),"")</f>
        <v>International Consultancy fee (3.1)</v>
      </c>
      <c r="P938" s="958" t="str">
        <f>IFERROR(VLOOKUP(N938,Price_list!$B$1:$H$187,3,0),"")</f>
        <v>cost/zi</v>
      </c>
      <c r="Q938" s="946">
        <f>IFERROR(VLOOKUP(N938,Price_list!$B$1:$H$187,4,0),"")</f>
        <v>350</v>
      </c>
      <c r="R938" s="946" t="str">
        <f>IFERROR(VLOOKUP(N938,Price_list!$B$1:$H$187,5,0),"")</f>
        <v>EUR</v>
      </c>
      <c r="S938" s="958">
        <f ca="1">ROUND(IFERROR(IF(R938="MDL",Q938,Q938*INDIRECT(R938)),0),2)</f>
        <v>6868.65</v>
      </c>
      <c r="T938" s="1888">
        <f>Q932</f>
        <v>1</v>
      </c>
      <c r="U938" s="2124">
        <f ca="1">IFERROR(Q929*S938*T938,"")</f>
        <v>0</v>
      </c>
    </row>
    <row r="939" spans="1:21" s="1808" customFormat="1">
      <c r="A939" s="960"/>
      <c r="B939" s="960"/>
      <c r="C939" s="960"/>
      <c r="D939" s="960"/>
      <c r="E939" s="960"/>
      <c r="F939" s="960"/>
      <c r="G939" s="960"/>
      <c r="H939" s="960"/>
      <c r="I939" s="2164"/>
      <c r="J939" s="960"/>
      <c r="K939" s="712"/>
      <c r="N939" s="1539" t="s">
        <v>3029</v>
      </c>
      <c r="O939" s="958" t="str">
        <f>IFERROR(VLOOKUP(N939,Price_list!$B$1:$H$187,2,0),"")</f>
        <v xml:space="preserve">Travel costs </v>
      </c>
      <c r="P939" s="958" t="str">
        <f>IFERROR(VLOOKUP(N939,Price_list!$B$1:$H$187,3,0),"")</f>
        <v>cost tichet o directie</v>
      </c>
      <c r="Q939" s="946">
        <f>IFERROR(VLOOKUP(N939,Price_list!$B$1:$H$187,4,0),"")</f>
        <v>5000</v>
      </c>
      <c r="R939" s="946" t="str">
        <f>IFERROR(VLOOKUP(N939,Price_list!$B$1:$H$187,5,0),"")</f>
        <v>MDL</v>
      </c>
      <c r="S939" s="958">
        <f t="shared" ref="S939:S955" ca="1" si="108">ROUND(IFERROR(IF(R939="MDL",Q939,Q939*INDIRECT(R939)),0),2)</f>
        <v>5000</v>
      </c>
      <c r="T939" s="1040">
        <v>2</v>
      </c>
      <c r="U939" s="2124">
        <f ca="1">Q929*T939*S939</f>
        <v>0</v>
      </c>
    </row>
    <row r="940" spans="1:21" s="1808" customFormat="1">
      <c r="A940" s="960"/>
      <c r="B940" s="960"/>
      <c r="C940" s="960"/>
      <c r="D940" s="960"/>
      <c r="E940" s="960"/>
      <c r="F940" s="960"/>
      <c r="G940" s="960"/>
      <c r="H940" s="960"/>
      <c r="I940" s="2164"/>
      <c r="J940" s="960"/>
      <c r="K940" s="712"/>
      <c r="N940" s="1539" t="s">
        <v>3020</v>
      </c>
      <c r="O940" s="958" t="str">
        <f>IFERROR(VLOOKUP(N940,Price_list!$B$1:$H$187,2,0),"")</f>
        <v xml:space="preserve">Per diem, WHO DSA, average </v>
      </c>
      <c r="P940" s="958" t="str">
        <f>IFERROR(VLOOKUP(N940,Price_list!$B$1:$H$187,3,0),"")</f>
        <v>diurna</v>
      </c>
      <c r="Q940" s="946">
        <f>IFERROR(VLOOKUP(N940,Price_list!$B$1:$H$187,4,0),"")</f>
        <v>200</v>
      </c>
      <c r="R940" s="946" t="str">
        <f>IFERROR(VLOOKUP(N940,Price_list!$B$1:$H$187,5,0),"")</f>
        <v>EUR</v>
      </c>
      <c r="S940" s="958">
        <f t="shared" ca="1" si="108"/>
        <v>3924.94</v>
      </c>
      <c r="T940" s="946">
        <f>Q932+1</f>
        <v>2</v>
      </c>
      <c r="U940" s="2124">
        <f ca="1">Q929*S940*T940</f>
        <v>0</v>
      </c>
    </row>
    <row r="941" spans="1:21" s="1808" customFormat="1">
      <c r="A941" s="960"/>
      <c r="B941" s="960"/>
      <c r="C941" s="960"/>
      <c r="D941" s="960"/>
      <c r="E941" s="960"/>
      <c r="F941" s="960"/>
      <c r="G941" s="960"/>
      <c r="H941" s="960"/>
      <c r="I941" s="2164"/>
      <c r="J941" s="960"/>
      <c r="K941" s="712"/>
      <c r="N941" s="1539" t="s">
        <v>3050</v>
      </c>
      <c r="O941" s="958" t="str">
        <f>IFERROR(VLOOKUP(N941,Price_list!$B$1:$H$187,2,0),"")</f>
        <v>National Consultancy fee (3.1)</v>
      </c>
      <c r="P941" s="958" t="str">
        <f>IFERROR(VLOOKUP(N941,Price_list!$B$1:$H$187,3,0),"")</f>
        <v>cost/zi</v>
      </c>
      <c r="Q941" s="946">
        <f>IFERROR(VLOOKUP(N941,Price_list!$B$1:$H$187,4,0),"")</f>
        <v>2000</v>
      </c>
      <c r="R941" s="946" t="str">
        <f>IFERROR(VLOOKUP(N941,Price_list!$B$1:$H$187,5,0),"")</f>
        <v>MDL</v>
      </c>
      <c r="S941" s="958">
        <f t="shared" ca="1" si="108"/>
        <v>2000</v>
      </c>
      <c r="T941" s="946">
        <f>Q932</f>
        <v>1</v>
      </c>
      <c r="U941" s="2124">
        <f ca="1">Q930*S941*T941</f>
        <v>2000</v>
      </c>
    </row>
    <row r="942" spans="1:21" s="1808" customFormat="1">
      <c r="A942" s="960"/>
      <c r="B942" s="960"/>
      <c r="C942" s="960"/>
      <c r="D942" s="960"/>
      <c r="E942" s="960"/>
      <c r="F942" s="960"/>
      <c r="G942" s="960"/>
      <c r="H942" s="960"/>
      <c r="I942" s="2164"/>
      <c r="J942" s="960"/>
      <c r="K942" s="712"/>
      <c r="N942" s="1539"/>
      <c r="O942" s="958" t="str">
        <f>IFERROR(VLOOKUP(N942,Price_list!$B$1:$H$187,2,0),"")</f>
        <v/>
      </c>
      <c r="P942" s="958" t="str">
        <f>IFERROR(VLOOKUP(N942,Price_list!$B$1:$H$187,3,0),"")</f>
        <v/>
      </c>
      <c r="Q942" s="946" t="str">
        <f>IFERROR(VLOOKUP(N942,Price_list!$B$1:$H$187,4,0),"")</f>
        <v/>
      </c>
      <c r="R942" s="946" t="str">
        <f>IFERROR(VLOOKUP(N942,Price_list!$B$1:$H$187,5,0),"")</f>
        <v/>
      </c>
      <c r="S942" s="958">
        <f t="shared" ca="1" si="108"/>
        <v>0</v>
      </c>
      <c r="T942" s="946" t="str">
        <f>IFERROR(VLOOKUP(AE941,N933:P938,3,0),"")</f>
        <v/>
      </c>
      <c r="U942" s="2124" t="str">
        <f>IFERROR(#REF!*T942*Q942,"")</f>
        <v/>
      </c>
    </row>
    <row r="943" spans="1:21" s="1808" customFormat="1">
      <c r="A943" s="960"/>
      <c r="B943" s="960"/>
      <c r="C943" s="960"/>
      <c r="D943" s="960"/>
      <c r="E943" s="960"/>
      <c r="F943" s="960"/>
      <c r="G943" s="960"/>
      <c r="H943" s="960"/>
      <c r="I943" s="2164"/>
      <c r="J943" s="960"/>
      <c r="K943" s="712"/>
      <c r="N943" s="1539"/>
      <c r="O943" s="958" t="str">
        <f>IFERROR(VLOOKUP(N943,Price_list!$B$1:$H$187,2,0),"")</f>
        <v/>
      </c>
      <c r="P943" s="958" t="str">
        <f>IFERROR(VLOOKUP(N943,Price_list!$B$1:$H$187,3,0),"")</f>
        <v/>
      </c>
      <c r="Q943" s="946" t="str">
        <f>IFERROR(VLOOKUP(N943,Price_list!$B$1:$H$187,4,0),"")</f>
        <v/>
      </c>
      <c r="R943" s="946" t="str">
        <f>IFERROR(VLOOKUP(N943,Price_list!$B$1:$H$187,5,0),"")</f>
        <v/>
      </c>
      <c r="S943" s="958">
        <f t="shared" ca="1" si="108"/>
        <v>0</v>
      </c>
      <c r="T943" s="946" t="str">
        <f>IFERROR(VLOOKUP(AE942,N935:P939,3,0),"")</f>
        <v/>
      </c>
      <c r="U943" s="2124" t="str">
        <f>IFERROR(#REF!*T943*Q943,"")</f>
        <v/>
      </c>
    </row>
    <row r="944" spans="1:21" s="1808" customFormat="1">
      <c r="A944" s="960"/>
      <c r="B944" s="960"/>
      <c r="C944" s="960"/>
      <c r="D944" s="960"/>
      <c r="E944" s="960"/>
      <c r="F944" s="960"/>
      <c r="G944" s="960"/>
      <c r="H944" s="960"/>
      <c r="I944" s="2164"/>
      <c r="J944" s="960"/>
      <c r="K944" s="712"/>
      <c r="N944" s="1539" t="s">
        <v>3016</v>
      </c>
      <c r="O944" s="958" t="str">
        <f>IFERROR(VLOOKUP(N944,Price_list!$B$1:$H$187,2,0),"")</f>
        <v>Coffe break</v>
      </c>
      <c r="P944" s="958" t="str">
        <f>IFERROR(VLOOKUP(N944,Price_list!$B$1:$H$187,3,0),"")</f>
        <v>unitate</v>
      </c>
      <c r="Q944" s="946">
        <f>IFERROR(VLOOKUP(N944,Price_list!$B$1:$H$187,4,0),"")</f>
        <v>75</v>
      </c>
      <c r="R944" s="946" t="str">
        <f>IFERROR(VLOOKUP(N944,Price_list!$B$1:$H$187,5,0),"")</f>
        <v>MDL</v>
      </c>
      <c r="S944" s="958">
        <f t="shared" ca="1" si="108"/>
        <v>75</v>
      </c>
      <c r="T944" s="946">
        <v>2</v>
      </c>
      <c r="U944" s="2124">
        <f ca="1">T944*S944*Q931*Q932</f>
        <v>3000</v>
      </c>
    </row>
    <row r="945" spans="1:21" s="1808" customFormat="1">
      <c r="A945" s="960"/>
      <c r="B945" s="960"/>
      <c r="C945" s="960"/>
      <c r="D945" s="960"/>
      <c r="E945" s="960"/>
      <c r="F945" s="960"/>
      <c r="G945" s="960"/>
      <c r="H945" s="960"/>
      <c r="I945" s="2164"/>
      <c r="J945" s="960"/>
      <c r="K945" s="712"/>
      <c r="N945" s="1539" t="s">
        <v>3021</v>
      </c>
      <c r="O945" s="958" t="str">
        <f>IFERROR(VLOOKUP(N945,Price_list!$B$1:$H$187,2,0),"")</f>
        <v xml:space="preserve">Meal ( lunch) </v>
      </c>
      <c r="P945" s="958" t="str">
        <f>IFERROR(VLOOKUP(N945,Price_list!$B$1:$H$187,3,0),"")</f>
        <v>unitate</v>
      </c>
      <c r="Q945" s="946">
        <f>IFERROR(VLOOKUP(N945,Price_list!$B$1:$H$187,4,0),"")</f>
        <v>220</v>
      </c>
      <c r="R945" s="946" t="str">
        <f>IFERROR(VLOOKUP(N945,Price_list!$B$1:$H$187,5,0),"")</f>
        <v>MDL</v>
      </c>
      <c r="S945" s="958">
        <f t="shared" ca="1" si="108"/>
        <v>220</v>
      </c>
      <c r="T945" s="946">
        <f>Q932</f>
        <v>1</v>
      </c>
      <c r="U945" s="2124">
        <f ca="1">Q931*T945*S945</f>
        <v>4400</v>
      </c>
    </row>
    <row r="946" spans="1:21" s="1808" customFormat="1">
      <c r="A946" s="960"/>
      <c r="B946" s="960"/>
      <c r="C946" s="960"/>
      <c r="D946" s="960"/>
      <c r="E946" s="960"/>
      <c r="F946" s="960"/>
      <c r="G946" s="960"/>
      <c r="H946" s="960"/>
      <c r="I946" s="2164"/>
      <c r="J946" s="960"/>
      <c r="K946" s="712"/>
      <c r="N946" s="1539" t="s">
        <v>3023</v>
      </c>
      <c r="O946" s="958" t="str">
        <f>IFERROR(VLOOKUP(N946,Price_list!$B$1:$H$187,2,0),"")</f>
        <v>Meal(dinner)</v>
      </c>
      <c r="P946" s="958" t="str">
        <f>IFERROR(VLOOKUP(N946,Price_list!$B$1:$H$187,3,0),"")</f>
        <v>unitate</v>
      </c>
      <c r="Q946" s="946">
        <f>IFERROR(VLOOKUP(N946,Price_list!$B$1:$H$187,4,0),"")</f>
        <v>220</v>
      </c>
      <c r="R946" s="946" t="str">
        <f>IFERROR(VLOOKUP(N946,Price_list!$B$1:$H$187,5,0),"")</f>
        <v>MDL</v>
      </c>
      <c r="S946" s="958">
        <f t="shared" ca="1" si="108"/>
        <v>220</v>
      </c>
      <c r="T946" s="946">
        <f>Q935</f>
        <v>0</v>
      </c>
      <c r="U946" s="2124">
        <f ca="1">T946*S946*Q933</f>
        <v>0</v>
      </c>
    </row>
    <row r="947" spans="1:21" s="1808" customFormat="1">
      <c r="A947" s="960"/>
      <c r="B947" s="960"/>
      <c r="C947" s="960"/>
      <c r="D947" s="960"/>
      <c r="E947" s="960"/>
      <c r="F947" s="960"/>
      <c r="G947" s="960"/>
      <c r="H947" s="960"/>
      <c r="I947" s="2164"/>
      <c r="J947" s="960"/>
      <c r="K947" s="712"/>
      <c r="N947" s="1539" t="s">
        <v>3024</v>
      </c>
      <c r="O947" s="958" t="str">
        <f>IFERROR(VLOOKUP(N947,Price_list!$B$1:$H$187,2,0),"")</f>
        <v xml:space="preserve">Accomodation </v>
      </c>
      <c r="P947" s="958" t="str">
        <f>IFERROR(VLOOKUP(N947,Price_list!$B$1:$H$187,3,0),"")</f>
        <v>cost/noapte</v>
      </c>
      <c r="Q947" s="946">
        <f>IFERROR(VLOOKUP(N947,Price_list!$B$1:$H$187,4,0),"")</f>
        <v>750</v>
      </c>
      <c r="R947" s="946" t="str">
        <f>IFERROR(VLOOKUP(N947,Price_list!$B$1:$H$187,5,0),"")</f>
        <v>MDL</v>
      </c>
      <c r="S947" s="958">
        <f t="shared" ca="1" si="108"/>
        <v>750</v>
      </c>
      <c r="T947" s="946">
        <f>Q935</f>
        <v>0</v>
      </c>
      <c r="U947" s="2124">
        <f ca="1">T947*S947*Q933</f>
        <v>0</v>
      </c>
    </row>
    <row r="948" spans="1:21" s="1808" customFormat="1">
      <c r="A948" s="960"/>
      <c r="B948" s="960"/>
      <c r="C948" s="960"/>
      <c r="D948" s="960"/>
      <c r="E948" s="960"/>
      <c r="F948" s="960"/>
      <c r="G948" s="960"/>
      <c r="H948" s="960"/>
      <c r="I948" s="2164"/>
      <c r="J948" s="960"/>
      <c r="K948" s="712"/>
      <c r="N948" s="1539" t="s">
        <v>3030</v>
      </c>
      <c r="O948" s="958" t="str">
        <f>IFERROR(VLOOKUP(N948,Price_list!$B$1:$H$187,2,0),"")</f>
        <v>Travel participants</v>
      </c>
      <c r="P948" s="958" t="str">
        <f>IFERROR(VLOOKUP(N948,Price_list!$B$1:$H$187,3,0),"")</f>
        <v>cost tichet o directie</v>
      </c>
      <c r="Q948" s="946">
        <f>IFERROR(VLOOKUP(N948,Price_list!$B$1:$H$187,4,0),"")</f>
        <v>80</v>
      </c>
      <c r="R948" s="946" t="str">
        <f>IFERROR(VLOOKUP(N948,Price_list!$B$1:$H$187,5,0),"")</f>
        <v>MDL</v>
      </c>
      <c r="S948" s="958">
        <f t="shared" ca="1" si="108"/>
        <v>80</v>
      </c>
      <c r="T948" s="1040">
        <v>2</v>
      </c>
      <c r="U948" s="2124">
        <f ca="1">T948*Q934*S948</f>
        <v>2400</v>
      </c>
    </row>
    <row r="949" spans="1:21" s="1808" customFormat="1">
      <c r="A949" s="960"/>
      <c r="B949" s="960"/>
      <c r="C949" s="960"/>
      <c r="D949" s="960"/>
      <c r="E949" s="960"/>
      <c r="F949" s="960"/>
      <c r="G949" s="960"/>
      <c r="H949" s="960"/>
      <c r="I949" s="2164"/>
      <c r="J949" s="960"/>
      <c r="K949" s="712"/>
      <c r="N949" s="1539"/>
      <c r="O949" s="958" t="str">
        <f>IFERROR(VLOOKUP(N949,Price_list!$B$1:$H$187,2,0),"")</f>
        <v/>
      </c>
      <c r="P949" s="958" t="str">
        <f>IFERROR(VLOOKUP(N949,Price_list!$B$1:$H$187,3,0),"")</f>
        <v/>
      </c>
      <c r="Q949" s="946" t="str">
        <f>IFERROR(VLOOKUP(N949,Price_list!$B$1:$H$187,4,0),"")</f>
        <v/>
      </c>
      <c r="R949" s="946" t="str">
        <f>IFERROR(VLOOKUP(N949,Price_list!$B$1:$H$187,5,0),"")</f>
        <v/>
      </c>
      <c r="S949" s="958">
        <f t="shared" ca="1" si="108"/>
        <v>0</v>
      </c>
      <c r="T949" s="946" t="str">
        <f>IFERROR(VLOOKUP(AE948,N939:P945,3,0),"")</f>
        <v/>
      </c>
      <c r="U949" s="2124" t="str">
        <f>IFERROR(#REF!*T949*Q949,"")</f>
        <v/>
      </c>
    </row>
    <row r="950" spans="1:21" s="1808" customFormat="1">
      <c r="A950" s="960"/>
      <c r="B950" s="960"/>
      <c r="C950" s="960"/>
      <c r="D950" s="960"/>
      <c r="E950" s="960"/>
      <c r="F950" s="960"/>
      <c r="G950" s="960"/>
      <c r="H950" s="960"/>
      <c r="I950" s="2164"/>
      <c r="J950" s="960"/>
      <c r="K950" s="712"/>
      <c r="N950" s="1539" t="s">
        <v>3025</v>
      </c>
      <c r="O950" s="958" t="str">
        <f>IFERROR(VLOOKUP(N950,Price_list!$B$1:$H$187,2,0),"")</f>
        <v>Supplies</v>
      </c>
      <c r="P950" s="958" t="str">
        <f>IFERROR(VLOOKUP(N950,Price_list!$B$1:$H$187,3,0),"")</f>
        <v>set/participant</v>
      </c>
      <c r="Q950" s="946">
        <f>IFERROR(VLOOKUP(N950,Price_list!$B$1:$H$187,4,0),"")</f>
        <v>140</v>
      </c>
      <c r="R950" s="946" t="str">
        <f>IFERROR(VLOOKUP(N950,Price_list!$B$1:$H$187,5,0),"")</f>
        <v>MDL</v>
      </c>
      <c r="S950" s="958">
        <f t="shared" ca="1" si="108"/>
        <v>140</v>
      </c>
      <c r="T950" s="946">
        <v>1</v>
      </c>
      <c r="U950" s="2124">
        <f ca="1">T950*S950*Q931</f>
        <v>2800</v>
      </c>
    </row>
    <row r="951" spans="1:21" s="1808" customFormat="1">
      <c r="A951" s="960"/>
      <c r="B951" s="960"/>
      <c r="C951" s="960"/>
      <c r="D951" s="960"/>
      <c r="E951" s="960"/>
      <c r="F951" s="960"/>
      <c r="G951" s="960"/>
      <c r="H951" s="960"/>
      <c r="I951" s="2164"/>
      <c r="J951" s="960"/>
      <c r="K951" s="712"/>
      <c r="N951" s="1539" t="s">
        <v>3022</v>
      </c>
      <c r="O951" s="958" t="str">
        <f>IFERROR(VLOOKUP(N951,Price_list!$B$1:$H$187,2,0),"")</f>
        <v>Rent of premises</v>
      </c>
      <c r="P951" s="958" t="str">
        <f>IFERROR(VLOOKUP(N951,Price_list!$B$1:$H$187,3,0),"")</f>
        <v>cost/zi</v>
      </c>
      <c r="Q951" s="946">
        <f>IFERROR(VLOOKUP(N951,Price_list!$B$1:$H$187,4,0),"")</f>
        <v>1800</v>
      </c>
      <c r="R951" s="946" t="str">
        <f>IFERROR(VLOOKUP(N951,Price_list!$B$1:$H$187,5,0),"")</f>
        <v>MDL</v>
      </c>
      <c r="S951" s="958">
        <f t="shared" ca="1" si="108"/>
        <v>1800</v>
      </c>
      <c r="T951" s="946">
        <f>Q932</f>
        <v>1</v>
      </c>
      <c r="U951" s="2124">
        <f ca="1">T951*S951</f>
        <v>1800</v>
      </c>
    </row>
    <row r="952" spans="1:21" s="1808" customFormat="1">
      <c r="A952" s="960"/>
      <c r="B952" s="960"/>
      <c r="C952" s="960"/>
      <c r="D952" s="960"/>
      <c r="E952" s="960"/>
      <c r="F952" s="960"/>
      <c r="G952" s="960"/>
      <c r="H952" s="960"/>
      <c r="I952" s="2164"/>
      <c r="J952" s="960"/>
      <c r="K952" s="712"/>
      <c r="N952" s="1539" t="s">
        <v>3031</v>
      </c>
      <c r="O952" s="958" t="str">
        <f>IFERROR(VLOOKUP(N952,Price_list!$B$1:$H$187,2,0),"")</f>
        <v>Interpreter's fee, per day</v>
      </c>
      <c r="P952" s="958" t="str">
        <f>IFERROR(VLOOKUP(N952,Price_list!$B$1:$H$187,3,0),"")</f>
        <v>cost/zi</v>
      </c>
      <c r="Q952" s="946">
        <f>IFERROR(VLOOKUP(N952,Price_list!$B$1:$H$187,4,0),"")</f>
        <v>2000</v>
      </c>
      <c r="R952" s="946" t="str">
        <f>IFERROR(VLOOKUP(N952,Price_list!$B$1:$H$187,5,0),"")</f>
        <v>MDL</v>
      </c>
      <c r="S952" s="958">
        <f t="shared" ca="1" si="108"/>
        <v>2000</v>
      </c>
      <c r="T952" s="946">
        <f>IF(Q929&gt;0,Q932,0)</f>
        <v>0</v>
      </c>
      <c r="U952" s="2124">
        <f ca="1">T952*S952</f>
        <v>0</v>
      </c>
    </row>
    <row r="953" spans="1:21" s="1808" customFormat="1">
      <c r="A953" s="960"/>
      <c r="B953" s="960"/>
      <c r="C953" s="960"/>
      <c r="D953" s="960"/>
      <c r="E953" s="960"/>
      <c r="F953" s="960"/>
      <c r="G953" s="960"/>
      <c r="H953" s="960"/>
      <c r="I953" s="2164"/>
      <c r="J953" s="960"/>
      <c r="K953" s="712"/>
      <c r="N953" s="1539"/>
      <c r="O953" s="958" t="str">
        <f>IFERROR(VLOOKUP(N953,Price_list!$B$1:$H$187,2,0),"")</f>
        <v/>
      </c>
      <c r="P953" s="958" t="str">
        <f>IFERROR(VLOOKUP(N953,Price_list!$B$1:$H$187,3,0),"")</f>
        <v/>
      </c>
      <c r="Q953" s="946" t="str">
        <f>IFERROR(VLOOKUP(N953,Price_list!$B$1:$H$187,4,0),"")</f>
        <v/>
      </c>
      <c r="R953" s="946" t="str">
        <f>IFERROR(VLOOKUP(N953,Price_list!$B$1:$H$187,5,0),"")</f>
        <v/>
      </c>
      <c r="S953" s="958">
        <f t="shared" ca="1" si="108"/>
        <v>0</v>
      </c>
      <c r="T953" s="946" t="str">
        <f>IFERROR(VLOOKUP(AE952,N944:P948,3,0),"")</f>
        <v/>
      </c>
      <c r="U953" s="2124" t="str">
        <f>IFERROR(#REF!*T953*Q953,"")</f>
        <v/>
      </c>
    </row>
    <row r="954" spans="1:21" s="1808" customFormat="1">
      <c r="A954" s="960"/>
      <c r="B954" s="960"/>
      <c r="C954" s="960"/>
      <c r="D954" s="960"/>
      <c r="E954" s="960"/>
      <c r="F954" s="960"/>
      <c r="G954" s="960"/>
      <c r="H954" s="960"/>
      <c r="I954" s="2164"/>
      <c r="J954" s="960"/>
      <c r="K954" s="712"/>
      <c r="N954" s="1539"/>
      <c r="O954" s="958" t="str">
        <f>IFERROR(VLOOKUP(N954,Price_list!$B$1:$H$187,2,0),"")</f>
        <v/>
      </c>
      <c r="P954" s="958" t="str">
        <f>IFERROR(VLOOKUP(N954,Price_list!$B$1:$H$187,3,0),"")</f>
        <v/>
      </c>
      <c r="Q954" s="946" t="str">
        <f>IFERROR(VLOOKUP(N954,Price_list!$B$1:$H$187,4,0),"")</f>
        <v/>
      </c>
      <c r="R954" s="946" t="str">
        <f>IFERROR(VLOOKUP(N954,Price_list!$B$1:$H$187,5,0),"")</f>
        <v/>
      </c>
      <c r="S954" s="958">
        <f t="shared" ca="1" si="108"/>
        <v>0</v>
      </c>
      <c r="T954" s="946" t="str">
        <f>IFERROR(VLOOKUP(AE953,N945:P950,3,0),"")</f>
        <v/>
      </c>
      <c r="U954" s="2124" t="str">
        <f>IFERROR(#REF!*T954*Q954,"")</f>
        <v/>
      </c>
    </row>
    <row r="955" spans="1:21" s="1808" customFormat="1">
      <c r="A955" s="960"/>
      <c r="B955" s="960"/>
      <c r="C955" s="960"/>
      <c r="D955" s="960"/>
      <c r="E955" s="960"/>
      <c r="F955" s="960"/>
      <c r="G955" s="960"/>
      <c r="H955" s="960"/>
      <c r="I955" s="2164"/>
      <c r="J955" s="960"/>
      <c r="K955" s="712"/>
      <c r="N955" s="1539"/>
      <c r="O955" s="958" t="str">
        <f>IFERROR(VLOOKUP(N955,Price_list!$B$1:$H$187,2,0),"")</f>
        <v/>
      </c>
      <c r="P955" s="958" t="str">
        <f>IFERROR(VLOOKUP(N955,Price_list!$B$1:$H$187,3,0),"")</f>
        <v/>
      </c>
      <c r="Q955" s="946" t="str">
        <f>IFERROR(VLOOKUP(N955,Price_list!$B$1:$H$187,4,0),"")</f>
        <v/>
      </c>
      <c r="R955" s="946" t="str">
        <f>IFERROR(VLOOKUP(N955,Price_list!$B$1:$H$187,5,0),"")</f>
        <v/>
      </c>
      <c r="S955" s="958">
        <f t="shared" ca="1" si="108"/>
        <v>0</v>
      </c>
      <c r="T955" s="946" t="str">
        <f>IFERROR(VLOOKUP(AE954,N946:P951,3,0),"")</f>
        <v/>
      </c>
      <c r="U955" s="2124" t="str">
        <f>IFERROR(#REF!*T955*Q955,"")</f>
        <v/>
      </c>
    </row>
    <row r="956" spans="1:21" s="1808" customFormat="1" ht="16" thickBot="1">
      <c r="A956" s="960"/>
      <c r="B956" s="960"/>
      <c r="C956" s="960"/>
      <c r="D956" s="960"/>
      <c r="E956" s="960"/>
      <c r="F956" s="960"/>
      <c r="G956" s="960"/>
      <c r="H956" s="960"/>
      <c r="I956" s="2164"/>
      <c r="J956" s="960"/>
      <c r="K956" s="712"/>
      <c r="N956" s="1697"/>
      <c r="O956" s="1698" t="str">
        <f>IFERROR(VLOOKUP(N956,Price_list!$B$1:$H$187,2,0),"")</f>
        <v/>
      </c>
      <c r="P956" s="1698" t="str">
        <f>IFERROR(VLOOKUP(N956,Price_list!$B$1:$H$187,3,0),"")</f>
        <v/>
      </c>
      <c r="Q956" s="1034" t="str">
        <f>IFERROR(VLOOKUP(N956,Price_list!$B$1:$H$187,4,0),"")</f>
        <v/>
      </c>
      <c r="R956" s="1034" t="str">
        <f>IFERROR(VLOOKUP(N956,Price_list!$B$1:$H$187,5,0),"")</f>
        <v/>
      </c>
      <c r="S956" s="1698"/>
      <c r="T956" s="1034" t="str">
        <f>IFERROR(VLOOKUP(AE955,N947:P952,3,0),"")</f>
        <v/>
      </c>
      <c r="U956" s="1703">
        <f ca="1">SUM(U938:U955)</f>
        <v>16400</v>
      </c>
    </row>
    <row r="957" spans="1:21" s="1808" customFormat="1">
      <c r="A957" s="960"/>
      <c r="B957" s="960"/>
      <c r="C957" s="960"/>
      <c r="D957" s="960"/>
      <c r="E957" s="960"/>
      <c r="F957" s="960"/>
      <c r="G957" s="960"/>
      <c r="H957" s="960"/>
      <c r="I957" s="2164"/>
      <c r="J957" s="960"/>
      <c r="K957" s="712"/>
      <c r="N957" s="1771" t="s">
        <v>3037</v>
      </c>
      <c r="O957" s="1742" t="s">
        <v>3006</v>
      </c>
      <c r="P957" s="1743"/>
      <c r="Q957" s="1772">
        <v>7.0000000000000007E-2</v>
      </c>
      <c r="R957" s="1773"/>
      <c r="S957" s="1773"/>
      <c r="T957" s="1773"/>
      <c r="U957" s="1774">
        <f ca="1">ROUND(U956*Q957,2)</f>
        <v>1148</v>
      </c>
    </row>
    <row r="958" spans="1:21" s="1808" customFormat="1" ht="16" thickBot="1">
      <c r="A958" s="960"/>
      <c r="B958" s="960"/>
      <c r="C958" s="960"/>
      <c r="D958" s="960"/>
      <c r="E958" s="960"/>
      <c r="F958" s="960"/>
      <c r="G958" s="960"/>
      <c r="H958" s="960"/>
      <c r="I958" s="2164"/>
      <c r="J958" s="960"/>
      <c r="K958" s="712"/>
      <c r="N958" s="1049"/>
      <c r="O958" s="960"/>
      <c r="P958" s="960"/>
      <c r="Q958" s="960"/>
      <c r="R958" s="960"/>
      <c r="S958" s="960"/>
      <c r="T958" s="960"/>
      <c r="U958" s="62"/>
    </row>
    <row r="959" spans="1:21" s="1808" customFormat="1" ht="16" thickBot="1">
      <c r="A959" s="960"/>
      <c r="B959" s="960"/>
      <c r="C959" s="960"/>
      <c r="D959" s="960"/>
      <c r="E959" s="960"/>
      <c r="F959" s="960"/>
      <c r="G959" s="960"/>
      <c r="H959" s="960"/>
      <c r="I959" s="2164"/>
      <c r="J959" s="960"/>
      <c r="K959" s="712"/>
      <c r="N959" s="1704" t="s">
        <v>3038</v>
      </c>
      <c r="O959" s="1761"/>
      <c r="P959" s="1761"/>
      <c r="Q959" s="1761"/>
      <c r="R959" s="1761"/>
      <c r="S959" s="1761"/>
      <c r="T959" s="1761"/>
      <c r="U959" s="1706">
        <f ca="1">U957+U956</f>
        <v>17548</v>
      </c>
    </row>
    <row r="960" spans="1:21" s="1808" customFormat="1">
      <c r="A960" s="960"/>
      <c r="B960" s="960"/>
      <c r="C960" s="960"/>
      <c r="D960" s="960"/>
      <c r="E960" s="960"/>
      <c r="F960" s="960"/>
      <c r="G960" s="960"/>
      <c r="H960" s="960"/>
      <c r="I960" s="2164"/>
      <c r="J960" s="960"/>
      <c r="K960" s="712"/>
      <c r="N960" s="1049"/>
      <c r="O960" s="960"/>
      <c r="P960" s="960"/>
      <c r="Q960" s="960"/>
      <c r="R960" s="960"/>
      <c r="S960" s="960"/>
      <c r="T960" s="960"/>
      <c r="U960" s="62"/>
    </row>
    <row r="961" spans="1:21" s="1808" customFormat="1" ht="16" thickBot="1">
      <c r="A961" s="960"/>
      <c r="B961" s="960"/>
      <c r="C961" s="960"/>
      <c r="D961" s="960"/>
      <c r="E961" s="960"/>
      <c r="F961" s="960"/>
      <c r="G961" s="960"/>
      <c r="H961" s="960"/>
      <c r="I961" s="2164"/>
      <c r="J961" s="960"/>
      <c r="K961" s="712"/>
      <c r="N961" s="1049"/>
      <c r="O961" s="960"/>
      <c r="P961" s="960"/>
      <c r="Q961" s="960"/>
      <c r="R961" s="960"/>
      <c r="S961" s="960"/>
      <c r="T961" s="960"/>
      <c r="U961" s="62"/>
    </row>
    <row r="962" spans="1:21" s="1808" customFormat="1" ht="16" thickBot="1">
      <c r="A962" s="960"/>
      <c r="B962" s="960"/>
      <c r="C962" s="960"/>
      <c r="D962" s="960"/>
      <c r="E962" s="960"/>
      <c r="F962" s="960"/>
      <c r="G962" s="960"/>
      <c r="H962" s="960"/>
      <c r="I962" s="2164"/>
      <c r="J962" s="960"/>
      <c r="K962" s="712"/>
      <c r="N962" s="1049" t="s">
        <v>2171</v>
      </c>
      <c r="O962" s="960"/>
      <c r="P962" s="960"/>
      <c r="Q962" s="1500">
        <v>2021</v>
      </c>
      <c r="R962" s="1762">
        <v>2022</v>
      </c>
      <c r="S962" s="1762">
        <v>2023</v>
      </c>
      <c r="T962" s="1762">
        <v>2024</v>
      </c>
      <c r="U962" s="1763">
        <v>2025</v>
      </c>
    </row>
    <row r="963" spans="1:21" s="1808" customFormat="1" ht="16" thickBot="1">
      <c r="A963" s="960"/>
      <c r="B963" s="960"/>
      <c r="C963" s="960"/>
      <c r="D963" s="960"/>
      <c r="E963" s="960"/>
      <c r="F963" s="960"/>
      <c r="G963" s="960"/>
      <c r="H963" s="960"/>
      <c r="I963" s="2164"/>
      <c r="J963" s="960"/>
      <c r="K963" s="712"/>
      <c r="N963" s="1764" t="s">
        <v>3043</v>
      </c>
      <c r="O963" s="1504"/>
      <c r="P963" s="1504"/>
      <c r="Q963" s="1713">
        <v>0</v>
      </c>
      <c r="R963" s="1713">
        <v>1</v>
      </c>
      <c r="S963" s="1713">
        <v>0</v>
      </c>
      <c r="T963" s="1713">
        <v>0</v>
      </c>
      <c r="U963" s="1713">
        <v>0</v>
      </c>
    </row>
    <row r="964" spans="1:21" s="1808" customFormat="1" ht="16" thickBot="1">
      <c r="A964" s="2157">
        <v>224</v>
      </c>
      <c r="B964" s="841">
        <f ca="1">Q964</f>
        <v>0</v>
      </c>
      <c r="C964" s="841">
        <f t="shared" ref="C964" ca="1" si="109">R964</f>
        <v>17548</v>
      </c>
      <c r="D964" s="841">
        <f t="shared" ref="D964" ca="1" si="110">S964</f>
        <v>0</v>
      </c>
      <c r="E964" s="841"/>
      <c r="F964" s="841"/>
      <c r="G964" s="841" t="s">
        <v>351</v>
      </c>
      <c r="H964" s="841" t="s">
        <v>3724</v>
      </c>
      <c r="I964" s="2180" t="s">
        <v>3716</v>
      </c>
      <c r="J964" s="841" t="s">
        <v>2985</v>
      </c>
      <c r="K964" s="712"/>
      <c r="N964" s="1710" t="s">
        <v>3044</v>
      </c>
      <c r="O964" s="1732"/>
      <c r="P964" s="1708"/>
      <c r="Q964" s="1495">
        <f ca="1">U959*Q963</f>
        <v>0</v>
      </c>
      <c r="R964" s="1495">
        <f ca="1">U959*R963</f>
        <v>17548</v>
      </c>
      <c r="S964" s="1495">
        <f ca="1">U959*S963</f>
        <v>0</v>
      </c>
      <c r="T964" s="1495">
        <f ca="1">U959*T963</f>
        <v>0</v>
      </c>
      <c r="U964" s="1495">
        <f ca="1">U959*U963</f>
        <v>0</v>
      </c>
    </row>
    <row r="965" spans="1:21" s="1808" customFormat="1">
      <c r="A965" s="960"/>
      <c r="B965" s="960"/>
      <c r="C965" s="960"/>
      <c r="D965" s="960"/>
      <c r="E965" s="960"/>
      <c r="F965" s="960"/>
      <c r="G965" s="960"/>
      <c r="H965" s="960"/>
      <c r="I965" s="2164"/>
      <c r="J965" s="960"/>
      <c r="K965" s="712"/>
    </row>
    <row r="966" spans="1:21" s="1808" customFormat="1">
      <c r="A966" s="960"/>
      <c r="B966" s="960"/>
      <c r="C966" s="960"/>
      <c r="D966" s="960"/>
      <c r="E966" s="960"/>
      <c r="F966" s="960"/>
      <c r="G966" s="960"/>
      <c r="H966" s="960"/>
      <c r="I966" s="2164"/>
      <c r="J966" s="960"/>
      <c r="K966" s="712"/>
    </row>
    <row r="967" spans="1:21">
      <c r="K967" s="712" t="s">
        <v>238</v>
      </c>
    </row>
    <row r="968" spans="1:21" ht="19">
      <c r="K968" s="712" t="s">
        <v>238</v>
      </c>
      <c r="L968" s="1879" t="s">
        <v>3726</v>
      </c>
    </row>
    <row r="969" spans="1:21">
      <c r="K969" s="712" t="s">
        <v>238</v>
      </c>
    </row>
    <row r="970" spans="1:21">
      <c r="K970" s="712" t="s">
        <v>238</v>
      </c>
      <c r="N970" s="1752" t="s">
        <v>3494</v>
      </c>
      <c r="O970" s="1994"/>
      <c r="P970" s="1753"/>
      <c r="Q970" s="1994"/>
      <c r="R970" s="1808"/>
      <c r="S970" s="1808"/>
      <c r="T970" s="1808"/>
      <c r="U970" s="1808"/>
    </row>
    <row r="971" spans="1:21">
      <c r="K971" s="712" t="s">
        <v>238</v>
      </c>
      <c r="N971" s="1995"/>
      <c r="O971" s="1996" t="s">
        <v>2482</v>
      </c>
      <c r="P971" s="1996" t="s">
        <v>3495</v>
      </c>
      <c r="Q971" s="1996" t="s">
        <v>3496</v>
      </c>
      <c r="R971" s="1808"/>
      <c r="S971" s="1808"/>
      <c r="T971" s="1808"/>
      <c r="U971" s="1808"/>
    </row>
    <row r="972" spans="1:21">
      <c r="K972" s="712" t="s">
        <v>238</v>
      </c>
      <c r="N972" s="1997" t="s">
        <v>3497</v>
      </c>
      <c r="O972" s="1998">
        <v>23500</v>
      </c>
      <c r="P972" s="1998">
        <v>1</v>
      </c>
      <c r="Q972" s="1998">
        <f t="shared" ref="Q972:Q987" si="111">O972*P972</f>
        <v>23500</v>
      </c>
      <c r="R972" s="1808"/>
      <c r="S972" s="1808"/>
      <c r="T972" s="1808"/>
      <c r="U972" s="1808"/>
    </row>
    <row r="973" spans="1:21">
      <c r="K973" s="712" t="s">
        <v>238</v>
      </c>
      <c r="N973" s="1997" t="s">
        <v>3498</v>
      </c>
      <c r="O973" s="1998">
        <v>6000</v>
      </c>
      <c r="P973" s="1998">
        <v>1</v>
      </c>
      <c r="Q973" s="1998">
        <f t="shared" si="111"/>
        <v>6000</v>
      </c>
      <c r="R973" s="1808"/>
      <c r="S973" s="1808"/>
      <c r="T973" s="1808"/>
      <c r="U973" s="1808"/>
    </row>
    <row r="974" spans="1:21">
      <c r="K974" s="712" t="s">
        <v>238</v>
      </c>
      <c r="N974" s="1997" t="s">
        <v>3499</v>
      </c>
      <c r="O974" s="1998">
        <v>15600</v>
      </c>
      <c r="P974" s="1998">
        <v>2</v>
      </c>
      <c r="Q974" s="1998">
        <f t="shared" si="111"/>
        <v>31200</v>
      </c>
      <c r="R974" s="1808"/>
      <c r="S974" s="1808"/>
      <c r="T974" s="1808"/>
      <c r="U974" s="1808"/>
    </row>
    <row r="975" spans="1:21">
      <c r="K975" s="712" t="s">
        <v>238</v>
      </c>
      <c r="N975" s="1997" t="s">
        <v>3500</v>
      </c>
      <c r="O975" s="1998">
        <v>19500</v>
      </c>
      <c r="P975" s="1998">
        <v>1</v>
      </c>
      <c r="Q975" s="1998">
        <f t="shared" si="111"/>
        <v>19500</v>
      </c>
      <c r="R975" s="1808"/>
      <c r="S975" s="1980"/>
      <c r="T975" s="1808"/>
      <c r="U975" s="1808"/>
    </row>
    <row r="976" spans="1:21">
      <c r="K976" s="712" t="s">
        <v>238</v>
      </c>
      <c r="N976" s="1997" t="s">
        <v>3501</v>
      </c>
      <c r="O976" s="1998">
        <v>200</v>
      </c>
      <c r="P976" s="1998">
        <v>10</v>
      </c>
      <c r="Q976" s="1998">
        <f t="shared" si="111"/>
        <v>2000</v>
      </c>
      <c r="R976" s="1808"/>
      <c r="S976" s="1980"/>
      <c r="T976" s="1808"/>
      <c r="U976" s="1808"/>
    </row>
    <row r="977" spans="11:21">
      <c r="K977" s="712" t="s">
        <v>238</v>
      </c>
      <c r="N977" s="1997" t="s">
        <v>3502</v>
      </c>
      <c r="O977" s="1998">
        <v>200</v>
      </c>
      <c r="P977" s="1998">
        <v>10</v>
      </c>
      <c r="Q977" s="1998">
        <f t="shared" si="111"/>
        <v>2000</v>
      </c>
      <c r="R977" s="1808"/>
      <c r="S977" s="1980"/>
      <c r="T977" s="1808"/>
      <c r="U977" s="1808"/>
    </row>
    <row r="978" spans="11:21">
      <c r="K978" s="712" t="s">
        <v>238</v>
      </c>
      <c r="N978" s="1997" t="s">
        <v>3503</v>
      </c>
      <c r="O978" s="1998">
        <v>5900</v>
      </c>
      <c r="P978" s="1998">
        <v>10</v>
      </c>
      <c r="Q978" s="1998">
        <f t="shared" si="111"/>
        <v>59000</v>
      </c>
      <c r="R978" s="1808"/>
      <c r="S978" s="1980"/>
      <c r="T978" s="1808"/>
      <c r="U978" s="1808"/>
    </row>
    <row r="979" spans="11:21">
      <c r="K979" s="712" t="s">
        <v>238</v>
      </c>
      <c r="N979" s="1997" t="s">
        <v>3504</v>
      </c>
      <c r="O979" s="1998">
        <v>3900</v>
      </c>
      <c r="P979" s="1998">
        <v>1</v>
      </c>
      <c r="Q979" s="1998">
        <f t="shared" si="111"/>
        <v>3900</v>
      </c>
      <c r="R979" s="1808"/>
      <c r="S979" s="1980"/>
      <c r="T979" s="1808"/>
      <c r="U979" s="1808"/>
    </row>
    <row r="980" spans="11:21">
      <c r="K980" s="712" t="s">
        <v>238</v>
      </c>
      <c r="N980" s="1997" t="s">
        <v>3505</v>
      </c>
      <c r="O980" s="1998">
        <v>5900</v>
      </c>
      <c r="P980" s="1998">
        <v>1</v>
      </c>
      <c r="Q980" s="1998">
        <f t="shared" si="111"/>
        <v>5900</v>
      </c>
      <c r="R980" s="1808"/>
      <c r="S980" s="1980"/>
      <c r="T980" s="1808"/>
      <c r="U980" s="1808"/>
    </row>
    <row r="981" spans="11:21">
      <c r="K981" s="712" t="s">
        <v>238</v>
      </c>
      <c r="N981" s="1997" t="s">
        <v>3506</v>
      </c>
      <c r="O981" s="1998">
        <v>3900</v>
      </c>
      <c r="P981" s="1998">
        <v>2</v>
      </c>
      <c r="Q981" s="1998">
        <f t="shared" si="111"/>
        <v>7800</v>
      </c>
      <c r="R981" s="1808"/>
      <c r="S981" s="1980"/>
      <c r="T981" s="1808"/>
      <c r="U981" s="1808"/>
    </row>
    <row r="982" spans="11:21">
      <c r="K982" s="712" t="s">
        <v>238</v>
      </c>
      <c r="N982" s="1997" t="s">
        <v>3507</v>
      </c>
      <c r="O982" s="1998">
        <v>3900</v>
      </c>
      <c r="P982" s="1998">
        <v>2</v>
      </c>
      <c r="Q982" s="1998">
        <f t="shared" si="111"/>
        <v>7800</v>
      </c>
      <c r="R982" s="1808"/>
      <c r="S982" s="1980"/>
      <c r="T982" s="1808"/>
      <c r="U982" s="1808"/>
    </row>
    <row r="983" spans="11:21">
      <c r="K983" s="712" t="s">
        <v>238</v>
      </c>
      <c r="N983" s="1997" t="s">
        <v>3508</v>
      </c>
      <c r="O983" s="1998">
        <v>5900</v>
      </c>
      <c r="P983" s="1998">
        <v>1</v>
      </c>
      <c r="Q983" s="1998">
        <f t="shared" si="111"/>
        <v>5900</v>
      </c>
      <c r="R983" s="1808"/>
      <c r="S983" s="1980"/>
      <c r="T983" s="1808"/>
      <c r="U983" s="1808"/>
    </row>
    <row r="984" spans="11:21">
      <c r="K984" s="712" t="s">
        <v>238</v>
      </c>
      <c r="N984" s="1997" t="s">
        <v>3509</v>
      </c>
      <c r="O984" s="1998">
        <v>5900</v>
      </c>
      <c r="P984" s="1998">
        <v>1</v>
      </c>
      <c r="Q984" s="1998">
        <f t="shared" si="111"/>
        <v>5900</v>
      </c>
      <c r="R984" s="1808"/>
      <c r="S984" s="1980"/>
      <c r="T984" s="1808"/>
      <c r="U984" s="1808"/>
    </row>
    <row r="985" spans="11:21">
      <c r="K985" s="712" t="s">
        <v>238</v>
      </c>
      <c r="N985" s="1997" t="s">
        <v>3510</v>
      </c>
      <c r="O985" s="2002">
        <v>200</v>
      </c>
      <c r="P985" s="1998">
        <v>100</v>
      </c>
      <c r="Q985" s="1998">
        <f t="shared" si="111"/>
        <v>20000</v>
      </c>
      <c r="R985" s="1808"/>
      <c r="S985" s="1980"/>
      <c r="T985" s="1808"/>
      <c r="U985" s="1808"/>
    </row>
    <row r="986" spans="11:21">
      <c r="K986" s="712" t="s">
        <v>238</v>
      </c>
      <c r="N986" s="1997" t="s">
        <v>3511</v>
      </c>
      <c r="O986" s="1998">
        <v>15600</v>
      </c>
      <c r="P986" s="1998">
        <v>1</v>
      </c>
      <c r="Q986" s="1998">
        <f t="shared" si="111"/>
        <v>15600</v>
      </c>
      <c r="R986" s="1808"/>
      <c r="S986" s="1980"/>
      <c r="T986" s="1808"/>
      <c r="U986" s="1808"/>
    </row>
    <row r="987" spans="11:21">
      <c r="K987" s="712" t="s">
        <v>238</v>
      </c>
      <c r="N987" s="1997" t="s">
        <v>3512</v>
      </c>
      <c r="O987" s="1998">
        <v>200</v>
      </c>
      <c r="P987" s="1998">
        <v>200</v>
      </c>
      <c r="Q987" s="1998">
        <f t="shared" si="111"/>
        <v>40000</v>
      </c>
      <c r="R987" s="1808"/>
      <c r="S987" s="1980"/>
      <c r="T987" s="1808"/>
      <c r="U987" s="1808"/>
    </row>
    <row r="988" spans="11:21">
      <c r="K988" s="712" t="s">
        <v>238</v>
      </c>
      <c r="N988" s="1999" t="s">
        <v>3513</v>
      </c>
      <c r="O988" s="2000"/>
      <c r="P988" s="2000"/>
      <c r="Q988" s="2001">
        <f>SUM(Q972:Q987)</f>
        <v>256000</v>
      </c>
      <c r="R988" s="1808"/>
      <c r="S988" s="1808"/>
      <c r="T988" s="1808"/>
      <c r="U988" s="1808"/>
    </row>
    <row r="989" spans="11:21">
      <c r="K989" s="712" t="s">
        <v>238</v>
      </c>
      <c r="N989" s="1808"/>
      <c r="O989" s="1808"/>
      <c r="P989" s="1808"/>
      <c r="Q989" s="1808"/>
      <c r="R989" s="1808"/>
      <c r="S989" s="1808"/>
      <c r="T989" s="1808"/>
      <c r="U989" s="1808"/>
    </row>
    <row r="990" spans="11:21">
      <c r="K990" s="712" t="s">
        <v>238</v>
      </c>
      <c r="N990" s="1808"/>
      <c r="O990" s="1808"/>
      <c r="P990" s="1808"/>
      <c r="Q990" s="1808"/>
      <c r="R990" s="1808"/>
      <c r="S990" s="1808"/>
      <c r="T990" s="1808"/>
      <c r="U990" s="1808"/>
    </row>
    <row r="991" spans="11:21" ht="16" thickBot="1">
      <c r="K991" s="712" t="s">
        <v>238</v>
      </c>
      <c r="N991" s="1808"/>
      <c r="O991" s="1808"/>
      <c r="P991" s="1808"/>
      <c r="Q991" s="1808"/>
      <c r="R991" s="1808"/>
      <c r="S991" s="1808"/>
      <c r="T991" s="1808"/>
      <c r="U991" s="1808"/>
    </row>
    <row r="992" spans="11:21" ht="16" thickBot="1">
      <c r="K992" s="712" t="s">
        <v>238</v>
      </c>
      <c r="N992" s="1808"/>
      <c r="O992" s="960"/>
      <c r="P992" s="960" t="s">
        <v>3591</v>
      </c>
      <c r="Q992" s="1500">
        <v>2021</v>
      </c>
      <c r="R992" s="1762">
        <v>2022</v>
      </c>
      <c r="S992" s="1762">
        <v>2023</v>
      </c>
      <c r="T992" s="1762">
        <v>2024</v>
      </c>
      <c r="U992" s="1763">
        <v>2025</v>
      </c>
    </row>
    <row r="993" spans="1:21" ht="16" thickBot="1">
      <c r="K993" s="712" t="s">
        <v>238</v>
      </c>
      <c r="N993" s="1764"/>
      <c r="O993" s="1504"/>
      <c r="P993" s="1504"/>
      <c r="Q993" s="1713">
        <v>0</v>
      </c>
      <c r="R993" s="1713">
        <v>0</v>
      </c>
      <c r="S993" s="1713">
        <v>1</v>
      </c>
      <c r="T993" s="1713">
        <v>0</v>
      </c>
      <c r="U993" s="1765">
        <v>0</v>
      </c>
    </row>
    <row r="994" spans="1:21" ht="16" thickBot="1">
      <c r="A994" s="2157">
        <v>209</v>
      </c>
      <c r="B994" s="841">
        <f>Q994</f>
        <v>0</v>
      </c>
      <c r="C994" s="841">
        <f t="shared" ref="C994:F994" si="112">R994</f>
        <v>0</v>
      </c>
      <c r="D994" s="841">
        <f t="shared" si="112"/>
        <v>256000</v>
      </c>
      <c r="E994" s="841">
        <f t="shared" si="112"/>
        <v>0</v>
      </c>
      <c r="F994" s="841">
        <f t="shared" si="112"/>
        <v>0</v>
      </c>
      <c r="G994" s="841" t="s">
        <v>351</v>
      </c>
      <c r="H994" s="841" t="s">
        <v>3726</v>
      </c>
      <c r="I994" s="2180" t="s">
        <v>3716</v>
      </c>
      <c r="J994" s="841" t="s">
        <v>2991</v>
      </c>
      <c r="K994" s="712" t="s">
        <v>238</v>
      </c>
      <c r="N994" s="1710" t="s">
        <v>3044</v>
      </c>
      <c r="O994" s="1732"/>
      <c r="P994" s="1708">
        <f>Q988</f>
        <v>256000</v>
      </c>
      <c r="Q994" s="1495">
        <f>P994*Q993</f>
        <v>0</v>
      </c>
      <c r="R994" s="1495">
        <f>P994*R993</f>
        <v>0</v>
      </c>
      <c r="S994" s="1495">
        <f>P994*S993</f>
        <v>256000</v>
      </c>
      <c r="T994" s="1495">
        <f>P994*T993</f>
        <v>0</v>
      </c>
      <c r="U994" s="1495">
        <f>P994*U993</f>
        <v>0</v>
      </c>
    </row>
    <row r="995" spans="1:21">
      <c r="K995" s="712" t="s">
        <v>238</v>
      </c>
    </row>
    <row r="996" spans="1:21">
      <c r="K996" s="712" t="s">
        <v>238</v>
      </c>
    </row>
    <row r="997" spans="1:21" ht="19">
      <c r="K997" s="712" t="s">
        <v>238</v>
      </c>
      <c r="L997" s="1879" t="s">
        <v>3727</v>
      </c>
    </row>
    <row r="998" spans="1:21">
      <c r="K998" s="712" t="s">
        <v>238</v>
      </c>
    </row>
    <row r="999" spans="1:21">
      <c r="K999" s="712" t="s">
        <v>238</v>
      </c>
    </row>
    <row r="1000" spans="1:21">
      <c r="K1000" s="712" t="s">
        <v>238</v>
      </c>
      <c r="N1000" s="1752" t="s">
        <v>3494</v>
      </c>
      <c r="O1000" s="1994"/>
      <c r="P1000" s="1753"/>
      <c r="Q1000" s="1994"/>
      <c r="R1000" s="1808"/>
      <c r="S1000" s="1808"/>
      <c r="T1000" s="1808"/>
      <c r="U1000" s="1808"/>
    </row>
    <row r="1001" spans="1:21" s="1808" customFormat="1">
      <c r="A1001" s="960"/>
      <c r="B1001" s="960"/>
      <c r="C1001" s="960"/>
      <c r="D1001" s="960"/>
      <c r="E1001" s="960"/>
      <c r="F1001" s="960"/>
      <c r="G1001" s="960"/>
      <c r="H1001" s="960"/>
      <c r="I1001" s="2164"/>
      <c r="J1001" s="960"/>
      <c r="K1001" s="712" t="s">
        <v>238</v>
      </c>
      <c r="N1001" s="1995"/>
      <c r="O1001" s="1996" t="s">
        <v>2482</v>
      </c>
      <c r="P1001" s="1996" t="s">
        <v>3495</v>
      </c>
      <c r="Q1001" s="1996" t="s">
        <v>3496</v>
      </c>
    </row>
    <row r="1002" spans="1:21" s="1808" customFormat="1">
      <c r="A1002" s="960"/>
      <c r="B1002" s="960"/>
      <c r="C1002" s="960"/>
      <c r="D1002" s="960"/>
      <c r="E1002" s="960"/>
      <c r="F1002" s="960"/>
      <c r="G1002" s="960"/>
      <c r="H1002" s="960"/>
      <c r="I1002" s="2164"/>
      <c r="J1002" s="960"/>
      <c r="K1002" s="712" t="s">
        <v>238</v>
      </c>
      <c r="N1002" s="1997" t="s">
        <v>3497</v>
      </c>
      <c r="O1002" s="1998">
        <v>23500</v>
      </c>
      <c r="P1002" s="1998">
        <v>1</v>
      </c>
      <c r="Q1002" s="1998">
        <f t="shared" ref="Q1002:Q1017" si="113">O1002*P1002</f>
        <v>23500</v>
      </c>
    </row>
    <row r="1003" spans="1:21" s="1808" customFormat="1">
      <c r="A1003" s="960"/>
      <c r="B1003" s="960"/>
      <c r="C1003" s="960"/>
      <c r="D1003" s="960"/>
      <c r="E1003" s="960"/>
      <c r="F1003" s="960"/>
      <c r="G1003" s="960"/>
      <c r="H1003" s="960"/>
      <c r="I1003" s="2164"/>
      <c r="J1003" s="960"/>
      <c r="K1003" s="712" t="s">
        <v>238</v>
      </c>
      <c r="N1003" s="1997" t="s">
        <v>3498</v>
      </c>
      <c r="O1003" s="1998">
        <v>6000</v>
      </c>
      <c r="P1003" s="1998">
        <v>1</v>
      </c>
      <c r="Q1003" s="1998">
        <f t="shared" si="113"/>
        <v>6000</v>
      </c>
    </row>
    <row r="1004" spans="1:21" s="1808" customFormat="1">
      <c r="A1004" s="960"/>
      <c r="B1004" s="960"/>
      <c r="C1004" s="960"/>
      <c r="D1004" s="960"/>
      <c r="E1004" s="960"/>
      <c r="F1004" s="960"/>
      <c r="G1004" s="960"/>
      <c r="H1004" s="960"/>
      <c r="I1004" s="2164"/>
      <c r="J1004" s="960"/>
      <c r="K1004" s="712" t="s">
        <v>238</v>
      </c>
      <c r="N1004" s="1997" t="s">
        <v>3499</v>
      </c>
      <c r="O1004" s="1998">
        <v>15600</v>
      </c>
      <c r="P1004" s="1998">
        <v>2</v>
      </c>
      <c r="Q1004" s="1998">
        <f t="shared" si="113"/>
        <v>31200</v>
      </c>
    </row>
    <row r="1005" spans="1:21" s="1808" customFormat="1">
      <c r="A1005" s="960"/>
      <c r="B1005" s="960"/>
      <c r="C1005" s="960"/>
      <c r="D1005" s="960"/>
      <c r="E1005" s="960"/>
      <c r="F1005" s="960"/>
      <c r="G1005" s="960"/>
      <c r="H1005" s="960"/>
      <c r="I1005" s="2164"/>
      <c r="J1005" s="960"/>
      <c r="K1005" s="712" t="s">
        <v>238</v>
      </c>
      <c r="N1005" s="1997" t="s">
        <v>3500</v>
      </c>
      <c r="O1005" s="1998">
        <v>19500</v>
      </c>
      <c r="P1005" s="1998">
        <v>1</v>
      </c>
      <c r="Q1005" s="1998">
        <f t="shared" si="113"/>
        <v>19500</v>
      </c>
      <c r="S1005" s="1980"/>
    </row>
    <row r="1006" spans="1:21" s="1808" customFormat="1">
      <c r="A1006" s="960"/>
      <c r="B1006" s="960"/>
      <c r="C1006" s="960"/>
      <c r="D1006" s="960"/>
      <c r="E1006" s="960"/>
      <c r="F1006" s="960"/>
      <c r="G1006" s="960"/>
      <c r="H1006" s="960"/>
      <c r="I1006" s="2164"/>
      <c r="J1006" s="960"/>
      <c r="K1006" s="712" t="s">
        <v>238</v>
      </c>
      <c r="N1006" s="1997" t="s">
        <v>3501</v>
      </c>
      <c r="O1006" s="1998">
        <v>200</v>
      </c>
      <c r="P1006" s="1998">
        <v>10</v>
      </c>
      <c r="Q1006" s="1998">
        <f t="shared" si="113"/>
        <v>2000</v>
      </c>
      <c r="S1006" s="1980"/>
    </row>
    <row r="1007" spans="1:21" s="1808" customFormat="1">
      <c r="A1007" s="960"/>
      <c r="B1007" s="960"/>
      <c r="C1007" s="960"/>
      <c r="D1007" s="960"/>
      <c r="E1007" s="960"/>
      <c r="F1007" s="960"/>
      <c r="G1007" s="960"/>
      <c r="H1007" s="960"/>
      <c r="I1007" s="2164"/>
      <c r="J1007" s="960"/>
      <c r="K1007" s="712" t="s">
        <v>238</v>
      </c>
      <c r="N1007" s="1997" t="s">
        <v>3502</v>
      </c>
      <c r="O1007" s="1998">
        <v>200</v>
      </c>
      <c r="P1007" s="1998">
        <v>10</v>
      </c>
      <c r="Q1007" s="1998">
        <f t="shared" si="113"/>
        <v>2000</v>
      </c>
      <c r="S1007" s="1980"/>
    </row>
    <row r="1008" spans="1:21" s="1808" customFormat="1">
      <c r="A1008" s="960"/>
      <c r="B1008" s="960"/>
      <c r="C1008" s="960"/>
      <c r="D1008" s="960"/>
      <c r="E1008" s="960"/>
      <c r="F1008" s="960"/>
      <c r="G1008" s="960"/>
      <c r="H1008" s="960"/>
      <c r="I1008" s="2164"/>
      <c r="J1008" s="960"/>
      <c r="K1008" s="712" t="s">
        <v>238</v>
      </c>
      <c r="N1008" s="1997" t="s">
        <v>3503</v>
      </c>
      <c r="O1008" s="1998">
        <v>5900</v>
      </c>
      <c r="P1008" s="1998">
        <v>10</v>
      </c>
      <c r="Q1008" s="1998">
        <f t="shared" si="113"/>
        <v>59000</v>
      </c>
      <c r="S1008" s="1980"/>
    </row>
    <row r="1009" spans="1:39" s="1808" customFormat="1">
      <c r="A1009" s="960"/>
      <c r="B1009" s="960"/>
      <c r="C1009" s="960"/>
      <c r="D1009" s="960"/>
      <c r="E1009" s="960"/>
      <c r="F1009" s="960"/>
      <c r="G1009" s="960"/>
      <c r="H1009" s="960"/>
      <c r="I1009" s="2164"/>
      <c r="J1009" s="960"/>
      <c r="K1009" s="712" t="s">
        <v>238</v>
      </c>
      <c r="N1009" s="1997" t="s">
        <v>3504</v>
      </c>
      <c r="O1009" s="1998">
        <v>3900</v>
      </c>
      <c r="P1009" s="1998">
        <v>1</v>
      </c>
      <c r="Q1009" s="1998">
        <f t="shared" si="113"/>
        <v>3900</v>
      </c>
      <c r="S1009" s="1980"/>
    </row>
    <row r="1010" spans="1:39" s="1808" customFormat="1">
      <c r="A1010" s="960"/>
      <c r="B1010" s="960"/>
      <c r="C1010" s="960"/>
      <c r="D1010" s="960"/>
      <c r="E1010" s="960"/>
      <c r="F1010" s="960"/>
      <c r="G1010" s="960"/>
      <c r="H1010" s="960"/>
      <c r="I1010" s="2164"/>
      <c r="J1010" s="960"/>
      <c r="K1010" s="712" t="s">
        <v>238</v>
      </c>
      <c r="N1010" s="1997" t="s">
        <v>3505</v>
      </c>
      <c r="O1010" s="1998">
        <v>5900</v>
      </c>
      <c r="P1010" s="1998">
        <v>1</v>
      </c>
      <c r="Q1010" s="1998">
        <f t="shared" si="113"/>
        <v>5900</v>
      </c>
      <c r="S1010" s="1980"/>
    </row>
    <row r="1011" spans="1:39" s="1808" customFormat="1">
      <c r="A1011" s="960"/>
      <c r="B1011" s="960"/>
      <c r="C1011" s="960"/>
      <c r="D1011" s="960"/>
      <c r="E1011" s="960"/>
      <c r="F1011" s="960"/>
      <c r="G1011" s="960"/>
      <c r="H1011" s="960"/>
      <c r="I1011" s="2164"/>
      <c r="J1011" s="960"/>
      <c r="K1011" s="712" t="s">
        <v>238</v>
      </c>
      <c r="N1011" s="1997" t="s">
        <v>3506</v>
      </c>
      <c r="O1011" s="1998">
        <v>3900</v>
      </c>
      <c r="P1011" s="1998">
        <v>2</v>
      </c>
      <c r="Q1011" s="1998">
        <f t="shared" si="113"/>
        <v>7800</v>
      </c>
      <c r="S1011" s="1980"/>
    </row>
    <row r="1012" spans="1:39" s="1808" customFormat="1">
      <c r="A1012" s="960"/>
      <c r="B1012" s="960"/>
      <c r="C1012" s="960"/>
      <c r="D1012" s="960"/>
      <c r="E1012" s="960"/>
      <c r="F1012" s="960"/>
      <c r="G1012" s="960"/>
      <c r="H1012" s="960"/>
      <c r="I1012" s="2164"/>
      <c r="J1012" s="960"/>
      <c r="K1012" s="712" t="s">
        <v>238</v>
      </c>
      <c r="N1012" s="1997" t="s">
        <v>3507</v>
      </c>
      <c r="O1012" s="1998">
        <v>3900</v>
      </c>
      <c r="P1012" s="1998">
        <v>2</v>
      </c>
      <c r="Q1012" s="1998">
        <f t="shared" si="113"/>
        <v>7800</v>
      </c>
      <c r="S1012" s="1980"/>
    </row>
    <row r="1013" spans="1:39" s="1808" customFormat="1">
      <c r="A1013" s="960"/>
      <c r="B1013" s="960"/>
      <c r="C1013" s="960"/>
      <c r="D1013" s="960"/>
      <c r="E1013" s="960"/>
      <c r="F1013" s="960"/>
      <c r="G1013" s="960"/>
      <c r="H1013" s="960"/>
      <c r="I1013" s="2164"/>
      <c r="J1013" s="960"/>
      <c r="K1013" s="712" t="s">
        <v>238</v>
      </c>
      <c r="N1013" s="1997" t="s">
        <v>3508</v>
      </c>
      <c r="O1013" s="1998">
        <v>5900</v>
      </c>
      <c r="P1013" s="1998">
        <v>1</v>
      </c>
      <c r="Q1013" s="1998">
        <f t="shared" si="113"/>
        <v>5900</v>
      </c>
      <c r="S1013" s="1980"/>
    </row>
    <row r="1014" spans="1:39" s="1808" customFormat="1">
      <c r="A1014" s="960"/>
      <c r="B1014" s="960"/>
      <c r="C1014" s="960"/>
      <c r="D1014" s="960"/>
      <c r="E1014" s="960"/>
      <c r="F1014" s="960"/>
      <c r="G1014" s="960"/>
      <c r="H1014" s="960"/>
      <c r="I1014" s="2164"/>
      <c r="J1014" s="960"/>
      <c r="K1014" s="712" t="s">
        <v>238</v>
      </c>
      <c r="N1014" s="1997" t="s">
        <v>3509</v>
      </c>
      <c r="O1014" s="1998">
        <v>5900</v>
      </c>
      <c r="P1014" s="1998">
        <v>1</v>
      </c>
      <c r="Q1014" s="1998">
        <f t="shared" si="113"/>
        <v>5900</v>
      </c>
      <c r="S1014" s="1980"/>
    </row>
    <row r="1015" spans="1:39" s="1808" customFormat="1">
      <c r="A1015" s="960"/>
      <c r="B1015" s="960"/>
      <c r="C1015" s="960"/>
      <c r="D1015" s="960"/>
      <c r="E1015" s="960"/>
      <c r="F1015" s="960"/>
      <c r="G1015" s="960"/>
      <c r="H1015" s="960"/>
      <c r="I1015" s="2164"/>
      <c r="J1015" s="960"/>
      <c r="K1015" s="712" t="s">
        <v>238</v>
      </c>
      <c r="N1015" s="1997" t="s">
        <v>3510</v>
      </c>
      <c r="O1015" s="2002">
        <v>200</v>
      </c>
      <c r="P1015" s="1998">
        <v>100</v>
      </c>
      <c r="Q1015" s="1998">
        <f t="shared" si="113"/>
        <v>20000</v>
      </c>
      <c r="S1015" s="1980"/>
    </row>
    <row r="1016" spans="1:39" s="1808" customFormat="1">
      <c r="A1016" s="960"/>
      <c r="B1016" s="960"/>
      <c r="C1016" s="960"/>
      <c r="D1016" s="960"/>
      <c r="E1016" s="960"/>
      <c r="F1016" s="960"/>
      <c r="G1016" s="960"/>
      <c r="H1016" s="960"/>
      <c r="I1016" s="2164"/>
      <c r="J1016" s="960"/>
      <c r="K1016" s="712" t="s">
        <v>238</v>
      </c>
      <c r="N1016" s="1997" t="s">
        <v>3511</v>
      </c>
      <c r="O1016" s="1998">
        <v>15600</v>
      </c>
      <c r="P1016" s="1998">
        <v>1</v>
      </c>
      <c r="Q1016" s="1998">
        <f t="shared" si="113"/>
        <v>15600</v>
      </c>
      <c r="S1016" s="1980"/>
    </row>
    <row r="1017" spans="1:39" s="1808" customFormat="1">
      <c r="A1017" s="960"/>
      <c r="B1017" s="960"/>
      <c r="C1017" s="960"/>
      <c r="D1017" s="960"/>
      <c r="E1017" s="960"/>
      <c r="F1017" s="960"/>
      <c r="G1017" s="960"/>
      <c r="H1017" s="960"/>
      <c r="I1017" s="2164"/>
      <c r="J1017" s="960"/>
      <c r="K1017" s="712" t="s">
        <v>238</v>
      </c>
      <c r="N1017" s="1997" t="s">
        <v>3512</v>
      </c>
      <c r="O1017" s="1998">
        <v>200</v>
      </c>
      <c r="P1017" s="1998">
        <v>200</v>
      </c>
      <c r="Q1017" s="1998">
        <f t="shared" si="113"/>
        <v>40000</v>
      </c>
      <c r="S1017" s="1980"/>
    </row>
    <row r="1018" spans="1:39" s="1808" customFormat="1">
      <c r="A1018" s="960"/>
      <c r="B1018" s="960"/>
      <c r="C1018" s="960"/>
      <c r="D1018" s="960"/>
      <c r="E1018" s="960"/>
      <c r="F1018" s="960"/>
      <c r="G1018" s="960"/>
      <c r="H1018" s="960"/>
      <c r="I1018" s="2164"/>
      <c r="J1018" s="960"/>
      <c r="K1018" s="712" t="s">
        <v>238</v>
      </c>
      <c r="N1018" s="1999" t="s">
        <v>3513</v>
      </c>
      <c r="O1018" s="2000"/>
      <c r="P1018" s="2000"/>
      <c r="Q1018" s="2001">
        <f>SUM(Q1002:Q1017)</f>
        <v>256000</v>
      </c>
    </row>
    <row r="1019" spans="1:39" s="1808" customFormat="1">
      <c r="A1019" s="960"/>
      <c r="B1019" s="960"/>
      <c r="C1019" s="960"/>
      <c r="D1019" s="960"/>
      <c r="E1019" s="960"/>
      <c r="F1019" s="960"/>
      <c r="G1019" s="960"/>
      <c r="H1019" s="960"/>
      <c r="I1019" s="2164"/>
      <c r="J1019" s="960"/>
      <c r="K1019" s="712" t="s">
        <v>238</v>
      </c>
    </row>
    <row r="1020" spans="1:39" s="1808" customFormat="1">
      <c r="A1020" s="960"/>
      <c r="B1020" s="960"/>
      <c r="C1020" s="960"/>
      <c r="D1020" s="960"/>
      <c r="E1020" s="960"/>
      <c r="F1020" s="960"/>
      <c r="G1020" s="960"/>
      <c r="H1020" s="960"/>
      <c r="I1020" s="2164"/>
      <c r="J1020" s="960"/>
      <c r="K1020" s="712" t="s">
        <v>238</v>
      </c>
    </row>
    <row r="1021" spans="1:39" s="1808" customFormat="1" ht="16" thickBot="1">
      <c r="A1021" s="960"/>
      <c r="B1021" s="960"/>
      <c r="C1021" s="960"/>
      <c r="D1021" s="960"/>
      <c r="E1021" s="960"/>
      <c r="F1021" s="960"/>
      <c r="G1021" s="960"/>
      <c r="H1021" s="960"/>
      <c r="I1021" s="2164"/>
      <c r="J1021" s="960"/>
      <c r="K1021" s="712" t="s">
        <v>238</v>
      </c>
      <c r="W1021" s="1808" t="s">
        <v>338</v>
      </c>
      <c r="AF1021" s="1808" t="s">
        <v>351</v>
      </c>
    </row>
    <row r="1022" spans="1:39" s="1808" customFormat="1" ht="16" thickBot="1">
      <c r="A1022" s="960"/>
      <c r="B1022" s="960"/>
      <c r="C1022" s="960"/>
      <c r="D1022" s="960"/>
      <c r="E1022" s="960"/>
      <c r="F1022" s="960"/>
      <c r="G1022" s="960"/>
      <c r="H1022" s="960"/>
      <c r="I1022" s="2164"/>
      <c r="J1022" s="960"/>
      <c r="K1022" s="712" t="s">
        <v>238</v>
      </c>
      <c r="O1022" s="960"/>
      <c r="P1022" s="960" t="s">
        <v>3591</v>
      </c>
      <c r="Q1022" s="1500">
        <v>2021</v>
      </c>
      <c r="R1022" s="1762">
        <v>2022</v>
      </c>
      <c r="S1022" s="1762">
        <v>2023</v>
      </c>
      <c r="T1022" s="1762">
        <v>2024</v>
      </c>
      <c r="U1022" s="1763">
        <v>2025</v>
      </c>
      <c r="X1022" s="960"/>
      <c r="Y1022" s="960" t="s">
        <v>3591</v>
      </c>
      <c r="Z1022" s="1500">
        <v>2021</v>
      </c>
      <c r="AA1022" s="1762">
        <v>2022</v>
      </c>
      <c r="AB1022" s="1762">
        <v>2023</v>
      </c>
      <c r="AC1022" s="1762">
        <v>2024</v>
      </c>
      <c r="AD1022" s="1763">
        <v>2025</v>
      </c>
      <c r="AG1022" s="960"/>
      <c r="AH1022" s="960" t="s">
        <v>3591</v>
      </c>
      <c r="AI1022" s="1500">
        <v>2021</v>
      </c>
      <c r="AJ1022" s="1762">
        <v>2022</v>
      </c>
      <c r="AK1022" s="1762">
        <v>2023</v>
      </c>
      <c r="AL1022" s="1762">
        <v>2024</v>
      </c>
      <c r="AM1022" s="1763">
        <v>2025</v>
      </c>
    </row>
    <row r="1023" spans="1:39" s="1808" customFormat="1" ht="16" thickBot="1">
      <c r="A1023" s="960"/>
      <c r="B1023" s="960"/>
      <c r="C1023" s="960"/>
      <c r="D1023" s="960"/>
      <c r="E1023" s="960"/>
      <c r="F1023" s="960"/>
      <c r="G1023" s="960"/>
      <c r="H1023" s="960"/>
      <c r="I1023" s="2164"/>
      <c r="J1023" s="960"/>
      <c r="K1023" s="712" t="s">
        <v>238</v>
      </c>
      <c r="N1023" s="1764"/>
      <c r="O1023" s="1504"/>
      <c r="P1023" s="1504"/>
      <c r="Q1023" s="1713">
        <v>1</v>
      </c>
      <c r="R1023" s="1713">
        <v>0</v>
      </c>
      <c r="S1023" s="1713">
        <v>0</v>
      </c>
      <c r="T1023" s="1713">
        <v>0</v>
      </c>
      <c r="U1023" s="1765">
        <v>0</v>
      </c>
      <c r="W1023" s="1764"/>
      <c r="X1023" s="1504"/>
      <c r="Y1023" s="1504"/>
      <c r="Z1023" s="1713">
        <v>0</v>
      </c>
      <c r="AA1023" s="1713">
        <v>0</v>
      </c>
      <c r="AB1023" s="1713">
        <v>0</v>
      </c>
      <c r="AC1023" s="1713">
        <v>0</v>
      </c>
      <c r="AD1023" s="1765">
        <v>1</v>
      </c>
      <c r="AF1023" s="1764"/>
      <c r="AG1023" s="1504"/>
      <c r="AH1023" s="1504"/>
      <c r="AI1023" s="1713">
        <v>1</v>
      </c>
      <c r="AJ1023" s="1713">
        <v>0</v>
      </c>
      <c r="AK1023" s="1713">
        <v>0</v>
      </c>
      <c r="AL1023" s="1713">
        <v>0</v>
      </c>
      <c r="AM1023" s="1765">
        <v>0</v>
      </c>
    </row>
    <row r="1024" spans="1:39" s="1808" customFormat="1" ht="16" thickBot="1">
      <c r="A1024" s="2157">
        <v>210</v>
      </c>
      <c r="B1024" s="841">
        <f>AI1024</f>
        <v>256000</v>
      </c>
      <c r="C1024" s="841">
        <f t="shared" ref="C1024:F1024" si="114">AJ1024</f>
        <v>0</v>
      </c>
      <c r="D1024" s="841">
        <f t="shared" si="114"/>
        <v>0</v>
      </c>
      <c r="E1024" s="841">
        <f t="shared" si="114"/>
        <v>0</v>
      </c>
      <c r="F1024" s="841">
        <f t="shared" si="114"/>
        <v>0</v>
      </c>
      <c r="G1024" s="2193" t="s">
        <v>351</v>
      </c>
      <c r="H1024" s="841" t="s">
        <v>3727</v>
      </c>
      <c r="I1024" s="2180" t="s">
        <v>3716</v>
      </c>
      <c r="J1024" s="841" t="s">
        <v>2991</v>
      </c>
      <c r="K1024" s="712" t="s">
        <v>238</v>
      </c>
      <c r="N1024" s="1710" t="s">
        <v>3044</v>
      </c>
      <c r="O1024" s="1732"/>
      <c r="P1024" s="1708">
        <f>Q1018</f>
        <v>256000</v>
      </c>
      <c r="Q1024" s="1495">
        <f>P1024*Q1023</f>
        <v>256000</v>
      </c>
      <c r="R1024" s="1495">
        <f>P1024*R1023</f>
        <v>0</v>
      </c>
      <c r="S1024" s="1495">
        <f>P1024*S1023</f>
        <v>0</v>
      </c>
      <c r="T1024" s="1495">
        <f>P1024*T1023</f>
        <v>0</v>
      </c>
      <c r="U1024" s="1495">
        <f>P1024*U1023</f>
        <v>0</v>
      </c>
      <c r="W1024" s="1710" t="s">
        <v>3044</v>
      </c>
      <c r="X1024" s="1732"/>
      <c r="Y1024" s="1708">
        <f>Q1018</f>
        <v>256000</v>
      </c>
      <c r="Z1024" s="1495">
        <f>Y1024*Z1023</f>
        <v>0</v>
      </c>
      <c r="AA1024" s="1495">
        <f>Y1024*AA1023</f>
        <v>0</v>
      </c>
      <c r="AB1024" s="1495">
        <f>Y1024*AB1023</f>
        <v>0</v>
      </c>
      <c r="AC1024" s="1495">
        <f>Y1024*AC1023</f>
        <v>0</v>
      </c>
      <c r="AD1024" s="1495">
        <f>Y1024*AD1023</f>
        <v>256000</v>
      </c>
      <c r="AF1024" s="1710" t="s">
        <v>3044</v>
      </c>
      <c r="AG1024" s="1732"/>
      <c r="AH1024" s="1708">
        <f>Q1018</f>
        <v>256000</v>
      </c>
      <c r="AI1024" s="1495">
        <f>AH1024*AI1023</f>
        <v>256000</v>
      </c>
      <c r="AJ1024" s="1495">
        <f>AH1024*AJ1023</f>
        <v>0</v>
      </c>
      <c r="AK1024" s="1495">
        <f>AH1024*AK1023</f>
        <v>0</v>
      </c>
      <c r="AL1024" s="1495">
        <f>AH1024*AL1023</f>
        <v>0</v>
      </c>
      <c r="AM1024" s="1495">
        <f>AH1024*AM1023</f>
        <v>0</v>
      </c>
    </row>
    <row r="1025" spans="1:22" s="1808" customFormat="1">
      <c r="A1025" s="2157">
        <v>220</v>
      </c>
      <c r="B1025" s="841">
        <f>Z1024</f>
        <v>0</v>
      </c>
      <c r="C1025" s="841">
        <f t="shared" ref="C1025:F1025" si="115">AA1024</f>
        <v>0</v>
      </c>
      <c r="D1025" s="841">
        <f t="shared" si="115"/>
        <v>0</v>
      </c>
      <c r="E1025" s="841">
        <f t="shared" si="115"/>
        <v>0</v>
      </c>
      <c r="F1025" s="841">
        <f t="shared" si="115"/>
        <v>256000</v>
      </c>
      <c r="G1025" s="2193" t="s">
        <v>338</v>
      </c>
      <c r="H1025" s="841" t="s">
        <v>3727</v>
      </c>
      <c r="I1025" s="2180"/>
      <c r="J1025" s="841" t="s">
        <v>2991</v>
      </c>
      <c r="K1025" s="712" t="s">
        <v>238</v>
      </c>
    </row>
    <row r="1026" spans="1:22" s="1808" customFormat="1">
      <c r="A1026" s="960"/>
      <c r="B1026" s="960"/>
      <c r="C1026" s="960"/>
      <c r="D1026" s="960"/>
      <c r="E1026" s="960"/>
      <c r="F1026" s="960"/>
      <c r="G1026" s="960"/>
      <c r="H1026" s="960"/>
      <c r="I1026" s="2164"/>
      <c r="J1026" s="960"/>
      <c r="K1026" s="712" t="s">
        <v>238</v>
      </c>
    </row>
    <row r="1027" spans="1:22" s="1808" customFormat="1">
      <c r="A1027" s="960"/>
      <c r="B1027" s="960"/>
      <c r="C1027" s="960"/>
      <c r="D1027" s="960"/>
      <c r="E1027" s="960"/>
      <c r="F1027" s="960"/>
      <c r="G1027" s="960"/>
      <c r="H1027" s="960"/>
      <c r="I1027" s="2164"/>
      <c r="J1027" s="960"/>
      <c r="K1027" s="712" t="s">
        <v>238</v>
      </c>
    </row>
    <row r="1028" spans="1:22" s="1808" customFormat="1">
      <c r="A1028" s="960"/>
      <c r="B1028" s="960"/>
      <c r="C1028" s="960"/>
      <c r="D1028" s="960"/>
      <c r="E1028" s="960"/>
      <c r="F1028" s="960"/>
      <c r="G1028" s="960"/>
      <c r="H1028" s="960"/>
      <c r="I1028" s="2164"/>
      <c r="J1028" s="960"/>
      <c r="K1028" s="712" t="s">
        <v>238</v>
      </c>
    </row>
    <row r="1029" spans="1:22" s="1808" customFormat="1">
      <c r="A1029" s="960"/>
      <c r="B1029" s="960"/>
      <c r="C1029" s="960"/>
      <c r="D1029" s="960"/>
      <c r="E1029" s="960"/>
      <c r="F1029" s="960"/>
      <c r="G1029" s="960"/>
      <c r="H1029" s="960"/>
      <c r="I1029" s="2164"/>
      <c r="J1029" s="960"/>
      <c r="K1029" s="712" t="s">
        <v>238</v>
      </c>
      <c r="O1029"/>
      <c r="P1029"/>
    </row>
    <row r="1030" spans="1:22" s="1808" customFormat="1">
      <c r="A1030" s="960"/>
      <c r="B1030" s="960"/>
      <c r="C1030" s="960"/>
      <c r="D1030" s="960"/>
      <c r="E1030" s="960"/>
      <c r="F1030" s="960"/>
      <c r="G1030" s="960"/>
      <c r="H1030" s="960"/>
      <c r="I1030" s="2164"/>
      <c r="J1030" s="960"/>
      <c r="K1030" s="712" t="s">
        <v>238</v>
      </c>
      <c r="O1030"/>
      <c r="P1030"/>
    </row>
    <row r="1031" spans="1:22" s="1808" customFormat="1">
      <c r="A1031" s="960"/>
      <c r="B1031" s="960"/>
      <c r="C1031" s="960"/>
      <c r="D1031" s="960"/>
      <c r="E1031" s="960"/>
      <c r="F1031" s="960"/>
      <c r="G1031" s="960"/>
      <c r="H1031" s="960"/>
      <c r="I1031" s="2164"/>
      <c r="J1031" s="960"/>
      <c r="K1031" s="712" t="s">
        <v>238</v>
      </c>
      <c r="O1031"/>
      <c r="P1031"/>
    </row>
    <row r="1032" spans="1:22" ht="19">
      <c r="K1032" s="712" t="s">
        <v>238</v>
      </c>
      <c r="L1032" s="1879" t="s">
        <v>3728</v>
      </c>
    </row>
    <row r="1033" spans="1:22">
      <c r="K1033" s="712" t="s">
        <v>238</v>
      </c>
    </row>
    <row r="1034" spans="1:22" s="1808" customFormat="1" ht="16" thickBot="1">
      <c r="A1034" s="960"/>
      <c r="B1034" s="960"/>
      <c r="C1034" s="960"/>
      <c r="D1034" s="960"/>
      <c r="E1034" s="960"/>
      <c r="F1034" s="960"/>
      <c r="G1034" s="960"/>
      <c r="H1034" s="960"/>
      <c r="I1034" s="2164"/>
      <c r="J1034" s="960"/>
      <c r="K1034" s="712" t="s">
        <v>238</v>
      </c>
      <c r="N1034" s="960"/>
      <c r="O1034" s="960"/>
      <c r="P1034" s="960"/>
      <c r="Q1034" s="1025"/>
      <c r="R1034" s="1025"/>
      <c r="S1034" s="960"/>
      <c r="T1034" s="1025"/>
      <c r="U1034" s="1680"/>
    </row>
    <row r="1035" spans="1:22" s="1808" customFormat="1">
      <c r="A1035" s="960"/>
      <c r="B1035" s="960"/>
      <c r="C1035" s="960"/>
      <c r="D1035" s="960"/>
      <c r="E1035" s="960"/>
      <c r="F1035" s="960"/>
      <c r="G1035" s="960"/>
      <c r="H1035" s="960"/>
      <c r="I1035" s="2164"/>
      <c r="J1035" s="960"/>
      <c r="K1035" s="712" t="s">
        <v>238</v>
      </c>
      <c r="N1035" s="1758"/>
      <c r="O1035" s="966"/>
      <c r="P1035" s="966"/>
      <c r="Q1035" s="966"/>
      <c r="R1035" s="966"/>
      <c r="S1035" s="966"/>
      <c r="T1035" s="966"/>
      <c r="U1035" s="967"/>
    </row>
    <row r="1036" spans="1:22" s="1808" customFormat="1">
      <c r="A1036" s="960"/>
      <c r="B1036" s="960"/>
      <c r="C1036" s="960"/>
      <c r="D1036" s="960"/>
      <c r="E1036" s="960"/>
      <c r="F1036" s="960"/>
      <c r="G1036" s="960"/>
      <c r="H1036" s="960"/>
      <c r="I1036" s="2164"/>
      <c r="J1036" s="960"/>
      <c r="K1036" s="712" t="s">
        <v>238</v>
      </c>
      <c r="N1036" s="1049" t="s">
        <v>3059</v>
      </c>
      <c r="O1036" s="960"/>
      <c r="P1036" s="960"/>
      <c r="Q1036" s="960"/>
      <c r="R1036" s="960"/>
      <c r="S1036" s="960"/>
      <c r="T1036" s="960"/>
      <c r="U1036" s="62"/>
    </row>
    <row r="1037" spans="1:22" s="1808" customFormat="1" ht="33">
      <c r="A1037" s="960"/>
      <c r="B1037" s="960"/>
      <c r="C1037" s="960"/>
      <c r="D1037" s="960"/>
      <c r="E1037" s="960"/>
      <c r="F1037" s="960"/>
      <c r="G1037" s="960"/>
      <c r="H1037" s="960"/>
      <c r="I1037" s="2164"/>
      <c r="J1037" s="960"/>
      <c r="K1037" s="712" t="s">
        <v>238</v>
      </c>
      <c r="N1037" s="1760" t="s">
        <v>3061</v>
      </c>
      <c r="O1037" s="1749"/>
      <c r="P1037" s="1565"/>
      <c r="Q1037" s="2087">
        <v>65</v>
      </c>
      <c r="R1037"/>
      <c r="S1037" s="960"/>
      <c r="T1037" s="960"/>
      <c r="U1037" s="62"/>
      <c r="V1037" s="2088" t="s">
        <v>3590</v>
      </c>
    </row>
    <row r="1038" spans="1:22" s="1808" customFormat="1" ht="32">
      <c r="A1038" s="960"/>
      <c r="B1038" s="960"/>
      <c r="C1038" s="960"/>
      <c r="D1038" s="960"/>
      <c r="E1038" s="960"/>
      <c r="F1038" s="960"/>
      <c r="G1038" s="960"/>
      <c r="H1038" s="960"/>
      <c r="I1038" s="2164"/>
      <c r="J1038" s="960"/>
      <c r="K1038" s="712" t="s">
        <v>238</v>
      </c>
      <c r="N1038" s="1760" t="s">
        <v>3062</v>
      </c>
      <c r="O1038" s="1749"/>
      <c r="P1038" s="1565"/>
      <c r="Q1038" s="2087">
        <v>100</v>
      </c>
      <c r="R1038"/>
      <c r="S1038" s="960"/>
      <c r="T1038" s="960"/>
      <c r="U1038" s="62"/>
    </row>
    <row r="1039" spans="1:22" s="1808" customFormat="1">
      <c r="A1039" s="960"/>
      <c r="B1039" s="960"/>
      <c r="C1039" s="960"/>
      <c r="D1039" s="960"/>
      <c r="E1039" s="960"/>
      <c r="F1039" s="960"/>
      <c r="G1039" s="960"/>
      <c r="H1039" s="960"/>
      <c r="I1039" s="2164"/>
      <c r="J1039" s="960"/>
      <c r="K1039" s="712" t="s">
        <v>238</v>
      </c>
      <c r="N1039" s="1049"/>
      <c r="O1039" s="960"/>
      <c r="P1039" s="960"/>
      <c r="Q1039" s="960"/>
      <c r="R1039" s="960"/>
      <c r="S1039" s="960"/>
      <c r="T1039" s="960"/>
      <c r="U1039" s="62"/>
    </row>
    <row r="1040" spans="1:22" s="1808" customFormat="1">
      <c r="A1040" s="960"/>
      <c r="B1040" s="960"/>
      <c r="C1040" s="960"/>
      <c r="D1040" s="960"/>
      <c r="E1040" s="960"/>
      <c r="F1040" s="960"/>
      <c r="G1040" s="960"/>
      <c r="H1040" s="960"/>
      <c r="I1040" s="2164"/>
      <c r="J1040" s="960"/>
      <c r="K1040" s="712" t="s">
        <v>238</v>
      </c>
      <c r="N1040" s="1049"/>
      <c r="O1040" s="960"/>
      <c r="P1040" s="960"/>
      <c r="Q1040" s="960"/>
      <c r="R1040" s="960"/>
      <c r="S1040" s="960"/>
      <c r="T1040" s="960"/>
      <c r="U1040" s="62"/>
    </row>
    <row r="1041" spans="1:21" s="1808" customFormat="1" ht="16" thickBot="1">
      <c r="A1041" s="960"/>
      <c r="B1041" s="960"/>
      <c r="C1041" s="960"/>
      <c r="D1041" s="960"/>
      <c r="E1041" s="960"/>
      <c r="F1041" s="960"/>
      <c r="G1041" s="960"/>
      <c r="H1041" s="960"/>
      <c r="I1041" s="2164"/>
      <c r="J1041" s="960"/>
      <c r="K1041" s="712" t="s">
        <v>238</v>
      </c>
      <c r="N1041" s="1049" t="s">
        <v>3058</v>
      </c>
      <c r="O1041" s="960"/>
      <c r="P1041" s="960"/>
      <c r="Q1041" s="960"/>
      <c r="R1041" s="960"/>
      <c r="S1041" s="960"/>
      <c r="T1041" s="960"/>
      <c r="U1041" s="62"/>
    </row>
    <row r="1042" spans="1:21" s="1808" customFormat="1" ht="32">
      <c r="A1042" s="960"/>
      <c r="B1042" s="960"/>
      <c r="C1042" s="960"/>
      <c r="D1042" s="960"/>
      <c r="E1042" s="960"/>
      <c r="F1042" s="960"/>
      <c r="G1042" s="960"/>
      <c r="H1042" s="960"/>
      <c r="I1042" s="2164"/>
      <c r="J1042" s="960"/>
      <c r="K1042" s="712" t="s">
        <v>238</v>
      </c>
      <c r="N1042" s="1699" t="s">
        <v>3033</v>
      </c>
      <c r="O1042" s="1700" t="s">
        <v>3034</v>
      </c>
      <c r="P1042" s="1702" t="s">
        <v>3040</v>
      </c>
      <c r="Q1042" s="1702" t="s">
        <v>3041</v>
      </c>
      <c r="R1042" s="1702" t="s">
        <v>3042</v>
      </c>
      <c r="S1042" s="1700" t="s">
        <v>3035</v>
      </c>
      <c r="T1042" s="1702" t="s">
        <v>3067</v>
      </c>
      <c r="U1042" s="1701" t="s">
        <v>2189</v>
      </c>
    </row>
    <row r="1043" spans="1:21" s="1808" customFormat="1">
      <c r="A1043" s="960"/>
      <c r="B1043" s="960"/>
      <c r="C1043" s="960"/>
      <c r="D1043" s="960"/>
      <c r="E1043" s="960"/>
      <c r="F1043" s="960"/>
      <c r="G1043" s="960"/>
      <c r="H1043" s="960"/>
      <c r="I1043" s="2164"/>
      <c r="J1043" s="960"/>
      <c r="K1043" s="712" t="s">
        <v>238</v>
      </c>
      <c r="M1043" s="1808" t="s">
        <v>3586</v>
      </c>
      <c r="N1043" s="1539" t="s">
        <v>3050</v>
      </c>
      <c r="O1043" s="958" t="str">
        <f>IFERROR(VLOOKUP(N1043,Price_list!$B$1:$H$187,2,0),"")</f>
        <v>National Consultancy fee (3.1)</v>
      </c>
      <c r="P1043" s="958" t="str">
        <f>IFERROR(VLOOKUP(N1043,Price_list!$B$1:$H$187,3,0),"")</f>
        <v>cost/zi</v>
      </c>
      <c r="Q1043" s="946">
        <f>IFERROR(VLOOKUP(N1043,Price_list!$B$1:$H$187,4,0),"")</f>
        <v>2000</v>
      </c>
      <c r="R1043" s="946" t="str">
        <f>IFERROR(VLOOKUP(N1043,Price_list!$B$1:$H$187,5,0),"")</f>
        <v>MDL</v>
      </c>
      <c r="S1043" s="958">
        <f t="shared" ref="S1043:S1051" ca="1" si="116">ROUND(IFERROR(IF(R1043="MDL",Q1043,Q1043*INDIRECT(R1043)),0),2)</f>
        <v>2000</v>
      </c>
      <c r="T1043" s="946">
        <v>60</v>
      </c>
      <c r="U1043" s="2291">
        <f ca="1">T1043*S1043</f>
        <v>120000</v>
      </c>
    </row>
    <row r="1044" spans="1:21" s="1808" customFormat="1">
      <c r="A1044" s="960"/>
      <c r="B1044" s="960"/>
      <c r="C1044" s="960"/>
      <c r="D1044" s="960"/>
      <c r="E1044" s="960"/>
      <c r="F1044" s="960"/>
      <c r="G1044" s="960"/>
      <c r="H1044" s="960"/>
      <c r="I1044" s="2164"/>
      <c r="J1044" s="960"/>
      <c r="K1044" s="712" t="s">
        <v>238</v>
      </c>
      <c r="M1044" s="1808" t="s">
        <v>3587</v>
      </c>
      <c r="N1044" s="1539" t="s">
        <v>3050</v>
      </c>
      <c r="O1044" s="958" t="str">
        <f>IFERROR(VLOOKUP(N1044,Price_list!$B$1:$H$187,2,0),"")</f>
        <v>National Consultancy fee (3.1)</v>
      </c>
      <c r="P1044" s="958" t="str">
        <f>IFERROR(VLOOKUP(N1044,Price_list!$B$1:$H$187,3,0),"")</f>
        <v>cost/zi</v>
      </c>
      <c r="Q1044" s="946">
        <f>IFERROR(VLOOKUP(N1044,Price_list!$B$1:$H$187,4,0),"")</f>
        <v>2000</v>
      </c>
      <c r="R1044" s="946" t="str">
        <f>IFERROR(VLOOKUP(N1044,Price_list!$B$1:$H$187,5,0),"")</f>
        <v>MDL</v>
      </c>
      <c r="S1044" s="958">
        <f t="shared" ca="1" si="116"/>
        <v>2000</v>
      </c>
      <c r="T1044" s="946">
        <v>50</v>
      </c>
      <c r="U1044" s="2291">
        <f ca="1">T1044*S1044</f>
        <v>100000</v>
      </c>
    </row>
    <row r="1045" spans="1:21" s="1808" customFormat="1">
      <c r="A1045" s="960"/>
      <c r="B1045" s="960"/>
      <c r="C1045" s="960"/>
      <c r="D1045" s="960"/>
      <c r="E1045" s="960"/>
      <c r="F1045" s="960"/>
      <c r="G1045" s="960"/>
      <c r="H1045" s="960"/>
      <c r="I1045" s="2164"/>
      <c r="J1045" s="960"/>
      <c r="K1045" s="712" t="s">
        <v>238</v>
      </c>
      <c r="M1045" s="1808" t="s">
        <v>3588</v>
      </c>
      <c r="N1045" s="1539" t="s">
        <v>3050</v>
      </c>
      <c r="O1045" s="958" t="str">
        <f>IFERROR(VLOOKUP(N1045,Price_list!$B$1:$H$187,2,0),"")</f>
        <v>National Consultancy fee (3.1)</v>
      </c>
      <c r="P1045" s="958" t="str">
        <f>IFERROR(VLOOKUP(N1045,Price_list!$B$1:$H$187,3,0),"")</f>
        <v>cost/zi</v>
      </c>
      <c r="Q1045" s="946">
        <f>IFERROR(VLOOKUP(N1045,Price_list!$B$1:$H$187,4,0),"")</f>
        <v>2000</v>
      </c>
      <c r="R1045" s="946" t="str">
        <f>IFERROR(VLOOKUP(N1045,Price_list!$B$1:$H$187,5,0),"")</f>
        <v>MDL</v>
      </c>
      <c r="S1045" s="958">
        <f t="shared" ref="S1045:S1046" ca="1" si="117">ROUND(IFERROR(IF(R1045="MDL",Q1045,Q1045*INDIRECT(R1045)),0),2)</f>
        <v>2000</v>
      </c>
      <c r="T1045" s="946">
        <v>15</v>
      </c>
      <c r="U1045" s="2038">
        <f t="shared" ref="U1045:U1046" ca="1" si="118">T1045*S1045</f>
        <v>30000</v>
      </c>
    </row>
    <row r="1046" spans="1:21" s="1808" customFormat="1">
      <c r="A1046" s="960"/>
      <c r="B1046" s="960"/>
      <c r="C1046" s="960"/>
      <c r="D1046" s="960"/>
      <c r="E1046" s="960"/>
      <c r="F1046" s="960"/>
      <c r="G1046" s="960"/>
      <c r="H1046" s="960"/>
      <c r="I1046" s="2164"/>
      <c r="J1046" s="960"/>
      <c r="K1046" s="712" t="s">
        <v>238</v>
      </c>
      <c r="M1046" s="1808" t="s">
        <v>3589</v>
      </c>
      <c r="N1046" s="1539" t="s">
        <v>3050</v>
      </c>
      <c r="O1046" s="958" t="str">
        <f>IFERROR(VLOOKUP(N1046,Price_list!$B$1:$H$187,2,0),"")</f>
        <v>National Consultancy fee (3.1)</v>
      </c>
      <c r="P1046" s="958" t="str">
        <f>IFERROR(VLOOKUP(N1046,Price_list!$B$1:$H$187,3,0),"")</f>
        <v>cost/zi</v>
      </c>
      <c r="Q1046" s="946">
        <f>IFERROR(VLOOKUP(N1046,Price_list!$B$1:$H$187,4,0),"")</f>
        <v>2000</v>
      </c>
      <c r="R1046" s="946" t="str">
        <f>IFERROR(VLOOKUP(N1046,Price_list!$B$1:$H$187,5,0),"")</f>
        <v>MDL</v>
      </c>
      <c r="S1046" s="958">
        <f t="shared" ca="1" si="117"/>
        <v>2000</v>
      </c>
      <c r="T1046" s="946">
        <v>15</v>
      </c>
      <c r="U1046" s="2038">
        <f t="shared" ca="1" si="118"/>
        <v>30000</v>
      </c>
    </row>
    <row r="1047" spans="1:21" s="1808" customFormat="1">
      <c r="A1047" s="960"/>
      <c r="B1047" s="960"/>
      <c r="C1047" s="960"/>
      <c r="D1047" s="960"/>
      <c r="E1047" s="960"/>
      <c r="F1047" s="960"/>
      <c r="G1047" s="960"/>
      <c r="H1047" s="960"/>
      <c r="I1047" s="2164"/>
      <c r="J1047" s="960"/>
      <c r="K1047" s="712" t="s">
        <v>238</v>
      </c>
      <c r="N1047" s="1539" t="s">
        <v>3063</v>
      </c>
      <c r="O1047" s="958" t="str">
        <f>IFERROR(VLOOKUP(N1047,Price_list!$B$1:$H$187,2,0),"")</f>
        <v>Translation per page</v>
      </c>
      <c r="P1047" s="958" t="str">
        <f>IFERROR(VLOOKUP(N1047,Price_list!$B$1:$H$187,3,0),"")</f>
        <v>pagina</v>
      </c>
      <c r="Q1047" s="946">
        <f>IFERROR(VLOOKUP(N1047,Price_list!$B$1:$H$187,4,0),"")</f>
        <v>150</v>
      </c>
      <c r="R1047" s="946" t="str">
        <f>IFERROR(VLOOKUP(N1047,Price_list!$B$1:$H$187,5,0),"")</f>
        <v>MDL</v>
      </c>
      <c r="S1047" s="958">
        <f t="shared" ca="1" si="116"/>
        <v>150</v>
      </c>
      <c r="T1047" s="946">
        <f>Q1037</f>
        <v>65</v>
      </c>
      <c r="U1047" s="2038">
        <f t="shared" ref="U1047:U1050" ca="1" si="119">T1047*S1047</f>
        <v>9750</v>
      </c>
    </row>
    <row r="1048" spans="1:21" s="1808" customFormat="1">
      <c r="A1048" s="960"/>
      <c r="B1048" s="960"/>
      <c r="C1048" s="960"/>
      <c r="D1048" s="960"/>
      <c r="E1048" s="960"/>
      <c r="F1048" s="960"/>
      <c r="G1048" s="960"/>
      <c r="H1048" s="960"/>
      <c r="I1048" s="2164"/>
      <c r="J1048" s="960"/>
      <c r="K1048" s="712" t="s">
        <v>238</v>
      </c>
      <c r="N1048" s="1539" t="s">
        <v>3068</v>
      </c>
      <c r="O1048" s="958" t="str">
        <f>IFERROR(VLOOKUP(N1048,Price_list!$B$1:$H$187,2,0),"")</f>
        <v xml:space="preserve">Formatting, design, printing </v>
      </c>
      <c r="P1048" s="958" t="str">
        <f>IFERROR(VLOOKUP(N1048,Price_list!$B$1:$H$187,3,0),"")</f>
        <v>pagina</v>
      </c>
      <c r="Q1048" s="946">
        <f>IFERROR(VLOOKUP(N1048,Price_list!$B$1:$H$187,4,0),"")</f>
        <v>2</v>
      </c>
      <c r="R1048" s="946" t="str">
        <f>IFERROR(VLOOKUP(N1048,Price_list!$B$1:$H$187,5,0),"")</f>
        <v>MDL</v>
      </c>
      <c r="S1048" s="958">
        <f t="shared" ca="1" si="116"/>
        <v>2</v>
      </c>
      <c r="T1048" s="946">
        <f>Q1037*Q1038</f>
        <v>6500</v>
      </c>
      <c r="U1048" s="2038">
        <f t="shared" ca="1" si="119"/>
        <v>13000</v>
      </c>
    </row>
    <row r="1049" spans="1:21" s="1808" customFormat="1">
      <c r="A1049" s="960"/>
      <c r="B1049" s="960"/>
      <c r="C1049" s="960"/>
      <c r="D1049" s="960"/>
      <c r="E1049" s="960"/>
      <c r="F1049" s="960"/>
      <c r="G1049" s="960"/>
      <c r="H1049" s="960"/>
      <c r="I1049" s="2164"/>
      <c r="J1049" s="960"/>
      <c r="K1049" s="712" t="s">
        <v>238</v>
      </c>
      <c r="N1049" s="1539"/>
      <c r="O1049" s="958" t="str">
        <f>IFERROR(VLOOKUP(N1049,Price_list!$B$1:$H$187,2,0),"")</f>
        <v/>
      </c>
      <c r="P1049" s="958" t="str">
        <f>IFERROR(VLOOKUP(N1049,Price_list!$B$1:$H$187,3,0),"")</f>
        <v/>
      </c>
      <c r="Q1049" s="946" t="str">
        <f>IFERROR(VLOOKUP(N1049,Price_list!$B$1:$H$187,4,0),"")</f>
        <v/>
      </c>
      <c r="R1049" s="946" t="str">
        <f>IFERROR(VLOOKUP(N1049,Price_list!$B$1:$H$187,5,0),"")</f>
        <v/>
      </c>
      <c r="S1049" s="958">
        <f t="shared" ca="1" si="116"/>
        <v>0</v>
      </c>
      <c r="T1049" s="946"/>
      <c r="U1049" s="2038">
        <f t="shared" ca="1" si="119"/>
        <v>0</v>
      </c>
    </row>
    <row r="1050" spans="1:21" s="1808" customFormat="1">
      <c r="A1050" s="960"/>
      <c r="B1050" s="960"/>
      <c r="C1050" s="960"/>
      <c r="D1050" s="960"/>
      <c r="E1050" s="960"/>
      <c r="F1050" s="960"/>
      <c r="G1050" s="960"/>
      <c r="H1050" s="960"/>
      <c r="I1050" s="2164"/>
      <c r="J1050" s="960"/>
      <c r="K1050" s="712" t="s">
        <v>238</v>
      </c>
      <c r="N1050" s="1539"/>
      <c r="O1050" s="958" t="str">
        <f>IFERROR(VLOOKUP(N1050,Price_list!$B$1:$H$187,2,0),"")</f>
        <v/>
      </c>
      <c r="P1050" s="958" t="str">
        <f>IFERROR(VLOOKUP(N1050,Price_list!$B$1:$H$187,3,0),"")</f>
        <v/>
      </c>
      <c r="Q1050" s="946" t="str">
        <f>IFERROR(VLOOKUP(N1050,Price_list!$B$1:$H$187,4,0),"")</f>
        <v/>
      </c>
      <c r="R1050" s="946" t="str">
        <f>IFERROR(VLOOKUP(N1050,Price_list!$B$1:$H$187,5,0),"")</f>
        <v/>
      </c>
      <c r="S1050" s="958">
        <f t="shared" ca="1" si="116"/>
        <v>0</v>
      </c>
      <c r="T1050" s="946"/>
      <c r="U1050" s="2038">
        <f t="shared" ca="1" si="119"/>
        <v>0</v>
      </c>
    </row>
    <row r="1051" spans="1:21" s="1808" customFormat="1" ht="16" thickBot="1">
      <c r="A1051" s="960"/>
      <c r="B1051" s="960"/>
      <c r="C1051" s="960"/>
      <c r="D1051" s="960"/>
      <c r="E1051" s="960"/>
      <c r="F1051" s="960"/>
      <c r="G1051" s="960"/>
      <c r="H1051" s="960"/>
      <c r="I1051" s="2164"/>
      <c r="J1051" s="960"/>
      <c r="K1051" s="712" t="s">
        <v>238</v>
      </c>
      <c r="N1051" s="1539"/>
      <c r="O1051" s="958" t="str">
        <f>IFERROR(VLOOKUP(N1051,Price_list!$B$1:$H$187,2,0),"")</f>
        <v/>
      </c>
      <c r="P1051" s="958" t="str">
        <f>IFERROR(VLOOKUP(N1051,Price_list!$B$1:$H$187,3,0),"")</f>
        <v/>
      </c>
      <c r="Q1051" s="946" t="str">
        <f>IFERROR(VLOOKUP(N1051,Price_list!$B$1:$H$187,4,0),"")</f>
        <v/>
      </c>
      <c r="R1051" s="946" t="str">
        <f>IFERROR(VLOOKUP(N1051,Price_list!$B$1:$H$187,5,0),"")</f>
        <v/>
      </c>
      <c r="S1051" s="958">
        <f t="shared" ca="1" si="116"/>
        <v>0</v>
      </c>
      <c r="T1051" s="946"/>
      <c r="U1051" s="2038">
        <f ca="1">T1051*S1051</f>
        <v>0</v>
      </c>
    </row>
    <row r="1052" spans="1:21" s="1808" customFormat="1" ht="16" thickBot="1">
      <c r="A1052" s="960"/>
      <c r="B1052" s="960"/>
      <c r="C1052" s="960"/>
      <c r="D1052" s="960"/>
      <c r="E1052" s="960"/>
      <c r="F1052" s="960"/>
      <c r="G1052" s="960"/>
      <c r="H1052" s="960"/>
      <c r="I1052" s="2164"/>
      <c r="J1052" s="960"/>
      <c r="K1052" s="712" t="s">
        <v>238</v>
      </c>
      <c r="N1052" s="1704"/>
      <c r="O1052" s="1705"/>
      <c r="P1052" s="1705"/>
      <c r="Q1052" s="1705"/>
      <c r="R1052" s="1705"/>
      <c r="S1052" s="1705"/>
      <c r="T1052" s="1705"/>
      <c r="U1052" s="1706">
        <f ca="1">SUM(U1043:U1051)</f>
        <v>302750</v>
      </c>
    </row>
    <row r="1053" spans="1:21" s="1808" customFormat="1">
      <c r="A1053" s="960"/>
      <c r="B1053" s="960"/>
      <c r="C1053" s="960"/>
      <c r="D1053" s="960"/>
      <c r="E1053" s="960"/>
      <c r="F1053" s="960"/>
      <c r="G1053" s="960"/>
      <c r="H1053" s="960"/>
      <c r="I1053" s="2164"/>
      <c r="J1053" s="960"/>
      <c r="K1053" s="712" t="s">
        <v>238</v>
      </c>
      <c r="N1053" s="1049"/>
      <c r="O1053" s="960"/>
      <c r="P1053" s="960"/>
      <c r="Q1053" s="960"/>
      <c r="R1053" s="960"/>
      <c r="S1053" s="960"/>
      <c r="T1053" s="960"/>
      <c r="U1053" s="62"/>
    </row>
    <row r="1054" spans="1:21" s="1808" customFormat="1" ht="16" thickBot="1">
      <c r="A1054" s="960"/>
      <c r="B1054" s="960"/>
      <c r="C1054" s="960"/>
      <c r="D1054" s="960"/>
      <c r="E1054" s="960"/>
      <c r="F1054" s="960"/>
      <c r="G1054" s="960"/>
      <c r="H1054" s="960"/>
      <c r="I1054" s="2164"/>
      <c r="J1054" s="960"/>
      <c r="K1054" s="712" t="s">
        <v>238</v>
      </c>
      <c r="N1054" s="1049"/>
      <c r="O1054" s="960"/>
      <c r="P1054" s="960"/>
      <c r="Q1054" s="960"/>
      <c r="R1054" s="960"/>
      <c r="S1054" s="960"/>
      <c r="T1054" s="960"/>
      <c r="U1054" s="62"/>
    </row>
    <row r="1055" spans="1:21" s="1808" customFormat="1" ht="16" thickBot="1">
      <c r="A1055" s="960"/>
      <c r="B1055" s="960"/>
      <c r="C1055" s="960"/>
      <c r="D1055" s="960"/>
      <c r="E1055" s="960"/>
      <c r="F1055" s="960"/>
      <c r="G1055" s="960"/>
      <c r="H1055" s="960"/>
      <c r="I1055" s="2164"/>
      <c r="J1055" s="960"/>
      <c r="K1055" s="712" t="s">
        <v>238</v>
      </c>
      <c r="N1055" s="1049" t="s">
        <v>2171</v>
      </c>
      <c r="O1055" s="960"/>
      <c r="P1055" s="960"/>
      <c r="Q1055" s="1500">
        <v>2021</v>
      </c>
      <c r="R1055" s="1762">
        <v>2022</v>
      </c>
      <c r="S1055" s="1762">
        <v>2023</v>
      </c>
      <c r="T1055" s="1762">
        <v>2024</v>
      </c>
      <c r="U1055" s="1763">
        <v>2025</v>
      </c>
    </row>
    <row r="1056" spans="1:21" s="1808" customFormat="1" ht="16" thickBot="1">
      <c r="A1056" s="960"/>
      <c r="B1056" s="960"/>
      <c r="C1056" s="960"/>
      <c r="D1056" s="960"/>
      <c r="E1056" s="960"/>
      <c r="F1056" s="960"/>
      <c r="G1056" s="960"/>
      <c r="H1056" s="960"/>
      <c r="I1056" s="2164"/>
      <c r="J1056" s="960"/>
      <c r="K1056" s="712" t="s">
        <v>238</v>
      </c>
      <c r="N1056" s="1764"/>
      <c r="O1056" s="1504"/>
      <c r="P1056" s="1504"/>
      <c r="Q1056" s="1713">
        <v>1</v>
      </c>
      <c r="R1056" s="1713">
        <v>0</v>
      </c>
      <c r="S1056" s="1713">
        <v>0</v>
      </c>
      <c r="T1056" s="1713">
        <v>0</v>
      </c>
      <c r="U1056" s="1765">
        <v>0</v>
      </c>
    </row>
    <row r="1057" spans="1:21" ht="16" thickBot="1">
      <c r="A1057" s="2157">
        <v>211</v>
      </c>
      <c r="B1057" s="841">
        <f ca="1">Q1057</f>
        <v>302750</v>
      </c>
      <c r="C1057" s="841">
        <f t="shared" ref="C1057:F1057" ca="1" si="120">R1057</f>
        <v>0</v>
      </c>
      <c r="D1057" s="841">
        <f t="shared" ca="1" si="120"/>
        <v>0</v>
      </c>
      <c r="E1057" s="841">
        <f t="shared" ca="1" si="120"/>
        <v>0</v>
      </c>
      <c r="F1057" s="841">
        <f t="shared" ca="1" si="120"/>
        <v>0</v>
      </c>
      <c r="G1057" s="2193" t="s">
        <v>351</v>
      </c>
      <c r="H1057" s="841" t="s">
        <v>3728</v>
      </c>
      <c r="I1057" s="2180" t="s">
        <v>3716</v>
      </c>
      <c r="J1057" s="841" t="s">
        <v>2991</v>
      </c>
      <c r="K1057" s="712" t="s">
        <v>238</v>
      </c>
      <c r="N1057" s="1710" t="s">
        <v>3044</v>
      </c>
      <c r="O1057" s="1709"/>
      <c r="P1057" s="1708"/>
      <c r="Q1057" s="1495">
        <f ca="1">U1052*Q1056</f>
        <v>302750</v>
      </c>
      <c r="R1057" s="1495">
        <f ca="1">U1052*R1056</f>
        <v>0</v>
      </c>
      <c r="S1057" s="1495">
        <f ca="1">U1052*S1056</f>
        <v>0</v>
      </c>
      <c r="T1057" s="1495">
        <f ca="1">U1052*T1056</f>
        <v>0</v>
      </c>
      <c r="U1057" s="1495">
        <f ca="1">U1052*U1056</f>
        <v>0</v>
      </c>
    </row>
    <row r="1058" spans="1:21">
      <c r="K1058" s="712" t="s">
        <v>238</v>
      </c>
    </row>
    <row r="1059" spans="1:21">
      <c r="K1059" s="712" t="s">
        <v>238</v>
      </c>
    </row>
    <row r="1060" spans="1:21" ht="19">
      <c r="K1060" s="712" t="s">
        <v>238</v>
      </c>
      <c r="M1060" s="1879" t="s">
        <v>3729</v>
      </c>
    </row>
    <row r="1061" spans="1:21">
      <c r="K1061" s="712" t="s">
        <v>238</v>
      </c>
    </row>
    <row r="1062" spans="1:21">
      <c r="K1062" s="712" t="s">
        <v>238</v>
      </c>
      <c r="N1062" s="1752" t="s">
        <v>3494</v>
      </c>
      <c r="O1062" s="1994"/>
      <c r="P1062" s="1753"/>
      <c r="Q1062" s="1994"/>
    </row>
    <row r="1063" spans="1:21">
      <c r="K1063" s="712" t="s">
        <v>238</v>
      </c>
      <c r="N1063" s="1995"/>
      <c r="O1063" s="1996" t="s">
        <v>2482</v>
      </c>
      <c r="P1063" s="1996" t="s">
        <v>3495</v>
      </c>
      <c r="Q1063" s="1996" t="s">
        <v>3496</v>
      </c>
    </row>
    <row r="1064" spans="1:21">
      <c r="K1064" s="712" t="s">
        <v>238</v>
      </c>
      <c r="N1064" s="1997" t="s">
        <v>3497</v>
      </c>
      <c r="O1064" s="1998">
        <v>23500</v>
      </c>
      <c r="P1064" s="1998">
        <v>1</v>
      </c>
      <c r="Q1064" s="1998">
        <f t="shared" ref="Q1064:Q1079" si="121">O1064*P1064</f>
        <v>23500</v>
      </c>
    </row>
    <row r="1065" spans="1:21">
      <c r="K1065" s="712" t="s">
        <v>238</v>
      </c>
      <c r="N1065" s="1997" t="s">
        <v>3498</v>
      </c>
      <c r="O1065" s="1998">
        <v>6000</v>
      </c>
      <c r="P1065" s="1998">
        <v>1</v>
      </c>
      <c r="Q1065" s="1998">
        <f t="shared" si="121"/>
        <v>6000</v>
      </c>
    </row>
    <row r="1066" spans="1:21">
      <c r="K1066" s="712" t="s">
        <v>238</v>
      </c>
      <c r="N1066" s="1997" t="s">
        <v>3499</v>
      </c>
      <c r="O1066" s="1998">
        <v>15600</v>
      </c>
      <c r="P1066" s="1998">
        <v>2</v>
      </c>
      <c r="Q1066" s="1998">
        <f t="shared" si="121"/>
        <v>31200</v>
      </c>
    </row>
    <row r="1067" spans="1:21">
      <c r="K1067" s="712" t="s">
        <v>238</v>
      </c>
      <c r="N1067" s="1997" t="s">
        <v>3500</v>
      </c>
      <c r="O1067" s="1998">
        <v>19500</v>
      </c>
      <c r="P1067" s="1998">
        <v>1</v>
      </c>
      <c r="Q1067" s="1998">
        <f t="shared" si="121"/>
        <v>19500</v>
      </c>
      <c r="R1067" s="1808"/>
      <c r="S1067" s="1980"/>
    </row>
    <row r="1068" spans="1:21">
      <c r="K1068" s="712" t="s">
        <v>238</v>
      </c>
      <c r="N1068" s="1997" t="s">
        <v>3501</v>
      </c>
      <c r="O1068" s="1998">
        <v>200</v>
      </c>
      <c r="P1068" s="1998">
        <v>10</v>
      </c>
      <c r="Q1068" s="1998">
        <f t="shared" si="121"/>
        <v>2000</v>
      </c>
      <c r="R1068" s="1808"/>
      <c r="S1068" s="1980"/>
    </row>
    <row r="1069" spans="1:21">
      <c r="K1069" s="712" t="s">
        <v>238</v>
      </c>
      <c r="N1069" s="1997" t="s">
        <v>3502</v>
      </c>
      <c r="O1069" s="1998">
        <v>200</v>
      </c>
      <c r="P1069" s="1998">
        <v>10</v>
      </c>
      <c r="Q1069" s="1998">
        <f t="shared" si="121"/>
        <v>2000</v>
      </c>
      <c r="R1069" s="1808"/>
      <c r="S1069" s="1980"/>
    </row>
    <row r="1070" spans="1:21">
      <c r="K1070" s="712" t="s">
        <v>238</v>
      </c>
      <c r="N1070" s="1997" t="s">
        <v>3503</v>
      </c>
      <c r="O1070" s="1998">
        <v>5900</v>
      </c>
      <c r="P1070" s="1998">
        <v>10</v>
      </c>
      <c r="Q1070" s="1998">
        <f t="shared" si="121"/>
        <v>59000</v>
      </c>
      <c r="R1070" s="1808"/>
      <c r="S1070" s="1980"/>
    </row>
    <row r="1071" spans="1:21">
      <c r="K1071" s="712" t="s">
        <v>238</v>
      </c>
      <c r="N1071" s="1997" t="s">
        <v>3504</v>
      </c>
      <c r="O1071" s="1998">
        <v>3900</v>
      </c>
      <c r="P1071" s="1998">
        <v>1</v>
      </c>
      <c r="Q1071" s="1998">
        <f t="shared" si="121"/>
        <v>3900</v>
      </c>
      <c r="R1071" s="1808"/>
      <c r="S1071" s="1980"/>
    </row>
    <row r="1072" spans="1:21">
      <c r="K1072" s="712" t="s">
        <v>238</v>
      </c>
      <c r="N1072" s="1997" t="s">
        <v>3505</v>
      </c>
      <c r="O1072" s="1998">
        <v>5900</v>
      </c>
      <c r="P1072" s="1998">
        <v>1</v>
      </c>
      <c r="Q1072" s="1998">
        <f t="shared" si="121"/>
        <v>5900</v>
      </c>
      <c r="R1072" s="1808"/>
      <c r="S1072" s="1980"/>
    </row>
    <row r="1073" spans="1:21">
      <c r="K1073" s="712" t="s">
        <v>238</v>
      </c>
      <c r="N1073" s="1997" t="s">
        <v>3506</v>
      </c>
      <c r="O1073" s="1998">
        <v>3900</v>
      </c>
      <c r="P1073" s="1998">
        <v>2</v>
      </c>
      <c r="Q1073" s="1998">
        <f t="shared" si="121"/>
        <v>7800</v>
      </c>
      <c r="R1073" s="1808"/>
      <c r="S1073" s="1980"/>
    </row>
    <row r="1074" spans="1:21">
      <c r="K1074" s="712" t="s">
        <v>238</v>
      </c>
      <c r="N1074" s="1997" t="s">
        <v>3507</v>
      </c>
      <c r="O1074" s="1998">
        <v>3900</v>
      </c>
      <c r="P1074" s="1998">
        <v>2</v>
      </c>
      <c r="Q1074" s="1998">
        <f t="shared" si="121"/>
        <v>7800</v>
      </c>
      <c r="R1074" s="1808"/>
      <c r="S1074" s="1980"/>
    </row>
    <row r="1075" spans="1:21">
      <c r="K1075" s="712" t="s">
        <v>238</v>
      </c>
      <c r="N1075" s="1997" t="s">
        <v>3508</v>
      </c>
      <c r="O1075" s="1998">
        <v>5900</v>
      </c>
      <c r="P1075" s="1998">
        <v>1</v>
      </c>
      <c r="Q1075" s="1998">
        <f t="shared" si="121"/>
        <v>5900</v>
      </c>
      <c r="R1075" s="1808"/>
      <c r="S1075" s="1980"/>
    </row>
    <row r="1076" spans="1:21">
      <c r="K1076" s="712" t="s">
        <v>238</v>
      </c>
      <c r="N1076" s="1997" t="s">
        <v>3509</v>
      </c>
      <c r="O1076" s="1998">
        <v>5900</v>
      </c>
      <c r="P1076" s="1998">
        <v>1</v>
      </c>
      <c r="Q1076" s="1998">
        <f t="shared" si="121"/>
        <v>5900</v>
      </c>
      <c r="R1076" s="1808"/>
      <c r="S1076" s="1980"/>
    </row>
    <row r="1077" spans="1:21">
      <c r="K1077" s="712" t="s">
        <v>238</v>
      </c>
      <c r="N1077" s="1997" t="s">
        <v>3510</v>
      </c>
      <c r="O1077" s="2002">
        <v>200</v>
      </c>
      <c r="P1077" s="1998">
        <v>100</v>
      </c>
      <c r="Q1077" s="1998">
        <f t="shared" si="121"/>
        <v>20000</v>
      </c>
      <c r="R1077" s="1808"/>
      <c r="S1077" s="1980"/>
    </row>
    <row r="1078" spans="1:21">
      <c r="K1078" s="712" t="s">
        <v>238</v>
      </c>
      <c r="N1078" s="1997" t="s">
        <v>3511</v>
      </c>
      <c r="O1078" s="1998">
        <v>15600</v>
      </c>
      <c r="P1078" s="1998">
        <v>1</v>
      </c>
      <c r="Q1078" s="1998">
        <f t="shared" si="121"/>
        <v>15600</v>
      </c>
      <c r="R1078" s="1808"/>
      <c r="S1078" s="1980"/>
    </row>
    <row r="1079" spans="1:21">
      <c r="K1079" s="712" t="s">
        <v>238</v>
      </c>
      <c r="N1079" s="1997" t="s">
        <v>3512</v>
      </c>
      <c r="O1079" s="1998">
        <v>200</v>
      </c>
      <c r="P1079" s="1998">
        <v>200</v>
      </c>
      <c r="Q1079" s="1998">
        <f t="shared" si="121"/>
        <v>40000</v>
      </c>
      <c r="R1079" s="1808"/>
      <c r="S1079" s="1980"/>
    </row>
    <row r="1080" spans="1:21">
      <c r="K1080" s="712" t="s">
        <v>238</v>
      </c>
      <c r="N1080" s="1999" t="s">
        <v>3513</v>
      </c>
      <c r="O1080" s="2000"/>
      <c r="P1080" s="2000"/>
      <c r="Q1080" s="2001">
        <f>SUM(Q1064:Q1079)</f>
        <v>256000</v>
      </c>
      <c r="R1080" s="1808"/>
      <c r="S1080" s="1808"/>
    </row>
    <row r="1081" spans="1:21">
      <c r="K1081" s="712" t="s">
        <v>238</v>
      </c>
    </row>
    <row r="1082" spans="1:21">
      <c r="K1082" s="712" t="s">
        <v>238</v>
      </c>
    </row>
    <row r="1083" spans="1:21" ht="16" thickBot="1">
      <c r="K1083" s="712" t="s">
        <v>238</v>
      </c>
    </row>
    <row r="1084" spans="1:21" ht="16" thickBot="1">
      <c r="K1084" s="712" t="s">
        <v>238</v>
      </c>
      <c r="N1084" s="1808"/>
      <c r="O1084" s="960"/>
      <c r="P1084" s="960" t="s">
        <v>3591</v>
      </c>
      <c r="Q1084" s="1500">
        <v>2021</v>
      </c>
      <c r="R1084" s="1762">
        <v>2022</v>
      </c>
      <c r="S1084" s="1762">
        <v>2023</v>
      </c>
      <c r="T1084" s="1762">
        <v>2024</v>
      </c>
      <c r="U1084" s="1763">
        <v>2025</v>
      </c>
    </row>
    <row r="1085" spans="1:21" ht="16" thickBot="1">
      <c r="K1085" s="712" t="s">
        <v>238</v>
      </c>
      <c r="N1085" s="1764"/>
      <c r="O1085" s="1504"/>
      <c r="P1085" s="1504"/>
      <c r="Q1085" s="1713">
        <v>0</v>
      </c>
      <c r="R1085" s="1713">
        <v>1</v>
      </c>
      <c r="S1085" s="1713">
        <v>0</v>
      </c>
      <c r="T1085" s="1713">
        <v>0</v>
      </c>
      <c r="U1085" s="1765">
        <v>0</v>
      </c>
    </row>
    <row r="1086" spans="1:21" ht="16" thickBot="1">
      <c r="A1086" s="2157">
        <v>212</v>
      </c>
      <c r="B1086" s="841">
        <f>Q1086</f>
        <v>0</v>
      </c>
      <c r="C1086" s="841">
        <f t="shared" ref="C1086:F1086" si="122">R1086</f>
        <v>256000</v>
      </c>
      <c r="D1086" s="841">
        <f t="shared" si="122"/>
        <v>0</v>
      </c>
      <c r="E1086" s="841">
        <f t="shared" si="122"/>
        <v>0</v>
      </c>
      <c r="F1086" s="841">
        <f t="shared" si="122"/>
        <v>0</v>
      </c>
      <c r="G1086" s="2193" t="s">
        <v>351</v>
      </c>
      <c r="H1086" s="841" t="s">
        <v>3729</v>
      </c>
      <c r="I1086" s="2180" t="s">
        <v>3716</v>
      </c>
      <c r="J1086" s="841" t="s">
        <v>2991</v>
      </c>
      <c r="K1086" s="712" t="s">
        <v>238</v>
      </c>
      <c r="N1086" s="1710" t="s">
        <v>3044</v>
      </c>
      <c r="O1086" s="1732"/>
      <c r="P1086" s="1708">
        <f>Q1080</f>
        <v>256000</v>
      </c>
      <c r="Q1086" s="1495">
        <f>P1086*Q1085</f>
        <v>0</v>
      </c>
      <c r="R1086" s="1495">
        <f>P1086*R1085</f>
        <v>256000</v>
      </c>
      <c r="S1086" s="1495">
        <f>P1086*S1085</f>
        <v>0</v>
      </c>
      <c r="T1086" s="1495">
        <f>P1086*T1085</f>
        <v>0</v>
      </c>
      <c r="U1086" s="1495">
        <f>P1086*U1085</f>
        <v>0</v>
      </c>
    </row>
    <row r="1087" spans="1:21">
      <c r="K1087" s="712" t="s">
        <v>238</v>
      </c>
    </row>
    <row r="1088" spans="1:21">
      <c r="K1088" s="712" t="s">
        <v>238</v>
      </c>
    </row>
    <row r="1089" spans="1:21">
      <c r="K1089" s="712" t="s">
        <v>238</v>
      </c>
    </row>
    <row r="1090" spans="1:21" ht="19">
      <c r="K1090" s="712" t="s">
        <v>238</v>
      </c>
      <c r="M1090" s="1879" t="s">
        <v>2987</v>
      </c>
    </row>
    <row r="1091" spans="1:21">
      <c r="K1091" s="712" t="s">
        <v>238</v>
      </c>
    </row>
    <row r="1092" spans="1:21">
      <c r="K1092" s="712" t="s">
        <v>238</v>
      </c>
    </row>
    <row r="1093" spans="1:21">
      <c r="K1093" s="712" t="s">
        <v>238</v>
      </c>
      <c r="N1093" s="958" t="s">
        <v>1995</v>
      </c>
      <c r="O1093" s="958" t="s">
        <v>3869</v>
      </c>
      <c r="P1093" s="958">
        <v>2021</v>
      </c>
      <c r="Q1093" s="958">
        <v>2022</v>
      </c>
      <c r="R1093" s="958">
        <v>2023</v>
      </c>
      <c r="S1093" s="958">
        <v>2024</v>
      </c>
      <c r="T1093" s="958">
        <v>2025</v>
      </c>
      <c r="U1093" s="958" t="s">
        <v>97</v>
      </c>
    </row>
    <row r="1094" spans="1:21">
      <c r="K1094" s="712" t="s">
        <v>238</v>
      </c>
      <c r="N1094" s="958" t="s">
        <v>3868</v>
      </c>
      <c r="O1094" s="958"/>
      <c r="P1094" s="958"/>
      <c r="Q1094" s="958"/>
      <c r="R1094" s="958"/>
      <c r="S1094" s="958"/>
      <c r="T1094" s="958"/>
      <c r="U1094" s="958"/>
    </row>
    <row r="1095" spans="1:21">
      <c r="A1095" s="2157">
        <v>235</v>
      </c>
      <c r="B1095" s="841">
        <f>P1095</f>
        <v>2188724</v>
      </c>
      <c r="C1095" s="841">
        <f t="shared" ref="C1095:F1095" si="123">Q1095</f>
        <v>2424160</v>
      </c>
      <c r="D1095" s="841">
        <f t="shared" si="123"/>
        <v>2625367</v>
      </c>
      <c r="E1095" s="841">
        <f t="shared" si="123"/>
        <v>2853809</v>
      </c>
      <c r="F1095" s="841">
        <f t="shared" si="123"/>
        <v>3076500</v>
      </c>
      <c r="G1095" s="2193" t="s">
        <v>349</v>
      </c>
      <c r="H1095" s="841" t="s">
        <v>3874</v>
      </c>
      <c r="I1095" s="2180"/>
      <c r="J1095" s="841" t="s">
        <v>2987</v>
      </c>
      <c r="K1095" s="712" t="s">
        <v>238</v>
      </c>
      <c r="N1095" s="958" t="s">
        <v>3870</v>
      </c>
      <c r="O1095" s="958" t="s">
        <v>3871</v>
      </c>
      <c r="P1095" s="1791">
        <v>2188724</v>
      </c>
      <c r="Q1095" s="1791">
        <v>2424160</v>
      </c>
      <c r="R1095" s="1791">
        <v>2625367</v>
      </c>
      <c r="S1095" s="1791">
        <v>2853809</v>
      </c>
      <c r="T1095" s="1791">
        <v>3076500</v>
      </c>
      <c r="U1095">
        <v>13168560</v>
      </c>
    </row>
    <row r="1096" spans="1:21">
      <c r="K1096" s="712" t="s">
        <v>238</v>
      </c>
      <c r="N1096" s="958"/>
      <c r="O1096" s="958"/>
      <c r="P1096" s="958"/>
      <c r="Q1096" s="958"/>
      <c r="R1096" s="958"/>
      <c r="S1096" s="958"/>
      <c r="T1096" s="958"/>
      <c r="U1096" s="958"/>
    </row>
    <row r="1097" spans="1:21">
      <c r="K1097" s="712" t="s">
        <v>238</v>
      </c>
      <c r="N1097" s="958"/>
      <c r="O1097" s="958" t="s">
        <v>3872</v>
      </c>
      <c r="P1097" s="958"/>
      <c r="Q1097" s="958"/>
      <c r="R1097" s="958"/>
      <c r="S1097" s="958"/>
      <c r="T1097" s="958"/>
      <c r="U1097" s="958"/>
    </row>
    <row r="1098" spans="1:21">
      <c r="K1098" s="712" t="s">
        <v>238</v>
      </c>
      <c r="N1098" s="958" t="s">
        <v>3873</v>
      </c>
      <c r="O1098" s="958"/>
      <c r="P1098" s="958"/>
      <c r="Q1098" s="958"/>
      <c r="R1098" s="958"/>
      <c r="S1098" s="958"/>
      <c r="T1098" s="958"/>
      <c r="U1098" s="958"/>
    </row>
    <row r="1099" spans="1:21">
      <c r="K1099" s="712" t="s">
        <v>238</v>
      </c>
    </row>
    <row r="1100" spans="1:21">
      <c r="K1100" s="712" t="s">
        <v>238</v>
      </c>
    </row>
    <row r="1101" spans="1:21">
      <c r="K1101" s="712" t="s">
        <v>238</v>
      </c>
    </row>
    <row r="1102" spans="1:21">
      <c r="K1102" s="712" t="s">
        <v>238</v>
      </c>
    </row>
    <row r="1103" spans="1:21">
      <c r="K1103" s="712" t="s">
        <v>238</v>
      </c>
    </row>
    <row r="1104" spans="1:21">
      <c r="K1104" s="712" t="s">
        <v>238</v>
      </c>
    </row>
    <row r="1105" spans="11:11">
      <c r="K1105" s="712" t="s">
        <v>238</v>
      </c>
    </row>
    <row r="1106" spans="11:11">
      <c r="K1106" s="712" t="s">
        <v>238</v>
      </c>
    </row>
    <row r="1107" spans="11:11">
      <c r="K1107" s="712" t="s">
        <v>238</v>
      </c>
    </row>
    <row r="1108" spans="11:11">
      <c r="K1108" s="712" t="s">
        <v>238</v>
      </c>
    </row>
    <row r="1109" spans="11:11">
      <c r="K1109" s="712" t="s">
        <v>238</v>
      </c>
    </row>
    <row r="1110" spans="11:11">
      <c r="K1110" s="712" t="s">
        <v>238</v>
      </c>
    </row>
    <row r="1111" spans="11:11">
      <c r="K1111" s="712" t="s">
        <v>238</v>
      </c>
    </row>
    <row r="1112" spans="11:11">
      <c r="K1112" s="712" t="s">
        <v>238</v>
      </c>
    </row>
    <row r="1113" spans="11:11">
      <c r="K1113" s="712" t="s">
        <v>238</v>
      </c>
    </row>
    <row r="1114" spans="11:11">
      <c r="K1114" s="712" t="s">
        <v>238</v>
      </c>
    </row>
    <row r="1115" spans="11:11">
      <c r="K1115" s="712" t="s">
        <v>238</v>
      </c>
    </row>
    <row r="1116" spans="11:11">
      <c r="K1116" s="712" t="s">
        <v>238</v>
      </c>
    </row>
    <row r="1117" spans="11:11">
      <c r="K1117" s="712" t="s">
        <v>238</v>
      </c>
    </row>
    <row r="1118" spans="11:11">
      <c r="K1118" s="712" t="s">
        <v>238</v>
      </c>
    </row>
    <row r="1119" spans="11:11">
      <c r="K1119" s="712" t="s">
        <v>238</v>
      </c>
    </row>
    <row r="1120" spans="11:11">
      <c r="K1120" s="712" t="s">
        <v>238</v>
      </c>
    </row>
    <row r="1121" spans="11:11">
      <c r="K1121" s="712" t="s">
        <v>238</v>
      </c>
    </row>
    <row r="1122" spans="11:11">
      <c r="K1122" s="712" t="s">
        <v>238</v>
      </c>
    </row>
    <row r="1123" spans="11:11">
      <c r="K1123" s="712" t="s">
        <v>238</v>
      </c>
    </row>
    <row r="1124" spans="11:11">
      <c r="K1124" s="712" t="s">
        <v>238</v>
      </c>
    </row>
    <row r="1125" spans="11:11">
      <c r="K1125" s="712" t="s">
        <v>238</v>
      </c>
    </row>
    <row r="1126" spans="11:11">
      <c r="K1126" s="712" t="s">
        <v>238</v>
      </c>
    </row>
    <row r="1127" spans="11:11">
      <c r="K1127" s="712" t="s">
        <v>238</v>
      </c>
    </row>
    <row r="1128" spans="11:11">
      <c r="K1128" s="712" t="s">
        <v>238</v>
      </c>
    </row>
    <row r="1129" spans="11:11">
      <c r="K1129" s="712" t="s">
        <v>238</v>
      </c>
    </row>
    <row r="1130" spans="11:11">
      <c r="K1130" s="712" t="s">
        <v>238</v>
      </c>
    </row>
    <row r="1131" spans="11:11">
      <c r="K1131" s="712" t="s">
        <v>238</v>
      </c>
    </row>
    <row r="1132" spans="11:11">
      <c r="K1132" s="712" t="s">
        <v>238</v>
      </c>
    </row>
    <row r="1133" spans="11:11">
      <c r="K1133" s="712" t="s">
        <v>238</v>
      </c>
    </row>
    <row r="1134" spans="11:11">
      <c r="K1134" s="712" t="s">
        <v>238</v>
      </c>
    </row>
    <row r="1135" spans="11:11">
      <c r="K1135" s="712" t="s">
        <v>238</v>
      </c>
    </row>
    <row r="1136" spans="11:11">
      <c r="K1136" s="712" t="s">
        <v>238</v>
      </c>
    </row>
    <row r="1137" spans="11:11">
      <c r="K1137" s="712" t="s">
        <v>238</v>
      </c>
    </row>
    <row r="1138" spans="11:11">
      <c r="K1138" s="712" t="s">
        <v>238</v>
      </c>
    </row>
    <row r="1139" spans="11:11">
      <c r="K1139" s="712" t="s">
        <v>238</v>
      </c>
    </row>
    <row r="1140" spans="11:11">
      <c r="K1140" s="712" t="s">
        <v>238</v>
      </c>
    </row>
    <row r="1141" spans="11:11">
      <c r="K1141" s="712" t="s">
        <v>238</v>
      </c>
    </row>
    <row r="1142" spans="11:11">
      <c r="K1142" s="712" t="s">
        <v>238</v>
      </c>
    </row>
    <row r="1143" spans="11:11">
      <c r="K1143" s="712" t="s">
        <v>238</v>
      </c>
    </row>
    <row r="1144" spans="11:11">
      <c r="K1144" s="712" t="s">
        <v>238</v>
      </c>
    </row>
    <row r="1145" spans="11:11">
      <c r="K1145" s="712" t="s">
        <v>238</v>
      </c>
    </row>
    <row r="1146" spans="11:11">
      <c r="K1146" s="712" t="s">
        <v>238</v>
      </c>
    </row>
    <row r="1147" spans="11:11">
      <c r="K1147" s="712" t="s">
        <v>238</v>
      </c>
    </row>
    <row r="1148" spans="11:11">
      <c r="K1148" s="712" t="s">
        <v>238</v>
      </c>
    </row>
    <row r="1149" spans="11:11">
      <c r="K1149" s="712" t="s">
        <v>238</v>
      </c>
    </row>
    <row r="1150" spans="11:11">
      <c r="K1150" s="712" t="s">
        <v>238</v>
      </c>
    </row>
    <row r="1151" spans="11:11">
      <c r="K1151" s="712" t="s">
        <v>238</v>
      </c>
    </row>
    <row r="1152" spans="11:11">
      <c r="K1152" s="712" t="s">
        <v>238</v>
      </c>
    </row>
    <row r="1153" spans="11:11">
      <c r="K1153" s="712" t="s">
        <v>238</v>
      </c>
    </row>
    <row r="1154" spans="11:11">
      <c r="K1154" s="712" t="s">
        <v>238</v>
      </c>
    </row>
    <row r="1155" spans="11:11">
      <c r="K1155" s="712" t="s">
        <v>238</v>
      </c>
    </row>
    <row r="1156" spans="11:11">
      <c r="K1156" s="712" t="s">
        <v>238</v>
      </c>
    </row>
    <row r="1157" spans="11:11">
      <c r="K1157" s="712" t="s">
        <v>238</v>
      </c>
    </row>
    <row r="1158" spans="11:11">
      <c r="K1158" s="712" t="s">
        <v>238</v>
      </c>
    </row>
    <row r="1159" spans="11:11">
      <c r="K1159" s="712" t="s">
        <v>238</v>
      </c>
    </row>
    <row r="1160" spans="11:11">
      <c r="K1160" s="712" t="s">
        <v>238</v>
      </c>
    </row>
    <row r="1161" spans="11:11">
      <c r="K1161" s="712" t="s">
        <v>238</v>
      </c>
    </row>
    <row r="1162" spans="11:11">
      <c r="K1162" s="712" t="s">
        <v>238</v>
      </c>
    </row>
    <row r="1163" spans="11:11">
      <c r="K1163" s="712" t="s">
        <v>238</v>
      </c>
    </row>
    <row r="1164" spans="11:11">
      <c r="K1164" s="712" t="s">
        <v>238</v>
      </c>
    </row>
    <row r="1165" spans="11:11">
      <c r="K1165" s="712" t="s">
        <v>238</v>
      </c>
    </row>
    <row r="1166" spans="11:11">
      <c r="K1166" s="712" t="s">
        <v>238</v>
      </c>
    </row>
    <row r="1167" spans="11:11">
      <c r="K1167" s="712" t="s">
        <v>238</v>
      </c>
    </row>
    <row r="1168" spans="11:11">
      <c r="K1168" s="712" t="s">
        <v>238</v>
      </c>
    </row>
    <row r="1169" spans="11:11">
      <c r="K1169" s="712" t="s">
        <v>238</v>
      </c>
    </row>
    <row r="1170" spans="11:11">
      <c r="K1170" s="712" t="s">
        <v>238</v>
      </c>
    </row>
    <row r="1171" spans="11:11">
      <c r="K1171" s="712" t="s">
        <v>238</v>
      </c>
    </row>
    <row r="1172" spans="11:11">
      <c r="K1172" s="712" t="s">
        <v>238</v>
      </c>
    </row>
    <row r="1173" spans="11:11">
      <c r="K1173" s="712" t="s">
        <v>238</v>
      </c>
    </row>
    <row r="1174" spans="11:11">
      <c r="K1174" s="712" t="s">
        <v>238</v>
      </c>
    </row>
    <row r="1175" spans="11:11">
      <c r="K1175" s="712" t="s">
        <v>238</v>
      </c>
    </row>
    <row r="1176" spans="11:11">
      <c r="K1176" s="712" t="s">
        <v>238</v>
      </c>
    </row>
    <row r="1177" spans="11:11">
      <c r="K1177" s="712" t="s">
        <v>238</v>
      </c>
    </row>
    <row r="1178" spans="11:11">
      <c r="K1178" s="712" t="s">
        <v>238</v>
      </c>
    </row>
    <row r="1179" spans="11:11">
      <c r="K1179" s="712" t="s">
        <v>238</v>
      </c>
    </row>
    <row r="1180" spans="11:11">
      <c r="K1180" s="712" t="s">
        <v>238</v>
      </c>
    </row>
    <row r="1181" spans="11:11">
      <c r="K1181" s="712" t="s">
        <v>238</v>
      </c>
    </row>
    <row r="1182" spans="11:11">
      <c r="K1182" s="712" t="s">
        <v>238</v>
      </c>
    </row>
    <row r="1183" spans="11:11">
      <c r="K1183" s="712" t="s">
        <v>238</v>
      </c>
    </row>
    <row r="1184" spans="11:11">
      <c r="K1184" s="712" t="s">
        <v>238</v>
      </c>
    </row>
    <row r="1185" spans="11:11">
      <c r="K1185" s="712" t="s">
        <v>238</v>
      </c>
    </row>
    <row r="1186" spans="11:11">
      <c r="K1186" s="712" t="s">
        <v>238</v>
      </c>
    </row>
    <row r="1187" spans="11:11">
      <c r="K1187" s="712" t="s">
        <v>238</v>
      </c>
    </row>
    <row r="1188" spans="11:11">
      <c r="K1188" s="712" t="s">
        <v>238</v>
      </c>
    </row>
    <row r="1189" spans="11:11">
      <c r="K1189" s="712" t="s">
        <v>238</v>
      </c>
    </row>
    <row r="1190" spans="11:11">
      <c r="K1190" s="712" t="s">
        <v>238</v>
      </c>
    </row>
    <row r="1191" spans="11:11">
      <c r="K1191" s="712" t="s">
        <v>238</v>
      </c>
    </row>
    <row r="1192" spans="11:11">
      <c r="K1192" s="712" t="s">
        <v>238</v>
      </c>
    </row>
    <row r="1193" spans="11:11">
      <c r="K1193" s="712" t="s">
        <v>238</v>
      </c>
    </row>
    <row r="1194" spans="11:11">
      <c r="K1194" s="712" t="s">
        <v>238</v>
      </c>
    </row>
    <row r="1195" spans="11:11">
      <c r="K1195" s="712" t="s">
        <v>238</v>
      </c>
    </row>
    <row r="1196" spans="11:11">
      <c r="K1196" s="712" t="s">
        <v>238</v>
      </c>
    </row>
    <row r="1197" spans="11:11">
      <c r="K1197" s="712" t="s">
        <v>238</v>
      </c>
    </row>
    <row r="1198" spans="11:11">
      <c r="K1198" s="712" t="s">
        <v>238</v>
      </c>
    </row>
    <row r="1199" spans="11:11">
      <c r="K1199" s="712" t="s">
        <v>238</v>
      </c>
    </row>
    <row r="1200" spans="11:11">
      <c r="K1200" s="712" t="s">
        <v>238</v>
      </c>
    </row>
    <row r="1201" spans="11:11">
      <c r="K1201" s="712" t="s">
        <v>238</v>
      </c>
    </row>
    <row r="1202" spans="11:11">
      <c r="K1202" s="712" t="s">
        <v>238</v>
      </c>
    </row>
    <row r="1203" spans="11:11">
      <c r="K1203" s="712" t="s">
        <v>238</v>
      </c>
    </row>
    <row r="1204" spans="11:11">
      <c r="K1204" s="712" t="s">
        <v>238</v>
      </c>
    </row>
    <row r="1205" spans="11:11">
      <c r="K1205" s="712" t="s">
        <v>238</v>
      </c>
    </row>
  </sheetData>
  <mergeCells count="2">
    <mergeCell ref="N464:S464"/>
    <mergeCell ref="N747:S747"/>
  </mergeCells>
  <conditionalFormatting sqref="A1">
    <cfRule type="duplicateValues" dxfId="478" priority="140"/>
  </conditionalFormatting>
  <conditionalFormatting sqref="R15">
    <cfRule type="containsText" dxfId="477" priority="138" operator="containsText" text="USD">
      <formula>NOT(ISERROR(SEARCH("USD",R15)))</formula>
    </cfRule>
    <cfRule type="containsText" dxfId="476" priority="139" operator="containsText" text="EUR">
      <formula>NOT(ISERROR(SEARCH("EUR",R15)))</formula>
    </cfRule>
  </conditionalFormatting>
  <conditionalFormatting sqref="A42">
    <cfRule type="duplicateValues" dxfId="475" priority="137"/>
  </conditionalFormatting>
  <conditionalFormatting sqref="R60">
    <cfRule type="containsText" dxfId="474" priority="135" operator="containsText" text="USD">
      <formula>NOT(ISERROR(SEARCH("USD",R60)))</formula>
    </cfRule>
    <cfRule type="containsText" dxfId="473" priority="136" operator="containsText" text="EUR">
      <formula>NOT(ISERROR(SEARCH("EUR",R60)))</formula>
    </cfRule>
  </conditionalFormatting>
  <conditionalFormatting sqref="A73">
    <cfRule type="duplicateValues" dxfId="472" priority="132"/>
  </conditionalFormatting>
  <conditionalFormatting sqref="A83">
    <cfRule type="duplicateValues" dxfId="471" priority="131"/>
  </conditionalFormatting>
  <conditionalFormatting sqref="A89">
    <cfRule type="duplicateValues" dxfId="470" priority="130"/>
  </conditionalFormatting>
  <conditionalFormatting sqref="A44">
    <cfRule type="duplicateValues" dxfId="469" priority="129"/>
  </conditionalFormatting>
  <conditionalFormatting sqref="A99">
    <cfRule type="duplicateValues" dxfId="468" priority="128"/>
  </conditionalFormatting>
  <conditionalFormatting sqref="A111">
    <cfRule type="duplicateValues" dxfId="467" priority="127"/>
  </conditionalFormatting>
  <conditionalFormatting sqref="A112">
    <cfRule type="duplicateValues" dxfId="466" priority="125"/>
  </conditionalFormatting>
  <conditionalFormatting sqref="A113:A114">
    <cfRule type="duplicateValues" dxfId="465" priority="124"/>
  </conditionalFormatting>
  <conditionalFormatting sqref="A121:A124">
    <cfRule type="duplicateValues" dxfId="464" priority="123"/>
  </conditionalFormatting>
  <conditionalFormatting sqref="A131:A134">
    <cfRule type="duplicateValues" dxfId="463" priority="122"/>
  </conditionalFormatting>
  <conditionalFormatting sqref="A167">
    <cfRule type="duplicateValues" dxfId="462" priority="120"/>
  </conditionalFormatting>
  <conditionalFormatting sqref="A168">
    <cfRule type="duplicateValues" dxfId="461" priority="119"/>
  </conditionalFormatting>
  <conditionalFormatting sqref="A229">
    <cfRule type="duplicateValues" dxfId="460" priority="118"/>
  </conditionalFormatting>
  <conditionalFormatting sqref="R260">
    <cfRule type="containsText" dxfId="459" priority="116" operator="containsText" text="USD">
      <formula>NOT(ISERROR(SEARCH("USD",R260)))</formula>
    </cfRule>
    <cfRule type="containsText" dxfId="458" priority="117" operator="containsText" text="EUR">
      <formula>NOT(ISERROR(SEARCH("EUR",R260)))</formula>
    </cfRule>
  </conditionalFormatting>
  <conditionalFormatting sqref="A273">
    <cfRule type="duplicateValues" dxfId="457" priority="115"/>
  </conditionalFormatting>
  <conditionalFormatting sqref="A286">
    <cfRule type="duplicateValues" dxfId="456" priority="114"/>
  </conditionalFormatting>
  <conditionalFormatting sqref="A244">
    <cfRule type="duplicateValues" dxfId="455" priority="113"/>
  </conditionalFormatting>
  <conditionalFormatting sqref="A298">
    <cfRule type="duplicateValues" dxfId="454" priority="112"/>
  </conditionalFormatting>
  <conditionalFormatting sqref="R314">
    <cfRule type="containsText" dxfId="453" priority="110" operator="containsText" text="USD">
      <formula>NOT(ISERROR(SEARCH("USD",R314)))</formula>
    </cfRule>
    <cfRule type="containsText" dxfId="452" priority="111" operator="containsText" text="EUR">
      <formula>NOT(ISERROR(SEARCH("EUR",R314)))</formula>
    </cfRule>
  </conditionalFormatting>
  <conditionalFormatting sqref="A341">
    <cfRule type="duplicateValues" dxfId="451" priority="109"/>
  </conditionalFormatting>
  <conditionalFormatting sqref="R356">
    <cfRule type="containsText" dxfId="450" priority="107" operator="containsText" text="USD">
      <formula>NOT(ISERROR(SEARCH("USD",R356)))</formula>
    </cfRule>
    <cfRule type="containsText" dxfId="449" priority="108" operator="containsText" text="EUR">
      <formula>NOT(ISERROR(SEARCH("EUR",R356)))</formula>
    </cfRule>
  </conditionalFormatting>
  <conditionalFormatting sqref="A383">
    <cfRule type="duplicateValues" dxfId="448" priority="106"/>
  </conditionalFormatting>
  <conditionalFormatting sqref="A393">
    <cfRule type="duplicateValues" dxfId="447" priority="105"/>
  </conditionalFormatting>
  <conditionalFormatting sqref="R410">
    <cfRule type="containsText" dxfId="446" priority="103" operator="containsText" text="USD">
      <formula>NOT(ISERROR(SEARCH("USD",R410)))</formula>
    </cfRule>
    <cfRule type="containsText" dxfId="445" priority="104" operator="containsText" text="EUR">
      <formula>NOT(ISERROR(SEARCH("EUR",R410)))</formula>
    </cfRule>
  </conditionalFormatting>
  <conditionalFormatting sqref="A423">
    <cfRule type="duplicateValues" dxfId="444" priority="102"/>
  </conditionalFormatting>
  <conditionalFormatting sqref="R441">
    <cfRule type="containsText" dxfId="443" priority="100" operator="containsText" text="USD">
      <formula>NOT(ISERROR(SEARCH("USD",R441)))</formula>
    </cfRule>
    <cfRule type="containsText" dxfId="442" priority="101" operator="containsText" text="EUR">
      <formula>NOT(ISERROR(SEARCH("EUR",R441)))</formula>
    </cfRule>
  </conditionalFormatting>
  <conditionalFormatting sqref="A454">
    <cfRule type="duplicateValues" dxfId="441" priority="99"/>
  </conditionalFormatting>
  <conditionalFormatting sqref="A484">
    <cfRule type="duplicateValues" dxfId="440" priority="96"/>
  </conditionalFormatting>
  <conditionalFormatting sqref="R499">
    <cfRule type="containsText" dxfId="439" priority="94" operator="containsText" text="USD">
      <formula>NOT(ISERROR(SEARCH("USD",R499)))</formula>
    </cfRule>
    <cfRule type="containsText" dxfId="438" priority="95" operator="containsText" text="EUR">
      <formula>NOT(ISERROR(SEARCH("EUR",R499)))</formula>
    </cfRule>
  </conditionalFormatting>
  <conditionalFormatting sqref="A526">
    <cfRule type="duplicateValues" dxfId="437" priority="93"/>
  </conditionalFormatting>
  <conditionalFormatting sqref="R543">
    <cfRule type="containsText" dxfId="436" priority="91" operator="containsText" text="USD">
      <formula>NOT(ISERROR(SEARCH("USD",R543)))</formula>
    </cfRule>
    <cfRule type="containsText" dxfId="435" priority="92" operator="containsText" text="EUR">
      <formula>NOT(ISERROR(SEARCH("EUR",R543)))</formula>
    </cfRule>
  </conditionalFormatting>
  <conditionalFormatting sqref="A556">
    <cfRule type="duplicateValues" dxfId="434" priority="90"/>
  </conditionalFormatting>
  <conditionalFormatting sqref="R572">
    <cfRule type="containsText" dxfId="433" priority="88" operator="containsText" text="USD">
      <formula>NOT(ISERROR(SEARCH("USD",R572)))</formula>
    </cfRule>
    <cfRule type="containsText" dxfId="432" priority="89" operator="containsText" text="EUR">
      <formula>NOT(ISERROR(SEARCH("EUR",R572)))</formula>
    </cfRule>
  </conditionalFormatting>
  <conditionalFormatting sqref="A585">
    <cfRule type="duplicateValues" dxfId="431" priority="87"/>
  </conditionalFormatting>
  <conditionalFormatting sqref="A620">
    <cfRule type="duplicateValues" dxfId="430" priority="84"/>
  </conditionalFormatting>
  <conditionalFormatting sqref="R634">
    <cfRule type="containsText" dxfId="429" priority="82" operator="containsText" text="USD">
      <formula>NOT(ISERROR(SEARCH("USD",R634)))</formula>
    </cfRule>
    <cfRule type="containsText" dxfId="428" priority="83" operator="containsText" text="EUR">
      <formula>NOT(ISERROR(SEARCH("EUR",R634)))</formula>
    </cfRule>
  </conditionalFormatting>
  <conditionalFormatting sqref="A661">
    <cfRule type="duplicateValues" dxfId="427" priority="81"/>
  </conditionalFormatting>
  <conditionalFormatting sqref="R675">
    <cfRule type="containsText" dxfId="426" priority="79" operator="containsText" text="USD">
      <formula>NOT(ISERROR(SEARCH("USD",R675)))</formula>
    </cfRule>
    <cfRule type="containsText" dxfId="425" priority="80" operator="containsText" text="EUR">
      <formula>NOT(ISERROR(SEARCH("EUR",R675)))</formula>
    </cfRule>
  </conditionalFormatting>
  <conditionalFormatting sqref="A702">
    <cfRule type="duplicateValues" dxfId="424" priority="78"/>
  </conditionalFormatting>
  <conditionalFormatting sqref="R723">
    <cfRule type="containsText" dxfId="423" priority="73" operator="containsText" text="USD">
      <formula>NOT(ISERROR(SEARCH("USD",R723)))</formula>
    </cfRule>
    <cfRule type="containsText" dxfId="422" priority="74" operator="containsText" text="EUR">
      <formula>NOT(ISERROR(SEARCH("EUR",R723)))</formula>
    </cfRule>
  </conditionalFormatting>
  <conditionalFormatting sqref="A736">
    <cfRule type="duplicateValues" dxfId="421" priority="72"/>
  </conditionalFormatting>
  <conditionalFormatting sqref="A762">
    <cfRule type="duplicateValues" dxfId="420" priority="71"/>
  </conditionalFormatting>
  <conditionalFormatting sqref="A769">
    <cfRule type="duplicateValues" dxfId="419" priority="68"/>
  </conditionalFormatting>
  <conditionalFormatting sqref="A777">
    <cfRule type="duplicateValues" dxfId="418" priority="67"/>
  </conditionalFormatting>
  <conditionalFormatting sqref="R788">
    <cfRule type="containsText" dxfId="417" priority="65" operator="containsText" text="USD">
      <formula>NOT(ISERROR(SEARCH("USD",R788)))</formula>
    </cfRule>
    <cfRule type="containsText" dxfId="416" priority="66" operator="containsText" text="EUR">
      <formula>NOT(ISERROR(SEARCH("EUR",R788)))</formula>
    </cfRule>
  </conditionalFormatting>
  <conditionalFormatting sqref="A815">
    <cfRule type="duplicateValues" dxfId="415" priority="64"/>
  </conditionalFormatting>
  <conditionalFormatting sqref="A824">
    <cfRule type="duplicateValues" dxfId="414" priority="63"/>
  </conditionalFormatting>
  <conditionalFormatting sqref="R866">
    <cfRule type="containsText" dxfId="413" priority="61" operator="containsText" text="USD">
      <formula>NOT(ISERROR(SEARCH("USD",R866)))</formula>
    </cfRule>
    <cfRule type="containsText" dxfId="412" priority="62" operator="containsText" text="EUR">
      <formula>NOT(ISERROR(SEARCH("EUR",R866)))</formula>
    </cfRule>
  </conditionalFormatting>
  <conditionalFormatting sqref="A893">
    <cfRule type="duplicateValues" dxfId="411" priority="60"/>
  </conditionalFormatting>
  <conditionalFormatting sqref="R839">
    <cfRule type="containsText" dxfId="410" priority="58" operator="containsText" text="USD">
      <formula>NOT(ISERROR(SEARCH("USD",R839)))</formula>
    </cfRule>
    <cfRule type="containsText" dxfId="409" priority="59" operator="containsText" text="EUR">
      <formula>NOT(ISERROR(SEARCH("EUR",R839)))</formula>
    </cfRule>
  </conditionalFormatting>
  <conditionalFormatting sqref="A852">
    <cfRule type="duplicateValues" dxfId="408" priority="57"/>
  </conditionalFormatting>
  <conditionalFormatting sqref="A994">
    <cfRule type="duplicateValues" dxfId="407" priority="56"/>
  </conditionalFormatting>
  <conditionalFormatting sqref="A1024">
    <cfRule type="duplicateValues" dxfId="406" priority="54"/>
  </conditionalFormatting>
  <conditionalFormatting sqref="A1057">
    <cfRule type="duplicateValues" dxfId="405" priority="53"/>
  </conditionalFormatting>
  <conditionalFormatting sqref="A1086">
    <cfRule type="duplicateValues" dxfId="404" priority="52"/>
  </conditionalFormatting>
  <conditionalFormatting sqref="A101">
    <cfRule type="duplicateValues" dxfId="403" priority="50"/>
  </conditionalFormatting>
  <conditionalFormatting sqref="R748">
    <cfRule type="containsText" dxfId="402" priority="48" operator="containsText" text="USD">
      <formula>NOT(ISERROR(SEARCH("USD",R748)))</formula>
    </cfRule>
    <cfRule type="containsText" dxfId="401" priority="49" operator="containsText" text="EUR">
      <formula>NOT(ISERROR(SEARCH("EUR",R748)))</formula>
    </cfRule>
  </conditionalFormatting>
  <conditionalFormatting sqref="A1025">
    <cfRule type="duplicateValues" dxfId="400" priority="40"/>
  </conditionalFormatting>
  <conditionalFormatting sqref="A1025">
    <cfRule type="duplicateValues" dxfId="399" priority="41"/>
  </conditionalFormatting>
  <conditionalFormatting sqref="G924:G963 G965:G1094 G1096:G1048576 G590:G922 G184:G587 G1:G156 G167:G171 G158:G159">
    <cfRule type="containsText" dxfId="398" priority="37" operator="containsText" text="gfatm">
      <formula>NOT(ISERROR(SEARCH("gfatm",G1)))</formula>
    </cfRule>
  </conditionalFormatting>
  <conditionalFormatting sqref="R910">
    <cfRule type="containsText" dxfId="397" priority="35" operator="containsText" text="USD">
      <formula>NOT(ISERROR(SEARCH("USD",R910)))</formula>
    </cfRule>
    <cfRule type="containsText" dxfId="396" priority="36" operator="containsText" text="EUR">
      <formula>NOT(ISERROR(SEARCH("EUR",R910)))</formula>
    </cfRule>
  </conditionalFormatting>
  <conditionalFormatting sqref="R937">
    <cfRule type="containsText" dxfId="395" priority="33" operator="containsText" text="USD">
      <formula>NOT(ISERROR(SEARCH("USD",R937)))</formula>
    </cfRule>
    <cfRule type="containsText" dxfId="394" priority="34" operator="containsText" text="EUR">
      <formula>NOT(ISERROR(SEARCH("EUR",R937)))</formula>
    </cfRule>
  </conditionalFormatting>
  <conditionalFormatting sqref="A923">
    <cfRule type="duplicateValues" dxfId="393" priority="31"/>
  </conditionalFormatting>
  <conditionalFormatting sqref="A923">
    <cfRule type="duplicateValues" dxfId="392" priority="32"/>
  </conditionalFormatting>
  <conditionalFormatting sqref="G923">
    <cfRule type="containsText" dxfId="391" priority="30" operator="containsText" text="gfatm">
      <formula>NOT(ISERROR(SEARCH("gfatm",G923)))</formula>
    </cfRule>
  </conditionalFormatting>
  <conditionalFormatting sqref="A964">
    <cfRule type="duplicateValues" dxfId="390" priority="28"/>
  </conditionalFormatting>
  <conditionalFormatting sqref="A964">
    <cfRule type="duplicateValues" dxfId="389" priority="29"/>
  </conditionalFormatting>
  <conditionalFormatting sqref="G964">
    <cfRule type="containsText" dxfId="388" priority="27" operator="containsText" text="gfatm">
      <formula>NOT(ISERROR(SEARCH("gfatm",G964)))</formula>
    </cfRule>
  </conditionalFormatting>
  <conditionalFormatting sqref="A1095">
    <cfRule type="duplicateValues" dxfId="387" priority="25"/>
  </conditionalFormatting>
  <conditionalFormatting sqref="A1095">
    <cfRule type="duplicateValues" dxfId="386" priority="26"/>
  </conditionalFormatting>
  <conditionalFormatting sqref="G1095">
    <cfRule type="containsText" dxfId="385" priority="24" operator="containsText" text="gfatm">
      <formula>NOT(ISERROR(SEARCH("gfatm",G1095)))</formula>
    </cfRule>
  </conditionalFormatting>
  <conditionalFormatting sqref="A172">
    <cfRule type="duplicateValues" dxfId="384" priority="3"/>
  </conditionalFormatting>
  <conditionalFormatting sqref="A173">
    <cfRule type="duplicateValues" dxfId="383" priority="2"/>
  </conditionalFormatting>
  <conditionalFormatting sqref="A172:A173">
    <cfRule type="duplicateValues" dxfId="382" priority="4"/>
  </conditionalFormatting>
  <conditionalFormatting sqref="G172:G173">
    <cfRule type="containsText" dxfId="381" priority="1" operator="containsText" text="gfatm">
      <formula>NOT(ISERROR(SEARCH("gfatm",G172)))</formula>
    </cfRule>
  </conditionalFormatting>
  <conditionalFormatting sqref="A158:A159 A155:A156">
    <cfRule type="duplicateValues" dxfId="380" priority="757"/>
  </conditionalFormatting>
  <conditionalFormatting sqref="A167:A171 A1057:A1094 A1:A156 A158:A159 A293:A295 A298 A1000:A1024 A969:A998 A1026:A1031 A301:A587 A924:A963 A965:A967 A1096:A1048576 A590:A922 A184:A291">
    <cfRule type="duplicateValues" dxfId="379" priority="766"/>
  </conditionalFormatting>
  <dataValidations count="3">
    <dataValidation type="list" allowBlank="1" showInputMessage="1" showErrorMessage="1" sqref="N16:N34 N61:N67 N217:N223 N261:N267 N840:N846 N357:N375 N389 N411:N417 N442:N448 N500:N518 N544:N550 N573:N579 N635:N653 N676:N694 N724:N730 N789:N807 N867:N885 N315:N333 N749:N750 N753 N1043:N1051 N1034 N911:N917 N938:N956" xr:uid="{00000000-0002-0000-0E00-000000000000}">
      <formula1>Denumire_produs_ro</formula1>
    </dataValidation>
    <dataValidation type="list" allowBlank="1" showInputMessage="1" showErrorMessage="1" sqref="I42 I73 I83 I89 I44 I99 I111:I114 I121:I124 I131:I134 I167:I168 I229 I273 I286 I244 I298 I341 I383 I393 I423 I454 I484 I526 I556 I585 I101 I661 I702 I736 I762 I620 I777 I815 I769 I893 I852 I824 I1086 I1024:I1025 I994 I1057 I923 I964 I1095 I172:I173 I158:I159 I155:I156" xr:uid="{00000000-0002-0000-0E00-000001000000}">
      <formula1>TB_implementare</formula1>
    </dataValidation>
    <dataValidation type="list" allowBlank="1" showInputMessage="1" showErrorMessage="1" sqref="G42 G73 G83 G89 G44 G99 G111:G114 G121:G124 G131:G134 G167:G168 G229 G273 G286 G244 G298 G341 G383 G393 G423 G454 G484 G526 G556 G585 G101 G661 G702 G736 G762 G620 G777 G815 G769 G893 G824 G852 G1024:G1025 G1086 G994 G1057 G923 G964 G1095 G172:G173 G158:G159 G155:G156" xr:uid="{00000000-0002-0000-0E00-000002000000}">
      <formula1>TB_sursa_finant_Ro</formula1>
    </dataValidation>
  </dataValidations>
  <hyperlinks>
    <hyperlink ref="O1" location="CUPRINS!A1" display="CUPRINS" xr:uid="{00000000-0004-0000-0E00-000000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3000000}">
          <x14:formula1>
            <xm:f>Nom_activ_2!$H$2:$H$88</xm:f>
          </x14:formula1>
          <xm:sqref>J42 J73 J83 J89 J44 J99 J111:J114 J121:J124 J131:J134 J167:J168 J229 J273 J286 J244 J298 J341 J383 J393 J423 J454 J484 J526 J556 J585 J101 J661 J702 J736 J762 J620 J777 J815 J769 J893 J852 J824 J1086 J1024:J1025 J994 J1057 J923 J964 J1095 J172:J173 J158:J159 J155:J156</xm:sqref>
        </x14:dataValidation>
      </x14:dataValidations>
    </ext>
  </extLst>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368"/>
  <sheetViews>
    <sheetView topLeftCell="E234" zoomScale="70" zoomScaleNormal="70" workbookViewId="0">
      <selection activeCell="S221" sqref="S221"/>
    </sheetView>
  </sheetViews>
  <sheetFormatPr baseColWidth="10" defaultColWidth="8.83203125" defaultRowHeight="15" outlineLevelCol="1"/>
  <cols>
    <col min="1" max="1" width="4.33203125" customWidth="1" outlineLevel="1"/>
    <col min="2" max="6" width="13.33203125" customWidth="1" outlineLevel="1"/>
    <col min="7" max="7" width="7.5" customWidth="1" outlineLevel="1"/>
    <col min="8" max="8" width="27.33203125" customWidth="1" outlineLevel="1"/>
    <col min="9" max="9" width="12.6640625" style="1313" customWidth="1" outlineLevel="1"/>
    <col min="10" max="10" width="26.6640625" customWidth="1" outlineLevel="1"/>
    <col min="11" max="11" width="2.1640625" bestFit="1" customWidth="1"/>
    <col min="12" max="12" width="13.33203125" customWidth="1"/>
    <col min="13" max="13" width="93" bestFit="1" customWidth="1"/>
    <col min="14" max="14" width="32.33203125" bestFit="1" customWidth="1"/>
    <col min="15" max="15" width="17.83203125" bestFit="1" customWidth="1"/>
    <col min="16" max="16" width="10.83203125" bestFit="1" customWidth="1"/>
    <col min="17" max="17" width="21.33203125" bestFit="1" customWidth="1"/>
    <col min="18" max="18" width="9.6640625" bestFit="1" customWidth="1"/>
    <col min="19" max="19" width="85.6640625" bestFit="1" customWidth="1"/>
    <col min="20" max="21" width="14" bestFit="1" customWidth="1"/>
    <col min="22" max="22" width="45.5" bestFit="1" customWidth="1"/>
    <col min="23" max="23" width="14.6640625" bestFit="1" customWidth="1"/>
    <col min="24" max="27" width="12.5" bestFit="1" customWidth="1"/>
    <col min="28" max="28" width="8.6640625" customWidth="1"/>
  </cols>
  <sheetData>
    <row r="1" spans="1:20" ht="16" thickBot="1">
      <c r="A1" s="730"/>
      <c r="B1" s="731">
        <v>2021</v>
      </c>
      <c r="C1" s="731">
        <v>2022</v>
      </c>
      <c r="D1" s="731">
        <v>2023</v>
      </c>
      <c r="E1" s="731">
        <v>2024</v>
      </c>
      <c r="F1" s="731">
        <v>2025</v>
      </c>
      <c r="G1" s="731" t="s">
        <v>484</v>
      </c>
      <c r="H1" s="731" t="s">
        <v>515</v>
      </c>
      <c r="I1" s="2179" t="s">
        <v>1834</v>
      </c>
      <c r="J1" s="859"/>
      <c r="K1" s="712" t="s">
        <v>238</v>
      </c>
      <c r="L1" s="836">
        <f ca="1">SUM(B:F)-B1-C1-D1-E1-F1</f>
        <v>626464.80000000005</v>
      </c>
      <c r="M1" s="1808">
        <f>SUM(AR:AR)</f>
        <v>0</v>
      </c>
      <c r="N1" s="836">
        <f ca="1">L1-M1</f>
        <v>626464.80000000005</v>
      </c>
      <c r="O1" s="1836" t="s">
        <v>356</v>
      </c>
    </row>
    <row r="2" spans="1:20">
      <c r="K2" s="712" t="s">
        <v>238</v>
      </c>
    </row>
    <row r="3" spans="1:20" ht="19">
      <c r="K3" s="712" t="s">
        <v>238</v>
      </c>
      <c r="L3" s="1879" t="s">
        <v>2945</v>
      </c>
    </row>
    <row r="4" spans="1:20" s="1808" customFormat="1">
      <c r="I4" s="1313"/>
      <c r="K4" s="712" t="s">
        <v>238</v>
      </c>
      <c r="L4" s="1775"/>
    </row>
    <row r="5" spans="1:20" ht="19">
      <c r="K5" s="712" t="s">
        <v>238</v>
      </c>
      <c r="L5" s="1879" t="s">
        <v>3313</v>
      </c>
    </row>
    <row r="6" spans="1:20" ht="16" thickBot="1">
      <c r="K6" s="712" t="s">
        <v>238</v>
      </c>
    </row>
    <row r="7" spans="1:20" ht="32">
      <c r="K7" s="712" t="s">
        <v>238</v>
      </c>
      <c r="M7" s="1758" t="s">
        <v>2155</v>
      </c>
      <c r="N7" s="966"/>
      <c r="O7" s="966"/>
      <c r="P7" s="966"/>
      <c r="Q7" s="1759" t="s">
        <v>3060</v>
      </c>
      <c r="R7" s="966"/>
      <c r="S7" s="966"/>
      <c r="T7" s="967"/>
    </row>
    <row r="8" spans="1:20" ht="32">
      <c r="K8" s="712" t="s">
        <v>238</v>
      </c>
      <c r="M8" s="1760" t="s">
        <v>3054</v>
      </c>
      <c r="N8" s="1749"/>
      <c r="O8" s="1565"/>
      <c r="P8" s="1750"/>
      <c r="Q8" s="1383"/>
      <c r="R8" s="960"/>
      <c r="S8" s="960"/>
      <c r="T8" s="62"/>
    </row>
    <row r="9" spans="1:20" ht="32">
      <c r="K9" s="712" t="s">
        <v>238</v>
      </c>
      <c r="M9" s="1760" t="s">
        <v>3055</v>
      </c>
      <c r="N9" s="1749"/>
      <c r="O9" s="1565"/>
      <c r="P9" s="1750">
        <v>2</v>
      </c>
      <c r="Q9" s="1383">
        <v>10</v>
      </c>
      <c r="R9" s="960"/>
      <c r="S9" s="960"/>
      <c r="T9" s="62"/>
    </row>
    <row r="10" spans="1:20">
      <c r="K10" s="712" t="s">
        <v>238</v>
      </c>
      <c r="M10" s="1049"/>
      <c r="N10" s="960"/>
      <c r="O10" s="960"/>
      <c r="P10" s="960"/>
      <c r="Q10" s="960"/>
      <c r="R10" s="960"/>
      <c r="S10" s="960"/>
      <c r="T10" s="62"/>
    </row>
    <row r="11" spans="1:20">
      <c r="K11" s="712" t="s">
        <v>238</v>
      </c>
      <c r="M11" s="1049" t="s">
        <v>3059</v>
      </c>
      <c r="N11" s="960"/>
      <c r="O11" s="960"/>
      <c r="P11" s="960"/>
      <c r="Q11" s="960"/>
      <c r="R11" s="960"/>
      <c r="S11" s="960"/>
      <c r="T11" s="62"/>
    </row>
    <row r="12" spans="1:20" ht="32">
      <c r="K12" s="712" t="s">
        <v>238</v>
      </c>
      <c r="M12" s="1760" t="s">
        <v>3061</v>
      </c>
      <c r="N12" s="1749"/>
      <c r="O12" s="1565"/>
      <c r="P12" s="1750"/>
      <c r="Q12" s="1383"/>
      <c r="R12" s="960"/>
      <c r="S12" s="960"/>
      <c r="T12" s="62"/>
    </row>
    <row r="13" spans="1:20" ht="32">
      <c r="K13" s="712" t="s">
        <v>238</v>
      </c>
      <c r="M13" s="1760" t="s">
        <v>3062</v>
      </c>
      <c r="N13" s="1749"/>
      <c r="O13" s="1565"/>
      <c r="P13" s="1750"/>
      <c r="Q13" s="1383"/>
      <c r="R13" s="960"/>
      <c r="S13" s="960"/>
      <c r="T13" s="62"/>
    </row>
    <row r="14" spans="1:20">
      <c r="K14" s="712" t="s">
        <v>238</v>
      </c>
      <c r="M14" s="1049"/>
      <c r="N14" s="960"/>
      <c r="O14" s="960"/>
      <c r="P14" s="960"/>
      <c r="Q14" s="960"/>
      <c r="R14" s="960"/>
      <c r="S14" s="960"/>
      <c r="T14" s="62"/>
    </row>
    <row r="15" spans="1:20">
      <c r="K15" s="712" t="s">
        <v>238</v>
      </c>
      <c r="M15" s="1049"/>
      <c r="N15" s="960"/>
      <c r="O15" s="960"/>
      <c r="P15" s="960"/>
      <c r="Q15" s="960"/>
      <c r="R15" s="960"/>
      <c r="S15" s="960"/>
      <c r="T15" s="62"/>
    </row>
    <row r="16" spans="1:20" ht="16" thickBot="1">
      <c r="K16" s="712" t="s">
        <v>238</v>
      </c>
      <c r="M16" s="1049" t="s">
        <v>3058</v>
      </c>
      <c r="N16" s="960"/>
      <c r="O16" s="960"/>
      <c r="P16" s="960"/>
      <c r="Q16" s="960"/>
      <c r="R16" s="960"/>
      <c r="S16" s="960"/>
      <c r="T16" s="62"/>
    </row>
    <row r="17" spans="1:20" ht="32">
      <c r="K17" s="712" t="s">
        <v>238</v>
      </c>
      <c r="M17" s="1699" t="s">
        <v>3033</v>
      </c>
      <c r="N17" s="1700" t="s">
        <v>3034</v>
      </c>
      <c r="O17" s="1702" t="s">
        <v>3040</v>
      </c>
      <c r="P17" s="1702" t="s">
        <v>3041</v>
      </c>
      <c r="Q17" s="1702" t="s">
        <v>3042</v>
      </c>
      <c r="R17" s="1700" t="s">
        <v>3035</v>
      </c>
      <c r="S17" s="1702" t="s">
        <v>3067</v>
      </c>
      <c r="T17" s="1701" t="s">
        <v>2189</v>
      </c>
    </row>
    <row r="18" spans="1:20">
      <c r="K18" s="712" t="s">
        <v>238</v>
      </c>
      <c r="M18" s="1539" t="s">
        <v>3051</v>
      </c>
      <c r="N18" s="958" t="str">
        <f>IFERROR(VLOOKUP(M18,Price_list!$B$1:$H$187,2,0),"")</f>
        <v>International Consultancy fee (3.1)</v>
      </c>
      <c r="O18" s="958" t="str">
        <f>IFERROR(VLOOKUP(M18,Price_list!$B$1:$H$187,3,0),"")</f>
        <v>cost/zi</v>
      </c>
      <c r="P18" s="946">
        <f>IFERROR(VLOOKUP(M18,Price_list!$B$1:$H$187,4,0),"")</f>
        <v>350</v>
      </c>
      <c r="Q18" s="946" t="str">
        <f>IFERROR(VLOOKUP(M18,Price_list!$B$1:$H$187,5,0),"")</f>
        <v>EUR</v>
      </c>
      <c r="R18" s="958">
        <f t="shared" ref="R18:R24" ca="1" si="0">ROUND(IFERROR(IF(Q18="MDL",P18,P18*INDIRECT(Q18)),0),2)</f>
        <v>6868.65</v>
      </c>
      <c r="S18" s="946">
        <f>P8*Q8</f>
        <v>0</v>
      </c>
      <c r="T18" s="1858">
        <f ca="1">S18*R18</f>
        <v>0</v>
      </c>
    </row>
    <row r="19" spans="1:20">
      <c r="K19" s="712" t="s">
        <v>238</v>
      </c>
      <c r="M19" s="1539" t="s">
        <v>3050</v>
      </c>
      <c r="N19" s="958" t="str">
        <f>IFERROR(VLOOKUP(M19,Price_list!$B$1:$H$187,2,0),"")</f>
        <v>National Consultancy fee (3.1)</v>
      </c>
      <c r="O19" s="958" t="str">
        <f>IFERROR(VLOOKUP(M19,Price_list!$B$1:$H$187,3,0),"")</f>
        <v>cost/zi</v>
      </c>
      <c r="P19" s="946">
        <f>IFERROR(VLOOKUP(M19,Price_list!$B$1:$H$187,4,0),"")</f>
        <v>2000</v>
      </c>
      <c r="Q19" s="946" t="str">
        <f>IFERROR(VLOOKUP(M19,Price_list!$B$1:$H$187,5,0),"")</f>
        <v>MDL</v>
      </c>
      <c r="R19" s="958">
        <f t="shared" ca="1" si="0"/>
        <v>2000</v>
      </c>
      <c r="S19" s="946">
        <f>P9*Q9</f>
        <v>20</v>
      </c>
      <c r="T19" s="1858">
        <f ca="1">S19*R19</f>
        <v>40000</v>
      </c>
    </row>
    <row r="20" spans="1:20">
      <c r="K20" s="712" t="s">
        <v>238</v>
      </c>
      <c r="M20" s="1539" t="s">
        <v>3063</v>
      </c>
      <c r="N20" s="958" t="str">
        <f>IFERROR(VLOOKUP(M20,Price_list!$B$1:$H$187,2,0),"")</f>
        <v>Translation per page</v>
      </c>
      <c r="O20" s="958" t="str">
        <f>IFERROR(VLOOKUP(M20,Price_list!$B$1:$H$187,3,0),"")</f>
        <v>pagina</v>
      </c>
      <c r="P20" s="946">
        <f>IFERROR(VLOOKUP(M20,Price_list!$B$1:$H$187,4,0),"")</f>
        <v>150</v>
      </c>
      <c r="Q20" s="946" t="str">
        <f>IFERROR(VLOOKUP(M20,Price_list!$B$1:$H$187,5,0),"")</f>
        <v>MDL</v>
      </c>
      <c r="R20" s="958">
        <f t="shared" ca="1" si="0"/>
        <v>150</v>
      </c>
      <c r="S20" s="946">
        <f>P12</f>
        <v>0</v>
      </c>
      <c r="T20" s="1858">
        <f t="shared" ref="T20:T23" ca="1" si="1">S20*R20</f>
        <v>0</v>
      </c>
    </row>
    <row r="21" spans="1:20">
      <c r="K21" s="712" t="s">
        <v>238</v>
      </c>
      <c r="M21" s="1539" t="s">
        <v>3068</v>
      </c>
      <c r="N21" s="958" t="str">
        <f>IFERROR(VLOOKUP(M21,Price_list!$B$1:$H$187,2,0),"")</f>
        <v xml:space="preserve">Formatting, design, printing </v>
      </c>
      <c r="O21" s="958" t="str">
        <f>IFERROR(VLOOKUP(M21,Price_list!$B$1:$H$187,3,0),"")</f>
        <v>pagina</v>
      </c>
      <c r="P21" s="946">
        <f>IFERROR(VLOOKUP(M21,Price_list!$B$1:$H$187,4,0),"")</f>
        <v>2</v>
      </c>
      <c r="Q21" s="946" t="str">
        <f>IFERROR(VLOOKUP(M21,Price_list!$B$1:$H$187,5,0),"")</f>
        <v>MDL</v>
      </c>
      <c r="R21" s="958">
        <f t="shared" ca="1" si="0"/>
        <v>2</v>
      </c>
      <c r="S21" s="946">
        <f>P12*P13</f>
        <v>0</v>
      </c>
      <c r="T21" s="1858">
        <f t="shared" ca="1" si="1"/>
        <v>0</v>
      </c>
    </row>
    <row r="22" spans="1:20">
      <c r="K22" s="712" t="s">
        <v>238</v>
      </c>
      <c r="M22" s="1539"/>
      <c r="N22" s="958" t="str">
        <f>IFERROR(VLOOKUP(M22,Price_list!$B$1:$H$187,2,0),"")</f>
        <v/>
      </c>
      <c r="O22" s="958" t="str">
        <f>IFERROR(VLOOKUP(M22,Price_list!$B$1:$H$187,3,0),"")</f>
        <v/>
      </c>
      <c r="P22" s="946" t="str">
        <f>IFERROR(VLOOKUP(M22,Price_list!$B$1:$H$187,4,0),"")</f>
        <v/>
      </c>
      <c r="Q22" s="946" t="str">
        <f>IFERROR(VLOOKUP(M22,Price_list!$B$1:$H$187,5,0),"")</f>
        <v/>
      </c>
      <c r="R22" s="958">
        <f t="shared" ca="1" si="0"/>
        <v>0</v>
      </c>
      <c r="S22" s="946"/>
      <c r="T22" s="1858">
        <f t="shared" ca="1" si="1"/>
        <v>0</v>
      </c>
    </row>
    <row r="23" spans="1:20">
      <c r="K23" s="712" t="s">
        <v>238</v>
      </c>
      <c r="M23" s="1539"/>
      <c r="N23" s="958" t="str">
        <f>IFERROR(VLOOKUP(M23,Price_list!$B$1:$H$187,2,0),"")</f>
        <v/>
      </c>
      <c r="O23" s="958" t="str">
        <f>IFERROR(VLOOKUP(M23,Price_list!$B$1:$H$187,3,0),"")</f>
        <v/>
      </c>
      <c r="P23" s="946" t="str">
        <f>IFERROR(VLOOKUP(M23,Price_list!$B$1:$H$187,4,0),"")</f>
        <v/>
      </c>
      <c r="Q23" s="946" t="str">
        <f>IFERROR(VLOOKUP(M23,Price_list!$B$1:$H$187,5,0),"")</f>
        <v/>
      </c>
      <c r="R23" s="958">
        <f t="shared" ca="1" si="0"/>
        <v>0</v>
      </c>
      <c r="S23" s="946"/>
      <c r="T23" s="1858">
        <f t="shared" ca="1" si="1"/>
        <v>0</v>
      </c>
    </row>
    <row r="24" spans="1:20" ht="16" thickBot="1">
      <c r="K24" s="712" t="s">
        <v>238</v>
      </c>
      <c r="M24" s="1539"/>
      <c r="N24" s="958" t="str">
        <f>IFERROR(VLOOKUP(M24,Price_list!$B$1:$H$187,2,0),"")</f>
        <v/>
      </c>
      <c r="O24" s="958" t="str">
        <f>IFERROR(VLOOKUP(M24,Price_list!$B$1:$H$187,3,0),"")</f>
        <v/>
      </c>
      <c r="P24" s="946" t="str">
        <f>IFERROR(VLOOKUP(M24,Price_list!$B$1:$H$187,4,0),"")</f>
        <v/>
      </c>
      <c r="Q24" s="946" t="str">
        <f>IFERROR(VLOOKUP(M24,Price_list!$B$1:$H$187,5,0),"")</f>
        <v/>
      </c>
      <c r="R24" s="958">
        <f t="shared" ca="1" si="0"/>
        <v>0</v>
      </c>
      <c r="S24" s="946"/>
      <c r="T24" s="1858">
        <f ca="1">S24*R24</f>
        <v>0</v>
      </c>
    </row>
    <row r="25" spans="1:20" ht="16" thickBot="1">
      <c r="K25" s="712" t="s">
        <v>238</v>
      </c>
      <c r="M25" s="1704"/>
      <c r="N25" s="1761"/>
      <c r="O25" s="1761"/>
      <c r="P25" s="1761"/>
      <c r="Q25" s="1761"/>
      <c r="R25" s="1761"/>
      <c r="S25" s="1761"/>
      <c r="T25" s="1706">
        <f ca="1">SUM(T18:T24)</f>
        <v>40000</v>
      </c>
    </row>
    <row r="26" spans="1:20">
      <c r="K26" s="712" t="s">
        <v>238</v>
      </c>
      <c r="M26" s="1049"/>
      <c r="N26" s="960"/>
      <c r="O26" s="960"/>
      <c r="P26" s="960"/>
      <c r="Q26" s="960"/>
      <c r="R26" s="960"/>
      <c r="S26" s="960"/>
      <c r="T26" s="62"/>
    </row>
    <row r="27" spans="1:20" ht="16" thickBot="1">
      <c r="K27" s="712" t="s">
        <v>238</v>
      </c>
      <c r="M27" s="1049"/>
      <c r="N27" s="960"/>
      <c r="O27" s="960"/>
      <c r="P27" s="960"/>
      <c r="Q27" s="960"/>
      <c r="R27" s="960"/>
      <c r="S27" s="960"/>
      <c r="T27" s="62"/>
    </row>
    <row r="28" spans="1:20" ht="16" thickBot="1">
      <c r="K28" s="712" t="s">
        <v>238</v>
      </c>
      <c r="M28" s="1049" t="s">
        <v>2171</v>
      </c>
      <c r="N28" s="960"/>
      <c r="O28" s="960"/>
      <c r="P28" s="1500">
        <v>2021</v>
      </c>
      <c r="Q28" s="1762">
        <v>2022</v>
      </c>
      <c r="R28" s="1762">
        <v>2023</v>
      </c>
      <c r="S28" s="1762">
        <v>2024</v>
      </c>
      <c r="T28" s="1763">
        <v>2025</v>
      </c>
    </row>
    <row r="29" spans="1:20" ht="16" thickBot="1">
      <c r="K29" s="712" t="s">
        <v>238</v>
      </c>
      <c r="M29" s="1764"/>
      <c r="N29" s="1504"/>
      <c r="O29" s="1504"/>
      <c r="P29" s="1713">
        <v>1</v>
      </c>
      <c r="Q29" s="1713">
        <v>0</v>
      </c>
      <c r="R29" s="1713">
        <v>0</v>
      </c>
      <c r="S29" s="1713">
        <v>0</v>
      </c>
      <c r="T29" s="1765">
        <v>0</v>
      </c>
    </row>
    <row r="30" spans="1:20" ht="16" thickBot="1">
      <c r="A30" s="730">
        <v>148</v>
      </c>
      <c r="B30" s="733">
        <f ca="1">P30</f>
        <v>40000</v>
      </c>
      <c r="C30" s="733">
        <f t="shared" ref="C30:F30" ca="1" si="2">Q30</f>
        <v>0</v>
      </c>
      <c r="D30" s="733">
        <f t="shared" ca="1" si="2"/>
        <v>0</v>
      </c>
      <c r="E30" s="733">
        <f t="shared" ca="1" si="2"/>
        <v>0</v>
      </c>
      <c r="F30" s="733">
        <f t="shared" ca="1" si="2"/>
        <v>0</v>
      </c>
      <c r="G30" s="733" t="s">
        <v>351</v>
      </c>
      <c r="H30" s="733" t="s">
        <v>3313</v>
      </c>
      <c r="I30" s="2187" t="s">
        <v>3716</v>
      </c>
      <c r="J30" s="841" t="s">
        <v>2945</v>
      </c>
      <c r="K30" s="712" t="s">
        <v>238</v>
      </c>
      <c r="M30" s="1710" t="s">
        <v>3044</v>
      </c>
      <c r="N30" s="1732"/>
      <c r="O30" s="1708"/>
      <c r="P30" s="1495">
        <f ca="1">T25*P29</f>
        <v>40000</v>
      </c>
      <c r="Q30" s="1495">
        <f ca="1">T25*Q29</f>
        <v>0</v>
      </c>
      <c r="R30" s="1495">
        <f ca="1">T25*R29</f>
        <v>0</v>
      </c>
      <c r="S30" s="1495">
        <f ca="1">T25*S29</f>
        <v>0</v>
      </c>
      <c r="T30" s="1495">
        <f ca="1">T25*T29</f>
        <v>0</v>
      </c>
    </row>
    <row r="31" spans="1:20">
      <c r="K31" s="712" t="s">
        <v>238</v>
      </c>
    </row>
    <row r="32" spans="1:20">
      <c r="K32" s="712" t="s">
        <v>238</v>
      </c>
    </row>
    <row r="33" spans="11:20" ht="19">
      <c r="K33" s="712" t="s">
        <v>238</v>
      </c>
      <c r="L33" s="1879" t="s">
        <v>3314</v>
      </c>
    </row>
    <row r="34" spans="11:20" ht="16" thickBot="1">
      <c r="K34" s="712" t="s">
        <v>238</v>
      </c>
    </row>
    <row r="35" spans="11:20" ht="32">
      <c r="K35" s="712" t="s">
        <v>238</v>
      </c>
      <c r="M35" s="1766" t="s">
        <v>3054</v>
      </c>
      <c r="N35" s="1696"/>
      <c r="O35" s="1767"/>
      <c r="P35" s="1220"/>
      <c r="Q35" s="966"/>
      <c r="R35" s="1768"/>
      <c r="S35" s="966"/>
      <c r="T35" s="967"/>
    </row>
    <row r="36" spans="11:20" ht="32">
      <c r="K36" s="712" t="s">
        <v>238</v>
      </c>
      <c r="M36" s="1769" t="s">
        <v>3055</v>
      </c>
      <c r="N36" s="1693"/>
      <c r="O36" s="958"/>
      <c r="P36" s="1040">
        <v>1</v>
      </c>
      <c r="Q36" s="960"/>
      <c r="R36" s="960"/>
      <c r="S36" s="960"/>
      <c r="T36" s="62"/>
    </row>
    <row r="37" spans="11:20" ht="32">
      <c r="K37" s="712" t="s">
        <v>238</v>
      </c>
      <c r="M37" s="1769" t="s">
        <v>3056</v>
      </c>
      <c r="N37" s="1693"/>
      <c r="O37" s="958"/>
      <c r="P37" s="1040">
        <v>20</v>
      </c>
      <c r="Q37" s="960"/>
      <c r="R37" s="960"/>
      <c r="S37" s="960"/>
      <c r="T37" s="62"/>
    </row>
    <row r="38" spans="11:20" ht="32">
      <c r="K38" s="712" t="s">
        <v>238</v>
      </c>
      <c r="M38" s="1769" t="s">
        <v>3057</v>
      </c>
      <c r="N38" s="1693"/>
      <c r="O38" s="958"/>
      <c r="P38" s="1040">
        <v>1</v>
      </c>
      <c r="Q38" s="960"/>
      <c r="R38" s="960"/>
      <c r="S38" s="960"/>
      <c r="T38" s="62"/>
    </row>
    <row r="39" spans="11:20" ht="32">
      <c r="K39" s="712" t="s">
        <v>238</v>
      </c>
      <c r="M39" s="1769" t="s">
        <v>3052</v>
      </c>
      <c r="N39" s="1693"/>
      <c r="O39" s="1694"/>
      <c r="P39" s="1028">
        <f>ROUND(P37*O39,0)</f>
        <v>0</v>
      </c>
      <c r="Q39" s="960"/>
      <c r="R39" s="960"/>
      <c r="S39" s="960"/>
      <c r="T39" s="62"/>
    </row>
    <row r="40" spans="11:20" ht="32">
      <c r="K40" s="712" t="s">
        <v>238</v>
      </c>
      <c r="M40" s="1769" t="s">
        <v>3053</v>
      </c>
      <c r="N40" s="1693"/>
      <c r="O40" s="1694">
        <v>0.75</v>
      </c>
      <c r="P40" s="1028">
        <f>ROUND(P37*O40,0)</f>
        <v>15</v>
      </c>
      <c r="Q40" s="960"/>
      <c r="R40" s="960"/>
      <c r="S40" s="960"/>
      <c r="T40" s="62"/>
    </row>
    <row r="41" spans="11:20">
      <c r="K41" s="712" t="s">
        <v>238</v>
      </c>
      <c r="M41" s="1770" t="s">
        <v>3036</v>
      </c>
      <c r="N41" s="1019"/>
      <c r="O41" s="1695"/>
      <c r="P41" s="1028">
        <f>P38-1</f>
        <v>0</v>
      </c>
      <c r="Q41" s="960"/>
      <c r="R41" s="960"/>
      <c r="S41" s="960"/>
      <c r="T41" s="62"/>
    </row>
    <row r="42" spans="11:20" ht="16" thickBot="1">
      <c r="K42" s="712" t="s">
        <v>238</v>
      </c>
      <c r="M42" s="1049"/>
      <c r="N42" s="960"/>
      <c r="O42" s="960"/>
      <c r="P42" s="960"/>
      <c r="Q42" s="960"/>
      <c r="R42" s="960"/>
      <c r="S42" s="960"/>
      <c r="T42" s="62"/>
    </row>
    <row r="43" spans="11:20" ht="32">
      <c r="K43" s="712" t="s">
        <v>238</v>
      </c>
      <c r="M43" s="1699" t="s">
        <v>3033</v>
      </c>
      <c r="N43" s="1700" t="s">
        <v>3034</v>
      </c>
      <c r="O43" s="1702" t="s">
        <v>3040</v>
      </c>
      <c r="P43" s="1702" t="s">
        <v>3041</v>
      </c>
      <c r="Q43" s="1702" t="s">
        <v>3042</v>
      </c>
      <c r="R43" s="1700" t="s">
        <v>3035</v>
      </c>
      <c r="S43" s="1702" t="s">
        <v>3039</v>
      </c>
      <c r="T43" s="1701" t="s">
        <v>2189</v>
      </c>
    </row>
    <row r="44" spans="11:20">
      <c r="K44" s="712" t="s">
        <v>238</v>
      </c>
      <c r="M44" s="1539" t="s">
        <v>3051</v>
      </c>
      <c r="N44" s="958" t="str">
        <f>IFERROR(VLOOKUP(M44,Price_list!$B$1:$H$187,2,0),"")</f>
        <v>International Consultancy fee (3.1)</v>
      </c>
      <c r="O44" s="958" t="str">
        <f>IFERROR(VLOOKUP(M44,Price_list!$B$1:$H$187,3,0),"")</f>
        <v>cost/zi</v>
      </c>
      <c r="P44" s="946">
        <f>IFERROR(VLOOKUP(M44,Price_list!$B$1:$H$187,4,0),"")</f>
        <v>350</v>
      </c>
      <c r="Q44" s="946" t="str">
        <f>IFERROR(VLOOKUP(M44,Price_list!$B$1:$H$187,5,0),"")</f>
        <v>EUR</v>
      </c>
      <c r="R44" s="946">
        <f ca="1">ROUND(IFERROR(IF(Q44="MDL",P44,P44*INDIRECT(Q44)),0),2)</f>
        <v>6868.65</v>
      </c>
      <c r="S44" s="946">
        <f>P38</f>
        <v>1</v>
      </c>
      <c r="T44" s="2091">
        <f ca="1">IFERROR(P35*R44*S44,"")</f>
        <v>0</v>
      </c>
    </row>
    <row r="45" spans="11:20">
      <c r="K45" s="712" t="s">
        <v>238</v>
      </c>
      <c r="M45" s="1539" t="s">
        <v>3029</v>
      </c>
      <c r="N45" s="958" t="str">
        <f>IFERROR(VLOOKUP(M45,Price_list!$B$1:$H$187,2,0),"")</f>
        <v xml:space="preserve">Travel costs </v>
      </c>
      <c r="O45" s="958" t="str">
        <f>IFERROR(VLOOKUP(M45,Price_list!$B$1:$H$187,3,0),"")</f>
        <v>cost tichet o directie</v>
      </c>
      <c r="P45" s="946">
        <f>IFERROR(VLOOKUP(M45,Price_list!$B$1:$H$187,4,0),"")</f>
        <v>5000</v>
      </c>
      <c r="Q45" s="946" t="str">
        <f>IFERROR(VLOOKUP(M45,Price_list!$B$1:$H$187,5,0),"")</f>
        <v>MDL</v>
      </c>
      <c r="R45" s="946">
        <f t="shared" ref="R45:R61" ca="1" si="3">ROUND(IFERROR(IF(Q45="MDL",P45,P45*INDIRECT(Q45)),0),2)</f>
        <v>5000</v>
      </c>
      <c r="S45" s="1040">
        <v>2</v>
      </c>
      <c r="T45" s="2091">
        <f ca="1">P35*S45*R45</f>
        <v>0</v>
      </c>
    </row>
    <row r="46" spans="11:20">
      <c r="K46" s="712" t="s">
        <v>238</v>
      </c>
      <c r="M46" s="1539" t="s">
        <v>3020</v>
      </c>
      <c r="N46" s="958" t="str">
        <f>IFERROR(VLOOKUP(M46,Price_list!$B$1:$H$187,2,0),"")</f>
        <v xml:space="preserve">Per diem, WHO DSA, average </v>
      </c>
      <c r="O46" s="958" t="str">
        <f>IFERROR(VLOOKUP(M46,Price_list!$B$1:$H$187,3,0),"")</f>
        <v>diurna</v>
      </c>
      <c r="P46" s="946">
        <f>IFERROR(VLOOKUP(M46,Price_list!$B$1:$H$187,4,0),"")</f>
        <v>200</v>
      </c>
      <c r="Q46" s="946" t="str">
        <f>IFERROR(VLOOKUP(M46,Price_list!$B$1:$H$187,5,0),"")</f>
        <v>EUR</v>
      </c>
      <c r="R46" s="946">
        <f t="shared" ca="1" si="3"/>
        <v>3924.94</v>
      </c>
      <c r="S46" s="946">
        <f>P38+1</f>
        <v>2</v>
      </c>
      <c r="T46" s="2091">
        <f ca="1">P35*R46*S46</f>
        <v>0</v>
      </c>
    </row>
    <row r="47" spans="11:20">
      <c r="K47" s="712" t="s">
        <v>238</v>
      </c>
      <c r="M47" s="1539" t="s">
        <v>3050</v>
      </c>
      <c r="N47" s="958" t="str">
        <f>IFERROR(VLOOKUP(M47,Price_list!$B$1:$H$187,2,0),"")</f>
        <v>National Consultancy fee (3.1)</v>
      </c>
      <c r="O47" s="958" t="str">
        <f>IFERROR(VLOOKUP(M47,Price_list!$B$1:$H$187,3,0),"")</f>
        <v>cost/zi</v>
      </c>
      <c r="P47" s="946">
        <f>IFERROR(VLOOKUP(M47,Price_list!$B$1:$H$187,4,0),"")</f>
        <v>2000</v>
      </c>
      <c r="Q47" s="946" t="str">
        <f>IFERROR(VLOOKUP(M47,Price_list!$B$1:$H$187,5,0),"")</f>
        <v>MDL</v>
      </c>
      <c r="R47" s="946">
        <f t="shared" ca="1" si="3"/>
        <v>2000</v>
      </c>
      <c r="S47" s="946">
        <f>P38</f>
        <v>1</v>
      </c>
      <c r="T47" s="2091">
        <f ca="1">P36*R47*S47</f>
        <v>2000</v>
      </c>
    </row>
    <row r="48" spans="11:20">
      <c r="K48" s="712" t="s">
        <v>238</v>
      </c>
      <c r="M48" s="1539"/>
      <c r="N48" s="958" t="str">
        <f>IFERROR(VLOOKUP(M48,Price_list!$B$1:$H$187,2,0),"")</f>
        <v/>
      </c>
      <c r="O48" s="958" t="str">
        <f>IFERROR(VLOOKUP(M48,Price_list!$B$1:$H$187,3,0),"")</f>
        <v/>
      </c>
      <c r="P48" s="946" t="str">
        <f>IFERROR(VLOOKUP(M48,Price_list!$B$1:$H$187,4,0),"")</f>
        <v/>
      </c>
      <c r="Q48" s="946" t="str">
        <f>IFERROR(VLOOKUP(M48,Price_list!$B$1:$H$187,5,0),"")</f>
        <v/>
      </c>
      <c r="R48" s="946">
        <f t="shared" ca="1" si="3"/>
        <v>0</v>
      </c>
      <c r="S48" s="946" t="str">
        <f>IFERROR(VLOOKUP(AD48,M39:O44,3,0),"")</f>
        <v/>
      </c>
      <c r="T48" s="2091" t="str">
        <f>IFERROR(#REF!*S48*P48,"")</f>
        <v/>
      </c>
    </row>
    <row r="49" spans="11:20">
      <c r="K49" s="712" t="s">
        <v>238</v>
      </c>
      <c r="M49" s="1539"/>
      <c r="N49" s="958" t="str">
        <f>IFERROR(VLOOKUP(M49,Price_list!$B$1:$H$187,2,0),"")</f>
        <v/>
      </c>
      <c r="O49" s="958" t="str">
        <f>IFERROR(VLOOKUP(M49,Price_list!$B$1:$H$187,3,0),"")</f>
        <v/>
      </c>
      <c r="P49" s="946" t="str">
        <f>IFERROR(VLOOKUP(M49,Price_list!$B$1:$H$187,4,0),"")</f>
        <v/>
      </c>
      <c r="Q49" s="946" t="str">
        <f>IFERROR(VLOOKUP(M49,Price_list!$B$1:$H$187,5,0),"")</f>
        <v/>
      </c>
      <c r="R49" s="946">
        <f t="shared" ca="1" si="3"/>
        <v>0</v>
      </c>
      <c r="S49" s="946" t="str">
        <f>IFERROR(VLOOKUP(AD49,M41:O45,3,0),"")</f>
        <v/>
      </c>
      <c r="T49" s="2091" t="str">
        <f>IFERROR(#REF!*S49*P49,"")</f>
        <v/>
      </c>
    </row>
    <row r="50" spans="11:20">
      <c r="K50" s="712" t="s">
        <v>238</v>
      </c>
      <c r="M50" s="1539" t="s">
        <v>3016</v>
      </c>
      <c r="N50" s="958" t="str">
        <f>IFERROR(VLOOKUP(M50,Price_list!$B$1:$H$187,2,0),"")</f>
        <v>Coffe break</v>
      </c>
      <c r="O50" s="958" t="str">
        <f>IFERROR(VLOOKUP(M50,Price_list!$B$1:$H$187,3,0),"")</f>
        <v>unitate</v>
      </c>
      <c r="P50" s="946">
        <f>IFERROR(VLOOKUP(M50,Price_list!$B$1:$H$187,4,0),"")</f>
        <v>75</v>
      </c>
      <c r="Q50" s="946" t="str">
        <f>IFERROR(VLOOKUP(M50,Price_list!$B$1:$H$187,5,0),"")</f>
        <v>MDL</v>
      </c>
      <c r="R50" s="946">
        <f t="shared" ca="1" si="3"/>
        <v>75</v>
      </c>
      <c r="S50" s="946">
        <v>2</v>
      </c>
      <c r="T50" s="2091">
        <f ca="1">S50*R50*P37*P38</f>
        <v>3000</v>
      </c>
    </row>
    <row r="51" spans="11:20">
      <c r="K51" s="712" t="s">
        <v>238</v>
      </c>
      <c r="M51" s="1539" t="s">
        <v>3021</v>
      </c>
      <c r="N51" s="958" t="str">
        <f>IFERROR(VLOOKUP(M51,Price_list!$B$1:$H$187,2,0),"")</f>
        <v xml:space="preserve">Meal ( lunch) </v>
      </c>
      <c r="O51" s="958" t="str">
        <f>IFERROR(VLOOKUP(M51,Price_list!$B$1:$H$187,3,0),"")</f>
        <v>unitate</v>
      </c>
      <c r="P51" s="946">
        <f>IFERROR(VLOOKUP(M51,Price_list!$B$1:$H$187,4,0),"")</f>
        <v>220</v>
      </c>
      <c r="Q51" s="946" t="str">
        <f>IFERROR(VLOOKUP(M51,Price_list!$B$1:$H$187,5,0),"")</f>
        <v>MDL</v>
      </c>
      <c r="R51" s="946">
        <f t="shared" ca="1" si="3"/>
        <v>220</v>
      </c>
      <c r="S51" s="946">
        <f>P38</f>
        <v>1</v>
      </c>
      <c r="T51" s="2091">
        <f ca="1">P37*S51*R51</f>
        <v>4400</v>
      </c>
    </row>
    <row r="52" spans="11:20">
      <c r="K52" s="712" t="s">
        <v>238</v>
      </c>
      <c r="M52" s="1539" t="s">
        <v>3023</v>
      </c>
      <c r="N52" s="958" t="str">
        <f>IFERROR(VLOOKUP(M52,Price_list!$B$1:$H$187,2,0),"")</f>
        <v>Meal(dinner)</v>
      </c>
      <c r="O52" s="958" t="str">
        <f>IFERROR(VLOOKUP(M52,Price_list!$B$1:$H$187,3,0),"")</f>
        <v>unitate</v>
      </c>
      <c r="P52" s="946">
        <f>IFERROR(VLOOKUP(M52,Price_list!$B$1:$H$187,4,0),"")</f>
        <v>220</v>
      </c>
      <c r="Q52" s="946" t="str">
        <f>IFERROR(VLOOKUP(M52,Price_list!$B$1:$H$187,5,0),"")</f>
        <v>MDL</v>
      </c>
      <c r="R52" s="946">
        <f t="shared" ca="1" si="3"/>
        <v>220</v>
      </c>
      <c r="S52" s="946">
        <f>P41</f>
        <v>0</v>
      </c>
      <c r="T52" s="2091">
        <f ca="1">S52*R52*P39</f>
        <v>0</v>
      </c>
    </row>
    <row r="53" spans="11:20">
      <c r="K53" s="712" t="s">
        <v>238</v>
      </c>
      <c r="M53" s="1539" t="s">
        <v>3024</v>
      </c>
      <c r="N53" s="958" t="str">
        <f>IFERROR(VLOOKUP(M53,Price_list!$B$1:$H$187,2,0),"")</f>
        <v xml:space="preserve">Accomodation </v>
      </c>
      <c r="O53" s="958" t="str">
        <f>IFERROR(VLOOKUP(M53,Price_list!$B$1:$H$187,3,0),"")</f>
        <v>cost/noapte</v>
      </c>
      <c r="P53" s="946">
        <f>IFERROR(VLOOKUP(M53,Price_list!$B$1:$H$187,4,0),"")</f>
        <v>750</v>
      </c>
      <c r="Q53" s="946" t="str">
        <f>IFERROR(VLOOKUP(M53,Price_list!$B$1:$H$187,5,0),"")</f>
        <v>MDL</v>
      </c>
      <c r="R53" s="946">
        <f t="shared" ca="1" si="3"/>
        <v>750</v>
      </c>
      <c r="S53" s="946">
        <f>P41</f>
        <v>0</v>
      </c>
      <c r="T53" s="2091">
        <f ca="1">S53*R53*P39</f>
        <v>0</v>
      </c>
    </row>
    <row r="54" spans="11:20">
      <c r="K54" s="712" t="s">
        <v>238</v>
      </c>
      <c r="M54" s="1539" t="s">
        <v>3030</v>
      </c>
      <c r="N54" s="958" t="str">
        <f>IFERROR(VLOOKUP(M54,Price_list!$B$1:$H$187,2,0),"")</f>
        <v>Travel participants</v>
      </c>
      <c r="O54" s="958" t="str">
        <f>IFERROR(VLOOKUP(M54,Price_list!$B$1:$H$187,3,0),"")</f>
        <v>cost tichet o directie</v>
      </c>
      <c r="P54" s="946">
        <f>IFERROR(VLOOKUP(M54,Price_list!$B$1:$H$187,4,0),"")</f>
        <v>80</v>
      </c>
      <c r="Q54" s="946" t="str">
        <f>IFERROR(VLOOKUP(M54,Price_list!$B$1:$H$187,5,0),"")</f>
        <v>MDL</v>
      </c>
      <c r="R54" s="946">
        <f t="shared" ca="1" si="3"/>
        <v>80</v>
      </c>
      <c r="S54" s="1040">
        <v>2</v>
      </c>
      <c r="T54" s="2091">
        <f ca="1">S54*P40*R54</f>
        <v>2400</v>
      </c>
    </row>
    <row r="55" spans="11:20">
      <c r="K55" s="712" t="s">
        <v>238</v>
      </c>
      <c r="M55" s="1539"/>
      <c r="N55" s="958" t="str">
        <f>IFERROR(VLOOKUP(M55,Price_list!$B$1:$H$187,2,0),"")</f>
        <v/>
      </c>
      <c r="O55" s="958" t="str">
        <f>IFERROR(VLOOKUP(M55,Price_list!$B$1:$H$187,3,0),"")</f>
        <v/>
      </c>
      <c r="P55" s="946" t="str">
        <f>IFERROR(VLOOKUP(M55,Price_list!$B$1:$H$187,4,0),"")</f>
        <v/>
      </c>
      <c r="Q55" s="946" t="str">
        <f>IFERROR(VLOOKUP(M55,Price_list!$B$1:$H$187,5,0),"")</f>
        <v/>
      </c>
      <c r="R55" s="946">
        <f t="shared" ca="1" si="3"/>
        <v>0</v>
      </c>
      <c r="S55" s="946" t="str">
        <f>IFERROR(VLOOKUP(AD55,M45:O51,3,0),"")</f>
        <v/>
      </c>
      <c r="T55" s="2091" t="str">
        <f>IFERROR(#REF!*S55*P55,"")</f>
        <v/>
      </c>
    </row>
    <row r="56" spans="11:20">
      <c r="K56" s="712" t="s">
        <v>238</v>
      </c>
      <c r="M56" s="1539" t="s">
        <v>3025</v>
      </c>
      <c r="N56" s="958" t="str">
        <f>IFERROR(VLOOKUP(M56,Price_list!$B$1:$H$187,2,0),"")</f>
        <v>Supplies</v>
      </c>
      <c r="O56" s="958" t="str">
        <f>IFERROR(VLOOKUP(M56,Price_list!$B$1:$H$187,3,0),"")</f>
        <v>set/participant</v>
      </c>
      <c r="P56" s="946">
        <f>IFERROR(VLOOKUP(M56,Price_list!$B$1:$H$187,4,0),"")</f>
        <v>140</v>
      </c>
      <c r="Q56" s="946" t="str">
        <f>IFERROR(VLOOKUP(M56,Price_list!$B$1:$H$187,5,0),"")</f>
        <v>MDL</v>
      </c>
      <c r="R56" s="946">
        <f t="shared" ca="1" si="3"/>
        <v>140</v>
      </c>
      <c r="S56" s="946">
        <v>1</v>
      </c>
      <c r="T56" s="2091">
        <f ca="1">S56*R56*P37</f>
        <v>2800</v>
      </c>
    </row>
    <row r="57" spans="11:20">
      <c r="K57" s="712" t="s">
        <v>238</v>
      </c>
      <c r="M57" s="1539" t="s">
        <v>3022</v>
      </c>
      <c r="N57" s="958" t="str">
        <f>IFERROR(VLOOKUP(M57,Price_list!$B$1:$H$187,2,0),"")</f>
        <v>Rent of premises</v>
      </c>
      <c r="O57" s="958" t="str">
        <f>IFERROR(VLOOKUP(M57,Price_list!$B$1:$H$187,3,0),"")</f>
        <v>cost/zi</v>
      </c>
      <c r="P57" s="946">
        <f>IFERROR(VLOOKUP(M57,Price_list!$B$1:$H$187,4,0),"")</f>
        <v>1800</v>
      </c>
      <c r="Q57" s="946" t="str">
        <f>IFERROR(VLOOKUP(M57,Price_list!$B$1:$H$187,5,0),"")</f>
        <v>MDL</v>
      </c>
      <c r="R57" s="946">
        <f t="shared" ca="1" si="3"/>
        <v>1800</v>
      </c>
      <c r="S57" s="946">
        <f>P38</f>
        <v>1</v>
      </c>
      <c r="T57" s="2091">
        <f ca="1">S57*R57</f>
        <v>1800</v>
      </c>
    </row>
    <row r="58" spans="11:20">
      <c r="K58" s="712" t="s">
        <v>238</v>
      </c>
      <c r="M58" s="1539" t="s">
        <v>3031</v>
      </c>
      <c r="N58" s="958" t="str">
        <f>IFERROR(VLOOKUP(M58,Price_list!$B$1:$H$187,2,0),"")</f>
        <v>Interpreter's fee, per day</v>
      </c>
      <c r="O58" s="958" t="str">
        <f>IFERROR(VLOOKUP(M58,Price_list!$B$1:$H$187,3,0),"")</f>
        <v>cost/zi</v>
      </c>
      <c r="P58" s="946">
        <f>IFERROR(VLOOKUP(M58,Price_list!$B$1:$H$187,4,0),"")</f>
        <v>2000</v>
      </c>
      <c r="Q58" s="946" t="str">
        <f>IFERROR(VLOOKUP(M58,Price_list!$B$1:$H$187,5,0),"")</f>
        <v>MDL</v>
      </c>
      <c r="R58" s="946">
        <f t="shared" ca="1" si="3"/>
        <v>2000</v>
      </c>
      <c r="S58" s="946">
        <f>IF(P35&gt;0,P38,0)</f>
        <v>0</v>
      </c>
      <c r="T58" s="2091">
        <f ca="1">S58*R58</f>
        <v>0</v>
      </c>
    </row>
    <row r="59" spans="11:20">
      <c r="K59" s="712" t="s">
        <v>238</v>
      </c>
      <c r="M59" s="1539"/>
      <c r="N59" s="958" t="str">
        <f>IFERROR(VLOOKUP(M59,Price_list!$B$1:$H$187,2,0),"")</f>
        <v/>
      </c>
      <c r="O59" s="958" t="str">
        <f>IFERROR(VLOOKUP(M59,Price_list!$B$1:$H$187,3,0),"")</f>
        <v/>
      </c>
      <c r="P59" s="946" t="str">
        <f>IFERROR(VLOOKUP(M59,Price_list!$B$1:$H$187,4,0),"")</f>
        <v/>
      </c>
      <c r="Q59" s="946" t="str">
        <f>IFERROR(VLOOKUP(M59,Price_list!$B$1:$H$187,5,0),"")</f>
        <v/>
      </c>
      <c r="R59" s="946">
        <f t="shared" ca="1" si="3"/>
        <v>0</v>
      </c>
      <c r="S59" s="946" t="str">
        <f>IFERROR(VLOOKUP(AD59,M50:O54,3,0),"")</f>
        <v/>
      </c>
      <c r="T59" s="2091" t="str">
        <f>IFERROR(#REF!*S59*P59,"")</f>
        <v/>
      </c>
    </row>
    <row r="60" spans="11:20">
      <c r="K60" s="712" t="s">
        <v>238</v>
      </c>
      <c r="M60" s="1539"/>
      <c r="N60" s="958" t="str">
        <f>IFERROR(VLOOKUP(M60,Price_list!$B$1:$H$187,2,0),"")</f>
        <v/>
      </c>
      <c r="O60" s="958" t="str">
        <f>IFERROR(VLOOKUP(M60,Price_list!$B$1:$H$187,3,0),"")</f>
        <v/>
      </c>
      <c r="P60" s="946" t="str">
        <f>IFERROR(VLOOKUP(M60,Price_list!$B$1:$H$187,4,0),"")</f>
        <v/>
      </c>
      <c r="Q60" s="946" t="str">
        <f>IFERROR(VLOOKUP(M60,Price_list!$B$1:$H$187,5,0),"")</f>
        <v/>
      </c>
      <c r="R60" s="946">
        <f t="shared" ca="1" si="3"/>
        <v>0</v>
      </c>
      <c r="S60" s="946" t="str">
        <f>IFERROR(VLOOKUP(AD60,M51:O56,3,0),"")</f>
        <v/>
      </c>
      <c r="T60" s="2091" t="str">
        <f>IFERROR(#REF!*S60*P60,"")</f>
        <v/>
      </c>
    </row>
    <row r="61" spans="11:20">
      <c r="K61" s="712" t="s">
        <v>238</v>
      </c>
      <c r="M61" s="1539"/>
      <c r="N61" s="958" t="str">
        <f>IFERROR(VLOOKUP(M61,Price_list!$B$1:$H$187,2,0),"")</f>
        <v/>
      </c>
      <c r="O61" s="958" t="str">
        <f>IFERROR(VLOOKUP(M61,Price_list!$B$1:$H$187,3,0),"")</f>
        <v/>
      </c>
      <c r="P61" s="946" t="str">
        <f>IFERROR(VLOOKUP(M61,Price_list!$B$1:$H$187,4,0),"")</f>
        <v/>
      </c>
      <c r="Q61" s="946" t="str">
        <f>IFERROR(VLOOKUP(M61,Price_list!$B$1:$H$187,5,0),"")</f>
        <v/>
      </c>
      <c r="R61" s="946">
        <f t="shared" ca="1" si="3"/>
        <v>0</v>
      </c>
      <c r="S61" s="946" t="str">
        <f>IFERROR(VLOOKUP(AD61,M52:O57,3,0),"")</f>
        <v/>
      </c>
      <c r="T61" s="2091" t="str">
        <f>IFERROR(#REF!*S61*P61,"")</f>
        <v/>
      </c>
    </row>
    <row r="62" spans="11:20" ht="16" thickBot="1">
      <c r="K62" s="712" t="s">
        <v>238</v>
      </c>
      <c r="M62" s="1697"/>
      <c r="N62" s="1698" t="str">
        <f>IFERROR(VLOOKUP(M62,Price_list!$B$1:$H$187,2,0),"")</f>
        <v/>
      </c>
      <c r="O62" s="1698" t="str">
        <f>IFERROR(VLOOKUP(M62,Price_list!$B$1:$H$187,3,0),"")</f>
        <v/>
      </c>
      <c r="P62" s="1034" t="str">
        <f>IFERROR(VLOOKUP(M62,Price_list!$B$1:$H$187,4,0),"")</f>
        <v/>
      </c>
      <c r="Q62" s="1034" t="str">
        <f>IFERROR(VLOOKUP(M62,Price_list!$B$1:$H$187,5,0),"")</f>
        <v/>
      </c>
      <c r="R62" s="1034"/>
      <c r="S62" s="1034" t="str">
        <f>IFERROR(VLOOKUP(AD62,M53:O58,3,0),"")</f>
        <v/>
      </c>
      <c r="T62" s="1703">
        <f ca="1">SUM(T44:T61)</f>
        <v>16400</v>
      </c>
    </row>
    <row r="63" spans="11:20">
      <c r="K63" s="712" t="s">
        <v>238</v>
      </c>
      <c r="M63" s="1771" t="s">
        <v>3037</v>
      </c>
      <c r="N63" s="1742" t="s">
        <v>3006</v>
      </c>
      <c r="O63" s="1743"/>
      <c r="P63" s="2103">
        <v>7.0000000000000007E-2</v>
      </c>
      <c r="Q63" s="1904"/>
      <c r="R63" s="1904"/>
      <c r="S63" s="1904"/>
      <c r="T63" s="1905">
        <f ca="1">ROUND(T62*P63,2)</f>
        <v>1148</v>
      </c>
    </row>
    <row r="64" spans="11:20" ht="16" thickBot="1">
      <c r="K64" s="712" t="s">
        <v>238</v>
      </c>
      <c r="M64" s="1049"/>
      <c r="N64" s="960"/>
      <c r="O64" s="960"/>
      <c r="P64" s="960"/>
      <c r="Q64" s="960"/>
      <c r="R64" s="960"/>
      <c r="S64" s="960"/>
      <c r="T64" s="62"/>
    </row>
    <row r="65" spans="1:21" ht="16" thickBot="1">
      <c r="K65" s="712" t="s">
        <v>238</v>
      </c>
      <c r="M65" s="1704" t="s">
        <v>3038</v>
      </c>
      <c r="N65" s="1761"/>
      <c r="O65" s="1761"/>
      <c r="P65" s="1761"/>
      <c r="Q65" s="1761"/>
      <c r="R65" s="1761"/>
      <c r="S65" s="1761"/>
      <c r="T65" s="1706">
        <f ca="1">T63+T62</f>
        <v>17548</v>
      </c>
    </row>
    <row r="66" spans="1:21">
      <c r="K66" s="712" t="s">
        <v>238</v>
      </c>
      <c r="M66" s="1049"/>
      <c r="N66" s="960"/>
      <c r="O66" s="960"/>
      <c r="P66" s="960"/>
      <c r="Q66" s="960"/>
      <c r="R66" s="960"/>
      <c r="S66" s="960"/>
      <c r="T66" s="62"/>
    </row>
    <row r="67" spans="1:21" ht="16" thickBot="1">
      <c r="K67" s="712" t="s">
        <v>238</v>
      </c>
      <c r="M67" s="1049"/>
      <c r="N67" s="960"/>
      <c r="O67" s="960"/>
      <c r="P67" s="960"/>
      <c r="Q67" s="960"/>
      <c r="R67" s="960"/>
      <c r="S67" s="960"/>
      <c r="T67" s="62"/>
    </row>
    <row r="68" spans="1:21" ht="16" thickBot="1">
      <c r="K68" s="712" t="s">
        <v>238</v>
      </c>
      <c r="M68" s="1049" t="s">
        <v>2171</v>
      </c>
      <c r="N68" s="960"/>
      <c r="O68" s="960"/>
      <c r="P68" s="1500">
        <v>2021</v>
      </c>
      <c r="Q68" s="1762">
        <v>2022</v>
      </c>
      <c r="R68" s="1762">
        <v>2023</v>
      </c>
      <c r="S68" s="1762">
        <v>2024</v>
      </c>
      <c r="T68" s="1763">
        <v>2025</v>
      </c>
    </row>
    <row r="69" spans="1:21" ht="16" thickBot="1">
      <c r="K69" s="712" t="s">
        <v>238</v>
      </c>
      <c r="M69" s="1764" t="s">
        <v>3043</v>
      </c>
      <c r="N69" s="1504"/>
      <c r="O69" s="1504"/>
      <c r="P69" s="1713">
        <v>4</v>
      </c>
      <c r="Q69" s="1713"/>
      <c r="R69" s="1713"/>
      <c r="S69" s="1713">
        <v>0</v>
      </c>
      <c r="T69" s="1765">
        <v>0</v>
      </c>
    </row>
    <row r="70" spans="1:21" ht="16" thickBot="1">
      <c r="A70" s="730">
        <v>149</v>
      </c>
      <c r="B70" s="733">
        <f ca="1">P70</f>
        <v>70192</v>
      </c>
      <c r="C70" s="733">
        <f t="shared" ref="C70:F70" ca="1" si="4">Q70</f>
        <v>0</v>
      </c>
      <c r="D70" s="733">
        <f t="shared" ca="1" si="4"/>
        <v>0</v>
      </c>
      <c r="E70" s="733">
        <f t="shared" ca="1" si="4"/>
        <v>0</v>
      </c>
      <c r="F70" s="733">
        <f t="shared" ca="1" si="4"/>
        <v>0</v>
      </c>
      <c r="G70" s="733" t="s">
        <v>351</v>
      </c>
      <c r="H70" s="733" t="s">
        <v>3314</v>
      </c>
      <c r="I70" s="2187" t="s">
        <v>3716</v>
      </c>
      <c r="J70" s="841" t="s">
        <v>2945</v>
      </c>
      <c r="K70" s="712" t="s">
        <v>238</v>
      </c>
      <c r="M70" s="1710" t="s">
        <v>3044</v>
      </c>
      <c r="N70" s="1732"/>
      <c r="O70" s="1708"/>
      <c r="P70" s="1495">
        <f ca="1">T65*P69</f>
        <v>70192</v>
      </c>
      <c r="Q70" s="1495">
        <f ca="1">T65*Q69</f>
        <v>0</v>
      </c>
      <c r="R70" s="1495">
        <f ca="1">T65*R69</f>
        <v>0</v>
      </c>
      <c r="S70" s="1495">
        <f ca="1">T65*S69</f>
        <v>0</v>
      </c>
      <c r="T70" s="1495">
        <f ca="1">T65*T69</f>
        <v>0</v>
      </c>
    </row>
    <row r="71" spans="1:21">
      <c r="K71" s="712" t="s">
        <v>238</v>
      </c>
    </row>
    <row r="72" spans="1:21">
      <c r="K72" s="712" t="s">
        <v>238</v>
      </c>
    </row>
    <row r="73" spans="1:21" ht="19">
      <c r="K73" s="712" t="s">
        <v>238</v>
      </c>
      <c r="L73" s="1879" t="s">
        <v>2946</v>
      </c>
      <c r="M73" s="1879"/>
    </row>
    <row r="74" spans="1:21" ht="19">
      <c r="K74" s="712" t="s">
        <v>238</v>
      </c>
      <c r="L74" s="1918"/>
      <c r="M74" s="1918"/>
    </row>
    <row r="75" spans="1:21" ht="19">
      <c r="K75" s="712" t="s">
        <v>238</v>
      </c>
      <c r="L75" s="1918"/>
      <c r="M75" s="1918"/>
    </row>
    <row r="76" spans="1:21" ht="19">
      <c r="K76" s="712" t="s">
        <v>238</v>
      </c>
      <c r="L76" s="1879" t="s">
        <v>3316</v>
      </c>
      <c r="N76" s="1808"/>
      <c r="O76" s="1808"/>
      <c r="P76" s="1808"/>
      <c r="Q76" s="1808"/>
      <c r="R76" s="1808"/>
      <c r="S76" s="1808"/>
      <c r="T76" s="1808"/>
      <c r="U76" s="1808"/>
    </row>
    <row r="77" spans="1:21" ht="16" thickBot="1">
      <c r="K77" s="712" t="s">
        <v>238</v>
      </c>
      <c r="M77" s="1808"/>
      <c r="N77" s="1808"/>
      <c r="O77" s="1808"/>
      <c r="P77" s="1808"/>
      <c r="Q77" s="1808"/>
      <c r="R77" s="1808"/>
      <c r="S77" s="1808"/>
      <c r="T77" s="1808"/>
      <c r="U77" s="1808"/>
    </row>
    <row r="78" spans="1:21" ht="32">
      <c r="K78" s="712" t="s">
        <v>238</v>
      </c>
      <c r="M78" s="1758" t="s">
        <v>2155</v>
      </c>
      <c r="N78" s="966"/>
      <c r="O78" s="966"/>
      <c r="P78" s="966"/>
      <c r="Q78" s="1759" t="s">
        <v>3060</v>
      </c>
      <c r="R78" s="966"/>
      <c r="S78" s="966"/>
      <c r="T78" s="967"/>
    </row>
    <row r="79" spans="1:21" ht="32">
      <c r="K79" s="712" t="s">
        <v>238</v>
      </c>
      <c r="M79" s="1760" t="s">
        <v>3054</v>
      </c>
      <c r="N79" s="1749"/>
      <c r="O79" s="1565"/>
      <c r="P79" s="1750"/>
      <c r="Q79" s="1383"/>
      <c r="R79" s="960"/>
      <c r="S79" s="960"/>
      <c r="T79" s="62"/>
    </row>
    <row r="80" spans="1:21" ht="32">
      <c r="K80" s="712" t="s">
        <v>238</v>
      </c>
      <c r="M80" s="1760" t="s">
        <v>3055</v>
      </c>
      <c r="N80" s="1749"/>
      <c r="O80" s="1565"/>
      <c r="P80" s="1750">
        <v>1</v>
      </c>
      <c r="Q80" s="1383">
        <v>10</v>
      </c>
      <c r="R80" s="960"/>
      <c r="S80" s="960"/>
      <c r="T80" s="62"/>
    </row>
    <row r="81" spans="11:20">
      <c r="K81" s="712" t="s">
        <v>238</v>
      </c>
      <c r="M81" s="1049"/>
      <c r="N81" s="960"/>
      <c r="O81" s="960"/>
      <c r="P81" s="960"/>
      <c r="Q81" s="960"/>
      <c r="R81" s="960"/>
      <c r="S81" s="960"/>
      <c r="T81" s="62"/>
    </row>
    <row r="82" spans="11:20">
      <c r="K82" s="712" t="s">
        <v>238</v>
      </c>
      <c r="M82" s="1049" t="s">
        <v>3059</v>
      </c>
      <c r="N82" s="960"/>
      <c r="O82" s="960"/>
      <c r="P82" s="960"/>
      <c r="Q82" s="960"/>
      <c r="R82" s="960"/>
      <c r="S82" s="960"/>
      <c r="T82" s="62"/>
    </row>
    <row r="83" spans="11:20" ht="32">
      <c r="K83" s="712" t="s">
        <v>238</v>
      </c>
      <c r="M83" s="1760" t="s">
        <v>3061</v>
      </c>
      <c r="N83" s="1749"/>
      <c r="O83" s="1565"/>
      <c r="P83" s="1750"/>
      <c r="Q83" s="1383"/>
      <c r="R83" s="960"/>
      <c r="S83" s="960"/>
      <c r="T83" s="62"/>
    </row>
    <row r="84" spans="11:20" ht="32">
      <c r="K84" s="712" t="s">
        <v>238</v>
      </c>
      <c r="M84" s="1760" t="s">
        <v>3062</v>
      </c>
      <c r="N84" s="1749"/>
      <c r="O84" s="1565"/>
      <c r="P84" s="1750"/>
      <c r="Q84" s="1383"/>
      <c r="R84" s="960"/>
      <c r="S84" s="960"/>
      <c r="T84" s="62"/>
    </row>
    <row r="85" spans="11:20">
      <c r="K85" s="712" t="s">
        <v>238</v>
      </c>
      <c r="M85" s="1049"/>
      <c r="N85" s="960"/>
      <c r="O85" s="960"/>
      <c r="P85" s="960"/>
      <c r="Q85" s="960"/>
      <c r="R85" s="960"/>
      <c r="S85" s="960"/>
      <c r="T85" s="62"/>
    </row>
    <row r="86" spans="11:20">
      <c r="K86" s="712" t="s">
        <v>238</v>
      </c>
      <c r="M86" s="1049"/>
      <c r="N86" s="960"/>
      <c r="O86" s="960"/>
      <c r="P86" s="960"/>
      <c r="Q86" s="960"/>
      <c r="R86" s="960"/>
      <c r="S86" s="960"/>
      <c r="T86" s="62"/>
    </row>
    <row r="87" spans="11:20" ht="16" thickBot="1">
      <c r="K87" s="712" t="s">
        <v>238</v>
      </c>
      <c r="M87" s="1049" t="s">
        <v>3058</v>
      </c>
      <c r="N87" s="960"/>
      <c r="O87" s="960"/>
      <c r="P87" s="960"/>
      <c r="Q87" s="960"/>
      <c r="R87" s="960"/>
      <c r="S87" s="960"/>
      <c r="T87" s="62"/>
    </row>
    <row r="88" spans="11:20" ht="32">
      <c r="K88" s="712" t="s">
        <v>238</v>
      </c>
      <c r="M88" s="1699" t="s">
        <v>3033</v>
      </c>
      <c r="N88" s="1700" t="s">
        <v>3034</v>
      </c>
      <c r="O88" s="1702" t="s">
        <v>3040</v>
      </c>
      <c r="P88" s="1702" t="s">
        <v>3041</v>
      </c>
      <c r="Q88" s="1702" t="s">
        <v>3042</v>
      </c>
      <c r="R88" s="1700" t="s">
        <v>3035</v>
      </c>
      <c r="S88" s="1702" t="s">
        <v>3067</v>
      </c>
      <c r="T88" s="1701" t="s">
        <v>2189</v>
      </c>
    </row>
    <row r="89" spans="11:20">
      <c r="K89" s="712" t="s">
        <v>238</v>
      </c>
      <c r="M89" s="1539" t="s">
        <v>3051</v>
      </c>
      <c r="N89" s="958" t="str">
        <f>IFERROR(VLOOKUP(M89,Price_list!$B$1:$H$187,2,0),"")</f>
        <v>International Consultancy fee (3.1)</v>
      </c>
      <c r="O89" s="958" t="str">
        <f>IFERROR(VLOOKUP(M89,Price_list!$B$1:$H$187,3,0),"")</f>
        <v>cost/zi</v>
      </c>
      <c r="P89" s="946">
        <f>IFERROR(VLOOKUP(M89,Price_list!$B$1:$H$187,4,0),"")</f>
        <v>350</v>
      </c>
      <c r="Q89" s="946" t="str">
        <f>IFERROR(VLOOKUP(M89,Price_list!$B$1:$H$187,5,0),"")</f>
        <v>EUR</v>
      </c>
      <c r="R89" s="958">
        <f t="shared" ref="R89:R95" ca="1" si="5">ROUND(IFERROR(IF(Q89="MDL",P89,P89*INDIRECT(Q89)),0),2)</f>
        <v>6868.65</v>
      </c>
      <c r="S89" s="946">
        <f>P79*Q79</f>
        <v>0</v>
      </c>
      <c r="T89" s="1858">
        <f ca="1">S89*R89</f>
        <v>0</v>
      </c>
    </row>
    <row r="90" spans="11:20">
      <c r="K90" s="712" t="s">
        <v>238</v>
      </c>
      <c r="M90" s="1539" t="s">
        <v>3050</v>
      </c>
      <c r="N90" s="958" t="str">
        <f>IFERROR(VLOOKUP(M90,Price_list!$B$1:$H$187,2,0),"")</f>
        <v>National Consultancy fee (3.1)</v>
      </c>
      <c r="O90" s="958" t="str">
        <f>IFERROR(VLOOKUP(M90,Price_list!$B$1:$H$187,3,0),"")</f>
        <v>cost/zi</v>
      </c>
      <c r="P90" s="946">
        <f>IFERROR(VLOOKUP(M90,Price_list!$B$1:$H$187,4,0),"")</f>
        <v>2000</v>
      </c>
      <c r="Q90" s="946" t="str">
        <f>IFERROR(VLOOKUP(M90,Price_list!$B$1:$H$187,5,0),"")</f>
        <v>MDL</v>
      </c>
      <c r="R90" s="958">
        <f t="shared" ca="1" si="5"/>
        <v>2000</v>
      </c>
      <c r="S90" s="946">
        <f>P80*Q80</f>
        <v>10</v>
      </c>
      <c r="T90" s="1858">
        <f ca="1">S90*R90</f>
        <v>20000</v>
      </c>
    </row>
    <row r="91" spans="11:20">
      <c r="K91" s="712" t="s">
        <v>238</v>
      </c>
      <c r="M91" s="1539" t="s">
        <v>3063</v>
      </c>
      <c r="N91" s="958" t="str">
        <f>IFERROR(VLOOKUP(M91,Price_list!$B$1:$H$187,2,0),"")</f>
        <v>Translation per page</v>
      </c>
      <c r="O91" s="958" t="str">
        <f>IFERROR(VLOOKUP(M91,Price_list!$B$1:$H$187,3,0),"")</f>
        <v>pagina</v>
      </c>
      <c r="P91" s="946">
        <f>IFERROR(VLOOKUP(M91,Price_list!$B$1:$H$187,4,0),"")</f>
        <v>150</v>
      </c>
      <c r="Q91" s="946" t="str">
        <f>IFERROR(VLOOKUP(M91,Price_list!$B$1:$H$187,5,0),"")</f>
        <v>MDL</v>
      </c>
      <c r="R91" s="958">
        <f t="shared" ca="1" si="5"/>
        <v>150</v>
      </c>
      <c r="S91" s="946">
        <f>P83</f>
        <v>0</v>
      </c>
      <c r="T91" s="1858">
        <f t="shared" ref="T91:T94" ca="1" si="6">S91*R91</f>
        <v>0</v>
      </c>
    </row>
    <row r="92" spans="11:20">
      <c r="K92" s="712" t="s">
        <v>238</v>
      </c>
      <c r="M92" s="1539" t="s">
        <v>3068</v>
      </c>
      <c r="N92" s="958" t="str">
        <f>IFERROR(VLOOKUP(M92,Price_list!$B$1:$H$187,2,0),"")</f>
        <v xml:space="preserve">Formatting, design, printing </v>
      </c>
      <c r="O92" s="958" t="str">
        <f>IFERROR(VLOOKUP(M92,Price_list!$B$1:$H$187,3,0),"")</f>
        <v>pagina</v>
      </c>
      <c r="P92" s="946">
        <f>IFERROR(VLOOKUP(M92,Price_list!$B$1:$H$187,4,0),"")</f>
        <v>2</v>
      </c>
      <c r="Q92" s="946" t="str">
        <f>IFERROR(VLOOKUP(M92,Price_list!$B$1:$H$187,5,0),"")</f>
        <v>MDL</v>
      </c>
      <c r="R92" s="958">
        <f t="shared" ca="1" si="5"/>
        <v>2</v>
      </c>
      <c r="S92" s="946">
        <f>P83*P84</f>
        <v>0</v>
      </c>
      <c r="T92" s="1858">
        <f t="shared" ca="1" si="6"/>
        <v>0</v>
      </c>
    </row>
    <row r="93" spans="11:20">
      <c r="K93" s="712" t="s">
        <v>238</v>
      </c>
      <c r="M93" s="1539"/>
      <c r="N93" s="958" t="str">
        <f>IFERROR(VLOOKUP(M93,Price_list!$B$1:$H$187,2,0),"")</f>
        <v/>
      </c>
      <c r="O93" s="958" t="str">
        <f>IFERROR(VLOOKUP(M93,Price_list!$B$1:$H$187,3,0),"")</f>
        <v/>
      </c>
      <c r="P93" s="946" t="str">
        <f>IFERROR(VLOOKUP(M93,Price_list!$B$1:$H$187,4,0),"")</f>
        <v/>
      </c>
      <c r="Q93" s="946" t="str">
        <f>IFERROR(VLOOKUP(M93,Price_list!$B$1:$H$187,5,0),"")</f>
        <v/>
      </c>
      <c r="R93" s="958">
        <f t="shared" ca="1" si="5"/>
        <v>0</v>
      </c>
      <c r="S93" s="946"/>
      <c r="T93" s="1858">
        <f t="shared" ca="1" si="6"/>
        <v>0</v>
      </c>
    </row>
    <row r="94" spans="11:20">
      <c r="K94" s="712" t="s">
        <v>238</v>
      </c>
      <c r="M94" s="1539"/>
      <c r="N94" s="958" t="str">
        <f>IFERROR(VLOOKUP(M94,Price_list!$B$1:$H$187,2,0),"")</f>
        <v/>
      </c>
      <c r="O94" s="958" t="str">
        <f>IFERROR(VLOOKUP(M94,Price_list!$B$1:$H$187,3,0),"")</f>
        <v/>
      </c>
      <c r="P94" s="946" t="str">
        <f>IFERROR(VLOOKUP(M94,Price_list!$B$1:$H$187,4,0),"")</f>
        <v/>
      </c>
      <c r="Q94" s="946" t="str">
        <f>IFERROR(VLOOKUP(M94,Price_list!$B$1:$H$187,5,0),"")</f>
        <v/>
      </c>
      <c r="R94" s="958">
        <f t="shared" ca="1" si="5"/>
        <v>0</v>
      </c>
      <c r="S94" s="946"/>
      <c r="T94" s="1858">
        <f t="shared" ca="1" si="6"/>
        <v>0</v>
      </c>
    </row>
    <row r="95" spans="11:20" ht="16" thickBot="1">
      <c r="K95" s="712" t="s">
        <v>238</v>
      </c>
      <c r="M95" s="1539"/>
      <c r="N95" s="958" t="str">
        <f>IFERROR(VLOOKUP(M95,Price_list!$B$1:$H$187,2,0),"")</f>
        <v/>
      </c>
      <c r="O95" s="958" t="str">
        <f>IFERROR(VLOOKUP(M95,Price_list!$B$1:$H$187,3,0),"")</f>
        <v/>
      </c>
      <c r="P95" s="946" t="str">
        <f>IFERROR(VLOOKUP(M95,Price_list!$B$1:$H$187,4,0),"")</f>
        <v/>
      </c>
      <c r="Q95" s="946" t="str">
        <f>IFERROR(VLOOKUP(M95,Price_list!$B$1:$H$187,5,0),"")</f>
        <v/>
      </c>
      <c r="R95" s="958">
        <f t="shared" ca="1" si="5"/>
        <v>0</v>
      </c>
      <c r="S95" s="946"/>
      <c r="T95" s="1858">
        <f ca="1">S95*R95</f>
        <v>0</v>
      </c>
    </row>
    <row r="96" spans="11:20" ht="16" thickBot="1">
      <c r="K96" s="712" t="s">
        <v>238</v>
      </c>
      <c r="M96" s="1704"/>
      <c r="N96" s="1761"/>
      <c r="O96" s="1761"/>
      <c r="P96" s="1761"/>
      <c r="Q96" s="1761"/>
      <c r="R96" s="1761"/>
      <c r="S96" s="1761"/>
      <c r="T96" s="1706">
        <f ca="1">SUM(T89:T95)</f>
        <v>20000</v>
      </c>
    </row>
    <row r="97" spans="1:21">
      <c r="K97" s="712" t="s">
        <v>238</v>
      </c>
      <c r="M97" s="1049"/>
      <c r="N97" s="960"/>
      <c r="O97" s="960"/>
      <c r="P97" s="960"/>
      <c r="Q97" s="960"/>
      <c r="R97" s="960"/>
      <c r="S97" s="960"/>
      <c r="T97" s="62"/>
    </row>
    <row r="98" spans="1:21" ht="16" thickBot="1">
      <c r="K98" s="712" t="s">
        <v>238</v>
      </c>
      <c r="M98" s="1049"/>
      <c r="N98" s="960"/>
      <c r="O98" s="960"/>
      <c r="P98" s="960"/>
      <c r="Q98" s="960"/>
      <c r="R98" s="960"/>
      <c r="S98" s="960"/>
      <c r="T98" s="62"/>
    </row>
    <row r="99" spans="1:21" ht="16" thickBot="1">
      <c r="K99" s="712" t="s">
        <v>238</v>
      </c>
      <c r="M99" s="1049" t="s">
        <v>2171</v>
      </c>
      <c r="N99" s="960"/>
      <c r="O99" s="960"/>
      <c r="P99" s="1500">
        <v>2021</v>
      </c>
      <c r="Q99" s="1762">
        <v>2022</v>
      </c>
      <c r="R99" s="1762">
        <v>2023</v>
      </c>
      <c r="S99" s="1762">
        <v>2024</v>
      </c>
      <c r="T99" s="1763">
        <v>2025</v>
      </c>
    </row>
    <row r="100" spans="1:21" ht="16" thickBot="1">
      <c r="K100" s="712" t="s">
        <v>238</v>
      </c>
      <c r="M100" s="1764"/>
      <c r="N100" s="1504"/>
      <c r="O100" s="1504"/>
      <c r="P100" s="1713">
        <v>1</v>
      </c>
      <c r="Q100" s="1713">
        <v>0</v>
      </c>
      <c r="R100" s="1713">
        <v>0</v>
      </c>
      <c r="S100" s="1713">
        <v>0</v>
      </c>
      <c r="T100" s="1765">
        <v>0</v>
      </c>
    </row>
    <row r="101" spans="1:21" ht="16" thickBot="1">
      <c r="A101" s="730">
        <v>150</v>
      </c>
      <c r="B101" s="733">
        <f ca="1">P101</f>
        <v>20000</v>
      </c>
      <c r="C101" s="733">
        <f ca="1">Q101</f>
        <v>0</v>
      </c>
      <c r="D101" s="733">
        <f ca="1">R101</f>
        <v>0</v>
      </c>
      <c r="E101" s="733">
        <f ca="1">S101</f>
        <v>0</v>
      </c>
      <c r="F101" s="733">
        <f ca="1">T101</f>
        <v>0</v>
      </c>
      <c r="G101" s="733" t="s">
        <v>351</v>
      </c>
      <c r="H101" s="733" t="s">
        <v>3316</v>
      </c>
      <c r="I101" s="2187" t="s">
        <v>3716</v>
      </c>
      <c r="J101" s="841" t="s">
        <v>2946</v>
      </c>
      <c r="K101" s="712" t="s">
        <v>238</v>
      </c>
      <c r="M101" s="1710" t="s">
        <v>3044</v>
      </c>
      <c r="N101" s="1732"/>
      <c r="O101" s="1708"/>
      <c r="P101" s="1495">
        <f ca="1">T96*P100</f>
        <v>20000</v>
      </c>
      <c r="Q101" s="1495">
        <f ca="1">T96*Q100</f>
        <v>0</v>
      </c>
      <c r="R101" s="1495">
        <f ca="1">T96*R100</f>
        <v>0</v>
      </c>
      <c r="S101" s="1495">
        <f ca="1">T96*S100</f>
        <v>0</v>
      </c>
      <c r="T101" s="1495">
        <f ca="1">T96*T100</f>
        <v>0</v>
      </c>
    </row>
    <row r="102" spans="1:21">
      <c r="K102" s="712" t="s">
        <v>238</v>
      </c>
      <c r="M102" s="1808"/>
      <c r="N102" s="1808"/>
      <c r="O102" s="1808"/>
      <c r="P102" s="1808"/>
      <c r="Q102" s="1808"/>
      <c r="R102" s="1808"/>
      <c r="S102" s="1808"/>
      <c r="T102" s="1808"/>
    </row>
    <row r="103" spans="1:21">
      <c r="K103" s="712" t="s">
        <v>238</v>
      </c>
      <c r="M103" s="1808"/>
      <c r="N103" s="1808"/>
      <c r="O103" s="1808"/>
      <c r="P103" s="1808"/>
      <c r="Q103" s="1808"/>
      <c r="R103" s="1808"/>
      <c r="S103" s="1808"/>
      <c r="T103" s="1808"/>
      <c r="U103" s="1808"/>
    </row>
    <row r="104" spans="1:21" ht="19">
      <c r="K104" s="712" t="s">
        <v>238</v>
      </c>
      <c r="L104" s="1879" t="s">
        <v>3318</v>
      </c>
      <c r="N104" s="1808"/>
      <c r="O104" s="1808"/>
      <c r="P104" s="1808"/>
      <c r="Q104" s="1808"/>
      <c r="R104" s="1808"/>
      <c r="S104" s="1808"/>
      <c r="T104" s="1808"/>
      <c r="U104" s="1808"/>
    </row>
    <row r="105" spans="1:21" ht="16" thickBot="1">
      <c r="K105" s="712" t="s">
        <v>238</v>
      </c>
      <c r="M105" s="1808"/>
      <c r="N105" s="1808"/>
      <c r="O105" s="1808"/>
      <c r="P105" s="1808"/>
      <c r="Q105" s="1808"/>
      <c r="R105" s="1808"/>
      <c r="S105" s="1808"/>
      <c r="T105" s="1808"/>
      <c r="U105" s="1808"/>
    </row>
    <row r="106" spans="1:21" ht="32">
      <c r="K106" s="712" t="s">
        <v>238</v>
      </c>
      <c r="M106" s="1766" t="s">
        <v>3054</v>
      </c>
      <c r="N106" s="1696"/>
      <c r="O106" s="1767"/>
      <c r="P106" s="1220"/>
      <c r="Q106" s="966"/>
      <c r="R106" s="1768"/>
      <c r="S106" s="966"/>
      <c r="T106" s="967"/>
    </row>
    <row r="107" spans="1:21" ht="32">
      <c r="K107" s="712" t="s">
        <v>238</v>
      </c>
      <c r="M107" s="1769" t="s">
        <v>3055</v>
      </c>
      <c r="N107" s="1693"/>
      <c r="O107" s="958"/>
      <c r="P107" s="1040">
        <v>1</v>
      </c>
      <c r="Q107" s="960"/>
      <c r="R107" s="960"/>
      <c r="S107" s="960"/>
      <c r="T107" s="62"/>
    </row>
    <row r="108" spans="1:21" ht="32">
      <c r="K108" s="712" t="s">
        <v>238</v>
      </c>
      <c r="M108" s="1769" t="s">
        <v>3056</v>
      </c>
      <c r="N108" s="1693"/>
      <c r="O108" s="958"/>
      <c r="P108" s="1040">
        <v>20</v>
      </c>
      <c r="Q108" s="960"/>
      <c r="R108" s="960"/>
      <c r="S108" s="960"/>
      <c r="T108" s="62"/>
    </row>
    <row r="109" spans="1:21" ht="32">
      <c r="K109" s="712" t="s">
        <v>238</v>
      </c>
      <c r="M109" s="1769" t="s">
        <v>3057</v>
      </c>
      <c r="N109" s="1693"/>
      <c r="O109" s="958"/>
      <c r="P109" s="1040">
        <v>1</v>
      </c>
      <c r="Q109" s="960"/>
      <c r="R109" s="960"/>
      <c r="S109" s="960"/>
      <c r="T109" s="62"/>
    </row>
    <row r="110" spans="1:21" ht="32">
      <c r="K110" s="712" t="s">
        <v>238</v>
      </c>
      <c r="M110" s="1769" t="s">
        <v>3052</v>
      </c>
      <c r="N110" s="1693"/>
      <c r="O110" s="1694">
        <v>0</v>
      </c>
      <c r="P110" s="1028">
        <f>ROUND(P108*O110,0)</f>
        <v>0</v>
      </c>
      <c r="Q110" s="960"/>
      <c r="R110" s="960"/>
      <c r="S110" s="960"/>
      <c r="T110" s="62"/>
    </row>
    <row r="111" spans="1:21" ht="32">
      <c r="K111" s="712" t="s">
        <v>238</v>
      </c>
      <c r="M111" s="1769" t="s">
        <v>3053</v>
      </c>
      <c r="N111" s="1693"/>
      <c r="O111" s="1694">
        <v>0.75</v>
      </c>
      <c r="P111" s="1028">
        <f>ROUND(P108*O111,0)</f>
        <v>15</v>
      </c>
      <c r="Q111" s="960"/>
      <c r="R111" s="960"/>
      <c r="S111" s="960"/>
      <c r="T111" s="62"/>
    </row>
    <row r="112" spans="1:21">
      <c r="K112" s="712" t="s">
        <v>238</v>
      </c>
      <c r="M112" s="1770" t="s">
        <v>3036</v>
      </c>
      <c r="N112" s="1019"/>
      <c r="O112" s="1695"/>
      <c r="P112" s="1028">
        <f>P109-1</f>
        <v>0</v>
      </c>
      <c r="Q112" s="960"/>
      <c r="R112" s="960"/>
      <c r="S112" s="960"/>
      <c r="T112" s="62"/>
    </row>
    <row r="113" spans="11:20" ht="16" thickBot="1">
      <c r="K113" s="712" t="s">
        <v>238</v>
      </c>
      <c r="M113" s="1049"/>
      <c r="N113" s="960"/>
      <c r="O113" s="960"/>
      <c r="P113" s="960"/>
      <c r="Q113" s="960"/>
      <c r="R113" s="960"/>
      <c r="S113" s="960"/>
      <c r="T113" s="62"/>
    </row>
    <row r="114" spans="11:20" ht="32">
      <c r="K114" s="712" t="s">
        <v>238</v>
      </c>
      <c r="M114" s="1699" t="s">
        <v>3033</v>
      </c>
      <c r="N114" s="1700" t="s">
        <v>3034</v>
      </c>
      <c r="O114" s="1702" t="s">
        <v>3040</v>
      </c>
      <c r="P114" s="1702" t="s">
        <v>3041</v>
      </c>
      <c r="Q114" s="1702" t="s">
        <v>3042</v>
      </c>
      <c r="R114" s="1700" t="s">
        <v>3035</v>
      </c>
      <c r="S114" s="1702" t="s">
        <v>3039</v>
      </c>
      <c r="T114" s="1701" t="s">
        <v>2189</v>
      </c>
    </row>
    <row r="115" spans="11:20">
      <c r="K115" s="712" t="s">
        <v>238</v>
      </c>
      <c r="M115" s="1539" t="s">
        <v>3051</v>
      </c>
      <c r="N115" s="958" t="str">
        <f>IFERROR(VLOOKUP(M115,Price_list!$B$1:$H$187,2,0),"")</f>
        <v>International Consultancy fee (3.1)</v>
      </c>
      <c r="O115" s="958" t="str">
        <f>IFERROR(VLOOKUP(M115,Price_list!$B$1:$H$187,3,0),"")</f>
        <v>cost/zi</v>
      </c>
      <c r="P115" s="946">
        <f>IFERROR(VLOOKUP(M115,Price_list!$B$1:$H$187,4,0),"")</f>
        <v>350</v>
      </c>
      <c r="Q115" s="946" t="str">
        <f>IFERROR(VLOOKUP(M115,Price_list!$B$1:$H$187,5,0),"")</f>
        <v>EUR</v>
      </c>
      <c r="R115" s="958">
        <f ca="1">ROUND(IFERROR(IF(Q115="MDL",P115,P115*INDIRECT(Q115)),0),2)</f>
        <v>6868.65</v>
      </c>
      <c r="S115" s="946">
        <f>P109</f>
        <v>1</v>
      </c>
      <c r="T115" s="1889">
        <f ca="1">IFERROR(P106*R115*S115,"")</f>
        <v>0</v>
      </c>
    </row>
    <row r="116" spans="11:20">
      <c r="K116" s="712" t="s">
        <v>238</v>
      </c>
      <c r="M116" s="1539" t="s">
        <v>3029</v>
      </c>
      <c r="N116" s="958" t="str">
        <f>IFERROR(VLOOKUP(M116,Price_list!$B$1:$H$187,2,0),"")</f>
        <v xml:space="preserve">Travel costs </v>
      </c>
      <c r="O116" s="958" t="str">
        <f>IFERROR(VLOOKUP(M116,Price_list!$B$1:$H$187,3,0),"")</f>
        <v>cost tichet o directie</v>
      </c>
      <c r="P116" s="946">
        <f>IFERROR(VLOOKUP(M116,Price_list!$B$1:$H$187,4,0),"")</f>
        <v>5000</v>
      </c>
      <c r="Q116" s="946" t="str">
        <f>IFERROR(VLOOKUP(M116,Price_list!$B$1:$H$187,5,0),"")</f>
        <v>MDL</v>
      </c>
      <c r="R116" s="958">
        <f t="shared" ref="R116:R132" ca="1" si="7">ROUND(IFERROR(IF(Q116="MDL",P116,P116*INDIRECT(Q116)),0),2)</f>
        <v>5000</v>
      </c>
      <c r="S116" s="1040">
        <v>2</v>
      </c>
      <c r="T116" s="1889">
        <f ca="1">P106*S116*R116</f>
        <v>0</v>
      </c>
    </row>
    <row r="117" spans="11:20">
      <c r="K117" s="712" t="s">
        <v>238</v>
      </c>
      <c r="M117" s="1539" t="s">
        <v>3020</v>
      </c>
      <c r="N117" s="958" t="str">
        <f>IFERROR(VLOOKUP(M117,Price_list!$B$1:$H$187,2,0),"")</f>
        <v xml:space="preserve">Per diem, WHO DSA, average </v>
      </c>
      <c r="O117" s="958" t="str">
        <f>IFERROR(VLOOKUP(M117,Price_list!$B$1:$H$187,3,0),"")</f>
        <v>diurna</v>
      </c>
      <c r="P117" s="946">
        <f>IFERROR(VLOOKUP(M117,Price_list!$B$1:$H$187,4,0),"")</f>
        <v>200</v>
      </c>
      <c r="Q117" s="946" t="str">
        <f>IFERROR(VLOOKUP(M117,Price_list!$B$1:$H$187,5,0),"")</f>
        <v>EUR</v>
      </c>
      <c r="R117" s="958">
        <f t="shared" ca="1" si="7"/>
        <v>3924.94</v>
      </c>
      <c r="S117" s="946">
        <f>P109+1</f>
        <v>2</v>
      </c>
      <c r="T117" s="1889">
        <f ca="1">P106*R117*S117</f>
        <v>0</v>
      </c>
    </row>
    <row r="118" spans="11:20">
      <c r="K118" s="712" t="s">
        <v>238</v>
      </c>
      <c r="M118" s="1539" t="s">
        <v>3050</v>
      </c>
      <c r="N118" s="958" t="str">
        <f>IFERROR(VLOOKUP(M118,Price_list!$B$1:$H$187,2,0),"")</f>
        <v>National Consultancy fee (3.1)</v>
      </c>
      <c r="O118" s="958" t="str">
        <f>IFERROR(VLOOKUP(M118,Price_list!$B$1:$H$187,3,0),"")</f>
        <v>cost/zi</v>
      </c>
      <c r="P118" s="946">
        <f>IFERROR(VLOOKUP(M118,Price_list!$B$1:$H$187,4,0),"")</f>
        <v>2000</v>
      </c>
      <c r="Q118" s="946" t="str">
        <f>IFERROR(VLOOKUP(M118,Price_list!$B$1:$H$187,5,0),"")</f>
        <v>MDL</v>
      </c>
      <c r="R118" s="958">
        <f t="shared" ca="1" si="7"/>
        <v>2000</v>
      </c>
      <c r="S118" s="946">
        <f>P109</f>
        <v>1</v>
      </c>
      <c r="T118" s="1889">
        <f ca="1">P107*R118*S118</f>
        <v>2000</v>
      </c>
    </row>
    <row r="119" spans="11:20">
      <c r="K119" s="712" t="s">
        <v>238</v>
      </c>
      <c r="M119" s="1539"/>
      <c r="N119" s="958" t="str">
        <f>IFERROR(VLOOKUP(M119,Price_list!$B$1:$H$187,2,0),"")</f>
        <v/>
      </c>
      <c r="O119" s="958" t="str">
        <f>IFERROR(VLOOKUP(M119,Price_list!$B$1:$H$187,3,0),"")</f>
        <v/>
      </c>
      <c r="P119" s="946" t="str">
        <f>IFERROR(VLOOKUP(M119,Price_list!$B$1:$H$187,4,0),"")</f>
        <v/>
      </c>
      <c r="Q119" s="946" t="str">
        <f>IFERROR(VLOOKUP(M119,Price_list!$B$1:$H$187,5,0),"")</f>
        <v/>
      </c>
      <c r="R119" s="958">
        <f t="shared" ca="1" si="7"/>
        <v>0</v>
      </c>
      <c r="S119" s="946" t="str">
        <f>IFERROR(VLOOKUP(AD119,M110:O115,3,0),"")</f>
        <v/>
      </c>
      <c r="T119" s="1889" t="str">
        <f>IFERROR(#REF!*S119*P119,"")</f>
        <v/>
      </c>
    </row>
    <row r="120" spans="11:20">
      <c r="K120" s="712" t="s">
        <v>238</v>
      </c>
      <c r="M120" s="1539"/>
      <c r="N120" s="958" t="str">
        <f>IFERROR(VLOOKUP(M120,Price_list!$B$1:$H$187,2,0),"")</f>
        <v/>
      </c>
      <c r="O120" s="958" t="str">
        <f>IFERROR(VLOOKUP(M120,Price_list!$B$1:$H$187,3,0),"")</f>
        <v/>
      </c>
      <c r="P120" s="946" t="str">
        <f>IFERROR(VLOOKUP(M120,Price_list!$B$1:$H$187,4,0),"")</f>
        <v/>
      </c>
      <c r="Q120" s="946" t="str">
        <f>IFERROR(VLOOKUP(M120,Price_list!$B$1:$H$187,5,0),"")</f>
        <v/>
      </c>
      <c r="R120" s="958">
        <f t="shared" ca="1" si="7"/>
        <v>0</v>
      </c>
      <c r="S120" s="946" t="str">
        <f>IFERROR(VLOOKUP(AD120,M112:O116,3,0),"")</f>
        <v/>
      </c>
      <c r="T120" s="1889" t="str">
        <f>IFERROR(#REF!*S120*P120,"")</f>
        <v/>
      </c>
    </row>
    <row r="121" spans="11:20">
      <c r="K121" s="712" t="s">
        <v>238</v>
      </c>
      <c r="M121" s="1539" t="s">
        <v>3016</v>
      </c>
      <c r="N121" s="958" t="str">
        <f>IFERROR(VLOOKUP(M121,Price_list!$B$1:$H$187,2,0),"")</f>
        <v>Coffe break</v>
      </c>
      <c r="O121" s="958" t="str">
        <f>IFERROR(VLOOKUP(M121,Price_list!$B$1:$H$187,3,0),"")</f>
        <v>unitate</v>
      </c>
      <c r="P121" s="946">
        <f>IFERROR(VLOOKUP(M121,Price_list!$B$1:$H$187,4,0),"")</f>
        <v>75</v>
      </c>
      <c r="Q121" s="946" t="str">
        <f>IFERROR(VLOOKUP(M121,Price_list!$B$1:$H$187,5,0),"")</f>
        <v>MDL</v>
      </c>
      <c r="R121" s="958">
        <f t="shared" ca="1" si="7"/>
        <v>75</v>
      </c>
      <c r="S121" s="946">
        <v>2</v>
      </c>
      <c r="T121" s="1889">
        <f ca="1">S121*R121*P108*P109</f>
        <v>3000</v>
      </c>
    </row>
    <row r="122" spans="11:20">
      <c r="K122" s="712" t="s">
        <v>238</v>
      </c>
      <c r="M122" s="1539" t="s">
        <v>3021</v>
      </c>
      <c r="N122" s="958" t="str">
        <f>IFERROR(VLOOKUP(M122,Price_list!$B$1:$H$187,2,0),"")</f>
        <v xml:space="preserve">Meal ( lunch) </v>
      </c>
      <c r="O122" s="958" t="str">
        <f>IFERROR(VLOOKUP(M122,Price_list!$B$1:$H$187,3,0),"")</f>
        <v>unitate</v>
      </c>
      <c r="P122" s="946">
        <f>IFERROR(VLOOKUP(M122,Price_list!$B$1:$H$187,4,0),"")</f>
        <v>220</v>
      </c>
      <c r="Q122" s="946" t="str">
        <f>IFERROR(VLOOKUP(M122,Price_list!$B$1:$H$187,5,0),"")</f>
        <v>MDL</v>
      </c>
      <c r="R122" s="958">
        <f t="shared" ca="1" si="7"/>
        <v>220</v>
      </c>
      <c r="S122" s="946">
        <f>P109</f>
        <v>1</v>
      </c>
      <c r="T122" s="1889">
        <f ca="1">P108*S122*R122</f>
        <v>4400</v>
      </c>
    </row>
    <row r="123" spans="11:20">
      <c r="K123" s="712" t="s">
        <v>238</v>
      </c>
      <c r="M123" s="1539" t="s">
        <v>3023</v>
      </c>
      <c r="N123" s="958" t="str">
        <f>IFERROR(VLOOKUP(M123,Price_list!$B$1:$H$187,2,0),"")</f>
        <v>Meal(dinner)</v>
      </c>
      <c r="O123" s="958" t="str">
        <f>IFERROR(VLOOKUP(M123,Price_list!$B$1:$H$187,3,0),"")</f>
        <v>unitate</v>
      </c>
      <c r="P123" s="946">
        <f>IFERROR(VLOOKUP(M123,Price_list!$B$1:$H$187,4,0),"")</f>
        <v>220</v>
      </c>
      <c r="Q123" s="946" t="str">
        <f>IFERROR(VLOOKUP(M123,Price_list!$B$1:$H$187,5,0),"")</f>
        <v>MDL</v>
      </c>
      <c r="R123" s="958">
        <f t="shared" ca="1" si="7"/>
        <v>220</v>
      </c>
      <c r="S123" s="946">
        <f>P112</f>
        <v>0</v>
      </c>
      <c r="T123" s="1889">
        <f ca="1">S123*R123*P110</f>
        <v>0</v>
      </c>
    </row>
    <row r="124" spans="11:20">
      <c r="K124" s="712" t="s">
        <v>238</v>
      </c>
      <c r="M124" s="1539" t="s">
        <v>3024</v>
      </c>
      <c r="N124" s="958" t="str">
        <f>IFERROR(VLOOKUP(M124,Price_list!$B$1:$H$187,2,0),"")</f>
        <v xml:space="preserve">Accomodation </v>
      </c>
      <c r="O124" s="958" t="str">
        <f>IFERROR(VLOOKUP(M124,Price_list!$B$1:$H$187,3,0),"")</f>
        <v>cost/noapte</v>
      </c>
      <c r="P124" s="946">
        <f>IFERROR(VLOOKUP(M124,Price_list!$B$1:$H$187,4,0),"")</f>
        <v>750</v>
      </c>
      <c r="Q124" s="946" t="str">
        <f>IFERROR(VLOOKUP(M124,Price_list!$B$1:$H$187,5,0),"")</f>
        <v>MDL</v>
      </c>
      <c r="R124" s="958">
        <f t="shared" ca="1" si="7"/>
        <v>750</v>
      </c>
      <c r="S124" s="946">
        <f>P112</f>
        <v>0</v>
      </c>
      <c r="T124" s="1889">
        <f ca="1">S124*R124*P110</f>
        <v>0</v>
      </c>
    </row>
    <row r="125" spans="11:20">
      <c r="K125" s="712" t="s">
        <v>238</v>
      </c>
      <c r="M125" s="1539" t="s">
        <v>3030</v>
      </c>
      <c r="N125" s="958" t="str">
        <f>IFERROR(VLOOKUP(M125,Price_list!$B$1:$H$187,2,0),"")</f>
        <v>Travel participants</v>
      </c>
      <c r="O125" s="958" t="str">
        <f>IFERROR(VLOOKUP(M125,Price_list!$B$1:$H$187,3,0),"")</f>
        <v>cost tichet o directie</v>
      </c>
      <c r="P125" s="946">
        <f>IFERROR(VLOOKUP(M125,Price_list!$B$1:$H$187,4,0),"")</f>
        <v>80</v>
      </c>
      <c r="Q125" s="946" t="str">
        <f>IFERROR(VLOOKUP(M125,Price_list!$B$1:$H$187,5,0),"")</f>
        <v>MDL</v>
      </c>
      <c r="R125" s="958">
        <f t="shared" ca="1" si="7"/>
        <v>80</v>
      </c>
      <c r="S125" s="1040">
        <v>2</v>
      </c>
      <c r="T125" s="1889">
        <f ca="1">S125*P111*R125</f>
        <v>2400</v>
      </c>
    </row>
    <row r="126" spans="11:20">
      <c r="K126" s="712" t="s">
        <v>238</v>
      </c>
      <c r="M126" s="1539"/>
      <c r="N126" s="958" t="str">
        <f>IFERROR(VLOOKUP(M126,Price_list!$B$1:$H$187,2,0),"")</f>
        <v/>
      </c>
      <c r="O126" s="958" t="str">
        <f>IFERROR(VLOOKUP(M126,Price_list!$B$1:$H$187,3,0),"")</f>
        <v/>
      </c>
      <c r="P126" s="946" t="str">
        <f>IFERROR(VLOOKUP(M126,Price_list!$B$1:$H$187,4,0),"")</f>
        <v/>
      </c>
      <c r="Q126" s="946" t="str">
        <f>IFERROR(VLOOKUP(M126,Price_list!$B$1:$H$187,5,0),"")</f>
        <v/>
      </c>
      <c r="R126" s="958">
        <f t="shared" ca="1" si="7"/>
        <v>0</v>
      </c>
      <c r="S126" s="946" t="str">
        <f>IFERROR(VLOOKUP(AD126,M116:O122,3,0),"")</f>
        <v/>
      </c>
      <c r="T126" s="1889" t="str">
        <f>IFERROR(#REF!*S126*P126,"")</f>
        <v/>
      </c>
    </row>
    <row r="127" spans="11:20">
      <c r="K127" s="712" t="s">
        <v>238</v>
      </c>
      <c r="M127" s="1539" t="s">
        <v>3025</v>
      </c>
      <c r="N127" s="958" t="str">
        <f>IFERROR(VLOOKUP(M127,Price_list!$B$1:$H$187,2,0),"")</f>
        <v>Supplies</v>
      </c>
      <c r="O127" s="958" t="str">
        <f>IFERROR(VLOOKUP(M127,Price_list!$B$1:$H$187,3,0),"")</f>
        <v>set/participant</v>
      </c>
      <c r="P127" s="946">
        <f>IFERROR(VLOOKUP(M127,Price_list!$B$1:$H$187,4,0),"")</f>
        <v>140</v>
      </c>
      <c r="Q127" s="946" t="str">
        <f>IFERROR(VLOOKUP(M127,Price_list!$B$1:$H$187,5,0),"")</f>
        <v>MDL</v>
      </c>
      <c r="R127" s="958">
        <f t="shared" ca="1" si="7"/>
        <v>140</v>
      </c>
      <c r="S127" s="946">
        <v>1</v>
      </c>
      <c r="T127" s="1889">
        <f ca="1">S127*R127*P108</f>
        <v>2800</v>
      </c>
    </row>
    <row r="128" spans="11:20">
      <c r="K128" s="712" t="s">
        <v>238</v>
      </c>
      <c r="M128" s="1539" t="s">
        <v>3022</v>
      </c>
      <c r="N128" s="958" t="str">
        <f>IFERROR(VLOOKUP(M128,Price_list!$B$1:$H$187,2,0),"")</f>
        <v>Rent of premises</v>
      </c>
      <c r="O128" s="958" t="str">
        <f>IFERROR(VLOOKUP(M128,Price_list!$B$1:$H$187,3,0),"")</f>
        <v>cost/zi</v>
      </c>
      <c r="P128" s="946">
        <f>IFERROR(VLOOKUP(M128,Price_list!$B$1:$H$187,4,0),"")</f>
        <v>1800</v>
      </c>
      <c r="Q128" s="946" t="str">
        <f>IFERROR(VLOOKUP(M128,Price_list!$B$1:$H$187,5,0),"")</f>
        <v>MDL</v>
      </c>
      <c r="R128" s="958">
        <f t="shared" ca="1" si="7"/>
        <v>1800</v>
      </c>
      <c r="S128" s="946">
        <f>P109</f>
        <v>1</v>
      </c>
      <c r="T128" s="1889">
        <f ca="1">S128*R128</f>
        <v>1800</v>
      </c>
    </row>
    <row r="129" spans="1:20">
      <c r="K129" s="712" t="s">
        <v>238</v>
      </c>
      <c r="M129" s="1539" t="s">
        <v>3031</v>
      </c>
      <c r="N129" s="958" t="str">
        <f>IFERROR(VLOOKUP(M129,Price_list!$B$1:$H$187,2,0),"")</f>
        <v>Interpreter's fee, per day</v>
      </c>
      <c r="O129" s="958" t="str">
        <f>IFERROR(VLOOKUP(M129,Price_list!$B$1:$H$187,3,0),"")</f>
        <v>cost/zi</v>
      </c>
      <c r="P129" s="946">
        <f>IFERROR(VLOOKUP(M129,Price_list!$B$1:$H$187,4,0),"")</f>
        <v>2000</v>
      </c>
      <c r="Q129" s="946" t="str">
        <f>IFERROR(VLOOKUP(M129,Price_list!$B$1:$H$187,5,0),"")</f>
        <v>MDL</v>
      </c>
      <c r="R129" s="958">
        <f t="shared" ca="1" si="7"/>
        <v>2000</v>
      </c>
      <c r="S129" s="946">
        <f>IF(P106&gt;0,P109,0)</f>
        <v>0</v>
      </c>
      <c r="T129" s="1889">
        <f ca="1">S129*R129</f>
        <v>0</v>
      </c>
    </row>
    <row r="130" spans="1:20">
      <c r="K130" s="712" t="s">
        <v>238</v>
      </c>
      <c r="M130" s="1539"/>
      <c r="N130" s="958" t="str">
        <f>IFERROR(VLOOKUP(M130,Price_list!$B$1:$H$187,2,0),"")</f>
        <v/>
      </c>
      <c r="O130" s="958" t="str">
        <f>IFERROR(VLOOKUP(M130,Price_list!$B$1:$H$187,3,0),"")</f>
        <v/>
      </c>
      <c r="P130" s="946" t="str">
        <f>IFERROR(VLOOKUP(M130,Price_list!$B$1:$H$187,4,0),"")</f>
        <v/>
      </c>
      <c r="Q130" s="946" t="str">
        <f>IFERROR(VLOOKUP(M130,Price_list!$B$1:$H$187,5,0),"")</f>
        <v/>
      </c>
      <c r="R130" s="958">
        <f t="shared" ca="1" si="7"/>
        <v>0</v>
      </c>
      <c r="S130" s="946" t="str">
        <f>IFERROR(VLOOKUP(AD130,M121:O125,3,0),"")</f>
        <v/>
      </c>
      <c r="T130" s="1889" t="str">
        <f>IFERROR(#REF!*S130*P130,"")</f>
        <v/>
      </c>
    </row>
    <row r="131" spans="1:20">
      <c r="K131" s="712" t="s">
        <v>238</v>
      </c>
      <c r="M131" s="1539"/>
      <c r="N131" s="958" t="str">
        <f>IFERROR(VLOOKUP(M131,Price_list!$B$1:$H$187,2,0),"")</f>
        <v/>
      </c>
      <c r="O131" s="958" t="str">
        <f>IFERROR(VLOOKUP(M131,Price_list!$B$1:$H$187,3,0),"")</f>
        <v/>
      </c>
      <c r="P131" s="946" t="str">
        <f>IFERROR(VLOOKUP(M131,Price_list!$B$1:$H$187,4,0),"")</f>
        <v/>
      </c>
      <c r="Q131" s="946" t="str">
        <f>IFERROR(VLOOKUP(M131,Price_list!$B$1:$H$187,5,0),"")</f>
        <v/>
      </c>
      <c r="R131" s="958">
        <f t="shared" ca="1" si="7"/>
        <v>0</v>
      </c>
      <c r="S131" s="946" t="str">
        <f>IFERROR(VLOOKUP(AD131,M122:O127,3,0),"")</f>
        <v/>
      </c>
      <c r="T131" s="1889" t="str">
        <f>IFERROR(#REF!*S131*P131,"")</f>
        <v/>
      </c>
    </row>
    <row r="132" spans="1:20">
      <c r="K132" s="712" t="s">
        <v>238</v>
      </c>
      <c r="M132" s="1539"/>
      <c r="N132" s="958" t="str">
        <f>IFERROR(VLOOKUP(M132,Price_list!$B$1:$H$187,2,0),"")</f>
        <v/>
      </c>
      <c r="O132" s="958" t="str">
        <f>IFERROR(VLOOKUP(M132,Price_list!$B$1:$H$187,3,0),"")</f>
        <v/>
      </c>
      <c r="P132" s="946" t="str">
        <f>IFERROR(VLOOKUP(M132,Price_list!$B$1:$H$187,4,0),"")</f>
        <v/>
      </c>
      <c r="Q132" s="946" t="str">
        <f>IFERROR(VLOOKUP(M132,Price_list!$B$1:$H$187,5,0),"")</f>
        <v/>
      </c>
      <c r="R132" s="958">
        <f t="shared" ca="1" si="7"/>
        <v>0</v>
      </c>
      <c r="S132" s="946" t="str">
        <f>IFERROR(VLOOKUP(AD132,M123:O128,3,0),"")</f>
        <v/>
      </c>
      <c r="T132" s="1889" t="str">
        <f>IFERROR(#REF!*S132*P132,"")</f>
        <v/>
      </c>
    </row>
    <row r="133" spans="1:20" ht="16" thickBot="1">
      <c r="K133" s="712" t="s">
        <v>238</v>
      </c>
      <c r="M133" s="1697"/>
      <c r="N133" s="1698" t="str">
        <f>IFERROR(VLOOKUP(M133,Price_list!$B$1:$H$187,2,0),"")</f>
        <v/>
      </c>
      <c r="O133" s="1698" t="str">
        <f>IFERROR(VLOOKUP(M133,Price_list!$B$1:$H$187,3,0),"")</f>
        <v/>
      </c>
      <c r="P133" s="1034" t="str">
        <f>IFERROR(VLOOKUP(M133,Price_list!$B$1:$H$187,4,0),"")</f>
        <v/>
      </c>
      <c r="Q133" s="1034" t="str">
        <f>IFERROR(VLOOKUP(M133,Price_list!$B$1:$H$187,5,0),"")</f>
        <v/>
      </c>
      <c r="R133" s="1698"/>
      <c r="S133" s="1034" t="str">
        <f>IFERROR(VLOOKUP(AD133,M124:O129,3,0),"")</f>
        <v/>
      </c>
      <c r="T133" s="1703">
        <f ca="1">SUM(T115:T132)</f>
        <v>16400</v>
      </c>
    </row>
    <row r="134" spans="1:20">
      <c r="K134" s="712" t="s">
        <v>238</v>
      </c>
      <c r="M134" s="1771" t="s">
        <v>3037</v>
      </c>
      <c r="N134" s="1742" t="s">
        <v>3006</v>
      </c>
      <c r="O134" s="1743"/>
      <c r="P134" s="1772">
        <v>7.0000000000000007E-2</v>
      </c>
      <c r="Q134" s="1773"/>
      <c r="R134" s="1773"/>
      <c r="S134" s="1773"/>
      <c r="T134" s="1774">
        <f ca="1">ROUND(T133*P134,2)</f>
        <v>1148</v>
      </c>
    </row>
    <row r="135" spans="1:20" ht="16" thickBot="1">
      <c r="K135" s="712" t="s">
        <v>238</v>
      </c>
      <c r="M135" s="1049"/>
      <c r="N135" s="960"/>
      <c r="O135" s="960"/>
      <c r="P135" s="960"/>
      <c r="Q135" s="960"/>
      <c r="R135" s="960"/>
      <c r="S135" s="960"/>
      <c r="T135" s="62"/>
    </row>
    <row r="136" spans="1:20" ht="16" thickBot="1">
      <c r="K136" s="712" t="s">
        <v>238</v>
      </c>
      <c r="M136" s="1704" t="s">
        <v>3038</v>
      </c>
      <c r="N136" s="1761"/>
      <c r="O136" s="1761"/>
      <c r="P136" s="1761"/>
      <c r="Q136" s="1761"/>
      <c r="R136" s="1761"/>
      <c r="S136" s="1761"/>
      <c r="T136" s="1706">
        <f ca="1">T134+T133</f>
        <v>17548</v>
      </c>
    </row>
    <row r="137" spans="1:20">
      <c r="K137" s="712" t="s">
        <v>238</v>
      </c>
      <c r="M137" s="1049"/>
      <c r="N137" s="960"/>
      <c r="O137" s="960"/>
      <c r="P137" s="960"/>
      <c r="Q137" s="960"/>
      <c r="R137" s="960"/>
      <c r="S137" s="960"/>
      <c r="T137" s="62"/>
    </row>
    <row r="138" spans="1:20" ht="16" thickBot="1">
      <c r="K138" s="712" t="s">
        <v>238</v>
      </c>
      <c r="M138" s="1049"/>
      <c r="N138" s="960"/>
      <c r="O138" s="960"/>
      <c r="P138" s="960"/>
      <c r="Q138" s="960"/>
      <c r="R138" s="960"/>
      <c r="S138" s="960"/>
      <c r="T138" s="62"/>
    </row>
    <row r="139" spans="1:20" ht="16" thickBot="1">
      <c r="K139" s="712" t="s">
        <v>238</v>
      </c>
      <c r="M139" s="1049" t="s">
        <v>2171</v>
      </c>
      <c r="N139" s="960"/>
      <c r="O139" s="960"/>
      <c r="P139" s="1500">
        <v>2021</v>
      </c>
      <c r="Q139" s="1762">
        <v>2022</v>
      </c>
      <c r="R139" s="1762">
        <v>2023</v>
      </c>
      <c r="S139" s="1762">
        <v>2024</v>
      </c>
      <c r="T139" s="1763">
        <v>2025</v>
      </c>
    </row>
    <row r="140" spans="1:20" ht="16" thickBot="1">
      <c r="K140" s="712" t="s">
        <v>238</v>
      </c>
      <c r="M140" s="1764" t="s">
        <v>3043</v>
      </c>
      <c r="N140" s="1504"/>
      <c r="O140" s="1504"/>
      <c r="P140" s="1713">
        <v>1</v>
      </c>
      <c r="Q140" s="1713"/>
      <c r="R140" s="1713"/>
      <c r="S140" s="1713">
        <v>0</v>
      </c>
      <c r="T140" s="1765">
        <v>0</v>
      </c>
    </row>
    <row r="141" spans="1:20" ht="16" thickBot="1">
      <c r="A141" s="730">
        <v>151</v>
      </c>
      <c r="B141" s="733">
        <f ca="1">P141</f>
        <v>17548</v>
      </c>
      <c r="C141" s="733">
        <f ca="1">Q141</f>
        <v>0</v>
      </c>
      <c r="D141" s="733">
        <f ca="1">R141</f>
        <v>0</v>
      </c>
      <c r="E141" s="733">
        <f ca="1">S141</f>
        <v>0</v>
      </c>
      <c r="F141" s="733">
        <f ca="1">T141</f>
        <v>0</v>
      </c>
      <c r="G141" s="733" t="s">
        <v>351</v>
      </c>
      <c r="H141" s="733" t="s">
        <v>3317</v>
      </c>
      <c r="I141" s="2187" t="s">
        <v>3716</v>
      </c>
      <c r="J141" s="841" t="s">
        <v>2946</v>
      </c>
      <c r="K141" s="712" t="s">
        <v>238</v>
      </c>
      <c r="M141" s="1710" t="s">
        <v>3044</v>
      </c>
      <c r="N141" s="1732"/>
      <c r="O141" s="1708"/>
      <c r="P141" s="1495">
        <f ca="1">T136*P140</f>
        <v>17548</v>
      </c>
      <c r="Q141" s="1495">
        <f ca="1">T136*Q140</f>
        <v>0</v>
      </c>
      <c r="R141" s="1495">
        <f ca="1">T136*R140</f>
        <v>0</v>
      </c>
      <c r="S141" s="1495">
        <f ca="1">T136*S140</f>
        <v>0</v>
      </c>
      <c r="T141" s="1495">
        <f ca="1">T136*T140</f>
        <v>0</v>
      </c>
    </row>
    <row r="142" spans="1:20">
      <c r="K142" s="712" t="s">
        <v>238</v>
      </c>
    </row>
    <row r="143" spans="1:20">
      <c r="K143" s="712" t="s">
        <v>238</v>
      </c>
    </row>
    <row r="144" spans="1:20" ht="19">
      <c r="K144" s="712" t="s">
        <v>238</v>
      </c>
      <c r="L144" s="1879" t="s">
        <v>2953</v>
      </c>
      <c r="M144" s="1879"/>
      <c r="N144" s="1808"/>
      <c r="O144" s="1808"/>
      <c r="P144" s="1808"/>
      <c r="Q144" s="1808"/>
      <c r="R144" s="1808"/>
      <c r="S144" s="1808"/>
      <c r="T144" s="1808"/>
    </row>
    <row r="145" spans="11:20" ht="19">
      <c r="K145" s="712" t="s">
        <v>238</v>
      </c>
      <c r="L145" s="1918"/>
      <c r="M145" s="1918"/>
      <c r="N145" s="1808"/>
      <c r="O145" s="1808"/>
      <c r="P145" s="1808"/>
      <c r="Q145" s="1808"/>
      <c r="R145" s="1808"/>
      <c r="S145" s="1808"/>
      <c r="T145" s="1808"/>
    </row>
    <row r="146" spans="11:20" ht="19">
      <c r="K146" s="712" t="s">
        <v>238</v>
      </c>
      <c r="L146" s="1918"/>
      <c r="M146" s="1918"/>
      <c r="N146" s="1808"/>
      <c r="O146" s="1808"/>
      <c r="P146" s="1808"/>
      <c r="Q146" s="1808"/>
      <c r="R146" s="1808"/>
      <c r="S146" s="1808"/>
      <c r="T146" s="1808"/>
    </row>
    <row r="147" spans="11:20" ht="19">
      <c r="K147" s="712" t="s">
        <v>238</v>
      </c>
      <c r="L147" s="1879" t="s">
        <v>3319</v>
      </c>
      <c r="N147" s="1808"/>
      <c r="O147" s="1808"/>
      <c r="P147" s="1808"/>
      <c r="Q147" s="1808"/>
      <c r="R147" s="1808"/>
      <c r="S147" s="1808"/>
      <c r="T147" s="1808"/>
    </row>
    <row r="148" spans="11:20" ht="16" thickBot="1">
      <c r="K148" s="712" t="s">
        <v>238</v>
      </c>
      <c r="L148" s="1808"/>
      <c r="M148" s="1808"/>
      <c r="N148" s="1808"/>
      <c r="O148" s="1808"/>
      <c r="P148" s="1808"/>
      <c r="Q148" s="1808"/>
      <c r="R148" s="1808"/>
      <c r="S148" s="1808"/>
      <c r="T148" s="1808"/>
    </row>
    <row r="149" spans="11:20" ht="32">
      <c r="K149" s="712" t="s">
        <v>238</v>
      </c>
      <c r="L149" s="1808"/>
      <c r="M149" s="1758" t="s">
        <v>2155</v>
      </c>
      <c r="N149" s="966"/>
      <c r="O149" s="966"/>
      <c r="P149" s="966"/>
      <c r="Q149" s="1759" t="s">
        <v>3060</v>
      </c>
      <c r="R149" s="966"/>
      <c r="S149" s="966"/>
      <c r="T149" s="967"/>
    </row>
    <row r="150" spans="11:20" ht="32">
      <c r="K150" s="712" t="s">
        <v>238</v>
      </c>
      <c r="L150" s="1808"/>
      <c r="M150" s="1760" t="s">
        <v>3054</v>
      </c>
      <c r="N150" s="1749"/>
      <c r="O150" s="1565"/>
      <c r="P150" s="1750"/>
      <c r="Q150" s="1383"/>
      <c r="R150" s="960"/>
      <c r="S150" s="960"/>
      <c r="T150" s="62"/>
    </row>
    <row r="151" spans="11:20" ht="32">
      <c r="K151" s="712" t="s">
        <v>238</v>
      </c>
      <c r="L151" s="1808"/>
      <c r="M151" s="1760" t="s">
        <v>3055</v>
      </c>
      <c r="N151" s="1749"/>
      <c r="O151" s="1565"/>
      <c r="P151" s="1750">
        <v>4</v>
      </c>
      <c r="Q151" s="1383">
        <v>10</v>
      </c>
      <c r="R151" s="960"/>
      <c r="S151" s="960"/>
      <c r="T151" s="62"/>
    </row>
    <row r="152" spans="11:20">
      <c r="K152" s="712" t="s">
        <v>238</v>
      </c>
      <c r="L152" s="1808"/>
      <c r="M152" s="1049"/>
      <c r="N152" s="960"/>
      <c r="O152" s="960"/>
      <c r="P152" s="960"/>
      <c r="Q152" s="960"/>
      <c r="R152" s="960"/>
      <c r="S152" s="960"/>
      <c r="T152" s="62"/>
    </row>
    <row r="153" spans="11:20">
      <c r="K153" s="712" t="s">
        <v>238</v>
      </c>
      <c r="L153" s="1808"/>
      <c r="M153" s="1049" t="s">
        <v>3059</v>
      </c>
      <c r="N153" s="960"/>
      <c r="O153" s="960"/>
      <c r="P153" s="960"/>
      <c r="Q153" s="960"/>
      <c r="R153" s="960"/>
      <c r="S153" s="960"/>
      <c r="T153" s="62"/>
    </row>
    <row r="154" spans="11:20" ht="32">
      <c r="K154" s="712" t="s">
        <v>238</v>
      </c>
      <c r="L154" s="1808"/>
      <c r="M154" s="1760" t="s">
        <v>3061</v>
      </c>
      <c r="N154" s="1749"/>
      <c r="O154" s="1565"/>
      <c r="P154" s="1750"/>
      <c r="Q154" s="1383"/>
      <c r="R154" s="960"/>
      <c r="S154" s="960"/>
      <c r="T154" s="62"/>
    </row>
    <row r="155" spans="11:20" ht="32">
      <c r="K155" s="712" t="s">
        <v>238</v>
      </c>
      <c r="L155" s="1808"/>
      <c r="M155" s="1760" t="s">
        <v>3062</v>
      </c>
      <c r="N155" s="1749"/>
      <c r="O155" s="1565"/>
      <c r="P155" s="1750"/>
      <c r="Q155" s="1383"/>
      <c r="R155" s="960"/>
      <c r="S155" s="960"/>
      <c r="T155" s="62"/>
    </row>
    <row r="156" spans="11:20">
      <c r="K156" s="712" t="s">
        <v>238</v>
      </c>
      <c r="L156" s="1808"/>
      <c r="M156" s="1049"/>
      <c r="N156" s="960"/>
      <c r="O156" s="960"/>
      <c r="P156" s="960"/>
      <c r="Q156" s="960"/>
      <c r="R156" s="960"/>
      <c r="S156" s="960"/>
      <c r="T156" s="62"/>
    </row>
    <row r="157" spans="11:20">
      <c r="K157" s="712" t="s">
        <v>238</v>
      </c>
      <c r="L157" s="1808"/>
      <c r="M157" s="1049"/>
      <c r="N157" s="960"/>
      <c r="O157" s="960"/>
      <c r="P157" s="960"/>
      <c r="Q157" s="960"/>
      <c r="R157" s="960"/>
      <c r="S157" s="960"/>
      <c r="T157" s="62"/>
    </row>
    <row r="158" spans="11:20" ht="16" thickBot="1">
      <c r="K158" s="712" t="s">
        <v>238</v>
      </c>
      <c r="L158" s="1808"/>
      <c r="M158" s="1049" t="s">
        <v>3058</v>
      </c>
      <c r="N158" s="960"/>
      <c r="O158" s="960"/>
      <c r="P158" s="960"/>
      <c r="Q158" s="960"/>
      <c r="R158" s="960"/>
      <c r="S158" s="960"/>
      <c r="T158" s="62"/>
    </row>
    <row r="159" spans="11:20" ht="32">
      <c r="K159" s="712" t="s">
        <v>238</v>
      </c>
      <c r="L159" s="1808"/>
      <c r="M159" s="1699" t="s">
        <v>3033</v>
      </c>
      <c r="N159" s="1700" t="s">
        <v>3034</v>
      </c>
      <c r="O159" s="1702" t="s">
        <v>3040</v>
      </c>
      <c r="P159" s="1702" t="s">
        <v>3041</v>
      </c>
      <c r="Q159" s="1702" t="s">
        <v>3042</v>
      </c>
      <c r="R159" s="1700" t="s">
        <v>3035</v>
      </c>
      <c r="S159" s="1702" t="s">
        <v>3067</v>
      </c>
      <c r="T159" s="1701" t="s">
        <v>2189</v>
      </c>
    </row>
    <row r="160" spans="11:20">
      <c r="K160" s="712" t="s">
        <v>238</v>
      </c>
      <c r="L160" s="1808"/>
      <c r="M160" s="1539" t="s">
        <v>3051</v>
      </c>
      <c r="N160" s="958" t="str">
        <f>IFERROR(VLOOKUP(M160,Price_list!$B$1:$H$187,2,0),"")</f>
        <v>International Consultancy fee (3.1)</v>
      </c>
      <c r="O160" s="958" t="str">
        <f>IFERROR(VLOOKUP(M160,Price_list!$B$1:$H$187,3,0),"")</f>
        <v>cost/zi</v>
      </c>
      <c r="P160" s="946">
        <f>IFERROR(VLOOKUP(M160,Price_list!$B$1:$H$187,4,0),"")</f>
        <v>350</v>
      </c>
      <c r="Q160" s="946" t="str">
        <f>IFERROR(VLOOKUP(M160,Price_list!$B$1:$H$187,5,0),"")</f>
        <v>EUR</v>
      </c>
      <c r="R160" s="958">
        <f t="shared" ref="R160:R166" ca="1" si="8">ROUND(IFERROR(IF(Q160="MDL",P160,P160*INDIRECT(Q160)),0),2)</f>
        <v>6868.65</v>
      </c>
      <c r="S160" s="946">
        <f>P150*Q150</f>
        <v>0</v>
      </c>
      <c r="T160" s="1858">
        <f ca="1">S160*R160</f>
        <v>0</v>
      </c>
    </row>
    <row r="161" spans="1:20">
      <c r="K161" s="712" t="s">
        <v>238</v>
      </c>
      <c r="L161" s="1808"/>
      <c r="M161" s="1539" t="s">
        <v>3050</v>
      </c>
      <c r="N161" s="958" t="str">
        <f>IFERROR(VLOOKUP(M161,Price_list!$B$1:$H$187,2,0),"")</f>
        <v>National Consultancy fee (3.1)</v>
      </c>
      <c r="O161" s="958" t="str">
        <f>IFERROR(VLOOKUP(M161,Price_list!$B$1:$H$187,3,0),"")</f>
        <v>cost/zi</v>
      </c>
      <c r="P161" s="946">
        <f>IFERROR(VLOOKUP(M161,Price_list!$B$1:$H$187,4,0),"")</f>
        <v>2000</v>
      </c>
      <c r="Q161" s="946" t="str">
        <f>IFERROR(VLOOKUP(M161,Price_list!$B$1:$H$187,5,0),"")</f>
        <v>MDL</v>
      </c>
      <c r="R161" s="958">
        <f t="shared" ca="1" si="8"/>
        <v>2000</v>
      </c>
      <c r="S161" s="946">
        <f>P151*Q151</f>
        <v>40</v>
      </c>
      <c r="T161" s="1858">
        <f ca="1">S161*R161</f>
        <v>80000</v>
      </c>
    </row>
    <row r="162" spans="1:20">
      <c r="K162" s="712" t="s">
        <v>238</v>
      </c>
      <c r="L162" s="1808"/>
      <c r="M162" s="1539" t="s">
        <v>3063</v>
      </c>
      <c r="N162" s="958" t="str">
        <f>IFERROR(VLOOKUP(M162,Price_list!$B$1:$H$187,2,0),"")</f>
        <v>Translation per page</v>
      </c>
      <c r="O162" s="958" t="str">
        <f>IFERROR(VLOOKUP(M162,Price_list!$B$1:$H$187,3,0),"")</f>
        <v>pagina</v>
      </c>
      <c r="P162" s="946">
        <f>IFERROR(VLOOKUP(M162,Price_list!$B$1:$H$187,4,0),"")</f>
        <v>150</v>
      </c>
      <c r="Q162" s="946" t="str">
        <f>IFERROR(VLOOKUP(M162,Price_list!$B$1:$H$187,5,0),"")</f>
        <v>MDL</v>
      </c>
      <c r="R162" s="958">
        <f t="shared" ca="1" si="8"/>
        <v>150</v>
      </c>
      <c r="S162" s="946">
        <f>P154</f>
        <v>0</v>
      </c>
      <c r="T162" s="1858">
        <f t="shared" ref="T162:T165" ca="1" si="9">S162*R162</f>
        <v>0</v>
      </c>
    </row>
    <row r="163" spans="1:20">
      <c r="K163" s="712" t="s">
        <v>238</v>
      </c>
      <c r="L163" s="1808"/>
      <c r="M163" s="1539" t="s">
        <v>3068</v>
      </c>
      <c r="N163" s="958" t="str">
        <f>IFERROR(VLOOKUP(M163,Price_list!$B$1:$H$187,2,0),"")</f>
        <v xml:space="preserve">Formatting, design, printing </v>
      </c>
      <c r="O163" s="958" t="str">
        <f>IFERROR(VLOOKUP(M163,Price_list!$B$1:$H$187,3,0),"")</f>
        <v>pagina</v>
      </c>
      <c r="P163" s="946">
        <f>IFERROR(VLOOKUP(M163,Price_list!$B$1:$H$187,4,0),"")</f>
        <v>2</v>
      </c>
      <c r="Q163" s="946" t="str">
        <f>IFERROR(VLOOKUP(M163,Price_list!$B$1:$H$187,5,0),"")</f>
        <v>MDL</v>
      </c>
      <c r="R163" s="958">
        <f t="shared" ca="1" si="8"/>
        <v>2</v>
      </c>
      <c r="S163" s="946">
        <f>P154*P155</f>
        <v>0</v>
      </c>
      <c r="T163" s="1858">
        <f t="shared" ca="1" si="9"/>
        <v>0</v>
      </c>
    </row>
    <row r="164" spans="1:20">
      <c r="K164" s="712" t="s">
        <v>238</v>
      </c>
      <c r="L164" s="1808"/>
      <c r="M164" s="1539"/>
      <c r="N164" s="958" t="str">
        <f>IFERROR(VLOOKUP(M164,Price_list!$B$1:$H$187,2,0),"")</f>
        <v/>
      </c>
      <c r="O164" s="958" t="str">
        <f>IFERROR(VLOOKUP(M164,Price_list!$B$1:$H$187,3,0),"")</f>
        <v/>
      </c>
      <c r="P164" s="946" t="str">
        <f>IFERROR(VLOOKUP(M164,Price_list!$B$1:$H$187,4,0),"")</f>
        <v/>
      </c>
      <c r="Q164" s="946" t="str">
        <f>IFERROR(VLOOKUP(M164,Price_list!$B$1:$H$187,5,0),"")</f>
        <v/>
      </c>
      <c r="R164" s="958">
        <f t="shared" ca="1" si="8"/>
        <v>0</v>
      </c>
      <c r="S164" s="946"/>
      <c r="T164" s="1858">
        <f t="shared" ca="1" si="9"/>
        <v>0</v>
      </c>
    </row>
    <row r="165" spans="1:20">
      <c r="K165" s="712" t="s">
        <v>238</v>
      </c>
      <c r="L165" s="1808"/>
      <c r="M165" s="1539"/>
      <c r="N165" s="958" t="str">
        <f>IFERROR(VLOOKUP(M165,Price_list!$B$1:$H$187,2,0),"")</f>
        <v/>
      </c>
      <c r="O165" s="958" t="str">
        <f>IFERROR(VLOOKUP(M165,Price_list!$B$1:$H$187,3,0),"")</f>
        <v/>
      </c>
      <c r="P165" s="946" t="str">
        <f>IFERROR(VLOOKUP(M165,Price_list!$B$1:$H$187,4,0),"")</f>
        <v/>
      </c>
      <c r="Q165" s="946" t="str">
        <f>IFERROR(VLOOKUP(M165,Price_list!$B$1:$H$187,5,0),"")</f>
        <v/>
      </c>
      <c r="R165" s="958">
        <f t="shared" ca="1" si="8"/>
        <v>0</v>
      </c>
      <c r="S165" s="946"/>
      <c r="T165" s="1858">
        <f t="shared" ca="1" si="9"/>
        <v>0</v>
      </c>
    </row>
    <row r="166" spans="1:20" ht="16" thickBot="1">
      <c r="K166" s="712" t="s">
        <v>238</v>
      </c>
      <c r="L166" s="1808"/>
      <c r="M166" s="1539"/>
      <c r="N166" s="958" t="str">
        <f>IFERROR(VLOOKUP(M166,Price_list!$B$1:$H$187,2,0),"")</f>
        <v/>
      </c>
      <c r="O166" s="958" t="str">
        <f>IFERROR(VLOOKUP(M166,Price_list!$B$1:$H$187,3,0),"")</f>
        <v/>
      </c>
      <c r="P166" s="946" t="str">
        <f>IFERROR(VLOOKUP(M166,Price_list!$B$1:$H$187,4,0),"")</f>
        <v/>
      </c>
      <c r="Q166" s="946" t="str">
        <f>IFERROR(VLOOKUP(M166,Price_list!$B$1:$H$187,5,0),"")</f>
        <v/>
      </c>
      <c r="R166" s="958">
        <f t="shared" ca="1" si="8"/>
        <v>0</v>
      </c>
      <c r="S166" s="946"/>
      <c r="T166" s="1858">
        <f ca="1">S166*R166</f>
        <v>0</v>
      </c>
    </row>
    <row r="167" spans="1:20" ht="16" thickBot="1">
      <c r="K167" s="712" t="s">
        <v>238</v>
      </c>
      <c r="L167" s="1808"/>
      <c r="M167" s="1704"/>
      <c r="N167" s="1761"/>
      <c r="O167" s="1761"/>
      <c r="P167" s="1761"/>
      <c r="Q167" s="1761"/>
      <c r="R167" s="1761"/>
      <c r="S167" s="1761"/>
      <c r="T167" s="1706">
        <f ca="1">SUM(T160:T166)</f>
        <v>80000</v>
      </c>
    </row>
    <row r="168" spans="1:20">
      <c r="K168" s="712" t="s">
        <v>238</v>
      </c>
      <c r="L168" s="1808"/>
      <c r="M168" s="1049"/>
      <c r="N168" s="960"/>
      <c r="O168" s="960"/>
      <c r="P168" s="960"/>
      <c r="Q168" s="960"/>
      <c r="R168" s="960"/>
      <c r="S168" s="960"/>
      <c r="T168" s="62"/>
    </row>
    <row r="169" spans="1:20" ht="16" thickBot="1">
      <c r="K169" s="712" t="s">
        <v>238</v>
      </c>
      <c r="L169" s="1808"/>
      <c r="M169" s="1049"/>
      <c r="N169" s="960"/>
      <c r="O169" s="960"/>
      <c r="P169" s="960"/>
      <c r="Q169" s="960"/>
      <c r="R169" s="960"/>
      <c r="S169" s="960"/>
      <c r="T169" s="62"/>
    </row>
    <row r="170" spans="1:20" ht="16" thickBot="1">
      <c r="K170" s="712" t="s">
        <v>238</v>
      </c>
      <c r="L170" s="1808"/>
      <c r="M170" s="1049" t="s">
        <v>2171</v>
      </c>
      <c r="N170" s="960"/>
      <c r="O170" s="960"/>
      <c r="P170" s="1500">
        <v>2021</v>
      </c>
      <c r="Q170" s="1762">
        <v>2022</v>
      </c>
      <c r="R170" s="1762">
        <v>2023</v>
      </c>
      <c r="S170" s="1762">
        <v>2024</v>
      </c>
      <c r="T170" s="1763">
        <v>2025</v>
      </c>
    </row>
    <row r="171" spans="1:20" ht="16" thickBot="1">
      <c r="K171" s="712" t="s">
        <v>238</v>
      </c>
      <c r="L171" s="1808"/>
      <c r="M171" s="1764"/>
      <c r="N171" s="1504"/>
      <c r="O171" s="1504"/>
      <c r="P171" s="1713">
        <v>1</v>
      </c>
      <c r="Q171" s="1713">
        <v>0</v>
      </c>
      <c r="R171" s="1713">
        <v>0</v>
      </c>
      <c r="S171" s="1713">
        <v>0</v>
      </c>
      <c r="T171" s="1765">
        <v>0</v>
      </c>
    </row>
    <row r="172" spans="1:20" ht="16" thickBot="1">
      <c r="A172" s="730">
        <v>152</v>
      </c>
      <c r="B172" s="733">
        <f ca="1">P172</f>
        <v>80000</v>
      </c>
      <c r="C172" s="733">
        <f ca="1">Q172</f>
        <v>0</v>
      </c>
      <c r="D172" s="733">
        <f ca="1">R172</f>
        <v>0</v>
      </c>
      <c r="E172" s="733">
        <f ca="1">S172</f>
        <v>0</v>
      </c>
      <c r="F172" s="733">
        <f ca="1">T172</f>
        <v>0</v>
      </c>
      <c r="G172" s="733" t="s">
        <v>351</v>
      </c>
      <c r="H172" s="733" t="s">
        <v>3319</v>
      </c>
      <c r="I172" s="2187" t="s">
        <v>3716</v>
      </c>
      <c r="J172" s="841" t="s">
        <v>2953</v>
      </c>
      <c r="K172" s="712" t="s">
        <v>238</v>
      </c>
      <c r="L172" s="1808"/>
      <c r="M172" s="1710" t="s">
        <v>3044</v>
      </c>
      <c r="N172" s="1732"/>
      <c r="O172" s="1708"/>
      <c r="P172" s="1495">
        <f ca="1">T167*P171</f>
        <v>80000</v>
      </c>
      <c r="Q172" s="1495">
        <f ca="1">T167*Q171</f>
        <v>0</v>
      </c>
      <c r="R172" s="1495">
        <f ca="1">T167*R171</f>
        <v>0</v>
      </c>
      <c r="S172" s="1495">
        <f ca="1">T167*S171</f>
        <v>0</v>
      </c>
      <c r="T172" s="1495">
        <f ca="1">T167*T171</f>
        <v>0</v>
      </c>
    </row>
    <row r="173" spans="1:20">
      <c r="K173" s="712" t="s">
        <v>238</v>
      </c>
      <c r="L173" s="1808"/>
      <c r="M173" s="1808"/>
      <c r="N173" s="1808"/>
      <c r="O173" s="1808"/>
      <c r="P173" s="1808"/>
      <c r="Q173" s="1808"/>
      <c r="R173" s="1808"/>
      <c r="S173" s="1808"/>
      <c r="T173" s="1808"/>
    </row>
    <row r="174" spans="1:20">
      <c r="K174" s="712" t="s">
        <v>238</v>
      </c>
      <c r="L174" s="1808"/>
      <c r="M174" s="1808"/>
      <c r="N174" s="1808"/>
      <c r="O174" s="1808"/>
      <c r="P174" s="1808"/>
      <c r="Q174" s="1808"/>
      <c r="R174" s="1808"/>
      <c r="S174" s="1808"/>
      <c r="T174" s="1808"/>
    </row>
    <row r="175" spans="1:20" ht="19">
      <c r="K175" s="712" t="s">
        <v>238</v>
      </c>
      <c r="L175" s="1879" t="s">
        <v>3320</v>
      </c>
      <c r="N175" s="1808"/>
      <c r="O175" s="1808"/>
      <c r="P175" s="1808"/>
      <c r="Q175" s="1808"/>
      <c r="R175" s="1808"/>
      <c r="S175" s="1808"/>
      <c r="T175" s="1808"/>
    </row>
    <row r="176" spans="1:20" ht="16" thickBot="1">
      <c r="K176" s="712" t="s">
        <v>238</v>
      </c>
      <c r="L176" s="1808"/>
      <c r="M176" s="1808"/>
      <c r="N176" s="1808"/>
      <c r="O176" s="1808"/>
      <c r="P176" s="1808"/>
      <c r="Q176" s="1808"/>
      <c r="R176" s="1808"/>
      <c r="S176" s="1808"/>
      <c r="T176" s="1808"/>
    </row>
    <row r="177" spans="11:20" ht="32">
      <c r="K177" s="712" t="s">
        <v>238</v>
      </c>
      <c r="L177" s="1808"/>
      <c r="M177" s="1766" t="s">
        <v>3054</v>
      </c>
      <c r="N177" s="1696"/>
      <c r="O177" s="1767"/>
      <c r="P177" s="1220"/>
      <c r="Q177" s="966"/>
      <c r="R177" s="1768"/>
      <c r="S177" s="966"/>
      <c r="T177" s="967"/>
    </row>
    <row r="178" spans="11:20" ht="32">
      <c r="K178" s="712" t="s">
        <v>238</v>
      </c>
      <c r="L178" s="1808"/>
      <c r="M178" s="1769" t="s">
        <v>3055</v>
      </c>
      <c r="N178" s="1693"/>
      <c r="O178" s="958"/>
      <c r="P178" s="1040">
        <v>1</v>
      </c>
      <c r="Q178" s="960"/>
      <c r="R178" s="960"/>
      <c r="S178" s="960"/>
      <c r="T178" s="62"/>
    </row>
    <row r="179" spans="11:20" ht="32">
      <c r="K179" s="712" t="s">
        <v>238</v>
      </c>
      <c r="L179" s="1808"/>
      <c r="M179" s="1769" t="s">
        <v>3056</v>
      </c>
      <c r="N179" s="1693"/>
      <c r="O179" s="958"/>
      <c r="P179" s="1040">
        <v>20</v>
      </c>
      <c r="Q179" s="960"/>
      <c r="R179" s="960"/>
      <c r="S179" s="960"/>
      <c r="T179" s="62"/>
    </row>
    <row r="180" spans="11:20" ht="32">
      <c r="K180" s="712" t="s">
        <v>238</v>
      </c>
      <c r="L180" s="1808"/>
      <c r="M180" s="1769" t="s">
        <v>3057</v>
      </c>
      <c r="N180" s="1693"/>
      <c r="O180" s="958"/>
      <c r="P180" s="1040">
        <v>1</v>
      </c>
      <c r="Q180" s="960"/>
      <c r="R180" s="960"/>
      <c r="S180" s="960"/>
      <c r="T180" s="62"/>
    </row>
    <row r="181" spans="11:20" ht="32">
      <c r="K181" s="712" t="s">
        <v>238</v>
      </c>
      <c r="L181" s="1808"/>
      <c r="M181" s="1769" t="s">
        <v>3052</v>
      </c>
      <c r="N181" s="1693"/>
      <c r="O181" s="1694">
        <v>0</v>
      </c>
      <c r="P181" s="1028">
        <f>ROUND(P179*O181,0)</f>
        <v>0</v>
      </c>
      <c r="Q181" s="960"/>
      <c r="R181" s="960"/>
      <c r="S181" s="960"/>
      <c r="T181" s="62"/>
    </row>
    <row r="182" spans="11:20" ht="32">
      <c r="K182" s="712" t="s">
        <v>238</v>
      </c>
      <c r="L182" s="1808"/>
      <c r="M182" s="1769" t="s">
        <v>3053</v>
      </c>
      <c r="N182" s="1693"/>
      <c r="O182" s="1694">
        <v>0.75</v>
      </c>
      <c r="P182" s="1028">
        <f>ROUND(P179*O182,0)</f>
        <v>15</v>
      </c>
      <c r="Q182" s="960"/>
      <c r="R182" s="960"/>
      <c r="S182" s="960"/>
      <c r="T182" s="62"/>
    </row>
    <row r="183" spans="11:20">
      <c r="K183" s="712" t="s">
        <v>238</v>
      </c>
      <c r="L183" s="1808"/>
      <c r="M183" s="1770" t="s">
        <v>3036</v>
      </c>
      <c r="N183" s="1019"/>
      <c r="O183" s="1695"/>
      <c r="P183" s="1028">
        <f>P180-1</f>
        <v>0</v>
      </c>
      <c r="Q183" s="960"/>
      <c r="R183" s="960"/>
      <c r="S183" s="960"/>
      <c r="T183" s="62"/>
    </row>
    <row r="184" spans="11:20" ht="16" thickBot="1">
      <c r="K184" s="712" t="s">
        <v>238</v>
      </c>
      <c r="L184" s="1808"/>
      <c r="M184" s="1049"/>
      <c r="N184" s="960"/>
      <c r="O184" s="960"/>
      <c r="P184" s="960"/>
      <c r="Q184" s="960"/>
      <c r="R184" s="960"/>
      <c r="S184" s="960"/>
      <c r="T184" s="62"/>
    </row>
    <row r="185" spans="11:20" ht="32">
      <c r="K185" s="712" t="s">
        <v>238</v>
      </c>
      <c r="L185" s="1808"/>
      <c r="M185" s="1699" t="s">
        <v>3033</v>
      </c>
      <c r="N185" s="1700" t="s">
        <v>3034</v>
      </c>
      <c r="O185" s="1702" t="s">
        <v>3040</v>
      </c>
      <c r="P185" s="1702" t="s">
        <v>3041</v>
      </c>
      <c r="Q185" s="1702" t="s">
        <v>3042</v>
      </c>
      <c r="R185" s="1700" t="s">
        <v>3035</v>
      </c>
      <c r="S185" s="1702" t="s">
        <v>3039</v>
      </c>
      <c r="T185" s="1701" t="s">
        <v>2189</v>
      </c>
    </row>
    <row r="186" spans="11:20">
      <c r="K186" s="712" t="s">
        <v>238</v>
      </c>
      <c r="L186" s="1808"/>
      <c r="M186" s="1539" t="s">
        <v>3051</v>
      </c>
      <c r="N186" s="958" t="str">
        <f>IFERROR(VLOOKUP(M186,Price_list!$B$1:$H$187,2,0),"")</f>
        <v>International Consultancy fee (3.1)</v>
      </c>
      <c r="O186" s="958" t="str">
        <f>IFERROR(VLOOKUP(M186,Price_list!$B$1:$H$187,3,0),"")</f>
        <v>cost/zi</v>
      </c>
      <c r="P186" s="946">
        <f>IFERROR(VLOOKUP(M186,Price_list!$B$1:$H$187,4,0),"")</f>
        <v>350</v>
      </c>
      <c r="Q186" s="946" t="str">
        <f>IFERROR(VLOOKUP(M186,Price_list!$B$1:$H$187,5,0),"")</f>
        <v>EUR</v>
      </c>
      <c r="R186" s="958">
        <f ca="1">ROUND(IFERROR(IF(Q186="MDL",P186,P186*INDIRECT(Q186)),0),2)</f>
        <v>6868.65</v>
      </c>
      <c r="S186" s="946">
        <f>P180</f>
        <v>1</v>
      </c>
      <c r="T186" s="1889">
        <f ca="1">IFERROR(P177*R186*S186,"")</f>
        <v>0</v>
      </c>
    </row>
    <row r="187" spans="11:20">
      <c r="K187" s="712" t="s">
        <v>238</v>
      </c>
      <c r="L187" s="1808"/>
      <c r="M187" s="1539" t="s">
        <v>3029</v>
      </c>
      <c r="N187" s="958" t="str">
        <f>IFERROR(VLOOKUP(M187,Price_list!$B$1:$H$187,2,0),"")</f>
        <v xml:space="preserve">Travel costs </v>
      </c>
      <c r="O187" s="958" t="str">
        <f>IFERROR(VLOOKUP(M187,Price_list!$B$1:$H$187,3,0),"")</f>
        <v>cost tichet o directie</v>
      </c>
      <c r="P187" s="946">
        <f>IFERROR(VLOOKUP(M187,Price_list!$B$1:$H$187,4,0),"")</f>
        <v>5000</v>
      </c>
      <c r="Q187" s="946" t="str">
        <f>IFERROR(VLOOKUP(M187,Price_list!$B$1:$H$187,5,0),"")</f>
        <v>MDL</v>
      </c>
      <c r="R187" s="958">
        <f t="shared" ref="R187:R203" ca="1" si="10">ROUND(IFERROR(IF(Q187="MDL",P187,P187*INDIRECT(Q187)),0),2)</f>
        <v>5000</v>
      </c>
      <c r="S187" s="1040">
        <v>2</v>
      </c>
      <c r="T187" s="1889">
        <f ca="1">P177*S187*R187</f>
        <v>0</v>
      </c>
    </row>
    <row r="188" spans="11:20">
      <c r="K188" s="712" t="s">
        <v>238</v>
      </c>
      <c r="L188" s="1808"/>
      <c r="M188" s="1539" t="s">
        <v>3020</v>
      </c>
      <c r="N188" s="958" t="str">
        <f>IFERROR(VLOOKUP(M188,Price_list!$B$1:$H$187,2,0),"")</f>
        <v xml:space="preserve">Per diem, WHO DSA, average </v>
      </c>
      <c r="O188" s="958" t="str">
        <f>IFERROR(VLOOKUP(M188,Price_list!$B$1:$H$187,3,0),"")</f>
        <v>diurna</v>
      </c>
      <c r="P188" s="946">
        <f>IFERROR(VLOOKUP(M188,Price_list!$B$1:$H$187,4,0),"")</f>
        <v>200</v>
      </c>
      <c r="Q188" s="946" t="str">
        <f>IFERROR(VLOOKUP(M188,Price_list!$B$1:$H$187,5,0),"")</f>
        <v>EUR</v>
      </c>
      <c r="R188" s="958">
        <f t="shared" ca="1" si="10"/>
        <v>3924.94</v>
      </c>
      <c r="S188" s="946">
        <f>P180+1</f>
        <v>2</v>
      </c>
      <c r="T188" s="1889">
        <f ca="1">P177*R188*S188</f>
        <v>0</v>
      </c>
    </row>
    <row r="189" spans="11:20">
      <c r="K189" s="712" t="s">
        <v>238</v>
      </c>
      <c r="L189" s="1808"/>
      <c r="M189" s="1539" t="s">
        <v>3050</v>
      </c>
      <c r="N189" s="958" t="str">
        <f>IFERROR(VLOOKUP(M189,Price_list!$B$1:$H$187,2,0),"")</f>
        <v>National Consultancy fee (3.1)</v>
      </c>
      <c r="O189" s="958" t="str">
        <f>IFERROR(VLOOKUP(M189,Price_list!$B$1:$H$187,3,0),"")</f>
        <v>cost/zi</v>
      </c>
      <c r="P189" s="946">
        <f>IFERROR(VLOOKUP(M189,Price_list!$B$1:$H$187,4,0),"")</f>
        <v>2000</v>
      </c>
      <c r="Q189" s="946" t="str">
        <f>IFERROR(VLOOKUP(M189,Price_list!$B$1:$H$187,5,0),"")</f>
        <v>MDL</v>
      </c>
      <c r="R189" s="958">
        <f t="shared" ca="1" si="10"/>
        <v>2000</v>
      </c>
      <c r="S189" s="946">
        <f>P180</f>
        <v>1</v>
      </c>
      <c r="T189" s="1889">
        <f ca="1">P178*R189*S189</f>
        <v>2000</v>
      </c>
    </row>
    <row r="190" spans="11:20">
      <c r="K190" s="712" t="s">
        <v>238</v>
      </c>
      <c r="L190" s="1808"/>
      <c r="M190" s="1539"/>
      <c r="N190" s="958" t="str">
        <f>IFERROR(VLOOKUP(M190,Price_list!$B$1:$H$187,2,0),"")</f>
        <v/>
      </c>
      <c r="O190" s="958" t="str">
        <f>IFERROR(VLOOKUP(M190,Price_list!$B$1:$H$187,3,0),"")</f>
        <v/>
      </c>
      <c r="P190" s="946" t="str">
        <f>IFERROR(VLOOKUP(M190,Price_list!$B$1:$H$187,4,0),"")</f>
        <v/>
      </c>
      <c r="Q190" s="946" t="str">
        <f>IFERROR(VLOOKUP(M190,Price_list!$B$1:$H$187,5,0),"")</f>
        <v/>
      </c>
      <c r="R190" s="958">
        <f t="shared" ca="1" si="10"/>
        <v>0</v>
      </c>
      <c r="S190" s="946" t="str">
        <f>IFERROR(VLOOKUP(AD190,M181:O186,3,0),"")</f>
        <v/>
      </c>
      <c r="T190" s="1889" t="str">
        <f>IFERROR(#REF!*S190*P190,"")</f>
        <v/>
      </c>
    </row>
    <row r="191" spans="11:20">
      <c r="K191" s="712" t="s">
        <v>238</v>
      </c>
      <c r="L191" s="1808"/>
      <c r="M191" s="1539"/>
      <c r="N191" s="958" t="str">
        <f>IFERROR(VLOOKUP(M191,Price_list!$B$1:$H$187,2,0),"")</f>
        <v/>
      </c>
      <c r="O191" s="958" t="str">
        <f>IFERROR(VLOOKUP(M191,Price_list!$B$1:$H$187,3,0),"")</f>
        <v/>
      </c>
      <c r="P191" s="946" t="str">
        <f>IFERROR(VLOOKUP(M191,Price_list!$B$1:$H$187,4,0),"")</f>
        <v/>
      </c>
      <c r="Q191" s="946" t="str">
        <f>IFERROR(VLOOKUP(M191,Price_list!$B$1:$H$187,5,0),"")</f>
        <v/>
      </c>
      <c r="R191" s="958">
        <f t="shared" ca="1" si="10"/>
        <v>0</v>
      </c>
      <c r="S191" s="946" t="str">
        <f>IFERROR(VLOOKUP(AD191,M183:O187,3,0),"")</f>
        <v/>
      </c>
      <c r="T191" s="1889" t="str">
        <f>IFERROR(#REF!*S191*P191,"")</f>
        <v/>
      </c>
    </row>
    <row r="192" spans="11:20">
      <c r="K192" s="712" t="s">
        <v>238</v>
      </c>
      <c r="L192" s="1808"/>
      <c r="M192" s="1539" t="s">
        <v>3016</v>
      </c>
      <c r="N192" s="958" t="str">
        <f>IFERROR(VLOOKUP(M192,Price_list!$B$1:$H$187,2,0),"")</f>
        <v>Coffe break</v>
      </c>
      <c r="O192" s="958" t="str">
        <f>IFERROR(VLOOKUP(M192,Price_list!$B$1:$H$187,3,0),"")</f>
        <v>unitate</v>
      </c>
      <c r="P192" s="946">
        <f>IFERROR(VLOOKUP(M192,Price_list!$B$1:$H$187,4,0),"")</f>
        <v>75</v>
      </c>
      <c r="Q192" s="946" t="str">
        <f>IFERROR(VLOOKUP(M192,Price_list!$B$1:$H$187,5,0),"")</f>
        <v>MDL</v>
      </c>
      <c r="R192" s="958">
        <f t="shared" ca="1" si="10"/>
        <v>75</v>
      </c>
      <c r="S192" s="946">
        <v>2</v>
      </c>
      <c r="T192" s="1889">
        <f ca="1">S192*R192*P179*P180</f>
        <v>3000</v>
      </c>
    </row>
    <row r="193" spans="11:20">
      <c r="K193" s="712" t="s">
        <v>238</v>
      </c>
      <c r="L193" s="1808"/>
      <c r="M193" s="1539" t="s">
        <v>3021</v>
      </c>
      <c r="N193" s="958" t="str">
        <f>IFERROR(VLOOKUP(M193,Price_list!$B$1:$H$187,2,0),"")</f>
        <v xml:space="preserve">Meal ( lunch) </v>
      </c>
      <c r="O193" s="958" t="str">
        <f>IFERROR(VLOOKUP(M193,Price_list!$B$1:$H$187,3,0),"")</f>
        <v>unitate</v>
      </c>
      <c r="P193" s="946">
        <f>IFERROR(VLOOKUP(M193,Price_list!$B$1:$H$187,4,0),"")</f>
        <v>220</v>
      </c>
      <c r="Q193" s="946" t="str">
        <f>IFERROR(VLOOKUP(M193,Price_list!$B$1:$H$187,5,0),"")</f>
        <v>MDL</v>
      </c>
      <c r="R193" s="958">
        <f t="shared" ca="1" si="10"/>
        <v>220</v>
      </c>
      <c r="S193" s="946">
        <f>P180</f>
        <v>1</v>
      </c>
      <c r="T193" s="1889">
        <f ca="1">P179*S193*R193</f>
        <v>4400</v>
      </c>
    </row>
    <row r="194" spans="11:20">
      <c r="K194" s="712" t="s">
        <v>238</v>
      </c>
      <c r="L194" s="1808"/>
      <c r="M194" s="1539" t="s">
        <v>3023</v>
      </c>
      <c r="N194" s="958" t="str">
        <f>IFERROR(VLOOKUP(M194,Price_list!$B$1:$H$187,2,0),"")</f>
        <v>Meal(dinner)</v>
      </c>
      <c r="O194" s="958" t="str">
        <f>IFERROR(VLOOKUP(M194,Price_list!$B$1:$H$187,3,0),"")</f>
        <v>unitate</v>
      </c>
      <c r="P194" s="946">
        <f>IFERROR(VLOOKUP(M194,Price_list!$B$1:$H$187,4,0),"")</f>
        <v>220</v>
      </c>
      <c r="Q194" s="946" t="str">
        <f>IFERROR(VLOOKUP(M194,Price_list!$B$1:$H$187,5,0),"")</f>
        <v>MDL</v>
      </c>
      <c r="R194" s="958">
        <f t="shared" ca="1" si="10"/>
        <v>220</v>
      </c>
      <c r="S194" s="946">
        <f>P183</f>
        <v>0</v>
      </c>
      <c r="T194" s="1889">
        <f ca="1">S194*R194*P181</f>
        <v>0</v>
      </c>
    </row>
    <row r="195" spans="11:20">
      <c r="K195" s="712" t="s">
        <v>238</v>
      </c>
      <c r="L195" s="1808"/>
      <c r="M195" s="1539" t="s">
        <v>3024</v>
      </c>
      <c r="N195" s="958" t="str">
        <f>IFERROR(VLOOKUP(M195,Price_list!$B$1:$H$187,2,0),"")</f>
        <v xml:space="preserve">Accomodation </v>
      </c>
      <c r="O195" s="958" t="str">
        <f>IFERROR(VLOOKUP(M195,Price_list!$B$1:$H$187,3,0),"")</f>
        <v>cost/noapte</v>
      </c>
      <c r="P195" s="946">
        <f>IFERROR(VLOOKUP(M195,Price_list!$B$1:$H$187,4,0),"")</f>
        <v>750</v>
      </c>
      <c r="Q195" s="946" t="str">
        <f>IFERROR(VLOOKUP(M195,Price_list!$B$1:$H$187,5,0),"")</f>
        <v>MDL</v>
      </c>
      <c r="R195" s="958">
        <f t="shared" ca="1" si="10"/>
        <v>750</v>
      </c>
      <c r="S195" s="946">
        <f>P183</f>
        <v>0</v>
      </c>
      <c r="T195" s="1889">
        <f ca="1">S195*R195*P181</f>
        <v>0</v>
      </c>
    </row>
    <row r="196" spans="11:20">
      <c r="K196" s="712" t="s">
        <v>238</v>
      </c>
      <c r="L196" s="1808"/>
      <c r="M196" s="1539" t="s">
        <v>3030</v>
      </c>
      <c r="N196" s="958" t="str">
        <f>IFERROR(VLOOKUP(M196,Price_list!$B$1:$H$187,2,0),"")</f>
        <v>Travel participants</v>
      </c>
      <c r="O196" s="958" t="str">
        <f>IFERROR(VLOOKUP(M196,Price_list!$B$1:$H$187,3,0),"")</f>
        <v>cost tichet o directie</v>
      </c>
      <c r="P196" s="946">
        <f>IFERROR(VLOOKUP(M196,Price_list!$B$1:$H$187,4,0),"")</f>
        <v>80</v>
      </c>
      <c r="Q196" s="946" t="str">
        <f>IFERROR(VLOOKUP(M196,Price_list!$B$1:$H$187,5,0),"")</f>
        <v>MDL</v>
      </c>
      <c r="R196" s="958">
        <f t="shared" ca="1" si="10"/>
        <v>80</v>
      </c>
      <c r="S196" s="1040">
        <v>2</v>
      </c>
      <c r="T196" s="1889">
        <f ca="1">S196*P182*R196</f>
        <v>2400</v>
      </c>
    </row>
    <row r="197" spans="11:20">
      <c r="K197" s="712" t="s">
        <v>238</v>
      </c>
      <c r="L197" s="1808"/>
      <c r="M197" s="1539"/>
      <c r="N197" s="958" t="str">
        <f>IFERROR(VLOOKUP(M197,Price_list!$B$1:$H$187,2,0),"")</f>
        <v/>
      </c>
      <c r="O197" s="958" t="str">
        <f>IFERROR(VLOOKUP(M197,Price_list!$B$1:$H$187,3,0),"")</f>
        <v/>
      </c>
      <c r="P197" s="946" t="str">
        <f>IFERROR(VLOOKUP(M197,Price_list!$B$1:$H$187,4,0),"")</f>
        <v/>
      </c>
      <c r="Q197" s="946" t="str">
        <f>IFERROR(VLOOKUP(M197,Price_list!$B$1:$H$187,5,0),"")</f>
        <v/>
      </c>
      <c r="R197" s="958">
        <f t="shared" ca="1" si="10"/>
        <v>0</v>
      </c>
      <c r="S197" s="946" t="str">
        <f>IFERROR(VLOOKUP(AD197,M187:O193,3,0),"")</f>
        <v/>
      </c>
      <c r="T197" s="1889" t="str">
        <f>IFERROR(#REF!*S197*P197,"")</f>
        <v/>
      </c>
    </row>
    <row r="198" spans="11:20">
      <c r="K198" s="712" t="s">
        <v>238</v>
      </c>
      <c r="L198" s="1808"/>
      <c r="M198" s="1539" t="s">
        <v>3025</v>
      </c>
      <c r="N198" s="958" t="str">
        <f>IFERROR(VLOOKUP(M198,Price_list!$B$1:$H$187,2,0),"")</f>
        <v>Supplies</v>
      </c>
      <c r="O198" s="958" t="str">
        <f>IFERROR(VLOOKUP(M198,Price_list!$B$1:$H$187,3,0),"")</f>
        <v>set/participant</v>
      </c>
      <c r="P198" s="946">
        <f>IFERROR(VLOOKUP(M198,Price_list!$B$1:$H$187,4,0),"")</f>
        <v>140</v>
      </c>
      <c r="Q198" s="946" t="str">
        <f>IFERROR(VLOOKUP(M198,Price_list!$B$1:$H$187,5,0),"")</f>
        <v>MDL</v>
      </c>
      <c r="R198" s="958">
        <f t="shared" ca="1" si="10"/>
        <v>140</v>
      </c>
      <c r="S198" s="946">
        <v>1</v>
      </c>
      <c r="T198" s="1889">
        <f ca="1">S198*R198*P179</f>
        <v>2800</v>
      </c>
    </row>
    <row r="199" spans="11:20">
      <c r="K199" s="712" t="s">
        <v>238</v>
      </c>
      <c r="L199" s="1808"/>
      <c r="M199" s="1539" t="s">
        <v>3022</v>
      </c>
      <c r="N199" s="958" t="str">
        <f>IFERROR(VLOOKUP(M199,Price_list!$B$1:$H$187,2,0),"")</f>
        <v>Rent of premises</v>
      </c>
      <c r="O199" s="958" t="str">
        <f>IFERROR(VLOOKUP(M199,Price_list!$B$1:$H$187,3,0),"")</f>
        <v>cost/zi</v>
      </c>
      <c r="P199" s="946">
        <f>IFERROR(VLOOKUP(M199,Price_list!$B$1:$H$187,4,0),"")</f>
        <v>1800</v>
      </c>
      <c r="Q199" s="946" t="str">
        <f>IFERROR(VLOOKUP(M199,Price_list!$B$1:$H$187,5,0),"")</f>
        <v>MDL</v>
      </c>
      <c r="R199" s="958">
        <f t="shared" ca="1" si="10"/>
        <v>1800</v>
      </c>
      <c r="S199" s="946">
        <f>P180</f>
        <v>1</v>
      </c>
      <c r="T199" s="1889">
        <f ca="1">S199*R199</f>
        <v>1800</v>
      </c>
    </row>
    <row r="200" spans="11:20">
      <c r="K200" s="712" t="s">
        <v>238</v>
      </c>
      <c r="L200" s="1808"/>
      <c r="M200" s="1539" t="s">
        <v>3031</v>
      </c>
      <c r="N200" s="958" t="str">
        <f>IFERROR(VLOOKUP(M200,Price_list!$B$1:$H$187,2,0),"")</f>
        <v>Interpreter's fee, per day</v>
      </c>
      <c r="O200" s="958" t="str">
        <f>IFERROR(VLOOKUP(M200,Price_list!$B$1:$H$187,3,0),"")</f>
        <v>cost/zi</v>
      </c>
      <c r="P200" s="946">
        <f>IFERROR(VLOOKUP(M200,Price_list!$B$1:$H$187,4,0),"")</f>
        <v>2000</v>
      </c>
      <c r="Q200" s="946" t="str">
        <f>IFERROR(VLOOKUP(M200,Price_list!$B$1:$H$187,5,0),"")</f>
        <v>MDL</v>
      </c>
      <c r="R200" s="958">
        <f t="shared" ca="1" si="10"/>
        <v>2000</v>
      </c>
      <c r="S200" s="946">
        <f>IF(P177&gt;0,P180,0)</f>
        <v>0</v>
      </c>
      <c r="T200" s="1889">
        <f ca="1">S200*R200</f>
        <v>0</v>
      </c>
    </row>
    <row r="201" spans="11:20">
      <c r="K201" s="712" t="s">
        <v>238</v>
      </c>
      <c r="L201" s="1808"/>
      <c r="M201" s="1539"/>
      <c r="N201" s="958" t="str">
        <f>IFERROR(VLOOKUP(M201,Price_list!$B$1:$H$187,2,0),"")</f>
        <v/>
      </c>
      <c r="O201" s="958" t="str">
        <f>IFERROR(VLOOKUP(M201,Price_list!$B$1:$H$187,3,0),"")</f>
        <v/>
      </c>
      <c r="P201" s="946" t="str">
        <f>IFERROR(VLOOKUP(M201,Price_list!$B$1:$H$187,4,0),"")</f>
        <v/>
      </c>
      <c r="Q201" s="946" t="str">
        <f>IFERROR(VLOOKUP(M201,Price_list!$B$1:$H$187,5,0),"")</f>
        <v/>
      </c>
      <c r="R201" s="958">
        <f t="shared" ca="1" si="10"/>
        <v>0</v>
      </c>
      <c r="S201" s="946" t="str">
        <f>IFERROR(VLOOKUP(AD201,M192:O196,3,0),"")</f>
        <v/>
      </c>
      <c r="T201" s="1889" t="str">
        <f>IFERROR(#REF!*S201*P201,"")</f>
        <v/>
      </c>
    </row>
    <row r="202" spans="11:20">
      <c r="K202" s="712" t="s">
        <v>238</v>
      </c>
      <c r="L202" s="1808"/>
      <c r="M202" s="1539"/>
      <c r="N202" s="958" t="str">
        <f>IFERROR(VLOOKUP(M202,Price_list!$B$1:$H$187,2,0),"")</f>
        <v/>
      </c>
      <c r="O202" s="958" t="str">
        <f>IFERROR(VLOOKUP(M202,Price_list!$B$1:$H$187,3,0),"")</f>
        <v/>
      </c>
      <c r="P202" s="946" t="str">
        <f>IFERROR(VLOOKUP(M202,Price_list!$B$1:$H$187,4,0),"")</f>
        <v/>
      </c>
      <c r="Q202" s="946" t="str">
        <f>IFERROR(VLOOKUP(M202,Price_list!$B$1:$H$187,5,0),"")</f>
        <v/>
      </c>
      <c r="R202" s="958">
        <f t="shared" ca="1" si="10"/>
        <v>0</v>
      </c>
      <c r="S202" s="946" t="str">
        <f>IFERROR(VLOOKUP(AD202,M193:O198,3,0),"")</f>
        <v/>
      </c>
      <c r="T202" s="1889" t="str">
        <f>IFERROR(#REF!*S202*P202,"")</f>
        <v/>
      </c>
    </row>
    <row r="203" spans="11:20">
      <c r="K203" s="712" t="s">
        <v>238</v>
      </c>
      <c r="L203" s="1808"/>
      <c r="M203" s="1539"/>
      <c r="N203" s="958" t="str">
        <f>IFERROR(VLOOKUP(M203,Price_list!$B$1:$H$187,2,0),"")</f>
        <v/>
      </c>
      <c r="O203" s="958" t="str">
        <f>IFERROR(VLOOKUP(M203,Price_list!$B$1:$H$187,3,0),"")</f>
        <v/>
      </c>
      <c r="P203" s="946" t="str">
        <f>IFERROR(VLOOKUP(M203,Price_list!$B$1:$H$187,4,0),"")</f>
        <v/>
      </c>
      <c r="Q203" s="946" t="str">
        <f>IFERROR(VLOOKUP(M203,Price_list!$B$1:$H$187,5,0),"")</f>
        <v/>
      </c>
      <c r="R203" s="958">
        <f t="shared" ca="1" si="10"/>
        <v>0</v>
      </c>
      <c r="S203" s="946" t="str">
        <f>IFERROR(VLOOKUP(AD203,M194:O199,3,0),"")</f>
        <v/>
      </c>
      <c r="T203" s="1889" t="str">
        <f>IFERROR(#REF!*S203*P203,"")</f>
        <v/>
      </c>
    </row>
    <row r="204" spans="11:20" ht="16" thickBot="1">
      <c r="K204" s="712" t="s">
        <v>238</v>
      </c>
      <c r="L204" s="1808"/>
      <c r="M204" s="1697"/>
      <c r="N204" s="1698" t="str">
        <f>IFERROR(VLOOKUP(M204,Price_list!$B$1:$H$187,2,0),"")</f>
        <v/>
      </c>
      <c r="O204" s="1698" t="str">
        <f>IFERROR(VLOOKUP(M204,Price_list!$B$1:$H$187,3,0),"")</f>
        <v/>
      </c>
      <c r="P204" s="1034" t="str">
        <f>IFERROR(VLOOKUP(M204,Price_list!$B$1:$H$187,4,0),"")</f>
        <v/>
      </c>
      <c r="Q204" s="1034" t="str">
        <f>IFERROR(VLOOKUP(M204,Price_list!$B$1:$H$187,5,0),"")</f>
        <v/>
      </c>
      <c r="R204" s="1698"/>
      <c r="S204" s="1034" t="str">
        <f>IFERROR(VLOOKUP(AD204,M195:O200,3,0),"")</f>
        <v/>
      </c>
      <c r="T204" s="1703">
        <f ca="1">SUM(T186:T203)</f>
        <v>16400</v>
      </c>
    </row>
    <row r="205" spans="11:20">
      <c r="K205" s="712" t="s">
        <v>238</v>
      </c>
      <c r="L205" s="1808"/>
      <c r="M205" s="1771" t="s">
        <v>3037</v>
      </c>
      <c r="N205" s="1742" t="s">
        <v>3006</v>
      </c>
      <c r="O205" s="1743"/>
      <c r="P205" s="1772">
        <v>7.0000000000000007E-2</v>
      </c>
      <c r="Q205" s="1773"/>
      <c r="R205" s="1773"/>
      <c r="S205" s="1773"/>
      <c r="T205" s="1774">
        <f ca="1">ROUND(T204*P205,2)</f>
        <v>1148</v>
      </c>
    </row>
    <row r="206" spans="11:20" ht="16" thickBot="1">
      <c r="K206" s="712" t="s">
        <v>238</v>
      </c>
      <c r="L206" s="1808"/>
      <c r="M206" s="1049"/>
      <c r="N206" s="960"/>
      <c r="O206" s="960"/>
      <c r="P206" s="960"/>
      <c r="Q206" s="960"/>
      <c r="R206" s="960"/>
      <c r="S206" s="960"/>
      <c r="T206" s="62"/>
    </row>
    <row r="207" spans="11:20" ht="16" thickBot="1">
      <c r="K207" s="712" t="s">
        <v>238</v>
      </c>
      <c r="L207" s="1808"/>
      <c r="M207" s="1704" t="s">
        <v>3038</v>
      </c>
      <c r="N207" s="1761"/>
      <c r="O207" s="1761"/>
      <c r="P207" s="1761"/>
      <c r="Q207" s="1761"/>
      <c r="R207" s="1761"/>
      <c r="S207" s="1761"/>
      <c r="T207" s="1706">
        <f ca="1">T205+T204</f>
        <v>17548</v>
      </c>
    </row>
    <row r="208" spans="11:20">
      <c r="K208" s="712" t="s">
        <v>238</v>
      </c>
      <c r="L208" s="1808"/>
      <c r="M208" s="1049"/>
      <c r="N208" s="960"/>
      <c r="O208" s="960"/>
      <c r="P208" s="960"/>
      <c r="Q208" s="960"/>
      <c r="R208" s="960"/>
      <c r="S208" s="960"/>
      <c r="T208" s="62"/>
    </row>
    <row r="209" spans="1:20" ht="16" thickBot="1">
      <c r="K209" s="712" t="s">
        <v>238</v>
      </c>
      <c r="L209" s="1808"/>
      <c r="M209" s="1049"/>
      <c r="N209" s="960"/>
      <c r="O209" s="960"/>
      <c r="P209" s="960"/>
      <c r="Q209" s="960"/>
      <c r="R209" s="960"/>
      <c r="S209" s="960"/>
      <c r="T209" s="62"/>
    </row>
    <row r="210" spans="1:20" ht="16" thickBot="1">
      <c r="K210" s="712" t="s">
        <v>238</v>
      </c>
      <c r="L210" s="1808"/>
      <c r="M210" s="1049" t="s">
        <v>2171</v>
      </c>
      <c r="N210" s="960"/>
      <c r="O210" s="960"/>
      <c r="P210" s="1500">
        <v>2021</v>
      </c>
      <c r="Q210" s="1762">
        <v>2022</v>
      </c>
      <c r="R210" s="1762">
        <v>2023</v>
      </c>
      <c r="S210" s="1762">
        <v>2024</v>
      </c>
      <c r="T210" s="1763">
        <v>2025</v>
      </c>
    </row>
    <row r="211" spans="1:20" ht="16" thickBot="1">
      <c r="K211" s="712" t="s">
        <v>238</v>
      </c>
      <c r="L211" s="1808"/>
      <c r="M211" s="1764" t="s">
        <v>3043</v>
      </c>
      <c r="N211" s="1504"/>
      <c r="O211" s="1504"/>
      <c r="P211" s="1713">
        <v>4</v>
      </c>
      <c r="Q211" s="1713"/>
      <c r="R211" s="1713"/>
      <c r="S211" s="1713">
        <v>0</v>
      </c>
      <c r="T211" s="1765">
        <v>0</v>
      </c>
    </row>
    <row r="212" spans="1:20" ht="16" thickBot="1">
      <c r="A212" s="730">
        <v>153</v>
      </c>
      <c r="B212" s="733">
        <f ca="1">P212</f>
        <v>70192</v>
      </c>
      <c r="C212" s="733">
        <f ca="1">Q212</f>
        <v>0</v>
      </c>
      <c r="D212" s="733">
        <f ca="1">R212</f>
        <v>0</v>
      </c>
      <c r="E212" s="733">
        <f ca="1">S212</f>
        <v>0</v>
      </c>
      <c r="F212" s="733">
        <f ca="1">T212</f>
        <v>0</v>
      </c>
      <c r="G212" s="733" t="s">
        <v>351</v>
      </c>
      <c r="H212" s="733" t="s">
        <v>3320</v>
      </c>
      <c r="I212" s="2187" t="s">
        <v>3716</v>
      </c>
      <c r="J212" s="841" t="s">
        <v>2953</v>
      </c>
      <c r="K212" s="712" t="s">
        <v>238</v>
      </c>
      <c r="L212" s="1808"/>
      <c r="M212" s="1710" t="s">
        <v>3044</v>
      </c>
      <c r="N212" s="1732"/>
      <c r="O212" s="1708"/>
      <c r="P212" s="1495">
        <f ca="1">T207*P211</f>
        <v>70192</v>
      </c>
      <c r="Q212" s="1495">
        <f ca="1">T207*Q211</f>
        <v>0</v>
      </c>
      <c r="R212" s="1495">
        <f ca="1">T207*R211</f>
        <v>0</v>
      </c>
      <c r="S212" s="1495">
        <f ca="1">T207*S211</f>
        <v>0</v>
      </c>
      <c r="T212" s="1495">
        <f ca="1">T207*T211</f>
        <v>0</v>
      </c>
    </row>
    <row r="213" spans="1:20">
      <c r="K213" s="712" t="s">
        <v>238</v>
      </c>
    </row>
    <row r="214" spans="1:20">
      <c r="K214" s="712" t="s">
        <v>238</v>
      </c>
    </row>
    <row r="215" spans="1:20" s="1808" customFormat="1" ht="19">
      <c r="I215" s="1313"/>
      <c r="K215" s="712" t="s">
        <v>238</v>
      </c>
      <c r="L215" s="1879" t="s">
        <v>2954</v>
      </c>
    </row>
    <row r="216" spans="1:20" s="1808" customFormat="1">
      <c r="I216" s="1313"/>
      <c r="K216" s="712" t="s">
        <v>238</v>
      </c>
    </row>
    <row r="217" spans="1:20" ht="19">
      <c r="K217" s="712" t="s">
        <v>238</v>
      </c>
      <c r="L217" s="1879" t="s">
        <v>3325</v>
      </c>
      <c r="M217" s="1808"/>
      <c r="N217" s="1808"/>
      <c r="O217" s="1808"/>
      <c r="P217" s="1808"/>
      <c r="Q217" s="1808"/>
      <c r="R217" s="1808"/>
      <c r="S217" s="1808"/>
      <c r="T217" s="1808"/>
    </row>
    <row r="218" spans="1:20" ht="16" thickBot="1">
      <c r="K218" s="712" t="s">
        <v>238</v>
      </c>
      <c r="L218" s="1808"/>
      <c r="M218" s="1808"/>
      <c r="N218" s="1808"/>
      <c r="O218" s="1808"/>
      <c r="P218" s="1808"/>
      <c r="Q218" s="1808"/>
      <c r="R218" s="1808"/>
      <c r="S218" s="1808"/>
      <c r="T218" s="1808"/>
    </row>
    <row r="219" spans="1:20" ht="32">
      <c r="K219" s="712" t="s">
        <v>238</v>
      </c>
      <c r="L219" s="1808"/>
      <c r="M219" s="1766" t="s">
        <v>3054</v>
      </c>
      <c r="N219" s="1696"/>
      <c r="O219" s="1767"/>
      <c r="P219" s="1220"/>
      <c r="Q219" s="966"/>
      <c r="R219" s="1768"/>
      <c r="S219" s="966"/>
      <c r="T219" s="967"/>
    </row>
    <row r="220" spans="1:20" ht="32">
      <c r="K220" s="712" t="s">
        <v>238</v>
      </c>
      <c r="L220" s="1808"/>
      <c r="M220" s="1769" t="s">
        <v>3055</v>
      </c>
      <c r="N220" s="1693"/>
      <c r="O220" s="958"/>
      <c r="P220" s="1040">
        <v>1</v>
      </c>
      <c r="Q220" s="960"/>
      <c r="R220" s="960"/>
      <c r="S220" s="960"/>
      <c r="T220" s="62"/>
    </row>
    <row r="221" spans="1:20" ht="32">
      <c r="K221" s="712" t="s">
        <v>238</v>
      </c>
      <c r="L221" s="1808"/>
      <c r="M221" s="1769" t="s">
        <v>3056</v>
      </c>
      <c r="N221" s="1693"/>
      <c r="O221" s="958"/>
      <c r="P221" s="1040">
        <v>0</v>
      </c>
      <c r="Q221" s="960"/>
      <c r="R221" s="960"/>
      <c r="S221" s="960"/>
      <c r="T221" s="62"/>
    </row>
    <row r="222" spans="1:20" ht="32">
      <c r="K222" s="712" t="s">
        <v>238</v>
      </c>
      <c r="L222" s="1808"/>
      <c r="M222" s="1769" t="s">
        <v>3057</v>
      </c>
      <c r="N222" s="1693"/>
      <c r="O222" s="958"/>
      <c r="P222" s="1040">
        <v>2</v>
      </c>
      <c r="Q222" s="960"/>
      <c r="R222" s="960"/>
      <c r="S222" s="960"/>
      <c r="T222" s="62"/>
    </row>
    <row r="223" spans="1:20" ht="32">
      <c r="K223" s="712" t="s">
        <v>238</v>
      </c>
      <c r="L223" s="1808"/>
      <c r="M223" s="1769" t="s">
        <v>3052</v>
      </c>
      <c r="N223" s="1693"/>
      <c r="O223" s="1694">
        <v>0</v>
      </c>
      <c r="P223" s="1028">
        <f>ROUND(P221*O223,0)</f>
        <v>0</v>
      </c>
      <c r="Q223" s="960"/>
      <c r="R223" s="960"/>
      <c r="S223" s="960"/>
      <c r="T223" s="62"/>
    </row>
    <row r="224" spans="1:20" ht="32">
      <c r="K224" s="712" t="s">
        <v>238</v>
      </c>
      <c r="L224" s="1808"/>
      <c r="M224" s="1769" t="s">
        <v>3053</v>
      </c>
      <c r="N224" s="1693"/>
      <c r="O224" s="1694">
        <v>0.65</v>
      </c>
      <c r="P224" s="1028">
        <f>ROUND(P221*O224,0)</f>
        <v>0</v>
      </c>
      <c r="Q224" s="960"/>
      <c r="R224" s="960"/>
      <c r="S224" s="960"/>
      <c r="T224" s="62"/>
    </row>
    <row r="225" spans="11:20">
      <c r="K225" s="712" t="s">
        <v>238</v>
      </c>
      <c r="L225" s="1808"/>
      <c r="M225" s="1770" t="s">
        <v>3036</v>
      </c>
      <c r="N225" s="1019"/>
      <c r="O225" s="1695"/>
      <c r="P225" s="1028">
        <f>P222-1</f>
        <v>1</v>
      </c>
      <c r="Q225" s="960"/>
      <c r="R225" s="960"/>
      <c r="S225" s="960"/>
      <c r="T225" s="62"/>
    </row>
    <row r="226" spans="11:20" ht="16" thickBot="1">
      <c r="K226" s="712" t="s">
        <v>238</v>
      </c>
      <c r="L226" s="1808"/>
      <c r="M226" s="1049"/>
      <c r="N226" s="960"/>
      <c r="O226" s="960"/>
      <c r="P226" s="960"/>
      <c r="Q226" s="960"/>
      <c r="R226" s="960"/>
      <c r="S226" s="960"/>
      <c r="T226" s="62"/>
    </row>
    <row r="227" spans="11:20" ht="32">
      <c r="K227" s="712" t="s">
        <v>238</v>
      </c>
      <c r="L227" s="1808"/>
      <c r="M227" s="1699" t="s">
        <v>3033</v>
      </c>
      <c r="N227" s="1700" t="s">
        <v>3034</v>
      </c>
      <c r="O227" s="1702" t="s">
        <v>3040</v>
      </c>
      <c r="P227" s="1702" t="s">
        <v>3041</v>
      </c>
      <c r="Q227" s="1702" t="s">
        <v>3042</v>
      </c>
      <c r="R227" s="1700" t="s">
        <v>3035</v>
      </c>
      <c r="S227" s="1702" t="s">
        <v>3039</v>
      </c>
      <c r="T227" s="1701" t="s">
        <v>2189</v>
      </c>
    </row>
    <row r="228" spans="11:20">
      <c r="K228" s="712" t="s">
        <v>238</v>
      </c>
      <c r="L228" s="1808"/>
      <c r="M228" s="1539" t="s">
        <v>3051</v>
      </c>
      <c r="N228" s="958" t="str">
        <f>IFERROR(VLOOKUP(M228,Price_list!$B$1:$H$187,2,0),"")</f>
        <v>International Consultancy fee (3.1)</v>
      </c>
      <c r="O228" s="958" t="str">
        <f>IFERROR(VLOOKUP(M228,Price_list!$B$1:$H$187,3,0),"")</f>
        <v>cost/zi</v>
      </c>
      <c r="P228" s="946">
        <f>IFERROR(VLOOKUP(M228,Price_list!$B$1:$H$187,4,0),"")</f>
        <v>350</v>
      </c>
      <c r="Q228" s="946" t="str">
        <f>IFERROR(VLOOKUP(M228,Price_list!$B$1:$H$187,5,0),"")</f>
        <v>EUR</v>
      </c>
      <c r="R228" s="958">
        <f ca="1">ROUND(IFERROR(IF(Q228="MDL",P228,P228*INDIRECT(Q228)),0),2)</f>
        <v>6868.65</v>
      </c>
      <c r="S228" s="946">
        <f>P222</f>
        <v>2</v>
      </c>
      <c r="T228" s="1889">
        <f ca="1">IFERROR(P219*R228*S228,"")</f>
        <v>0</v>
      </c>
    </row>
    <row r="229" spans="11:20">
      <c r="K229" s="712" t="s">
        <v>238</v>
      </c>
      <c r="L229" s="1808"/>
      <c r="M229" s="1539" t="s">
        <v>3029</v>
      </c>
      <c r="N229" s="958" t="str">
        <f>IFERROR(VLOOKUP(M229,Price_list!$B$1:$H$187,2,0),"")</f>
        <v xml:space="preserve">Travel costs </v>
      </c>
      <c r="O229" s="958" t="str">
        <f>IFERROR(VLOOKUP(M229,Price_list!$B$1:$H$187,3,0),"")</f>
        <v>cost tichet o directie</v>
      </c>
      <c r="P229" s="946">
        <f>IFERROR(VLOOKUP(M229,Price_list!$B$1:$H$187,4,0),"")</f>
        <v>5000</v>
      </c>
      <c r="Q229" s="946" t="str">
        <f>IFERROR(VLOOKUP(M229,Price_list!$B$1:$H$187,5,0),"")</f>
        <v>MDL</v>
      </c>
      <c r="R229" s="958">
        <f t="shared" ref="R229:R245" ca="1" si="11">ROUND(IFERROR(IF(Q229="MDL",P229,P229*INDIRECT(Q229)),0),2)</f>
        <v>5000</v>
      </c>
      <c r="S229" s="1040">
        <v>2</v>
      </c>
      <c r="T229" s="1889">
        <f ca="1">P219*S229*R229</f>
        <v>0</v>
      </c>
    </row>
    <row r="230" spans="11:20">
      <c r="K230" s="712" t="s">
        <v>238</v>
      </c>
      <c r="L230" s="1808"/>
      <c r="M230" s="1539" t="s">
        <v>3020</v>
      </c>
      <c r="N230" s="958" t="str">
        <f>IFERROR(VLOOKUP(M230,Price_list!$B$1:$H$187,2,0),"")</f>
        <v xml:space="preserve">Per diem, WHO DSA, average </v>
      </c>
      <c r="O230" s="958" t="str">
        <f>IFERROR(VLOOKUP(M230,Price_list!$B$1:$H$187,3,0),"")</f>
        <v>diurna</v>
      </c>
      <c r="P230" s="946">
        <f>IFERROR(VLOOKUP(M230,Price_list!$B$1:$H$187,4,0),"")</f>
        <v>200</v>
      </c>
      <c r="Q230" s="946" t="str">
        <f>IFERROR(VLOOKUP(M230,Price_list!$B$1:$H$187,5,0),"")</f>
        <v>EUR</v>
      </c>
      <c r="R230" s="958">
        <f t="shared" ca="1" si="11"/>
        <v>3924.94</v>
      </c>
      <c r="S230" s="946">
        <f>P222+1</f>
        <v>3</v>
      </c>
      <c r="T230" s="1889">
        <f ca="1">P219*R230*S230</f>
        <v>0</v>
      </c>
    </row>
    <row r="231" spans="11:20">
      <c r="K231" s="712" t="s">
        <v>238</v>
      </c>
      <c r="L231" s="1808"/>
      <c r="M231" s="1539" t="s">
        <v>3050</v>
      </c>
      <c r="N231" s="958" t="str">
        <f>IFERROR(VLOOKUP(M231,Price_list!$B$1:$H$187,2,0),"")</f>
        <v>National Consultancy fee (3.1)</v>
      </c>
      <c r="O231" s="958" t="str">
        <f>IFERROR(VLOOKUP(M231,Price_list!$B$1:$H$187,3,0),"")</f>
        <v>cost/zi</v>
      </c>
      <c r="P231" s="946">
        <f>IFERROR(VLOOKUP(M231,Price_list!$B$1:$H$187,4,0),"")</f>
        <v>2000</v>
      </c>
      <c r="Q231" s="946" t="str">
        <f>IFERROR(VLOOKUP(M231,Price_list!$B$1:$H$187,5,0),"")</f>
        <v>MDL</v>
      </c>
      <c r="R231" s="958">
        <f t="shared" ca="1" si="11"/>
        <v>2000</v>
      </c>
      <c r="S231" s="946">
        <f>P222</f>
        <v>2</v>
      </c>
      <c r="T231" s="1889">
        <f ca="1">P220*R231*S231</f>
        <v>4000</v>
      </c>
    </row>
    <row r="232" spans="11:20">
      <c r="K232" s="712" t="s">
        <v>238</v>
      </c>
      <c r="L232" s="1808"/>
      <c r="M232" s="1539"/>
      <c r="N232" s="958" t="str">
        <f>IFERROR(VLOOKUP(M232,Price_list!$B$1:$H$187,2,0),"")</f>
        <v/>
      </c>
      <c r="O232" s="958" t="str">
        <f>IFERROR(VLOOKUP(M232,Price_list!$B$1:$H$187,3,0),"")</f>
        <v/>
      </c>
      <c r="P232" s="946" t="str">
        <f>IFERROR(VLOOKUP(M232,Price_list!$B$1:$H$187,4,0),"")</f>
        <v/>
      </c>
      <c r="Q232" s="946" t="str">
        <f>IFERROR(VLOOKUP(M232,Price_list!$B$1:$H$187,5,0),"")</f>
        <v/>
      </c>
      <c r="R232" s="958">
        <f t="shared" ca="1" si="11"/>
        <v>0</v>
      </c>
      <c r="S232" s="946" t="str">
        <f>IFERROR(VLOOKUP(AD232,M223:O228,3,0),"")</f>
        <v/>
      </c>
      <c r="T232" s="1889" t="str">
        <f>IFERROR(#REF!*S232*P232,"")</f>
        <v/>
      </c>
    </row>
    <row r="233" spans="11:20">
      <c r="K233" s="712" t="s">
        <v>238</v>
      </c>
      <c r="L233" s="1808"/>
      <c r="M233" s="1539"/>
      <c r="N233" s="958" t="str">
        <f>IFERROR(VLOOKUP(M233,Price_list!$B$1:$H$187,2,0),"")</f>
        <v/>
      </c>
      <c r="O233" s="958" t="str">
        <f>IFERROR(VLOOKUP(M233,Price_list!$B$1:$H$187,3,0),"")</f>
        <v/>
      </c>
      <c r="P233" s="946" t="str">
        <f>IFERROR(VLOOKUP(M233,Price_list!$B$1:$H$187,4,0),"")</f>
        <v/>
      </c>
      <c r="Q233" s="946" t="str">
        <f>IFERROR(VLOOKUP(M233,Price_list!$B$1:$H$187,5,0),"")</f>
        <v/>
      </c>
      <c r="R233" s="958">
        <f t="shared" ca="1" si="11"/>
        <v>0</v>
      </c>
      <c r="S233" s="946" t="str">
        <f>IFERROR(VLOOKUP(AD233,M225:O229,3,0),"")</f>
        <v/>
      </c>
      <c r="T233" s="1889" t="str">
        <f>IFERROR(#REF!*S233*P233,"")</f>
        <v/>
      </c>
    </row>
    <row r="234" spans="11:20">
      <c r="K234" s="712" t="s">
        <v>238</v>
      </c>
      <c r="L234" s="1808"/>
      <c r="M234" s="1539" t="s">
        <v>3016</v>
      </c>
      <c r="N234" s="958" t="str">
        <f>IFERROR(VLOOKUP(M234,Price_list!$B$1:$H$187,2,0),"")</f>
        <v>Coffe break</v>
      </c>
      <c r="O234" s="958" t="str">
        <f>IFERROR(VLOOKUP(M234,Price_list!$B$1:$H$187,3,0),"")</f>
        <v>unitate</v>
      </c>
      <c r="P234" s="946">
        <f>IFERROR(VLOOKUP(M234,Price_list!$B$1:$H$187,4,0),"")</f>
        <v>75</v>
      </c>
      <c r="Q234" s="946" t="str">
        <f>IFERROR(VLOOKUP(M234,Price_list!$B$1:$H$187,5,0),"")</f>
        <v>MDL</v>
      </c>
      <c r="R234" s="958">
        <f t="shared" ca="1" si="11"/>
        <v>75</v>
      </c>
      <c r="S234" s="946">
        <v>2</v>
      </c>
      <c r="T234" s="1889">
        <f ca="1">S234*R234*P221*P222</f>
        <v>0</v>
      </c>
    </row>
    <row r="235" spans="11:20">
      <c r="K235" s="712" t="s">
        <v>238</v>
      </c>
      <c r="L235" s="1808"/>
      <c r="M235" s="1539" t="s">
        <v>3021</v>
      </c>
      <c r="N235" s="958" t="str">
        <f>IFERROR(VLOOKUP(M235,Price_list!$B$1:$H$187,2,0),"")</f>
        <v xml:space="preserve">Meal ( lunch) </v>
      </c>
      <c r="O235" s="958" t="str">
        <f>IFERROR(VLOOKUP(M235,Price_list!$B$1:$H$187,3,0),"")</f>
        <v>unitate</v>
      </c>
      <c r="P235" s="946">
        <f>IFERROR(VLOOKUP(M235,Price_list!$B$1:$H$187,4,0),"")</f>
        <v>220</v>
      </c>
      <c r="Q235" s="946" t="str">
        <f>IFERROR(VLOOKUP(M235,Price_list!$B$1:$H$187,5,0),"")</f>
        <v>MDL</v>
      </c>
      <c r="R235" s="958">
        <f t="shared" ca="1" si="11"/>
        <v>220</v>
      </c>
      <c r="S235" s="946">
        <f>P222</f>
        <v>2</v>
      </c>
      <c r="T235" s="1889">
        <f ca="1">P221*S235*R235</f>
        <v>0</v>
      </c>
    </row>
    <row r="236" spans="11:20">
      <c r="K236" s="712" t="s">
        <v>238</v>
      </c>
      <c r="L236" s="1808"/>
      <c r="M236" s="1539" t="s">
        <v>3023</v>
      </c>
      <c r="N236" s="958" t="str">
        <f>IFERROR(VLOOKUP(M236,Price_list!$B$1:$H$187,2,0),"")</f>
        <v>Meal(dinner)</v>
      </c>
      <c r="O236" s="958" t="str">
        <f>IFERROR(VLOOKUP(M236,Price_list!$B$1:$H$187,3,0),"")</f>
        <v>unitate</v>
      </c>
      <c r="P236" s="946">
        <f>IFERROR(VLOOKUP(M236,Price_list!$B$1:$H$187,4,0),"")</f>
        <v>220</v>
      </c>
      <c r="Q236" s="946" t="str">
        <f>IFERROR(VLOOKUP(M236,Price_list!$B$1:$H$187,5,0),"")</f>
        <v>MDL</v>
      </c>
      <c r="R236" s="958">
        <f t="shared" ca="1" si="11"/>
        <v>220</v>
      </c>
      <c r="S236" s="946">
        <f>P225</f>
        <v>1</v>
      </c>
      <c r="T236" s="1889">
        <f ca="1">S236*R236*P223</f>
        <v>0</v>
      </c>
    </row>
    <row r="237" spans="11:20">
      <c r="K237" s="712" t="s">
        <v>238</v>
      </c>
      <c r="L237" s="1808"/>
      <c r="M237" s="1539" t="s">
        <v>3024</v>
      </c>
      <c r="N237" s="958" t="str">
        <f>IFERROR(VLOOKUP(M237,Price_list!$B$1:$H$187,2,0),"")</f>
        <v xml:space="preserve">Accomodation </v>
      </c>
      <c r="O237" s="958" t="str">
        <f>IFERROR(VLOOKUP(M237,Price_list!$B$1:$H$187,3,0),"")</f>
        <v>cost/noapte</v>
      </c>
      <c r="P237" s="946">
        <f>IFERROR(VLOOKUP(M237,Price_list!$B$1:$H$187,4,0),"")</f>
        <v>750</v>
      </c>
      <c r="Q237" s="946" t="str">
        <f>IFERROR(VLOOKUP(M237,Price_list!$B$1:$H$187,5,0),"")</f>
        <v>MDL</v>
      </c>
      <c r="R237" s="958">
        <f t="shared" ca="1" si="11"/>
        <v>750</v>
      </c>
      <c r="S237" s="946">
        <f>P225</f>
        <v>1</v>
      </c>
      <c r="T237" s="1889">
        <f ca="1">S237*R237*P223</f>
        <v>0</v>
      </c>
    </row>
    <row r="238" spans="11:20">
      <c r="K238" s="712" t="s">
        <v>238</v>
      </c>
      <c r="L238" s="1808"/>
      <c r="M238" s="1539" t="s">
        <v>3030</v>
      </c>
      <c r="N238" s="958" t="str">
        <f>IFERROR(VLOOKUP(M238,Price_list!$B$1:$H$187,2,0),"")</f>
        <v>Travel participants</v>
      </c>
      <c r="O238" s="958" t="str">
        <f>IFERROR(VLOOKUP(M238,Price_list!$B$1:$H$187,3,0),"")</f>
        <v>cost tichet o directie</v>
      </c>
      <c r="P238" s="946">
        <f>IFERROR(VLOOKUP(M238,Price_list!$B$1:$H$187,4,0),"")</f>
        <v>80</v>
      </c>
      <c r="Q238" s="946" t="str">
        <f>IFERROR(VLOOKUP(M238,Price_list!$B$1:$H$187,5,0),"")</f>
        <v>MDL</v>
      </c>
      <c r="R238" s="958">
        <f t="shared" ca="1" si="11"/>
        <v>80</v>
      </c>
      <c r="S238" s="1040">
        <v>2</v>
      </c>
      <c r="T238" s="1889">
        <f ca="1">S238*P224*R238</f>
        <v>0</v>
      </c>
    </row>
    <row r="239" spans="11:20">
      <c r="K239" s="712" t="s">
        <v>238</v>
      </c>
      <c r="L239" s="1808"/>
      <c r="M239" s="1539"/>
      <c r="N239" s="958" t="str">
        <f>IFERROR(VLOOKUP(M239,Price_list!$B$1:$H$187,2,0),"")</f>
        <v/>
      </c>
      <c r="O239" s="958" t="str">
        <f>IFERROR(VLOOKUP(M239,Price_list!$B$1:$H$187,3,0),"")</f>
        <v/>
      </c>
      <c r="P239" s="946" t="str">
        <f>IFERROR(VLOOKUP(M239,Price_list!$B$1:$H$187,4,0),"")</f>
        <v/>
      </c>
      <c r="Q239" s="946" t="str">
        <f>IFERROR(VLOOKUP(M239,Price_list!$B$1:$H$187,5,0),"")</f>
        <v/>
      </c>
      <c r="R239" s="958">
        <f t="shared" ca="1" si="11"/>
        <v>0</v>
      </c>
      <c r="S239" s="946" t="str">
        <f>IFERROR(VLOOKUP(AD239,M229:O235,3,0),"")</f>
        <v/>
      </c>
      <c r="T239" s="1889" t="str">
        <f>IFERROR(#REF!*S239*P239,"")</f>
        <v/>
      </c>
    </row>
    <row r="240" spans="11:20">
      <c r="K240" s="712" t="s">
        <v>238</v>
      </c>
      <c r="L240" s="1808"/>
      <c r="M240" s="1539" t="s">
        <v>3025</v>
      </c>
      <c r="N240" s="958" t="str">
        <f>IFERROR(VLOOKUP(M240,Price_list!$B$1:$H$187,2,0),"")</f>
        <v>Supplies</v>
      </c>
      <c r="O240" s="958" t="str">
        <f>IFERROR(VLOOKUP(M240,Price_list!$B$1:$H$187,3,0),"")</f>
        <v>set/participant</v>
      </c>
      <c r="P240" s="946">
        <f>IFERROR(VLOOKUP(M240,Price_list!$B$1:$H$187,4,0),"")</f>
        <v>140</v>
      </c>
      <c r="Q240" s="946" t="str">
        <f>IFERROR(VLOOKUP(M240,Price_list!$B$1:$H$187,5,0),"")</f>
        <v>MDL</v>
      </c>
      <c r="R240" s="958">
        <f t="shared" ca="1" si="11"/>
        <v>140</v>
      </c>
      <c r="S240" s="946">
        <v>1</v>
      </c>
      <c r="T240" s="1889">
        <f ca="1">S240*R240*P221</f>
        <v>0</v>
      </c>
    </row>
    <row r="241" spans="1:20">
      <c r="K241" s="712" t="s">
        <v>238</v>
      </c>
      <c r="L241" s="1808"/>
      <c r="M241" s="1539" t="s">
        <v>3022</v>
      </c>
      <c r="N241" s="958" t="str">
        <f>IFERROR(VLOOKUP(M241,Price_list!$B$1:$H$187,2,0),"")</f>
        <v>Rent of premises</v>
      </c>
      <c r="O241" s="958" t="str">
        <f>IFERROR(VLOOKUP(M241,Price_list!$B$1:$H$187,3,0),"")</f>
        <v>cost/zi</v>
      </c>
      <c r="P241" s="946">
        <f>IFERROR(VLOOKUP(M241,Price_list!$B$1:$H$187,4,0),"")</f>
        <v>1800</v>
      </c>
      <c r="Q241" s="946" t="str">
        <f>IFERROR(VLOOKUP(M241,Price_list!$B$1:$H$187,5,0),"")</f>
        <v>MDL</v>
      </c>
      <c r="R241" s="958">
        <f t="shared" ca="1" si="11"/>
        <v>1800</v>
      </c>
      <c r="S241" s="946">
        <v>0</v>
      </c>
      <c r="T241" s="1889">
        <f ca="1">S241*R241</f>
        <v>0</v>
      </c>
    </row>
    <row r="242" spans="1:20">
      <c r="K242" s="712" t="s">
        <v>238</v>
      </c>
      <c r="L242" s="1808"/>
      <c r="M242" s="1539" t="s">
        <v>3031</v>
      </c>
      <c r="N242" s="958" t="str">
        <f>IFERROR(VLOOKUP(M242,Price_list!$B$1:$H$187,2,0),"")</f>
        <v>Interpreter's fee, per day</v>
      </c>
      <c r="O242" s="958" t="str">
        <f>IFERROR(VLOOKUP(M242,Price_list!$B$1:$H$187,3,0),"")</f>
        <v>cost/zi</v>
      </c>
      <c r="P242" s="946">
        <f>IFERROR(VLOOKUP(M242,Price_list!$B$1:$H$187,4,0),"")</f>
        <v>2000</v>
      </c>
      <c r="Q242" s="946" t="str">
        <f>IFERROR(VLOOKUP(M242,Price_list!$B$1:$H$187,5,0),"")</f>
        <v>MDL</v>
      </c>
      <c r="R242" s="958">
        <f t="shared" ca="1" si="11"/>
        <v>2000</v>
      </c>
      <c r="S242" s="946">
        <f>IF(P219&gt;0,P222,0)</f>
        <v>0</v>
      </c>
      <c r="T242" s="1889">
        <f ca="1">S242*R242</f>
        <v>0</v>
      </c>
    </row>
    <row r="243" spans="1:20">
      <c r="K243" s="712" t="s">
        <v>238</v>
      </c>
      <c r="L243" s="1808"/>
      <c r="M243" s="1539"/>
      <c r="N243" s="958" t="str">
        <f>IFERROR(VLOOKUP(M243,Price_list!$B$1:$H$187,2,0),"")</f>
        <v/>
      </c>
      <c r="O243" s="958" t="str">
        <f>IFERROR(VLOOKUP(M243,Price_list!$B$1:$H$187,3,0),"")</f>
        <v/>
      </c>
      <c r="P243" s="946" t="str">
        <f>IFERROR(VLOOKUP(M243,Price_list!$B$1:$H$187,4,0),"")</f>
        <v/>
      </c>
      <c r="Q243" s="946" t="str">
        <f>IFERROR(VLOOKUP(M243,Price_list!$B$1:$H$187,5,0),"")</f>
        <v/>
      </c>
      <c r="R243" s="958">
        <f t="shared" ca="1" si="11"/>
        <v>0</v>
      </c>
      <c r="S243" s="946" t="str">
        <f>IFERROR(VLOOKUP(AD243,M234:O238,3,0),"")</f>
        <v/>
      </c>
      <c r="T243" s="1889" t="str">
        <f>IFERROR(#REF!*S243*P243,"")</f>
        <v/>
      </c>
    </row>
    <row r="244" spans="1:20">
      <c r="K244" s="712" t="s">
        <v>238</v>
      </c>
      <c r="L244" s="1808"/>
      <c r="M244" s="1539"/>
      <c r="N244" s="958" t="str">
        <f>IFERROR(VLOOKUP(M244,Price_list!$B$1:$H$187,2,0),"")</f>
        <v/>
      </c>
      <c r="O244" s="958" t="str">
        <f>IFERROR(VLOOKUP(M244,Price_list!$B$1:$H$187,3,0),"")</f>
        <v/>
      </c>
      <c r="P244" s="946" t="str">
        <f>IFERROR(VLOOKUP(M244,Price_list!$B$1:$H$187,4,0),"")</f>
        <v/>
      </c>
      <c r="Q244" s="946" t="str">
        <f>IFERROR(VLOOKUP(M244,Price_list!$B$1:$H$187,5,0),"")</f>
        <v/>
      </c>
      <c r="R244" s="958">
        <f t="shared" ca="1" si="11"/>
        <v>0</v>
      </c>
      <c r="S244" s="946" t="str">
        <f>IFERROR(VLOOKUP(AD244,M235:O240,3,0),"")</f>
        <v/>
      </c>
      <c r="T244" s="1889" t="str">
        <f>IFERROR(#REF!*S244*P244,"")</f>
        <v/>
      </c>
    </row>
    <row r="245" spans="1:20">
      <c r="K245" s="712" t="s">
        <v>238</v>
      </c>
      <c r="L245" s="1808"/>
      <c r="M245" s="1539"/>
      <c r="N245" s="958" t="str">
        <f>IFERROR(VLOOKUP(M245,Price_list!$B$1:$H$187,2,0),"")</f>
        <v/>
      </c>
      <c r="O245" s="958" t="str">
        <f>IFERROR(VLOOKUP(M245,Price_list!$B$1:$H$187,3,0),"")</f>
        <v/>
      </c>
      <c r="P245" s="946" t="str">
        <f>IFERROR(VLOOKUP(M245,Price_list!$B$1:$H$187,4,0),"")</f>
        <v/>
      </c>
      <c r="Q245" s="946" t="str">
        <f>IFERROR(VLOOKUP(M245,Price_list!$B$1:$H$187,5,0),"")</f>
        <v/>
      </c>
      <c r="R245" s="958">
        <f t="shared" ca="1" si="11"/>
        <v>0</v>
      </c>
      <c r="S245" s="946" t="str">
        <f>IFERROR(VLOOKUP(AD245,M236:O241,3,0),"")</f>
        <v/>
      </c>
      <c r="T245" s="1889" t="str">
        <f>IFERROR(#REF!*S245*P245,"")</f>
        <v/>
      </c>
    </row>
    <row r="246" spans="1:20" ht="16" thickBot="1">
      <c r="K246" s="712" t="s">
        <v>238</v>
      </c>
      <c r="L246" s="1808"/>
      <c r="M246" s="1697"/>
      <c r="N246" s="1698" t="str">
        <f>IFERROR(VLOOKUP(M246,Price_list!$B$1:$H$187,2,0),"")</f>
        <v/>
      </c>
      <c r="O246" s="1698" t="str">
        <f>IFERROR(VLOOKUP(M246,Price_list!$B$1:$H$187,3,0),"")</f>
        <v/>
      </c>
      <c r="P246" s="1034" t="str">
        <f>IFERROR(VLOOKUP(M246,Price_list!$B$1:$H$187,4,0),"")</f>
        <v/>
      </c>
      <c r="Q246" s="1034" t="str">
        <f>IFERROR(VLOOKUP(M246,Price_list!$B$1:$H$187,5,0),"")</f>
        <v/>
      </c>
      <c r="R246" s="1698"/>
      <c r="S246" s="1034" t="str">
        <f>IFERROR(VLOOKUP(AD246,M237:O242,3,0),"")</f>
        <v/>
      </c>
      <c r="T246" s="1703">
        <f ca="1">SUM(T228:T245)</f>
        <v>4000</v>
      </c>
    </row>
    <row r="247" spans="1:20">
      <c r="K247" s="712" t="s">
        <v>238</v>
      </c>
      <c r="L247" s="1808"/>
      <c r="M247" s="1771" t="s">
        <v>3037</v>
      </c>
      <c r="N247" s="1742" t="s">
        <v>3006</v>
      </c>
      <c r="O247" s="1743"/>
      <c r="P247" s="1772">
        <v>7.0000000000000007E-2</v>
      </c>
      <c r="Q247" s="1773"/>
      <c r="R247" s="1773"/>
      <c r="S247" s="1773"/>
      <c r="T247" s="1774">
        <f ca="1">ROUND(T246*P247,2)</f>
        <v>280</v>
      </c>
    </row>
    <row r="248" spans="1:20" ht="16" thickBot="1">
      <c r="K248" s="712" t="s">
        <v>238</v>
      </c>
      <c r="L248" s="1808"/>
      <c r="M248" s="1049"/>
      <c r="N248" s="960"/>
      <c r="O248" s="960"/>
      <c r="P248" s="960"/>
      <c r="Q248" s="960"/>
      <c r="R248" s="960"/>
      <c r="S248" s="960"/>
      <c r="T248" s="62"/>
    </row>
    <row r="249" spans="1:20" ht="16" thickBot="1">
      <c r="K249" s="712" t="s">
        <v>238</v>
      </c>
      <c r="L249" s="1808"/>
      <c r="M249" s="1704" t="s">
        <v>3038</v>
      </c>
      <c r="N249" s="1761"/>
      <c r="O249" s="1761"/>
      <c r="P249" s="1761"/>
      <c r="Q249" s="1761"/>
      <c r="R249" s="1761"/>
      <c r="S249" s="1761"/>
      <c r="T249" s="1706">
        <f ca="1">T247+T246</f>
        <v>4280</v>
      </c>
    </row>
    <row r="250" spans="1:20">
      <c r="K250" s="712" t="s">
        <v>238</v>
      </c>
      <c r="L250" s="1808"/>
      <c r="M250" s="1049"/>
      <c r="N250" s="960"/>
      <c r="O250" s="960"/>
      <c r="P250" s="960"/>
      <c r="Q250" s="960"/>
      <c r="R250" s="960"/>
      <c r="S250" s="960"/>
      <c r="T250" s="62"/>
    </row>
    <row r="251" spans="1:20" ht="16" thickBot="1">
      <c r="K251" s="712" t="s">
        <v>238</v>
      </c>
      <c r="L251" s="1808"/>
      <c r="M251" s="1049"/>
      <c r="N251" s="960"/>
      <c r="O251" s="960"/>
      <c r="P251" s="960"/>
      <c r="Q251" s="960"/>
      <c r="R251" s="960"/>
      <c r="S251" s="960"/>
      <c r="T251" s="62"/>
    </row>
    <row r="252" spans="1:20" ht="16" thickBot="1">
      <c r="K252" s="712" t="s">
        <v>238</v>
      </c>
      <c r="L252" s="1808"/>
      <c r="M252" s="1049" t="s">
        <v>2171</v>
      </c>
      <c r="N252" s="960"/>
      <c r="O252" s="960"/>
      <c r="P252" s="1500">
        <v>2021</v>
      </c>
      <c r="Q252" s="1762">
        <v>2022</v>
      </c>
      <c r="R252" s="1762">
        <v>2023</v>
      </c>
      <c r="S252" s="1762">
        <v>2024</v>
      </c>
      <c r="T252" s="1763">
        <v>2025</v>
      </c>
    </row>
    <row r="253" spans="1:20" ht="16" thickBot="1">
      <c r="K253" s="712" t="s">
        <v>238</v>
      </c>
      <c r="L253" s="1808"/>
      <c r="M253" s="1764" t="s">
        <v>3043</v>
      </c>
      <c r="N253" s="1504"/>
      <c r="O253" s="1504"/>
      <c r="P253" s="1713">
        <v>0</v>
      </c>
      <c r="Q253" s="1713">
        <v>1</v>
      </c>
      <c r="R253" s="1713">
        <v>1</v>
      </c>
      <c r="S253" s="1713">
        <v>0</v>
      </c>
      <c r="T253" s="1765">
        <v>0</v>
      </c>
    </row>
    <row r="254" spans="1:20" ht="16" thickBot="1">
      <c r="A254" s="730">
        <v>154</v>
      </c>
      <c r="B254" s="733">
        <f ca="1">P254</f>
        <v>0</v>
      </c>
      <c r="C254" s="733">
        <f t="shared" ref="C254:F254" ca="1" si="12">Q254</f>
        <v>4280</v>
      </c>
      <c r="D254" s="733">
        <f t="shared" ca="1" si="12"/>
        <v>4280</v>
      </c>
      <c r="E254" s="733">
        <f t="shared" ca="1" si="12"/>
        <v>0</v>
      </c>
      <c r="F254" s="733">
        <f t="shared" ca="1" si="12"/>
        <v>0</v>
      </c>
      <c r="G254" s="733" t="s">
        <v>351</v>
      </c>
      <c r="H254" s="733" t="s">
        <v>3325</v>
      </c>
      <c r="I254" s="2187" t="s">
        <v>3716</v>
      </c>
      <c r="J254" s="841" t="s">
        <v>3372</v>
      </c>
      <c r="K254" s="712" t="s">
        <v>238</v>
      </c>
      <c r="L254" s="1808"/>
      <c r="M254" s="1710" t="s">
        <v>3044</v>
      </c>
      <c r="N254" s="1732"/>
      <c r="O254" s="1708"/>
      <c r="P254" s="1495">
        <f ca="1">T249*P253</f>
        <v>0</v>
      </c>
      <c r="Q254" s="1495">
        <f ca="1">T249*Q253</f>
        <v>4280</v>
      </c>
      <c r="R254" s="1495">
        <f ca="1">T249*R253</f>
        <v>4280</v>
      </c>
      <c r="S254" s="1495">
        <f ca="1">T249*S253</f>
        <v>0</v>
      </c>
      <c r="T254" s="1495">
        <f ca="1">T249*T253</f>
        <v>0</v>
      </c>
    </row>
    <row r="255" spans="1:20">
      <c r="K255" s="712" t="s">
        <v>238</v>
      </c>
    </row>
    <row r="256" spans="1:20">
      <c r="K256" s="712" t="s">
        <v>238</v>
      </c>
    </row>
    <row r="257" spans="11:20" ht="19">
      <c r="K257" s="712" t="s">
        <v>238</v>
      </c>
      <c r="L257" s="1879" t="s">
        <v>3326</v>
      </c>
      <c r="M257" s="1808"/>
      <c r="N257" s="1808"/>
      <c r="O257" s="1808"/>
      <c r="P257" s="1808"/>
      <c r="Q257" s="1808"/>
      <c r="R257" s="1808"/>
      <c r="S257" s="1808"/>
      <c r="T257" s="1808"/>
    </row>
    <row r="258" spans="11:20" ht="16" thickBot="1">
      <c r="K258" s="712" t="s">
        <v>238</v>
      </c>
      <c r="L258" s="1808"/>
      <c r="M258" s="1808"/>
      <c r="N258" s="1808"/>
      <c r="O258" s="1808"/>
      <c r="P258" s="1808"/>
      <c r="Q258" s="1808"/>
      <c r="R258" s="1808"/>
      <c r="S258" s="1808"/>
      <c r="T258" s="1808"/>
    </row>
    <row r="259" spans="11:20" ht="32">
      <c r="K259" s="712" t="s">
        <v>238</v>
      </c>
      <c r="L259" s="1808"/>
      <c r="M259" s="1766" t="s">
        <v>3054</v>
      </c>
      <c r="N259" s="1696"/>
      <c r="O259" s="1767"/>
      <c r="P259" s="1220"/>
      <c r="Q259" s="966"/>
      <c r="R259" s="1768"/>
      <c r="S259" s="966"/>
      <c r="T259" s="967"/>
    </row>
    <row r="260" spans="11:20" ht="32">
      <c r="K260" s="712" t="s">
        <v>238</v>
      </c>
      <c r="L260" s="1808"/>
      <c r="M260" s="1769" t="s">
        <v>3055</v>
      </c>
      <c r="N260" s="1693"/>
      <c r="O260" s="958"/>
      <c r="P260" s="1040">
        <v>2</v>
      </c>
      <c r="Q260" s="960"/>
      <c r="R260" s="960"/>
      <c r="S260" s="960"/>
      <c r="T260" s="62"/>
    </row>
    <row r="261" spans="11:20" ht="32">
      <c r="K261" s="712" t="s">
        <v>238</v>
      </c>
      <c r="L261" s="1808"/>
      <c r="M261" s="1769" t="s">
        <v>3056</v>
      </c>
      <c r="N261" s="1693"/>
      <c r="O261" s="958"/>
      <c r="P261" s="1040">
        <v>50</v>
      </c>
      <c r="Q261" s="960"/>
      <c r="R261" s="960"/>
      <c r="S261" s="960"/>
      <c r="T261" s="62"/>
    </row>
    <row r="262" spans="11:20" ht="32">
      <c r="K262" s="712" t="s">
        <v>238</v>
      </c>
      <c r="L262" s="1808"/>
      <c r="M262" s="1769" t="s">
        <v>3057</v>
      </c>
      <c r="N262" s="1693"/>
      <c r="O262" s="958"/>
      <c r="P262" s="1040">
        <v>1</v>
      </c>
      <c r="Q262" s="960"/>
      <c r="R262" s="960"/>
      <c r="S262" s="960"/>
      <c r="T262" s="62"/>
    </row>
    <row r="263" spans="11:20" ht="32">
      <c r="K263" s="712" t="s">
        <v>238</v>
      </c>
      <c r="L263" s="1808"/>
      <c r="M263" s="1769" t="s">
        <v>3052</v>
      </c>
      <c r="N263" s="1693"/>
      <c r="O263" s="1694">
        <v>0</v>
      </c>
      <c r="P263" s="1028">
        <f>ROUND(P261*O263,0)</f>
        <v>0</v>
      </c>
      <c r="Q263" s="960"/>
      <c r="R263" s="960"/>
      <c r="S263" s="960"/>
      <c r="T263" s="62"/>
    </row>
    <row r="264" spans="11:20" ht="32">
      <c r="K264" s="712" t="s">
        <v>238</v>
      </c>
      <c r="L264" s="1808"/>
      <c r="M264" s="1769" t="s">
        <v>3053</v>
      </c>
      <c r="N264" s="1693"/>
      <c r="O264" s="1694">
        <v>0.75</v>
      </c>
      <c r="P264" s="1028">
        <f>ROUND(P261*O264,0)</f>
        <v>38</v>
      </c>
      <c r="Q264" s="960"/>
      <c r="R264" s="960"/>
      <c r="S264" s="960"/>
      <c r="T264" s="62"/>
    </row>
    <row r="265" spans="11:20">
      <c r="K265" s="712" t="s">
        <v>238</v>
      </c>
      <c r="L265" s="1808"/>
      <c r="M265" s="1770" t="s">
        <v>3036</v>
      </c>
      <c r="N265" s="1019"/>
      <c r="O265" s="1695"/>
      <c r="P265" s="1028">
        <f>P262-1</f>
        <v>0</v>
      </c>
      <c r="Q265" s="960"/>
      <c r="R265" s="960"/>
      <c r="S265" s="960"/>
      <c r="T265" s="62"/>
    </row>
    <row r="266" spans="11:20" ht="16" thickBot="1">
      <c r="K266" s="712" t="s">
        <v>238</v>
      </c>
      <c r="L266" s="1808"/>
      <c r="M266" s="1049"/>
      <c r="N266" s="960"/>
      <c r="O266" s="960"/>
      <c r="P266" s="960"/>
      <c r="Q266" s="960"/>
      <c r="R266" s="960"/>
      <c r="S266" s="960"/>
      <c r="T266" s="62"/>
    </row>
    <row r="267" spans="11:20" ht="32">
      <c r="K267" s="712" t="s">
        <v>238</v>
      </c>
      <c r="L267" s="1808"/>
      <c r="M267" s="1699" t="s">
        <v>3033</v>
      </c>
      <c r="N267" s="1700" t="s">
        <v>3034</v>
      </c>
      <c r="O267" s="1702" t="s">
        <v>3040</v>
      </c>
      <c r="P267" s="1702" t="s">
        <v>3041</v>
      </c>
      <c r="Q267" s="1702" t="s">
        <v>3042</v>
      </c>
      <c r="R267" s="1700" t="s">
        <v>3035</v>
      </c>
      <c r="S267" s="1702" t="s">
        <v>3039</v>
      </c>
      <c r="T267" s="1701" t="s">
        <v>2189</v>
      </c>
    </row>
    <row r="268" spans="11:20">
      <c r="K268" s="712" t="s">
        <v>238</v>
      </c>
      <c r="L268" s="1808"/>
      <c r="M268" s="1539" t="s">
        <v>3051</v>
      </c>
      <c r="N268" s="958" t="str">
        <f>IFERROR(VLOOKUP(M268,Price_list!$B$1:$H$187,2,0),"")</f>
        <v>International Consultancy fee (3.1)</v>
      </c>
      <c r="O268" s="958" t="str">
        <f>IFERROR(VLOOKUP(M268,Price_list!$B$1:$H$187,3,0),"")</f>
        <v>cost/zi</v>
      </c>
      <c r="P268" s="946">
        <f>IFERROR(VLOOKUP(M268,Price_list!$B$1:$H$187,4,0),"")</f>
        <v>350</v>
      </c>
      <c r="Q268" s="946" t="str">
        <f>IFERROR(VLOOKUP(M268,Price_list!$B$1:$H$187,5,0),"")</f>
        <v>EUR</v>
      </c>
      <c r="R268" s="958">
        <f ca="1">ROUND(IFERROR(IF(Q268="MDL",P268,P268*INDIRECT(Q268)),0),2)</f>
        <v>6868.65</v>
      </c>
      <c r="S268" s="946">
        <f>P262</f>
        <v>1</v>
      </c>
      <c r="T268" s="1889">
        <f ca="1">IFERROR(P259*R268*S268,"")</f>
        <v>0</v>
      </c>
    </row>
    <row r="269" spans="11:20">
      <c r="K269" s="712" t="s">
        <v>238</v>
      </c>
      <c r="L269" s="1808"/>
      <c r="M269" s="1539" t="s">
        <v>3029</v>
      </c>
      <c r="N269" s="958" t="str">
        <f>IFERROR(VLOOKUP(M269,Price_list!$B$1:$H$187,2,0),"")</f>
        <v xml:space="preserve">Travel costs </v>
      </c>
      <c r="O269" s="958" t="str">
        <f>IFERROR(VLOOKUP(M269,Price_list!$B$1:$H$187,3,0),"")</f>
        <v>cost tichet o directie</v>
      </c>
      <c r="P269" s="946">
        <f>IFERROR(VLOOKUP(M269,Price_list!$B$1:$H$187,4,0),"")</f>
        <v>5000</v>
      </c>
      <c r="Q269" s="946" t="str">
        <f>IFERROR(VLOOKUP(M269,Price_list!$B$1:$H$187,5,0),"")</f>
        <v>MDL</v>
      </c>
      <c r="R269" s="958">
        <f t="shared" ref="R269:R285" ca="1" si="13">ROUND(IFERROR(IF(Q269="MDL",P269,P269*INDIRECT(Q269)),0),2)</f>
        <v>5000</v>
      </c>
      <c r="S269" s="1040">
        <v>2</v>
      </c>
      <c r="T269" s="1889">
        <f ca="1">P259*S269*R269</f>
        <v>0</v>
      </c>
    </row>
    <row r="270" spans="11:20">
      <c r="K270" s="712" t="s">
        <v>238</v>
      </c>
      <c r="L270" s="1808"/>
      <c r="M270" s="1539" t="s">
        <v>3020</v>
      </c>
      <c r="N270" s="958" t="str">
        <f>IFERROR(VLOOKUP(M270,Price_list!$B$1:$H$187,2,0),"")</f>
        <v xml:space="preserve">Per diem, WHO DSA, average </v>
      </c>
      <c r="O270" s="958" t="str">
        <f>IFERROR(VLOOKUP(M270,Price_list!$B$1:$H$187,3,0),"")</f>
        <v>diurna</v>
      </c>
      <c r="P270" s="946">
        <f>IFERROR(VLOOKUP(M270,Price_list!$B$1:$H$187,4,0),"")</f>
        <v>200</v>
      </c>
      <c r="Q270" s="946" t="str">
        <f>IFERROR(VLOOKUP(M270,Price_list!$B$1:$H$187,5,0),"")</f>
        <v>EUR</v>
      </c>
      <c r="R270" s="958">
        <f t="shared" ca="1" si="13"/>
        <v>3924.94</v>
      </c>
      <c r="S270" s="946">
        <f>P262+1</f>
        <v>2</v>
      </c>
      <c r="T270" s="1889">
        <f ca="1">P259*R270*S270</f>
        <v>0</v>
      </c>
    </row>
    <row r="271" spans="11:20">
      <c r="K271" s="712" t="s">
        <v>238</v>
      </c>
      <c r="L271" s="1808"/>
      <c r="M271" s="1539" t="s">
        <v>3050</v>
      </c>
      <c r="N271" s="958" t="str">
        <f>IFERROR(VLOOKUP(M271,Price_list!$B$1:$H$187,2,0),"")</f>
        <v>National Consultancy fee (3.1)</v>
      </c>
      <c r="O271" s="958" t="str">
        <f>IFERROR(VLOOKUP(M271,Price_list!$B$1:$H$187,3,0),"")</f>
        <v>cost/zi</v>
      </c>
      <c r="P271" s="946">
        <f>IFERROR(VLOOKUP(M271,Price_list!$B$1:$H$187,4,0),"")</f>
        <v>2000</v>
      </c>
      <c r="Q271" s="946" t="str">
        <f>IFERROR(VLOOKUP(M271,Price_list!$B$1:$H$187,5,0),"")</f>
        <v>MDL</v>
      </c>
      <c r="R271" s="958">
        <f t="shared" ca="1" si="13"/>
        <v>2000</v>
      </c>
      <c r="S271" s="946">
        <f>P262</f>
        <v>1</v>
      </c>
      <c r="T271" s="1889">
        <f ca="1">P260*R271*S271</f>
        <v>4000</v>
      </c>
    </row>
    <row r="272" spans="11:20">
      <c r="K272" s="712" t="s">
        <v>238</v>
      </c>
      <c r="L272" s="1808"/>
      <c r="M272" s="1539"/>
      <c r="N272" s="958" t="str">
        <f>IFERROR(VLOOKUP(M272,Price_list!$B$1:$H$187,2,0),"")</f>
        <v/>
      </c>
      <c r="O272" s="958" t="str">
        <f>IFERROR(VLOOKUP(M272,Price_list!$B$1:$H$187,3,0),"")</f>
        <v/>
      </c>
      <c r="P272" s="946" t="str">
        <f>IFERROR(VLOOKUP(M272,Price_list!$B$1:$H$187,4,0),"")</f>
        <v/>
      </c>
      <c r="Q272" s="946" t="str">
        <f>IFERROR(VLOOKUP(M272,Price_list!$B$1:$H$187,5,0),"")</f>
        <v/>
      </c>
      <c r="R272" s="958">
        <f t="shared" ca="1" si="13"/>
        <v>0</v>
      </c>
      <c r="S272" s="946" t="str">
        <f>IFERROR(VLOOKUP(AD272,M263:O268,3,0),"")</f>
        <v/>
      </c>
      <c r="T272" s="1889" t="str">
        <f>IFERROR(#REF!*S272*P272,"")</f>
        <v/>
      </c>
    </row>
    <row r="273" spans="11:20">
      <c r="K273" s="712" t="s">
        <v>238</v>
      </c>
      <c r="L273" s="1808"/>
      <c r="M273" s="1539"/>
      <c r="N273" s="958" t="str">
        <f>IFERROR(VLOOKUP(M273,Price_list!$B$1:$H$187,2,0),"")</f>
        <v/>
      </c>
      <c r="O273" s="958" t="str">
        <f>IFERROR(VLOOKUP(M273,Price_list!$B$1:$H$187,3,0),"")</f>
        <v/>
      </c>
      <c r="P273" s="946" t="str">
        <f>IFERROR(VLOOKUP(M273,Price_list!$B$1:$H$187,4,0),"")</f>
        <v/>
      </c>
      <c r="Q273" s="946" t="str">
        <f>IFERROR(VLOOKUP(M273,Price_list!$B$1:$H$187,5,0),"")</f>
        <v/>
      </c>
      <c r="R273" s="958">
        <f t="shared" ca="1" si="13"/>
        <v>0</v>
      </c>
      <c r="S273" s="946" t="str">
        <f>IFERROR(VLOOKUP(AD273,M265:O269,3,0),"")</f>
        <v/>
      </c>
      <c r="T273" s="1889" t="str">
        <f>IFERROR(#REF!*S273*P273,"")</f>
        <v/>
      </c>
    </row>
    <row r="274" spans="11:20">
      <c r="K274" s="712" t="s">
        <v>238</v>
      </c>
      <c r="L274" s="1808"/>
      <c r="M274" s="1539" t="s">
        <v>3016</v>
      </c>
      <c r="N274" s="958" t="str">
        <f>IFERROR(VLOOKUP(M274,Price_list!$B$1:$H$187,2,0),"")</f>
        <v>Coffe break</v>
      </c>
      <c r="O274" s="958" t="str">
        <f>IFERROR(VLOOKUP(M274,Price_list!$B$1:$H$187,3,0),"")</f>
        <v>unitate</v>
      </c>
      <c r="P274" s="946">
        <f>IFERROR(VLOOKUP(M274,Price_list!$B$1:$H$187,4,0),"")</f>
        <v>75</v>
      </c>
      <c r="Q274" s="946" t="str">
        <f>IFERROR(VLOOKUP(M274,Price_list!$B$1:$H$187,5,0),"")</f>
        <v>MDL</v>
      </c>
      <c r="R274" s="958">
        <f t="shared" ca="1" si="13"/>
        <v>75</v>
      </c>
      <c r="S274" s="946">
        <v>2</v>
      </c>
      <c r="T274" s="1889">
        <f ca="1">S274*R274*P261*P262</f>
        <v>7500</v>
      </c>
    </row>
    <row r="275" spans="11:20">
      <c r="K275" s="712" t="s">
        <v>238</v>
      </c>
      <c r="L275" s="1808"/>
      <c r="M275" s="1539" t="s">
        <v>3021</v>
      </c>
      <c r="N275" s="958" t="str">
        <f>IFERROR(VLOOKUP(M275,Price_list!$B$1:$H$187,2,0),"")</f>
        <v xml:space="preserve">Meal ( lunch) </v>
      </c>
      <c r="O275" s="958" t="str">
        <f>IFERROR(VLOOKUP(M275,Price_list!$B$1:$H$187,3,0),"")</f>
        <v>unitate</v>
      </c>
      <c r="P275" s="946">
        <f>IFERROR(VLOOKUP(M275,Price_list!$B$1:$H$187,4,0),"")</f>
        <v>220</v>
      </c>
      <c r="Q275" s="946" t="str">
        <f>IFERROR(VLOOKUP(M275,Price_list!$B$1:$H$187,5,0),"")</f>
        <v>MDL</v>
      </c>
      <c r="R275" s="958">
        <f t="shared" ca="1" si="13"/>
        <v>220</v>
      </c>
      <c r="S275" s="946">
        <f>P262</f>
        <v>1</v>
      </c>
      <c r="T275" s="1889">
        <f ca="1">P261*S275*R275</f>
        <v>11000</v>
      </c>
    </row>
    <row r="276" spans="11:20">
      <c r="K276" s="712" t="s">
        <v>238</v>
      </c>
      <c r="L276" s="1808"/>
      <c r="M276" s="1539" t="s">
        <v>3023</v>
      </c>
      <c r="N276" s="958" t="str">
        <f>IFERROR(VLOOKUP(M276,Price_list!$B$1:$H$187,2,0),"")</f>
        <v>Meal(dinner)</v>
      </c>
      <c r="O276" s="958" t="str">
        <f>IFERROR(VLOOKUP(M276,Price_list!$B$1:$H$187,3,0),"")</f>
        <v>unitate</v>
      </c>
      <c r="P276" s="946">
        <f>IFERROR(VLOOKUP(M276,Price_list!$B$1:$H$187,4,0),"")</f>
        <v>220</v>
      </c>
      <c r="Q276" s="946" t="str">
        <f>IFERROR(VLOOKUP(M276,Price_list!$B$1:$H$187,5,0),"")</f>
        <v>MDL</v>
      </c>
      <c r="R276" s="958">
        <f t="shared" ca="1" si="13"/>
        <v>220</v>
      </c>
      <c r="S276" s="946">
        <f>P265</f>
        <v>0</v>
      </c>
      <c r="T276" s="1889">
        <f ca="1">S276*R276*P263</f>
        <v>0</v>
      </c>
    </row>
    <row r="277" spans="11:20">
      <c r="K277" s="712" t="s">
        <v>238</v>
      </c>
      <c r="L277" s="1808"/>
      <c r="M277" s="1539" t="s">
        <v>3024</v>
      </c>
      <c r="N277" s="958" t="str">
        <f>IFERROR(VLOOKUP(M277,Price_list!$B$1:$H$187,2,0),"")</f>
        <v xml:space="preserve">Accomodation </v>
      </c>
      <c r="O277" s="958" t="str">
        <f>IFERROR(VLOOKUP(M277,Price_list!$B$1:$H$187,3,0),"")</f>
        <v>cost/noapte</v>
      </c>
      <c r="P277" s="946">
        <f>IFERROR(VLOOKUP(M277,Price_list!$B$1:$H$187,4,0),"")</f>
        <v>750</v>
      </c>
      <c r="Q277" s="946" t="str">
        <f>IFERROR(VLOOKUP(M277,Price_list!$B$1:$H$187,5,0),"")</f>
        <v>MDL</v>
      </c>
      <c r="R277" s="958">
        <f t="shared" ca="1" si="13"/>
        <v>750</v>
      </c>
      <c r="S277" s="946">
        <f>P265</f>
        <v>0</v>
      </c>
      <c r="T277" s="1889">
        <f ca="1">S277*R277*P263</f>
        <v>0</v>
      </c>
    </row>
    <row r="278" spans="11:20">
      <c r="K278" s="712" t="s">
        <v>238</v>
      </c>
      <c r="L278" s="1808"/>
      <c r="M278" s="1539" t="s">
        <v>3030</v>
      </c>
      <c r="N278" s="958" t="str">
        <f>IFERROR(VLOOKUP(M278,Price_list!$B$1:$H$187,2,0),"")</f>
        <v>Travel participants</v>
      </c>
      <c r="O278" s="958" t="str">
        <f>IFERROR(VLOOKUP(M278,Price_list!$B$1:$H$187,3,0),"")</f>
        <v>cost tichet o directie</v>
      </c>
      <c r="P278" s="946">
        <f>IFERROR(VLOOKUP(M278,Price_list!$B$1:$H$187,4,0),"")</f>
        <v>80</v>
      </c>
      <c r="Q278" s="946" t="str">
        <f>IFERROR(VLOOKUP(M278,Price_list!$B$1:$H$187,5,0),"")</f>
        <v>MDL</v>
      </c>
      <c r="R278" s="958">
        <f t="shared" ca="1" si="13"/>
        <v>80</v>
      </c>
      <c r="S278" s="1040">
        <v>2</v>
      </c>
      <c r="T278" s="1889">
        <f ca="1">S278*P264*R278</f>
        <v>6080</v>
      </c>
    </row>
    <row r="279" spans="11:20">
      <c r="K279" s="712" t="s">
        <v>238</v>
      </c>
      <c r="L279" s="1808"/>
      <c r="M279" s="1539"/>
      <c r="N279" s="958" t="str">
        <f>IFERROR(VLOOKUP(M279,Price_list!$B$1:$H$187,2,0),"")</f>
        <v/>
      </c>
      <c r="O279" s="958" t="str">
        <f>IFERROR(VLOOKUP(M279,Price_list!$B$1:$H$187,3,0),"")</f>
        <v/>
      </c>
      <c r="P279" s="946" t="str">
        <f>IFERROR(VLOOKUP(M279,Price_list!$B$1:$H$187,4,0),"")</f>
        <v/>
      </c>
      <c r="Q279" s="946" t="str">
        <f>IFERROR(VLOOKUP(M279,Price_list!$B$1:$H$187,5,0),"")</f>
        <v/>
      </c>
      <c r="R279" s="958">
        <f t="shared" ca="1" si="13"/>
        <v>0</v>
      </c>
      <c r="S279" s="946" t="str">
        <f>IFERROR(VLOOKUP(AD279,M269:O275,3,0),"")</f>
        <v/>
      </c>
      <c r="T279" s="1889" t="str">
        <f>IFERROR(#REF!*S279*P279,"")</f>
        <v/>
      </c>
    </row>
    <row r="280" spans="11:20">
      <c r="K280" s="712" t="s">
        <v>238</v>
      </c>
      <c r="L280" s="1808"/>
      <c r="M280" s="1539" t="s">
        <v>3025</v>
      </c>
      <c r="N280" s="958" t="str">
        <f>IFERROR(VLOOKUP(M280,Price_list!$B$1:$H$187,2,0),"")</f>
        <v>Supplies</v>
      </c>
      <c r="O280" s="958" t="str">
        <f>IFERROR(VLOOKUP(M280,Price_list!$B$1:$H$187,3,0),"")</f>
        <v>set/participant</v>
      </c>
      <c r="P280" s="946">
        <f>IFERROR(VLOOKUP(M280,Price_list!$B$1:$H$187,4,0),"")</f>
        <v>140</v>
      </c>
      <c r="Q280" s="946" t="str">
        <f>IFERROR(VLOOKUP(M280,Price_list!$B$1:$H$187,5,0),"")</f>
        <v>MDL</v>
      </c>
      <c r="R280" s="958">
        <f t="shared" ca="1" si="13"/>
        <v>140</v>
      </c>
      <c r="S280" s="946">
        <v>1</v>
      </c>
      <c r="T280" s="1889">
        <f ca="1">S280*R280*P261</f>
        <v>7000</v>
      </c>
    </row>
    <row r="281" spans="11:20">
      <c r="K281" s="712" t="s">
        <v>238</v>
      </c>
      <c r="L281" s="1808"/>
      <c r="M281" s="1539" t="s">
        <v>3022</v>
      </c>
      <c r="N281" s="958" t="str">
        <f>IFERROR(VLOOKUP(M281,Price_list!$B$1:$H$187,2,0),"")</f>
        <v>Rent of premises</v>
      </c>
      <c r="O281" s="958" t="str">
        <f>IFERROR(VLOOKUP(M281,Price_list!$B$1:$H$187,3,0),"")</f>
        <v>cost/zi</v>
      </c>
      <c r="P281" s="946">
        <f>IFERROR(VLOOKUP(M281,Price_list!$B$1:$H$187,4,0),"")</f>
        <v>1800</v>
      </c>
      <c r="Q281" s="946" t="str">
        <f>IFERROR(VLOOKUP(M281,Price_list!$B$1:$H$187,5,0),"")</f>
        <v>MDL</v>
      </c>
      <c r="R281" s="958">
        <f t="shared" ca="1" si="13"/>
        <v>1800</v>
      </c>
      <c r="S281" s="946">
        <f>P262</f>
        <v>1</v>
      </c>
      <c r="T281" s="1889">
        <f ca="1">S281*R281</f>
        <v>1800</v>
      </c>
    </row>
    <row r="282" spans="11:20">
      <c r="K282" s="712" t="s">
        <v>238</v>
      </c>
      <c r="L282" s="1808"/>
      <c r="M282" s="1539" t="s">
        <v>3031</v>
      </c>
      <c r="N282" s="958" t="str">
        <f>IFERROR(VLOOKUP(M282,Price_list!$B$1:$H$187,2,0),"")</f>
        <v>Interpreter's fee, per day</v>
      </c>
      <c r="O282" s="958" t="str">
        <f>IFERROR(VLOOKUP(M282,Price_list!$B$1:$H$187,3,0),"")</f>
        <v>cost/zi</v>
      </c>
      <c r="P282" s="946">
        <f>IFERROR(VLOOKUP(M282,Price_list!$B$1:$H$187,4,0),"")</f>
        <v>2000</v>
      </c>
      <c r="Q282" s="946" t="str">
        <f>IFERROR(VLOOKUP(M282,Price_list!$B$1:$H$187,5,0),"")</f>
        <v>MDL</v>
      </c>
      <c r="R282" s="958">
        <f t="shared" ca="1" si="13"/>
        <v>2000</v>
      </c>
      <c r="S282" s="946">
        <f>IF(P259&gt;0,P262,0)</f>
        <v>0</v>
      </c>
      <c r="T282" s="1889">
        <f ca="1">S282*R282</f>
        <v>0</v>
      </c>
    </row>
    <row r="283" spans="11:20">
      <c r="K283" s="712" t="s">
        <v>238</v>
      </c>
      <c r="L283" s="1808"/>
      <c r="M283" s="1539"/>
      <c r="N283" s="958" t="str">
        <f>IFERROR(VLOOKUP(M283,Price_list!$B$1:$H$187,2,0),"")</f>
        <v/>
      </c>
      <c r="O283" s="958" t="str">
        <f>IFERROR(VLOOKUP(M283,Price_list!$B$1:$H$187,3,0),"")</f>
        <v/>
      </c>
      <c r="P283" s="946" t="str">
        <f>IFERROR(VLOOKUP(M283,Price_list!$B$1:$H$187,4,0),"")</f>
        <v/>
      </c>
      <c r="Q283" s="946" t="str">
        <f>IFERROR(VLOOKUP(M283,Price_list!$B$1:$H$187,5,0),"")</f>
        <v/>
      </c>
      <c r="R283" s="958">
        <f t="shared" ca="1" si="13"/>
        <v>0</v>
      </c>
      <c r="S283" s="946" t="str">
        <f>IFERROR(VLOOKUP(AD283,M274:O278,3,0),"")</f>
        <v/>
      </c>
      <c r="T283" s="1889" t="str">
        <f>IFERROR(#REF!*S283*P283,"")</f>
        <v/>
      </c>
    </row>
    <row r="284" spans="11:20">
      <c r="K284" s="712" t="s">
        <v>238</v>
      </c>
      <c r="L284" s="1808"/>
      <c r="M284" s="1539"/>
      <c r="N284" s="958" t="str">
        <f>IFERROR(VLOOKUP(M284,Price_list!$B$1:$H$187,2,0),"")</f>
        <v/>
      </c>
      <c r="O284" s="958" t="str">
        <f>IFERROR(VLOOKUP(M284,Price_list!$B$1:$H$187,3,0),"")</f>
        <v/>
      </c>
      <c r="P284" s="946" t="str">
        <f>IFERROR(VLOOKUP(M284,Price_list!$B$1:$H$187,4,0),"")</f>
        <v/>
      </c>
      <c r="Q284" s="946" t="str">
        <f>IFERROR(VLOOKUP(M284,Price_list!$B$1:$H$187,5,0),"")</f>
        <v/>
      </c>
      <c r="R284" s="958">
        <f t="shared" ca="1" si="13"/>
        <v>0</v>
      </c>
      <c r="S284" s="946" t="str">
        <f>IFERROR(VLOOKUP(AD284,M275:O280,3,0),"")</f>
        <v/>
      </c>
      <c r="T284" s="1889" t="str">
        <f>IFERROR(#REF!*S284*P284,"")</f>
        <v/>
      </c>
    </row>
    <row r="285" spans="11:20">
      <c r="K285" s="712" t="s">
        <v>238</v>
      </c>
      <c r="L285" s="1808"/>
      <c r="M285" s="1539"/>
      <c r="N285" s="958" t="str">
        <f>IFERROR(VLOOKUP(M285,Price_list!$B$1:$H$187,2,0),"")</f>
        <v/>
      </c>
      <c r="O285" s="958" t="str">
        <f>IFERROR(VLOOKUP(M285,Price_list!$B$1:$H$187,3,0),"")</f>
        <v/>
      </c>
      <c r="P285" s="946" t="str">
        <f>IFERROR(VLOOKUP(M285,Price_list!$B$1:$H$187,4,0),"")</f>
        <v/>
      </c>
      <c r="Q285" s="946" t="str">
        <f>IFERROR(VLOOKUP(M285,Price_list!$B$1:$H$187,5,0),"")</f>
        <v/>
      </c>
      <c r="R285" s="958">
        <f t="shared" ca="1" si="13"/>
        <v>0</v>
      </c>
      <c r="S285" s="946" t="str">
        <f>IFERROR(VLOOKUP(AD285,M276:O281,3,0),"")</f>
        <v/>
      </c>
      <c r="T285" s="1889" t="str">
        <f>IFERROR(#REF!*S285*P285,"")</f>
        <v/>
      </c>
    </row>
    <row r="286" spans="11:20" ht="16" thickBot="1">
      <c r="K286" s="712" t="s">
        <v>238</v>
      </c>
      <c r="L286" s="1808"/>
      <c r="M286" s="1697"/>
      <c r="N286" s="1698" t="str">
        <f>IFERROR(VLOOKUP(M286,Price_list!$B$1:$H$187,2,0),"")</f>
        <v/>
      </c>
      <c r="O286" s="1698" t="str">
        <f>IFERROR(VLOOKUP(M286,Price_list!$B$1:$H$187,3,0),"")</f>
        <v/>
      </c>
      <c r="P286" s="1034" t="str">
        <f>IFERROR(VLOOKUP(M286,Price_list!$B$1:$H$187,4,0),"")</f>
        <v/>
      </c>
      <c r="Q286" s="1034" t="str">
        <f>IFERROR(VLOOKUP(M286,Price_list!$B$1:$H$187,5,0),"")</f>
        <v/>
      </c>
      <c r="R286" s="1698"/>
      <c r="S286" s="1034" t="str">
        <f>IFERROR(VLOOKUP(AD286,M277:O282,3,0),"")</f>
        <v/>
      </c>
      <c r="T286" s="1703">
        <f ca="1">SUM(T268:T285)</f>
        <v>37380</v>
      </c>
    </row>
    <row r="287" spans="11:20">
      <c r="K287" s="712" t="s">
        <v>238</v>
      </c>
      <c r="L287" s="1808"/>
      <c r="M287" s="1771" t="s">
        <v>3037</v>
      </c>
      <c r="N287" s="1742" t="s">
        <v>3006</v>
      </c>
      <c r="O287" s="1743"/>
      <c r="P287" s="1772">
        <v>7.0000000000000007E-2</v>
      </c>
      <c r="Q287" s="1773"/>
      <c r="R287" s="1773"/>
      <c r="S287" s="1773"/>
      <c r="T287" s="1774">
        <f ca="1">ROUND(T286*P287,2)</f>
        <v>2616.6</v>
      </c>
    </row>
    <row r="288" spans="11:20" ht="16" thickBot="1">
      <c r="K288" s="712" t="s">
        <v>238</v>
      </c>
      <c r="L288" s="1808"/>
      <c r="M288" s="1049"/>
      <c r="N288" s="960"/>
      <c r="O288" s="960"/>
      <c r="P288" s="960"/>
      <c r="Q288" s="960"/>
      <c r="R288" s="960"/>
      <c r="S288" s="960"/>
      <c r="T288" s="62"/>
    </row>
    <row r="289" spans="1:27" ht="16" thickBot="1">
      <c r="A289" s="730">
        <v>155</v>
      </c>
      <c r="B289" s="733">
        <f ca="1">P294</f>
        <v>0</v>
      </c>
      <c r="C289" s="733">
        <f t="shared" ref="C289:F289" ca="1" si="14">Q294</f>
        <v>159986.4</v>
      </c>
      <c r="D289" s="733">
        <f t="shared" ca="1" si="14"/>
        <v>159986.4</v>
      </c>
      <c r="E289" s="733">
        <f t="shared" ca="1" si="14"/>
        <v>0</v>
      </c>
      <c r="F289" s="733">
        <f t="shared" ca="1" si="14"/>
        <v>0</v>
      </c>
      <c r="G289" s="733" t="s">
        <v>351</v>
      </c>
      <c r="H289" s="733" t="s">
        <v>3326</v>
      </c>
      <c r="I289" s="2187" t="s">
        <v>3716</v>
      </c>
      <c r="J289" s="841" t="s">
        <v>3372</v>
      </c>
      <c r="K289" s="712" t="s">
        <v>238</v>
      </c>
      <c r="L289" s="1808"/>
      <c r="M289" s="1704" t="s">
        <v>3038</v>
      </c>
      <c r="N289" s="1761"/>
      <c r="O289" s="1761"/>
      <c r="P289" s="1761"/>
      <c r="Q289" s="1761"/>
      <c r="R289" s="1761"/>
      <c r="S289" s="1761"/>
      <c r="T289" s="1706">
        <f ca="1">T287+T286</f>
        <v>39996.6</v>
      </c>
    </row>
    <row r="290" spans="1:27">
      <c r="K290" s="712" t="s">
        <v>238</v>
      </c>
      <c r="L290" s="1808"/>
      <c r="M290" s="1049"/>
      <c r="N290" s="960"/>
      <c r="O290" s="960"/>
      <c r="P290" s="960"/>
      <c r="Q290" s="960"/>
      <c r="R290" s="960"/>
      <c r="S290" s="960"/>
      <c r="T290" s="62"/>
    </row>
    <row r="291" spans="1:27" ht="16" thickBot="1">
      <c r="K291" s="712" t="s">
        <v>238</v>
      </c>
      <c r="L291" s="1808"/>
      <c r="M291" s="1049"/>
      <c r="N291" s="960"/>
      <c r="O291" s="960"/>
      <c r="P291" s="960"/>
      <c r="Q291" s="960"/>
      <c r="R291" s="960"/>
      <c r="S291" s="960"/>
      <c r="T291" s="62"/>
    </row>
    <row r="292" spans="1:27" ht="16" thickBot="1">
      <c r="K292" s="712" t="s">
        <v>238</v>
      </c>
      <c r="L292" s="1808"/>
      <c r="M292" s="1049" t="s">
        <v>2171</v>
      </c>
      <c r="N292" s="960"/>
      <c r="O292" s="960"/>
      <c r="P292" s="1500">
        <v>2021</v>
      </c>
      <c r="Q292" s="1762">
        <v>2022</v>
      </c>
      <c r="R292" s="1762">
        <v>2023</v>
      </c>
      <c r="S292" s="1762">
        <v>2024</v>
      </c>
      <c r="T292" s="1763">
        <v>2025</v>
      </c>
    </row>
    <row r="293" spans="1:27" ht="16" thickBot="1">
      <c r="K293" s="712" t="s">
        <v>238</v>
      </c>
      <c r="L293" s="1808"/>
      <c r="M293" s="1764" t="s">
        <v>3043</v>
      </c>
      <c r="N293" s="1504"/>
      <c r="O293" s="1504"/>
      <c r="P293" s="1713">
        <v>0</v>
      </c>
      <c r="Q293" s="1713">
        <v>4</v>
      </c>
      <c r="R293" s="1713">
        <v>4</v>
      </c>
      <c r="S293" s="1713">
        <v>0</v>
      </c>
      <c r="T293" s="1765">
        <v>0</v>
      </c>
    </row>
    <row r="294" spans="1:27" ht="16" thickBot="1">
      <c r="K294" s="712" t="s">
        <v>238</v>
      </c>
      <c r="L294" s="1808"/>
      <c r="M294" s="1710" t="s">
        <v>3044</v>
      </c>
      <c r="N294" s="1732"/>
      <c r="O294" s="1708"/>
      <c r="P294" s="1495">
        <f ca="1">T289*P293</f>
        <v>0</v>
      </c>
      <c r="Q294" s="1495">
        <f ca="1">T289*Q293</f>
        <v>159986.4</v>
      </c>
      <c r="R294" s="1495">
        <f ca="1">T289*R293</f>
        <v>159986.4</v>
      </c>
      <c r="S294" s="1495">
        <f ca="1">T289*S293</f>
        <v>0</v>
      </c>
      <c r="T294" s="1495">
        <f ca="1">T289*T293</f>
        <v>0</v>
      </c>
    </row>
    <row r="295" spans="1:27">
      <c r="K295" s="712" t="s">
        <v>238</v>
      </c>
    </row>
    <row r="296" spans="1:27">
      <c r="K296" s="712" t="s">
        <v>238</v>
      </c>
    </row>
    <row r="297" spans="1:27">
      <c r="K297" s="712" t="s">
        <v>238</v>
      </c>
    </row>
    <row r="298" spans="1:27">
      <c r="K298" s="712" t="s">
        <v>238</v>
      </c>
    </row>
    <row r="299" spans="1:27">
      <c r="K299" s="712" t="s">
        <v>238</v>
      </c>
    </row>
    <row r="300" spans="1:27" ht="19">
      <c r="K300" s="712" t="s">
        <v>238</v>
      </c>
      <c r="L300" s="1879" t="s">
        <v>2955</v>
      </c>
    </row>
    <row r="301" spans="1:27">
      <c r="K301" s="712" t="s">
        <v>238</v>
      </c>
    </row>
    <row r="302" spans="1:27" ht="19">
      <c r="K302" s="712" t="s">
        <v>238</v>
      </c>
      <c r="L302" s="1879" t="s">
        <v>3369</v>
      </c>
      <c r="M302" s="1859"/>
      <c r="N302" s="1859"/>
      <c r="O302" s="1859"/>
      <c r="P302" s="1859"/>
      <c r="Q302" s="1877"/>
      <c r="R302" s="1859"/>
      <c r="S302" s="2063" t="s">
        <v>3593</v>
      </c>
      <c r="T302" s="1859"/>
      <c r="U302" s="1859"/>
      <c r="V302" s="1859"/>
      <c r="W302" s="1859"/>
      <c r="X302" s="1859"/>
      <c r="Y302" s="1859"/>
      <c r="Z302" s="1859"/>
      <c r="AA302" s="1859"/>
    </row>
    <row r="303" spans="1:27" ht="16">
      <c r="K303" s="712" t="s">
        <v>238</v>
      </c>
      <c r="L303" s="1875"/>
      <c r="M303" s="1926" t="s">
        <v>3327</v>
      </c>
      <c r="N303" s="1859"/>
      <c r="O303" s="1859"/>
      <c r="P303" s="1859"/>
      <c r="Q303" s="1877"/>
      <c r="R303" s="1859"/>
      <c r="S303" s="2095" t="s">
        <v>3328</v>
      </c>
      <c r="T303" s="1927"/>
      <c r="U303" s="1927"/>
      <c r="V303" s="1927"/>
      <c r="W303" s="1927"/>
      <c r="X303" s="1927"/>
      <c r="Y303" s="1859"/>
      <c r="Z303" s="1859"/>
      <c r="AA303" s="1859"/>
    </row>
    <row r="304" spans="1:27" ht="16">
      <c r="K304" s="712" t="s">
        <v>238</v>
      </c>
      <c r="L304" s="1875"/>
      <c r="M304" s="1859"/>
      <c r="N304" s="1859"/>
      <c r="O304" s="1859"/>
      <c r="P304" s="1859"/>
      <c r="Q304" s="1877"/>
      <c r="R304" s="1859"/>
      <c r="S304" s="1859"/>
      <c r="T304" s="1859"/>
      <c r="U304" s="1859"/>
      <c r="V304" s="1859"/>
      <c r="W304" s="1859"/>
      <c r="X304" s="1859"/>
      <c r="Y304" s="1859"/>
      <c r="Z304" s="1859"/>
      <c r="AA304" s="1859"/>
    </row>
    <row r="305" spans="1:28" ht="16">
      <c r="K305" s="712" t="s">
        <v>238</v>
      </c>
      <c r="L305" s="1875"/>
      <c r="M305" s="1876" t="s">
        <v>3329</v>
      </c>
      <c r="N305" s="1876">
        <v>6.41</v>
      </c>
      <c r="O305" s="1876">
        <v>2</v>
      </c>
      <c r="P305" s="1876">
        <f>N305*O305</f>
        <v>12.82</v>
      </c>
      <c r="Q305" s="1877" t="s">
        <v>3330</v>
      </c>
      <c r="R305" s="1859"/>
      <c r="S305" s="1859"/>
      <c r="T305" s="1859"/>
      <c r="U305" s="1859"/>
      <c r="V305" s="1859"/>
      <c r="W305" s="1859"/>
      <c r="X305" s="1859"/>
      <c r="Y305" s="1859"/>
      <c r="Z305" s="1859"/>
      <c r="AA305" s="1859"/>
    </row>
    <row r="306" spans="1:28" ht="16">
      <c r="K306" s="712" t="s">
        <v>238</v>
      </c>
      <c r="L306" s="1875"/>
      <c r="M306" s="1876" t="s">
        <v>3331</v>
      </c>
      <c r="N306" s="1876">
        <v>9.6</v>
      </c>
      <c r="O306" s="1876">
        <v>1</v>
      </c>
      <c r="P306" s="1876">
        <f t="shared" ref="P306:P321" si="15">N306*O306</f>
        <v>9.6</v>
      </c>
      <c r="Q306" s="1877" t="s">
        <v>3332</v>
      </c>
      <c r="R306" s="1859"/>
      <c r="S306" s="1859"/>
      <c r="T306" s="1859"/>
      <c r="U306" s="1859"/>
      <c r="V306" s="1859"/>
      <c r="W306" s="1859"/>
      <c r="X306" s="1859"/>
      <c r="Y306" s="1859"/>
      <c r="Z306" s="1859"/>
      <c r="AA306" s="1859"/>
    </row>
    <row r="307" spans="1:28" ht="16">
      <c r="K307" s="712" t="s">
        <v>238</v>
      </c>
      <c r="L307" s="1875"/>
      <c r="M307" s="1876" t="s">
        <v>3333</v>
      </c>
      <c r="N307" s="1876">
        <v>6.41</v>
      </c>
      <c r="O307" s="1876">
        <v>1</v>
      </c>
      <c r="P307" s="1876">
        <f t="shared" si="15"/>
        <v>6.41</v>
      </c>
      <c r="Q307" s="1877" t="s">
        <v>3334</v>
      </c>
      <c r="R307" s="1859"/>
      <c r="S307" s="1859"/>
      <c r="T307" s="1859"/>
      <c r="U307" s="1859"/>
      <c r="V307" s="1859"/>
      <c r="W307" s="1859"/>
      <c r="X307" s="1859"/>
      <c r="Y307" s="1859"/>
      <c r="Z307" s="1859"/>
      <c r="AA307" s="1859"/>
    </row>
    <row r="308" spans="1:28" ht="32">
      <c r="K308" s="712" t="s">
        <v>238</v>
      </c>
      <c r="L308" s="1875"/>
      <c r="M308" s="1876" t="s">
        <v>3335</v>
      </c>
      <c r="N308" s="1876">
        <v>6.41</v>
      </c>
      <c r="O308" s="1876"/>
      <c r="P308" s="1876">
        <f t="shared" si="15"/>
        <v>0</v>
      </c>
      <c r="Q308" s="1877" t="s">
        <v>3336</v>
      </c>
      <c r="R308" s="1859"/>
      <c r="S308" s="1859"/>
      <c r="T308" s="1859"/>
      <c r="U308" s="1859"/>
      <c r="V308" s="1859"/>
      <c r="W308" s="1859"/>
      <c r="X308" s="1859"/>
      <c r="Y308" s="1859"/>
      <c r="Z308" s="1859"/>
      <c r="AA308" s="1859"/>
    </row>
    <row r="309" spans="1:28" ht="16">
      <c r="K309" s="712" t="s">
        <v>238</v>
      </c>
      <c r="L309" s="1875"/>
      <c r="M309" s="1876" t="s">
        <v>3337</v>
      </c>
      <c r="N309" s="1876">
        <v>19.23</v>
      </c>
      <c r="O309" s="1876">
        <v>1</v>
      </c>
      <c r="P309" s="1876">
        <f t="shared" si="15"/>
        <v>19.23</v>
      </c>
      <c r="Q309" s="1877" t="s">
        <v>3338</v>
      </c>
      <c r="R309" s="1859"/>
      <c r="S309" s="1859"/>
      <c r="T309" s="1859"/>
      <c r="U309" s="1859"/>
      <c r="V309" s="1859"/>
      <c r="W309" s="1859"/>
      <c r="X309" s="1859"/>
      <c r="Y309" s="1859"/>
      <c r="Z309" s="1859"/>
      <c r="AA309" s="1859"/>
    </row>
    <row r="310" spans="1:28" ht="16">
      <c r="K310" s="712" t="s">
        <v>238</v>
      </c>
      <c r="L310" s="1875"/>
      <c r="M310" s="1876" t="s">
        <v>3339</v>
      </c>
      <c r="N310" s="1876">
        <v>76.92</v>
      </c>
      <c r="O310" s="1876">
        <v>2</v>
      </c>
      <c r="P310" s="1876">
        <f t="shared" si="15"/>
        <v>153.84</v>
      </c>
      <c r="Q310" s="1877" t="s">
        <v>3340</v>
      </c>
      <c r="R310" s="1859"/>
      <c r="S310" s="1859"/>
      <c r="T310" s="1859"/>
      <c r="U310" s="1859"/>
      <c r="V310" s="1859"/>
      <c r="W310" s="1859"/>
      <c r="X310" s="1859"/>
      <c r="Y310" s="1859"/>
      <c r="Z310" s="1859"/>
      <c r="AA310" s="1859"/>
    </row>
    <row r="311" spans="1:28" ht="32">
      <c r="K311" s="712" t="s">
        <v>238</v>
      </c>
      <c r="L311" s="1875"/>
      <c r="M311" s="1876" t="s">
        <v>3341</v>
      </c>
      <c r="N311" s="1876">
        <v>200</v>
      </c>
      <c r="O311" s="1876">
        <v>1</v>
      </c>
      <c r="P311" s="1876">
        <f t="shared" si="15"/>
        <v>200</v>
      </c>
      <c r="Q311" s="1877" t="s">
        <v>3342</v>
      </c>
      <c r="R311" s="1859"/>
      <c r="S311" s="1859"/>
      <c r="T311" s="1859"/>
      <c r="U311" s="1859"/>
      <c r="V311" s="1898"/>
      <c r="W311" s="1859">
        <v>1</v>
      </c>
      <c r="X311" s="1898"/>
      <c r="Y311" s="1898"/>
      <c r="Z311" s="1898"/>
      <c r="AA311" s="1898"/>
      <c r="AB311" s="1898"/>
    </row>
    <row r="312" spans="1:28" ht="32">
      <c r="K312" s="712" t="s">
        <v>238</v>
      </c>
      <c r="L312" s="1875"/>
      <c r="M312" s="1928" t="s">
        <v>3343</v>
      </c>
      <c r="N312" s="1876">
        <v>73.930000000000007</v>
      </c>
      <c r="O312" s="1876">
        <v>1</v>
      </c>
      <c r="P312" s="1876">
        <f t="shared" si="15"/>
        <v>73.930000000000007</v>
      </c>
      <c r="Q312" s="1877"/>
      <c r="R312" s="1859"/>
      <c r="S312" s="1859"/>
      <c r="T312" s="1859"/>
      <c r="U312" s="1859"/>
      <c r="V312" s="1872"/>
      <c r="W312" s="1920" t="s">
        <v>3344</v>
      </c>
      <c r="X312" s="1872"/>
      <c r="Y312" s="1872"/>
      <c r="Z312" s="1872"/>
      <c r="AA312" s="1872"/>
      <c r="AB312" s="1898"/>
    </row>
    <row r="313" spans="1:28" ht="16">
      <c r="K313" s="712" t="s">
        <v>238</v>
      </c>
      <c r="L313" s="1875"/>
      <c r="M313" s="1876" t="s">
        <v>3345</v>
      </c>
      <c r="N313" s="1876">
        <v>1.42</v>
      </c>
      <c r="O313" s="1876">
        <v>1</v>
      </c>
      <c r="P313" s="1876">
        <f t="shared" si="15"/>
        <v>1.42</v>
      </c>
      <c r="Q313" s="1877"/>
      <c r="R313" s="1859"/>
      <c r="S313" s="1859"/>
      <c r="T313" s="1859"/>
      <c r="U313" s="1859"/>
      <c r="V313" s="1872"/>
      <c r="W313" s="1872" t="s">
        <v>3346</v>
      </c>
      <c r="X313" s="1872">
        <v>36900</v>
      </c>
      <c r="Y313" s="1872"/>
      <c r="Z313" s="1872"/>
      <c r="AA313" s="1872"/>
      <c r="AB313" s="1898"/>
    </row>
    <row r="314" spans="1:28" ht="16">
      <c r="K314" s="712" t="s">
        <v>238</v>
      </c>
      <c r="L314" s="1875"/>
      <c r="M314" s="1876" t="s">
        <v>3347</v>
      </c>
      <c r="N314" s="1876">
        <v>20.6</v>
      </c>
      <c r="O314" s="1876">
        <v>1</v>
      </c>
      <c r="P314" s="1876">
        <f t="shared" si="15"/>
        <v>20.6</v>
      </c>
      <c r="Q314" s="1877"/>
      <c r="R314" s="1859"/>
      <c r="S314" s="1859"/>
      <c r="T314" s="1859"/>
      <c r="U314" s="1859"/>
      <c r="V314" s="1872"/>
      <c r="W314" s="1872"/>
      <c r="X314" s="1872"/>
      <c r="Y314" s="1872"/>
      <c r="Z314" s="1872"/>
      <c r="AA314" s="1872"/>
      <c r="AB314" s="1898"/>
    </row>
    <row r="315" spans="1:28" ht="16">
      <c r="K315" s="712" t="s">
        <v>238</v>
      </c>
      <c r="L315" s="1875"/>
      <c r="M315" s="1876" t="s">
        <v>3348</v>
      </c>
      <c r="N315" s="1876">
        <v>30</v>
      </c>
      <c r="O315" s="1876">
        <v>2</v>
      </c>
      <c r="P315" s="1876">
        <f t="shared" si="15"/>
        <v>60</v>
      </c>
      <c r="Q315" s="1877"/>
      <c r="R315" s="1859"/>
      <c r="S315" s="1859"/>
      <c r="T315" s="1859"/>
      <c r="U315" s="1859"/>
      <c r="V315" s="1872"/>
      <c r="W315" s="1872" t="s">
        <v>3349</v>
      </c>
      <c r="X315" s="1872" t="s">
        <v>3350</v>
      </c>
      <c r="Y315" s="1872" t="s">
        <v>3351</v>
      </c>
      <c r="Z315" s="1872" t="s">
        <v>3352</v>
      </c>
      <c r="AA315" s="1872" t="s">
        <v>3353</v>
      </c>
      <c r="AB315" s="1898"/>
    </row>
    <row r="316" spans="1:28" ht="16">
      <c r="K316" s="712" t="s">
        <v>238</v>
      </c>
      <c r="L316" s="1875"/>
      <c r="M316" s="1876" t="s">
        <v>3354</v>
      </c>
      <c r="N316" s="1876">
        <v>30</v>
      </c>
      <c r="O316" s="1876">
        <v>2</v>
      </c>
      <c r="P316" s="1876">
        <f t="shared" si="15"/>
        <v>60</v>
      </c>
      <c r="Q316" s="1877"/>
      <c r="R316" s="1859"/>
      <c r="S316" s="1859"/>
      <c r="T316" s="1859"/>
      <c r="U316" s="1859"/>
      <c r="V316" s="1872" t="s">
        <v>3355</v>
      </c>
      <c r="W316" s="1855">
        <v>0.55000000000000004</v>
      </c>
      <c r="X316" s="1855">
        <v>0.6</v>
      </c>
      <c r="Y316" s="1855">
        <v>0.65</v>
      </c>
      <c r="Z316" s="1855">
        <v>0.7</v>
      </c>
      <c r="AA316" s="1855">
        <v>0.75</v>
      </c>
      <c r="AB316" s="1898"/>
    </row>
    <row r="317" spans="1:28" ht="16">
      <c r="K317" s="712" t="s">
        <v>238</v>
      </c>
      <c r="L317" s="1875"/>
      <c r="M317" s="1876" t="s">
        <v>3311</v>
      </c>
      <c r="N317" s="1876">
        <v>42.26</v>
      </c>
      <c r="O317" s="1876">
        <v>1</v>
      </c>
      <c r="P317" s="1876">
        <f t="shared" si="15"/>
        <v>42.26</v>
      </c>
      <c r="Q317" s="1877"/>
      <c r="R317" s="1859"/>
      <c r="S317" s="1859"/>
      <c r="T317" s="1859"/>
      <c r="U317" s="1859"/>
      <c r="V317" s="1921" t="s">
        <v>3356</v>
      </c>
      <c r="W317" s="1922">
        <f>X313*55/100</f>
        <v>20295</v>
      </c>
      <c r="X317" s="1922">
        <f>X313*60/100</f>
        <v>22140</v>
      </c>
      <c r="Y317" s="1922">
        <f>X313*65/100</f>
        <v>23985</v>
      </c>
      <c r="Z317" s="1922">
        <f>X313*70/100</f>
        <v>25830</v>
      </c>
      <c r="AA317" s="1922">
        <f>X313*75/100</f>
        <v>27675</v>
      </c>
      <c r="AB317" s="1898"/>
    </row>
    <row r="318" spans="1:28" ht="48">
      <c r="K318" s="712" t="s">
        <v>238</v>
      </c>
      <c r="L318" s="1875"/>
      <c r="M318" s="1876" t="s">
        <v>3264</v>
      </c>
      <c r="N318" s="1876">
        <v>30.65</v>
      </c>
      <c r="O318" s="1876">
        <v>1</v>
      </c>
      <c r="P318" s="1876">
        <f t="shared" si="15"/>
        <v>30.65</v>
      </c>
      <c r="Q318" s="1877" t="s">
        <v>3357</v>
      </c>
      <c r="R318" s="1859"/>
      <c r="S318" s="1859"/>
      <c r="T318" s="1859"/>
      <c r="U318" s="1859"/>
      <c r="V318" s="1898"/>
      <c r="W318" s="1872">
        <f>P322/W311*W317</f>
        <v>16022293.65</v>
      </c>
      <c r="X318" s="1872">
        <f>P322/W311*X317</f>
        <v>17478865.800000001</v>
      </c>
      <c r="Y318" s="1872">
        <f>P322/W311*Y317</f>
        <v>18935437.949999999</v>
      </c>
      <c r="Z318" s="1872">
        <f>P322/W311*Z317</f>
        <v>20392010.100000001</v>
      </c>
      <c r="AA318" s="1872">
        <f>P322/W311*AA317</f>
        <v>21848582.25</v>
      </c>
      <c r="AB318" s="1898"/>
    </row>
    <row r="319" spans="1:28" ht="17" thickBot="1">
      <c r="K319" s="712" t="s">
        <v>238</v>
      </c>
      <c r="L319" s="1875"/>
      <c r="M319" s="1876" t="s">
        <v>3265</v>
      </c>
      <c r="N319" s="1876">
        <v>17.03</v>
      </c>
      <c r="O319" s="1876">
        <v>1</v>
      </c>
      <c r="P319" s="1876">
        <f t="shared" si="15"/>
        <v>17.03</v>
      </c>
      <c r="Q319" s="1877"/>
      <c r="R319" s="1859"/>
      <c r="S319" s="1859"/>
      <c r="T319" s="1859"/>
      <c r="U319" s="1859"/>
      <c r="V319" s="1898"/>
      <c r="W319" s="1898"/>
      <c r="X319" s="1898"/>
      <c r="Y319" s="1898"/>
      <c r="Z319" s="1898"/>
      <c r="AA319" s="1898"/>
      <c r="AB319" s="1898"/>
    </row>
    <row r="320" spans="1:28" ht="17" thickBot="1">
      <c r="A320" s="730">
        <v>156</v>
      </c>
      <c r="B320" s="733"/>
      <c r="C320" s="733"/>
      <c r="D320" s="733"/>
      <c r="E320" s="733"/>
      <c r="F320" s="733"/>
      <c r="G320" s="733" t="s">
        <v>351</v>
      </c>
      <c r="H320" s="733" t="s">
        <v>3369</v>
      </c>
      <c r="I320" s="2187"/>
      <c r="J320" s="841" t="s">
        <v>2955</v>
      </c>
      <c r="K320" s="712" t="s">
        <v>238</v>
      </c>
      <c r="L320" s="1875"/>
      <c r="M320" s="1876" t="s">
        <v>3266</v>
      </c>
      <c r="N320" s="1876">
        <v>12.94</v>
      </c>
      <c r="O320" s="1876">
        <v>1</v>
      </c>
      <c r="P320" s="1876">
        <f t="shared" si="15"/>
        <v>12.94</v>
      </c>
      <c r="Q320" s="1877"/>
      <c r="R320" s="1859"/>
      <c r="S320" s="1859"/>
      <c r="T320" s="1859"/>
    </row>
    <row r="321" spans="11:28" ht="16">
      <c r="K321" s="712" t="s">
        <v>238</v>
      </c>
      <c r="L321" s="1875"/>
      <c r="M321" s="1876" t="s">
        <v>3267</v>
      </c>
      <c r="N321" s="1876">
        <v>68.739999999999995</v>
      </c>
      <c r="O321" s="1876">
        <v>1</v>
      </c>
      <c r="P321" s="1876">
        <f t="shared" si="15"/>
        <v>68.739999999999995</v>
      </c>
      <c r="Q321" s="1877"/>
      <c r="R321" s="1859"/>
      <c r="S321" s="1859"/>
      <c r="T321" s="1859"/>
    </row>
    <row r="322" spans="11:28" ht="16">
      <c r="K322" s="712" t="s">
        <v>238</v>
      </c>
      <c r="L322" s="1875"/>
      <c r="M322" s="1876"/>
      <c r="N322" s="1876"/>
      <c r="O322" s="1876"/>
      <c r="P322" s="1929">
        <f>SUM(P305:P321)</f>
        <v>789.47</v>
      </c>
      <c r="Q322" s="1877"/>
      <c r="R322" s="1859"/>
      <c r="S322" s="1859"/>
      <c r="T322" s="1859"/>
    </row>
    <row r="323" spans="11:28" ht="16">
      <c r="K323" s="712" t="s">
        <v>238</v>
      </c>
      <c r="L323" s="1875"/>
      <c r="M323" s="1859"/>
      <c r="N323" s="1859"/>
      <c r="O323" s="1859"/>
      <c r="P323" s="1859"/>
      <c r="Q323" s="1877"/>
      <c r="R323" s="1859"/>
      <c r="S323" s="1859"/>
      <c r="T323" s="1859"/>
    </row>
    <row r="324" spans="11:28" ht="19">
      <c r="K324" s="712" t="s">
        <v>238</v>
      </c>
      <c r="L324" s="1879" t="s">
        <v>3370</v>
      </c>
      <c r="M324" s="1859"/>
      <c r="N324" s="1859"/>
      <c r="O324" s="1859"/>
      <c r="P324" s="1859"/>
      <c r="Q324" s="1877"/>
      <c r="R324" s="1859"/>
      <c r="S324" s="1859"/>
      <c r="T324" s="1859"/>
    </row>
    <row r="325" spans="11:28" ht="16">
      <c r="K325" s="712" t="s">
        <v>238</v>
      </c>
      <c r="L325" s="1875"/>
      <c r="M325" s="1926" t="s">
        <v>3358</v>
      </c>
      <c r="N325" s="1859"/>
      <c r="O325" s="1859"/>
      <c r="P325" s="1859"/>
      <c r="Q325" s="1877"/>
      <c r="R325" s="1859"/>
      <c r="S325" s="1859"/>
      <c r="T325" s="1859"/>
    </row>
    <row r="326" spans="11:28" ht="16">
      <c r="K326" s="712" t="s">
        <v>238</v>
      </c>
      <c r="L326" s="1875"/>
      <c r="M326" s="1859"/>
      <c r="N326" s="1859"/>
      <c r="O326" s="1859"/>
      <c r="P326" s="1859"/>
      <c r="Q326" s="1877"/>
      <c r="R326" s="1859"/>
      <c r="S326" s="1859"/>
      <c r="T326" s="1859"/>
    </row>
    <row r="327" spans="11:28" ht="16">
      <c r="K327" s="712" t="s">
        <v>238</v>
      </c>
      <c r="L327" s="1875"/>
      <c r="M327" s="1876" t="s">
        <v>3329</v>
      </c>
      <c r="N327" s="1876">
        <v>6.41</v>
      </c>
      <c r="O327" s="1876">
        <v>2</v>
      </c>
      <c r="P327" s="1876">
        <f>N327*O327</f>
        <v>12.82</v>
      </c>
      <c r="Q327" s="1877" t="s">
        <v>3330</v>
      </c>
      <c r="R327" s="1859"/>
      <c r="S327" s="1859"/>
      <c r="T327" s="1859"/>
    </row>
    <row r="328" spans="11:28" ht="16">
      <c r="K328" s="712" t="s">
        <v>238</v>
      </c>
      <c r="L328" s="1875"/>
      <c r="M328" s="1876" t="s">
        <v>3331</v>
      </c>
      <c r="N328" s="1876">
        <v>9.6</v>
      </c>
      <c r="O328" s="1876">
        <v>1</v>
      </c>
      <c r="P328" s="1876">
        <f t="shared" ref="P328:P343" si="16">N328*O328</f>
        <v>9.6</v>
      </c>
      <c r="Q328" s="1877" t="s">
        <v>3332</v>
      </c>
      <c r="R328" s="1859"/>
      <c r="S328" s="1859"/>
      <c r="T328" s="1859"/>
    </row>
    <row r="329" spans="11:28" ht="16">
      <c r="K329" s="712" t="s">
        <v>238</v>
      </c>
      <c r="L329" s="1875"/>
      <c r="M329" s="1876" t="s">
        <v>3333</v>
      </c>
      <c r="N329" s="1876">
        <v>6.41</v>
      </c>
      <c r="O329" s="1876">
        <v>1</v>
      </c>
      <c r="P329" s="1876">
        <f t="shared" si="16"/>
        <v>6.41</v>
      </c>
      <c r="Q329" s="1877" t="s">
        <v>3334</v>
      </c>
      <c r="R329" s="1859"/>
      <c r="S329" s="1859"/>
      <c r="T329" s="1859"/>
    </row>
    <row r="330" spans="11:28" ht="32">
      <c r="K330" s="712" t="s">
        <v>238</v>
      </c>
      <c r="L330" s="1875"/>
      <c r="M330" s="1876" t="s">
        <v>3335</v>
      </c>
      <c r="N330" s="1876">
        <v>6.41</v>
      </c>
      <c r="O330" s="1876"/>
      <c r="P330" s="1876">
        <f t="shared" si="16"/>
        <v>0</v>
      </c>
      <c r="Q330" s="1877" t="s">
        <v>3336</v>
      </c>
      <c r="R330" s="1859"/>
      <c r="S330" s="1859"/>
      <c r="T330" s="1859"/>
      <c r="U330" s="1859"/>
      <c r="V330" s="1872"/>
      <c r="W330" s="1920" t="s">
        <v>3359</v>
      </c>
      <c r="X330" s="1872"/>
      <c r="Y330" s="1872"/>
      <c r="Z330" s="1872"/>
      <c r="AA330" s="1872"/>
      <c r="AB330" s="1898"/>
    </row>
    <row r="331" spans="11:28" ht="16">
      <c r="K331" s="712" t="s">
        <v>238</v>
      </c>
      <c r="L331" s="1875"/>
      <c r="M331" s="1876" t="s">
        <v>3337</v>
      </c>
      <c r="N331" s="1876">
        <v>19.23</v>
      </c>
      <c r="O331" s="1876">
        <v>1</v>
      </c>
      <c r="P331" s="1876">
        <f t="shared" si="16"/>
        <v>19.23</v>
      </c>
      <c r="Q331" s="1877" t="s">
        <v>3338</v>
      </c>
      <c r="R331" s="1859"/>
      <c r="S331" s="1859"/>
      <c r="T331" s="1859"/>
      <c r="U331" s="1859"/>
      <c r="V331" s="1872" t="s">
        <v>3360</v>
      </c>
      <c r="W331" s="1872"/>
      <c r="X331" s="1872"/>
      <c r="Y331" s="1872"/>
      <c r="Z331" s="1872"/>
      <c r="AA331" s="1872"/>
      <c r="AB331" s="1898"/>
    </row>
    <row r="332" spans="11:28" ht="16">
      <c r="K332" s="712" t="s">
        <v>238</v>
      </c>
      <c r="L332" s="1875"/>
      <c r="M332" s="1876" t="s">
        <v>3339</v>
      </c>
      <c r="N332" s="1876">
        <v>76.92</v>
      </c>
      <c r="O332" s="1876">
        <v>2</v>
      </c>
      <c r="P332" s="1876">
        <f t="shared" si="16"/>
        <v>153.84</v>
      </c>
      <c r="Q332" s="1877" t="s">
        <v>3340</v>
      </c>
      <c r="R332" s="1859"/>
      <c r="S332" s="1859"/>
      <c r="T332" s="1859"/>
      <c r="U332" s="1859"/>
      <c r="V332" s="1872"/>
      <c r="W332" s="1872" t="s">
        <v>3349</v>
      </c>
      <c r="X332" s="1872" t="s">
        <v>3350</v>
      </c>
      <c r="Y332" s="1872" t="s">
        <v>3351</v>
      </c>
      <c r="Z332" s="1872" t="s">
        <v>3352</v>
      </c>
      <c r="AA332" s="1872" t="s">
        <v>3353</v>
      </c>
      <c r="AB332" s="1898"/>
    </row>
    <row r="333" spans="11:28" ht="32">
      <c r="K333" s="712" t="s">
        <v>238</v>
      </c>
      <c r="L333" s="1875"/>
      <c r="M333" s="1876" t="s">
        <v>3341</v>
      </c>
      <c r="N333" s="1876">
        <v>200</v>
      </c>
      <c r="O333" s="1876">
        <v>1</v>
      </c>
      <c r="P333" s="1876">
        <f t="shared" si="16"/>
        <v>200</v>
      </c>
      <c r="Q333" s="1877" t="s">
        <v>3342</v>
      </c>
      <c r="R333" s="1859"/>
      <c r="S333" s="1859"/>
      <c r="T333" s="1859"/>
      <c r="U333" s="1859"/>
      <c r="V333" s="1923" t="s">
        <v>3361</v>
      </c>
      <c r="W333" s="1872">
        <v>14597</v>
      </c>
      <c r="X333" s="1872">
        <v>14534</v>
      </c>
      <c r="Y333" s="1872">
        <v>14477</v>
      </c>
      <c r="Z333" s="1872">
        <v>14428</v>
      </c>
      <c r="AA333" s="1872">
        <v>14387</v>
      </c>
      <c r="AB333" s="1898"/>
    </row>
    <row r="334" spans="11:28" ht="32">
      <c r="K334" s="712" t="s">
        <v>238</v>
      </c>
      <c r="L334" s="1875"/>
      <c r="M334" s="1928" t="s">
        <v>3343</v>
      </c>
      <c r="N334" s="1876">
        <v>73.930000000000007</v>
      </c>
      <c r="O334" s="1876">
        <v>1</v>
      </c>
      <c r="P334" s="1876">
        <f t="shared" si="16"/>
        <v>73.930000000000007</v>
      </c>
      <c r="Q334" s="1877"/>
      <c r="R334" s="1859"/>
      <c r="S334" s="1859"/>
      <c r="T334" s="1859"/>
      <c r="U334" s="1859"/>
      <c r="V334" s="1923" t="s">
        <v>3362</v>
      </c>
      <c r="W334" s="1855">
        <v>0.72</v>
      </c>
      <c r="X334" s="1855">
        <v>0.75</v>
      </c>
      <c r="Y334" s="1855">
        <v>0.8</v>
      </c>
      <c r="Z334" s="1855">
        <v>0.85</v>
      </c>
      <c r="AA334" s="1855">
        <v>0.9</v>
      </c>
      <c r="AB334" s="1898"/>
    </row>
    <row r="335" spans="11:28" ht="16">
      <c r="K335" s="712" t="s">
        <v>238</v>
      </c>
      <c r="L335" s="1875"/>
      <c r="M335" s="1876" t="s">
        <v>3345</v>
      </c>
      <c r="N335" s="1876">
        <v>1.42</v>
      </c>
      <c r="O335" s="1876">
        <v>1</v>
      </c>
      <c r="P335" s="1876">
        <f t="shared" si="16"/>
        <v>1.42</v>
      </c>
      <c r="Q335" s="1877"/>
      <c r="R335" s="1859"/>
      <c r="S335" s="1859"/>
      <c r="T335" s="1859"/>
      <c r="U335" s="1859"/>
      <c r="V335" s="1921" t="s">
        <v>3363</v>
      </c>
      <c r="W335" s="1922">
        <f>W333*72/100</f>
        <v>10509.84</v>
      </c>
      <c r="X335" s="1922">
        <f>X333*75/100</f>
        <v>10900.5</v>
      </c>
      <c r="Y335" s="1922">
        <f>Y333*80/100</f>
        <v>11581.6</v>
      </c>
      <c r="Z335" s="1922">
        <f>Z333*85/100</f>
        <v>12263.8</v>
      </c>
      <c r="AA335" s="1922">
        <f>AA333*90/100</f>
        <v>12948.3</v>
      </c>
      <c r="AB335" s="1898"/>
    </row>
    <row r="336" spans="11:28" ht="16">
      <c r="K336" s="712" t="s">
        <v>238</v>
      </c>
      <c r="L336" s="1875"/>
      <c r="M336" s="1876" t="s">
        <v>3347</v>
      </c>
      <c r="N336" s="1876">
        <v>20.6</v>
      </c>
      <c r="O336" s="1876">
        <v>1</v>
      </c>
      <c r="P336" s="1876">
        <f t="shared" si="16"/>
        <v>20.6</v>
      </c>
      <c r="Q336" s="1877"/>
      <c r="R336" s="1859"/>
      <c r="S336" s="1859"/>
      <c r="T336" s="1859"/>
      <c r="U336" s="1859"/>
      <c r="V336" s="1898"/>
      <c r="W336" s="1872">
        <f>P344/W311*W335</f>
        <v>8297203.3848000001</v>
      </c>
      <c r="X336" s="1872">
        <f>P344*X335</f>
        <v>8605617.7349999994</v>
      </c>
      <c r="Y336" s="1872">
        <f>P344*Y335</f>
        <v>9143325.7520000003</v>
      </c>
      <c r="Z336" s="1872">
        <f>P344*Z335</f>
        <v>9681902.1860000007</v>
      </c>
      <c r="AA336" s="1872">
        <f>P344*AA335</f>
        <v>10222294.401000001</v>
      </c>
      <c r="AB336" s="1898"/>
    </row>
    <row r="337" spans="1:28" ht="16">
      <c r="K337" s="712" t="s">
        <v>238</v>
      </c>
      <c r="L337" s="1875"/>
      <c r="M337" s="1912" t="s">
        <v>3364</v>
      </c>
      <c r="N337" s="1876">
        <v>30</v>
      </c>
      <c r="O337" s="1876">
        <v>2</v>
      </c>
      <c r="P337" s="1876">
        <f t="shared" si="16"/>
        <v>60</v>
      </c>
      <c r="Q337" s="1877"/>
      <c r="R337" s="1859"/>
      <c r="S337" s="1859"/>
      <c r="T337" s="1859"/>
      <c r="U337" s="1859"/>
      <c r="V337" s="1898"/>
      <c r="W337" s="1898"/>
      <c r="X337" s="1898"/>
      <c r="Y337" s="1898"/>
      <c r="Z337" s="1898"/>
      <c r="AA337" s="1898"/>
      <c r="AB337" s="1898"/>
    </row>
    <row r="338" spans="1:28" ht="16">
      <c r="K338" s="712" t="s">
        <v>238</v>
      </c>
      <c r="L338" s="1875"/>
      <c r="M338" s="1876" t="s">
        <v>3354</v>
      </c>
      <c r="N338" s="1876">
        <v>30</v>
      </c>
      <c r="O338" s="1876">
        <v>2</v>
      </c>
      <c r="P338" s="1876">
        <f t="shared" si="16"/>
        <v>60</v>
      </c>
      <c r="Q338" s="1877"/>
      <c r="R338" s="1859"/>
      <c r="S338" s="1859"/>
      <c r="T338" s="1859"/>
      <c r="U338" s="1859"/>
      <c r="V338" s="1898"/>
      <c r="W338" s="1924"/>
      <c r="X338" s="1924"/>
      <c r="Y338" s="1924"/>
      <c r="Z338" s="1924"/>
      <c r="AA338" s="1924"/>
      <c r="AB338" s="1924"/>
    </row>
    <row r="339" spans="1:28" ht="16">
      <c r="K339" s="712" t="s">
        <v>238</v>
      </c>
      <c r="L339" s="1875"/>
      <c r="M339" s="1876" t="s">
        <v>3311</v>
      </c>
      <c r="N339" s="1876">
        <v>42.26</v>
      </c>
      <c r="O339" s="1876">
        <v>1</v>
      </c>
      <c r="P339" s="1876">
        <f t="shared" si="16"/>
        <v>42.26</v>
      </c>
      <c r="Q339" s="1877"/>
      <c r="R339" s="1859"/>
      <c r="S339" s="1859"/>
      <c r="T339" s="1859"/>
      <c r="U339" s="1859"/>
      <c r="V339" s="1898"/>
      <c r="W339" s="1898"/>
      <c r="X339" s="1898"/>
      <c r="Y339" s="1898"/>
      <c r="Z339" s="1898"/>
      <c r="AA339" s="1898"/>
      <c r="AB339" s="1898"/>
    </row>
    <row r="340" spans="1:28" ht="48">
      <c r="K340" s="712" t="s">
        <v>238</v>
      </c>
      <c r="L340" s="1875"/>
      <c r="M340" s="1876" t="s">
        <v>3264</v>
      </c>
      <c r="N340" s="1876">
        <v>30.65</v>
      </c>
      <c r="O340" s="1876">
        <v>1</v>
      </c>
      <c r="P340" s="1876">
        <f t="shared" si="16"/>
        <v>30.65</v>
      </c>
      <c r="Q340" s="1877" t="s">
        <v>3357</v>
      </c>
      <c r="R340" s="1859"/>
      <c r="S340" s="1859"/>
      <c r="T340" s="1859"/>
      <c r="U340" s="1859"/>
      <c r="V340" s="1898"/>
      <c r="W340" s="1924"/>
      <c r="X340" s="1898"/>
      <c r="Y340" s="1898"/>
      <c r="Z340" s="1898"/>
      <c r="AA340" s="1898"/>
      <c r="AB340" s="1898"/>
    </row>
    <row r="341" spans="1:28" ht="17" thickBot="1">
      <c r="K341" s="712" t="s">
        <v>238</v>
      </c>
      <c r="L341" s="1875"/>
      <c r="M341" s="1876" t="s">
        <v>3265</v>
      </c>
      <c r="N341" s="1876">
        <v>17.03</v>
      </c>
      <c r="O341" s="1876">
        <v>1</v>
      </c>
      <c r="P341" s="1876">
        <f t="shared" si="16"/>
        <v>17.03</v>
      </c>
      <c r="Q341" s="1877"/>
      <c r="R341" s="1859"/>
      <c r="S341" s="1859"/>
      <c r="T341" s="1859"/>
      <c r="U341" s="1859"/>
      <c r="V341" s="1898"/>
      <c r="W341" s="1898"/>
      <c r="X341" s="1898"/>
      <c r="Y341" s="1898"/>
      <c r="Z341" s="1898"/>
      <c r="AA341" s="1898"/>
      <c r="AB341" s="1898"/>
    </row>
    <row r="342" spans="1:28" ht="17" thickBot="1">
      <c r="A342" s="730">
        <v>157</v>
      </c>
      <c r="B342" s="733"/>
      <c r="C342" s="733"/>
      <c r="D342" s="733"/>
      <c r="E342" s="733"/>
      <c r="F342" s="733"/>
      <c r="G342" s="733" t="s">
        <v>351</v>
      </c>
      <c r="H342" s="733" t="s">
        <v>3370</v>
      </c>
      <c r="I342" s="2187"/>
      <c r="J342" s="841" t="s">
        <v>2955</v>
      </c>
      <c r="K342" s="712" t="s">
        <v>238</v>
      </c>
      <c r="L342" s="1875"/>
      <c r="M342" s="1876" t="s">
        <v>3266</v>
      </c>
      <c r="N342" s="1876">
        <v>12.94</v>
      </c>
      <c r="O342" s="1876">
        <v>1</v>
      </c>
      <c r="P342" s="1876">
        <f t="shared" si="16"/>
        <v>12.94</v>
      </c>
      <c r="Q342" s="1877"/>
      <c r="R342" s="1859"/>
      <c r="S342" s="1859"/>
      <c r="T342" s="1859"/>
      <c r="U342" s="1859"/>
      <c r="V342" s="1898"/>
      <c r="W342" s="1898"/>
      <c r="X342" s="1898"/>
      <c r="Y342" s="1898"/>
      <c r="Z342" s="1898"/>
      <c r="AA342" s="1898"/>
      <c r="AB342" s="1898"/>
    </row>
    <row r="343" spans="1:28" ht="16">
      <c r="K343" s="712" t="s">
        <v>238</v>
      </c>
      <c r="L343" s="1875"/>
      <c r="M343" s="1876" t="s">
        <v>3267</v>
      </c>
      <c r="N343" s="1876">
        <v>68.739999999999995</v>
      </c>
      <c r="O343" s="1876">
        <v>1</v>
      </c>
      <c r="P343" s="1876">
        <f t="shared" si="16"/>
        <v>68.739999999999995</v>
      </c>
      <c r="Q343" s="1877"/>
      <c r="R343" s="1859"/>
      <c r="S343" s="1859"/>
      <c r="T343" s="1859"/>
      <c r="U343" s="1859"/>
      <c r="V343" s="1898"/>
      <c r="W343" s="1898"/>
      <c r="X343" s="1898"/>
      <c r="Y343" s="1898"/>
      <c r="Z343" s="1898"/>
      <c r="AA343" s="1898"/>
      <c r="AB343" s="1898"/>
    </row>
    <row r="344" spans="1:28" ht="16">
      <c r="K344" s="712" t="s">
        <v>238</v>
      </c>
      <c r="L344" s="1875"/>
      <c r="M344" s="1876"/>
      <c r="N344" s="1876"/>
      <c r="O344" s="1876"/>
      <c r="P344" s="1929">
        <f>SUM(P327:P343)</f>
        <v>789.47</v>
      </c>
      <c r="Q344" s="1877"/>
      <c r="R344" s="1859"/>
      <c r="S344" s="1859"/>
      <c r="T344" s="1859"/>
      <c r="U344" s="1859"/>
      <c r="V344" s="1898"/>
      <c r="W344" s="1898"/>
      <c r="X344" s="1898"/>
      <c r="Y344" s="1898"/>
      <c r="Z344" s="1898"/>
      <c r="AA344" s="1898"/>
      <c r="AB344" s="1898"/>
    </row>
    <row r="345" spans="1:28" ht="16">
      <c r="K345" s="712" t="s">
        <v>238</v>
      </c>
      <c r="L345" s="1875"/>
      <c r="M345" s="1859"/>
      <c r="N345" s="1859"/>
      <c r="O345" s="1859"/>
      <c r="P345" s="1859"/>
      <c r="Q345" s="1877"/>
      <c r="R345" s="1859"/>
      <c r="S345" s="1859"/>
      <c r="T345" s="1859"/>
      <c r="U345" s="1859"/>
      <c r="V345" s="1898"/>
      <c r="W345" s="1898"/>
      <c r="X345" s="1898"/>
      <c r="Y345" s="1898"/>
      <c r="Z345" s="1898"/>
      <c r="AA345" s="1898"/>
      <c r="AB345" s="1898"/>
    </row>
    <row r="346" spans="1:28" ht="19">
      <c r="K346" s="712" t="s">
        <v>238</v>
      </c>
      <c r="L346" s="1879" t="s">
        <v>3371</v>
      </c>
      <c r="M346" s="1859"/>
      <c r="N346" s="1859"/>
      <c r="O346" s="1859"/>
      <c r="P346" s="1859"/>
      <c r="Q346" s="1877"/>
      <c r="R346" s="1859"/>
      <c r="S346" s="1859"/>
      <c r="T346" s="1859"/>
      <c r="U346" s="1859"/>
      <c r="V346" s="1898"/>
      <c r="W346" s="1898"/>
      <c r="X346" s="1898"/>
      <c r="Y346" s="1898"/>
      <c r="Z346" s="1898"/>
      <c r="AA346" s="1898"/>
      <c r="AB346" s="1898"/>
    </row>
    <row r="347" spans="1:28" ht="16">
      <c r="K347" s="712" t="s">
        <v>238</v>
      </c>
      <c r="L347" s="1875"/>
      <c r="M347" s="1926" t="s">
        <v>3365</v>
      </c>
      <c r="N347" s="1859"/>
      <c r="O347" s="1859"/>
      <c r="P347" s="1859"/>
      <c r="Q347" s="1877"/>
      <c r="R347" s="1859"/>
      <c r="S347" s="1859"/>
      <c r="T347" s="1859"/>
      <c r="U347" s="1859"/>
      <c r="V347" s="1872"/>
      <c r="W347" s="1920" t="s">
        <v>3366</v>
      </c>
      <c r="X347" s="1872"/>
      <c r="Y347" s="1872"/>
      <c r="Z347" s="1872"/>
      <c r="AA347" s="1872"/>
      <c r="AB347" s="1898"/>
    </row>
    <row r="348" spans="1:28" ht="16">
      <c r="K348" s="712" t="s">
        <v>238</v>
      </c>
      <c r="L348" s="1875"/>
      <c r="M348" s="1859"/>
      <c r="N348" s="1859"/>
      <c r="O348" s="1859"/>
      <c r="P348" s="1859"/>
      <c r="Q348" s="1877"/>
      <c r="R348" s="1859"/>
      <c r="S348" s="1859"/>
      <c r="T348" s="1859"/>
      <c r="U348" s="1859"/>
      <c r="V348" s="1923" t="s">
        <v>3367</v>
      </c>
      <c r="W348" s="1872"/>
      <c r="X348" s="1872"/>
      <c r="Y348" s="1872"/>
      <c r="Z348" s="1872"/>
      <c r="AA348" s="1872"/>
      <c r="AB348" s="1898"/>
    </row>
    <row r="349" spans="1:28" ht="16">
      <c r="K349" s="712" t="s">
        <v>238</v>
      </c>
      <c r="L349" s="1875"/>
      <c r="M349" s="1876" t="s">
        <v>3329</v>
      </c>
      <c r="N349" s="1876">
        <v>6.41</v>
      </c>
      <c r="O349" s="1876">
        <v>2</v>
      </c>
      <c r="P349" s="1876">
        <f>N349*O349</f>
        <v>12.82</v>
      </c>
      <c r="Q349" s="1877" t="s">
        <v>3330</v>
      </c>
      <c r="R349" s="1859"/>
      <c r="S349" s="1859"/>
      <c r="T349" s="1859"/>
      <c r="U349" s="1859"/>
      <c r="V349" s="1872"/>
      <c r="W349" s="1872" t="s">
        <v>3349</v>
      </c>
      <c r="X349" s="1872" t="s">
        <v>3350</v>
      </c>
      <c r="Y349" s="1872" t="s">
        <v>3351</v>
      </c>
      <c r="Z349" s="1872" t="s">
        <v>3352</v>
      </c>
      <c r="AA349" s="1872" t="s">
        <v>3353</v>
      </c>
      <c r="AB349" s="1898"/>
    </row>
    <row r="350" spans="1:28" ht="16">
      <c r="K350" s="712" t="s">
        <v>238</v>
      </c>
      <c r="L350" s="1875"/>
      <c r="M350" s="1876" t="s">
        <v>3331</v>
      </c>
      <c r="N350" s="1876">
        <v>9.6</v>
      </c>
      <c r="O350" s="1876">
        <v>1</v>
      </c>
      <c r="P350" s="1876">
        <f t="shared" ref="P350:P365" si="17">N350*O350</f>
        <v>9.6</v>
      </c>
      <c r="Q350" s="1877" t="s">
        <v>3332</v>
      </c>
      <c r="R350" s="1859"/>
      <c r="S350" s="1859"/>
      <c r="T350" s="1859"/>
      <c r="U350" s="1859"/>
      <c r="V350" s="1921" t="s">
        <v>3368</v>
      </c>
      <c r="W350" s="1921">
        <v>4000</v>
      </c>
      <c r="X350" s="1921">
        <v>4200</v>
      </c>
      <c r="Y350" s="1921">
        <v>4500</v>
      </c>
      <c r="Z350" s="1921">
        <v>4800</v>
      </c>
      <c r="AA350" s="1921">
        <v>5000</v>
      </c>
      <c r="AB350" s="1898"/>
    </row>
    <row r="351" spans="1:28" ht="16">
      <c r="K351" s="712" t="s">
        <v>238</v>
      </c>
      <c r="L351" s="1875"/>
      <c r="M351" s="1876" t="s">
        <v>3333</v>
      </c>
      <c r="N351" s="1876">
        <v>6.41</v>
      </c>
      <c r="O351" s="1876">
        <v>1</v>
      </c>
      <c r="P351" s="1876">
        <f t="shared" si="17"/>
        <v>6.41</v>
      </c>
      <c r="Q351" s="1877" t="s">
        <v>3334</v>
      </c>
      <c r="R351" s="1859"/>
      <c r="S351" s="1859"/>
      <c r="T351" s="1859"/>
      <c r="U351" s="1859"/>
      <c r="V351" s="1919"/>
      <c r="W351" s="1872">
        <f>P366*W350</f>
        <v>3157880</v>
      </c>
      <c r="X351" s="1872">
        <f>P366*X350</f>
        <v>3315774</v>
      </c>
      <c r="Y351" s="1872">
        <f>P366*Y350</f>
        <v>3552615</v>
      </c>
      <c r="Z351" s="1872">
        <f>P366*Z350</f>
        <v>3789456</v>
      </c>
      <c r="AA351" s="1872">
        <f>P366*AA350</f>
        <v>3947350</v>
      </c>
      <c r="AB351" s="1919"/>
    </row>
    <row r="352" spans="1:28" ht="32">
      <c r="K352" s="712" t="s">
        <v>238</v>
      </c>
      <c r="L352" s="1875"/>
      <c r="M352" s="1876" t="s">
        <v>3335</v>
      </c>
      <c r="N352" s="1876">
        <v>6.41</v>
      </c>
      <c r="O352" s="1876"/>
      <c r="P352" s="1876">
        <f t="shared" si="17"/>
        <v>0</v>
      </c>
      <c r="Q352" s="1877" t="s">
        <v>3336</v>
      </c>
      <c r="R352" s="1859"/>
      <c r="S352" s="1859"/>
      <c r="T352" s="1859"/>
      <c r="U352" s="1859"/>
      <c r="V352" s="1919"/>
      <c r="W352" s="1925">
        <f>W350+W335+W317</f>
        <v>34804.839999999997</v>
      </c>
      <c r="X352" s="1919"/>
      <c r="Y352" s="1919"/>
      <c r="Z352" s="1919"/>
      <c r="AA352" s="1919"/>
      <c r="AB352" s="1919"/>
    </row>
    <row r="353" spans="1:28" ht="16">
      <c r="K353" s="712" t="s">
        <v>238</v>
      </c>
      <c r="L353" s="1875"/>
      <c r="M353" s="1876" t="s">
        <v>3337</v>
      </c>
      <c r="N353" s="1876">
        <v>19.23</v>
      </c>
      <c r="O353" s="1876">
        <v>1</v>
      </c>
      <c r="P353" s="1876">
        <f t="shared" si="17"/>
        <v>19.23</v>
      </c>
      <c r="Q353" s="1877" t="s">
        <v>3338</v>
      </c>
      <c r="R353" s="1859"/>
      <c r="S353" s="1859"/>
      <c r="T353" s="1859"/>
      <c r="U353" s="1859"/>
      <c r="V353" s="1919"/>
      <c r="W353" s="1925">
        <f>W351+W336+W318</f>
        <v>27477377.0348</v>
      </c>
      <c r="X353" s="1919"/>
      <c r="Y353" s="1919"/>
      <c r="Z353" s="1919"/>
      <c r="AA353" s="1919"/>
      <c r="AB353" s="1919"/>
    </row>
    <row r="354" spans="1:28" ht="16">
      <c r="K354" s="712" t="s">
        <v>238</v>
      </c>
      <c r="L354" s="1875"/>
      <c r="M354" s="1876" t="s">
        <v>3339</v>
      </c>
      <c r="N354" s="1876">
        <v>76.92</v>
      </c>
      <c r="O354" s="1876">
        <v>2</v>
      </c>
      <c r="P354" s="1876">
        <f t="shared" si="17"/>
        <v>153.84</v>
      </c>
      <c r="Q354" s="1877" t="s">
        <v>3340</v>
      </c>
      <c r="R354" s="1859"/>
      <c r="S354" s="1859"/>
      <c r="T354" s="1859"/>
      <c r="U354" s="1859"/>
      <c r="V354" s="1919"/>
      <c r="W354" s="1919">
        <f>W353/19.418</f>
        <v>1415046.7110310022</v>
      </c>
      <c r="X354" s="1919"/>
      <c r="Y354" s="1919"/>
      <c r="Z354" s="1919"/>
      <c r="AA354" s="1919"/>
      <c r="AB354" s="1919"/>
    </row>
    <row r="355" spans="1:28" ht="32">
      <c r="K355" s="712" t="s">
        <v>238</v>
      </c>
      <c r="L355" s="1875"/>
      <c r="M355" s="1876" t="s">
        <v>3341</v>
      </c>
      <c r="N355" s="1876">
        <v>200</v>
      </c>
      <c r="O355" s="1876">
        <v>1</v>
      </c>
      <c r="P355" s="1876">
        <f t="shared" si="17"/>
        <v>200</v>
      </c>
      <c r="Q355" s="1877" t="s">
        <v>3342</v>
      </c>
      <c r="R355" s="1859"/>
      <c r="S355" s="1859"/>
      <c r="T355" s="1859"/>
      <c r="U355" s="1859"/>
      <c r="V355" s="1859"/>
      <c r="W355" s="1859">
        <f>W354/EUR</f>
        <v>72105.382233351615</v>
      </c>
      <c r="X355" s="1859"/>
      <c r="Y355" s="1859"/>
      <c r="Z355" s="1859"/>
      <c r="AA355" s="1859"/>
    </row>
    <row r="356" spans="1:28" ht="32">
      <c r="K356" s="712" t="s">
        <v>238</v>
      </c>
      <c r="L356" s="1875"/>
      <c r="M356" s="1928" t="s">
        <v>3343</v>
      </c>
      <c r="N356" s="1876">
        <v>73.930000000000007</v>
      </c>
      <c r="O356" s="1876">
        <v>1</v>
      </c>
      <c r="P356" s="1876">
        <f t="shared" si="17"/>
        <v>73.930000000000007</v>
      </c>
      <c r="Q356" s="1877"/>
      <c r="R356" s="1859"/>
      <c r="S356" s="1859"/>
      <c r="T356" s="1859"/>
      <c r="U356" s="1859"/>
      <c r="V356" s="1859"/>
      <c r="W356" s="1859"/>
      <c r="X356" s="1859"/>
      <c r="Y356" s="1859"/>
      <c r="Z356" s="1859"/>
      <c r="AA356" s="1859"/>
    </row>
    <row r="357" spans="1:28" ht="16">
      <c r="K357" s="712" t="s">
        <v>238</v>
      </c>
      <c r="L357" s="1875"/>
      <c r="M357" s="1876" t="s">
        <v>3345</v>
      </c>
      <c r="N357" s="1876">
        <v>1.42</v>
      </c>
      <c r="O357" s="1876">
        <v>1</v>
      </c>
      <c r="P357" s="1876">
        <f t="shared" si="17"/>
        <v>1.42</v>
      </c>
      <c r="Q357" s="1877"/>
      <c r="R357" s="1859"/>
      <c r="S357" s="1859"/>
      <c r="T357" s="1859"/>
      <c r="U357" s="1859"/>
      <c r="V357" s="1859"/>
      <c r="W357" s="1859"/>
      <c r="X357" s="1859"/>
      <c r="Y357" s="1859"/>
      <c r="Z357" s="1859"/>
      <c r="AA357" s="1859"/>
    </row>
    <row r="358" spans="1:28" ht="16">
      <c r="K358" s="712" t="s">
        <v>238</v>
      </c>
      <c r="L358" s="1875"/>
      <c r="M358" s="1876" t="s">
        <v>3347</v>
      </c>
      <c r="N358" s="1876">
        <v>20.6</v>
      </c>
      <c r="O358" s="1876">
        <v>1</v>
      </c>
      <c r="P358" s="1876">
        <f t="shared" si="17"/>
        <v>20.6</v>
      </c>
      <c r="Q358" s="1877"/>
      <c r="R358" s="1859"/>
      <c r="S358" s="1859"/>
      <c r="T358" s="1859"/>
      <c r="U358" s="1859"/>
      <c r="V358" s="1859"/>
      <c r="W358" s="1859"/>
      <c r="X358" s="1859"/>
      <c r="Y358" s="1859"/>
      <c r="Z358" s="1859"/>
      <c r="AA358" s="1859"/>
    </row>
    <row r="359" spans="1:28" ht="16">
      <c r="K359" s="712" t="s">
        <v>238</v>
      </c>
      <c r="L359" s="1875"/>
      <c r="M359" s="1876" t="s">
        <v>3348</v>
      </c>
      <c r="N359" s="1876">
        <v>30</v>
      </c>
      <c r="O359" s="1876">
        <v>2</v>
      </c>
      <c r="P359" s="1876">
        <f t="shared" si="17"/>
        <v>60</v>
      </c>
      <c r="Q359" s="1877"/>
      <c r="R359" s="1859"/>
      <c r="S359" s="1859"/>
      <c r="T359" s="1859"/>
      <c r="U359" s="1859"/>
      <c r="V359" s="1859"/>
      <c r="W359" s="1859"/>
      <c r="X359" s="1859"/>
      <c r="Y359" s="1859"/>
      <c r="Z359" s="1859"/>
      <c r="AA359" s="1859"/>
    </row>
    <row r="360" spans="1:28" ht="16">
      <c r="K360" s="712" t="s">
        <v>238</v>
      </c>
      <c r="L360" s="1875"/>
      <c r="M360" s="1876" t="s">
        <v>3354</v>
      </c>
      <c r="N360" s="1876">
        <v>30</v>
      </c>
      <c r="O360" s="1876">
        <v>2</v>
      </c>
      <c r="P360" s="1876">
        <f t="shared" si="17"/>
        <v>60</v>
      </c>
      <c r="Q360" s="1877"/>
      <c r="R360" s="1859"/>
      <c r="S360" s="1859"/>
      <c r="T360" s="1859"/>
      <c r="U360" s="1859"/>
      <c r="V360" s="1859"/>
      <c r="W360" s="1859"/>
      <c r="X360" s="1859"/>
      <c r="Y360" s="1859"/>
      <c r="Z360" s="1859"/>
      <c r="AA360" s="1859"/>
    </row>
    <row r="361" spans="1:28" ht="16">
      <c r="K361" s="712" t="s">
        <v>238</v>
      </c>
      <c r="L361" s="1875"/>
      <c r="M361" s="1876" t="s">
        <v>3311</v>
      </c>
      <c r="N361" s="1876">
        <v>42.26</v>
      </c>
      <c r="O361" s="1876">
        <v>1</v>
      </c>
      <c r="P361" s="1876">
        <f t="shared" si="17"/>
        <v>42.26</v>
      </c>
      <c r="Q361" s="1877"/>
      <c r="R361" s="1859"/>
      <c r="S361" s="1859"/>
      <c r="T361" s="1859"/>
      <c r="U361" s="1859"/>
      <c r="V361" s="1859"/>
      <c r="W361" s="1859"/>
      <c r="X361" s="1859"/>
      <c r="Y361" s="1859"/>
      <c r="Z361" s="1859"/>
      <c r="AA361" s="1859"/>
    </row>
    <row r="362" spans="1:28" ht="48">
      <c r="K362" s="712" t="s">
        <v>238</v>
      </c>
      <c r="L362" s="1875"/>
      <c r="M362" s="1876" t="s">
        <v>3264</v>
      </c>
      <c r="N362" s="1876">
        <v>30.65</v>
      </c>
      <c r="O362" s="1876">
        <v>1</v>
      </c>
      <c r="P362" s="1876">
        <f t="shared" si="17"/>
        <v>30.65</v>
      </c>
      <c r="Q362" s="1877" t="s">
        <v>3357</v>
      </c>
      <c r="R362" s="1859"/>
      <c r="S362" s="1859"/>
      <c r="T362" s="1859"/>
      <c r="U362" s="1859"/>
      <c r="V362" s="1859"/>
      <c r="W362" s="1859"/>
      <c r="X362" s="1859"/>
      <c r="Y362" s="1859"/>
      <c r="Z362" s="1859"/>
      <c r="AA362" s="1859"/>
    </row>
    <row r="363" spans="1:28" ht="16">
      <c r="K363" s="712" t="s">
        <v>238</v>
      </c>
      <c r="L363" s="1875"/>
      <c r="M363" s="1876" t="s">
        <v>3265</v>
      </c>
      <c r="N363" s="1876">
        <v>17.03</v>
      </c>
      <c r="O363" s="1876">
        <v>1</v>
      </c>
      <c r="P363" s="1876">
        <f t="shared" si="17"/>
        <v>17.03</v>
      </c>
      <c r="Q363" s="1877"/>
      <c r="R363" s="1859"/>
      <c r="S363" s="1859"/>
      <c r="T363" s="1859"/>
      <c r="U363" s="1859"/>
      <c r="V363" s="1859"/>
      <c r="W363" s="1859"/>
      <c r="X363" s="1859"/>
      <c r="Y363" s="1859"/>
      <c r="Z363" s="1859"/>
      <c r="AA363" s="1859"/>
    </row>
    <row r="364" spans="1:28" ht="17" thickBot="1">
      <c r="K364" s="712" t="s">
        <v>238</v>
      </c>
      <c r="L364" s="1875"/>
      <c r="M364" s="1876" t="s">
        <v>3266</v>
      </c>
      <c r="N364" s="1876">
        <v>12.94</v>
      </c>
      <c r="O364" s="1876">
        <v>1</v>
      </c>
      <c r="P364" s="1876">
        <f t="shared" si="17"/>
        <v>12.94</v>
      </c>
      <c r="Q364" s="1877"/>
      <c r="R364" s="1859"/>
      <c r="S364" s="1859"/>
      <c r="T364" s="1859"/>
      <c r="U364" s="1859"/>
      <c r="V364" s="1859"/>
      <c r="W364" s="1859"/>
      <c r="X364" s="1859"/>
      <c r="Y364" s="1859"/>
      <c r="Z364" s="1859"/>
      <c r="AA364" s="1859"/>
    </row>
    <row r="365" spans="1:28" ht="17" thickBot="1">
      <c r="A365" s="730">
        <v>158</v>
      </c>
      <c r="B365" s="733"/>
      <c r="C365" s="733"/>
      <c r="D365" s="733"/>
      <c r="E365" s="733"/>
      <c r="F365" s="733"/>
      <c r="G365" s="733" t="s">
        <v>351</v>
      </c>
      <c r="H365" s="733" t="s">
        <v>3371</v>
      </c>
      <c r="I365" s="2187"/>
      <c r="J365" s="841" t="s">
        <v>2955</v>
      </c>
      <c r="K365" s="712" t="s">
        <v>238</v>
      </c>
      <c r="L365" s="1875"/>
      <c r="M365" s="1876" t="s">
        <v>3267</v>
      </c>
      <c r="N365" s="1876">
        <v>68.739999999999995</v>
      </c>
      <c r="O365" s="1876">
        <v>1</v>
      </c>
      <c r="P365" s="1876">
        <f t="shared" si="17"/>
        <v>68.739999999999995</v>
      </c>
      <c r="Q365" s="1877"/>
      <c r="R365" s="1859"/>
      <c r="S365" s="1859"/>
      <c r="T365" s="1859"/>
      <c r="U365" s="1859"/>
      <c r="V365" s="1859"/>
      <c r="W365" s="1859"/>
      <c r="X365" s="1859"/>
      <c r="Y365" s="1859"/>
      <c r="Z365" s="1859"/>
      <c r="AA365" s="1859"/>
    </row>
    <row r="366" spans="1:28" ht="16">
      <c r="K366" s="712" t="s">
        <v>238</v>
      </c>
      <c r="L366" s="1875"/>
      <c r="M366" s="1876"/>
      <c r="N366" s="1876"/>
      <c r="O366" s="1876"/>
      <c r="P366" s="1929">
        <f>SUM(P349:P365)</f>
        <v>789.47</v>
      </c>
      <c r="Q366" s="1877"/>
      <c r="R366" s="1859"/>
      <c r="S366" s="1859"/>
      <c r="T366" s="1859"/>
      <c r="U366" s="1859"/>
      <c r="V366" s="1859"/>
      <c r="W366" s="1859"/>
      <c r="X366" s="1859"/>
      <c r="Y366" s="1859"/>
      <c r="Z366" s="1859"/>
      <c r="AA366" s="1859"/>
    </row>
    <row r="367" spans="1:28">
      <c r="K367" s="712" t="s">
        <v>238</v>
      </c>
    </row>
    <row r="368" spans="1:28">
      <c r="K368" s="712" t="s">
        <v>238</v>
      </c>
    </row>
  </sheetData>
  <conditionalFormatting sqref="A1">
    <cfRule type="duplicateValues" dxfId="378" priority="42"/>
  </conditionalFormatting>
  <conditionalFormatting sqref="Q17">
    <cfRule type="containsText" dxfId="377" priority="38" operator="containsText" text="USD">
      <formula>NOT(ISERROR(SEARCH("USD",Q17)))</formula>
    </cfRule>
    <cfRule type="containsText" dxfId="376" priority="39" operator="containsText" text="EUR">
      <formula>NOT(ISERROR(SEARCH("EUR",Q17)))</formula>
    </cfRule>
  </conditionalFormatting>
  <conditionalFormatting sqref="Q159">
    <cfRule type="containsText" dxfId="375" priority="26" operator="containsText" text="USD">
      <formula>NOT(ISERROR(SEARCH("USD",Q159)))</formula>
    </cfRule>
    <cfRule type="containsText" dxfId="374" priority="27" operator="containsText" text="EUR">
      <formula>NOT(ISERROR(SEARCH("EUR",Q159)))</formula>
    </cfRule>
  </conditionalFormatting>
  <conditionalFormatting sqref="A30">
    <cfRule type="duplicateValues" dxfId="373" priority="35"/>
  </conditionalFormatting>
  <conditionalFormatting sqref="A70">
    <cfRule type="duplicateValues" dxfId="372" priority="34"/>
  </conditionalFormatting>
  <conditionalFormatting sqref="Q88">
    <cfRule type="containsText" dxfId="371" priority="32" operator="containsText" text="USD">
      <formula>NOT(ISERROR(SEARCH("USD",Q88)))</formula>
    </cfRule>
    <cfRule type="containsText" dxfId="370" priority="33" operator="containsText" text="EUR">
      <formula>NOT(ISERROR(SEARCH("EUR",Q88)))</formula>
    </cfRule>
  </conditionalFormatting>
  <conditionalFormatting sqref="A101">
    <cfRule type="duplicateValues" dxfId="369" priority="29"/>
  </conditionalFormatting>
  <conditionalFormatting sqref="A141">
    <cfRule type="duplicateValues" dxfId="368" priority="28"/>
  </conditionalFormatting>
  <conditionalFormatting sqref="A172">
    <cfRule type="duplicateValues" dxfId="367" priority="23"/>
  </conditionalFormatting>
  <conditionalFormatting sqref="A212">
    <cfRule type="duplicateValues" dxfId="366" priority="22"/>
  </conditionalFormatting>
  <conditionalFormatting sqref="A254">
    <cfRule type="duplicateValues" dxfId="365" priority="15"/>
  </conditionalFormatting>
  <conditionalFormatting sqref="A289">
    <cfRule type="duplicateValues" dxfId="364" priority="14"/>
  </conditionalFormatting>
  <conditionalFormatting sqref="A320">
    <cfRule type="duplicateValues" dxfId="363" priority="13"/>
  </conditionalFormatting>
  <conditionalFormatting sqref="A342">
    <cfRule type="duplicateValues" dxfId="362" priority="12"/>
  </conditionalFormatting>
  <conditionalFormatting sqref="A365">
    <cfRule type="duplicateValues" dxfId="361" priority="11"/>
  </conditionalFormatting>
  <conditionalFormatting sqref="Q43">
    <cfRule type="containsText" dxfId="360" priority="9" operator="containsText" text="USD">
      <formula>NOT(ISERROR(SEARCH("USD",Q43)))</formula>
    </cfRule>
    <cfRule type="containsText" dxfId="359" priority="10" operator="containsText" text="EUR">
      <formula>NOT(ISERROR(SEARCH("EUR",Q43)))</formula>
    </cfRule>
  </conditionalFormatting>
  <conditionalFormatting sqref="Q114">
    <cfRule type="containsText" dxfId="358" priority="7" operator="containsText" text="USD">
      <formula>NOT(ISERROR(SEARCH("USD",Q114)))</formula>
    </cfRule>
    <cfRule type="containsText" dxfId="357" priority="8" operator="containsText" text="EUR">
      <formula>NOT(ISERROR(SEARCH("EUR",Q114)))</formula>
    </cfRule>
  </conditionalFormatting>
  <conditionalFormatting sqref="Q185">
    <cfRule type="containsText" dxfId="356" priority="5" operator="containsText" text="USD">
      <formula>NOT(ISERROR(SEARCH("USD",Q185)))</formula>
    </cfRule>
    <cfRule type="containsText" dxfId="355" priority="6" operator="containsText" text="EUR">
      <formula>NOT(ISERROR(SEARCH("EUR",Q185)))</formula>
    </cfRule>
  </conditionalFormatting>
  <conditionalFormatting sqref="Q227">
    <cfRule type="containsText" dxfId="354" priority="3" operator="containsText" text="USD">
      <formula>NOT(ISERROR(SEARCH("USD",Q227)))</formula>
    </cfRule>
    <cfRule type="containsText" dxfId="353" priority="4" operator="containsText" text="EUR">
      <formula>NOT(ISERROR(SEARCH("EUR",Q227)))</formula>
    </cfRule>
  </conditionalFormatting>
  <conditionalFormatting sqref="Q267">
    <cfRule type="containsText" dxfId="352" priority="1" operator="containsText" text="USD">
      <formula>NOT(ISERROR(SEARCH("USD",Q267)))</formula>
    </cfRule>
    <cfRule type="containsText" dxfId="351" priority="2" operator="containsText" text="EUR">
      <formula>NOT(ISERROR(SEARCH("EUR",Q267)))</formula>
    </cfRule>
  </conditionalFormatting>
  <dataValidations count="3">
    <dataValidation type="list" allowBlank="1" showInputMessage="1" showErrorMessage="1" sqref="M18:M24 M228:M246 M89:M95 M44:M62 M160:M166 M115:M133 M186:M204 M268:M286" xr:uid="{00000000-0002-0000-0F00-000000000000}">
      <formula1>Denumire_produs_ro</formula1>
    </dataValidation>
    <dataValidation type="list" allowBlank="1" showInputMessage="1" showErrorMessage="1" sqref="G30 G70 G101 G141 G172 G212 G254 G289 G320 G342 G365" xr:uid="{00000000-0002-0000-0F00-000001000000}">
      <formula1>TB_sursa_finant_Ro</formula1>
    </dataValidation>
    <dataValidation type="list" allowBlank="1" showInputMessage="1" showErrorMessage="1" sqref="I30 I70 I101 I141 I172 I212 I254 I289 I320 I342 I365" xr:uid="{00000000-0002-0000-0F00-000002000000}">
      <formula1>TB_implementare</formula1>
    </dataValidation>
  </dataValidations>
  <hyperlinks>
    <hyperlink ref="O1" location="CUPRINS!A1" display="CUPRINS" xr:uid="{00000000-0004-0000-0F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3000000}">
          <x14:formula1>
            <xm:f>Nom_activ_2!$H$2:$H$88</xm:f>
          </x14:formula1>
          <xm:sqref>J30 J70 J101 J141 J172 J212 J365 J289 J320 J342 J254</xm:sqref>
        </x14:dataValidation>
      </x14:dataValidations>
    </ext>
  </extLst>
</worksheet>
</file>

<file path=xl/worksheets/sheet1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S1019"/>
  <sheetViews>
    <sheetView zoomScale="55" zoomScaleNormal="55" workbookViewId="0">
      <pane xSplit="11" ySplit="1" topLeftCell="L420" activePane="bottomRight" state="frozen"/>
      <selection activeCell="S7" sqref="S7"/>
      <selection pane="topRight" activeCell="S7" sqref="S7"/>
      <selection pane="bottomLeft" activeCell="S7" sqref="S7"/>
      <selection pane="bottomRight" activeCell="S458" sqref="S458:T459"/>
    </sheetView>
  </sheetViews>
  <sheetFormatPr baseColWidth="10" defaultColWidth="9.5" defaultRowHeight="16" outlineLevelCol="1"/>
  <cols>
    <col min="1" max="1" width="16" style="442" hidden="1" customWidth="1" outlineLevel="1"/>
    <col min="2" max="6" width="13.1640625" style="442" hidden="1" customWidth="1" outlineLevel="1"/>
    <col min="7" max="7" width="8" style="442" hidden="1" customWidth="1" outlineLevel="1"/>
    <col min="8" max="8" width="38.83203125" style="442" hidden="1" customWidth="1" outlineLevel="1"/>
    <col min="9" max="9" width="33.33203125" style="442" hidden="1" customWidth="1" outlineLevel="1"/>
    <col min="10" max="10" width="75.33203125" style="442" hidden="1" customWidth="1" outlineLevel="1"/>
    <col min="11" max="11" width="1.83203125" style="442" customWidth="1" collapsed="1"/>
    <col min="12" max="12" width="22.33203125" style="442" customWidth="1"/>
    <col min="13" max="13" width="14.5" style="442" customWidth="1"/>
    <col min="14" max="14" width="23.83203125" style="442" customWidth="1"/>
    <col min="15" max="15" width="53.5" style="442" customWidth="1"/>
    <col min="16" max="17" width="13" style="442" customWidth="1"/>
    <col min="18" max="18" width="37.83203125" style="442" customWidth="1"/>
    <col min="19" max="19" width="48.6640625" style="442" customWidth="1"/>
    <col min="20" max="20" width="16.5" style="442" bestFit="1" customWidth="1"/>
    <col min="21" max="24" width="15.1640625" style="442" bestFit="1" customWidth="1"/>
    <col min="25" max="25" width="21.5" style="442" bestFit="1" customWidth="1"/>
    <col min="26" max="26" width="17.5" style="442" bestFit="1" customWidth="1"/>
    <col min="27" max="27" width="26.6640625" style="442" customWidth="1"/>
    <col min="28" max="30" width="17.5" style="442" bestFit="1" customWidth="1"/>
    <col min="31" max="31" width="24" style="442" bestFit="1" customWidth="1"/>
    <col min="32" max="36" width="17.5" style="442" bestFit="1" customWidth="1"/>
    <col min="37" max="37" width="23.33203125" style="442" customWidth="1"/>
    <col min="38" max="39" width="9.5" style="442"/>
    <col min="40" max="40" width="47.33203125" style="442" bestFit="1" customWidth="1"/>
    <col min="41" max="42" width="9.5" style="442"/>
    <col min="43" max="43" width="1.83203125" style="442" customWidth="1"/>
    <col min="44" max="44" width="21.1640625" style="1486" customWidth="1"/>
    <col min="45" max="45" width="21.33203125" style="2216" customWidth="1"/>
    <col min="46" max="16384" width="9.5" style="442"/>
  </cols>
  <sheetData>
    <row r="1" spans="1:44" ht="17" thickBot="1">
      <c r="A1" s="730"/>
      <c r="B1" s="731">
        <v>2021</v>
      </c>
      <c r="C1" s="731">
        <v>2022</v>
      </c>
      <c r="D1" s="731">
        <v>2023</v>
      </c>
      <c r="E1" s="731">
        <v>2024</v>
      </c>
      <c r="F1" s="731">
        <v>2025</v>
      </c>
      <c r="G1" s="731" t="s">
        <v>484</v>
      </c>
      <c r="H1" s="731" t="s">
        <v>515</v>
      </c>
      <c r="I1" s="732" t="s">
        <v>1834</v>
      </c>
      <c r="J1" s="859"/>
      <c r="K1" s="712"/>
      <c r="L1" s="836">
        <f>SUM(B:F)-B1-C1-D1-E1-F1</f>
        <v>141834359.8765623</v>
      </c>
      <c r="M1">
        <f>SUM(AR:AR)</f>
        <v>141834359.87656236</v>
      </c>
      <c r="N1" s="836">
        <f>L1-M1</f>
        <v>0</v>
      </c>
      <c r="O1" s="1836" t="s">
        <v>356</v>
      </c>
      <c r="P1"/>
      <c r="Q1"/>
      <c r="R1"/>
      <c r="S1"/>
      <c r="AQ1" s="712"/>
    </row>
    <row r="2" spans="1:44" ht="10.25" customHeight="1">
      <c r="K2" s="712"/>
      <c r="L2" s="705"/>
      <c r="M2" s="705"/>
      <c r="N2" s="712"/>
      <c r="O2" s="706"/>
      <c r="P2" s="706"/>
      <c r="Q2" s="706"/>
      <c r="R2" s="706"/>
      <c r="S2" s="706"/>
      <c r="T2" s="706"/>
      <c r="U2" s="706"/>
      <c r="V2" s="706"/>
      <c r="W2" s="706"/>
      <c r="X2" s="706"/>
      <c r="Y2" s="706"/>
      <c r="Z2" s="706"/>
      <c r="AA2" s="706"/>
      <c r="AB2" s="706"/>
      <c r="AC2" s="706"/>
      <c r="AD2" s="706"/>
      <c r="AE2" s="706"/>
      <c r="AF2" s="706"/>
      <c r="AG2" s="706"/>
      <c r="AH2" s="706"/>
      <c r="AI2" s="706"/>
      <c r="AJ2" s="706"/>
      <c r="AK2" s="712"/>
      <c r="AL2" s="712"/>
      <c r="AM2" s="712"/>
      <c r="AN2" s="712"/>
      <c r="AO2" s="712"/>
      <c r="AP2" s="712"/>
      <c r="AQ2" s="712"/>
      <c r="AR2" s="1486" t="s">
        <v>2228</v>
      </c>
    </row>
    <row r="3" spans="1:44" ht="22" thickBot="1">
      <c r="K3" s="712"/>
      <c r="L3" s="498" t="s">
        <v>246</v>
      </c>
      <c r="M3" s="499" t="s">
        <v>297</v>
      </c>
      <c r="Q3" s="500"/>
      <c r="AQ3" s="712"/>
    </row>
    <row r="4" spans="1:44" ht="22" thickBot="1">
      <c r="K4" s="712"/>
      <c r="L4" s="498"/>
      <c r="M4" s="499"/>
      <c r="Q4" s="500"/>
      <c r="AB4" s="2298">
        <f>T12+T13+T42+T43</f>
        <v>872</v>
      </c>
      <c r="AC4" s="2299">
        <f>U12+U13+U42+U43</f>
        <v>851</v>
      </c>
      <c r="AD4" s="2299">
        <f>V12+V13+V42+V43</f>
        <v>836</v>
      </c>
      <c r="AE4" s="2299">
        <f>W12+W13+W42+W43</f>
        <v>825</v>
      </c>
      <c r="AF4" s="2300">
        <f>X12+X13+X42+X43</f>
        <v>815</v>
      </c>
      <c r="AQ4" s="712"/>
    </row>
    <row r="5" spans="1:44" ht="21">
      <c r="K5" s="712"/>
      <c r="L5" s="501" t="s">
        <v>298</v>
      </c>
      <c r="M5" s="499" t="s">
        <v>306</v>
      </c>
      <c r="Q5" s="500"/>
      <c r="AQ5" s="712"/>
    </row>
    <row r="6" spans="1:44" ht="22" thickBot="1">
      <c r="K6" s="712"/>
      <c r="L6" s="430"/>
      <c r="M6" s="421"/>
      <c r="O6" s="526"/>
      <c r="P6" s="526"/>
      <c r="Q6" s="526"/>
      <c r="R6" s="526"/>
      <c r="S6" s="526"/>
      <c r="T6" s="526"/>
      <c r="U6" s="526"/>
      <c r="V6" s="526"/>
      <c r="W6" s="526"/>
      <c r="X6" s="526"/>
      <c r="Y6" s="526"/>
      <c r="Z6" s="526"/>
      <c r="AA6" s="526"/>
      <c r="AB6" s="526"/>
      <c r="AC6" s="526"/>
      <c r="AD6" s="526"/>
      <c r="AE6" s="526"/>
      <c r="AF6" s="526"/>
      <c r="AG6" s="526"/>
      <c r="AH6" s="526"/>
      <c r="AI6" s="526"/>
      <c r="AJ6" s="526"/>
      <c r="AQ6" s="712"/>
    </row>
    <row r="7" spans="1:44" ht="22" thickBot="1">
      <c r="K7" s="712"/>
      <c r="L7" s="497"/>
      <c r="M7" s="497"/>
      <c r="O7" s="526"/>
      <c r="P7" s="526"/>
      <c r="Q7" s="526"/>
      <c r="R7" s="527" t="s">
        <v>197</v>
      </c>
      <c r="S7" s="528"/>
      <c r="T7" s="528"/>
      <c r="U7" s="528"/>
      <c r="V7" s="528"/>
      <c r="W7" s="528"/>
      <c r="X7" s="529"/>
      <c r="Y7" s="526"/>
      <c r="Z7" s="526"/>
      <c r="AA7" s="2301"/>
      <c r="AB7" s="2302" t="s">
        <v>3859</v>
      </c>
      <c r="AC7" s="2302" t="s">
        <v>3860</v>
      </c>
      <c r="AD7" s="2302" t="s">
        <v>3861</v>
      </c>
      <c r="AE7" s="2303" t="s">
        <v>3862</v>
      </c>
      <c r="AF7" s="526"/>
      <c r="AG7" s="526"/>
      <c r="AH7" s="526"/>
      <c r="AI7" s="526"/>
      <c r="AJ7" s="526"/>
      <c r="AQ7" s="712"/>
    </row>
    <row r="8" spans="1:44" ht="53.5" customHeight="1" thickBot="1">
      <c r="K8" s="712"/>
      <c r="L8" s="502"/>
      <c r="M8" s="502"/>
      <c r="O8" s="526"/>
      <c r="P8" s="526"/>
      <c r="Q8" s="526"/>
      <c r="R8" s="530"/>
      <c r="S8" s="528"/>
      <c r="T8" s="531">
        <v>14</v>
      </c>
      <c r="U8" s="531">
        <v>15</v>
      </c>
      <c r="V8" s="531">
        <v>16</v>
      </c>
      <c r="W8" s="531">
        <v>17</v>
      </c>
      <c r="X8" s="532">
        <v>18</v>
      </c>
      <c r="Y8" s="526"/>
      <c r="Z8" s="526"/>
      <c r="AA8" s="2304" t="s">
        <v>3863</v>
      </c>
      <c r="AB8" s="2660">
        <f>T342+T348+T458+T531+T537</f>
        <v>410</v>
      </c>
      <c r="AC8" s="2660">
        <f t="shared" ref="AC8:AD8" si="0">U342+U348+U458+U531+U537</f>
        <v>403</v>
      </c>
      <c r="AD8" s="2660">
        <f t="shared" si="0"/>
        <v>391</v>
      </c>
      <c r="AE8" s="2662">
        <f>SUM(AB8:AD9)</f>
        <v>1204</v>
      </c>
      <c r="AF8" s="526"/>
      <c r="AG8" s="526"/>
      <c r="AH8" s="526"/>
      <c r="AI8" s="526"/>
      <c r="AJ8" s="526"/>
      <c r="AQ8" s="712"/>
    </row>
    <row r="9" spans="1:44" ht="22" thickBot="1">
      <c r="K9" s="712"/>
      <c r="L9" s="502"/>
      <c r="M9" s="502"/>
      <c r="O9" s="526"/>
      <c r="P9" s="526"/>
      <c r="Q9" s="526"/>
      <c r="R9" s="533"/>
      <c r="S9" s="534"/>
      <c r="T9" s="535">
        <v>2021</v>
      </c>
      <c r="U9" s="535">
        <v>2022</v>
      </c>
      <c r="V9" s="535">
        <v>2023</v>
      </c>
      <c r="W9" s="535">
        <v>2024</v>
      </c>
      <c r="X9" s="536">
        <v>2025</v>
      </c>
      <c r="Y9" s="526"/>
      <c r="Z9" s="526"/>
      <c r="AA9" s="2305" t="s">
        <v>3864</v>
      </c>
      <c r="AB9" s="2661"/>
      <c r="AC9" s="2661"/>
      <c r="AD9" s="2661"/>
      <c r="AE9" s="2663"/>
      <c r="AF9" s="526"/>
      <c r="AG9" s="526"/>
      <c r="AH9" s="526"/>
      <c r="AI9" s="526"/>
      <c r="AJ9" s="526"/>
      <c r="AQ9" s="712"/>
    </row>
    <row r="10" spans="1:44" ht="53" customHeight="1">
      <c r="K10" s="712"/>
      <c r="L10" s="502"/>
      <c r="M10" s="502"/>
      <c r="O10" s="526"/>
      <c r="P10" s="526"/>
      <c r="Q10" s="526"/>
      <c r="R10" s="537" t="s">
        <v>286</v>
      </c>
      <c r="S10" s="538" t="s">
        <v>270</v>
      </c>
      <c r="T10" s="539">
        <f>VLOOKUP(R10,estim_5years,T8,0)</f>
        <v>1771</v>
      </c>
      <c r="U10" s="539">
        <f>VLOOKUP(R10,estim_5years,U8,0)</f>
        <v>1717</v>
      </c>
      <c r="V10" s="539">
        <f>VLOOKUP(R10,estim_5years,V8,0)</f>
        <v>1665</v>
      </c>
      <c r="W10" s="539">
        <f>VLOOKUP(R10,estim_5years,W8,0)</f>
        <v>1617</v>
      </c>
      <c r="X10" s="540">
        <f>VLOOKUP(R10,estim_5years,X8,0)</f>
        <v>1571</v>
      </c>
      <c r="Y10" s="526"/>
      <c r="Z10" s="526"/>
      <c r="AA10" s="2304" t="s">
        <v>3863</v>
      </c>
      <c r="AB10" s="2660">
        <f>T647+T653+T763</f>
        <v>205</v>
      </c>
      <c r="AC10" s="2660">
        <f t="shared" ref="AC10:AD10" si="1">U647+U653+U763</f>
        <v>206</v>
      </c>
      <c r="AD10" s="2660">
        <f t="shared" si="1"/>
        <v>209</v>
      </c>
      <c r="AE10" s="2660">
        <f t="shared" ref="AE10" si="2">W647+W653+W763</f>
        <v>213</v>
      </c>
      <c r="AF10" s="526"/>
      <c r="AG10" s="526"/>
      <c r="AH10" s="526"/>
      <c r="AI10" s="526"/>
      <c r="AJ10" s="526"/>
      <c r="AQ10" s="712"/>
    </row>
    <row r="11" spans="1:44" ht="22" thickBot="1">
      <c r="K11" s="712"/>
      <c r="L11" s="502"/>
      <c r="M11" s="502"/>
      <c r="O11" s="526"/>
      <c r="P11" s="526"/>
      <c r="Q11" s="526"/>
      <c r="R11" s="537" t="s">
        <v>287</v>
      </c>
      <c r="S11" s="538" t="s">
        <v>221</v>
      </c>
      <c r="T11" s="539">
        <f>VLOOKUP(R11,estim_5years,T8,0)</f>
        <v>166</v>
      </c>
      <c r="U11" s="539">
        <f>VLOOKUP(R11,estim_5years,U8,0)</f>
        <v>161</v>
      </c>
      <c r="V11" s="539">
        <f>VLOOKUP(R11,estim_5years,V8,0)</f>
        <v>157</v>
      </c>
      <c r="W11" s="539">
        <f>VLOOKUP(R11,estim_5years,W8,0)</f>
        <v>153</v>
      </c>
      <c r="X11" s="540">
        <f>VLOOKUP(R11,estim_5years,X8,0)</f>
        <v>149</v>
      </c>
      <c r="Y11" s="526"/>
      <c r="Z11" s="526"/>
      <c r="AA11" s="2305" t="s">
        <v>3865</v>
      </c>
      <c r="AB11" s="2661"/>
      <c r="AC11" s="2661"/>
      <c r="AD11" s="2661"/>
      <c r="AE11" s="2661"/>
      <c r="AF11" s="526"/>
      <c r="AG11" s="526"/>
      <c r="AH11" s="526"/>
      <c r="AI11" s="526"/>
      <c r="AJ11" s="526"/>
      <c r="AQ11" s="712"/>
    </row>
    <row r="12" spans="1:44" ht="43" thickBot="1">
      <c r="K12" s="712"/>
      <c r="L12" s="502"/>
      <c r="M12" s="502"/>
      <c r="O12" s="526"/>
      <c r="P12" s="526"/>
      <c r="Q12" s="526"/>
      <c r="R12" s="537" t="s">
        <v>288</v>
      </c>
      <c r="S12" s="538" t="s">
        <v>222</v>
      </c>
      <c r="T12" s="539">
        <f>VLOOKUP(R12,estim_5years,T8,0)</f>
        <v>447</v>
      </c>
      <c r="U12" s="539">
        <f>VLOOKUP(R12,estim_5years,U8,0)</f>
        <v>432</v>
      </c>
      <c r="V12" s="539">
        <f>VLOOKUP(R12,estim_5years,V8,0)</f>
        <v>419</v>
      </c>
      <c r="W12" s="539">
        <f>VLOOKUP(R12,estim_5years,W8,0)</f>
        <v>407</v>
      </c>
      <c r="X12" s="540">
        <f>VLOOKUP(R12,estim_5years,X8,0)</f>
        <v>395</v>
      </c>
      <c r="Y12" s="526"/>
      <c r="Z12" s="526"/>
      <c r="AA12" s="2305" t="s">
        <v>3866</v>
      </c>
      <c r="AB12" s="2306">
        <f>T344+T346+T533+T535</f>
        <v>170</v>
      </c>
      <c r="AC12" s="2306">
        <f t="shared" ref="AC12:AD12" si="3">U344+U346+U533+U535</f>
        <v>166</v>
      </c>
      <c r="AD12" s="2306">
        <f t="shared" si="3"/>
        <v>160</v>
      </c>
      <c r="AE12" s="2307">
        <f>SUM(AB12:AD12)</f>
        <v>496</v>
      </c>
      <c r="AF12" s="526"/>
      <c r="AG12" s="526"/>
      <c r="AH12" s="526"/>
      <c r="AI12" s="526"/>
      <c r="AJ12" s="526"/>
      <c r="AQ12" s="712"/>
    </row>
    <row r="13" spans="1:44" ht="43" thickBot="1">
      <c r="K13" s="712"/>
      <c r="L13" s="502"/>
      <c r="M13" s="502"/>
      <c r="O13" s="526"/>
      <c r="P13" s="526"/>
      <c r="Q13" s="526"/>
      <c r="R13" s="541" t="s">
        <v>289</v>
      </c>
      <c r="S13" s="542" t="s">
        <v>223</v>
      </c>
      <c r="T13" s="543">
        <f>VLOOKUP(R13,estim_5years,T8,0)</f>
        <v>143</v>
      </c>
      <c r="U13" s="543">
        <f>VLOOKUP(R13,estim_5years,U8,0)</f>
        <v>137</v>
      </c>
      <c r="V13" s="543">
        <f>VLOOKUP(R13,estim_5years,V8,0)</f>
        <v>132</v>
      </c>
      <c r="W13" s="543">
        <f>VLOOKUP(R13,estim_5years,W8,0)</f>
        <v>127</v>
      </c>
      <c r="X13" s="544">
        <f>VLOOKUP(R13,estim_5years,X8,0)</f>
        <v>124</v>
      </c>
      <c r="Y13" s="526"/>
      <c r="Z13" s="526"/>
      <c r="AA13" s="2305" t="s">
        <v>3866</v>
      </c>
      <c r="AB13" s="2306">
        <f>T649+T651</f>
        <v>76</v>
      </c>
      <c r="AC13" s="2306">
        <f t="shared" ref="AC13:AD13" si="4">U649+U651</f>
        <v>76</v>
      </c>
      <c r="AD13" s="2306">
        <f t="shared" si="4"/>
        <v>76</v>
      </c>
      <c r="AE13" s="2307">
        <f>SUM(AB13:AD13)</f>
        <v>228</v>
      </c>
      <c r="AF13" s="526"/>
      <c r="AG13" s="526"/>
      <c r="AH13" s="526"/>
      <c r="AI13" s="526"/>
      <c r="AJ13" s="526"/>
      <c r="AQ13" s="712"/>
    </row>
    <row r="14" spans="1:44" ht="22" thickBot="1">
      <c r="K14" s="712"/>
      <c r="L14" s="502"/>
      <c r="M14" s="502"/>
      <c r="O14" s="526"/>
      <c r="P14" s="526"/>
      <c r="Q14" s="526"/>
      <c r="R14" s="526"/>
      <c r="S14" s="526"/>
      <c r="T14" s="526"/>
      <c r="U14" s="526"/>
      <c r="V14" s="526"/>
      <c r="W14" s="526"/>
      <c r="X14" s="526"/>
      <c r="Y14" s="526"/>
      <c r="Z14" s="526"/>
      <c r="AA14" s="2308" t="s">
        <v>3867</v>
      </c>
      <c r="AB14" s="2307">
        <f>SUM(AB8:AB13)</f>
        <v>861</v>
      </c>
      <c r="AC14" s="2307">
        <f t="shared" ref="AC14:AE14" si="5">SUM(AC8:AC13)</f>
        <v>851</v>
      </c>
      <c r="AD14" s="2307">
        <f t="shared" si="5"/>
        <v>836</v>
      </c>
      <c r="AE14" s="2307">
        <f t="shared" si="5"/>
        <v>2141</v>
      </c>
      <c r="AF14" s="526"/>
      <c r="AG14" s="526"/>
      <c r="AH14" s="526"/>
      <c r="AI14" s="526"/>
      <c r="AJ14" s="526"/>
      <c r="AQ14" s="712"/>
    </row>
    <row r="15" spans="1:44" ht="22" thickBot="1">
      <c r="K15" s="712"/>
      <c r="L15" s="502"/>
      <c r="M15" s="502"/>
      <c r="O15" s="526"/>
      <c r="P15" s="526"/>
      <c r="Q15" s="545" t="s">
        <v>299</v>
      </c>
      <c r="R15" s="546" t="s">
        <v>307</v>
      </c>
      <c r="S15" s="526"/>
      <c r="T15" s="526"/>
      <c r="U15" s="526"/>
      <c r="V15" s="526"/>
      <c r="W15" s="526"/>
      <c r="X15" s="526"/>
      <c r="Y15" s="526"/>
      <c r="Z15" s="526"/>
      <c r="AA15" s="526"/>
      <c r="AB15" s="526"/>
      <c r="AC15" s="526"/>
      <c r="AD15" s="526"/>
      <c r="AE15" s="526"/>
      <c r="AF15" s="526"/>
      <c r="AG15" s="526"/>
      <c r="AH15" s="526"/>
      <c r="AI15" s="526"/>
      <c r="AJ15" s="526"/>
      <c r="AQ15" s="712"/>
    </row>
    <row r="16" spans="1:44" ht="21">
      <c r="K16" s="712"/>
      <c r="L16" s="502"/>
      <c r="M16" s="503"/>
      <c r="O16" s="526"/>
      <c r="P16" s="526"/>
      <c r="Q16" s="546" t="s">
        <v>300</v>
      </c>
      <c r="R16" s="547">
        <v>3.3000000000000002E-2</v>
      </c>
      <c r="S16" s="548" t="s">
        <v>270</v>
      </c>
      <c r="T16" s="534">
        <f>ROUNDUP(T10*R16,0)</f>
        <v>59</v>
      </c>
      <c r="U16" s="534">
        <f>ROUNDUP(U10*R16,0)</f>
        <v>57</v>
      </c>
      <c r="V16" s="534">
        <f>ROUNDUP(V10*R16,0)</f>
        <v>55</v>
      </c>
      <c r="W16" s="534">
        <f>ROUNDUP(W10*R16,0)</f>
        <v>54</v>
      </c>
      <c r="X16" s="549">
        <f>ROUNDUP(X10*R16,0)</f>
        <v>52</v>
      </c>
      <c r="Y16" s="526"/>
      <c r="Z16" s="526"/>
      <c r="AF16" s="526"/>
      <c r="AG16" s="526"/>
      <c r="AH16" s="526"/>
      <c r="AI16" s="526"/>
      <c r="AJ16" s="526"/>
      <c r="AQ16" s="712"/>
    </row>
    <row r="17" spans="11:43" ht="21">
      <c r="K17" s="712"/>
      <c r="L17" s="502"/>
      <c r="M17" s="502"/>
      <c r="O17" s="526"/>
      <c r="P17" s="526"/>
      <c r="Q17" s="546"/>
      <c r="R17" s="550"/>
      <c r="S17" s="551" t="s">
        <v>221</v>
      </c>
      <c r="T17" s="552"/>
      <c r="U17" s="552"/>
      <c r="V17" s="552"/>
      <c r="W17" s="552"/>
      <c r="X17" s="553"/>
      <c r="Y17" s="526"/>
      <c r="Z17" s="526"/>
      <c r="AF17" s="526"/>
      <c r="AG17" s="526"/>
      <c r="AH17" s="526"/>
      <c r="AI17" s="526"/>
      <c r="AJ17" s="526"/>
      <c r="AQ17" s="712"/>
    </row>
    <row r="18" spans="11:43" ht="21">
      <c r="K18" s="712"/>
      <c r="L18" s="502"/>
      <c r="M18" s="503"/>
      <c r="O18" s="526"/>
      <c r="P18" s="526"/>
      <c r="Q18" s="546" t="s">
        <v>301</v>
      </c>
      <c r="R18" s="554">
        <v>4.4999999999999998E-2</v>
      </c>
      <c r="S18" s="551" t="s">
        <v>222</v>
      </c>
      <c r="T18" s="552">
        <f>ROUNDUP(T12*R18,0)</f>
        <v>21</v>
      </c>
      <c r="U18" s="552">
        <f>ROUNDUP(U12*R18,0)</f>
        <v>20</v>
      </c>
      <c r="V18" s="552">
        <f>ROUNDUP(V12*R18,0)</f>
        <v>19</v>
      </c>
      <c r="W18" s="552">
        <f>ROUNDUP(W12*R18,0)</f>
        <v>19</v>
      </c>
      <c r="X18" s="553">
        <f>ROUNDUP(X12*R18,0)</f>
        <v>18</v>
      </c>
      <c r="Y18" s="526"/>
      <c r="Z18" s="526"/>
      <c r="AF18" s="526"/>
      <c r="AG18" s="526"/>
      <c r="AH18" s="526"/>
      <c r="AI18" s="526"/>
      <c r="AJ18" s="526"/>
      <c r="AQ18" s="712"/>
    </row>
    <row r="19" spans="11:43" ht="22" thickBot="1">
      <c r="K19" s="712"/>
      <c r="L19" s="502"/>
      <c r="M19" s="502"/>
      <c r="O19" s="526"/>
      <c r="P19" s="526"/>
      <c r="Q19" s="526"/>
      <c r="R19" s="550"/>
      <c r="S19" s="555" t="s">
        <v>223</v>
      </c>
      <c r="T19" s="556">
        <f>ROUNDUP(T13*R19,0)</f>
        <v>0</v>
      </c>
      <c r="U19" s="556">
        <f>ROUNDUP(U13*R19,0)</f>
        <v>0</v>
      </c>
      <c r="V19" s="556">
        <f>ROUNDUP(V13*R19,0)</f>
        <v>0</v>
      </c>
      <c r="W19" s="556">
        <f>ROUNDUP(W13*R19,0)</f>
        <v>0</v>
      </c>
      <c r="X19" s="557">
        <f>ROUNDUP(X13*R19,0)</f>
        <v>0</v>
      </c>
      <c r="Y19" s="526"/>
      <c r="Z19" s="526"/>
      <c r="AF19" s="526"/>
      <c r="AG19" s="526"/>
      <c r="AH19" s="526"/>
      <c r="AI19" s="526"/>
      <c r="AJ19" s="526"/>
      <c r="AQ19" s="712"/>
    </row>
    <row r="20" spans="11:43" ht="21">
      <c r="K20" s="712"/>
      <c r="L20" s="502"/>
      <c r="M20" s="502"/>
      <c r="O20" s="526"/>
      <c r="P20" s="526"/>
      <c r="Q20" s="526"/>
      <c r="R20" s="526"/>
      <c r="S20" s="526"/>
      <c r="T20" s="526"/>
      <c r="U20" s="526"/>
      <c r="V20" s="526"/>
      <c r="W20" s="526"/>
      <c r="X20" s="526"/>
      <c r="Y20" s="526"/>
      <c r="Z20" s="526"/>
      <c r="AF20" s="526"/>
      <c r="AG20" s="526"/>
      <c r="AH20" s="526"/>
      <c r="AI20" s="526"/>
      <c r="AJ20" s="526"/>
      <c r="AQ20" s="712"/>
    </row>
    <row r="21" spans="11:43" ht="22" thickBot="1">
      <c r="K21" s="712"/>
      <c r="L21" s="502"/>
      <c r="M21" s="502"/>
      <c r="O21" s="526"/>
      <c r="P21" s="526"/>
      <c r="Q21" s="545" t="s">
        <v>302</v>
      </c>
      <c r="R21" s="526"/>
      <c r="S21" s="526"/>
      <c r="T21" s="526"/>
      <c r="U21" s="526"/>
      <c r="V21" s="526"/>
      <c r="W21" s="526"/>
      <c r="X21" s="526"/>
      <c r="Y21" s="526"/>
      <c r="Z21" s="526"/>
      <c r="AF21" s="526"/>
      <c r="AG21" s="526"/>
      <c r="AH21" s="526"/>
      <c r="AI21" s="526"/>
      <c r="AJ21" s="526"/>
      <c r="AQ21" s="712"/>
    </row>
    <row r="22" spans="11:43" ht="21">
      <c r="K22" s="712"/>
      <c r="L22" s="502"/>
      <c r="M22" s="502"/>
      <c r="O22" s="526"/>
      <c r="P22" s="526"/>
      <c r="Q22" s="526"/>
      <c r="R22" s="526"/>
      <c r="S22" s="548" t="s">
        <v>270</v>
      </c>
      <c r="T22" s="534">
        <f t="shared" ref="T22:X25" si="6">T10-T16-T28</f>
        <v>1656</v>
      </c>
      <c r="U22" s="534">
        <f t="shared" si="6"/>
        <v>1605</v>
      </c>
      <c r="V22" s="534">
        <f t="shared" si="6"/>
        <v>1557</v>
      </c>
      <c r="W22" s="534">
        <f t="shared" si="6"/>
        <v>1511</v>
      </c>
      <c r="X22" s="534">
        <f t="shared" si="6"/>
        <v>1469</v>
      </c>
      <c r="Y22" s="526"/>
      <c r="Z22" s="526"/>
      <c r="AF22" s="526"/>
      <c r="AG22" s="526"/>
      <c r="AH22" s="526"/>
      <c r="AI22" s="526"/>
      <c r="AJ22" s="526"/>
      <c r="AQ22" s="712"/>
    </row>
    <row r="23" spans="11:43" ht="21">
      <c r="K23" s="712"/>
      <c r="L23" s="502"/>
      <c r="M23" s="502"/>
      <c r="O23" s="526"/>
      <c r="P23" s="526"/>
      <c r="Q23" s="526"/>
      <c r="R23" s="526"/>
      <c r="S23" s="551" t="s">
        <v>221</v>
      </c>
      <c r="T23" s="552">
        <f t="shared" si="6"/>
        <v>166</v>
      </c>
      <c r="U23" s="552">
        <f t="shared" si="6"/>
        <v>161</v>
      </c>
      <c r="V23" s="552">
        <f t="shared" si="6"/>
        <v>157</v>
      </c>
      <c r="W23" s="552">
        <f t="shared" si="6"/>
        <v>153</v>
      </c>
      <c r="X23" s="553">
        <f t="shared" si="6"/>
        <v>149</v>
      </c>
      <c r="Y23" s="526"/>
      <c r="Z23" s="526"/>
      <c r="AF23" s="526"/>
      <c r="AG23" s="526"/>
      <c r="AH23" s="526"/>
      <c r="AI23" s="526"/>
      <c r="AJ23" s="526"/>
      <c r="AQ23" s="712"/>
    </row>
    <row r="24" spans="11:43" ht="21">
      <c r="K24" s="712"/>
      <c r="L24" s="502"/>
      <c r="M24" s="502"/>
      <c r="O24" s="526"/>
      <c r="P24" s="526"/>
      <c r="Q24" s="526"/>
      <c r="R24" s="526"/>
      <c r="S24" s="551" t="s">
        <v>222</v>
      </c>
      <c r="T24" s="552">
        <f t="shared" si="6"/>
        <v>406</v>
      </c>
      <c r="U24" s="552">
        <f t="shared" si="6"/>
        <v>393</v>
      </c>
      <c r="V24" s="552">
        <f t="shared" si="6"/>
        <v>381</v>
      </c>
      <c r="W24" s="552">
        <f t="shared" si="6"/>
        <v>370</v>
      </c>
      <c r="X24" s="553">
        <f t="shared" si="6"/>
        <v>359</v>
      </c>
      <c r="Y24" s="526"/>
      <c r="Z24" s="526"/>
      <c r="AA24" s="526"/>
      <c r="AB24" s="526"/>
      <c r="AC24" s="526"/>
      <c r="AD24" s="526"/>
      <c r="AE24" s="526"/>
      <c r="AF24" s="526"/>
      <c r="AG24" s="526"/>
      <c r="AH24" s="526"/>
      <c r="AI24" s="526"/>
      <c r="AJ24" s="526"/>
      <c r="AQ24" s="712"/>
    </row>
    <row r="25" spans="11:43" ht="22" thickBot="1">
      <c r="K25" s="712"/>
      <c r="L25" s="502"/>
      <c r="M25" s="502"/>
      <c r="O25" s="526"/>
      <c r="P25" s="526"/>
      <c r="Q25" s="526"/>
      <c r="R25" s="526"/>
      <c r="S25" s="555" t="s">
        <v>223</v>
      </c>
      <c r="T25" s="556">
        <f t="shared" si="6"/>
        <v>143</v>
      </c>
      <c r="U25" s="556">
        <f t="shared" si="6"/>
        <v>137</v>
      </c>
      <c r="V25" s="556">
        <f t="shared" si="6"/>
        <v>132</v>
      </c>
      <c r="W25" s="556">
        <f t="shared" si="6"/>
        <v>127</v>
      </c>
      <c r="X25" s="557">
        <f t="shared" si="6"/>
        <v>124</v>
      </c>
      <c r="Y25" s="526"/>
      <c r="Z25" s="526"/>
      <c r="AA25" s="526"/>
      <c r="AB25" s="526"/>
      <c r="AC25" s="526"/>
      <c r="AD25" s="526"/>
      <c r="AE25" s="526"/>
      <c r="AF25" s="526"/>
      <c r="AG25" s="526"/>
      <c r="AH25" s="526"/>
      <c r="AI25" s="526"/>
      <c r="AJ25" s="526"/>
      <c r="AQ25" s="712"/>
    </row>
    <row r="26" spans="11:43" ht="21">
      <c r="K26" s="712"/>
      <c r="L26" s="502"/>
      <c r="M26" s="502"/>
      <c r="O26" s="526"/>
      <c r="P26" s="526"/>
      <c r="Q26" s="526"/>
      <c r="R26" s="526"/>
      <c r="S26" s="526"/>
      <c r="T26" s="526"/>
      <c r="U26" s="526"/>
      <c r="V26" s="526"/>
      <c r="W26" s="526"/>
      <c r="X26" s="526"/>
      <c r="Y26" s="526"/>
      <c r="Z26" s="526"/>
      <c r="AA26" s="526"/>
      <c r="AB26" s="526"/>
      <c r="AC26" s="526"/>
      <c r="AD26" s="526"/>
      <c r="AE26" s="526"/>
      <c r="AF26" s="526"/>
      <c r="AG26" s="526"/>
      <c r="AH26" s="526"/>
      <c r="AI26" s="526"/>
      <c r="AJ26" s="526"/>
      <c r="AQ26" s="712"/>
    </row>
    <row r="27" spans="11:43" ht="22" thickBot="1">
      <c r="K27" s="712"/>
      <c r="L27" s="502"/>
      <c r="M27" s="502"/>
      <c r="O27" s="526"/>
      <c r="P27" s="526"/>
      <c r="Q27" s="545" t="s">
        <v>303</v>
      </c>
      <c r="R27" s="526"/>
      <c r="S27" s="526"/>
      <c r="T27" s="526"/>
      <c r="U27" s="526"/>
      <c r="V27" s="526"/>
      <c r="W27" s="526"/>
      <c r="X27" s="526"/>
      <c r="Y27" s="526"/>
      <c r="Z27" s="526"/>
      <c r="AA27" s="526"/>
      <c r="AB27" s="526"/>
      <c r="AC27" s="526"/>
      <c r="AD27" s="526"/>
      <c r="AE27" s="526"/>
      <c r="AF27" s="526"/>
      <c r="AG27" s="526"/>
      <c r="AH27" s="526"/>
      <c r="AI27" s="526"/>
      <c r="AJ27" s="526"/>
      <c r="AQ27" s="712"/>
    </row>
    <row r="28" spans="11:43" ht="21">
      <c r="K28" s="712"/>
      <c r="L28" s="502"/>
      <c r="M28" s="503"/>
      <c r="O28" s="526"/>
      <c r="P28" s="526"/>
      <c r="Q28" s="546" t="s">
        <v>300</v>
      </c>
      <c r="R28" s="547">
        <v>3.3000000000000002E-2</v>
      </c>
      <c r="S28" s="548" t="s">
        <v>270</v>
      </c>
      <c r="T28" s="534">
        <f>ROUND(R28*(T10-T16),0)</f>
        <v>56</v>
      </c>
      <c r="U28" s="534">
        <f>ROUND(R28*(U10-U16),0)</f>
        <v>55</v>
      </c>
      <c r="V28" s="534">
        <f>ROUND(R28*(V10-V16),0)</f>
        <v>53</v>
      </c>
      <c r="W28" s="534">
        <f>ROUND(R28*(W10-W16),0)</f>
        <v>52</v>
      </c>
      <c r="X28" s="549">
        <f>ROUND(R28*(X10-X16),0)</f>
        <v>50</v>
      </c>
      <c r="Y28" s="526"/>
      <c r="Z28" s="526"/>
      <c r="AA28" s="526"/>
      <c r="AB28" s="526"/>
      <c r="AC28" s="526"/>
      <c r="AD28" s="526"/>
      <c r="AE28" s="526"/>
      <c r="AF28" s="526"/>
      <c r="AG28" s="526"/>
      <c r="AH28" s="526"/>
      <c r="AI28" s="526"/>
      <c r="AJ28" s="526"/>
      <c r="AQ28" s="712"/>
    </row>
    <row r="29" spans="11:43" ht="21">
      <c r="K29" s="712"/>
      <c r="L29" s="502"/>
      <c r="M29" s="503"/>
      <c r="O29" s="526"/>
      <c r="P29" s="526"/>
      <c r="Q29" s="546"/>
      <c r="R29" s="550"/>
      <c r="S29" s="551" t="s">
        <v>221</v>
      </c>
      <c r="T29" s="552">
        <f>ROUND(R29*(T11-T17),0)</f>
        <v>0</v>
      </c>
      <c r="U29" s="552">
        <f>ROUND(R29*(U11-U17),0)</f>
        <v>0</v>
      </c>
      <c r="V29" s="552">
        <f>ROUND(R29*(V11-V17),0)</f>
        <v>0</v>
      </c>
      <c r="W29" s="552">
        <f>ROUND(R29*(W11-W17),0)</f>
        <v>0</v>
      </c>
      <c r="X29" s="553">
        <f>ROUND(R29*(X11-X17),0)</f>
        <v>0</v>
      </c>
      <c r="Y29" s="526"/>
      <c r="Z29" s="526"/>
      <c r="AA29" s="526"/>
      <c r="AB29" s="526"/>
      <c r="AC29" s="526"/>
      <c r="AD29" s="526"/>
      <c r="AE29" s="526"/>
      <c r="AF29" s="526"/>
      <c r="AG29" s="526"/>
      <c r="AH29" s="526"/>
      <c r="AI29" s="526"/>
      <c r="AJ29" s="526"/>
      <c r="AQ29" s="712"/>
    </row>
    <row r="30" spans="11:43" ht="21">
      <c r="K30" s="712"/>
      <c r="L30" s="502"/>
      <c r="M30" s="503"/>
      <c r="O30" s="526"/>
      <c r="P30" s="526"/>
      <c r="Q30" s="546" t="s">
        <v>300</v>
      </c>
      <c r="R30" s="554">
        <v>4.7E-2</v>
      </c>
      <c r="S30" s="551" t="s">
        <v>222</v>
      </c>
      <c r="T30" s="552">
        <f>ROUND(R30*(T12-T18),0)</f>
        <v>20</v>
      </c>
      <c r="U30" s="552">
        <f>ROUND(R30*(U12-U18),0)</f>
        <v>19</v>
      </c>
      <c r="V30" s="552">
        <f>ROUND(R30*(V12-V18),0)</f>
        <v>19</v>
      </c>
      <c r="W30" s="552">
        <f>ROUND(R30*(W12-W18),0)</f>
        <v>18</v>
      </c>
      <c r="X30" s="553">
        <f>ROUND(R30*(X12-X18),0)</f>
        <v>18</v>
      </c>
      <c r="Y30" s="526"/>
      <c r="Z30" s="526"/>
      <c r="AA30" s="526"/>
      <c r="AB30" s="526"/>
      <c r="AC30" s="526"/>
      <c r="AD30" s="526"/>
      <c r="AE30" s="526"/>
      <c r="AF30" s="526"/>
      <c r="AG30" s="526"/>
      <c r="AH30" s="526"/>
      <c r="AI30" s="526"/>
      <c r="AJ30" s="526"/>
      <c r="AQ30" s="712"/>
    </row>
    <row r="31" spans="11:43" ht="22" thickBot="1">
      <c r="K31" s="712"/>
      <c r="L31" s="502"/>
      <c r="M31" s="503"/>
      <c r="O31" s="526"/>
      <c r="P31" s="526"/>
      <c r="Q31" s="526"/>
      <c r="R31" s="526"/>
      <c r="S31" s="555" t="s">
        <v>223</v>
      </c>
      <c r="T31" s="556">
        <f>ROUND(R31*(T13-T19),0)</f>
        <v>0</v>
      </c>
      <c r="U31" s="556">
        <f>ROUND(R31*(U13-U19),0)</f>
        <v>0</v>
      </c>
      <c r="V31" s="556">
        <f>ROUND(R31*(V13-V19),0)</f>
        <v>0</v>
      </c>
      <c r="W31" s="556">
        <f>ROUND(R31*(W13-W19),0)</f>
        <v>0</v>
      </c>
      <c r="X31" s="557">
        <f>ROUND(R31*(X13-X19),0)</f>
        <v>0</v>
      </c>
      <c r="Y31" s="526"/>
      <c r="Z31" s="526"/>
      <c r="AA31" s="526"/>
      <c r="AB31" s="526"/>
      <c r="AC31" s="526"/>
      <c r="AD31" s="526"/>
      <c r="AE31" s="526"/>
      <c r="AF31" s="526"/>
      <c r="AG31" s="526"/>
      <c r="AH31" s="526"/>
      <c r="AI31" s="526"/>
      <c r="AJ31" s="526"/>
      <c r="AQ31" s="712"/>
    </row>
    <row r="32" spans="11:43" ht="21">
      <c r="K32" s="712"/>
      <c r="L32" s="502"/>
      <c r="M32" s="502"/>
      <c r="O32" s="526"/>
      <c r="P32" s="526"/>
      <c r="Q32" s="526"/>
      <c r="R32" s="526"/>
      <c r="S32" s="526"/>
      <c r="T32" s="526"/>
      <c r="U32" s="526"/>
      <c r="V32" s="526"/>
      <c r="W32" s="526"/>
      <c r="X32" s="526"/>
      <c r="Y32" s="526"/>
      <c r="Z32" s="526"/>
      <c r="AA32" s="526"/>
      <c r="AB32" s="526"/>
      <c r="AC32" s="526"/>
      <c r="AD32" s="526"/>
      <c r="AE32" s="526"/>
      <c r="AF32" s="526"/>
      <c r="AG32" s="526"/>
      <c r="AH32" s="526"/>
      <c r="AI32" s="526"/>
      <c r="AJ32" s="526"/>
      <c r="AQ32" s="712"/>
    </row>
    <row r="33" spans="11:43" ht="21">
      <c r="K33" s="712"/>
      <c r="L33" s="502"/>
      <c r="M33" s="502"/>
      <c r="O33" s="526"/>
      <c r="P33" s="526"/>
      <c r="Q33" s="526"/>
      <c r="R33" s="526"/>
      <c r="S33" s="526"/>
      <c r="T33" s="526"/>
      <c r="U33" s="526"/>
      <c r="V33" s="526"/>
      <c r="W33" s="526"/>
      <c r="X33" s="526"/>
      <c r="Y33" s="526"/>
      <c r="Z33" s="526"/>
      <c r="AA33" s="526"/>
      <c r="AB33" s="526"/>
      <c r="AC33" s="526"/>
      <c r="AD33" s="526"/>
      <c r="AE33" s="526"/>
      <c r="AF33" s="526"/>
      <c r="AG33" s="526"/>
      <c r="AH33" s="526"/>
      <c r="AI33" s="526"/>
      <c r="AJ33" s="526"/>
      <c r="AQ33" s="712"/>
    </row>
    <row r="34" spans="11:43" ht="21">
      <c r="K34" s="712"/>
      <c r="L34" s="502"/>
      <c r="M34" s="502"/>
      <c r="O34" s="526"/>
      <c r="P34" s="526"/>
      <c r="Q34" s="526"/>
      <c r="R34" s="526"/>
      <c r="S34" s="526"/>
      <c r="T34" s="526"/>
      <c r="U34" s="526"/>
      <c r="V34" s="526"/>
      <c r="W34" s="526"/>
      <c r="X34" s="526"/>
      <c r="Y34" s="526"/>
      <c r="Z34" s="526"/>
      <c r="AA34" s="526"/>
      <c r="AB34" s="526"/>
      <c r="AC34" s="526"/>
      <c r="AD34" s="526"/>
      <c r="AE34" s="526"/>
      <c r="AF34" s="526"/>
      <c r="AG34" s="526"/>
      <c r="AH34" s="526"/>
      <c r="AI34" s="526"/>
      <c r="AJ34" s="526"/>
      <c r="AQ34" s="712"/>
    </row>
    <row r="35" spans="11:43" ht="21">
      <c r="K35" s="712"/>
      <c r="L35" s="502"/>
      <c r="M35" s="502"/>
      <c r="O35" s="526"/>
      <c r="P35" s="526"/>
      <c r="Q35" s="526"/>
      <c r="R35" s="526"/>
      <c r="S35" s="526"/>
      <c r="T35" s="526"/>
      <c r="U35" s="526"/>
      <c r="V35" s="526"/>
      <c r="W35" s="526"/>
      <c r="X35" s="526"/>
      <c r="Y35" s="526"/>
      <c r="Z35" s="526"/>
      <c r="AA35" s="526"/>
      <c r="AB35" s="526"/>
      <c r="AC35" s="526"/>
      <c r="AD35" s="526"/>
      <c r="AE35" s="526"/>
      <c r="AF35" s="526"/>
      <c r="AG35" s="526"/>
      <c r="AH35" s="526"/>
      <c r="AI35" s="526"/>
      <c r="AJ35" s="526"/>
      <c r="AQ35" s="712"/>
    </row>
    <row r="36" spans="11:43" ht="22" thickBot="1">
      <c r="K36" s="712"/>
      <c r="L36" s="501" t="s">
        <v>304</v>
      </c>
      <c r="M36" s="499" t="s">
        <v>501</v>
      </c>
      <c r="O36" s="526"/>
      <c r="P36" s="526"/>
      <c r="Q36" s="526"/>
      <c r="R36" s="526"/>
      <c r="S36" s="526"/>
      <c r="T36" s="526"/>
      <c r="U36" s="526"/>
      <c r="V36" s="526"/>
      <c r="W36" s="526"/>
      <c r="X36" s="526"/>
      <c r="Y36" s="526"/>
      <c r="Z36" s="526"/>
      <c r="AA36" s="526"/>
      <c r="AB36" s="526"/>
      <c r="AC36" s="526"/>
      <c r="AD36" s="526"/>
      <c r="AE36" s="526"/>
      <c r="AF36" s="526"/>
      <c r="AG36" s="526"/>
      <c r="AH36" s="526"/>
      <c r="AI36" s="526"/>
      <c r="AJ36" s="526"/>
      <c r="AQ36" s="712"/>
    </row>
    <row r="37" spans="11:43" ht="22" thickBot="1">
      <c r="K37" s="712"/>
      <c r="L37" s="502"/>
      <c r="M37" s="502"/>
      <c r="O37" s="526"/>
      <c r="P37" s="526"/>
      <c r="Q37" s="526"/>
      <c r="R37" s="527" t="s">
        <v>200</v>
      </c>
      <c r="S37" s="528"/>
      <c r="T37" s="528"/>
      <c r="U37" s="528"/>
      <c r="V37" s="528"/>
      <c r="W37" s="528"/>
      <c r="X37" s="529"/>
      <c r="Y37" s="526"/>
      <c r="Z37" s="526"/>
      <c r="AA37" s="526"/>
      <c r="AB37" s="526"/>
      <c r="AC37" s="526"/>
      <c r="AD37" s="526"/>
      <c r="AE37" s="526"/>
      <c r="AF37" s="526"/>
      <c r="AG37" s="526"/>
      <c r="AH37" s="526"/>
      <c r="AI37" s="526"/>
      <c r="AJ37" s="526"/>
      <c r="AQ37" s="712"/>
    </row>
    <row r="38" spans="11:43" ht="22" thickBot="1">
      <c r="K38" s="712"/>
      <c r="L38" s="502"/>
      <c r="M38" s="502"/>
      <c r="O38" s="526"/>
      <c r="P38" s="526"/>
      <c r="Q38" s="526"/>
      <c r="R38" s="530"/>
      <c r="S38" s="528"/>
      <c r="T38" s="531">
        <v>14</v>
      </c>
      <c r="U38" s="531">
        <v>15</v>
      </c>
      <c r="V38" s="531">
        <v>16</v>
      </c>
      <c r="W38" s="531">
        <v>17</v>
      </c>
      <c r="X38" s="532">
        <v>18</v>
      </c>
      <c r="Y38" s="526"/>
      <c r="Z38" s="526"/>
      <c r="AA38" s="526"/>
      <c r="AB38" s="526"/>
      <c r="AC38" s="526"/>
      <c r="AD38" s="526"/>
      <c r="AE38" s="526"/>
      <c r="AF38" s="526"/>
      <c r="AG38" s="526"/>
      <c r="AH38" s="526"/>
      <c r="AI38" s="526"/>
      <c r="AJ38" s="526"/>
      <c r="AQ38" s="712"/>
    </row>
    <row r="39" spans="11:43" ht="21">
      <c r="K39" s="712"/>
      <c r="L39" s="502"/>
      <c r="M39" s="502"/>
      <c r="O39" s="526"/>
      <c r="P39" s="526"/>
      <c r="Q39" s="526"/>
      <c r="R39" s="533"/>
      <c r="S39" s="534"/>
      <c r="T39" s="535">
        <v>2021</v>
      </c>
      <c r="U39" s="535">
        <v>2022</v>
      </c>
      <c r="V39" s="535">
        <v>2023</v>
      </c>
      <c r="W39" s="535">
        <v>2024</v>
      </c>
      <c r="X39" s="536">
        <v>2025</v>
      </c>
      <c r="Y39" s="526"/>
      <c r="Z39" s="526"/>
      <c r="AA39" s="526"/>
      <c r="AB39" s="526"/>
      <c r="AC39" s="526"/>
      <c r="AD39" s="526"/>
      <c r="AE39" s="526"/>
      <c r="AF39" s="526"/>
      <c r="AG39" s="526"/>
      <c r="AH39" s="526"/>
      <c r="AI39" s="526"/>
      <c r="AJ39" s="526"/>
      <c r="AQ39" s="712"/>
    </row>
    <row r="40" spans="11:43" ht="21">
      <c r="K40" s="712"/>
      <c r="L40" s="502"/>
      <c r="M40" s="502"/>
      <c r="O40" s="526"/>
      <c r="P40" s="526"/>
      <c r="Q40" s="526"/>
      <c r="R40" s="537" t="s">
        <v>292</v>
      </c>
      <c r="S40" s="538" t="s">
        <v>270</v>
      </c>
      <c r="T40" s="539">
        <f>VLOOKUP(R40,estim_5years,T38,0)</f>
        <v>292</v>
      </c>
      <c r="U40" s="539">
        <f>VLOOKUP(R40,estim_5years,U38,0)</f>
        <v>283</v>
      </c>
      <c r="V40" s="539">
        <f>VLOOKUP(R40,estim_5years,V38,0)</f>
        <v>278</v>
      </c>
      <c r="W40" s="539">
        <f>VLOOKUP(R40,estim_5years,W38,0)</f>
        <v>274</v>
      </c>
      <c r="X40" s="540">
        <f>VLOOKUP(R40,estim_5years,X38,0)</f>
        <v>269</v>
      </c>
      <c r="Y40" s="526"/>
      <c r="Z40" s="526"/>
      <c r="AA40" s="526"/>
      <c r="AB40" s="526"/>
      <c r="AC40" s="526"/>
      <c r="AD40" s="526"/>
      <c r="AE40" s="526"/>
      <c r="AF40" s="526"/>
      <c r="AG40" s="526"/>
      <c r="AH40" s="526"/>
      <c r="AI40" s="526"/>
      <c r="AJ40" s="526"/>
      <c r="AQ40" s="712"/>
    </row>
    <row r="41" spans="11:43" ht="21">
      <c r="K41" s="712"/>
      <c r="L41" s="502"/>
      <c r="M41" s="502"/>
      <c r="O41" s="526"/>
      <c r="P41" s="526"/>
      <c r="Q41" s="526"/>
      <c r="R41" s="537" t="s">
        <v>293</v>
      </c>
      <c r="S41" s="538" t="s">
        <v>221</v>
      </c>
      <c r="T41" s="539">
        <f>VLOOKUP(R41,estim_5years,T38,0)</f>
        <v>34</v>
      </c>
      <c r="U41" s="539">
        <f>VLOOKUP(R41,estim_5years,U38,0)</f>
        <v>34</v>
      </c>
      <c r="V41" s="539">
        <f>VLOOKUP(R41,estim_5years,V38,0)</f>
        <v>33</v>
      </c>
      <c r="W41" s="539">
        <f>VLOOKUP(R41,estim_5years,W38,0)</f>
        <v>34</v>
      </c>
      <c r="X41" s="540">
        <f>VLOOKUP(R41,estim_5years,X38,0)</f>
        <v>34</v>
      </c>
      <c r="Y41" s="526"/>
      <c r="Z41" s="526"/>
      <c r="AA41" s="526"/>
      <c r="AB41" s="526"/>
      <c r="AC41" s="526"/>
      <c r="AD41" s="526"/>
      <c r="AE41" s="526"/>
      <c r="AF41" s="526"/>
      <c r="AG41" s="526"/>
      <c r="AH41" s="526"/>
      <c r="AI41" s="526"/>
      <c r="AJ41" s="526"/>
      <c r="AQ41" s="712"/>
    </row>
    <row r="42" spans="11:43" ht="21">
      <c r="K42" s="712"/>
      <c r="L42" s="502"/>
      <c r="M42" s="502"/>
      <c r="O42" s="526"/>
      <c r="P42" s="526"/>
      <c r="Q42" s="526"/>
      <c r="R42" s="537" t="s">
        <v>294</v>
      </c>
      <c r="S42" s="538" t="s">
        <v>222</v>
      </c>
      <c r="T42" s="539">
        <f>VLOOKUP(R42,estim_5years,T38,0)</f>
        <v>194</v>
      </c>
      <c r="U42" s="539">
        <f>VLOOKUP(R42,estim_5years,U38,0)</f>
        <v>194</v>
      </c>
      <c r="V42" s="539">
        <f>VLOOKUP(R42,estim_5years,V38,0)</f>
        <v>195</v>
      </c>
      <c r="W42" s="539">
        <f>VLOOKUP(R42,estim_5years,W38,0)</f>
        <v>197</v>
      </c>
      <c r="X42" s="540">
        <f>VLOOKUP(R42,estim_5years,X38,0)</f>
        <v>200</v>
      </c>
      <c r="Y42" s="526"/>
      <c r="Z42" s="526"/>
      <c r="AA42" s="526"/>
      <c r="AB42" s="526"/>
      <c r="AC42" s="526"/>
      <c r="AD42" s="526"/>
      <c r="AE42" s="526"/>
      <c r="AF42" s="526"/>
      <c r="AG42" s="526"/>
      <c r="AH42" s="526"/>
      <c r="AI42" s="526"/>
      <c r="AJ42" s="526"/>
      <c r="AQ42" s="712"/>
    </row>
    <row r="43" spans="11:43" ht="22" thickBot="1">
      <c r="K43" s="712"/>
      <c r="L43" s="502"/>
      <c r="M43" s="502"/>
      <c r="O43" s="526"/>
      <c r="P43" s="526"/>
      <c r="Q43" s="526"/>
      <c r="R43" s="541" t="s">
        <v>295</v>
      </c>
      <c r="S43" s="542" t="s">
        <v>223</v>
      </c>
      <c r="T43" s="543">
        <f>VLOOKUP(R43,estim_5years,T38,0)</f>
        <v>88</v>
      </c>
      <c r="U43" s="543">
        <f>VLOOKUP(R43,estim_5years,U38,0)</f>
        <v>88</v>
      </c>
      <c r="V43" s="543">
        <f>VLOOKUP(R43,estim_5years,V38,0)</f>
        <v>90</v>
      </c>
      <c r="W43" s="543">
        <f>VLOOKUP(R43,estim_5years,W38,0)</f>
        <v>94</v>
      </c>
      <c r="X43" s="544">
        <f>VLOOKUP(R43,estim_5years,X38,0)</f>
        <v>96</v>
      </c>
      <c r="Y43" s="526"/>
      <c r="Z43" s="526"/>
      <c r="AA43" s="526"/>
      <c r="AB43" s="526"/>
      <c r="AC43" s="526"/>
      <c r="AD43" s="526"/>
      <c r="AE43" s="526"/>
      <c r="AF43" s="526"/>
      <c r="AG43" s="526"/>
      <c r="AH43" s="526"/>
      <c r="AI43" s="526"/>
      <c r="AJ43" s="526"/>
      <c r="AQ43" s="712"/>
    </row>
    <row r="44" spans="11:43" ht="21">
      <c r="K44" s="712"/>
      <c r="L44" s="502"/>
      <c r="M44" s="502"/>
      <c r="O44" s="526"/>
      <c r="P44" s="526"/>
      <c r="Q44" s="526"/>
      <c r="R44" s="526"/>
      <c r="S44" s="526"/>
      <c r="T44" s="526"/>
      <c r="U44" s="526"/>
      <c r="V44" s="526"/>
      <c r="W44" s="526"/>
      <c r="X44" s="526"/>
      <c r="Y44" s="526"/>
      <c r="Z44" s="526"/>
      <c r="AA44" s="526"/>
      <c r="AB44" s="526"/>
      <c r="AC44" s="526"/>
      <c r="AD44" s="526"/>
      <c r="AE44" s="526"/>
      <c r="AF44" s="526"/>
      <c r="AG44" s="526"/>
      <c r="AH44" s="526"/>
      <c r="AI44" s="526"/>
      <c r="AJ44" s="526"/>
      <c r="AQ44" s="712"/>
    </row>
    <row r="45" spans="11:43" ht="22" thickBot="1">
      <c r="K45" s="712"/>
      <c r="L45" s="502"/>
      <c r="M45" s="502"/>
      <c r="O45" s="526"/>
      <c r="P45" s="526"/>
      <c r="Q45" s="545" t="s">
        <v>299</v>
      </c>
      <c r="R45" s="546" t="s">
        <v>307</v>
      </c>
      <c r="S45" s="526"/>
      <c r="T45" s="526"/>
      <c r="U45" s="526"/>
      <c r="V45" s="526"/>
      <c r="W45" s="526"/>
      <c r="X45" s="526"/>
      <c r="Y45" s="526"/>
      <c r="Z45" s="526"/>
      <c r="AA45" s="526"/>
      <c r="AB45" s="526"/>
      <c r="AC45" s="526"/>
      <c r="AD45" s="526"/>
      <c r="AE45" s="526"/>
      <c r="AF45" s="526"/>
      <c r="AG45" s="526"/>
      <c r="AH45" s="526"/>
      <c r="AI45" s="526"/>
      <c r="AJ45" s="526"/>
      <c r="AQ45" s="712"/>
    </row>
    <row r="46" spans="11:43" ht="21">
      <c r="K46" s="712"/>
      <c r="L46" s="502"/>
      <c r="M46" s="502"/>
      <c r="O46" s="526"/>
      <c r="P46" s="526"/>
      <c r="Q46" s="546" t="s">
        <v>301</v>
      </c>
      <c r="R46" s="547">
        <v>0.01</v>
      </c>
      <c r="S46" s="548" t="s">
        <v>270</v>
      </c>
      <c r="T46" s="534">
        <f>ROUNDUP(T40*R46,0)</f>
        <v>3</v>
      </c>
      <c r="U46" s="534">
        <f>ROUNDUP(U40*R46,0)</f>
        <v>3</v>
      </c>
      <c r="V46" s="534">
        <f>ROUNDUP(V40*R46,0)</f>
        <v>3</v>
      </c>
      <c r="W46" s="534">
        <f>ROUNDUP(W40*R46,0)</f>
        <v>3</v>
      </c>
      <c r="X46" s="549">
        <f>ROUNDUP(X40*R46,0)</f>
        <v>3</v>
      </c>
      <c r="Y46" s="526"/>
      <c r="Z46" s="526"/>
      <c r="AA46" s="526"/>
      <c r="AB46" s="526"/>
      <c r="AC46" s="526"/>
      <c r="AD46" s="526"/>
      <c r="AE46" s="526"/>
      <c r="AF46" s="526"/>
      <c r="AG46" s="526"/>
      <c r="AH46" s="526"/>
      <c r="AI46" s="526"/>
      <c r="AJ46" s="526"/>
      <c r="AQ46" s="712"/>
    </row>
    <row r="47" spans="11:43" ht="21">
      <c r="K47" s="712"/>
      <c r="L47" s="502"/>
      <c r="M47" s="502"/>
      <c r="O47" s="526"/>
      <c r="P47" s="526"/>
      <c r="Q47" s="546"/>
      <c r="R47" s="550"/>
      <c r="S47" s="551" t="s">
        <v>221</v>
      </c>
      <c r="T47" s="552"/>
      <c r="U47" s="552"/>
      <c r="V47" s="552"/>
      <c r="W47" s="552"/>
      <c r="X47" s="553"/>
      <c r="Y47" s="526"/>
      <c r="Z47" s="526"/>
      <c r="AA47" s="526"/>
      <c r="AB47" s="526"/>
      <c r="AC47" s="526"/>
      <c r="AD47" s="526"/>
      <c r="AE47" s="526"/>
      <c r="AF47" s="526"/>
      <c r="AG47" s="526"/>
      <c r="AH47" s="526"/>
      <c r="AI47" s="526"/>
      <c r="AJ47" s="526"/>
      <c r="AQ47" s="712"/>
    </row>
    <row r="48" spans="11:43" ht="21">
      <c r="K48" s="712"/>
      <c r="L48" s="502"/>
      <c r="M48" s="502"/>
      <c r="O48" s="526"/>
      <c r="P48" s="526"/>
      <c r="Q48" s="546" t="s">
        <v>301</v>
      </c>
      <c r="R48" s="554">
        <v>1.2999999999999999E-2</v>
      </c>
      <c r="S48" s="551" t="s">
        <v>222</v>
      </c>
      <c r="T48" s="552">
        <f>ROUNDUP(T42*R48,0)</f>
        <v>3</v>
      </c>
      <c r="U48" s="552">
        <f>ROUNDUP(U42*R48,0)</f>
        <v>3</v>
      </c>
      <c r="V48" s="552">
        <f>ROUNDUP(V42*R48,0)</f>
        <v>3</v>
      </c>
      <c r="W48" s="552">
        <f>ROUNDUP(W42*R48,0)</f>
        <v>3</v>
      </c>
      <c r="X48" s="553">
        <f>ROUNDUP(X42*R48,0)</f>
        <v>3</v>
      </c>
      <c r="Y48" s="526"/>
      <c r="Z48" s="526"/>
      <c r="AA48" s="526"/>
      <c r="AB48" s="526"/>
      <c r="AC48" s="526"/>
      <c r="AD48" s="526"/>
      <c r="AE48" s="526"/>
      <c r="AF48" s="526"/>
      <c r="AG48" s="526"/>
      <c r="AH48" s="526"/>
      <c r="AI48" s="526"/>
      <c r="AJ48" s="526"/>
      <c r="AQ48" s="712"/>
    </row>
    <row r="49" spans="11:43" ht="22" thickBot="1">
      <c r="K49" s="712"/>
      <c r="L49" s="502"/>
      <c r="M49" s="502"/>
      <c r="O49" s="526"/>
      <c r="P49" s="526"/>
      <c r="Q49" s="526"/>
      <c r="R49" s="550"/>
      <c r="S49" s="555" t="s">
        <v>223</v>
      </c>
      <c r="T49" s="556">
        <f>ROUNDUP(T43*R49,0)</f>
        <v>0</v>
      </c>
      <c r="U49" s="556">
        <f>ROUNDUP(U43*R49,0)</f>
        <v>0</v>
      </c>
      <c r="V49" s="556">
        <f>ROUNDUP(V43*R49,0)</f>
        <v>0</v>
      </c>
      <c r="W49" s="556">
        <f>ROUNDUP(W43*R49,0)</f>
        <v>0</v>
      </c>
      <c r="X49" s="557">
        <f>ROUNDUP(X43*R49,0)</f>
        <v>0</v>
      </c>
      <c r="Y49" s="526"/>
      <c r="Z49" s="526"/>
      <c r="AA49" s="526"/>
      <c r="AB49" s="526"/>
      <c r="AC49" s="526"/>
      <c r="AD49" s="526"/>
      <c r="AE49" s="526"/>
      <c r="AF49" s="526"/>
      <c r="AG49" s="526"/>
      <c r="AH49" s="526"/>
      <c r="AI49" s="526"/>
      <c r="AJ49" s="526"/>
      <c r="AQ49" s="712"/>
    </row>
    <row r="50" spans="11:43" ht="21">
      <c r="K50" s="712"/>
      <c r="L50" s="502"/>
      <c r="M50" s="502"/>
      <c r="O50" s="526"/>
      <c r="P50" s="526"/>
      <c r="Q50" s="526"/>
      <c r="R50" s="526"/>
      <c r="S50" s="526"/>
      <c r="T50" s="526"/>
      <c r="U50" s="526"/>
      <c r="V50" s="526"/>
      <c r="W50" s="526"/>
      <c r="X50" s="526"/>
      <c r="Y50" s="526"/>
      <c r="Z50" s="526"/>
      <c r="AA50" s="526"/>
      <c r="AB50" s="526"/>
      <c r="AC50" s="526"/>
      <c r="AD50" s="526"/>
      <c r="AE50" s="526"/>
      <c r="AF50" s="526"/>
      <c r="AG50" s="526"/>
      <c r="AH50" s="526"/>
      <c r="AI50" s="526"/>
      <c r="AJ50" s="526"/>
      <c r="AQ50" s="712"/>
    </row>
    <row r="51" spans="11:43" ht="22" thickBot="1">
      <c r="K51" s="712"/>
      <c r="L51" s="502"/>
      <c r="M51" s="502"/>
      <c r="O51" s="526"/>
      <c r="P51" s="526"/>
      <c r="Q51" s="545" t="s">
        <v>3269</v>
      </c>
      <c r="R51" s="526"/>
      <c r="S51" s="526"/>
      <c r="T51" s="526"/>
      <c r="U51" s="526"/>
      <c r="V51" s="526"/>
      <c r="W51" s="526"/>
      <c r="X51" s="526"/>
      <c r="Y51" s="526"/>
      <c r="Z51" s="526"/>
      <c r="AA51" s="526"/>
      <c r="AB51" s="526"/>
      <c r="AC51" s="526"/>
      <c r="AD51" s="526"/>
      <c r="AE51" s="526"/>
      <c r="AF51" s="526"/>
      <c r="AG51" s="526"/>
      <c r="AH51" s="526"/>
      <c r="AI51" s="526"/>
      <c r="AJ51" s="526"/>
      <c r="AQ51" s="712"/>
    </row>
    <row r="52" spans="11:43" ht="21">
      <c r="K52" s="712"/>
      <c r="L52" s="502"/>
      <c r="M52" s="502"/>
      <c r="O52" s="526"/>
      <c r="P52" s="526"/>
      <c r="Q52" s="526"/>
      <c r="R52" s="526"/>
      <c r="S52" s="548" t="s">
        <v>270</v>
      </c>
      <c r="T52" s="534">
        <f t="shared" ref="T52:X55" si="7">T40-T46-T58</f>
        <v>272</v>
      </c>
      <c r="U52" s="534">
        <f t="shared" si="7"/>
        <v>264</v>
      </c>
      <c r="V52" s="534">
        <f t="shared" si="7"/>
        <v>259</v>
      </c>
      <c r="W52" s="534">
        <f t="shared" si="7"/>
        <v>255</v>
      </c>
      <c r="X52" s="534">
        <f t="shared" si="7"/>
        <v>251</v>
      </c>
      <c r="Y52" s="526"/>
      <c r="Z52" s="526"/>
      <c r="AA52" s="526"/>
      <c r="AB52" s="526"/>
      <c r="AC52" s="526"/>
      <c r="AD52" s="526"/>
      <c r="AE52" s="526"/>
      <c r="AF52" s="526"/>
      <c r="AG52" s="526"/>
      <c r="AH52" s="526"/>
      <c r="AI52" s="526"/>
      <c r="AJ52" s="526"/>
      <c r="AQ52" s="712"/>
    </row>
    <row r="53" spans="11:43" ht="21">
      <c r="K53" s="712"/>
      <c r="L53" s="502"/>
      <c r="M53" s="502"/>
      <c r="O53" s="526"/>
      <c r="P53" s="526"/>
      <c r="Q53" s="526"/>
      <c r="R53" s="526"/>
      <c r="S53" s="551" t="s">
        <v>221</v>
      </c>
      <c r="T53" s="552">
        <f t="shared" si="7"/>
        <v>34</v>
      </c>
      <c r="U53" s="552">
        <f t="shared" si="7"/>
        <v>34</v>
      </c>
      <c r="V53" s="552">
        <f t="shared" si="7"/>
        <v>33</v>
      </c>
      <c r="W53" s="552">
        <f t="shared" si="7"/>
        <v>34</v>
      </c>
      <c r="X53" s="553">
        <f t="shared" si="7"/>
        <v>34</v>
      </c>
      <c r="Y53" s="526"/>
      <c r="Z53" s="526"/>
      <c r="AA53" s="526"/>
      <c r="AB53" s="526"/>
      <c r="AC53" s="526"/>
      <c r="AD53" s="526"/>
      <c r="AE53" s="526"/>
      <c r="AF53" s="526"/>
      <c r="AG53" s="526"/>
      <c r="AH53" s="526"/>
      <c r="AI53" s="526"/>
      <c r="AJ53" s="526"/>
      <c r="AQ53" s="712"/>
    </row>
    <row r="54" spans="11:43" ht="21">
      <c r="K54" s="712"/>
      <c r="L54" s="502"/>
      <c r="M54" s="502"/>
      <c r="O54" s="526"/>
      <c r="P54" s="526"/>
      <c r="Q54" s="526"/>
      <c r="R54" s="526"/>
      <c r="S54" s="551" t="s">
        <v>222</v>
      </c>
      <c r="T54" s="552">
        <f t="shared" si="7"/>
        <v>166</v>
      </c>
      <c r="U54" s="552">
        <f t="shared" si="7"/>
        <v>166</v>
      </c>
      <c r="V54" s="552">
        <f t="shared" si="7"/>
        <v>167</v>
      </c>
      <c r="W54" s="552">
        <f t="shared" si="7"/>
        <v>169</v>
      </c>
      <c r="X54" s="553">
        <f t="shared" si="7"/>
        <v>171</v>
      </c>
      <c r="Y54" s="526"/>
      <c r="Z54" s="526"/>
      <c r="AA54" s="526"/>
      <c r="AB54" s="526"/>
      <c r="AC54" s="526"/>
      <c r="AD54" s="526"/>
      <c r="AE54" s="526"/>
      <c r="AF54" s="526"/>
      <c r="AG54" s="526"/>
      <c r="AH54" s="526"/>
      <c r="AI54" s="526"/>
      <c r="AJ54" s="526"/>
      <c r="AQ54" s="712"/>
    </row>
    <row r="55" spans="11:43" ht="22" thickBot="1">
      <c r="K55" s="712"/>
      <c r="L55" s="502"/>
      <c r="M55" s="502"/>
      <c r="O55" s="526"/>
      <c r="P55" s="526"/>
      <c r="Q55" s="526"/>
      <c r="R55" s="526"/>
      <c r="S55" s="555" t="s">
        <v>223</v>
      </c>
      <c r="T55" s="556">
        <f t="shared" si="7"/>
        <v>88</v>
      </c>
      <c r="U55" s="556">
        <f t="shared" si="7"/>
        <v>88</v>
      </c>
      <c r="V55" s="556">
        <f t="shared" si="7"/>
        <v>90</v>
      </c>
      <c r="W55" s="556">
        <f t="shared" si="7"/>
        <v>94</v>
      </c>
      <c r="X55" s="557">
        <f t="shared" si="7"/>
        <v>96</v>
      </c>
      <c r="Y55" s="526"/>
      <c r="Z55" s="526"/>
      <c r="AA55" s="526"/>
      <c r="AB55" s="526"/>
      <c r="AC55" s="526"/>
      <c r="AD55" s="526"/>
      <c r="AE55" s="526"/>
      <c r="AF55" s="526"/>
      <c r="AG55" s="526"/>
      <c r="AH55" s="526"/>
      <c r="AI55" s="526"/>
      <c r="AJ55" s="526"/>
      <c r="AQ55" s="712"/>
    </row>
    <row r="56" spans="11:43" ht="21">
      <c r="K56" s="712"/>
      <c r="L56" s="502"/>
      <c r="M56" s="502"/>
      <c r="O56" s="526"/>
      <c r="P56" s="526"/>
      <c r="Q56" s="526"/>
      <c r="R56" s="526"/>
      <c r="S56" s="526"/>
      <c r="T56" s="526"/>
      <c r="U56" s="526"/>
      <c r="V56" s="526"/>
      <c r="W56" s="526"/>
      <c r="X56" s="526"/>
      <c r="Y56" s="526"/>
      <c r="Z56" s="526"/>
      <c r="AA56" s="526"/>
      <c r="AB56" s="526"/>
      <c r="AC56" s="526"/>
      <c r="AD56" s="526"/>
      <c r="AE56" s="526"/>
      <c r="AF56" s="526"/>
      <c r="AG56" s="526"/>
      <c r="AH56" s="526"/>
      <c r="AI56" s="526"/>
      <c r="AJ56" s="526"/>
      <c r="AQ56" s="712"/>
    </row>
    <row r="57" spans="11:43" ht="22" thickBot="1">
      <c r="K57" s="712"/>
      <c r="L57" s="502"/>
      <c r="M57" s="502"/>
      <c r="O57" s="526"/>
      <c r="P57" s="526"/>
      <c r="Q57" s="545" t="s">
        <v>3268</v>
      </c>
      <c r="R57" s="526"/>
      <c r="S57" s="526"/>
      <c r="T57" s="526"/>
      <c r="U57" s="526"/>
      <c r="V57" s="526"/>
      <c r="W57" s="526"/>
      <c r="X57" s="526"/>
      <c r="Y57" s="526"/>
      <c r="Z57" s="526"/>
      <c r="AA57" s="526"/>
      <c r="AB57" s="526"/>
      <c r="AC57" s="526"/>
      <c r="AD57" s="526"/>
      <c r="AE57" s="526"/>
      <c r="AF57" s="526"/>
      <c r="AG57" s="526"/>
      <c r="AH57" s="526"/>
      <c r="AI57" s="526"/>
      <c r="AJ57" s="526"/>
      <c r="AQ57" s="712"/>
    </row>
    <row r="58" spans="11:43" ht="21">
      <c r="K58" s="712"/>
      <c r="L58" s="502"/>
      <c r="M58" s="502"/>
      <c r="O58" s="526"/>
      <c r="P58" s="526"/>
      <c r="Q58" s="546" t="s">
        <v>301</v>
      </c>
      <c r="R58" s="547">
        <v>5.8000000000000003E-2</v>
      </c>
      <c r="S58" s="548" t="s">
        <v>270</v>
      </c>
      <c r="T58" s="534">
        <f>ROUND(R58*(T40-T46),0)</f>
        <v>17</v>
      </c>
      <c r="U58" s="534">
        <f>ROUND(R58*(U40-U46),0)</f>
        <v>16</v>
      </c>
      <c r="V58" s="534">
        <f>ROUND(R58*(V40-V46),0)</f>
        <v>16</v>
      </c>
      <c r="W58" s="534">
        <f>ROUND(R58*(W40-W46),0)</f>
        <v>16</v>
      </c>
      <c r="X58" s="549">
        <f>ROUND(R58*(X40-X46),0)</f>
        <v>15</v>
      </c>
      <c r="Y58" s="526"/>
      <c r="Z58" s="526"/>
      <c r="AA58" s="526"/>
      <c r="AB58" s="526"/>
      <c r="AC58" s="526"/>
      <c r="AD58" s="526"/>
      <c r="AE58" s="526"/>
      <c r="AF58" s="526"/>
      <c r="AG58" s="526"/>
      <c r="AH58" s="526"/>
      <c r="AI58" s="526"/>
      <c r="AJ58" s="526"/>
      <c r="AQ58" s="712"/>
    </row>
    <row r="59" spans="11:43" ht="21">
      <c r="K59" s="712"/>
      <c r="L59" s="502"/>
      <c r="M59" s="502"/>
      <c r="O59" s="526"/>
      <c r="P59" s="526"/>
      <c r="Q59" s="546"/>
      <c r="R59" s="550"/>
      <c r="S59" s="551" t="s">
        <v>221</v>
      </c>
      <c r="T59" s="552">
        <f>ROUND(R59*(T41-T47),0)</f>
        <v>0</v>
      </c>
      <c r="U59" s="552">
        <f>ROUND(R59*(U41-U47),0)</f>
        <v>0</v>
      </c>
      <c r="V59" s="552">
        <f>ROUND(R59*(V41-V47),0)</f>
        <v>0</v>
      </c>
      <c r="W59" s="552">
        <f>ROUND(R59*(W41-W47),0)</f>
        <v>0</v>
      </c>
      <c r="X59" s="553">
        <f>ROUND(R59*(X41-X47),0)</f>
        <v>0</v>
      </c>
      <c r="Y59" s="526"/>
      <c r="Z59" s="526"/>
      <c r="AA59" s="526"/>
      <c r="AB59" s="526"/>
      <c r="AC59" s="526"/>
      <c r="AD59" s="526"/>
      <c r="AE59" s="526"/>
      <c r="AF59" s="526"/>
      <c r="AG59" s="526"/>
      <c r="AH59" s="526"/>
      <c r="AI59" s="526"/>
      <c r="AJ59" s="526"/>
      <c r="AQ59" s="712"/>
    </row>
    <row r="60" spans="11:43" ht="21">
      <c r="K60" s="712"/>
      <c r="L60" s="502"/>
      <c r="M60" s="502"/>
      <c r="O60" s="526"/>
      <c r="P60" s="526"/>
      <c r="Q60" s="546" t="s">
        <v>300</v>
      </c>
      <c r="R60" s="554">
        <v>0.13</v>
      </c>
      <c r="S60" s="551" t="s">
        <v>222</v>
      </c>
      <c r="T60" s="552">
        <f>ROUND(R60*(T42-T48),0)</f>
        <v>25</v>
      </c>
      <c r="U60" s="552">
        <f>ROUND(R60*(U42-U48),0)</f>
        <v>25</v>
      </c>
      <c r="V60" s="552">
        <f>ROUND(R60*(V42-V48),0)</f>
        <v>25</v>
      </c>
      <c r="W60" s="552">
        <f>ROUND(R60*(W42-W48),0)</f>
        <v>25</v>
      </c>
      <c r="X60" s="553">
        <f>ROUND(R60*(X42-X48),0)</f>
        <v>26</v>
      </c>
      <c r="Y60" s="526"/>
      <c r="Z60" s="526"/>
      <c r="AA60" s="526"/>
      <c r="AB60" s="526"/>
      <c r="AC60" s="526"/>
      <c r="AD60" s="526"/>
      <c r="AE60" s="526"/>
      <c r="AF60" s="526"/>
      <c r="AG60" s="526"/>
      <c r="AH60" s="526"/>
      <c r="AI60" s="526"/>
      <c r="AJ60" s="526"/>
      <c r="AQ60" s="712"/>
    </row>
    <row r="61" spans="11:43" ht="22" thickBot="1">
      <c r="K61" s="712"/>
      <c r="L61" s="502"/>
      <c r="M61" s="502"/>
      <c r="O61" s="526"/>
      <c r="P61" s="526"/>
      <c r="Q61" s="526"/>
      <c r="R61" s="526"/>
      <c r="S61" s="555" t="s">
        <v>223</v>
      </c>
      <c r="T61" s="556">
        <f>ROUND(R61*(T43-T49),0)</f>
        <v>0</v>
      </c>
      <c r="U61" s="556">
        <f>ROUND(R61*(U43-U49),0)</f>
        <v>0</v>
      </c>
      <c r="V61" s="556">
        <f>ROUND(R61*(V43-V49),0)</f>
        <v>0</v>
      </c>
      <c r="W61" s="556">
        <f>ROUND(R61*(W43-W49),0)</f>
        <v>0</v>
      </c>
      <c r="X61" s="557">
        <f>ROUND(R61*(X43-X49),0)</f>
        <v>0</v>
      </c>
      <c r="Y61" s="526"/>
      <c r="Z61" s="526"/>
      <c r="AA61" s="526"/>
      <c r="AB61" s="526"/>
      <c r="AC61" s="526"/>
      <c r="AD61" s="526"/>
      <c r="AE61" s="526"/>
      <c r="AF61" s="526"/>
      <c r="AG61" s="526"/>
      <c r="AH61" s="526"/>
      <c r="AI61" s="526"/>
      <c r="AJ61" s="526"/>
      <c r="AQ61" s="712"/>
    </row>
    <row r="62" spans="11:43" ht="21">
      <c r="K62" s="712"/>
      <c r="L62" s="502"/>
      <c r="M62" s="502"/>
      <c r="O62" s="526"/>
      <c r="P62" s="526"/>
      <c r="Q62" s="526"/>
      <c r="R62" s="526"/>
      <c r="S62" s="526"/>
      <c r="T62" s="526"/>
      <c r="U62" s="526"/>
      <c r="V62" s="526"/>
      <c r="W62" s="526"/>
      <c r="X62" s="526"/>
      <c r="Y62" s="526"/>
      <c r="Z62" s="526"/>
      <c r="AA62" s="526"/>
      <c r="AB62" s="526"/>
      <c r="AC62" s="526"/>
      <c r="AD62" s="526"/>
      <c r="AE62" s="526"/>
      <c r="AF62" s="526"/>
      <c r="AG62" s="526"/>
      <c r="AH62" s="526"/>
      <c r="AI62" s="526"/>
      <c r="AJ62" s="526"/>
      <c r="AQ62" s="712"/>
    </row>
    <row r="63" spans="11:43" ht="21">
      <c r="K63" s="712"/>
      <c r="L63" s="502"/>
      <c r="M63" s="502"/>
      <c r="O63" s="526"/>
      <c r="P63" s="526"/>
      <c r="Q63" s="526"/>
      <c r="R63" s="526"/>
      <c r="S63" s="526"/>
      <c r="T63" s="526"/>
      <c r="U63" s="526"/>
      <c r="V63" s="526"/>
      <c r="W63" s="526"/>
      <c r="X63" s="526"/>
      <c r="Y63" s="526"/>
      <c r="Z63" s="526"/>
      <c r="AA63" s="526"/>
      <c r="AB63" s="526"/>
      <c r="AC63" s="526"/>
      <c r="AD63" s="526"/>
      <c r="AE63" s="526"/>
      <c r="AF63" s="526"/>
      <c r="AG63" s="526"/>
      <c r="AH63" s="526"/>
      <c r="AI63" s="526"/>
      <c r="AJ63" s="526"/>
      <c r="AQ63" s="712"/>
    </row>
    <row r="64" spans="11:43" ht="12" customHeight="1">
      <c r="K64" s="712"/>
      <c r="L64" s="705"/>
      <c r="M64" s="705"/>
      <c r="N64" s="712"/>
      <c r="O64" s="706"/>
      <c r="P64" s="706"/>
      <c r="Q64" s="706"/>
      <c r="R64" s="706"/>
      <c r="S64" s="706"/>
      <c r="T64" s="706"/>
      <c r="U64" s="706"/>
      <c r="V64" s="706"/>
      <c r="W64" s="706"/>
      <c r="X64" s="706"/>
      <c r="Y64" s="706"/>
      <c r="Z64" s="706"/>
      <c r="AA64" s="706"/>
      <c r="AB64" s="706"/>
      <c r="AC64" s="706"/>
      <c r="AD64" s="706"/>
      <c r="AE64" s="706"/>
      <c r="AF64" s="706"/>
      <c r="AG64" s="706"/>
      <c r="AH64" s="706"/>
      <c r="AI64" s="706"/>
      <c r="AJ64" s="706"/>
      <c r="AK64" s="712"/>
      <c r="AL64" s="712"/>
      <c r="AM64" s="712"/>
      <c r="AN64" s="712"/>
      <c r="AO64" s="712"/>
      <c r="AP64" s="712"/>
      <c r="AQ64" s="712"/>
    </row>
    <row r="65" spans="11:43" ht="21">
      <c r="K65" s="712"/>
      <c r="L65" s="507"/>
      <c r="M65" s="507"/>
      <c r="N65" s="500"/>
      <c r="O65" s="526"/>
      <c r="P65" s="526"/>
      <c r="Q65" s="558"/>
      <c r="R65" s="558"/>
      <c r="S65" s="558"/>
      <c r="T65" s="526"/>
      <c r="U65" s="526"/>
      <c r="V65" s="526"/>
      <c r="W65" s="526"/>
      <c r="X65" s="526"/>
      <c r="Y65" s="526"/>
      <c r="Z65" s="526"/>
      <c r="AA65" s="526"/>
      <c r="AB65" s="526"/>
      <c r="AC65" s="526"/>
      <c r="AD65" s="526"/>
      <c r="AE65" s="526"/>
      <c r="AF65" s="526"/>
      <c r="AG65" s="526"/>
      <c r="AH65" s="526"/>
      <c r="AI65" s="526"/>
      <c r="AJ65" s="526"/>
      <c r="AQ65" s="712"/>
    </row>
    <row r="66" spans="11:43" ht="21">
      <c r="K66" s="712"/>
      <c r="L66" s="501" t="s">
        <v>304</v>
      </c>
      <c r="M66" s="499" t="s">
        <v>388</v>
      </c>
      <c r="N66" s="500"/>
      <c r="O66" s="526"/>
      <c r="P66" s="526"/>
      <c r="Q66" s="558"/>
      <c r="R66" s="558"/>
      <c r="S66" s="526"/>
      <c r="T66" s="526"/>
      <c r="U66" s="526"/>
      <c r="V66" s="526"/>
      <c r="W66" s="526"/>
      <c r="X66" s="526"/>
      <c r="Y66" s="526"/>
      <c r="Z66" s="526"/>
      <c r="AA66" s="526"/>
      <c r="AB66" s="526"/>
      <c r="AC66" s="526"/>
      <c r="AD66" s="526"/>
      <c r="AE66" s="526"/>
      <c r="AF66" s="526"/>
      <c r="AG66" s="526"/>
      <c r="AH66" s="526"/>
      <c r="AI66" s="526"/>
      <c r="AJ66" s="526"/>
      <c r="AQ66" s="712"/>
    </row>
    <row r="67" spans="11:43" ht="21">
      <c r="K67" s="712"/>
      <c r="L67" s="501"/>
      <c r="M67" s="499"/>
      <c r="N67" s="500"/>
      <c r="O67" s="526"/>
      <c r="P67" s="526"/>
      <c r="Q67" s="558"/>
      <c r="R67" s="558"/>
      <c r="S67" s="558"/>
      <c r="T67" s="526"/>
      <c r="U67" s="526"/>
      <c r="V67" s="526"/>
      <c r="W67" s="526"/>
      <c r="X67" s="526"/>
      <c r="Y67" s="526"/>
      <c r="Z67" s="526"/>
      <c r="AA67" s="526"/>
      <c r="AB67" s="526"/>
      <c r="AC67" s="526"/>
      <c r="AD67" s="526"/>
      <c r="AE67" s="526"/>
      <c r="AF67" s="526"/>
      <c r="AG67" s="526"/>
      <c r="AH67" s="526"/>
      <c r="AI67" s="526"/>
      <c r="AJ67" s="526"/>
      <c r="AQ67" s="712"/>
    </row>
    <row r="68" spans="11:43" ht="21">
      <c r="K68" s="712"/>
      <c r="L68" s="501" t="s">
        <v>305</v>
      </c>
      <c r="M68" s="499" t="s">
        <v>1811</v>
      </c>
      <c r="N68" s="500"/>
      <c r="O68" s="526"/>
      <c r="P68" s="526"/>
      <c r="Q68" s="558"/>
      <c r="R68" s="558"/>
      <c r="S68" s="558"/>
      <c r="T68" s="526"/>
      <c r="U68" s="526"/>
      <c r="V68" s="526"/>
      <c r="W68" s="526"/>
      <c r="X68" s="526"/>
      <c r="Y68" s="526"/>
      <c r="Z68" s="526"/>
      <c r="AA68" s="526"/>
      <c r="AB68" s="526"/>
      <c r="AC68" s="526"/>
      <c r="AD68" s="526"/>
      <c r="AE68" s="526"/>
      <c r="AF68" s="526"/>
      <c r="AG68" s="526"/>
      <c r="AH68" s="526"/>
      <c r="AI68" s="526"/>
      <c r="AJ68" s="526"/>
      <c r="AQ68" s="712"/>
    </row>
    <row r="69" spans="11:43" ht="22" thickBot="1">
      <c r="K69" s="712"/>
      <c r="L69" s="502"/>
      <c r="M69" s="502"/>
      <c r="O69" s="526"/>
      <c r="P69" s="526"/>
      <c r="Q69" s="526"/>
      <c r="R69" s="526"/>
      <c r="S69" s="526"/>
      <c r="T69" s="526"/>
      <c r="U69" s="526"/>
      <c r="V69" s="526"/>
      <c r="W69" s="526"/>
      <c r="X69" s="526"/>
      <c r="Y69" s="526"/>
      <c r="Z69" s="526"/>
      <c r="AA69" s="526"/>
      <c r="AB69" s="526"/>
      <c r="AC69" s="526"/>
      <c r="AD69" s="526"/>
      <c r="AE69" s="526"/>
      <c r="AF69" s="526"/>
      <c r="AG69" s="526"/>
      <c r="AH69" s="526"/>
      <c r="AI69" s="526"/>
      <c r="AJ69" s="526"/>
      <c r="AQ69" s="712"/>
    </row>
    <row r="70" spans="11:43" ht="22" thickBot="1">
      <c r="K70" s="712"/>
      <c r="L70" s="502"/>
      <c r="M70" s="502"/>
      <c r="N70" s="508" t="s">
        <v>354</v>
      </c>
      <c r="O70" s="526"/>
      <c r="P70" s="526"/>
      <c r="Q70" s="558"/>
      <c r="R70" s="558"/>
      <c r="S70" s="526"/>
      <c r="T70" s="559">
        <v>2021</v>
      </c>
      <c r="U70" s="560">
        <v>2022</v>
      </c>
      <c r="V70" s="560">
        <v>2023</v>
      </c>
      <c r="W70" s="560">
        <v>2024</v>
      </c>
      <c r="X70" s="561">
        <v>2025</v>
      </c>
      <c r="Y70" s="526"/>
      <c r="Z70" s="526"/>
      <c r="AA70" s="526"/>
      <c r="AB70" s="526"/>
      <c r="AC70" s="526"/>
      <c r="AD70" s="526"/>
      <c r="AE70" s="526"/>
      <c r="AF70" s="526"/>
      <c r="AG70" s="526"/>
      <c r="AH70" s="526"/>
      <c r="AI70" s="526"/>
      <c r="AJ70" s="526"/>
      <c r="AQ70" s="712"/>
    </row>
    <row r="71" spans="11:43" ht="22" thickBot="1">
      <c r="K71" s="712"/>
      <c r="L71" s="502"/>
      <c r="M71" s="502"/>
      <c r="O71" s="526" t="s">
        <v>308</v>
      </c>
      <c r="P71" s="526"/>
      <c r="Q71" s="526"/>
      <c r="R71" s="562" t="s">
        <v>93</v>
      </c>
      <c r="S71" s="562" t="s">
        <v>310</v>
      </c>
      <c r="T71" s="563">
        <f>T16</f>
        <v>59</v>
      </c>
      <c r="U71" s="563">
        <f>U16</f>
        <v>57</v>
      </c>
      <c r="V71" s="563">
        <f>V16</f>
        <v>55</v>
      </c>
      <c r="W71" s="563">
        <f>W16</f>
        <v>54</v>
      </c>
      <c r="X71" s="563">
        <f>X16</f>
        <v>52</v>
      </c>
      <c r="Y71" s="526"/>
      <c r="Z71" s="526"/>
      <c r="AA71" s="526"/>
      <c r="AB71" s="526"/>
      <c r="AC71" s="526"/>
      <c r="AD71" s="526"/>
      <c r="AE71" s="526"/>
      <c r="AF71" s="526"/>
      <c r="AG71" s="526"/>
      <c r="AH71" s="526"/>
      <c r="AI71" s="526"/>
      <c r="AJ71" s="526"/>
      <c r="AQ71" s="712"/>
    </row>
    <row r="72" spans="11:43" ht="22" thickBot="1">
      <c r="K72" s="712"/>
      <c r="L72" s="502"/>
      <c r="M72" s="502"/>
      <c r="O72" s="564">
        <v>1</v>
      </c>
      <c r="P72" s="565">
        <v>1</v>
      </c>
      <c r="Q72" s="566">
        <v>1</v>
      </c>
      <c r="R72" s="567" t="s">
        <v>324</v>
      </c>
      <c r="S72" s="568" t="s">
        <v>427</v>
      </c>
      <c r="T72" s="569">
        <f>T$71*$O72*$P72*$Q72</f>
        <v>59</v>
      </c>
      <c r="U72" s="569">
        <f>U$71*$O72*$P72*$Q72</f>
        <v>57</v>
      </c>
      <c r="V72" s="569">
        <f>V$71*$O72*$P72*$Q72</f>
        <v>55</v>
      </c>
      <c r="W72" s="569">
        <f>W$71*$O72*$P72*$Q72</f>
        <v>54</v>
      </c>
      <c r="X72" s="570">
        <f>X$71*$O72*$P72*$Q72</f>
        <v>52</v>
      </c>
      <c r="Y72" s="526"/>
      <c r="Z72" s="526"/>
      <c r="AA72" s="526"/>
      <c r="AB72" s="526"/>
      <c r="AC72" s="526"/>
      <c r="AD72" s="526"/>
      <c r="AE72" s="526"/>
      <c r="AF72" s="526"/>
      <c r="AG72" s="526"/>
      <c r="AH72" s="526"/>
      <c r="AI72" s="526"/>
      <c r="AJ72" s="526"/>
      <c r="AQ72" s="712"/>
    </row>
    <row r="73" spans="11:43" ht="21">
      <c r="K73" s="712"/>
      <c r="L73" s="502"/>
      <c r="M73" s="502"/>
      <c r="O73" s="526"/>
      <c r="P73" s="526"/>
      <c r="Q73" s="526"/>
      <c r="R73" s="526"/>
      <c r="S73" s="526"/>
      <c r="T73" s="526"/>
      <c r="U73" s="526"/>
      <c r="V73" s="526"/>
      <c r="W73" s="526"/>
      <c r="X73" s="526"/>
      <c r="Y73" s="526"/>
      <c r="Z73" s="526"/>
      <c r="AA73" s="526"/>
      <c r="AB73" s="526"/>
      <c r="AC73" s="526"/>
      <c r="AD73" s="526"/>
      <c r="AE73" s="526"/>
      <c r="AF73" s="526"/>
      <c r="AG73" s="526"/>
      <c r="AH73" s="526"/>
      <c r="AI73" s="526"/>
      <c r="AJ73" s="526"/>
      <c r="AQ73" s="712"/>
    </row>
    <row r="74" spans="11:43" ht="21">
      <c r="K74" s="712"/>
      <c r="L74" s="502"/>
      <c r="M74" s="502"/>
      <c r="O74" s="526"/>
      <c r="P74" s="526"/>
      <c r="Q74" s="526"/>
      <c r="R74" s="526"/>
      <c r="S74" s="526"/>
      <c r="T74" s="526"/>
      <c r="U74" s="526"/>
      <c r="V74" s="526"/>
      <c r="W74" s="526"/>
      <c r="X74" s="526"/>
      <c r="Y74" s="526"/>
      <c r="Z74" s="526"/>
      <c r="AA74" s="526"/>
      <c r="AB74" s="526"/>
      <c r="AC74" s="526"/>
      <c r="AD74" s="526"/>
      <c r="AE74" s="526"/>
      <c r="AF74" s="526"/>
      <c r="AG74" s="526"/>
      <c r="AH74" s="526"/>
      <c r="AI74" s="526"/>
      <c r="AJ74" s="526"/>
      <c r="AQ74" s="712"/>
    </row>
    <row r="75" spans="11:43" ht="22" thickBot="1">
      <c r="K75" s="712"/>
      <c r="L75" s="502"/>
      <c r="M75" s="502"/>
      <c r="N75" s="442" t="s">
        <v>355</v>
      </c>
      <c r="O75" s="526"/>
      <c r="P75" s="526"/>
      <c r="Q75" s="526"/>
      <c r="R75" s="526"/>
      <c r="S75" s="526"/>
      <c r="T75" s="571">
        <v>3</v>
      </c>
      <c r="U75" s="571">
        <v>4</v>
      </c>
      <c r="V75" s="571">
        <v>5</v>
      </c>
      <c r="W75" s="571">
        <v>6</v>
      </c>
      <c r="X75" s="571">
        <v>7</v>
      </c>
      <c r="Y75" s="526"/>
      <c r="Z75" s="526"/>
      <c r="AA75" s="526"/>
      <c r="AB75" s="526"/>
      <c r="AC75" s="526"/>
      <c r="AD75" s="526"/>
      <c r="AE75" s="526"/>
      <c r="AF75" s="526"/>
      <c r="AG75" s="526"/>
      <c r="AH75" s="526"/>
      <c r="AI75" s="526"/>
      <c r="AJ75" s="526"/>
      <c r="AQ75" s="712"/>
    </row>
    <row r="76" spans="11:43" ht="35" thickBot="1">
      <c r="K76" s="712"/>
      <c r="L76" s="502"/>
      <c r="M76" s="502"/>
      <c r="N76" s="509" t="s">
        <v>330</v>
      </c>
      <c r="O76" s="572" t="s">
        <v>312</v>
      </c>
      <c r="P76" s="573" t="s">
        <v>328</v>
      </c>
      <c r="Q76" s="573" t="s">
        <v>327</v>
      </c>
      <c r="R76" s="573" t="s">
        <v>329</v>
      </c>
      <c r="S76" s="573" t="s">
        <v>97</v>
      </c>
      <c r="T76" s="559">
        <v>2021</v>
      </c>
      <c r="U76" s="560">
        <v>2022</v>
      </c>
      <c r="V76" s="560">
        <v>2023</v>
      </c>
      <c r="W76" s="560">
        <v>2024</v>
      </c>
      <c r="X76" s="561">
        <v>2025</v>
      </c>
      <c r="Y76" s="526"/>
      <c r="Z76" s="526"/>
      <c r="AA76" s="526"/>
      <c r="AB76" s="526"/>
      <c r="AC76" s="526"/>
      <c r="AD76" s="526"/>
      <c r="AE76" s="526"/>
      <c r="AF76" s="526"/>
      <c r="AG76" s="526"/>
      <c r="AH76" s="526"/>
      <c r="AI76" s="526"/>
      <c r="AJ76" s="526"/>
      <c r="AQ76" s="712"/>
    </row>
    <row r="77" spans="11:43" ht="21">
      <c r="K77" s="712"/>
      <c r="L77" s="502"/>
      <c r="M77" s="502"/>
      <c r="N77" s="510" t="s">
        <v>324</v>
      </c>
      <c r="O77" s="574" t="s">
        <v>428</v>
      </c>
      <c r="P77" s="575">
        <v>4</v>
      </c>
      <c r="Q77" s="575">
        <v>30</v>
      </c>
      <c r="R77" s="575">
        <v>2</v>
      </c>
      <c r="S77" s="575">
        <f>P77*Q77*R77</f>
        <v>240</v>
      </c>
      <c r="T77" s="576">
        <f t="shared" ref="T77:X79" si="8">VLOOKUP($N77,FLD_MD_copii,T$75,0)*$S77</f>
        <v>14160</v>
      </c>
      <c r="U77" s="576">
        <f t="shared" si="8"/>
        <v>13680</v>
      </c>
      <c r="V77" s="576">
        <f t="shared" si="8"/>
        <v>13200</v>
      </c>
      <c r="W77" s="576">
        <f t="shared" si="8"/>
        <v>12960</v>
      </c>
      <c r="X77" s="577">
        <f t="shared" si="8"/>
        <v>12480</v>
      </c>
      <c r="Y77" s="526"/>
      <c r="Z77" s="526"/>
      <c r="AA77" s="526"/>
      <c r="AB77" s="526"/>
      <c r="AC77" s="526"/>
      <c r="AD77" s="526"/>
      <c r="AE77" s="526"/>
      <c r="AF77" s="526"/>
      <c r="AG77" s="526"/>
      <c r="AH77" s="526"/>
      <c r="AI77" s="526"/>
      <c r="AJ77" s="526"/>
      <c r="AQ77" s="712"/>
    </row>
    <row r="78" spans="11:43" ht="21">
      <c r="K78" s="712"/>
      <c r="L78" s="502"/>
      <c r="M78" s="502"/>
      <c r="N78" s="511" t="s">
        <v>324</v>
      </c>
      <c r="O78" s="578" t="s">
        <v>429</v>
      </c>
      <c r="P78" s="579">
        <v>4</v>
      </c>
      <c r="Q78" s="579">
        <v>30</v>
      </c>
      <c r="R78" s="579">
        <v>4</v>
      </c>
      <c r="S78" s="579">
        <f>P78*Q78*R78</f>
        <v>480</v>
      </c>
      <c r="T78" s="576">
        <f t="shared" si="8"/>
        <v>28320</v>
      </c>
      <c r="U78" s="576">
        <f t="shared" si="8"/>
        <v>27360</v>
      </c>
      <c r="V78" s="576">
        <f t="shared" si="8"/>
        <v>26400</v>
      </c>
      <c r="W78" s="576">
        <f t="shared" si="8"/>
        <v>25920</v>
      </c>
      <c r="X78" s="577">
        <f t="shared" si="8"/>
        <v>24960</v>
      </c>
      <c r="Y78" s="526"/>
      <c r="Z78" s="526"/>
      <c r="AA78" s="526"/>
      <c r="AB78" s="526"/>
      <c r="AC78" s="526"/>
      <c r="AD78" s="526"/>
      <c r="AE78" s="526"/>
      <c r="AF78" s="526"/>
      <c r="AG78" s="526"/>
      <c r="AH78" s="526"/>
      <c r="AI78" s="526"/>
      <c r="AJ78" s="526"/>
      <c r="AQ78" s="712"/>
    </row>
    <row r="79" spans="11:43" ht="22" thickBot="1">
      <c r="K79" s="712"/>
      <c r="L79" s="502"/>
      <c r="M79" s="502"/>
      <c r="N79" s="512" t="s">
        <v>324</v>
      </c>
      <c r="O79" s="580" t="s">
        <v>445</v>
      </c>
      <c r="P79" s="581">
        <v>3</v>
      </c>
      <c r="Q79" s="581">
        <v>30</v>
      </c>
      <c r="R79" s="581">
        <v>2</v>
      </c>
      <c r="S79" s="581">
        <f>P79*Q79*R79</f>
        <v>180</v>
      </c>
      <c r="T79" s="582">
        <f t="shared" si="8"/>
        <v>10620</v>
      </c>
      <c r="U79" s="582">
        <f t="shared" si="8"/>
        <v>10260</v>
      </c>
      <c r="V79" s="582">
        <f t="shared" si="8"/>
        <v>9900</v>
      </c>
      <c r="W79" s="582">
        <f t="shared" si="8"/>
        <v>9720</v>
      </c>
      <c r="X79" s="583">
        <f t="shared" si="8"/>
        <v>9360</v>
      </c>
      <c r="Y79" s="526"/>
      <c r="Z79" s="526"/>
      <c r="AA79" s="526"/>
      <c r="AB79" s="526"/>
      <c r="AC79" s="526"/>
      <c r="AD79" s="526"/>
      <c r="AE79" s="526"/>
      <c r="AF79" s="526"/>
      <c r="AG79" s="526"/>
      <c r="AH79" s="526"/>
      <c r="AI79" s="526"/>
      <c r="AJ79" s="526"/>
      <c r="AQ79" s="712"/>
    </row>
    <row r="80" spans="11:43" ht="21">
      <c r="K80" s="712"/>
      <c r="L80" s="502"/>
      <c r="M80" s="502"/>
      <c r="O80" s="526"/>
      <c r="P80" s="526"/>
      <c r="Q80" s="526"/>
      <c r="R80" s="526"/>
      <c r="S80" s="526"/>
      <c r="T80" s="526"/>
      <c r="U80" s="526"/>
      <c r="V80" s="526"/>
      <c r="W80" s="526"/>
      <c r="X80" s="526"/>
      <c r="Y80" s="526"/>
      <c r="Z80" s="526"/>
      <c r="AA80" s="526"/>
      <c r="AB80" s="526"/>
      <c r="AC80" s="526"/>
      <c r="AD80" s="526"/>
      <c r="AE80" s="526"/>
      <c r="AF80" s="526"/>
      <c r="AG80" s="526"/>
      <c r="AH80" s="526"/>
      <c r="AI80" s="526"/>
      <c r="AJ80" s="526"/>
      <c r="AQ80" s="712"/>
    </row>
    <row r="81" spans="11:43" ht="21">
      <c r="K81" s="712"/>
      <c r="L81" s="502"/>
      <c r="M81" s="502"/>
      <c r="O81" s="526"/>
      <c r="P81" s="526"/>
      <c r="Q81" s="526"/>
      <c r="R81" s="526"/>
      <c r="S81" s="526"/>
      <c r="T81" s="526"/>
      <c r="U81" s="526"/>
      <c r="V81" s="526"/>
      <c r="W81" s="526"/>
      <c r="X81" s="526"/>
      <c r="Y81" s="526"/>
      <c r="Z81" s="526"/>
      <c r="AA81" s="526"/>
      <c r="AB81" s="526"/>
      <c r="AC81" s="526"/>
      <c r="AD81" s="526"/>
      <c r="AE81" s="526"/>
      <c r="AF81" s="526"/>
      <c r="AG81" s="526"/>
      <c r="AH81" s="526"/>
      <c r="AI81" s="526"/>
      <c r="AJ81" s="526"/>
      <c r="AQ81" s="712"/>
    </row>
    <row r="82" spans="11:43" ht="22" thickBot="1">
      <c r="K82" s="712"/>
      <c r="L82" s="502"/>
      <c r="M82" s="502"/>
      <c r="O82" s="526"/>
      <c r="P82" s="526"/>
      <c r="Q82" s="526"/>
      <c r="R82" s="526"/>
      <c r="S82" s="526"/>
      <c r="T82" s="526"/>
      <c r="U82" s="526"/>
      <c r="V82" s="526"/>
      <c r="W82" s="526"/>
      <c r="X82" s="526"/>
      <c r="Y82" s="526"/>
      <c r="Z82" s="526"/>
      <c r="AA82" s="526"/>
      <c r="AB82" s="526"/>
      <c r="AC82" s="526"/>
      <c r="AD82" s="526"/>
      <c r="AE82" s="526"/>
      <c r="AF82" s="526"/>
      <c r="AG82" s="526"/>
      <c r="AH82" s="526"/>
      <c r="AI82" s="526"/>
      <c r="AJ82" s="526"/>
      <c r="AQ82" s="712"/>
    </row>
    <row r="83" spans="11:43" ht="22" thickBot="1">
      <c r="K83" s="712"/>
      <c r="L83" s="502"/>
      <c r="M83" s="502"/>
      <c r="N83" s="508" t="s">
        <v>335</v>
      </c>
      <c r="O83" s="526"/>
      <c r="P83" s="526"/>
      <c r="Q83" s="526"/>
      <c r="R83" s="526"/>
      <c r="S83" s="526"/>
      <c r="T83" s="530" t="s">
        <v>333</v>
      </c>
      <c r="U83" s="528"/>
      <c r="V83" s="528"/>
      <c r="W83" s="528"/>
      <c r="X83" s="529"/>
      <c r="Y83" s="526"/>
      <c r="Z83" s="526"/>
      <c r="AA83" s="526"/>
      <c r="AB83" s="526"/>
      <c r="AC83" s="526"/>
      <c r="AD83" s="526"/>
      <c r="AE83" s="526"/>
      <c r="AF83" s="526"/>
      <c r="AG83" s="526"/>
      <c r="AH83" s="526"/>
      <c r="AI83" s="526"/>
      <c r="AJ83" s="526"/>
      <c r="AQ83" s="712"/>
    </row>
    <row r="84" spans="11:43" ht="22" thickBot="1">
      <c r="K84" s="712"/>
      <c r="L84" s="502"/>
      <c r="M84" s="502"/>
      <c r="O84" s="526"/>
      <c r="P84" s="526"/>
      <c r="Q84" s="526"/>
      <c r="R84" s="526"/>
      <c r="S84" s="526"/>
      <c r="T84" s="584">
        <v>2021</v>
      </c>
      <c r="U84" s="585">
        <v>2022</v>
      </c>
      <c r="V84" s="585">
        <v>2023</v>
      </c>
      <c r="W84" s="585">
        <v>2024</v>
      </c>
      <c r="X84" s="586">
        <v>2025</v>
      </c>
      <c r="Y84" s="526"/>
      <c r="Z84" s="526"/>
      <c r="AA84" s="526"/>
      <c r="AB84" s="526"/>
      <c r="AC84" s="526"/>
      <c r="AD84" s="526"/>
      <c r="AE84" s="526"/>
      <c r="AF84" s="526"/>
      <c r="AG84" s="526"/>
      <c r="AH84" s="526"/>
      <c r="AI84" s="526"/>
      <c r="AJ84" s="526"/>
      <c r="AQ84" s="712"/>
    </row>
    <row r="85" spans="11:43" ht="21">
      <c r="K85" s="712"/>
      <c r="L85" s="502"/>
      <c r="M85" s="502"/>
      <c r="O85" s="530" t="s">
        <v>428</v>
      </c>
      <c r="P85" s="528"/>
      <c r="Q85" s="528"/>
      <c r="R85" s="528"/>
      <c r="S85" s="528"/>
      <c r="T85" s="587">
        <f t="shared" ref="T85:X92" si="9">SUMIF($O$77:$O$79,$O85,T$77:T$79)</f>
        <v>14160</v>
      </c>
      <c r="U85" s="588">
        <f t="shared" si="9"/>
        <v>13680</v>
      </c>
      <c r="V85" s="588">
        <f t="shared" si="9"/>
        <v>13200</v>
      </c>
      <c r="W85" s="588">
        <f t="shared" si="9"/>
        <v>12960</v>
      </c>
      <c r="X85" s="589">
        <f t="shared" si="9"/>
        <v>12480</v>
      </c>
      <c r="Y85" s="526"/>
      <c r="Z85" s="526"/>
      <c r="AA85" s="526"/>
      <c r="AB85" s="526"/>
      <c r="AC85" s="526"/>
      <c r="AD85" s="526"/>
      <c r="AE85" s="526"/>
      <c r="AF85" s="526"/>
      <c r="AG85" s="526"/>
      <c r="AH85" s="526"/>
      <c r="AI85" s="526"/>
      <c r="AJ85" s="526"/>
      <c r="AQ85" s="712"/>
    </row>
    <row r="86" spans="11:43" ht="21">
      <c r="K86" s="712"/>
      <c r="L86" s="502"/>
      <c r="M86" s="502"/>
      <c r="O86" s="590" t="s">
        <v>429</v>
      </c>
      <c r="P86" s="591"/>
      <c r="Q86" s="591"/>
      <c r="R86" s="591"/>
      <c r="S86" s="591"/>
      <c r="T86" s="592">
        <f t="shared" si="9"/>
        <v>28320</v>
      </c>
      <c r="U86" s="593">
        <f t="shared" si="9"/>
        <v>27360</v>
      </c>
      <c r="V86" s="593">
        <f t="shared" si="9"/>
        <v>26400</v>
      </c>
      <c r="W86" s="593">
        <f t="shared" si="9"/>
        <v>25920</v>
      </c>
      <c r="X86" s="594">
        <f t="shared" si="9"/>
        <v>24960</v>
      </c>
      <c r="Y86" s="526"/>
      <c r="Z86" s="526"/>
      <c r="AA86" s="526"/>
      <c r="AB86" s="526"/>
      <c r="AC86" s="526"/>
      <c r="AD86" s="526"/>
      <c r="AE86" s="526"/>
      <c r="AF86" s="526"/>
      <c r="AG86" s="526"/>
      <c r="AH86" s="526"/>
      <c r="AI86" s="526"/>
      <c r="AJ86" s="526"/>
      <c r="AQ86" s="712"/>
    </row>
    <row r="87" spans="11:43" ht="21">
      <c r="K87" s="712"/>
      <c r="L87" s="502"/>
      <c r="M87" s="502"/>
      <c r="O87" s="590" t="s">
        <v>445</v>
      </c>
      <c r="P87" s="591"/>
      <c r="Q87" s="591"/>
      <c r="R87" s="591"/>
      <c r="S87" s="591"/>
      <c r="T87" s="592">
        <f t="shared" si="9"/>
        <v>10620</v>
      </c>
      <c r="U87" s="593">
        <f t="shared" si="9"/>
        <v>10260</v>
      </c>
      <c r="V87" s="593">
        <f t="shared" si="9"/>
        <v>9900</v>
      </c>
      <c r="W87" s="593">
        <f t="shared" si="9"/>
        <v>9720</v>
      </c>
      <c r="X87" s="594">
        <f t="shared" si="9"/>
        <v>9360</v>
      </c>
      <c r="Y87" s="526"/>
      <c r="Z87" s="526"/>
      <c r="AA87" s="526"/>
      <c r="AB87" s="526"/>
      <c r="AC87" s="526"/>
      <c r="AD87" s="526"/>
      <c r="AE87" s="526"/>
      <c r="AF87" s="526"/>
      <c r="AG87" s="526"/>
      <c r="AH87" s="526"/>
      <c r="AI87" s="526"/>
      <c r="AJ87" s="526"/>
      <c r="AQ87" s="712"/>
    </row>
    <row r="88" spans="11:43" ht="21">
      <c r="K88" s="712"/>
      <c r="L88" s="502"/>
      <c r="M88" s="502"/>
      <c r="O88" s="574"/>
      <c r="P88" s="591"/>
      <c r="Q88" s="591"/>
      <c r="R88" s="591"/>
      <c r="S88" s="591"/>
      <c r="T88" s="592">
        <f t="shared" si="9"/>
        <v>0</v>
      </c>
      <c r="U88" s="593">
        <f t="shared" si="9"/>
        <v>0</v>
      </c>
      <c r="V88" s="593">
        <f t="shared" si="9"/>
        <v>0</v>
      </c>
      <c r="W88" s="593">
        <f t="shared" si="9"/>
        <v>0</v>
      </c>
      <c r="X88" s="594">
        <f t="shared" si="9"/>
        <v>0</v>
      </c>
      <c r="Y88" s="526"/>
      <c r="Z88" s="526"/>
      <c r="AA88" s="526"/>
      <c r="AB88" s="526"/>
      <c r="AC88" s="526"/>
      <c r="AD88" s="526"/>
      <c r="AE88" s="526"/>
      <c r="AF88" s="526"/>
      <c r="AG88" s="526"/>
      <c r="AH88" s="526"/>
      <c r="AI88" s="526"/>
      <c r="AJ88" s="526"/>
      <c r="AQ88" s="712"/>
    </row>
    <row r="89" spans="11:43" ht="21">
      <c r="K89" s="712"/>
      <c r="L89" s="502"/>
      <c r="M89" s="502"/>
      <c r="O89" s="574"/>
      <c r="P89" s="591"/>
      <c r="Q89" s="591"/>
      <c r="R89" s="591"/>
      <c r="S89" s="591"/>
      <c r="T89" s="592">
        <f t="shared" si="9"/>
        <v>0</v>
      </c>
      <c r="U89" s="593">
        <f t="shared" si="9"/>
        <v>0</v>
      </c>
      <c r="V89" s="593">
        <f t="shared" si="9"/>
        <v>0</v>
      </c>
      <c r="W89" s="593">
        <f t="shared" si="9"/>
        <v>0</v>
      </c>
      <c r="X89" s="594">
        <f t="shared" si="9"/>
        <v>0</v>
      </c>
      <c r="Y89" s="526"/>
      <c r="Z89" s="526"/>
      <c r="AA89" s="526"/>
      <c r="AB89" s="526"/>
      <c r="AC89" s="526"/>
      <c r="AD89" s="526"/>
      <c r="AE89" s="526"/>
      <c r="AF89" s="526"/>
      <c r="AG89" s="526"/>
      <c r="AH89" s="526"/>
      <c r="AI89" s="526"/>
      <c r="AJ89" s="526"/>
      <c r="AQ89" s="712"/>
    </row>
    <row r="90" spans="11:43" ht="21">
      <c r="K90" s="712"/>
      <c r="L90" s="502"/>
      <c r="M90" s="502"/>
      <c r="O90" s="574"/>
      <c r="P90" s="591"/>
      <c r="Q90" s="591"/>
      <c r="R90" s="591"/>
      <c r="S90" s="591"/>
      <c r="T90" s="592">
        <f t="shared" si="9"/>
        <v>0</v>
      </c>
      <c r="U90" s="593">
        <f t="shared" si="9"/>
        <v>0</v>
      </c>
      <c r="V90" s="593">
        <f t="shared" si="9"/>
        <v>0</v>
      </c>
      <c r="W90" s="593">
        <f t="shared" si="9"/>
        <v>0</v>
      </c>
      <c r="X90" s="594">
        <f t="shared" si="9"/>
        <v>0</v>
      </c>
      <c r="Y90" s="526"/>
      <c r="Z90" s="526"/>
      <c r="AA90" s="526"/>
      <c r="AB90" s="526"/>
      <c r="AC90" s="526"/>
      <c r="AD90" s="526"/>
      <c r="AE90" s="526"/>
      <c r="AF90" s="526"/>
      <c r="AG90" s="526"/>
      <c r="AH90" s="526"/>
      <c r="AI90" s="526"/>
      <c r="AJ90" s="526"/>
      <c r="AQ90" s="712"/>
    </row>
    <row r="91" spans="11:43" ht="21">
      <c r="K91" s="712"/>
      <c r="L91" s="502"/>
      <c r="M91" s="502"/>
      <c r="O91" s="574"/>
      <c r="P91" s="591"/>
      <c r="Q91" s="591"/>
      <c r="R91" s="591"/>
      <c r="S91" s="591"/>
      <c r="T91" s="592">
        <f t="shared" si="9"/>
        <v>0</v>
      </c>
      <c r="U91" s="593">
        <f t="shared" si="9"/>
        <v>0</v>
      </c>
      <c r="V91" s="593">
        <f t="shared" si="9"/>
        <v>0</v>
      </c>
      <c r="W91" s="593">
        <f t="shared" si="9"/>
        <v>0</v>
      </c>
      <c r="X91" s="594">
        <f t="shared" si="9"/>
        <v>0</v>
      </c>
      <c r="Y91" s="526"/>
      <c r="Z91" s="526"/>
      <c r="AA91" s="526"/>
      <c r="AB91" s="526"/>
      <c r="AC91" s="526"/>
      <c r="AD91" s="526"/>
      <c r="AE91" s="526"/>
      <c r="AF91" s="526"/>
      <c r="AG91" s="526"/>
      <c r="AH91" s="526"/>
      <c r="AI91" s="526"/>
      <c r="AJ91" s="526"/>
      <c r="AQ91" s="712"/>
    </row>
    <row r="92" spans="11:43" ht="22" thickBot="1">
      <c r="K92" s="712"/>
      <c r="L92" s="502"/>
      <c r="M92" s="502"/>
      <c r="O92" s="595"/>
      <c r="P92" s="596"/>
      <c r="Q92" s="596"/>
      <c r="R92" s="596"/>
      <c r="S92" s="596"/>
      <c r="T92" s="597">
        <f t="shared" si="9"/>
        <v>0</v>
      </c>
      <c r="U92" s="598">
        <f t="shared" si="9"/>
        <v>0</v>
      </c>
      <c r="V92" s="598">
        <f t="shared" si="9"/>
        <v>0</v>
      </c>
      <c r="W92" s="598">
        <f t="shared" si="9"/>
        <v>0</v>
      </c>
      <c r="X92" s="599">
        <f t="shared" si="9"/>
        <v>0</v>
      </c>
      <c r="Y92" s="526"/>
      <c r="Z92" s="526"/>
      <c r="AA92" s="526"/>
      <c r="AB92" s="526"/>
      <c r="AC92" s="526"/>
      <c r="AD92" s="526"/>
      <c r="AE92" s="526"/>
      <c r="AF92" s="526"/>
      <c r="AG92" s="526"/>
      <c r="AH92" s="526"/>
      <c r="AI92" s="526"/>
      <c r="AJ92" s="526"/>
      <c r="AQ92" s="712"/>
    </row>
    <row r="93" spans="11:43" ht="22" thickBot="1">
      <c r="K93" s="712"/>
      <c r="L93" s="502"/>
      <c r="M93" s="502"/>
      <c r="O93" s="526"/>
      <c r="P93" s="526"/>
      <c r="Q93" s="526"/>
      <c r="R93" s="526"/>
      <c r="S93" s="526"/>
      <c r="T93" s="526"/>
      <c r="U93" s="526"/>
      <c r="V93" s="526"/>
      <c r="W93" s="526"/>
      <c r="X93" s="526"/>
      <c r="Y93" s="526"/>
      <c r="Z93" s="526"/>
      <c r="AA93" s="526"/>
      <c r="AB93" s="526"/>
      <c r="AC93" s="526"/>
      <c r="AD93" s="526"/>
      <c r="AE93" s="526"/>
      <c r="AF93" s="526"/>
      <c r="AG93" s="526"/>
      <c r="AH93" s="526"/>
      <c r="AI93" s="526"/>
      <c r="AJ93" s="526"/>
      <c r="AQ93" s="712"/>
    </row>
    <row r="94" spans="11:43" ht="22" thickBot="1">
      <c r="K94" s="712"/>
      <c r="L94" s="502"/>
      <c r="M94" s="502"/>
      <c r="O94" s="526"/>
      <c r="P94" s="526"/>
      <c r="Q94" s="526"/>
      <c r="R94" s="526"/>
      <c r="S94" s="526"/>
      <c r="T94" s="530" t="s">
        <v>334</v>
      </c>
      <c r="U94" s="528"/>
      <c r="V94" s="528"/>
      <c r="W94" s="528"/>
      <c r="X94" s="529"/>
      <c r="Y94" s="526"/>
      <c r="Z94" s="526"/>
      <c r="AA94" s="526"/>
      <c r="AB94" s="526"/>
      <c r="AC94" s="526"/>
      <c r="AD94" s="526"/>
      <c r="AE94" s="526"/>
      <c r="AF94" s="526"/>
      <c r="AG94" s="526"/>
      <c r="AH94" s="526"/>
      <c r="AI94" s="526"/>
      <c r="AJ94" s="526"/>
      <c r="AQ94" s="712"/>
    </row>
    <row r="95" spans="11:43" ht="22" thickBot="1">
      <c r="K95" s="712"/>
      <c r="L95" s="502"/>
      <c r="M95" s="502"/>
      <c r="O95" s="526"/>
      <c r="P95" s="526"/>
      <c r="Q95" s="526"/>
      <c r="R95" s="526"/>
      <c r="S95" s="526" t="s">
        <v>332</v>
      </c>
      <c r="T95" s="584">
        <v>2021</v>
      </c>
      <c r="U95" s="585">
        <v>2022</v>
      </c>
      <c r="V95" s="585">
        <v>2023</v>
      </c>
      <c r="W95" s="585">
        <v>2024</v>
      </c>
      <c r="X95" s="586">
        <v>2025</v>
      </c>
      <c r="Y95" s="526"/>
      <c r="Z95" s="526"/>
      <c r="AA95" s="526"/>
      <c r="AB95" s="526"/>
      <c r="AC95" s="526"/>
      <c r="AD95" s="526"/>
      <c r="AE95" s="526"/>
      <c r="AF95" s="526"/>
      <c r="AG95" s="526"/>
      <c r="AH95" s="526"/>
      <c r="AI95" s="526"/>
      <c r="AJ95" s="526"/>
      <c r="AQ95" s="712"/>
    </row>
    <row r="96" spans="11:43" ht="21">
      <c r="K96" s="712"/>
      <c r="L96" s="502"/>
      <c r="M96" s="502"/>
      <c r="O96" s="530" t="s">
        <v>428</v>
      </c>
      <c r="P96" s="528"/>
      <c r="Q96" s="528"/>
      <c r="R96" s="528"/>
      <c r="S96" s="528">
        <f>IFERROR(VLOOKUP(O96,Preturi_medicamente!D:F,3,0),0)</f>
        <v>0.7</v>
      </c>
      <c r="T96" s="600">
        <f t="shared" ref="T96:X103" si="10">ROUND(T85*$S96,2)</f>
        <v>9912</v>
      </c>
      <c r="U96" s="601">
        <f t="shared" si="10"/>
        <v>9576</v>
      </c>
      <c r="V96" s="601">
        <f t="shared" si="10"/>
        <v>9240</v>
      </c>
      <c r="W96" s="601">
        <f t="shared" si="10"/>
        <v>9072</v>
      </c>
      <c r="X96" s="602">
        <f t="shared" si="10"/>
        <v>8736</v>
      </c>
      <c r="Y96" s="526"/>
      <c r="Z96" s="526"/>
      <c r="AA96" s="526"/>
      <c r="AB96" s="526"/>
      <c r="AC96" s="526"/>
      <c r="AD96" s="526"/>
      <c r="AE96" s="526"/>
      <c r="AF96" s="526"/>
      <c r="AG96" s="526"/>
      <c r="AH96" s="526"/>
      <c r="AI96" s="526"/>
      <c r="AJ96" s="526"/>
      <c r="AQ96" s="712"/>
    </row>
    <row r="97" spans="1:44" ht="21">
      <c r="K97" s="712"/>
      <c r="L97" s="502"/>
      <c r="M97" s="502"/>
      <c r="O97" s="574" t="s">
        <v>429</v>
      </c>
      <c r="P97" s="591"/>
      <c r="Q97" s="591"/>
      <c r="R97" s="591"/>
      <c r="S97" s="591">
        <f>IFERROR(VLOOKUP(O97,Preturi_medicamente!D:F,3,0),0)</f>
        <v>0.7</v>
      </c>
      <c r="T97" s="603">
        <f t="shared" si="10"/>
        <v>19824</v>
      </c>
      <c r="U97" s="604">
        <f t="shared" si="10"/>
        <v>19152</v>
      </c>
      <c r="V97" s="604">
        <f t="shared" si="10"/>
        <v>18480</v>
      </c>
      <c r="W97" s="604">
        <f t="shared" si="10"/>
        <v>18144</v>
      </c>
      <c r="X97" s="605">
        <f t="shared" si="10"/>
        <v>17472</v>
      </c>
      <c r="Y97" s="526"/>
      <c r="Z97" s="526"/>
      <c r="AA97" s="526"/>
      <c r="AB97" s="526"/>
      <c r="AC97" s="526"/>
      <c r="AD97" s="526"/>
      <c r="AE97" s="526"/>
      <c r="AF97" s="526"/>
      <c r="AG97" s="526"/>
      <c r="AH97" s="526"/>
      <c r="AI97" s="526"/>
      <c r="AJ97" s="526"/>
      <c r="AQ97" s="712"/>
    </row>
    <row r="98" spans="1:44" ht="21">
      <c r="K98" s="712"/>
      <c r="L98" s="502"/>
      <c r="M98" s="502"/>
      <c r="O98" s="574" t="s">
        <v>445</v>
      </c>
      <c r="P98" s="591"/>
      <c r="Q98" s="591"/>
      <c r="R98" s="591"/>
      <c r="S98" s="591">
        <f>IFERROR(VLOOKUP(O98,Preturi_medicamente!D:F,3,0),0)</f>
        <v>4.04</v>
      </c>
      <c r="T98" s="603">
        <f t="shared" si="10"/>
        <v>42904.800000000003</v>
      </c>
      <c r="U98" s="604">
        <f t="shared" si="10"/>
        <v>41450.400000000001</v>
      </c>
      <c r="V98" s="604">
        <f t="shared" si="10"/>
        <v>39996</v>
      </c>
      <c r="W98" s="604">
        <f t="shared" si="10"/>
        <v>39268.800000000003</v>
      </c>
      <c r="X98" s="605">
        <f t="shared" si="10"/>
        <v>37814.400000000001</v>
      </c>
      <c r="Y98" s="526"/>
      <c r="Z98" s="526"/>
      <c r="AA98" s="526"/>
      <c r="AB98" s="526"/>
      <c r="AC98" s="526"/>
      <c r="AD98" s="526"/>
      <c r="AE98" s="526"/>
      <c r="AF98" s="526"/>
      <c r="AG98" s="526"/>
      <c r="AH98" s="526"/>
      <c r="AI98" s="526"/>
      <c r="AJ98" s="526"/>
      <c r="AQ98" s="712"/>
    </row>
    <row r="99" spans="1:44" ht="21">
      <c r="K99" s="712"/>
      <c r="L99" s="502"/>
      <c r="M99" s="502"/>
      <c r="O99" s="574"/>
      <c r="P99" s="591"/>
      <c r="Q99" s="591"/>
      <c r="R99" s="591"/>
      <c r="S99" s="591">
        <f>IFERROR(VLOOKUP(O99,Preturi_medicamente!D:F,3,0),0)</f>
        <v>0</v>
      </c>
      <c r="T99" s="603">
        <f t="shared" si="10"/>
        <v>0</v>
      </c>
      <c r="U99" s="604">
        <f t="shared" si="10"/>
        <v>0</v>
      </c>
      <c r="V99" s="604">
        <f t="shared" si="10"/>
        <v>0</v>
      </c>
      <c r="W99" s="604">
        <f t="shared" si="10"/>
        <v>0</v>
      </c>
      <c r="X99" s="605">
        <f t="shared" si="10"/>
        <v>0</v>
      </c>
      <c r="Y99" s="526"/>
      <c r="Z99" s="526"/>
      <c r="AA99" s="526"/>
      <c r="AB99" s="526"/>
      <c r="AC99" s="526"/>
      <c r="AD99" s="526"/>
      <c r="AE99" s="526"/>
      <c r="AF99" s="526"/>
      <c r="AG99" s="526"/>
      <c r="AH99" s="526"/>
      <c r="AI99" s="526"/>
      <c r="AJ99" s="526"/>
      <c r="AQ99" s="712"/>
    </row>
    <row r="100" spans="1:44" ht="21">
      <c r="K100" s="712"/>
      <c r="L100" s="502"/>
      <c r="M100" s="502"/>
      <c r="O100" s="574"/>
      <c r="P100" s="591"/>
      <c r="Q100" s="591"/>
      <c r="R100" s="591"/>
      <c r="S100" s="591">
        <f>IFERROR(VLOOKUP(O100,Preturi_medicamente!D:F,3,0),0)</f>
        <v>0</v>
      </c>
      <c r="T100" s="603">
        <f t="shared" si="10"/>
        <v>0</v>
      </c>
      <c r="U100" s="604">
        <f t="shared" si="10"/>
        <v>0</v>
      </c>
      <c r="V100" s="604">
        <f t="shared" si="10"/>
        <v>0</v>
      </c>
      <c r="W100" s="604">
        <f t="shared" si="10"/>
        <v>0</v>
      </c>
      <c r="X100" s="605">
        <f t="shared" si="10"/>
        <v>0</v>
      </c>
      <c r="Y100" s="526"/>
      <c r="Z100" s="526"/>
      <c r="AA100" s="526"/>
      <c r="AB100" s="526"/>
      <c r="AC100" s="526"/>
      <c r="AD100" s="526"/>
      <c r="AE100" s="526"/>
      <c r="AF100" s="526"/>
      <c r="AG100" s="526"/>
      <c r="AH100" s="526"/>
      <c r="AI100" s="526"/>
      <c r="AJ100" s="526"/>
      <c r="AQ100" s="712"/>
    </row>
    <row r="101" spans="1:44" ht="21">
      <c r="K101" s="712"/>
      <c r="L101" s="502"/>
      <c r="M101" s="502"/>
      <c r="O101" s="574"/>
      <c r="P101" s="591"/>
      <c r="Q101" s="591"/>
      <c r="R101" s="591"/>
      <c r="S101" s="591">
        <f>IFERROR(VLOOKUP(O101,Preturi_medicamente!D:F,3,0),0)</f>
        <v>0</v>
      </c>
      <c r="T101" s="603">
        <f t="shared" si="10"/>
        <v>0</v>
      </c>
      <c r="U101" s="604">
        <f t="shared" si="10"/>
        <v>0</v>
      </c>
      <c r="V101" s="604">
        <f t="shared" si="10"/>
        <v>0</v>
      </c>
      <c r="W101" s="604">
        <f t="shared" si="10"/>
        <v>0</v>
      </c>
      <c r="X101" s="605">
        <f t="shared" si="10"/>
        <v>0</v>
      </c>
      <c r="Y101" s="526"/>
      <c r="Z101" s="526"/>
      <c r="AA101" s="526"/>
      <c r="AB101" s="526"/>
      <c r="AC101" s="526"/>
      <c r="AD101" s="526"/>
      <c r="AE101" s="526"/>
      <c r="AF101" s="526"/>
      <c r="AG101" s="526"/>
      <c r="AH101" s="526"/>
      <c r="AI101" s="526"/>
      <c r="AJ101" s="526"/>
      <c r="AQ101" s="712"/>
    </row>
    <row r="102" spans="1:44" ht="21">
      <c r="K102" s="712"/>
      <c r="L102" s="502"/>
      <c r="M102" s="502"/>
      <c r="O102" s="574"/>
      <c r="P102" s="591"/>
      <c r="Q102" s="591"/>
      <c r="R102" s="591"/>
      <c r="S102" s="591">
        <f>IFERROR(VLOOKUP(O102,Preturi_medicamente!D:F,3,0),0)</f>
        <v>0</v>
      </c>
      <c r="T102" s="603">
        <f t="shared" si="10"/>
        <v>0</v>
      </c>
      <c r="U102" s="604">
        <f t="shared" si="10"/>
        <v>0</v>
      </c>
      <c r="V102" s="604">
        <f t="shared" si="10"/>
        <v>0</v>
      </c>
      <c r="W102" s="604">
        <f t="shared" si="10"/>
        <v>0</v>
      </c>
      <c r="X102" s="605">
        <f t="shared" si="10"/>
        <v>0</v>
      </c>
      <c r="Y102" s="526"/>
      <c r="Z102" s="526"/>
      <c r="AA102" s="526"/>
      <c r="AB102" s="526"/>
      <c r="AC102" s="526"/>
      <c r="AD102" s="526"/>
      <c r="AE102" s="526"/>
      <c r="AF102" s="526"/>
      <c r="AG102" s="526"/>
      <c r="AH102" s="526"/>
      <c r="AI102" s="526"/>
      <c r="AJ102" s="526"/>
      <c r="AQ102" s="712"/>
    </row>
    <row r="103" spans="1:44" ht="22" thickBot="1">
      <c r="K103" s="712"/>
      <c r="L103" s="502"/>
      <c r="M103" s="502"/>
      <c r="O103" s="595"/>
      <c r="P103" s="596"/>
      <c r="Q103" s="596"/>
      <c r="R103" s="596"/>
      <c r="S103" s="596">
        <f>IFERROR(VLOOKUP(O103,Preturi_medicamente!D:F,3,0),0)</f>
        <v>0</v>
      </c>
      <c r="T103" s="606">
        <f t="shared" si="10"/>
        <v>0</v>
      </c>
      <c r="U103" s="607">
        <f t="shared" si="10"/>
        <v>0</v>
      </c>
      <c r="V103" s="607">
        <f t="shared" si="10"/>
        <v>0</v>
      </c>
      <c r="W103" s="607">
        <f t="shared" si="10"/>
        <v>0</v>
      </c>
      <c r="X103" s="608">
        <f t="shared" si="10"/>
        <v>0</v>
      </c>
      <c r="Y103" s="526"/>
      <c r="Z103" s="526"/>
      <c r="AA103" s="526"/>
      <c r="AB103" s="526"/>
      <c r="AC103" s="526"/>
      <c r="AD103" s="526"/>
      <c r="AE103" s="526"/>
      <c r="AF103" s="526"/>
      <c r="AG103" s="526"/>
      <c r="AH103" s="526"/>
      <c r="AI103" s="526"/>
      <c r="AJ103" s="526"/>
      <c r="AQ103" s="712"/>
    </row>
    <row r="104" spans="1:44" ht="22" thickBot="1">
      <c r="A104" s="730">
        <v>10</v>
      </c>
      <c r="B104" s="733">
        <f>T104</f>
        <v>72640.800000000003</v>
      </c>
      <c r="C104" s="733">
        <f>U104</f>
        <v>70178.399999999994</v>
      </c>
      <c r="D104" s="733">
        <f>V104</f>
        <v>67716</v>
      </c>
      <c r="E104" s="733">
        <f>W104</f>
        <v>66484.800000000003</v>
      </c>
      <c r="F104" s="733">
        <f>X104</f>
        <v>64022.400000000001</v>
      </c>
      <c r="G104" s="733" t="s">
        <v>349</v>
      </c>
      <c r="H104" s="733" t="s">
        <v>1811</v>
      </c>
      <c r="I104" s="841"/>
      <c r="J104" s="841" t="s">
        <v>2936</v>
      </c>
      <c r="K104" s="712"/>
      <c r="L104" s="502"/>
      <c r="M104" s="502"/>
      <c r="O104" s="526"/>
      <c r="P104" s="526"/>
      <c r="Q104" s="526"/>
      <c r="R104" s="526"/>
      <c r="S104" s="526"/>
      <c r="T104" s="1738">
        <f>SUM(T96:T103)</f>
        <v>72640.800000000003</v>
      </c>
      <c r="U104" s="1736">
        <f>SUM(U96:U103)</f>
        <v>70178.399999999994</v>
      </c>
      <c r="V104" s="1736">
        <f>SUM(V96:V103)</f>
        <v>67716</v>
      </c>
      <c r="W104" s="1736">
        <f>SUM(W96:W103)</f>
        <v>66484.800000000003</v>
      </c>
      <c r="X104" s="1737">
        <f>SUM(X96:X103)</f>
        <v>64022.400000000001</v>
      </c>
      <c r="Y104" s="526"/>
      <c r="Z104" s="526"/>
      <c r="AA104" s="526"/>
      <c r="AB104" s="526"/>
      <c r="AC104" s="526"/>
      <c r="AD104" s="526"/>
      <c r="AE104" s="526"/>
      <c r="AF104" s="526"/>
      <c r="AG104" s="526"/>
      <c r="AH104" s="526"/>
      <c r="AI104" s="526"/>
      <c r="AJ104" s="526"/>
      <c r="AQ104" s="712"/>
      <c r="AR104" s="1487">
        <f>SUM(T104:X104)</f>
        <v>341042.4</v>
      </c>
    </row>
    <row r="105" spans="1:44" ht="21">
      <c r="K105" s="712"/>
      <c r="L105" s="502"/>
      <c r="M105" s="502"/>
      <c r="O105" s="526"/>
      <c r="P105" s="526"/>
      <c r="Q105" s="526"/>
      <c r="R105" s="526"/>
      <c r="S105" s="526"/>
      <c r="T105" s="526"/>
      <c r="U105" s="526"/>
      <c r="V105" s="526"/>
      <c r="W105" s="526"/>
      <c r="X105" s="526"/>
      <c r="Y105" s="526"/>
      <c r="Z105" s="526"/>
      <c r="AA105" s="526"/>
      <c r="AB105" s="526"/>
      <c r="AC105" s="526"/>
      <c r="AD105" s="526"/>
      <c r="AE105" s="526"/>
      <c r="AF105" s="526"/>
      <c r="AG105" s="526"/>
      <c r="AH105" s="526"/>
      <c r="AI105" s="526"/>
      <c r="AJ105" s="526"/>
      <c r="AQ105" s="712"/>
    </row>
    <row r="106" spans="1:44" ht="21">
      <c r="K106" s="712"/>
      <c r="L106" s="502"/>
      <c r="M106" s="502"/>
      <c r="O106" s="526"/>
      <c r="P106" s="526"/>
      <c r="Q106" s="526"/>
      <c r="R106" s="526"/>
      <c r="S106" s="526"/>
      <c r="T106" s="526"/>
      <c r="U106" s="526"/>
      <c r="V106" s="526"/>
      <c r="W106" s="526"/>
      <c r="X106" s="526"/>
      <c r="Y106" s="526"/>
      <c r="Z106" s="526"/>
      <c r="AA106" s="526"/>
      <c r="AB106" s="526"/>
      <c r="AC106" s="526"/>
      <c r="AD106" s="526"/>
      <c r="AE106" s="526"/>
      <c r="AF106" s="526"/>
      <c r="AG106" s="526"/>
      <c r="AH106" s="526"/>
      <c r="AI106" s="526"/>
      <c r="AJ106" s="526"/>
      <c r="AQ106" s="712"/>
    </row>
    <row r="107" spans="1:44" ht="21">
      <c r="K107" s="712"/>
      <c r="L107" s="502"/>
      <c r="M107" s="502"/>
      <c r="O107" s="558"/>
      <c r="P107" s="558"/>
      <c r="Q107" s="526"/>
      <c r="R107" s="526"/>
      <c r="S107" s="526"/>
      <c r="T107" s="526"/>
      <c r="U107" s="526"/>
      <c r="V107" s="526"/>
      <c r="W107" s="526"/>
      <c r="X107" s="526"/>
      <c r="Y107" s="526"/>
      <c r="Z107" s="526"/>
      <c r="AA107" s="526"/>
      <c r="AB107" s="526"/>
      <c r="AC107" s="526"/>
      <c r="AD107" s="526"/>
      <c r="AE107" s="526"/>
      <c r="AF107" s="526"/>
      <c r="AG107" s="526"/>
      <c r="AH107" s="526"/>
      <c r="AI107" s="526"/>
      <c r="AJ107" s="526"/>
      <c r="AQ107" s="712"/>
    </row>
    <row r="108" spans="1:44" ht="21">
      <c r="K108" s="712"/>
      <c r="L108" s="501" t="s">
        <v>448</v>
      </c>
      <c r="M108" s="499" t="s">
        <v>502</v>
      </c>
      <c r="O108" s="526"/>
      <c r="P108" s="526"/>
      <c r="Q108" s="558"/>
      <c r="R108" s="558"/>
      <c r="S108" s="526"/>
      <c r="T108" s="526"/>
      <c r="U108" s="526"/>
      <c r="V108" s="526"/>
      <c r="W108" s="526"/>
      <c r="X108" s="526"/>
      <c r="Y108" s="526"/>
      <c r="Z108" s="526"/>
      <c r="AA108" s="526"/>
      <c r="AB108" s="526"/>
      <c r="AC108" s="526"/>
      <c r="AD108" s="526"/>
      <c r="AE108" s="526"/>
      <c r="AF108" s="526"/>
      <c r="AG108" s="526"/>
      <c r="AH108" s="526"/>
      <c r="AI108" s="526"/>
      <c r="AJ108" s="526"/>
      <c r="AQ108" s="712"/>
    </row>
    <row r="109" spans="1:44" ht="22" thickBot="1">
      <c r="K109" s="712"/>
      <c r="L109" s="502"/>
      <c r="M109" s="502"/>
      <c r="O109" s="513"/>
      <c r="P109" s="508"/>
      <c r="Q109" s="558"/>
      <c r="R109" s="558"/>
      <c r="S109" s="526"/>
      <c r="T109" s="526"/>
      <c r="U109" s="526"/>
      <c r="V109" s="526"/>
      <c r="W109" s="526"/>
      <c r="X109" s="526"/>
      <c r="Y109" s="526"/>
      <c r="Z109" s="526"/>
      <c r="AA109" s="526"/>
      <c r="AB109" s="526"/>
      <c r="AC109" s="526"/>
      <c r="AD109" s="526"/>
      <c r="AE109" s="526"/>
      <c r="AF109" s="526"/>
      <c r="AG109" s="526"/>
      <c r="AH109" s="526"/>
      <c r="AI109" s="526"/>
      <c r="AJ109" s="526"/>
      <c r="AQ109" s="712"/>
    </row>
    <row r="110" spans="1:44" ht="22" thickBot="1">
      <c r="K110" s="712"/>
      <c r="L110" s="502"/>
      <c r="M110" s="502"/>
      <c r="N110" s="508" t="s">
        <v>354</v>
      </c>
      <c r="O110" s="526"/>
      <c r="P110" s="526"/>
      <c r="Q110" s="558"/>
      <c r="R110" s="558"/>
      <c r="S110" s="526"/>
      <c r="T110" s="559">
        <v>2021</v>
      </c>
      <c r="U110" s="560">
        <v>2022</v>
      </c>
      <c r="V110" s="560">
        <v>2023</v>
      </c>
      <c r="W110" s="560">
        <v>2024</v>
      </c>
      <c r="X110" s="561">
        <v>2025</v>
      </c>
      <c r="Y110" s="526"/>
      <c r="Z110" s="526"/>
      <c r="AA110" s="526"/>
      <c r="AB110" s="526"/>
      <c r="AC110" s="526"/>
      <c r="AD110" s="526"/>
      <c r="AE110" s="526"/>
      <c r="AF110" s="526"/>
      <c r="AG110" s="526"/>
      <c r="AH110" s="526"/>
      <c r="AI110" s="526"/>
      <c r="AJ110" s="526"/>
      <c r="AQ110" s="712"/>
    </row>
    <row r="111" spans="1:44" ht="22" thickBot="1">
      <c r="K111" s="712"/>
      <c r="L111" s="502"/>
      <c r="M111" s="502"/>
      <c r="O111" s="526" t="s">
        <v>308</v>
      </c>
      <c r="P111" s="526"/>
      <c r="Q111" s="526"/>
      <c r="R111" s="562" t="s">
        <v>93</v>
      </c>
      <c r="S111" s="562" t="s">
        <v>310</v>
      </c>
      <c r="T111" s="563">
        <f>T22</f>
        <v>1656</v>
      </c>
      <c r="U111" s="563">
        <f>U22</f>
        <v>1605</v>
      </c>
      <c r="V111" s="563">
        <f>V22</f>
        <v>1557</v>
      </c>
      <c r="W111" s="563">
        <f>W22</f>
        <v>1511</v>
      </c>
      <c r="X111" s="563">
        <f>X22</f>
        <v>1469</v>
      </c>
      <c r="Y111" s="526"/>
      <c r="Z111" s="526"/>
      <c r="AA111" s="526"/>
      <c r="AB111" s="526"/>
      <c r="AC111" s="526"/>
      <c r="AD111" s="526"/>
      <c r="AE111" s="526"/>
      <c r="AF111" s="526"/>
      <c r="AG111" s="526"/>
      <c r="AH111" s="526"/>
      <c r="AI111" s="526"/>
      <c r="AJ111" s="526"/>
      <c r="AQ111" s="712"/>
    </row>
    <row r="112" spans="1:44" ht="33.75" customHeight="1">
      <c r="K112" s="712"/>
      <c r="L112" s="502"/>
      <c r="M112" s="502"/>
      <c r="O112" s="609">
        <v>0.8</v>
      </c>
      <c r="P112" s="610">
        <v>0.5</v>
      </c>
      <c r="Q112" s="611">
        <v>0.7</v>
      </c>
      <c r="R112" s="612" t="s">
        <v>309</v>
      </c>
      <c r="S112" s="613" t="s">
        <v>311</v>
      </c>
      <c r="T112" s="614">
        <f>T111-SUM(T113:T117)</f>
        <v>463</v>
      </c>
      <c r="U112" s="614">
        <f>U111-SUM(U113:U117)</f>
        <v>449</v>
      </c>
      <c r="V112" s="614">
        <f>V111-SUM(V113:V117)</f>
        <v>436</v>
      </c>
      <c r="W112" s="614">
        <f>W111-SUM(W113:W117)</f>
        <v>423</v>
      </c>
      <c r="X112" s="615">
        <f>X111-SUM(X113:X117)</f>
        <v>412</v>
      </c>
      <c r="Y112" s="526"/>
      <c r="Z112" s="526"/>
      <c r="AA112" s="526"/>
      <c r="AB112" s="526"/>
      <c r="AC112" s="526"/>
      <c r="AD112" s="526"/>
      <c r="AE112" s="526"/>
      <c r="AF112" s="526"/>
      <c r="AG112" s="526"/>
      <c r="AH112" s="526"/>
      <c r="AI112" s="526"/>
      <c r="AJ112" s="526"/>
      <c r="AQ112" s="712"/>
    </row>
    <row r="113" spans="11:43" ht="33.75" customHeight="1" thickBot="1">
      <c r="K113" s="712"/>
      <c r="L113" s="502"/>
      <c r="M113" s="502"/>
      <c r="O113" s="616">
        <v>0.8</v>
      </c>
      <c r="P113" s="617">
        <v>0.5</v>
      </c>
      <c r="Q113" s="618">
        <v>0.3</v>
      </c>
      <c r="R113" s="619" t="s">
        <v>316</v>
      </c>
      <c r="S113" s="578" t="s">
        <v>317</v>
      </c>
      <c r="T113" s="539">
        <f t="shared" ref="T113:X117" si="11">ROUND(T$111*$O113*$P113*$Q113,0)</f>
        <v>199</v>
      </c>
      <c r="U113" s="539">
        <f t="shared" si="11"/>
        <v>193</v>
      </c>
      <c r="V113" s="539">
        <f t="shared" si="11"/>
        <v>187</v>
      </c>
      <c r="W113" s="539">
        <f t="shared" si="11"/>
        <v>181</v>
      </c>
      <c r="X113" s="540">
        <f t="shared" si="11"/>
        <v>176</v>
      </c>
      <c r="Y113" s="526"/>
      <c r="Z113" s="526"/>
      <c r="AA113" s="526"/>
      <c r="AB113" s="526"/>
      <c r="AC113" s="526"/>
      <c r="AD113" s="526"/>
      <c r="AE113" s="526"/>
      <c r="AF113" s="526"/>
      <c r="AG113" s="526"/>
      <c r="AH113" s="526"/>
      <c r="AI113" s="526"/>
      <c r="AJ113" s="526"/>
      <c r="AQ113" s="712"/>
    </row>
    <row r="114" spans="11:43" ht="33.75" customHeight="1">
      <c r="K114" s="712"/>
      <c r="L114" s="502"/>
      <c r="M114" s="502"/>
      <c r="O114" s="616">
        <v>0.8</v>
      </c>
      <c r="P114" s="610">
        <v>0.5</v>
      </c>
      <c r="Q114" s="618">
        <v>0.7</v>
      </c>
      <c r="R114" s="620" t="s">
        <v>324</v>
      </c>
      <c r="S114" s="578" t="s">
        <v>431</v>
      </c>
      <c r="T114" s="539">
        <f t="shared" si="11"/>
        <v>464</v>
      </c>
      <c r="U114" s="539">
        <f t="shared" si="11"/>
        <v>449</v>
      </c>
      <c r="V114" s="539">
        <f t="shared" si="11"/>
        <v>436</v>
      </c>
      <c r="W114" s="539">
        <f t="shared" si="11"/>
        <v>423</v>
      </c>
      <c r="X114" s="540">
        <f t="shared" si="11"/>
        <v>411</v>
      </c>
      <c r="Y114" s="526"/>
      <c r="Z114" s="526"/>
      <c r="AA114" s="526"/>
      <c r="AB114" s="526"/>
      <c r="AC114" s="526"/>
      <c r="AD114" s="526"/>
      <c r="AE114" s="526"/>
      <c r="AF114" s="526"/>
      <c r="AG114" s="526"/>
      <c r="AH114" s="526"/>
      <c r="AI114" s="526"/>
      <c r="AJ114" s="526"/>
      <c r="AQ114" s="712"/>
    </row>
    <row r="115" spans="11:43" ht="33.75" customHeight="1" thickBot="1">
      <c r="K115" s="712"/>
      <c r="L115" s="502"/>
      <c r="M115" s="502"/>
      <c r="O115" s="621">
        <v>0.8</v>
      </c>
      <c r="P115" s="617">
        <v>0.5</v>
      </c>
      <c r="Q115" s="622">
        <v>0.3</v>
      </c>
      <c r="R115" s="620" t="s">
        <v>326</v>
      </c>
      <c r="S115" s="578" t="s">
        <v>432</v>
      </c>
      <c r="T115" s="539">
        <f t="shared" si="11"/>
        <v>199</v>
      </c>
      <c r="U115" s="539">
        <f t="shared" si="11"/>
        <v>193</v>
      </c>
      <c r="V115" s="539">
        <f t="shared" si="11"/>
        <v>187</v>
      </c>
      <c r="W115" s="539">
        <f t="shared" si="11"/>
        <v>181</v>
      </c>
      <c r="X115" s="540">
        <f t="shared" si="11"/>
        <v>176</v>
      </c>
      <c r="Y115" s="526"/>
      <c r="Z115" s="526"/>
      <c r="AA115" s="526"/>
      <c r="AB115" s="526"/>
      <c r="AC115" s="526"/>
      <c r="AD115" s="526"/>
      <c r="AE115" s="526"/>
      <c r="AF115" s="526"/>
      <c r="AG115" s="526"/>
      <c r="AH115" s="526"/>
      <c r="AI115" s="526"/>
      <c r="AJ115" s="526"/>
      <c r="AQ115" s="712"/>
    </row>
    <row r="116" spans="11:43" ht="33.75" customHeight="1">
      <c r="K116" s="712"/>
      <c r="L116" s="502"/>
      <c r="M116" s="502"/>
      <c r="O116" s="623">
        <v>0.2</v>
      </c>
      <c r="P116" s="624">
        <v>1</v>
      </c>
      <c r="Q116" s="625">
        <v>0.7</v>
      </c>
      <c r="R116" s="619" t="s">
        <v>318</v>
      </c>
      <c r="S116" s="578" t="s">
        <v>430</v>
      </c>
      <c r="T116" s="539">
        <f t="shared" si="11"/>
        <v>232</v>
      </c>
      <c r="U116" s="539">
        <f t="shared" si="11"/>
        <v>225</v>
      </c>
      <c r="V116" s="539">
        <f t="shared" si="11"/>
        <v>218</v>
      </c>
      <c r="W116" s="539">
        <f t="shared" si="11"/>
        <v>212</v>
      </c>
      <c r="X116" s="540">
        <f t="shared" si="11"/>
        <v>206</v>
      </c>
      <c r="Y116" s="526"/>
      <c r="Z116" s="526"/>
      <c r="AA116" s="526"/>
      <c r="AB116" s="526"/>
      <c r="AC116" s="526"/>
      <c r="AD116" s="526"/>
      <c r="AE116" s="526"/>
      <c r="AF116" s="526"/>
      <c r="AG116" s="526"/>
      <c r="AH116" s="526"/>
      <c r="AI116" s="526"/>
      <c r="AJ116" s="526"/>
      <c r="AQ116" s="712"/>
    </row>
    <row r="117" spans="11:43" ht="33.75" customHeight="1" thickBot="1">
      <c r="K117" s="712"/>
      <c r="L117" s="502"/>
      <c r="M117" s="502"/>
      <c r="O117" s="626">
        <v>0.2</v>
      </c>
      <c r="P117" s="627">
        <v>1</v>
      </c>
      <c r="Q117" s="628">
        <v>0.3</v>
      </c>
      <c r="R117" s="629" t="s">
        <v>323</v>
      </c>
      <c r="S117" s="580" t="s">
        <v>433</v>
      </c>
      <c r="T117" s="543">
        <f t="shared" si="11"/>
        <v>99</v>
      </c>
      <c r="U117" s="543">
        <f t="shared" si="11"/>
        <v>96</v>
      </c>
      <c r="V117" s="543">
        <f t="shared" si="11"/>
        <v>93</v>
      </c>
      <c r="W117" s="543">
        <f t="shared" si="11"/>
        <v>91</v>
      </c>
      <c r="X117" s="544">
        <f t="shared" si="11"/>
        <v>88</v>
      </c>
      <c r="Y117" s="526"/>
      <c r="Z117" s="526"/>
      <c r="AA117" s="526"/>
      <c r="AB117" s="526"/>
      <c r="AC117" s="526"/>
      <c r="AD117" s="526"/>
      <c r="AE117" s="526"/>
      <c r="AF117" s="526"/>
      <c r="AG117" s="526"/>
      <c r="AH117" s="526"/>
      <c r="AI117" s="526"/>
      <c r="AJ117" s="526"/>
      <c r="AQ117" s="712"/>
    </row>
    <row r="118" spans="11:43" ht="22" thickBot="1">
      <c r="K118" s="712"/>
      <c r="L118" s="502"/>
      <c r="M118" s="502"/>
      <c r="O118" s="526"/>
      <c r="P118" s="526"/>
      <c r="Q118" s="526"/>
      <c r="R118" s="526"/>
      <c r="S118" s="1438" t="s">
        <v>2401</v>
      </c>
      <c r="T118" s="1439">
        <f>TB_HIV_RB_Co_tr</f>
        <v>6.7193523515805695E-2</v>
      </c>
      <c r="U118" s="1439">
        <f>TB_HIV_RB_Co_tr</f>
        <v>6.7193523515805695E-2</v>
      </c>
      <c r="V118" s="1439">
        <f>TB_HIV_RB_Co_tr</f>
        <v>6.7193523515805695E-2</v>
      </c>
      <c r="W118" s="1439">
        <f>TB_HIV_RB_Co_tr</f>
        <v>6.7193523515805695E-2</v>
      </c>
      <c r="X118" s="1439">
        <f>TB_HIV_RB_Co_tr</f>
        <v>6.7193523515805695E-2</v>
      </c>
      <c r="Y118" s="526"/>
      <c r="Z118" s="526"/>
      <c r="AA118" s="526"/>
      <c r="AB118" s="526"/>
      <c r="AC118" s="526"/>
      <c r="AD118" s="526"/>
      <c r="AE118" s="526"/>
      <c r="AF118" s="526"/>
      <c r="AG118" s="526"/>
      <c r="AH118" s="526"/>
      <c r="AI118" s="526"/>
      <c r="AJ118" s="526"/>
      <c r="AQ118" s="712"/>
    </row>
    <row r="119" spans="11:43" ht="22" thickBot="1">
      <c r="K119" s="712"/>
      <c r="L119" s="502"/>
      <c r="M119" s="502"/>
      <c r="O119" s="526"/>
      <c r="P119" s="526"/>
      <c r="Q119" s="526"/>
      <c r="R119" s="526"/>
      <c r="S119" s="1438" t="s">
        <v>2402</v>
      </c>
      <c r="T119" s="1440">
        <f>ROUND(T118*T111,0)</f>
        <v>111</v>
      </c>
      <c r="U119" s="1441">
        <f>ROUND(U118*U111,0)</f>
        <v>108</v>
      </c>
      <c r="V119" s="1441">
        <f>ROUND(V118*V111,0)</f>
        <v>105</v>
      </c>
      <c r="W119" s="1441">
        <f>ROUND(W118*W111,0)</f>
        <v>102</v>
      </c>
      <c r="X119" s="1442">
        <f>ROUND(X118*X111,0)</f>
        <v>99</v>
      </c>
      <c r="Y119" s="526"/>
      <c r="Z119" s="526"/>
      <c r="AA119" s="526"/>
      <c r="AB119" s="526"/>
      <c r="AC119" s="526"/>
      <c r="AD119" s="526"/>
      <c r="AE119" s="526"/>
      <c r="AF119" s="526"/>
      <c r="AG119" s="526"/>
      <c r="AH119" s="526"/>
      <c r="AI119" s="526"/>
      <c r="AJ119" s="526"/>
      <c r="AQ119" s="712"/>
    </row>
    <row r="120" spans="11:43" ht="22" thickBot="1">
      <c r="K120" s="712"/>
      <c r="L120" s="502"/>
      <c r="M120" s="502"/>
      <c r="N120" s="508" t="s">
        <v>355</v>
      </c>
      <c r="O120" s="526"/>
      <c r="P120" s="526"/>
      <c r="Q120" s="526"/>
      <c r="R120" s="526"/>
      <c r="S120" s="526"/>
      <c r="T120" s="571">
        <v>3</v>
      </c>
      <c r="U120" s="571">
        <v>4</v>
      </c>
      <c r="V120" s="571">
        <v>5</v>
      </c>
      <c r="W120" s="571">
        <v>6</v>
      </c>
      <c r="X120" s="571">
        <v>7</v>
      </c>
      <c r="Y120" s="526"/>
      <c r="Z120" s="526"/>
      <c r="AA120" s="526"/>
      <c r="AB120" s="526"/>
      <c r="AC120" s="526"/>
      <c r="AD120" s="526"/>
      <c r="AE120" s="526"/>
      <c r="AF120" s="526"/>
      <c r="AG120" s="526"/>
      <c r="AH120" s="526"/>
      <c r="AI120" s="526"/>
      <c r="AJ120" s="526"/>
      <c r="AQ120" s="712"/>
    </row>
    <row r="121" spans="11:43" ht="35" thickBot="1">
      <c r="K121" s="712"/>
      <c r="L121" s="502"/>
      <c r="M121" s="502"/>
      <c r="N121" s="1444" t="s">
        <v>330</v>
      </c>
      <c r="O121" s="1445" t="s">
        <v>312</v>
      </c>
      <c r="P121" s="1446" t="s">
        <v>328</v>
      </c>
      <c r="Q121" s="1446" t="s">
        <v>327</v>
      </c>
      <c r="R121" s="1446" t="s">
        <v>329</v>
      </c>
      <c r="S121" s="1446" t="s">
        <v>97</v>
      </c>
      <c r="T121" s="559">
        <v>2021</v>
      </c>
      <c r="U121" s="1047">
        <v>2022</v>
      </c>
      <c r="V121" s="1047">
        <v>2023</v>
      </c>
      <c r="W121" s="1047">
        <v>2024</v>
      </c>
      <c r="X121" s="561">
        <v>2025</v>
      </c>
      <c r="Y121" s="526"/>
      <c r="Z121" s="526"/>
      <c r="AA121" s="526"/>
      <c r="AB121" s="526"/>
      <c r="AC121" s="526"/>
      <c r="AD121" s="526"/>
      <c r="AE121" s="526"/>
      <c r="AF121" s="526"/>
      <c r="AG121" s="526"/>
      <c r="AH121" s="526"/>
      <c r="AI121" s="526"/>
      <c r="AJ121" s="526"/>
      <c r="AQ121" s="712"/>
    </row>
    <row r="122" spans="11:43" ht="21">
      <c r="K122" s="712"/>
      <c r="L122" s="502"/>
      <c r="M122" s="502"/>
      <c r="N122" s="1447" t="s">
        <v>309</v>
      </c>
      <c r="O122" s="1448" t="s">
        <v>315</v>
      </c>
      <c r="P122" s="1449">
        <v>4</v>
      </c>
      <c r="Q122" s="1449">
        <v>30</v>
      </c>
      <c r="R122" s="1449">
        <v>6</v>
      </c>
      <c r="S122" s="1449">
        <f t="shared" ref="S122:S141" si="12">P122*Q122*R122</f>
        <v>720</v>
      </c>
      <c r="T122" s="1450">
        <f t="shared" ref="T122:X131" si="13">VLOOKUP($N122,FLD_MD_civil_adult,T$120,0)*$S122</f>
        <v>333360</v>
      </c>
      <c r="U122" s="1450">
        <f t="shared" si="13"/>
        <v>323280</v>
      </c>
      <c r="V122" s="1450">
        <f t="shared" si="13"/>
        <v>313920</v>
      </c>
      <c r="W122" s="1450">
        <f t="shared" si="13"/>
        <v>304560</v>
      </c>
      <c r="X122" s="1451">
        <f t="shared" si="13"/>
        <v>296640</v>
      </c>
      <c r="Y122" s="526"/>
      <c r="Z122" s="526"/>
      <c r="AA122" s="526"/>
      <c r="AB122" s="526"/>
      <c r="AC122" s="526"/>
      <c r="AD122" s="526"/>
      <c r="AE122" s="526"/>
      <c r="AF122" s="526"/>
      <c r="AG122" s="526"/>
      <c r="AH122" s="526"/>
      <c r="AI122" s="526"/>
      <c r="AJ122" s="526"/>
      <c r="AQ122" s="712"/>
    </row>
    <row r="123" spans="11:43" ht="21">
      <c r="K123" s="712"/>
      <c r="L123" s="502"/>
      <c r="M123" s="502"/>
      <c r="N123" s="1447" t="s">
        <v>309</v>
      </c>
      <c r="O123" s="1448" t="s">
        <v>313</v>
      </c>
      <c r="P123" s="1449">
        <v>3</v>
      </c>
      <c r="Q123" s="1449">
        <v>30</v>
      </c>
      <c r="R123" s="1449">
        <v>2</v>
      </c>
      <c r="S123" s="1449">
        <f t="shared" si="12"/>
        <v>180</v>
      </c>
      <c r="T123" s="1452">
        <f t="shared" si="13"/>
        <v>83340</v>
      </c>
      <c r="U123" s="1452">
        <f t="shared" si="13"/>
        <v>80820</v>
      </c>
      <c r="V123" s="1452">
        <f t="shared" si="13"/>
        <v>78480</v>
      </c>
      <c r="W123" s="1452">
        <f t="shared" si="13"/>
        <v>76140</v>
      </c>
      <c r="X123" s="1453">
        <f t="shared" si="13"/>
        <v>74160</v>
      </c>
      <c r="Y123" s="526"/>
      <c r="Z123" s="526"/>
      <c r="AA123" s="526"/>
      <c r="AB123" s="526"/>
      <c r="AC123" s="526"/>
      <c r="AD123" s="526"/>
      <c r="AE123" s="526"/>
      <c r="AF123" s="526"/>
      <c r="AG123" s="526"/>
      <c r="AH123" s="526"/>
      <c r="AI123" s="526"/>
      <c r="AJ123" s="526"/>
      <c r="AQ123" s="712"/>
    </row>
    <row r="124" spans="11:43" ht="21">
      <c r="K124" s="712"/>
      <c r="L124" s="502"/>
      <c r="M124" s="502"/>
      <c r="N124" s="1447" t="s">
        <v>309</v>
      </c>
      <c r="O124" s="1448" t="s">
        <v>314</v>
      </c>
      <c r="P124" s="1449">
        <v>4</v>
      </c>
      <c r="Q124" s="1449">
        <v>30</v>
      </c>
      <c r="R124" s="1449">
        <v>2</v>
      </c>
      <c r="S124" s="1449">
        <f t="shared" si="12"/>
        <v>240</v>
      </c>
      <c r="T124" s="1452">
        <f t="shared" si="13"/>
        <v>111120</v>
      </c>
      <c r="U124" s="1452">
        <f t="shared" si="13"/>
        <v>107760</v>
      </c>
      <c r="V124" s="1452">
        <f t="shared" si="13"/>
        <v>104640</v>
      </c>
      <c r="W124" s="1452">
        <f t="shared" si="13"/>
        <v>101520</v>
      </c>
      <c r="X124" s="1453">
        <f t="shared" si="13"/>
        <v>98880</v>
      </c>
      <c r="Y124" s="526"/>
      <c r="Z124" s="526"/>
      <c r="AA124" s="526"/>
      <c r="AB124" s="526"/>
      <c r="AC124" s="526"/>
      <c r="AD124" s="526"/>
      <c r="AE124" s="526"/>
      <c r="AF124" s="526"/>
      <c r="AG124" s="526"/>
      <c r="AH124" s="526"/>
      <c r="AI124" s="526"/>
      <c r="AJ124" s="526"/>
      <c r="AQ124" s="712"/>
    </row>
    <row r="125" spans="11:43" ht="21">
      <c r="K125" s="712"/>
      <c r="L125" s="502"/>
      <c r="M125" s="502"/>
      <c r="N125" s="1447" t="s">
        <v>316</v>
      </c>
      <c r="O125" s="1454" t="s">
        <v>315</v>
      </c>
      <c r="P125" s="1455">
        <v>4</v>
      </c>
      <c r="Q125" s="1455">
        <v>30</v>
      </c>
      <c r="R125" s="1455">
        <v>6</v>
      </c>
      <c r="S125" s="1455">
        <f t="shared" si="12"/>
        <v>720</v>
      </c>
      <c r="T125" s="1456">
        <f t="shared" si="13"/>
        <v>143280</v>
      </c>
      <c r="U125" s="1456">
        <f t="shared" si="13"/>
        <v>138960</v>
      </c>
      <c r="V125" s="1456">
        <f t="shared" si="13"/>
        <v>134640</v>
      </c>
      <c r="W125" s="1456">
        <f t="shared" si="13"/>
        <v>130320</v>
      </c>
      <c r="X125" s="1457">
        <f t="shared" si="13"/>
        <v>126720</v>
      </c>
      <c r="Y125" s="526"/>
      <c r="Z125" s="526"/>
      <c r="AA125" s="526"/>
      <c r="AB125" s="526"/>
      <c r="AC125" s="526"/>
      <c r="AD125" s="526"/>
      <c r="AE125" s="526"/>
      <c r="AF125" s="526"/>
      <c r="AG125" s="526"/>
      <c r="AH125" s="526"/>
      <c r="AI125" s="526"/>
      <c r="AJ125" s="526"/>
      <c r="AQ125" s="712"/>
    </row>
    <row r="126" spans="11:43" ht="21">
      <c r="K126" s="712"/>
      <c r="L126" s="502"/>
      <c r="M126" s="502"/>
      <c r="N126" s="1447" t="s">
        <v>316</v>
      </c>
      <c r="O126" s="1448" t="s">
        <v>313</v>
      </c>
      <c r="P126" s="1449">
        <v>3</v>
      </c>
      <c r="Q126" s="1449">
        <v>30</v>
      </c>
      <c r="R126" s="1449">
        <v>6</v>
      </c>
      <c r="S126" s="1449">
        <f t="shared" si="12"/>
        <v>540</v>
      </c>
      <c r="T126" s="1452">
        <f t="shared" si="13"/>
        <v>107460</v>
      </c>
      <c r="U126" s="1452">
        <f t="shared" si="13"/>
        <v>104220</v>
      </c>
      <c r="V126" s="1452">
        <f t="shared" si="13"/>
        <v>100980</v>
      </c>
      <c r="W126" s="1452">
        <f t="shared" si="13"/>
        <v>97740</v>
      </c>
      <c r="X126" s="1453">
        <f t="shared" si="13"/>
        <v>95040</v>
      </c>
      <c r="Y126" s="526"/>
      <c r="Z126" s="526"/>
      <c r="AA126" s="526"/>
      <c r="AB126" s="526"/>
      <c r="AC126" s="526"/>
      <c r="AD126" s="526"/>
      <c r="AE126" s="526"/>
      <c r="AF126" s="526"/>
      <c r="AG126" s="526"/>
      <c r="AH126" s="526"/>
      <c r="AI126" s="526"/>
      <c r="AJ126" s="526"/>
      <c r="AQ126" s="712"/>
    </row>
    <row r="127" spans="11:43" ht="21">
      <c r="K127" s="712"/>
      <c r="L127" s="502"/>
      <c r="M127" s="502"/>
      <c r="N127" s="1447" t="s">
        <v>316</v>
      </c>
      <c r="O127" s="1448" t="s">
        <v>314</v>
      </c>
      <c r="P127" s="1449">
        <v>4</v>
      </c>
      <c r="Q127" s="1449">
        <v>30</v>
      </c>
      <c r="R127" s="1449">
        <v>2</v>
      </c>
      <c r="S127" s="1449">
        <f t="shared" si="12"/>
        <v>240</v>
      </c>
      <c r="T127" s="1452">
        <f t="shared" si="13"/>
        <v>47760</v>
      </c>
      <c r="U127" s="1452">
        <f t="shared" si="13"/>
        <v>46320</v>
      </c>
      <c r="V127" s="1452">
        <f t="shared" si="13"/>
        <v>44880</v>
      </c>
      <c r="W127" s="1452">
        <f t="shared" si="13"/>
        <v>43440</v>
      </c>
      <c r="X127" s="1453">
        <f t="shared" si="13"/>
        <v>42240</v>
      </c>
      <c r="Y127" s="526"/>
      <c r="Z127" s="526"/>
      <c r="AA127" s="526"/>
      <c r="AB127" s="526"/>
      <c r="AC127" s="526"/>
      <c r="AD127" s="526"/>
      <c r="AE127" s="526"/>
      <c r="AF127" s="526"/>
      <c r="AG127" s="526"/>
      <c r="AH127" s="526"/>
      <c r="AI127" s="526"/>
      <c r="AJ127" s="526"/>
      <c r="AQ127" s="712"/>
    </row>
    <row r="128" spans="11:43" ht="21">
      <c r="K128" s="712"/>
      <c r="L128" s="502"/>
      <c r="M128" s="502"/>
      <c r="N128" s="1447" t="s">
        <v>318</v>
      </c>
      <c r="O128" s="1458" t="s">
        <v>313</v>
      </c>
      <c r="P128" s="1449">
        <v>3</v>
      </c>
      <c r="Q128" s="1449">
        <v>30</v>
      </c>
      <c r="R128" s="1449">
        <v>2</v>
      </c>
      <c r="S128" s="1449">
        <f t="shared" si="12"/>
        <v>180</v>
      </c>
      <c r="T128" s="1452">
        <f t="shared" si="13"/>
        <v>41760</v>
      </c>
      <c r="U128" s="1452">
        <f t="shared" si="13"/>
        <v>40500</v>
      </c>
      <c r="V128" s="1452">
        <f t="shared" si="13"/>
        <v>39240</v>
      </c>
      <c r="W128" s="1452">
        <f t="shared" si="13"/>
        <v>38160</v>
      </c>
      <c r="X128" s="1453">
        <f t="shared" si="13"/>
        <v>37080</v>
      </c>
      <c r="Y128" s="526"/>
      <c r="Z128" s="526"/>
      <c r="AA128" s="526"/>
      <c r="AB128" s="526"/>
      <c r="AC128" s="526"/>
      <c r="AD128" s="526"/>
      <c r="AE128" s="526"/>
      <c r="AF128" s="526"/>
      <c r="AG128" s="526"/>
      <c r="AH128" s="526"/>
      <c r="AI128" s="526"/>
      <c r="AJ128" s="526"/>
      <c r="AQ128" s="712"/>
    </row>
    <row r="129" spans="1:44" ht="21">
      <c r="K129" s="712"/>
      <c r="L129" s="502"/>
      <c r="M129" s="502"/>
      <c r="N129" s="1447" t="s">
        <v>318</v>
      </c>
      <c r="O129" s="1458" t="s">
        <v>320</v>
      </c>
      <c r="P129" s="1449">
        <v>1</v>
      </c>
      <c r="Q129" s="1449">
        <v>30</v>
      </c>
      <c r="R129" s="1449">
        <v>6</v>
      </c>
      <c r="S129" s="1449">
        <f t="shared" si="12"/>
        <v>180</v>
      </c>
      <c r="T129" s="1452">
        <f t="shared" si="13"/>
        <v>41760</v>
      </c>
      <c r="U129" s="1452">
        <f t="shared" si="13"/>
        <v>40500</v>
      </c>
      <c r="V129" s="1452">
        <f t="shared" si="13"/>
        <v>39240</v>
      </c>
      <c r="W129" s="1452">
        <f t="shared" si="13"/>
        <v>38160</v>
      </c>
      <c r="X129" s="1453">
        <f t="shared" si="13"/>
        <v>37080</v>
      </c>
      <c r="Y129" s="526"/>
      <c r="Z129" s="526"/>
      <c r="AA129" s="526"/>
      <c r="AB129" s="526"/>
      <c r="AC129" s="526"/>
      <c r="AD129" s="526"/>
      <c r="AE129" s="526"/>
      <c r="AF129" s="526"/>
      <c r="AG129" s="526"/>
      <c r="AH129" s="526"/>
      <c r="AI129" s="526"/>
      <c r="AJ129" s="526"/>
      <c r="AQ129" s="712"/>
    </row>
    <row r="130" spans="1:44" ht="21">
      <c r="K130" s="712"/>
      <c r="L130" s="502"/>
      <c r="M130" s="502"/>
      <c r="N130" s="1447" t="s">
        <v>318</v>
      </c>
      <c r="O130" s="1458" t="s">
        <v>314</v>
      </c>
      <c r="P130" s="1449">
        <v>4</v>
      </c>
      <c r="Q130" s="1449">
        <v>30</v>
      </c>
      <c r="R130" s="1449">
        <v>2</v>
      </c>
      <c r="S130" s="1449">
        <f t="shared" si="12"/>
        <v>240</v>
      </c>
      <c r="T130" s="1452">
        <f t="shared" si="13"/>
        <v>55680</v>
      </c>
      <c r="U130" s="1452">
        <f t="shared" si="13"/>
        <v>54000</v>
      </c>
      <c r="V130" s="1452">
        <f t="shared" si="13"/>
        <v>52320</v>
      </c>
      <c r="W130" s="1452">
        <f t="shared" si="13"/>
        <v>50880</v>
      </c>
      <c r="X130" s="1453">
        <f t="shared" si="13"/>
        <v>49440</v>
      </c>
      <c r="Y130" s="526"/>
      <c r="Z130" s="526"/>
      <c r="AA130" s="526"/>
      <c r="AB130" s="526"/>
      <c r="AC130" s="526"/>
      <c r="AD130" s="526"/>
      <c r="AE130" s="526"/>
      <c r="AF130" s="526"/>
      <c r="AG130" s="526"/>
      <c r="AH130" s="526"/>
      <c r="AI130" s="526"/>
      <c r="AJ130" s="526"/>
      <c r="AQ130" s="712"/>
    </row>
    <row r="131" spans="1:44" ht="21">
      <c r="K131" s="712"/>
      <c r="L131" s="502"/>
      <c r="M131" s="502"/>
      <c r="N131" s="1447" t="s">
        <v>318</v>
      </c>
      <c r="O131" s="1458" t="s">
        <v>319</v>
      </c>
      <c r="P131" s="1449">
        <v>2</v>
      </c>
      <c r="Q131" s="1449">
        <v>30</v>
      </c>
      <c r="R131" s="1449">
        <v>6</v>
      </c>
      <c r="S131" s="1449">
        <f t="shared" si="12"/>
        <v>360</v>
      </c>
      <c r="T131" s="1452">
        <f t="shared" si="13"/>
        <v>83520</v>
      </c>
      <c r="U131" s="1452">
        <f t="shared" si="13"/>
        <v>81000</v>
      </c>
      <c r="V131" s="1452">
        <f t="shared" si="13"/>
        <v>78480</v>
      </c>
      <c r="W131" s="1452">
        <f t="shared" si="13"/>
        <v>76320</v>
      </c>
      <c r="X131" s="1453">
        <f t="shared" si="13"/>
        <v>74160</v>
      </c>
      <c r="Y131" s="526"/>
      <c r="Z131" s="526"/>
      <c r="AA131" s="526"/>
      <c r="AB131" s="526"/>
      <c r="AC131" s="526"/>
      <c r="AD131" s="526"/>
      <c r="AE131" s="526"/>
      <c r="AF131" s="526"/>
      <c r="AG131" s="526"/>
      <c r="AH131" s="526"/>
      <c r="AI131" s="526"/>
      <c r="AJ131" s="526"/>
      <c r="AQ131" s="712"/>
    </row>
    <row r="132" spans="1:44" ht="21">
      <c r="K132" s="712"/>
      <c r="L132" s="502"/>
      <c r="M132" s="502"/>
      <c r="N132" s="1459" t="s">
        <v>323</v>
      </c>
      <c r="O132" s="1458" t="s">
        <v>313</v>
      </c>
      <c r="P132" s="1449">
        <v>3</v>
      </c>
      <c r="Q132" s="1449">
        <v>30</v>
      </c>
      <c r="R132" s="1460">
        <v>6</v>
      </c>
      <c r="S132" s="1449">
        <f t="shared" si="12"/>
        <v>540</v>
      </c>
      <c r="T132" s="1452">
        <f t="shared" ref="T132:X140" si="14">VLOOKUP($N132,FLD_MD_civil_adult,T$120,0)*$S132</f>
        <v>53460</v>
      </c>
      <c r="U132" s="1452">
        <f t="shared" si="14"/>
        <v>51840</v>
      </c>
      <c r="V132" s="1452">
        <f t="shared" si="14"/>
        <v>50220</v>
      </c>
      <c r="W132" s="1452">
        <f t="shared" si="14"/>
        <v>49140</v>
      </c>
      <c r="X132" s="1453">
        <f t="shared" si="14"/>
        <v>47520</v>
      </c>
      <c r="Y132" s="526"/>
      <c r="Z132" s="526"/>
      <c r="AA132" s="526"/>
      <c r="AB132" s="526"/>
      <c r="AC132" s="526"/>
      <c r="AD132" s="526"/>
      <c r="AE132" s="526"/>
      <c r="AF132" s="526"/>
      <c r="AG132" s="526"/>
      <c r="AH132" s="526"/>
      <c r="AI132" s="526"/>
      <c r="AJ132" s="526"/>
      <c r="AQ132" s="712"/>
    </row>
    <row r="133" spans="1:44" ht="21">
      <c r="K133" s="712"/>
      <c r="L133" s="502"/>
      <c r="M133" s="502"/>
      <c r="N133" s="1459" t="s">
        <v>323</v>
      </c>
      <c r="O133" s="1458" t="s">
        <v>320</v>
      </c>
      <c r="P133" s="1449">
        <v>1</v>
      </c>
      <c r="Q133" s="1449">
        <v>30</v>
      </c>
      <c r="R133" s="1460">
        <v>6</v>
      </c>
      <c r="S133" s="1449">
        <f t="shared" si="12"/>
        <v>180</v>
      </c>
      <c r="T133" s="1452">
        <f t="shared" si="14"/>
        <v>17820</v>
      </c>
      <c r="U133" s="1452">
        <f t="shared" si="14"/>
        <v>17280</v>
      </c>
      <c r="V133" s="1452">
        <f t="shared" si="14"/>
        <v>16740</v>
      </c>
      <c r="W133" s="1452">
        <f t="shared" si="14"/>
        <v>16380</v>
      </c>
      <c r="X133" s="1453">
        <f t="shared" si="14"/>
        <v>15840</v>
      </c>
      <c r="Y133" s="526"/>
      <c r="Z133" s="526"/>
      <c r="AA133" s="526"/>
      <c r="AB133" s="526"/>
      <c r="AC133" s="526"/>
      <c r="AD133" s="526"/>
      <c r="AE133" s="526"/>
      <c r="AF133" s="526"/>
      <c r="AG133" s="526"/>
      <c r="AH133" s="526"/>
      <c r="AI133" s="526"/>
      <c r="AJ133" s="526"/>
      <c r="AQ133" s="712"/>
    </row>
    <row r="134" spans="1:44" ht="21">
      <c r="K134" s="712"/>
      <c r="L134" s="502"/>
      <c r="M134" s="502"/>
      <c r="N134" s="1459" t="s">
        <v>323</v>
      </c>
      <c r="O134" s="1458" t="s">
        <v>314</v>
      </c>
      <c r="P134" s="1449">
        <v>4</v>
      </c>
      <c r="Q134" s="1449">
        <v>30</v>
      </c>
      <c r="R134" s="1460">
        <v>2</v>
      </c>
      <c r="S134" s="1449">
        <f t="shared" si="12"/>
        <v>240</v>
      </c>
      <c r="T134" s="1452">
        <f t="shared" si="14"/>
        <v>23760</v>
      </c>
      <c r="U134" s="1452">
        <f t="shared" si="14"/>
        <v>23040</v>
      </c>
      <c r="V134" s="1452">
        <f t="shared" si="14"/>
        <v>22320</v>
      </c>
      <c r="W134" s="1452">
        <f t="shared" si="14"/>
        <v>21840</v>
      </c>
      <c r="X134" s="1453">
        <f t="shared" si="14"/>
        <v>21120</v>
      </c>
      <c r="Y134" s="526"/>
      <c r="Z134" s="526"/>
      <c r="AA134" s="526"/>
      <c r="AB134" s="526"/>
      <c r="AC134" s="526"/>
      <c r="AD134" s="526"/>
      <c r="AE134" s="526"/>
      <c r="AF134" s="526"/>
      <c r="AG134" s="526"/>
      <c r="AH134" s="526"/>
      <c r="AI134" s="526"/>
      <c r="AJ134" s="526"/>
      <c r="AQ134" s="712"/>
    </row>
    <row r="135" spans="1:44" ht="21">
      <c r="K135" s="712"/>
      <c r="L135" s="502"/>
      <c r="M135" s="502"/>
      <c r="N135" s="1459" t="s">
        <v>323</v>
      </c>
      <c r="O135" s="1458" t="s">
        <v>319</v>
      </c>
      <c r="P135" s="1449">
        <v>2</v>
      </c>
      <c r="Q135" s="1449">
        <v>30</v>
      </c>
      <c r="R135" s="1460">
        <v>6</v>
      </c>
      <c r="S135" s="1449">
        <f t="shared" si="12"/>
        <v>360</v>
      </c>
      <c r="T135" s="1452">
        <f t="shared" si="14"/>
        <v>35640</v>
      </c>
      <c r="U135" s="1452">
        <f t="shared" si="14"/>
        <v>34560</v>
      </c>
      <c r="V135" s="1452">
        <f t="shared" si="14"/>
        <v>33480</v>
      </c>
      <c r="W135" s="1452">
        <f t="shared" si="14"/>
        <v>32760</v>
      </c>
      <c r="X135" s="1453">
        <f t="shared" si="14"/>
        <v>31680</v>
      </c>
      <c r="Y135" s="526"/>
      <c r="Z135" s="526"/>
      <c r="AA135" s="526"/>
      <c r="AB135" s="526"/>
      <c r="AC135" s="526"/>
      <c r="AD135" s="526"/>
      <c r="AE135" s="526"/>
      <c r="AF135" s="526"/>
      <c r="AG135" s="526"/>
      <c r="AH135" s="526"/>
      <c r="AI135" s="526"/>
      <c r="AJ135" s="526"/>
      <c r="AQ135" s="712"/>
    </row>
    <row r="136" spans="1:44" ht="21">
      <c r="K136" s="712"/>
      <c r="L136" s="502"/>
      <c r="M136" s="502"/>
      <c r="N136" s="1459" t="s">
        <v>324</v>
      </c>
      <c r="O136" s="1458" t="s">
        <v>315</v>
      </c>
      <c r="P136" s="1449">
        <v>4</v>
      </c>
      <c r="Q136" s="1449">
        <v>30</v>
      </c>
      <c r="R136" s="1461">
        <v>4</v>
      </c>
      <c r="S136" s="1449">
        <f t="shared" si="12"/>
        <v>480</v>
      </c>
      <c r="T136" s="1452">
        <f t="shared" si="14"/>
        <v>222720</v>
      </c>
      <c r="U136" s="1452">
        <f t="shared" si="14"/>
        <v>215520</v>
      </c>
      <c r="V136" s="1452">
        <f t="shared" si="14"/>
        <v>209280</v>
      </c>
      <c r="W136" s="1452">
        <f t="shared" si="14"/>
        <v>203040</v>
      </c>
      <c r="X136" s="1453">
        <f t="shared" si="14"/>
        <v>197280</v>
      </c>
      <c r="Y136" s="526"/>
      <c r="Z136" s="526"/>
      <c r="AA136" s="526"/>
      <c r="AB136" s="526"/>
      <c r="AC136" s="526"/>
      <c r="AD136" s="526"/>
      <c r="AE136" s="526"/>
      <c r="AF136" s="526"/>
      <c r="AG136" s="526"/>
      <c r="AH136" s="526"/>
      <c r="AI136" s="526"/>
      <c r="AJ136" s="526"/>
      <c r="AQ136" s="712"/>
    </row>
    <row r="137" spans="1:44" ht="34">
      <c r="K137" s="712"/>
      <c r="L137" s="502"/>
      <c r="M137" s="502"/>
      <c r="N137" s="1459" t="s">
        <v>324</v>
      </c>
      <c r="O137" s="1458" t="s">
        <v>325</v>
      </c>
      <c r="P137" s="1449">
        <v>4</v>
      </c>
      <c r="Q137" s="1449">
        <v>30</v>
      </c>
      <c r="R137" s="1461">
        <v>2</v>
      </c>
      <c r="S137" s="1449">
        <f t="shared" si="12"/>
        <v>240</v>
      </c>
      <c r="T137" s="1452">
        <f t="shared" si="14"/>
        <v>111360</v>
      </c>
      <c r="U137" s="1452">
        <f t="shared" si="14"/>
        <v>107760</v>
      </c>
      <c r="V137" s="1452">
        <f t="shared" si="14"/>
        <v>104640</v>
      </c>
      <c r="W137" s="1452">
        <f t="shared" si="14"/>
        <v>101520</v>
      </c>
      <c r="X137" s="1453">
        <f t="shared" si="14"/>
        <v>98640</v>
      </c>
      <c r="Y137" s="526"/>
      <c r="Z137" s="526"/>
      <c r="AA137" s="526"/>
      <c r="AB137" s="526"/>
      <c r="AC137" s="526"/>
      <c r="AD137" s="526"/>
      <c r="AE137" s="526"/>
      <c r="AF137" s="526"/>
      <c r="AG137" s="526"/>
      <c r="AH137" s="526"/>
      <c r="AI137" s="526"/>
      <c r="AJ137" s="526"/>
      <c r="AQ137" s="712"/>
    </row>
    <row r="138" spans="1:44" ht="21">
      <c r="K138" s="712"/>
      <c r="L138" s="502"/>
      <c r="M138" s="502"/>
      <c r="N138" s="1459" t="s">
        <v>326</v>
      </c>
      <c r="O138" s="1458" t="s">
        <v>315</v>
      </c>
      <c r="P138" s="1449">
        <v>4</v>
      </c>
      <c r="Q138" s="1449">
        <v>30</v>
      </c>
      <c r="R138" s="1461">
        <v>4</v>
      </c>
      <c r="S138" s="1449">
        <f t="shared" si="12"/>
        <v>480</v>
      </c>
      <c r="T138" s="1452">
        <f t="shared" si="14"/>
        <v>95520</v>
      </c>
      <c r="U138" s="1452">
        <f t="shared" si="14"/>
        <v>92640</v>
      </c>
      <c r="V138" s="1452">
        <f t="shared" si="14"/>
        <v>89760</v>
      </c>
      <c r="W138" s="1452">
        <f t="shared" si="14"/>
        <v>86880</v>
      </c>
      <c r="X138" s="1453">
        <f t="shared" si="14"/>
        <v>84480</v>
      </c>
      <c r="Y138" s="526"/>
      <c r="Z138" s="526"/>
      <c r="AA138" s="526"/>
      <c r="AB138" s="526"/>
      <c r="AC138" s="526"/>
      <c r="AD138" s="526"/>
      <c r="AE138" s="526"/>
      <c r="AF138" s="526"/>
      <c r="AG138" s="526"/>
      <c r="AH138" s="526"/>
      <c r="AI138" s="526"/>
      <c r="AJ138" s="526"/>
      <c r="AQ138" s="712"/>
    </row>
    <row r="139" spans="1:44" ht="34">
      <c r="K139" s="712"/>
      <c r="L139" s="502"/>
      <c r="M139" s="502"/>
      <c r="N139" s="1459" t="s">
        <v>326</v>
      </c>
      <c r="O139" s="1458" t="s">
        <v>325</v>
      </c>
      <c r="P139" s="1449">
        <v>4</v>
      </c>
      <c r="Q139" s="1449">
        <v>30</v>
      </c>
      <c r="R139" s="1461">
        <v>2</v>
      </c>
      <c r="S139" s="1449">
        <f t="shared" si="12"/>
        <v>240</v>
      </c>
      <c r="T139" s="1452">
        <f t="shared" si="14"/>
        <v>47760</v>
      </c>
      <c r="U139" s="1452">
        <f t="shared" si="14"/>
        <v>46320</v>
      </c>
      <c r="V139" s="1452">
        <f t="shared" si="14"/>
        <v>44880</v>
      </c>
      <c r="W139" s="1452">
        <f t="shared" si="14"/>
        <v>43440</v>
      </c>
      <c r="X139" s="1453">
        <f t="shared" si="14"/>
        <v>42240</v>
      </c>
      <c r="Y139" s="526"/>
      <c r="Z139" s="526"/>
      <c r="AA139" s="526"/>
      <c r="AB139" s="526"/>
      <c r="AC139" s="526"/>
      <c r="AD139" s="526"/>
      <c r="AE139" s="526"/>
      <c r="AF139" s="526"/>
      <c r="AG139" s="526"/>
      <c r="AH139" s="526"/>
      <c r="AI139" s="526"/>
      <c r="AJ139" s="526"/>
      <c r="AQ139" s="712"/>
    </row>
    <row r="140" spans="1:44" ht="22" thickBot="1">
      <c r="K140" s="712"/>
      <c r="L140" s="502"/>
      <c r="M140" s="502"/>
      <c r="N140" s="1462" t="s">
        <v>326</v>
      </c>
      <c r="O140" s="1463" t="s">
        <v>313</v>
      </c>
      <c r="P140" s="1464">
        <v>3</v>
      </c>
      <c r="Q140" s="1464">
        <v>30</v>
      </c>
      <c r="R140" s="1465">
        <v>4</v>
      </c>
      <c r="S140" s="1464">
        <f t="shared" si="12"/>
        <v>360</v>
      </c>
      <c r="T140" s="1466">
        <f t="shared" si="14"/>
        <v>71640</v>
      </c>
      <c r="U140" s="1466">
        <f t="shared" si="14"/>
        <v>69480</v>
      </c>
      <c r="V140" s="1466">
        <f t="shared" si="14"/>
        <v>67320</v>
      </c>
      <c r="W140" s="1466">
        <f t="shared" si="14"/>
        <v>65160</v>
      </c>
      <c r="X140" s="1467">
        <f t="shared" si="14"/>
        <v>63360</v>
      </c>
      <c r="Y140" s="526"/>
      <c r="Z140" s="526"/>
      <c r="AA140" s="526"/>
      <c r="AB140" s="526"/>
      <c r="AC140" s="526"/>
      <c r="AD140" s="526"/>
      <c r="AE140" s="526"/>
      <c r="AF140" s="526"/>
      <c r="AG140" s="526"/>
      <c r="AH140" s="526"/>
      <c r="AI140" s="526"/>
      <c r="AJ140" s="526"/>
      <c r="AQ140" s="712"/>
    </row>
    <row r="141" spans="1:44" ht="22" thickBot="1">
      <c r="K141" s="712"/>
      <c r="L141" s="502"/>
      <c r="M141" s="502"/>
      <c r="N141" s="1438" t="s">
        <v>2402</v>
      </c>
      <c r="O141" s="1443" t="s">
        <v>2403</v>
      </c>
      <c r="P141" s="1387">
        <v>2</v>
      </c>
      <c r="Q141" s="1387">
        <v>30</v>
      </c>
      <c r="R141" s="1387">
        <v>6</v>
      </c>
      <c r="S141" s="1387">
        <f t="shared" si="12"/>
        <v>360</v>
      </c>
      <c r="T141" s="582">
        <f>T119*$S141</f>
        <v>39960</v>
      </c>
      <c r="U141" s="582">
        <f>U119*$S141</f>
        <v>38880</v>
      </c>
      <c r="V141" s="582">
        <f>V119*$S141</f>
        <v>37800</v>
      </c>
      <c r="W141" s="582">
        <f>W119*$S141</f>
        <v>36720</v>
      </c>
      <c r="X141" s="582">
        <f>X119*$S141</f>
        <v>35640</v>
      </c>
      <c r="Y141" s="526"/>
      <c r="Z141" s="526"/>
      <c r="AA141" s="526"/>
      <c r="AB141" s="526"/>
      <c r="AC141" s="526"/>
      <c r="AD141" s="526"/>
      <c r="AE141" s="526"/>
      <c r="AF141" s="526"/>
      <c r="AG141" s="526"/>
      <c r="AH141" s="526"/>
      <c r="AI141" s="526"/>
      <c r="AJ141" s="526"/>
      <c r="AQ141" s="712"/>
    </row>
    <row r="142" spans="1:44" ht="22" thickBot="1">
      <c r="K142" s="712"/>
      <c r="L142" s="502"/>
      <c r="M142" s="502"/>
      <c r="O142" s="1443"/>
      <c r="P142" s="526"/>
      <c r="Q142" s="526"/>
      <c r="R142" s="526"/>
      <c r="S142" s="526"/>
      <c r="T142" s="526"/>
      <c r="U142" s="526"/>
      <c r="V142" s="526"/>
      <c r="W142" s="526"/>
      <c r="X142" s="526"/>
      <c r="Y142" s="526"/>
      <c r="Z142" s="526"/>
      <c r="AA142" s="526"/>
      <c r="AB142" s="526"/>
      <c r="AC142" s="526"/>
      <c r="AD142" s="526"/>
      <c r="AE142" s="526"/>
      <c r="AF142" s="526"/>
      <c r="AG142" s="526"/>
      <c r="AH142" s="526"/>
      <c r="AI142" s="526"/>
      <c r="AJ142" s="526"/>
      <c r="AQ142" s="712"/>
    </row>
    <row r="143" spans="1:44" ht="22" thickBot="1">
      <c r="A143" s="730">
        <v>11</v>
      </c>
      <c r="B143" s="733">
        <f>T143</f>
        <v>19980</v>
      </c>
      <c r="C143" s="733">
        <f>U143</f>
        <v>19440</v>
      </c>
      <c r="D143" s="733">
        <f>V143</f>
        <v>18900</v>
      </c>
      <c r="E143" s="733">
        <f>W143</f>
        <v>18360</v>
      </c>
      <c r="F143" s="733">
        <f>X143</f>
        <v>17820</v>
      </c>
      <c r="G143" s="733" t="s">
        <v>349</v>
      </c>
      <c r="H143" s="733" t="s">
        <v>2405</v>
      </c>
      <c r="I143" s="841"/>
      <c r="J143" s="841" t="s">
        <v>2950</v>
      </c>
      <c r="K143" s="712"/>
      <c r="L143" s="502"/>
      <c r="M143" s="502"/>
      <c r="O143" s="1443" t="s">
        <v>2403</v>
      </c>
      <c r="P143" s="526"/>
      <c r="Q143" s="526"/>
      <c r="R143" s="526"/>
      <c r="S143" s="591">
        <f>VLOOKUP(O143,Preturi_medicamente!D:F,3,0)</f>
        <v>0.5</v>
      </c>
      <c r="T143" s="1738">
        <f>ROUND(T141*$S143,2)</f>
        <v>19980</v>
      </c>
      <c r="U143" s="1736">
        <f>ROUND(U141*$S143,2)</f>
        <v>19440</v>
      </c>
      <c r="V143" s="1736">
        <f>ROUND(V141*$S143,2)</f>
        <v>18900</v>
      </c>
      <c r="W143" s="1736">
        <f>ROUND(W141*$S143,2)</f>
        <v>18360</v>
      </c>
      <c r="X143" s="1737">
        <f>ROUND(X141*$S143,2)</f>
        <v>17820</v>
      </c>
      <c r="Y143" s="526"/>
      <c r="Z143" s="526"/>
      <c r="AA143" s="526"/>
      <c r="AB143" s="526"/>
      <c r="AC143" s="526"/>
      <c r="AD143" s="526"/>
      <c r="AE143" s="526"/>
      <c r="AF143" s="526"/>
      <c r="AG143" s="526"/>
      <c r="AH143" s="526"/>
      <c r="AI143" s="526"/>
      <c r="AJ143" s="526"/>
      <c r="AQ143" s="712"/>
      <c r="AR143" s="1487">
        <f>SUM(T143:X143)</f>
        <v>94500</v>
      </c>
    </row>
    <row r="144" spans="1:44" ht="21">
      <c r="K144" s="712"/>
      <c r="L144" s="502"/>
      <c r="M144" s="502"/>
      <c r="O144" s="526"/>
      <c r="P144" s="526"/>
      <c r="Q144" s="526"/>
      <c r="R144" s="526"/>
      <c r="S144" s="526"/>
      <c r="T144" s="526"/>
      <c r="U144" s="526"/>
      <c r="V144" s="526"/>
      <c r="W144" s="526"/>
      <c r="X144" s="526"/>
      <c r="Y144" s="526"/>
      <c r="Z144" s="526"/>
      <c r="AA144" s="526"/>
      <c r="AB144" s="526"/>
      <c r="AC144" s="526"/>
      <c r="AD144" s="526"/>
      <c r="AE144" s="526"/>
      <c r="AF144" s="526"/>
      <c r="AG144" s="526"/>
      <c r="AH144" s="526"/>
      <c r="AI144" s="526"/>
      <c r="AJ144" s="526"/>
      <c r="AQ144" s="712"/>
    </row>
    <row r="145" spans="11:43" ht="21">
      <c r="K145" s="712"/>
      <c r="L145" s="502"/>
      <c r="M145" s="502"/>
      <c r="O145" s="526"/>
      <c r="P145" s="526"/>
      <c r="Q145" s="526"/>
      <c r="R145" s="526"/>
      <c r="S145" s="526"/>
      <c r="T145" s="526"/>
      <c r="U145" s="526"/>
      <c r="V145" s="526"/>
      <c r="W145" s="526"/>
      <c r="X145" s="526"/>
      <c r="Y145" s="526"/>
      <c r="Z145" s="526"/>
      <c r="AA145" s="526"/>
      <c r="AB145" s="526"/>
      <c r="AC145" s="526"/>
      <c r="AD145" s="526"/>
      <c r="AE145" s="526"/>
      <c r="AF145" s="526"/>
      <c r="AG145" s="526"/>
      <c r="AH145" s="526"/>
      <c r="AI145" s="526"/>
      <c r="AJ145" s="526"/>
      <c r="AQ145" s="712"/>
    </row>
    <row r="146" spans="11:43" ht="22" thickBot="1">
      <c r="K146" s="712"/>
      <c r="L146" s="502"/>
      <c r="M146" s="502"/>
      <c r="O146" s="526"/>
      <c r="P146" s="526"/>
      <c r="Q146" s="526"/>
      <c r="R146" s="526"/>
      <c r="S146" s="526"/>
      <c r="T146" s="526"/>
      <c r="U146" s="526"/>
      <c r="V146" s="526"/>
      <c r="W146" s="526"/>
      <c r="X146" s="526"/>
      <c r="Y146" s="526"/>
      <c r="Z146" s="526"/>
      <c r="AA146" s="526"/>
      <c r="AB146" s="526"/>
      <c r="AC146" s="526"/>
      <c r="AD146" s="526"/>
      <c r="AE146" s="526"/>
      <c r="AF146" s="526"/>
      <c r="AG146" s="526"/>
      <c r="AH146" s="526"/>
      <c r="AI146" s="526"/>
      <c r="AJ146" s="526"/>
      <c r="AQ146" s="712"/>
    </row>
    <row r="147" spans="11:43" ht="22" thickBot="1">
      <c r="K147" s="712"/>
      <c r="L147" s="502"/>
      <c r="M147" s="502"/>
      <c r="N147" s="508" t="s">
        <v>335</v>
      </c>
      <c r="O147" s="526"/>
      <c r="P147" s="526"/>
      <c r="Q147" s="526"/>
      <c r="R147" s="526"/>
      <c r="S147" s="526"/>
      <c r="T147" s="530" t="s">
        <v>333</v>
      </c>
      <c r="U147" s="528"/>
      <c r="V147" s="528"/>
      <c r="W147" s="528"/>
      <c r="X147" s="529"/>
      <c r="Y147" s="526"/>
      <c r="Z147" s="526"/>
      <c r="AA147" s="526"/>
      <c r="AB147" s="526"/>
      <c r="AC147" s="526"/>
      <c r="AD147" s="526"/>
      <c r="AE147" s="526"/>
      <c r="AF147" s="526"/>
      <c r="AG147" s="526"/>
      <c r="AH147" s="526"/>
      <c r="AI147" s="526"/>
      <c r="AJ147" s="526"/>
      <c r="AQ147" s="712"/>
    </row>
    <row r="148" spans="11:43" ht="22" thickBot="1">
      <c r="K148" s="712"/>
      <c r="L148" s="502"/>
      <c r="M148" s="502"/>
      <c r="O148" s="526"/>
      <c r="P148" s="526"/>
      <c r="Q148" s="526"/>
      <c r="R148" s="526"/>
      <c r="S148" s="526"/>
      <c r="T148" s="584">
        <v>2021</v>
      </c>
      <c r="U148" s="585">
        <v>2022</v>
      </c>
      <c r="V148" s="585">
        <v>2023</v>
      </c>
      <c r="W148" s="585">
        <v>2024</v>
      </c>
      <c r="X148" s="586">
        <v>2025</v>
      </c>
      <c r="Y148" s="526"/>
      <c r="Z148" s="526"/>
      <c r="AA148" s="526"/>
      <c r="AB148" s="526"/>
      <c r="AC148" s="526"/>
      <c r="AD148" s="526"/>
      <c r="AE148" s="526"/>
      <c r="AF148" s="526"/>
      <c r="AG148" s="526"/>
      <c r="AH148" s="526"/>
      <c r="AI148" s="526"/>
      <c r="AJ148" s="526"/>
      <c r="AQ148" s="712"/>
    </row>
    <row r="149" spans="11:43" ht="21">
      <c r="K149" s="712"/>
      <c r="L149" s="502"/>
      <c r="M149" s="502"/>
      <c r="O149" s="530" t="s">
        <v>315</v>
      </c>
      <c r="P149" s="528"/>
      <c r="Q149" s="528"/>
      <c r="R149" s="528"/>
      <c r="S149" s="528"/>
      <c r="T149" s="592">
        <f t="shared" ref="T149:X155" si="15">SUMIF($O$122:$O$140,$O149,T$122:T$140)</f>
        <v>794880</v>
      </c>
      <c r="U149" s="593">
        <f t="shared" si="15"/>
        <v>770400</v>
      </c>
      <c r="V149" s="593">
        <f t="shared" si="15"/>
        <v>747600</v>
      </c>
      <c r="W149" s="593">
        <f t="shared" si="15"/>
        <v>724800</v>
      </c>
      <c r="X149" s="594">
        <f t="shared" si="15"/>
        <v>705120</v>
      </c>
      <c r="Y149" s="526"/>
      <c r="Z149" s="526"/>
      <c r="AA149" s="526"/>
      <c r="AB149" s="526"/>
      <c r="AC149" s="526"/>
      <c r="AD149" s="526"/>
      <c r="AE149" s="526"/>
      <c r="AF149" s="526"/>
      <c r="AG149" s="526"/>
      <c r="AH149" s="526"/>
      <c r="AI149" s="526"/>
      <c r="AJ149" s="526"/>
      <c r="AQ149" s="712"/>
    </row>
    <row r="150" spans="11:43" ht="21">
      <c r="K150" s="712"/>
      <c r="L150" s="502"/>
      <c r="M150" s="502"/>
      <c r="O150" s="574" t="s">
        <v>325</v>
      </c>
      <c r="P150" s="591"/>
      <c r="Q150" s="591"/>
      <c r="R150" s="591"/>
      <c r="S150" s="591"/>
      <c r="T150" s="592">
        <f t="shared" si="15"/>
        <v>159120</v>
      </c>
      <c r="U150" s="593">
        <f t="shared" si="15"/>
        <v>154080</v>
      </c>
      <c r="V150" s="593">
        <f t="shared" si="15"/>
        <v>149520</v>
      </c>
      <c r="W150" s="593">
        <f t="shared" si="15"/>
        <v>144960</v>
      </c>
      <c r="X150" s="594">
        <f t="shared" si="15"/>
        <v>140880</v>
      </c>
      <c r="Y150" s="526"/>
      <c r="Z150" s="526"/>
      <c r="AA150" s="526"/>
      <c r="AB150" s="526"/>
      <c r="AC150" s="526"/>
      <c r="AD150" s="526"/>
      <c r="AE150" s="526"/>
      <c r="AF150" s="526"/>
      <c r="AG150" s="526"/>
      <c r="AH150" s="526"/>
      <c r="AI150" s="526"/>
      <c r="AJ150" s="526"/>
      <c r="AQ150" s="712"/>
    </row>
    <row r="151" spans="11:43" ht="21">
      <c r="K151" s="712"/>
      <c r="L151" s="502"/>
      <c r="M151" s="502"/>
      <c r="O151" s="574" t="s">
        <v>313</v>
      </c>
      <c r="P151" s="591"/>
      <c r="Q151" s="591"/>
      <c r="R151" s="591"/>
      <c r="S151" s="591"/>
      <c r="T151" s="592">
        <f t="shared" si="15"/>
        <v>357660</v>
      </c>
      <c r="U151" s="593">
        <f t="shared" si="15"/>
        <v>346860</v>
      </c>
      <c r="V151" s="593">
        <f t="shared" si="15"/>
        <v>336240</v>
      </c>
      <c r="W151" s="593">
        <f t="shared" si="15"/>
        <v>326340</v>
      </c>
      <c r="X151" s="594">
        <f t="shared" si="15"/>
        <v>317160</v>
      </c>
      <c r="Y151" s="526"/>
      <c r="Z151" s="526"/>
      <c r="AA151" s="526"/>
      <c r="AB151" s="526"/>
      <c r="AC151" s="526"/>
      <c r="AD151" s="526"/>
      <c r="AE151" s="526"/>
      <c r="AF151" s="526"/>
      <c r="AG151" s="526"/>
      <c r="AH151" s="526"/>
      <c r="AI151" s="526"/>
      <c r="AJ151" s="526"/>
      <c r="AQ151" s="712"/>
    </row>
    <row r="152" spans="11:43" ht="21">
      <c r="K152" s="712"/>
      <c r="L152" s="502"/>
      <c r="M152" s="502"/>
      <c r="O152" s="574" t="s">
        <v>320</v>
      </c>
      <c r="P152" s="591"/>
      <c r="Q152" s="591"/>
      <c r="R152" s="591"/>
      <c r="S152" s="591"/>
      <c r="T152" s="592">
        <f t="shared" si="15"/>
        <v>59580</v>
      </c>
      <c r="U152" s="593">
        <f t="shared" si="15"/>
        <v>57780</v>
      </c>
      <c r="V152" s="593">
        <f t="shared" si="15"/>
        <v>55980</v>
      </c>
      <c r="W152" s="593">
        <f t="shared" si="15"/>
        <v>54540</v>
      </c>
      <c r="X152" s="594">
        <f t="shared" si="15"/>
        <v>52920</v>
      </c>
      <c r="Y152" s="526"/>
      <c r="Z152" s="526"/>
      <c r="AA152" s="526"/>
      <c r="AB152" s="526"/>
      <c r="AC152" s="526"/>
      <c r="AD152" s="526"/>
      <c r="AE152" s="526"/>
      <c r="AF152" s="526"/>
      <c r="AG152" s="526"/>
      <c r="AH152" s="526"/>
      <c r="AI152" s="526"/>
      <c r="AJ152" s="526"/>
      <c r="AQ152" s="712"/>
    </row>
    <row r="153" spans="11:43" ht="21">
      <c r="K153" s="712"/>
      <c r="L153" s="502"/>
      <c r="M153" s="502"/>
      <c r="O153" s="574" t="s">
        <v>321</v>
      </c>
      <c r="P153" s="591"/>
      <c r="Q153" s="591"/>
      <c r="R153" s="591"/>
      <c r="S153" s="591"/>
      <c r="T153" s="592">
        <f t="shared" si="15"/>
        <v>0</v>
      </c>
      <c r="U153" s="593">
        <f t="shared" si="15"/>
        <v>0</v>
      </c>
      <c r="V153" s="593">
        <f t="shared" si="15"/>
        <v>0</v>
      </c>
      <c r="W153" s="593">
        <f t="shared" si="15"/>
        <v>0</v>
      </c>
      <c r="X153" s="594">
        <f t="shared" si="15"/>
        <v>0</v>
      </c>
      <c r="Y153" s="526"/>
      <c r="Z153" s="526"/>
      <c r="AA153" s="526"/>
      <c r="AB153" s="526"/>
      <c r="AC153" s="526"/>
      <c r="AD153" s="526"/>
      <c r="AE153" s="526"/>
      <c r="AF153" s="526"/>
      <c r="AG153" s="526"/>
      <c r="AH153" s="526"/>
      <c r="AI153" s="526"/>
      <c r="AJ153" s="526"/>
      <c r="AQ153" s="712"/>
    </row>
    <row r="154" spans="11:43" ht="21">
      <c r="K154" s="712"/>
      <c r="L154" s="502"/>
      <c r="M154" s="502"/>
      <c r="O154" s="574" t="s">
        <v>314</v>
      </c>
      <c r="P154" s="591"/>
      <c r="Q154" s="591"/>
      <c r="R154" s="591"/>
      <c r="S154" s="591"/>
      <c r="T154" s="592">
        <f t="shared" si="15"/>
        <v>238320</v>
      </c>
      <c r="U154" s="593">
        <f t="shared" si="15"/>
        <v>231120</v>
      </c>
      <c r="V154" s="593">
        <f t="shared" si="15"/>
        <v>224160</v>
      </c>
      <c r="W154" s="593">
        <f t="shared" si="15"/>
        <v>217680</v>
      </c>
      <c r="X154" s="594">
        <f t="shared" si="15"/>
        <v>211680</v>
      </c>
      <c r="Y154" s="526"/>
      <c r="Z154" s="526"/>
      <c r="AA154" s="526"/>
      <c r="AB154" s="526"/>
      <c r="AC154" s="526"/>
      <c r="AD154" s="526"/>
      <c r="AE154" s="526"/>
      <c r="AF154" s="526"/>
      <c r="AG154" s="526"/>
      <c r="AH154" s="526"/>
      <c r="AI154" s="526"/>
      <c r="AJ154" s="526"/>
      <c r="AQ154" s="712"/>
    </row>
    <row r="155" spans="11:43" ht="22" thickBot="1">
      <c r="K155" s="712"/>
      <c r="L155" s="502"/>
      <c r="M155" s="502"/>
      <c r="O155" s="595" t="s">
        <v>319</v>
      </c>
      <c r="P155" s="596"/>
      <c r="Q155" s="596"/>
      <c r="R155" s="596"/>
      <c r="S155" s="596"/>
      <c r="T155" s="597">
        <f t="shared" si="15"/>
        <v>119160</v>
      </c>
      <c r="U155" s="598">
        <f t="shared" si="15"/>
        <v>115560</v>
      </c>
      <c r="V155" s="598">
        <f t="shared" si="15"/>
        <v>111960</v>
      </c>
      <c r="W155" s="598">
        <f t="shared" si="15"/>
        <v>109080</v>
      </c>
      <c r="X155" s="599">
        <f t="shared" si="15"/>
        <v>105840</v>
      </c>
      <c r="Y155" s="526"/>
      <c r="Z155" s="526"/>
      <c r="AA155" s="526"/>
      <c r="AB155" s="526"/>
      <c r="AC155" s="526"/>
      <c r="AD155" s="526"/>
      <c r="AE155" s="526"/>
      <c r="AF155" s="526"/>
      <c r="AG155" s="526"/>
      <c r="AH155" s="526"/>
      <c r="AI155" s="526"/>
      <c r="AJ155" s="526"/>
      <c r="AQ155" s="712"/>
    </row>
    <row r="156" spans="11:43" ht="22" thickBot="1">
      <c r="K156" s="712"/>
      <c r="L156" s="502"/>
      <c r="M156" s="502"/>
      <c r="O156" s="526"/>
      <c r="P156" s="526"/>
      <c r="Q156" s="526"/>
      <c r="R156" s="526"/>
      <c r="S156" s="526"/>
      <c r="T156" s="526"/>
      <c r="U156" s="526"/>
      <c r="V156" s="526"/>
      <c r="W156" s="526"/>
      <c r="X156" s="526"/>
      <c r="Y156" s="526"/>
      <c r="Z156" s="526"/>
      <c r="AA156" s="526"/>
      <c r="AB156" s="526"/>
      <c r="AC156" s="526"/>
      <c r="AD156" s="526"/>
      <c r="AE156" s="526"/>
      <c r="AF156" s="526"/>
      <c r="AG156" s="526"/>
      <c r="AH156" s="526"/>
      <c r="AI156" s="526"/>
      <c r="AJ156" s="526"/>
      <c r="AQ156" s="712"/>
    </row>
    <row r="157" spans="11:43" ht="22" thickBot="1">
      <c r="K157" s="712"/>
      <c r="L157" s="502"/>
      <c r="M157" s="502"/>
      <c r="O157" s="526"/>
      <c r="P157" s="526"/>
      <c r="Q157" s="526"/>
      <c r="R157" s="526"/>
      <c r="S157" s="526"/>
      <c r="T157" s="530" t="s">
        <v>334</v>
      </c>
      <c r="U157" s="528"/>
      <c r="V157" s="528"/>
      <c r="W157" s="528"/>
      <c r="X157" s="529"/>
      <c r="Y157" s="526"/>
      <c r="Z157" s="526"/>
      <c r="AA157" s="526"/>
      <c r="AB157" s="526"/>
      <c r="AC157" s="526"/>
      <c r="AD157" s="526"/>
      <c r="AE157" s="526"/>
      <c r="AF157" s="526"/>
      <c r="AG157" s="526"/>
      <c r="AH157" s="526"/>
      <c r="AI157" s="526"/>
      <c r="AJ157" s="526"/>
      <c r="AQ157" s="712"/>
    </row>
    <row r="158" spans="11:43" ht="22" thickBot="1">
      <c r="K158" s="712"/>
      <c r="L158" s="502"/>
      <c r="M158" s="502"/>
      <c r="O158" s="526"/>
      <c r="P158" s="526"/>
      <c r="Q158" s="526"/>
      <c r="R158" s="526"/>
      <c r="S158" s="526" t="s">
        <v>332</v>
      </c>
      <c r="T158" s="584">
        <v>2021</v>
      </c>
      <c r="U158" s="585">
        <v>2022</v>
      </c>
      <c r="V158" s="585">
        <v>2023</v>
      </c>
      <c r="W158" s="585">
        <v>2024</v>
      </c>
      <c r="X158" s="586">
        <v>2025</v>
      </c>
      <c r="Y158" s="526"/>
      <c r="Z158" s="526"/>
      <c r="AA158" s="526"/>
      <c r="AB158" s="526"/>
      <c r="AC158" s="526"/>
      <c r="AD158" s="526"/>
      <c r="AE158" s="526"/>
      <c r="AF158" s="526"/>
      <c r="AG158" s="526"/>
      <c r="AH158" s="526"/>
      <c r="AI158" s="526"/>
      <c r="AJ158" s="526"/>
      <c r="AQ158" s="712"/>
    </row>
    <row r="159" spans="11:43" ht="21">
      <c r="K159" s="712"/>
      <c r="L159" s="502"/>
      <c r="M159" s="502"/>
      <c r="O159" s="530" t="s">
        <v>315</v>
      </c>
      <c r="P159" s="528"/>
      <c r="Q159" s="528"/>
      <c r="R159" s="528"/>
      <c r="S159" s="528">
        <f>VLOOKUP(O159,Preturi_medicamente!D:F,3,0)</f>
        <v>0.78</v>
      </c>
      <c r="T159" s="600">
        <f t="shared" ref="T159:X165" si="16">ROUND(T149*$S159,2)</f>
        <v>620006.40000000002</v>
      </c>
      <c r="U159" s="601">
        <f t="shared" si="16"/>
        <v>600912</v>
      </c>
      <c r="V159" s="601">
        <f t="shared" si="16"/>
        <v>583128</v>
      </c>
      <c r="W159" s="601">
        <f t="shared" si="16"/>
        <v>565344</v>
      </c>
      <c r="X159" s="602">
        <f t="shared" si="16"/>
        <v>549993.6</v>
      </c>
      <c r="Y159" s="526"/>
      <c r="Z159" s="526"/>
      <c r="AA159" s="526"/>
      <c r="AB159" s="526"/>
      <c r="AC159" s="526"/>
      <c r="AD159" s="526"/>
      <c r="AE159" s="526"/>
      <c r="AF159" s="526"/>
      <c r="AG159" s="526"/>
      <c r="AH159" s="526"/>
      <c r="AI159" s="526"/>
      <c r="AJ159" s="526"/>
      <c r="AQ159" s="712"/>
    </row>
    <row r="160" spans="11:43" ht="21">
      <c r="K160" s="712"/>
      <c r="L160" s="502"/>
      <c r="M160" s="502"/>
      <c r="O160" s="574" t="s">
        <v>325</v>
      </c>
      <c r="P160" s="591"/>
      <c r="Q160" s="591"/>
      <c r="R160" s="591"/>
      <c r="S160" s="591">
        <f>VLOOKUP(O160,Preturi_medicamente!D:F,3,0)</f>
        <v>1.4</v>
      </c>
      <c r="T160" s="603">
        <f t="shared" si="16"/>
        <v>222768</v>
      </c>
      <c r="U160" s="604">
        <f t="shared" si="16"/>
        <v>215712</v>
      </c>
      <c r="V160" s="604">
        <f t="shared" si="16"/>
        <v>209328</v>
      </c>
      <c r="W160" s="604">
        <f t="shared" si="16"/>
        <v>202944</v>
      </c>
      <c r="X160" s="605">
        <f t="shared" si="16"/>
        <v>197232</v>
      </c>
      <c r="Y160" s="526"/>
      <c r="Z160" s="526"/>
      <c r="AA160" s="526"/>
      <c r="AB160" s="526"/>
      <c r="AC160" s="526"/>
      <c r="AD160" s="526"/>
      <c r="AE160" s="526"/>
      <c r="AF160" s="526"/>
      <c r="AG160" s="526"/>
      <c r="AH160" s="526"/>
      <c r="AI160" s="526"/>
      <c r="AJ160" s="526"/>
      <c r="AQ160" s="712"/>
    </row>
    <row r="161" spans="1:44" ht="21">
      <c r="K161" s="712"/>
      <c r="L161" s="502"/>
      <c r="M161" s="502"/>
      <c r="O161" s="574" t="s">
        <v>313</v>
      </c>
      <c r="P161" s="591"/>
      <c r="Q161" s="591"/>
      <c r="R161" s="591"/>
      <c r="S161" s="591">
        <f>VLOOKUP(O161,Preturi_medicamente!D:F,3,0)</f>
        <v>1</v>
      </c>
      <c r="T161" s="603">
        <f t="shared" si="16"/>
        <v>357660</v>
      </c>
      <c r="U161" s="604">
        <f t="shared" si="16"/>
        <v>346860</v>
      </c>
      <c r="V161" s="604">
        <f t="shared" si="16"/>
        <v>336240</v>
      </c>
      <c r="W161" s="604">
        <f t="shared" si="16"/>
        <v>326340</v>
      </c>
      <c r="X161" s="605">
        <f t="shared" si="16"/>
        <v>317160</v>
      </c>
      <c r="Y161" s="526"/>
      <c r="Z161" s="526"/>
      <c r="AA161" s="526"/>
      <c r="AB161" s="526"/>
      <c r="AC161" s="526"/>
      <c r="AD161" s="526"/>
      <c r="AE161" s="526"/>
      <c r="AF161" s="526"/>
      <c r="AG161" s="526"/>
      <c r="AH161" s="526"/>
      <c r="AI161" s="526"/>
      <c r="AJ161" s="526"/>
      <c r="AQ161" s="712"/>
    </row>
    <row r="162" spans="1:44" ht="21">
      <c r="K162" s="712"/>
      <c r="L162" s="502"/>
      <c r="M162" s="502"/>
      <c r="O162" s="574" t="s">
        <v>320</v>
      </c>
      <c r="P162" s="591"/>
      <c r="Q162" s="591"/>
      <c r="R162" s="591"/>
      <c r="S162" s="591">
        <f>VLOOKUP(O162,Preturi_medicamente!D:F,3,0)</f>
        <v>0.22</v>
      </c>
      <c r="T162" s="603">
        <f t="shared" si="16"/>
        <v>13107.6</v>
      </c>
      <c r="U162" s="604">
        <f t="shared" si="16"/>
        <v>12711.6</v>
      </c>
      <c r="V162" s="604">
        <f t="shared" si="16"/>
        <v>12315.6</v>
      </c>
      <c r="W162" s="604">
        <f t="shared" si="16"/>
        <v>11998.8</v>
      </c>
      <c r="X162" s="605">
        <f t="shared" si="16"/>
        <v>11642.4</v>
      </c>
      <c r="Y162" s="526"/>
      <c r="Z162" s="526"/>
      <c r="AA162" s="526"/>
      <c r="AB162" s="526"/>
      <c r="AC162" s="526"/>
      <c r="AD162" s="526"/>
      <c r="AE162" s="526"/>
      <c r="AF162" s="526"/>
      <c r="AG162" s="526"/>
      <c r="AH162" s="526"/>
      <c r="AI162" s="526"/>
      <c r="AJ162" s="526"/>
      <c r="AQ162" s="712"/>
    </row>
    <row r="163" spans="1:44" ht="21">
      <c r="K163" s="712"/>
      <c r="L163" s="502"/>
      <c r="M163" s="502"/>
      <c r="O163" s="574" t="s">
        <v>321</v>
      </c>
      <c r="P163" s="591"/>
      <c r="Q163" s="591"/>
      <c r="R163" s="591"/>
      <c r="S163" s="591">
        <f>VLOOKUP(O163,Preturi_medicamente!D:F,3,0)</f>
        <v>3.65</v>
      </c>
      <c r="T163" s="603">
        <f t="shared" si="16"/>
        <v>0</v>
      </c>
      <c r="U163" s="604">
        <f t="shared" si="16"/>
        <v>0</v>
      </c>
      <c r="V163" s="604">
        <f t="shared" si="16"/>
        <v>0</v>
      </c>
      <c r="W163" s="604">
        <f t="shared" si="16"/>
        <v>0</v>
      </c>
      <c r="X163" s="605">
        <f t="shared" si="16"/>
        <v>0</v>
      </c>
      <c r="Y163" s="526"/>
      <c r="Z163" s="526"/>
      <c r="AA163" s="526"/>
      <c r="AB163" s="526"/>
      <c r="AC163" s="526"/>
      <c r="AD163" s="526"/>
      <c r="AE163" s="526"/>
      <c r="AF163" s="526"/>
      <c r="AG163" s="526"/>
      <c r="AH163" s="526"/>
      <c r="AI163" s="526"/>
      <c r="AJ163" s="526"/>
      <c r="AQ163" s="712"/>
    </row>
    <row r="164" spans="1:44" ht="21">
      <c r="K164" s="712"/>
      <c r="L164" s="502"/>
      <c r="M164" s="502"/>
      <c r="O164" s="574" t="s">
        <v>314</v>
      </c>
      <c r="P164" s="591"/>
      <c r="Q164" s="591"/>
      <c r="R164" s="591"/>
      <c r="S164" s="591">
        <f>VLOOKUP(O164,Preturi_medicamente!D:F,3,0)</f>
        <v>0.5</v>
      </c>
      <c r="T164" s="603">
        <f t="shared" si="16"/>
        <v>119160</v>
      </c>
      <c r="U164" s="604">
        <f t="shared" si="16"/>
        <v>115560</v>
      </c>
      <c r="V164" s="604">
        <f t="shared" si="16"/>
        <v>112080</v>
      </c>
      <c r="W164" s="604">
        <f t="shared" si="16"/>
        <v>108840</v>
      </c>
      <c r="X164" s="605">
        <f t="shared" si="16"/>
        <v>105840</v>
      </c>
      <c r="Y164" s="526"/>
      <c r="Z164" s="526"/>
      <c r="AA164" s="526"/>
      <c r="AB164" s="526"/>
      <c r="AC164" s="526"/>
      <c r="AD164" s="526"/>
      <c r="AE164" s="526"/>
      <c r="AF164" s="526"/>
      <c r="AG164" s="526"/>
      <c r="AH164" s="526"/>
      <c r="AI164" s="526"/>
      <c r="AJ164" s="526"/>
      <c r="AQ164" s="712"/>
    </row>
    <row r="165" spans="1:44" ht="22" thickBot="1">
      <c r="K165" s="712"/>
      <c r="L165" s="502"/>
      <c r="M165" s="502"/>
      <c r="O165" s="595" t="s">
        <v>319</v>
      </c>
      <c r="P165" s="596"/>
      <c r="Q165" s="596"/>
      <c r="R165" s="596"/>
      <c r="S165" s="596">
        <f>VLOOKUP(O165,Preturi_medicamente!D:F,3,0)</f>
        <v>2.0499999999999998</v>
      </c>
      <c r="T165" s="606">
        <f t="shared" si="16"/>
        <v>244278</v>
      </c>
      <c r="U165" s="607">
        <f t="shared" si="16"/>
        <v>236898</v>
      </c>
      <c r="V165" s="607">
        <f t="shared" si="16"/>
        <v>229518</v>
      </c>
      <c r="W165" s="607">
        <f t="shared" si="16"/>
        <v>223614</v>
      </c>
      <c r="X165" s="608">
        <f t="shared" si="16"/>
        <v>216972</v>
      </c>
      <c r="Y165" s="526"/>
      <c r="Z165" s="526"/>
      <c r="AA165" s="526"/>
      <c r="AB165" s="526"/>
      <c r="AC165" s="526"/>
      <c r="AD165" s="526"/>
      <c r="AE165" s="526"/>
      <c r="AF165" s="526"/>
      <c r="AG165" s="526"/>
      <c r="AH165" s="526"/>
      <c r="AI165" s="526"/>
      <c r="AJ165" s="526"/>
      <c r="AQ165" s="712"/>
    </row>
    <row r="166" spans="1:44" ht="22" thickBot="1">
      <c r="A166" s="730">
        <v>12</v>
      </c>
      <c r="B166" s="733">
        <f>T166</f>
        <v>1576980</v>
      </c>
      <c r="C166" s="733">
        <f>U166</f>
        <v>1528653.6</v>
      </c>
      <c r="D166" s="733">
        <f>V166</f>
        <v>1482609.6</v>
      </c>
      <c r="E166" s="733">
        <f>W166</f>
        <v>1439080.8</v>
      </c>
      <c r="F166" s="733">
        <f>X166</f>
        <v>1398840</v>
      </c>
      <c r="G166" s="733" t="s">
        <v>349</v>
      </c>
      <c r="H166" s="733" t="s">
        <v>502</v>
      </c>
      <c r="I166" s="841"/>
      <c r="J166" s="841" t="s">
        <v>2934</v>
      </c>
      <c r="K166" s="712"/>
      <c r="L166" s="502"/>
      <c r="M166" s="502"/>
      <c r="O166" s="526"/>
      <c r="P166" s="526"/>
      <c r="Q166" s="526"/>
      <c r="R166" s="526"/>
      <c r="S166" s="526"/>
      <c r="T166" s="1738">
        <f>SUM(T159:T165)</f>
        <v>1576980</v>
      </c>
      <c r="U166" s="1736">
        <f>SUM(U159:U165)</f>
        <v>1528653.6</v>
      </c>
      <c r="V166" s="1736">
        <f>SUM(V159:V165)</f>
        <v>1482609.6</v>
      </c>
      <c r="W166" s="1736">
        <f>SUM(W159:W165)</f>
        <v>1439080.8</v>
      </c>
      <c r="X166" s="1737">
        <f>SUM(X159:X165)</f>
        <v>1398840</v>
      </c>
      <c r="Y166" s="526"/>
      <c r="Z166" s="526"/>
      <c r="AA166" s="526"/>
      <c r="AB166" s="526"/>
      <c r="AC166" s="526"/>
      <c r="AD166" s="526"/>
      <c r="AE166" s="526"/>
      <c r="AF166" s="526"/>
      <c r="AG166" s="526"/>
      <c r="AH166" s="526"/>
      <c r="AI166" s="526"/>
      <c r="AJ166" s="526"/>
      <c r="AQ166" s="712"/>
      <c r="AR166" s="1487">
        <f>SUM(T166:X166)</f>
        <v>7426164</v>
      </c>
    </row>
    <row r="167" spans="1:44" ht="21">
      <c r="K167" s="712"/>
      <c r="L167" s="502"/>
      <c r="M167" s="502"/>
      <c r="O167" s="526"/>
      <c r="P167" s="526"/>
      <c r="Q167" s="526"/>
      <c r="R167" s="526"/>
      <c r="S167" s="526"/>
      <c r="T167" s="526"/>
      <c r="U167" s="526"/>
      <c r="V167" s="526"/>
      <c r="W167" s="526"/>
      <c r="X167" s="526"/>
      <c r="Y167" s="526"/>
      <c r="Z167" s="526"/>
      <c r="AA167" s="526"/>
      <c r="AB167" s="526"/>
      <c r="AC167" s="526"/>
      <c r="AD167" s="526"/>
      <c r="AE167" s="526"/>
      <c r="AF167" s="526"/>
      <c r="AG167" s="526"/>
      <c r="AH167" s="526"/>
      <c r="AI167" s="526"/>
      <c r="AJ167" s="526"/>
      <c r="AQ167" s="712"/>
    </row>
    <row r="168" spans="1:44" ht="21">
      <c r="K168" s="712"/>
      <c r="L168" s="502"/>
      <c r="M168" s="502"/>
      <c r="O168" s="526"/>
      <c r="P168" s="526"/>
      <c r="Q168" s="526"/>
      <c r="R168" s="526"/>
      <c r="S168" s="526"/>
      <c r="T168" s="526"/>
      <c r="U168" s="526"/>
      <c r="V168" s="526"/>
      <c r="W168" s="526"/>
      <c r="X168" s="526"/>
      <c r="Y168" s="526"/>
      <c r="Z168" s="526"/>
      <c r="AA168" s="526"/>
      <c r="AB168" s="526"/>
      <c r="AC168" s="526"/>
      <c r="AD168" s="526"/>
      <c r="AE168" s="526"/>
      <c r="AF168" s="526"/>
      <c r="AG168" s="526"/>
      <c r="AH168" s="526"/>
      <c r="AI168" s="526"/>
      <c r="AJ168" s="526"/>
      <c r="AQ168" s="712"/>
    </row>
    <row r="169" spans="1:44" ht="21">
      <c r="K169" s="712"/>
      <c r="L169" s="502"/>
      <c r="M169" s="502"/>
      <c r="O169" s="558"/>
      <c r="P169" s="558"/>
      <c r="Q169" s="526"/>
      <c r="R169" s="526"/>
      <c r="S169" s="526"/>
      <c r="T169" s="526"/>
      <c r="U169" s="526"/>
      <c r="V169" s="526"/>
      <c r="W169" s="526"/>
      <c r="X169" s="526"/>
      <c r="Y169" s="526"/>
      <c r="Z169" s="526"/>
      <c r="AA169" s="526"/>
      <c r="AB169" s="526"/>
      <c r="AC169" s="526"/>
      <c r="AD169" s="526"/>
      <c r="AE169" s="526"/>
      <c r="AF169" s="526"/>
      <c r="AG169" s="526"/>
      <c r="AH169" s="526"/>
      <c r="AI169" s="526"/>
      <c r="AJ169" s="526"/>
      <c r="AQ169" s="712"/>
    </row>
    <row r="170" spans="1:44" ht="21">
      <c r="K170" s="712"/>
      <c r="L170" s="501" t="s">
        <v>449</v>
      </c>
      <c r="M170" s="499" t="s">
        <v>503</v>
      </c>
      <c r="O170" s="526"/>
      <c r="P170" s="526"/>
      <c r="Q170" s="558"/>
      <c r="R170" s="558"/>
      <c r="S170" s="526"/>
      <c r="T170" s="526"/>
      <c r="U170" s="526"/>
      <c r="V170" s="526"/>
      <c r="W170" s="526"/>
      <c r="X170" s="526"/>
      <c r="Y170" s="526"/>
      <c r="Z170" s="526"/>
      <c r="AA170" s="526"/>
      <c r="AB170" s="526"/>
      <c r="AC170" s="526"/>
      <c r="AD170" s="526"/>
      <c r="AE170" s="526"/>
      <c r="AF170" s="526"/>
      <c r="AG170" s="526"/>
      <c r="AH170" s="526"/>
      <c r="AI170" s="526"/>
      <c r="AJ170" s="526"/>
      <c r="AQ170" s="712"/>
    </row>
    <row r="171" spans="1:44" ht="22" thickBot="1">
      <c r="K171" s="712"/>
      <c r="L171" s="502"/>
      <c r="M171" s="502"/>
      <c r="O171" s="513"/>
      <c r="P171" s="508"/>
      <c r="Q171" s="558"/>
      <c r="R171" s="558"/>
      <c r="S171" s="526"/>
      <c r="T171" s="526"/>
      <c r="U171" s="526"/>
      <c r="V171" s="526"/>
      <c r="W171" s="526"/>
      <c r="X171" s="526"/>
      <c r="Y171" s="526"/>
      <c r="Z171" s="526"/>
      <c r="AA171" s="526"/>
      <c r="AB171" s="526"/>
      <c r="AC171" s="526"/>
      <c r="AD171" s="526"/>
      <c r="AE171" s="526"/>
      <c r="AF171" s="526"/>
      <c r="AG171" s="526"/>
      <c r="AH171" s="526"/>
      <c r="AI171" s="526"/>
      <c r="AJ171" s="526"/>
      <c r="AQ171" s="712"/>
    </row>
    <row r="172" spans="1:44" ht="22" thickBot="1">
      <c r="K172" s="712"/>
      <c r="L172" s="502"/>
      <c r="M172" s="502"/>
      <c r="N172" s="508" t="s">
        <v>354</v>
      </c>
      <c r="O172" s="526"/>
      <c r="P172" s="526"/>
      <c r="Q172" s="558"/>
      <c r="R172" s="558"/>
      <c r="S172" s="526"/>
      <c r="T172" s="559">
        <v>2021</v>
      </c>
      <c r="U172" s="560">
        <v>2022</v>
      </c>
      <c r="V172" s="560">
        <v>2023</v>
      </c>
      <c r="W172" s="560">
        <v>2024</v>
      </c>
      <c r="X172" s="561">
        <v>2025</v>
      </c>
      <c r="Y172" s="526"/>
      <c r="Z172" s="526"/>
      <c r="AA172" s="526"/>
      <c r="AB172" s="526"/>
      <c r="AC172" s="526"/>
      <c r="AD172" s="526"/>
      <c r="AE172" s="526"/>
      <c r="AF172" s="526"/>
      <c r="AG172" s="526"/>
      <c r="AH172" s="526"/>
      <c r="AI172" s="526"/>
      <c r="AJ172" s="526"/>
      <c r="AQ172" s="712"/>
    </row>
    <row r="173" spans="1:44" ht="22" thickBot="1">
      <c r="K173" s="712"/>
      <c r="L173" s="502"/>
      <c r="M173" s="502"/>
      <c r="O173" s="526" t="s">
        <v>308</v>
      </c>
      <c r="P173" s="526"/>
      <c r="Q173" s="526"/>
      <c r="R173" s="562" t="s">
        <v>93</v>
      </c>
      <c r="S173" s="562" t="s">
        <v>310</v>
      </c>
      <c r="T173" s="563">
        <f>T28</f>
        <v>56</v>
      </c>
      <c r="U173" s="563">
        <f>U28</f>
        <v>55</v>
      </c>
      <c r="V173" s="563">
        <f>V28</f>
        <v>53</v>
      </c>
      <c r="W173" s="563">
        <f>W28</f>
        <v>52</v>
      </c>
      <c r="X173" s="563">
        <f>X28</f>
        <v>50</v>
      </c>
      <c r="Y173" s="526"/>
      <c r="Z173" s="526"/>
      <c r="AA173" s="526"/>
      <c r="AB173" s="526"/>
      <c r="AC173" s="526"/>
      <c r="AD173" s="526"/>
      <c r="AE173" s="526"/>
      <c r="AF173" s="526"/>
      <c r="AG173" s="526"/>
      <c r="AH173" s="526"/>
      <c r="AI173" s="526"/>
      <c r="AJ173" s="526"/>
      <c r="AQ173" s="712"/>
    </row>
    <row r="174" spans="1:44" ht="21">
      <c r="K174" s="712"/>
      <c r="L174" s="502"/>
      <c r="M174" s="502"/>
      <c r="O174" s="609">
        <v>0.8</v>
      </c>
      <c r="P174" s="610">
        <v>0.5</v>
      </c>
      <c r="Q174" s="611">
        <v>0.7</v>
      </c>
      <c r="R174" s="612" t="s">
        <v>309</v>
      </c>
      <c r="S174" s="613" t="s">
        <v>311</v>
      </c>
      <c r="T174" s="614">
        <f>T173-SUM(T175:T179)</f>
        <v>15</v>
      </c>
      <c r="U174" s="614">
        <f>U173-SUM(U175:U179)</f>
        <v>15</v>
      </c>
      <c r="V174" s="614">
        <f>V173-SUM(V175:V179)</f>
        <v>16</v>
      </c>
      <c r="W174" s="614">
        <f>W173-SUM(W175:W179)</f>
        <v>15</v>
      </c>
      <c r="X174" s="615">
        <f>X173-SUM(X175:X179)</f>
        <v>14</v>
      </c>
      <c r="Y174" s="526"/>
      <c r="Z174" s="526"/>
      <c r="AA174" s="526"/>
      <c r="AB174" s="526"/>
      <c r="AC174" s="526"/>
      <c r="AD174" s="526"/>
      <c r="AE174" s="526"/>
      <c r="AF174" s="526"/>
      <c r="AG174" s="526"/>
      <c r="AH174" s="526"/>
      <c r="AI174" s="526"/>
      <c r="AJ174" s="526"/>
      <c r="AQ174" s="712"/>
    </row>
    <row r="175" spans="1:44" ht="22" thickBot="1">
      <c r="K175" s="712"/>
      <c r="L175" s="502"/>
      <c r="M175" s="502"/>
      <c r="O175" s="616">
        <v>0.8</v>
      </c>
      <c r="P175" s="617">
        <v>0.5</v>
      </c>
      <c r="Q175" s="618">
        <v>0.3</v>
      </c>
      <c r="R175" s="619" t="s">
        <v>316</v>
      </c>
      <c r="S175" s="578" t="s">
        <v>317</v>
      </c>
      <c r="T175" s="539">
        <f t="shared" ref="T175:X179" si="17">ROUND(T$173*$O175*$P175*$Q175,0)</f>
        <v>7</v>
      </c>
      <c r="U175" s="539">
        <f t="shared" si="17"/>
        <v>7</v>
      </c>
      <c r="V175" s="539">
        <f t="shared" si="17"/>
        <v>6</v>
      </c>
      <c r="W175" s="539">
        <f t="shared" si="17"/>
        <v>6</v>
      </c>
      <c r="X175" s="540">
        <f t="shared" si="17"/>
        <v>6</v>
      </c>
      <c r="Y175" s="526"/>
      <c r="Z175" s="526"/>
      <c r="AA175" s="526"/>
      <c r="AB175" s="526"/>
      <c r="AC175" s="526"/>
      <c r="AD175" s="526"/>
      <c r="AE175" s="526"/>
      <c r="AF175" s="526"/>
      <c r="AG175" s="526"/>
      <c r="AH175" s="526"/>
      <c r="AI175" s="526"/>
      <c r="AJ175" s="526"/>
      <c r="AQ175" s="712"/>
    </row>
    <row r="176" spans="1:44" ht="21">
      <c r="K176" s="712"/>
      <c r="L176" s="502"/>
      <c r="M176" s="502"/>
      <c r="O176" s="616">
        <v>0.8</v>
      </c>
      <c r="P176" s="610">
        <v>0.5</v>
      </c>
      <c r="Q176" s="618">
        <v>0.7</v>
      </c>
      <c r="R176" s="620" t="s">
        <v>324</v>
      </c>
      <c r="S176" s="578" t="s">
        <v>431</v>
      </c>
      <c r="T176" s="539">
        <f t="shared" si="17"/>
        <v>16</v>
      </c>
      <c r="U176" s="539">
        <f t="shared" si="17"/>
        <v>15</v>
      </c>
      <c r="V176" s="539">
        <f t="shared" si="17"/>
        <v>15</v>
      </c>
      <c r="W176" s="539">
        <f t="shared" si="17"/>
        <v>15</v>
      </c>
      <c r="X176" s="540">
        <f t="shared" si="17"/>
        <v>14</v>
      </c>
      <c r="Y176" s="526"/>
      <c r="Z176" s="526"/>
      <c r="AA176" s="526"/>
      <c r="AB176" s="526"/>
      <c r="AC176" s="526"/>
      <c r="AD176" s="526"/>
      <c r="AE176" s="526"/>
      <c r="AF176" s="526"/>
      <c r="AG176" s="526"/>
      <c r="AH176" s="526"/>
      <c r="AI176" s="526"/>
      <c r="AJ176" s="526"/>
      <c r="AQ176" s="712"/>
    </row>
    <row r="177" spans="11:44" ht="22" thickBot="1">
      <c r="K177" s="712"/>
      <c r="L177" s="502"/>
      <c r="M177" s="502"/>
      <c r="O177" s="621">
        <v>0.8</v>
      </c>
      <c r="P177" s="617">
        <v>0.5</v>
      </c>
      <c r="Q177" s="622">
        <v>0.3</v>
      </c>
      <c r="R177" s="620" t="s">
        <v>326</v>
      </c>
      <c r="S177" s="578" t="s">
        <v>432</v>
      </c>
      <c r="T177" s="539">
        <f t="shared" si="17"/>
        <v>7</v>
      </c>
      <c r="U177" s="539">
        <f t="shared" si="17"/>
        <v>7</v>
      </c>
      <c r="V177" s="539">
        <f t="shared" si="17"/>
        <v>6</v>
      </c>
      <c r="W177" s="539">
        <f t="shared" si="17"/>
        <v>6</v>
      </c>
      <c r="X177" s="540">
        <f t="shared" si="17"/>
        <v>6</v>
      </c>
      <c r="Y177" s="526"/>
      <c r="Z177" s="526"/>
      <c r="AA177" s="526"/>
      <c r="AB177" s="526"/>
      <c r="AC177" s="526"/>
      <c r="AD177" s="526"/>
      <c r="AE177" s="526"/>
      <c r="AF177" s="526"/>
      <c r="AG177" s="526"/>
      <c r="AH177" s="526"/>
      <c r="AI177" s="526"/>
      <c r="AJ177" s="526"/>
      <c r="AQ177" s="712"/>
    </row>
    <row r="178" spans="11:44" ht="21">
      <c r="K178" s="712"/>
      <c r="L178" s="502"/>
      <c r="M178" s="502"/>
      <c r="O178" s="623">
        <v>0.2</v>
      </c>
      <c r="P178" s="624">
        <v>1</v>
      </c>
      <c r="Q178" s="625">
        <v>0.7</v>
      </c>
      <c r="R178" s="619" t="s">
        <v>318</v>
      </c>
      <c r="S178" s="578" t="s">
        <v>430</v>
      </c>
      <c r="T178" s="539">
        <f t="shared" si="17"/>
        <v>8</v>
      </c>
      <c r="U178" s="539">
        <f t="shared" si="17"/>
        <v>8</v>
      </c>
      <c r="V178" s="539">
        <f t="shared" si="17"/>
        <v>7</v>
      </c>
      <c r="W178" s="539">
        <f t="shared" si="17"/>
        <v>7</v>
      </c>
      <c r="X178" s="540">
        <f t="shared" si="17"/>
        <v>7</v>
      </c>
      <c r="Y178" s="526"/>
      <c r="Z178" s="526"/>
      <c r="AA178" s="526"/>
      <c r="AB178" s="526"/>
      <c r="AC178" s="526"/>
      <c r="AD178" s="526"/>
      <c r="AE178" s="526"/>
      <c r="AF178" s="526"/>
      <c r="AG178" s="526"/>
      <c r="AH178" s="526"/>
      <c r="AI178" s="526"/>
      <c r="AJ178" s="526"/>
      <c r="AQ178" s="712"/>
    </row>
    <row r="179" spans="11:44" ht="22" thickBot="1">
      <c r="K179" s="712"/>
      <c r="L179" s="502"/>
      <c r="M179" s="502"/>
      <c r="O179" s="626">
        <v>0.2</v>
      </c>
      <c r="P179" s="627">
        <v>1</v>
      </c>
      <c r="Q179" s="628">
        <v>0.3</v>
      </c>
      <c r="R179" s="629" t="s">
        <v>323</v>
      </c>
      <c r="S179" s="580" t="s">
        <v>433</v>
      </c>
      <c r="T179" s="543">
        <f t="shared" si="17"/>
        <v>3</v>
      </c>
      <c r="U179" s="543">
        <f t="shared" si="17"/>
        <v>3</v>
      </c>
      <c r="V179" s="543">
        <f t="shared" si="17"/>
        <v>3</v>
      </c>
      <c r="W179" s="543">
        <f t="shared" si="17"/>
        <v>3</v>
      </c>
      <c r="X179" s="544">
        <f t="shared" si="17"/>
        <v>3</v>
      </c>
      <c r="Y179" s="526"/>
      <c r="Z179" s="526"/>
      <c r="AA179" s="526"/>
      <c r="AB179" s="526"/>
      <c r="AC179" s="526"/>
      <c r="AD179" s="526"/>
      <c r="AE179" s="526"/>
      <c r="AF179" s="526"/>
      <c r="AG179" s="526"/>
      <c r="AH179" s="526"/>
      <c r="AI179" s="526"/>
      <c r="AJ179" s="526"/>
      <c r="AQ179" s="712"/>
    </row>
    <row r="180" spans="11:44" ht="22" thickBot="1">
      <c r="K180" s="712"/>
      <c r="L180" s="502"/>
      <c r="M180" s="502"/>
      <c r="O180" s="526"/>
      <c r="P180" s="526"/>
      <c r="Q180" s="526"/>
      <c r="R180" s="526"/>
      <c r="S180" s="1438" t="s">
        <v>2401</v>
      </c>
      <c r="T180" s="1439">
        <f>TB_HIV_RB_Co_tr</f>
        <v>6.7193523515805695E-2</v>
      </c>
      <c r="U180" s="1439">
        <f>TB_HIV_RB_Co_tr</f>
        <v>6.7193523515805695E-2</v>
      </c>
      <c r="V180" s="1439">
        <f>TB_HIV_RB_Co_tr</f>
        <v>6.7193523515805695E-2</v>
      </c>
      <c r="W180" s="1439">
        <f>TB_HIV_RB_Co_tr</f>
        <v>6.7193523515805695E-2</v>
      </c>
      <c r="X180" s="1439">
        <f>TB_HIV_RB_Co_tr</f>
        <v>6.7193523515805695E-2</v>
      </c>
      <c r="Y180" s="526"/>
      <c r="Z180" s="526"/>
      <c r="AA180" s="526"/>
      <c r="AB180" s="526"/>
      <c r="AC180" s="526"/>
      <c r="AD180" s="526"/>
      <c r="AE180" s="526"/>
      <c r="AF180" s="526"/>
      <c r="AG180" s="526"/>
      <c r="AH180" s="526"/>
      <c r="AI180" s="526"/>
      <c r="AJ180" s="526"/>
      <c r="AQ180" s="712"/>
    </row>
    <row r="181" spans="11:44" ht="22" thickBot="1">
      <c r="K181" s="712"/>
      <c r="L181" s="502"/>
      <c r="M181" s="502"/>
      <c r="O181" s="526"/>
      <c r="P181" s="526"/>
      <c r="Q181" s="526"/>
      <c r="R181" s="526"/>
      <c r="S181" s="1438" t="s">
        <v>2402</v>
      </c>
      <c r="T181" s="1440">
        <f>ROUND(T180*T173,0)</f>
        <v>4</v>
      </c>
      <c r="U181" s="1441">
        <f>ROUND(U180*U173,0)</f>
        <v>4</v>
      </c>
      <c r="V181" s="1441">
        <f>ROUND(V180*V173,0)</f>
        <v>4</v>
      </c>
      <c r="W181" s="1441">
        <f>ROUND(W180*W173,0)</f>
        <v>3</v>
      </c>
      <c r="X181" s="1442">
        <f>ROUND(X180*X173,0)</f>
        <v>3</v>
      </c>
      <c r="Y181" s="526"/>
      <c r="Z181" s="526"/>
      <c r="AA181" s="526"/>
      <c r="AB181" s="526"/>
      <c r="AC181" s="526"/>
      <c r="AD181" s="526"/>
      <c r="AE181" s="526"/>
      <c r="AF181" s="526"/>
      <c r="AG181" s="526"/>
      <c r="AH181" s="526"/>
      <c r="AI181" s="526"/>
      <c r="AJ181" s="526"/>
      <c r="AQ181" s="712"/>
      <c r="AR181" s="1487"/>
    </row>
    <row r="182" spans="11:44" ht="22" thickBot="1">
      <c r="K182" s="712"/>
      <c r="L182" s="502"/>
      <c r="M182" s="502"/>
      <c r="N182" s="508" t="s">
        <v>355</v>
      </c>
      <c r="O182" s="526"/>
      <c r="P182" s="526"/>
      <c r="Q182" s="526"/>
      <c r="R182" s="526"/>
      <c r="S182" s="526"/>
      <c r="T182" s="571">
        <v>3</v>
      </c>
      <c r="U182" s="571">
        <v>4</v>
      </c>
      <c r="V182" s="571">
        <v>5</v>
      </c>
      <c r="W182" s="571">
        <v>6</v>
      </c>
      <c r="X182" s="571">
        <v>7</v>
      </c>
      <c r="Y182" s="526"/>
      <c r="Z182" s="526"/>
      <c r="AA182" s="526"/>
      <c r="AB182" s="526"/>
      <c r="AC182" s="526"/>
      <c r="AD182" s="526"/>
      <c r="AE182" s="526"/>
      <c r="AF182" s="526"/>
      <c r="AG182" s="526"/>
      <c r="AH182" s="526"/>
      <c r="AI182" s="526"/>
      <c r="AJ182" s="526"/>
      <c r="AQ182" s="712"/>
    </row>
    <row r="183" spans="11:44" ht="35" thickBot="1">
      <c r="K183" s="712"/>
      <c r="L183" s="502"/>
      <c r="M183" s="502"/>
      <c r="N183" s="514" t="s">
        <v>330</v>
      </c>
      <c r="O183" s="630" t="s">
        <v>312</v>
      </c>
      <c r="P183" s="631" t="s">
        <v>328</v>
      </c>
      <c r="Q183" s="631" t="s">
        <v>327</v>
      </c>
      <c r="R183" s="631" t="s">
        <v>329</v>
      </c>
      <c r="S183" s="631" t="s">
        <v>97</v>
      </c>
      <c r="T183" s="559">
        <v>2021</v>
      </c>
      <c r="U183" s="560">
        <v>2022</v>
      </c>
      <c r="V183" s="560">
        <v>2023</v>
      </c>
      <c r="W183" s="560">
        <v>2024</v>
      </c>
      <c r="X183" s="561">
        <v>2025</v>
      </c>
      <c r="Y183" s="526"/>
      <c r="Z183" s="526"/>
      <c r="AA183" s="526"/>
      <c r="AB183" s="526"/>
      <c r="AC183" s="526"/>
      <c r="AD183" s="526"/>
      <c r="AE183" s="526"/>
      <c r="AF183" s="526"/>
      <c r="AG183" s="526"/>
      <c r="AH183" s="526"/>
      <c r="AI183" s="526"/>
      <c r="AJ183" s="526"/>
      <c r="AQ183" s="712"/>
    </row>
    <row r="184" spans="11:44" ht="21">
      <c r="K184" s="712"/>
      <c r="L184" s="502"/>
      <c r="M184" s="502"/>
      <c r="N184" s="511" t="s">
        <v>309</v>
      </c>
      <c r="O184" s="578" t="s">
        <v>315</v>
      </c>
      <c r="P184" s="579">
        <v>4</v>
      </c>
      <c r="Q184" s="579">
        <v>30</v>
      </c>
      <c r="R184" s="579">
        <v>6</v>
      </c>
      <c r="S184" s="579">
        <f t="shared" ref="S184:S203" si="18">P184*Q184*R184</f>
        <v>720</v>
      </c>
      <c r="T184" s="576">
        <f t="shared" ref="T184:X193" si="19">VLOOKUP($N184,FLD_MD_penit,T$182,0)*$S184</f>
        <v>10800</v>
      </c>
      <c r="U184" s="576">
        <f t="shared" si="19"/>
        <v>10800</v>
      </c>
      <c r="V184" s="576">
        <f t="shared" si="19"/>
        <v>11520</v>
      </c>
      <c r="W184" s="576">
        <f t="shared" si="19"/>
        <v>10800</v>
      </c>
      <c r="X184" s="577">
        <f t="shared" si="19"/>
        <v>10080</v>
      </c>
      <c r="Y184" s="526"/>
      <c r="Z184" s="526"/>
      <c r="AA184" s="526"/>
      <c r="AB184" s="526"/>
      <c r="AC184" s="526"/>
      <c r="AD184" s="526"/>
      <c r="AE184" s="526"/>
      <c r="AF184" s="526"/>
      <c r="AG184" s="526"/>
      <c r="AH184" s="526"/>
      <c r="AI184" s="526"/>
      <c r="AJ184" s="526"/>
      <c r="AQ184" s="712"/>
    </row>
    <row r="185" spans="11:44" ht="21">
      <c r="K185" s="712"/>
      <c r="L185" s="502"/>
      <c r="M185" s="502"/>
      <c r="N185" s="511" t="s">
        <v>309</v>
      </c>
      <c r="O185" s="578" t="s">
        <v>313</v>
      </c>
      <c r="P185" s="579">
        <v>3</v>
      </c>
      <c r="Q185" s="579">
        <v>30</v>
      </c>
      <c r="R185" s="579">
        <v>2</v>
      </c>
      <c r="S185" s="579">
        <f t="shared" si="18"/>
        <v>180</v>
      </c>
      <c r="T185" s="552">
        <f t="shared" si="19"/>
        <v>2700</v>
      </c>
      <c r="U185" s="552">
        <f t="shared" si="19"/>
        <v>2700</v>
      </c>
      <c r="V185" s="552">
        <f t="shared" si="19"/>
        <v>2880</v>
      </c>
      <c r="W185" s="552">
        <f t="shared" si="19"/>
        <v>2700</v>
      </c>
      <c r="X185" s="553">
        <f t="shared" si="19"/>
        <v>2520</v>
      </c>
      <c r="Y185" s="526"/>
      <c r="Z185" s="526"/>
      <c r="AA185" s="526"/>
      <c r="AB185" s="526"/>
      <c r="AC185" s="526"/>
      <c r="AD185" s="526"/>
      <c r="AE185" s="526"/>
      <c r="AF185" s="526"/>
      <c r="AG185" s="526"/>
      <c r="AH185" s="526"/>
      <c r="AI185" s="526"/>
      <c r="AJ185" s="526"/>
      <c r="AQ185" s="712"/>
    </row>
    <row r="186" spans="11:44" ht="21">
      <c r="K186" s="712"/>
      <c r="L186" s="502"/>
      <c r="M186" s="502"/>
      <c r="N186" s="511" t="s">
        <v>309</v>
      </c>
      <c r="O186" s="578" t="s">
        <v>314</v>
      </c>
      <c r="P186" s="579">
        <v>4</v>
      </c>
      <c r="Q186" s="579">
        <v>30</v>
      </c>
      <c r="R186" s="579">
        <v>2</v>
      </c>
      <c r="S186" s="579">
        <f t="shared" si="18"/>
        <v>240</v>
      </c>
      <c r="T186" s="552">
        <f t="shared" si="19"/>
        <v>3600</v>
      </c>
      <c r="U186" s="552">
        <f t="shared" si="19"/>
        <v>3600</v>
      </c>
      <c r="V186" s="552">
        <f t="shared" si="19"/>
        <v>3840</v>
      </c>
      <c r="W186" s="552">
        <f t="shared" si="19"/>
        <v>3600</v>
      </c>
      <c r="X186" s="553">
        <f t="shared" si="19"/>
        <v>3360</v>
      </c>
      <c r="Y186" s="526"/>
      <c r="Z186" s="526"/>
      <c r="AA186" s="526"/>
      <c r="AB186" s="526"/>
      <c r="AC186" s="526"/>
      <c r="AD186" s="526"/>
      <c r="AE186" s="526"/>
      <c r="AF186" s="526"/>
      <c r="AG186" s="526"/>
      <c r="AH186" s="526"/>
      <c r="AI186" s="526"/>
      <c r="AJ186" s="526"/>
      <c r="AQ186" s="712"/>
    </row>
    <row r="187" spans="11:44" ht="21">
      <c r="K187" s="712"/>
      <c r="L187" s="502"/>
      <c r="M187" s="502"/>
      <c r="N187" s="511" t="s">
        <v>316</v>
      </c>
      <c r="O187" s="632" t="s">
        <v>315</v>
      </c>
      <c r="P187" s="633">
        <v>4</v>
      </c>
      <c r="Q187" s="633">
        <v>30</v>
      </c>
      <c r="R187" s="633">
        <v>6</v>
      </c>
      <c r="S187" s="633">
        <f t="shared" si="18"/>
        <v>720</v>
      </c>
      <c r="T187" s="634">
        <f t="shared" si="19"/>
        <v>5040</v>
      </c>
      <c r="U187" s="634">
        <f t="shared" si="19"/>
        <v>5040</v>
      </c>
      <c r="V187" s="634">
        <f t="shared" si="19"/>
        <v>4320</v>
      </c>
      <c r="W187" s="634">
        <f t="shared" si="19"/>
        <v>4320</v>
      </c>
      <c r="X187" s="635">
        <f t="shared" si="19"/>
        <v>4320</v>
      </c>
      <c r="Y187" s="526"/>
      <c r="Z187" s="526"/>
      <c r="AA187" s="526"/>
      <c r="AB187" s="526"/>
      <c r="AC187" s="526"/>
      <c r="AD187" s="526"/>
      <c r="AE187" s="526"/>
      <c r="AF187" s="526"/>
      <c r="AG187" s="526"/>
      <c r="AH187" s="526"/>
      <c r="AI187" s="526"/>
      <c r="AJ187" s="526"/>
      <c r="AQ187" s="712"/>
    </row>
    <row r="188" spans="11:44" ht="21">
      <c r="K188" s="712"/>
      <c r="L188" s="502"/>
      <c r="M188" s="502"/>
      <c r="N188" s="511" t="s">
        <v>316</v>
      </c>
      <c r="O188" s="578" t="s">
        <v>313</v>
      </c>
      <c r="P188" s="579">
        <v>3</v>
      </c>
      <c r="Q188" s="579">
        <v>30</v>
      </c>
      <c r="R188" s="579">
        <v>6</v>
      </c>
      <c r="S188" s="579">
        <f t="shared" si="18"/>
        <v>540</v>
      </c>
      <c r="T188" s="552">
        <f t="shared" si="19"/>
        <v>3780</v>
      </c>
      <c r="U188" s="552">
        <f t="shared" si="19"/>
        <v>3780</v>
      </c>
      <c r="V188" s="552">
        <f t="shared" si="19"/>
        <v>3240</v>
      </c>
      <c r="W188" s="552">
        <f t="shared" si="19"/>
        <v>3240</v>
      </c>
      <c r="X188" s="553">
        <f t="shared" si="19"/>
        <v>3240</v>
      </c>
      <c r="Y188" s="526"/>
      <c r="Z188" s="526"/>
      <c r="AA188" s="526"/>
      <c r="AB188" s="526"/>
      <c r="AC188" s="526"/>
      <c r="AD188" s="526"/>
      <c r="AE188" s="526"/>
      <c r="AF188" s="526"/>
      <c r="AG188" s="526"/>
      <c r="AH188" s="526"/>
      <c r="AI188" s="526"/>
      <c r="AJ188" s="526"/>
      <c r="AQ188" s="712"/>
    </row>
    <row r="189" spans="11:44" ht="21">
      <c r="K189" s="712"/>
      <c r="L189" s="502"/>
      <c r="M189" s="502"/>
      <c r="N189" s="511" t="s">
        <v>316</v>
      </c>
      <c r="O189" s="578" t="s">
        <v>314</v>
      </c>
      <c r="P189" s="579">
        <v>4</v>
      </c>
      <c r="Q189" s="579">
        <v>30</v>
      </c>
      <c r="R189" s="579">
        <v>2</v>
      </c>
      <c r="S189" s="579">
        <f t="shared" si="18"/>
        <v>240</v>
      </c>
      <c r="T189" s="552">
        <f t="shared" si="19"/>
        <v>1680</v>
      </c>
      <c r="U189" s="552">
        <f t="shared" si="19"/>
        <v>1680</v>
      </c>
      <c r="V189" s="552">
        <f t="shared" si="19"/>
        <v>1440</v>
      </c>
      <c r="W189" s="552">
        <f t="shared" si="19"/>
        <v>1440</v>
      </c>
      <c r="X189" s="553">
        <f t="shared" si="19"/>
        <v>1440</v>
      </c>
      <c r="Y189" s="526"/>
      <c r="Z189" s="526"/>
      <c r="AA189" s="526"/>
      <c r="AB189" s="526"/>
      <c r="AC189" s="526"/>
      <c r="AD189" s="526"/>
      <c r="AE189" s="526"/>
      <c r="AF189" s="526"/>
      <c r="AG189" s="526"/>
      <c r="AH189" s="526"/>
      <c r="AI189" s="526"/>
      <c r="AJ189" s="526"/>
      <c r="AQ189" s="712"/>
    </row>
    <row r="190" spans="11:44" ht="21">
      <c r="K190" s="712"/>
      <c r="L190" s="502"/>
      <c r="M190" s="502"/>
      <c r="N190" s="511" t="s">
        <v>318</v>
      </c>
      <c r="O190" s="636" t="s">
        <v>313</v>
      </c>
      <c r="P190" s="579">
        <v>3</v>
      </c>
      <c r="Q190" s="579">
        <v>30</v>
      </c>
      <c r="R190" s="579">
        <v>2</v>
      </c>
      <c r="S190" s="579">
        <f t="shared" si="18"/>
        <v>180</v>
      </c>
      <c r="T190" s="552">
        <f t="shared" si="19"/>
        <v>1440</v>
      </c>
      <c r="U190" s="552">
        <f t="shared" si="19"/>
        <v>1440</v>
      </c>
      <c r="V190" s="552">
        <f t="shared" si="19"/>
        <v>1260</v>
      </c>
      <c r="W190" s="552">
        <f t="shared" si="19"/>
        <v>1260</v>
      </c>
      <c r="X190" s="553">
        <f t="shared" si="19"/>
        <v>1260</v>
      </c>
      <c r="Y190" s="526"/>
      <c r="Z190" s="526"/>
      <c r="AA190" s="526"/>
      <c r="AB190" s="526"/>
      <c r="AC190" s="526"/>
      <c r="AD190" s="526"/>
      <c r="AE190" s="526"/>
      <c r="AF190" s="526"/>
      <c r="AG190" s="526"/>
      <c r="AH190" s="526"/>
      <c r="AI190" s="526"/>
      <c r="AJ190" s="526"/>
      <c r="AQ190" s="712"/>
    </row>
    <row r="191" spans="11:44" ht="21">
      <c r="K191" s="712"/>
      <c r="L191" s="502"/>
      <c r="M191" s="502"/>
      <c r="N191" s="511" t="s">
        <v>318</v>
      </c>
      <c r="O191" s="636" t="s">
        <v>320</v>
      </c>
      <c r="P191" s="579">
        <v>1</v>
      </c>
      <c r="Q191" s="579">
        <v>30</v>
      </c>
      <c r="R191" s="579">
        <v>6</v>
      </c>
      <c r="S191" s="579">
        <f t="shared" si="18"/>
        <v>180</v>
      </c>
      <c r="T191" s="552">
        <f t="shared" si="19"/>
        <v>1440</v>
      </c>
      <c r="U191" s="552">
        <f t="shared" si="19"/>
        <v>1440</v>
      </c>
      <c r="V191" s="552">
        <f t="shared" si="19"/>
        <v>1260</v>
      </c>
      <c r="W191" s="552">
        <f t="shared" si="19"/>
        <v>1260</v>
      </c>
      <c r="X191" s="553">
        <f t="shared" si="19"/>
        <v>1260</v>
      </c>
      <c r="Y191" s="526"/>
      <c r="Z191" s="526"/>
      <c r="AA191" s="526"/>
      <c r="AB191" s="526"/>
      <c r="AC191" s="526"/>
      <c r="AD191" s="526"/>
      <c r="AE191" s="526"/>
      <c r="AF191" s="526"/>
      <c r="AG191" s="526"/>
      <c r="AH191" s="526"/>
      <c r="AI191" s="526"/>
      <c r="AJ191" s="526"/>
      <c r="AQ191" s="712"/>
    </row>
    <row r="192" spans="11:44" ht="21">
      <c r="K192" s="712"/>
      <c r="L192" s="502"/>
      <c r="M192" s="502"/>
      <c r="N192" s="511" t="s">
        <v>318</v>
      </c>
      <c r="O192" s="636" t="s">
        <v>314</v>
      </c>
      <c r="P192" s="579">
        <v>4</v>
      </c>
      <c r="Q192" s="579">
        <v>30</v>
      </c>
      <c r="R192" s="579">
        <v>2</v>
      </c>
      <c r="S192" s="579">
        <f t="shared" si="18"/>
        <v>240</v>
      </c>
      <c r="T192" s="552">
        <f t="shared" si="19"/>
        <v>1920</v>
      </c>
      <c r="U192" s="552">
        <f t="shared" si="19"/>
        <v>1920</v>
      </c>
      <c r="V192" s="552">
        <f t="shared" si="19"/>
        <v>1680</v>
      </c>
      <c r="W192" s="552">
        <f t="shared" si="19"/>
        <v>1680</v>
      </c>
      <c r="X192" s="553">
        <f t="shared" si="19"/>
        <v>1680</v>
      </c>
      <c r="Y192" s="526"/>
      <c r="Z192" s="526"/>
      <c r="AA192" s="526"/>
      <c r="AB192" s="526"/>
      <c r="AC192" s="526"/>
      <c r="AD192" s="526"/>
      <c r="AE192" s="526"/>
      <c r="AF192" s="526"/>
      <c r="AG192" s="526"/>
      <c r="AH192" s="526"/>
      <c r="AI192" s="526"/>
      <c r="AJ192" s="526"/>
      <c r="AQ192" s="712"/>
    </row>
    <row r="193" spans="1:44" ht="21">
      <c r="K193" s="712"/>
      <c r="L193" s="502"/>
      <c r="M193" s="502"/>
      <c r="N193" s="511" t="s">
        <v>318</v>
      </c>
      <c r="O193" s="636" t="s">
        <v>319</v>
      </c>
      <c r="P193" s="579">
        <v>2</v>
      </c>
      <c r="Q193" s="579">
        <v>30</v>
      </c>
      <c r="R193" s="579">
        <v>6</v>
      </c>
      <c r="S193" s="579">
        <f t="shared" si="18"/>
        <v>360</v>
      </c>
      <c r="T193" s="552">
        <f t="shared" si="19"/>
        <v>2880</v>
      </c>
      <c r="U193" s="552">
        <f t="shared" si="19"/>
        <v>2880</v>
      </c>
      <c r="V193" s="552">
        <f t="shared" si="19"/>
        <v>2520</v>
      </c>
      <c r="W193" s="552">
        <f t="shared" si="19"/>
        <v>2520</v>
      </c>
      <c r="X193" s="553">
        <f t="shared" si="19"/>
        <v>2520</v>
      </c>
      <c r="Y193" s="526"/>
      <c r="Z193" s="526"/>
      <c r="AA193" s="526"/>
      <c r="AB193" s="526"/>
      <c r="AC193" s="526"/>
      <c r="AD193" s="526"/>
      <c r="AE193" s="526"/>
      <c r="AF193" s="526"/>
      <c r="AG193" s="526"/>
      <c r="AH193" s="526"/>
      <c r="AI193" s="526"/>
      <c r="AJ193" s="526"/>
      <c r="AQ193" s="712"/>
    </row>
    <row r="194" spans="1:44" ht="21">
      <c r="K194" s="712"/>
      <c r="L194" s="502"/>
      <c r="M194" s="502"/>
      <c r="N194" s="518" t="s">
        <v>323</v>
      </c>
      <c r="O194" s="636" t="s">
        <v>313</v>
      </c>
      <c r="P194" s="579">
        <v>3</v>
      </c>
      <c r="Q194" s="579">
        <v>30</v>
      </c>
      <c r="R194" s="638">
        <v>6</v>
      </c>
      <c r="S194" s="579">
        <f t="shared" si="18"/>
        <v>540</v>
      </c>
      <c r="T194" s="552">
        <f t="shared" ref="T194:X202" si="20">VLOOKUP($N194,FLD_MD_penit,T$182,0)*$S194</f>
        <v>1620</v>
      </c>
      <c r="U194" s="552">
        <f t="shared" si="20"/>
        <v>1620</v>
      </c>
      <c r="V194" s="552">
        <f t="shared" si="20"/>
        <v>1620</v>
      </c>
      <c r="W194" s="552">
        <f t="shared" si="20"/>
        <v>1620</v>
      </c>
      <c r="X194" s="553">
        <f t="shared" si="20"/>
        <v>1620</v>
      </c>
      <c r="Y194" s="526"/>
      <c r="Z194" s="526"/>
      <c r="AA194" s="526"/>
      <c r="AB194" s="526"/>
      <c r="AC194" s="526"/>
      <c r="AD194" s="526"/>
      <c r="AE194" s="526"/>
      <c r="AF194" s="526"/>
      <c r="AG194" s="526"/>
      <c r="AH194" s="526"/>
      <c r="AI194" s="526"/>
      <c r="AJ194" s="526"/>
      <c r="AQ194" s="712"/>
    </row>
    <row r="195" spans="1:44" ht="21">
      <c r="K195" s="712"/>
      <c r="L195" s="502"/>
      <c r="M195" s="502"/>
      <c r="N195" s="518" t="s">
        <v>323</v>
      </c>
      <c r="O195" s="636" t="s">
        <v>320</v>
      </c>
      <c r="P195" s="579">
        <v>1</v>
      </c>
      <c r="Q195" s="579">
        <v>30</v>
      </c>
      <c r="R195" s="638">
        <v>6</v>
      </c>
      <c r="S195" s="579">
        <f t="shared" si="18"/>
        <v>180</v>
      </c>
      <c r="T195" s="552">
        <f t="shared" si="20"/>
        <v>540</v>
      </c>
      <c r="U195" s="552">
        <f t="shared" si="20"/>
        <v>540</v>
      </c>
      <c r="V195" s="552">
        <f t="shared" si="20"/>
        <v>540</v>
      </c>
      <c r="W195" s="552">
        <f t="shared" si="20"/>
        <v>540</v>
      </c>
      <c r="X195" s="553">
        <f t="shared" si="20"/>
        <v>540</v>
      </c>
      <c r="Y195" s="526"/>
      <c r="Z195" s="526"/>
      <c r="AA195" s="526"/>
      <c r="AB195" s="526"/>
      <c r="AC195" s="526"/>
      <c r="AD195" s="526"/>
      <c r="AE195" s="526"/>
      <c r="AF195" s="526"/>
      <c r="AG195" s="526"/>
      <c r="AH195" s="526"/>
      <c r="AI195" s="526"/>
      <c r="AJ195" s="526"/>
      <c r="AQ195" s="712"/>
    </row>
    <row r="196" spans="1:44" ht="21">
      <c r="K196" s="712"/>
      <c r="L196" s="502"/>
      <c r="M196" s="502"/>
      <c r="N196" s="518" t="s">
        <v>323</v>
      </c>
      <c r="O196" s="636" t="s">
        <v>314</v>
      </c>
      <c r="P196" s="579">
        <v>4</v>
      </c>
      <c r="Q196" s="579">
        <v>30</v>
      </c>
      <c r="R196" s="638">
        <v>2</v>
      </c>
      <c r="S196" s="579">
        <f t="shared" si="18"/>
        <v>240</v>
      </c>
      <c r="T196" s="552">
        <f t="shared" si="20"/>
        <v>720</v>
      </c>
      <c r="U196" s="552">
        <f t="shared" si="20"/>
        <v>720</v>
      </c>
      <c r="V196" s="552">
        <f t="shared" si="20"/>
        <v>720</v>
      </c>
      <c r="W196" s="552">
        <f t="shared" si="20"/>
        <v>720</v>
      </c>
      <c r="X196" s="553">
        <f t="shared" si="20"/>
        <v>720</v>
      </c>
      <c r="Y196" s="526"/>
      <c r="Z196" s="526"/>
      <c r="AA196" s="526"/>
      <c r="AB196" s="526"/>
      <c r="AC196" s="526"/>
      <c r="AD196" s="526"/>
      <c r="AE196" s="526"/>
      <c r="AF196" s="526"/>
      <c r="AG196" s="526"/>
      <c r="AH196" s="526"/>
      <c r="AI196" s="526"/>
      <c r="AJ196" s="526"/>
      <c r="AQ196" s="712"/>
    </row>
    <row r="197" spans="1:44" ht="21">
      <c r="K197" s="712"/>
      <c r="L197" s="502"/>
      <c r="M197" s="502"/>
      <c r="N197" s="518" t="s">
        <v>323</v>
      </c>
      <c r="O197" s="636" t="s">
        <v>319</v>
      </c>
      <c r="P197" s="579">
        <v>2</v>
      </c>
      <c r="Q197" s="579">
        <v>30</v>
      </c>
      <c r="R197" s="638">
        <v>6</v>
      </c>
      <c r="S197" s="579">
        <f t="shared" si="18"/>
        <v>360</v>
      </c>
      <c r="T197" s="552">
        <f t="shared" si="20"/>
        <v>1080</v>
      </c>
      <c r="U197" s="552">
        <f t="shared" si="20"/>
        <v>1080</v>
      </c>
      <c r="V197" s="552">
        <f t="shared" si="20"/>
        <v>1080</v>
      </c>
      <c r="W197" s="552">
        <f t="shared" si="20"/>
        <v>1080</v>
      </c>
      <c r="X197" s="553">
        <f t="shared" si="20"/>
        <v>1080</v>
      </c>
      <c r="Y197" s="526"/>
      <c r="Z197" s="526"/>
      <c r="AA197" s="526"/>
      <c r="AB197" s="526"/>
      <c r="AC197" s="526"/>
      <c r="AD197" s="526"/>
      <c r="AE197" s="526"/>
      <c r="AF197" s="526"/>
      <c r="AG197" s="526"/>
      <c r="AH197" s="526"/>
      <c r="AI197" s="526"/>
      <c r="AJ197" s="526"/>
      <c r="AQ197" s="712"/>
    </row>
    <row r="198" spans="1:44" ht="21">
      <c r="K198" s="712"/>
      <c r="L198" s="502"/>
      <c r="M198" s="502"/>
      <c r="N198" s="518" t="s">
        <v>324</v>
      </c>
      <c r="O198" s="636" t="s">
        <v>315</v>
      </c>
      <c r="P198" s="579">
        <v>4</v>
      </c>
      <c r="Q198" s="579">
        <v>30</v>
      </c>
      <c r="R198" s="639">
        <v>4</v>
      </c>
      <c r="S198" s="579">
        <f t="shared" si="18"/>
        <v>480</v>
      </c>
      <c r="T198" s="552">
        <f t="shared" si="20"/>
        <v>7680</v>
      </c>
      <c r="U198" s="552">
        <f t="shared" si="20"/>
        <v>7200</v>
      </c>
      <c r="V198" s="552">
        <f t="shared" si="20"/>
        <v>7200</v>
      </c>
      <c r="W198" s="552">
        <f t="shared" si="20"/>
        <v>7200</v>
      </c>
      <c r="X198" s="553">
        <f t="shared" si="20"/>
        <v>6720</v>
      </c>
      <c r="Y198" s="526"/>
      <c r="Z198" s="526"/>
      <c r="AA198" s="526"/>
      <c r="AB198" s="526"/>
      <c r="AC198" s="526"/>
      <c r="AD198" s="526"/>
      <c r="AE198" s="526"/>
      <c r="AF198" s="526"/>
      <c r="AG198" s="526"/>
      <c r="AH198" s="526"/>
      <c r="AI198" s="526"/>
      <c r="AJ198" s="526"/>
      <c r="AQ198" s="712"/>
    </row>
    <row r="199" spans="1:44" ht="34">
      <c r="K199" s="712"/>
      <c r="L199" s="502"/>
      <c r="M199" s="502"/>
      <c r="N199" s="518" t="s">
        <v>324</v>
      </c>
      <c r="O199" s="636" t="s">
        <v>325</v>
      </c>
      <c r="P199" s="579">
        <v>4</v>
      </c>
      <c r="Q199" s="579">
        <v>30</v>
      </c>
      <c r="R199" s="639">
        <v>2</v>
      </c>
      <c r="S199" s="579">
        <f t="shared" si="18"/>
        <v>240</v>
      </c>
      <c r="T199" s="552">
        <f t="shared" si="20"/>
        <v>3840</v>
      </c>
      <c r="U199" s="552">
        <f t="shared" si="20"/>
        <v>3600</v>
      </c>
      <c r="V199" s="552">
        <f t="shared" si="20"/>
        <v>3600</v>
      </c>
      <c r="W199" s="552">
        <f t="shared" si="20"/>
        <v>3600</v>
      </c>
      <c r="X199" s="553">
        <f t="shared" si="20"/>
        <v>3360</v>
      </c>
      <c r="Y199" s="526"/>
      <c r="Z199" s="526"/>
      <c r="AA199" s="526"/>
      <c r="AB199" s="526"/>
      <c r="AC199" s="526"/>
      <c r="AD199" s="526"/>
      <c r="AE199" s="526"/>
      <c r="AF199" s="526"/>
      <c r="AG199" s="526"/>
      <c r="AH199" s="526"/>
      <c r="AI199" s="526"/>
      <c r="AJ199" s="526"/>
      <c r="AQ199" s="712"/>
    </row>
    <row r="200" spans="1:44" ht="21">
      <c r="K200" s="712"/>
      <c r="L200" s="502"/>
      <c r="M200" s="502"/>
      <c r="N200" s="518" t="s">
        <v>326</v>
      </c>
      <c r="O200" s="636" t="s">
        <v>315</v>
      </c>
      <c r="P200" s="579">
        <v>4</v>
      </c>
      <c r="Q200" s="579">
        <v>30</v>
      </c>
      <c r="R200" s="639">
        <v>4</v>
      </c>
      <c r="S200" s="579">
        <f t="shared" si="18"/>
        <v>480</v>
      </c>
      <c r="T200" s="552">
        <f t="shared" si="20"/>
        <v>3360</v>
      </c>
      <c r="U200" s="552">
        <f t="shared" si="20"/>
        <v>3360</v>
      </c>
      <c r="V200" s="552">
        <f t="shared" si="20"/>
        <v>2880</v>
      </c>
      <c r="W200" s="552">
        <f t="shared" si="20"/>
        <v>2880</v>
      </c>
      <c r="X200" s="553">
        <f t="shared" si="20"/>
        <v>2880</v>
      </c>
      <c r="Y200" s="526"/>
      <c r="Z200" s="526"/>
      <c r="AA200" s="526"/>
      <c r="AB200" s="526"/>
      <c r="AC200" s="526"/>
      <c r="AD200" s="526"/>
      <c r="AE200" s="526"/>
      <c r="AF200" s="526"/>
      <c r="AG200" s="526"/>
      <c r="AH200" s="526"/>
      <c r="AI200" s="526"/>
      <c r="AJ200" s="526"/>
      <c r="AQ200" s="712"/>
    </row>
    <row r="201" spans="1:44" ht="34">
      <c r="K201" s="712"/>
      <c r="L201" s="502"/>
      <c r="M201" s="502"/>
      <c r="N201" s="518" t="s">
        <v>326</v>
      </c>
      <c r="O201" s="636" t="s">
        <v>325</v>
      </c>
      <c r="P201" s="579">
        <v>4</v>
      </c>
      <c r="Q201" s="579">
        <v>30</v>
      </c>
      <c r="R201" s="639">
        <v>2</v>
      </c>
      <c r="S201" s="579">
        <f t="shared" si="18"/>
        <v>240</v>
      </c>
      <c r="T201" s="552">
        <f t="shared" si="20"/>
        <v>1680</v>
      </c>
      <c r="U201" s="552">
        <f t="shared" si="20"/>
        <v>1680</v>
      </c>
      <c r="V201" s="552">
        <f t="shared" si="20"/>
        <v>1440</v>
      </c>
      <c r="W201" s="552">
        <f t="shared" si="20"/>
        <v>1440</v>
      </c>
      <c r="X201" s="553">
        <f t="shared" si="20"/>
        <v>1440</v>
      </c>
      <c r="Y201" s="526"/>
      <c r="Z201" s="526"/>
      <c r="AA201" s="526"/>
      <c r="AB201" s="526"/>
      <c r="AC201" s="526"/>
      <c r="AD201" s="526"/>
      <c r="AE201" s="526"/>
      <c r="AF201" s="526"/>
      <c r="AG201" s="526"/>
      <c r="AH201" s="526"/>
      <c r="AI201" s="526"/>
      <c r="AJ201" s="526"/>
      <c r="AQ201" s="712"/>
    </row>
    <row r="202" spans="1:44" ht="22" thickBot="1">
      <c r="K202" s="712"/>
      <c r="L202" s="502"/>
      <c r="M202" s="502"/>
      <c r="N202" s="524" t="s">
        <v>326</v>
      </c>
      <c r="O202" s="640" t="s">
        <v>313</v>
      </c>
      <c r="P202" s="581">
        <v>3</v>
      </c>
      <c r="Q202" s="581">
        <v>30</v>
      </c>
      <c r="R202" s="641">
        <v>4</v>
      </c>
      <c r="S202" s="581">
        <f t="shared" si="18"/>
        <v>360</v>
      </c>
      <c r="T202" s="556">
        <f t="shared" si="20"/>
        <v>2520</v>
      </c>
      <c r="U202" s="556">
        <f t="shared" si="20"/>
        <v>2520</v>
      </c>
      <c r="V202" s="556">
        <f t="shared" si="20"/>
        <v>2160</v>
      </c>
      <c r="W202" s="556">
        <f t="shared" si="20"/>
        <v>2160</v>
      </c>
      <c r="X202" s="557">
        <f t="shared" si="20"/>
        <v>2160</v>
      </c>
      <c r="Y202" s="526"/>
      <c r="Z202" s="526"/>
      <c r="AA202" s="526"/>
      <c r="AB202" s="526"/>
      <c r="AC202" s="526"/>
      <c r="AD202" s="526"/>
      <c r="AE202" s="526"/>
      <c r="AF202" s="526"/>
      <c r="AG202" s="526"/>
      <c r="AH202" s="526"/>
      <c r="AI202" s="526"/>
      <c r="AJ202" s="526"/>
      <c r="AQ202" s="712"/>
    </row>
    <row r="203" spans="1:44" ht="22" thickBot="1">
      <c r="K203" s="712"/>
      <c r="L203" s="502"/>
      <c r="M203" s="502"/>
      <c r="N203" s="1438" t="s">
        <v>2402</v>
      </c>
      <c r="O203" s="1443" t="s">
        <v>2403</v>
      </c>
      <c r="P203" s="1387">
        <v>2</v>
      </c>
      <c r="Q203" s="1387">
        <v>30</v>
      </c>
      <c r="R203" s="1387">
        <v>6</v>
      </c>
      <c r="S203" s="1387">
        <f t="shared" si="18"/>
        <v>360</v>
      </c>
      <c r="T203" s="582">
        <f>T181*$S203</f>
        <v>1440</v>
      </c>
      <c r="U203" s="582">
        <f>U181*$S203</f>
        <v>1440</v>
      </c>
      <c r="V203" s="582">
        <f>V181*$S203</f>
        <v>1440</v>
      </c>
      <c r="W203" s="582">
        <f>W181*$S203</f>
        <v>1080</v>
      </c>
      <c r="X203" s="582">
        <f>X181*$S203</f>
        <v>1080</v>
      </c>
      <c r="Y203" s="526"/>
      <c r="Z203" s="526"/>
      <c r="AA203" s="526"/>
      <c r="AB203" s="526"/>
      <c r="AC203" s="526"/>
      <c r="AD203" s="526"/>
      <c r="AE203" s="526"/>
      <c r="AF203" s="526"/>
      <c r="AG203" s="526"/>
      <c r="AH203" s="526"/>
      <c r="AI203" s="526"/>
      <c r="AJ203" s="526"/>
      <c r="AQ203" s="712"/>
    </row>
    <row r="204" spans="1:44" ht="22" thickBot="1">
      <c r="K204" s="712"/>
      <c r="L204" s="502"/>
      <c r="M204" s="502"/>
      <c r="O204" s="1443"/>
      <c r="P204" s="526"/>
      <c r="Q204" s="526"/>
      <c r="R204" s="526"/>
      <c r="S204" s="526"/>
      <c r="T204" s="526"/>
      <c r="U204" s="526"/>
      <c r="V204" s="526"/>
      <c r="W204" s="526"/>
      <c r="X204" s="526"/>
      <c r="Y204" s="526"/>
      <c r="Z204" s="526"/>
      <c r="AA204" s="526"/>
      <c r="AB204" s="526"/>
      <c r="AC204" s="526"/>
      <c r="AD204" s="526"/>
      <c r="AE204" s="526"/>
      <c r="AF204" s="526"/>
      <c r="AG204" s="526"/>
      <c r="AH204" s="526"/>
      <c r="AI204" s="526"/>
      <c r="AJ204" s="526"/>
      <c r="AQ204" s="712"/>
    </row>
    <row r="205" spans="1:44" ht="22" thickBot="1">
      <c r="A205" s="730">
        <v>13</v>
      </c>
      <c r="B205" s="733">
        <f>T205</f>
        <v>720</v>
      </c>
      <c r="C205" s="733">
        <f>U205</f>
        <v>720</v>
      </c>
      <c r="D205" s="733">
        <f>V205</f>
        <v>720</v>
      </c>
      <c r="E205" s="733">
        <f>W205</f>
        <v>540</v>
      </c>
      <c r="F205" s="733">
        <f>X205</f>
        <v>540</v>
      </c>
      <c r="G205" s="733" t="s">
        <v>350</v>
      </c>
      <c r="H205" s="733" t="s">
        <v>2404</v>
      </c>
      <c r="I205" s="841"/>
      <c r="J205" s="841" t="s">
        <v>2950</v>
      </c>
      <c r="K205" s="712"/>
      <c r="L205" s="502"/>
      <c r="M205" s="502"/>
      <c r="O205" s="1443" t="s">
        <v>2403</v>
      </c>
      <c r="P205" s="526"/>
      <c r="Q205" s="526"/>
      <c r="R205" s="526"/>
      <c r="S205" s="591">
        <f>VLOOKUP(O205,Preturi_medicamente!D:F,3,0)</f>
        <v>0.5</v>
      </c>
      <c r="T205" s="1738">
        <f>ROUND(T203*$S205,2)</f>
        <v>720</v>
      </c>
      <c r="U205" s="1736">
        <f>ROUND(U203*$S205,2)</f>
        <v>720</v>
      </c>
      <c r="V205" s="1736">
        <f>ROUND(V203*$S205,2)</f>
        <v>720</v>
      </c>
      <c r="W205" s="1736">
        <f>ROUND(W203*$S205,2)</f>
        <v>540</v>
      </c>
      <c r="X205" s="1737">
        <f>ROUND(X203*$S205,2)</f>
        <v>540</v>
      </c>
      <c r="Y205" s="526"/>
      <c r="Z205" s="526"/>
      <c r="AA205" s="526"/>
      <c r="AB205" s="526"/>
      <c r="AC205" s="526"/>
      <c r="AD205" s="526"/>
      <c r="AE205" s="526"/>
      <c r="AF205" s="526"/>
      <c r="AG205" s="526"/>
      <c r="AH205" s="526"/>
      <c r="AI205" s="526"/>
      <c r="AJ205" s="526"/>
      <c r="AQ205" s="712"/>
      <c r="AR205" s="1487">
        <f>SUM(T205:X205)</f>
        <v>3240</v>
      </c>
    </row>
    <row r="206" spans="1:44" ht="21">
      <c r="K206" s="712"/>
      <c r="L206" s="502"/>
      <c r="M206" s="502"/>
      <c r="O206" s="526"/>
      <c r="P206" s="526"/>
      <c r="Q206" s="526"/>
      <c r="R206" s="526"/>
      <c r="S206" s="526"/>
      <c r="T206" s="526"/>
      <c r="U206" s="526"/>
      <c r="V206" s="526"/>
      <c r="W206" s="526"/>
      <c r="X206" s="526"/>
      <c r="Y206" s="526"/>
      <c r="Z206" s="526"/>
      <c r="AA206" s="526"/>
      <c r="AB206" s="526"/>
      <c r="AC206" s="526"/>
      <c r="AD206" s="526"/>
      <c r="AE206" s="526"/>
      <c r="AF206" s="526"/>
      <c r="AG206" s="526"/>
      <c r="AH206" s="526"/>
      <c r="AI206" s="526"/>
      <c r="AJ206" s="526"/>
      <c r="AQ206" s="712"/>
    </row>
    <row r="207" spans="1:44" ht="21">
      <c r="K207" s="712"/>
      <c r="L207" s="502"/>
      <c r="M207" s="502"/>
      <c r="O207" s="526"/>
      <c r="P207" s="526"/>
      <c r="Q207" s="526"/>
      <c r="R207" s="526"/>
      <c r="S207" s="526"/>
      <c r="T207" s="526"/>
      <c r="U207" s="526"/>
      <c r="V207" s="526"/>
      <c r="W207" s="526"/>
      <c r="X207" s="526"/>
      <c r="Y207" s="526"/>
      <c r="Z207" s="526"/>
      <c r="AA207" s="526"/>
      <c r="AB207" s="526"/>
      <c r="AC207" s="526"/>
      <c r="AD207" s="526"/>
      <c r="AE207" s="526"/>
      <c r="AF207" s="526"/>
      <c r="AG207" s="526"/>
      <c r="AH207" s="526"/>
      <c r="AI207" s="526"/>
      <c r="AJ207" s="526"/>
      <c r="AQ207" s="712"/>
    </row>
    <row r="208" spans="1:44" ht="22" thickBot="1">
      <c r="K208" s="712"/>
      <c r="L208" s="502"/>
      <c r="M208" s="502"/>
      <c r="O208" s="526"/>
      <c r="P208" s="526"/>
      <c r="Q208" s="526"/>
      <c r="R208" s="526"/>
      <c r="S208" s="526"/>
      <c r="T208" s="526"/>
      <c r="U208" s="526"/>
      <c r="V208" s="526"/>
      <c r="W208" s="526"/>
      <c r="X208" s="526"/>
      <c r="Y208" s="526"/>
      <c r="Z208" s="526"/>
      <c r="AA208" s="526"/>
      <c r="AB208" s="526"/>
      <c r="AC208" s="526"/>
      <c r="AD208" s="526"/>
      <c r="AE208" s="526"/>
      <c r="AF208" s="526"/>
      <c r="AG208" s="526"/>
      <c r="AH208" s="526"/>
      <c r="AI208" s="526"/>
      <c r="AJ208" s="526"/>
      <c r="AQ208" s="712"/>
    </row>
    <row r="209" spans="11:43" ht="22" thickBot="1">
      <c r="K209" s="712"/>
      <c r="L209" s="502"/>
      <c r="M209" s="502"/>
      <c r="N209" s="508" t="s">
        <v>335</v>
      </c>
      <c r="O209" s="526"/>
      <c r="P209" s="526"/>
      <c r="Q209" s="526"/>
      <c r="R209" s="526"/>
      <c r="S209" s="526"/>
      <c r="T209" s="530" t="s">
        <v>333</v>
      </c>
      <c r="U209" s="528"/>
      <c r="V209" s="528"/>
      <c r="W209" s="528"/>
      <c r="X209" s="529"/>
      <c r="Y209" s="526"/>
      <c r="Z209" s="526"/>
      <c r="AA209" s="526"/>
      <c r="AB209" s="526"/>
      <c r="AC209" s="526"/>
      <c r="AD209" s="526"/>
      <c r="AE209" s="526"/>
      <c r="AF209" s="526"/>
      <c r="AG209" s="526"/>
      <c r="AH209" s="526"/>
      <c r="AI209" s="526"/>
      <c r="AJ209" s="526"/>
      <c r="AQ209" s="712"/>
    </row>
    <row r="210" spans="11:43" ht="22" thickBot="1">
      <c r="K210" s="712"/>
      <c r="L210" s="502"/>
      <c r="M210" s="502"/>
      <c r="O210" s="526"/>
      <c r="P210" s="526"/>
      <c r="Q210" s="526"/>
      <c r="R210" s="526"/>
      <c r="S210" s="526"/>
      <c r="T210" s="584">
        <v>2021</v>
      </c>
      <c r="U210" s="585">
        <v>2022</v>
      </c>
      <c r="V210" s="585">
        <v>2023</v>
      </c>
      <c r="W210" s="585">
        <v>2024</v>
      </c>
      <c r="X210" s="586">
        <v>2025</v>
      </c>
      <c r="Y210" s="526"/>
      <c r="Z210" s="526"/>
      <c r="AA210" s="526"/>
      <c r="AB210" s="526"/>
      <c r="AC210" s="526"/>
      <c r="AD210" s="526"/>
      <c r="AE210" s="526"/>
      <c r="AF210" s="526"/>
      <c r="AG210" s="526"/>
      <c r="AH210" s="526"/>
      <c r="AI210" s="526"/>
      <c r="AJ210" s="526"/>
      <c r="AQ210" s="712"/>
    </row>
    <row r="211" spans="11:43" ht="21">
      <c r="K211" s="712"/>
      <c r="L211" s="502"/>
      <c r="M211" s="502"/>
      <c r="O211" s="530" t="s">
        <v>315</v>
      </c>
      <c r="P211" s="528"/>
      <c r="Q211" s="528"/>
      <c r="R211" s="528"/>
      <c r="S211" s="528"/>
      <c r="T211" s="592">
        <f t="shared" ref="T211:X218" si="21">SUMIF($O$184:$O$202,$O211,T$184:T$202)</f>
        <v>26880</v>
      </c>
      <c r="U211" s="593">
        <f t="shared" si="21"/>
        <v>26400</v>
      </c>
      <c r="V211" s="593">
        <f t="shared" si="21"/>
        <v>25920</v>
      </c>
      <c r="W211" s="593">
        <f t="shared" si="21"/>
        <v>25200</v>
      </c>
      <c r="X211" s="594">
        <f t="shared" si="21"/>
        <v>24000</v>
      </c>
      <c r="Y211" s="526"/>
      <c r="Z211" s="526"/>
      <c r="AA211" s="526"/>
      <c r="AB211" s="526"/>
      <c r="AC211" s="526"/>
      <c r="AD211" s="526"/>
      <c r="AE211" s="526"/>
      <c r="AF211" s="526"/>
      <c r="AG211" s="526"/>
      <c r="AH211" s="526"/>
      <c r="AI211" s="526"/>
      <c r="AJ211" s="526"/>
      <c r="AQ211" s="712"/>
    </row>
    <row r="212" spans="11:43" ht="21">
      <c r="K212" s="712"/>
      <c r="L212" s="502"/>
      <c r="M212" s="502"/>
      <c r="O212" s="574" t="s">
        <v>325</v>
      </c>
      <c r="P212" s="591"/>
      <c r="Q212" s="591"/>
      <c r="R212" s="591"/>
      <c r="S212" s="591"/>
      <c r="T212" s="592">
        <f t="shared" si="21"/>
        <v>5520</v>
      </c>
      <c r="U212" s="593">
        <f t="shared" si="21"/>
        <v>5280</v>
      </c>
      <c r="V212" s="593">
        <f t="shared" si="21"/>
        <v>5040</v>
      </c>
      <c r="W212" s="593">
        <f t="shared" si="21"/>
        <v>5040</v>
      </c>
      <c r="X212" s="594">
        <f t="shared" si="21"/>
        <v>4800</v>
      </c>
      <c r="Y212" s="526"/>
      <c r="Z212" s="526"/>
      <c r="AA212" s="526"/>
      <c r="AB212" s="526"/>
      <c r="AC212" s="526"/>
      <c r="AD212" s="526"/>
      <c r="AE212" s="526"/>
      <c r="AF212" s="526"/>
      <c r="AG212" s="526"/>
      <c r="AH212" s="526"/>
      <c r="AI212" s="526"/>
      <c r="AJ212" s="526"/>
      <c r="AQ212" s="712"/>
    </row>
    <row r="213" spans="11:43" ht="21">
      <c r="K213" s="712"/>
      <c r="L213" s="502"/>
      <c r="M213" s="502"/>
      <c r="O213" s="574" t="s">
        <v>322</v>
      </c>
      <c r="P213" s="591"/>
      <c r="Q213" s="591"/>
      <c r="R213" s="591"/>
      <c r="S213" s="591"/>
      <c r="T213" s="592">
        <f t="shared" si="21"/>
        <v>0</v>
      </c>
      <c r="U213" s="593">
        <f t="shared" si="21"/>
        <v>0</v>
      </c>
      <c r="V213" s="593">
        <f t="shared" si="21"/>
        <v>0</v>
      </c>
      <c r="W213" s="593">
        <f t="shared" si="21"/>
        <v>0</v>
      </c>
      <c r="X213" s="594">
        <f t="shared" si="21"/>
        <v>0</v>
      </c>
      <c r="Y213" s="526"/>
      <c r="Z213" s="526"/>
      <c r="AA213" s="526"/>
      <c r="AB213" s="526"/>
      <c r="AC213" s="526"/>
      <c r="AD213" s="526"/>
      <c r="AE213" s="526"/>
      <c r="AF213" s="526"/>
      <c r="AG213" s="526"/>
      <c r="AH213" s="526"/>
      <c r="AI213" s="526"/>
      <c r="AJ213" s="526"/>
      <c r="AQ213" s="712"/>
    </row>
    <row r="214" spans="11:43" ht="21">
      <c r="K214" s="712"/>
      <c r="L214" s="502"/>
      <c r="M214" s="502"/>
      <c r="O214" s="574" t="s">
        <v>313</v>
      </c>
      <c r="P214" s="591"/>
      <c r="Q214" s="591"/>
      <c r="R214" s="591"/>
      <c r="S214" s="591"/>
      <c r="T214" s="592">
        <f t="shared" si="21"/>
        <v>12060</v>
      </c>
      <c r="U214" s="593">
        <f t="shared" si="21"/>
        <v>12060</v>
      </c>
      <c r="V214" s="593">
        <f t="shared" si="21"/>
        <v>11160</v>
      </c>
      <c r="W214" s="593">
        <f t="shared" si="21"/>
        <v>10980</v>
      </c>
      <c r="X214" s="594">
        <f t="shared" si="21"/>
        <v>10800</v>
      </c>
      <c r="Y214" s="526"/>
      <c r="Z214" s="526"/>
      <c r="AA214" s="526"/>
      <c r="AB214" s="526"/>
      <c r="AC214" s="526"/>
      <c r="AD214" s="526"/>
      <c r="AE214" s="526"/>
      <c r="AF214" s="526"/>
      <c r="AG214" s="526"/>
      <c r="AH214" s="526"/>
      <c r="AI214" s="526"/>
      <c r="AJ214" s="526"/>
      <c r="AQ214" s="712"/>
    </row>
    <row r="215" spans="11:43" ht="21">
      <c r="K215" s="712"/>
      <c r="L215" s="502"/>
      <c r="M215" s="502"/>
      <c r="O215" s="574" t="s">
        <v>320</v>
      </c>
      <c r="P215" s="591"/>
      <c r="Q215" s="591"/>
      <c r="R215" s="591"/>
      <c r="S215" s="591"/>
      <c r="T215" s="592">
        <f t="shared" si="21"/>
        <v>1980</v>
      </c>
      <c r="U215" s="593">
        <f t="shared" si="21"/>
        <v>1980</v>
      </c>
      <c r="V215" s="593">
        <f t="shared" si="21"/>
        <v>1800</v>
      </c>
      <c r="W215" s="593">
        <f t="shared" si="21"/>
        <v>1800</v>
      </c>
      <c r="X215" s="594">
        <f t="shared" si="21"/>
        <v>1800</v>
      </c>
      <c r="Y215" s="526"/>
      <c r="Z215" s="526"/>
      <c r="AA215" s="526"/>
      <c r="AB215" s="526"/>
      <c r="AC215" s="526"/>
      <c r="AD215" s="526"/>
      <c r="AE215" s="526"/>
      <c r="AF215" s="526"/>
      <c r="AG215" s="526"/>
      <c r="AH215" s="526"/>
      <c r="AI215" s="526"/>
      <c r="AJ215" s="526"/>
      <c r="AQ215" s="712"/>
    </row>
    <row r="216" spans="11:43" ht="21">
      <c r="K216" s="712"/>
      <c r="L216" s="502"/>
      <c r="M216" s="502"/>
      <c r="O216" s="574" t="s">
        <v>321</v>
      </c>
      <c r="P216" s="591"/>
      <c r="Q216" s="591"/>
      <c r="R216" s="591"/>
      <c r="S216" s="591"/>
      <c r="T216" s="592">
        <f t="shared" si="21"/>
        <v>0</v>
      </c>
      <c r="U216" s="593">
        <f t="shared" si="21"/>
        <v>0</v>
      </c>
      <c r="V216" s="593">
        <f t="shared" si="21"/>
        <v>0</v>
      </c>
      <c r="W216" s="593">
        <f t="shared" si="21"/>
        <v>0</v>
      </c>
      <c r="X216" s="594">
        <f t="shared" si="21"/>
        <v>0</v>
      </c>
      <c r="Y216" s="526"/>
      <c r="Z216" s="526"/>
      <c r="AA216" s="526"/>
      <c r="AB216" s="526"/>
      <c r="AC216" s="526"/>
      <c r="AD216" s="526"/>
      <c r="AE216" s="526"/>
      <c r="AF216" s="526"/>
      <c r="AG216" s="526"/>
      <c r="AH216" s="526"/>
      <c r="AI216" s="526"/>
      <c r="AJ216" s="526"/>
      <c r="AQ216" s="712"/>
    </row>
    <row r="217" spans="11:43" ht="21">
      <c r="K217" s="712"/>
      <c r="L217" s="502"/>
      <c r="M217" s="502"/>
      <c r="O217" s="574" t="s">
        <v>314</v>
      </c>
      <c r="P217" s="591"/>
      <c r="Q217" s="591"/>
      <c r="R217" s="591"/>
      <c r="S217" s="591"/>
      <c r="T217" s="592">
        <f t="shared" si="21"/>
        <v>7920</v>
      </c>
      <c r="U217" s="593">
        <f t="shared" si="21"/>
        <v>7920</v>
      </c>
      <c r="V217" s="593">
        <f t="shared" si="21"/>
        <v>7680</v>
      </c>
      <c r="W217" s="593">
        <f t="shared" si="21"/>
        <v>7440</v>
      </c>
      <c r="X217" s="594">
        <f t="shared" si="21"/>
        <v>7200</v>
      </c>
      <c r="Y217" s="526"/>
      <c r="Z217" s="526"/>
      <c r="AA217" s="526"/>
      <c r="AB217" s="526"/>
      <c r="AC217" s="526"/>
      <c r="AD217" s="526"/>
      <c r="AE217" s="526"/>
      <c r="AF217" s="526"/>
      <c r="AG217" s="526"/>
      <c r="AH217" s="526"/>
      <c r="AI217" s="526"/>
      <c r="AJ217" s="526"/>
      <c r="AQ217" s="712"/>
    </row>
    <row r="218" spans="11:43" ht="22" thickBot="1">
      <c r="K218" s="712"/>
      <c r="L218" s="502"/>
      <c r="M218" s="502"/>
      <c r="O218" s="595" t="s">
        <v>319</v>
      </c>
      <c r="P218" s="596"/>
      <c r="Q218" s="596"/>
      <c r="R218" s="596"/>
      <c r="S218" s="596"/>
      <c r="T218" s="597">
        <f t="shared" si="21"/>
        <v>3960</v>
      </c>
      <c r="U218" s="598">
        <f t="shared" si="21"/>
        <v>3960</v>
      </c>
      <c r="V218" s="598">
        <f t="shared" si="21"/>
        <v>3600</v>
      </c>
      <c r="W218" s="598">
        <f t="shared" si="21"/>
        <v>3600</v>
      </c>
      <c r="X218" s="599">
        <f t="shared" si="21"/>
        <v>3600</v>
      </c>
      <c r="Y218" s="526"/>
      <c r="Z218" s="526"/>
      <c r="AA218" s="526"/>
      <c r="AB218" s="526"/>
      <c r="AC218" s="526"/>
      <c r="AD218" s="526"/>
      <c r="AE218" s="526"/>
      <c r="AF218" s="526"/>
      <c r="AG218" s="526"/>
      <c r="AH218" s="526"/>
      <c r="AI218" s="526"/>
      <c r="AJ218" s="526"/>
      <c r="AQ218" s="712"/>
    </row>
    <row r="219" spans="11:43" ht="22" thickBot="1">
      <c r="K219" s="712"/>
      <c r="L219" s="502"/>
      <c r="M219" s="502"/>
      <c r="O219" s="526"/>
      <c r="P219" s="526"/>
      <c r="Q219" s="526"/>
      <c r="R219" s="526"/>
      <c r="S219" s="526"/>
      <c r="T219" s="526"/>
      <c r="U219" s="526"/>
      <c r="V219" s="526"/>
      <c r="W219" s="526"/>
      <c r="X219" s="526"/>
      <c r="Y219" s="526"/>
      <c r="Z219" s="526"/>
      <c r="AA219" s="526"/>
      <c r="AB219" s="526"/>
      <c r="AC219" s="526"/>
      <c r="AD219" s="526"/>
      <c r="AE219" s="526"/>
      <c r="AF219" s="526"/>
      <c r="AG219" s="526"/>
      <c r="AH219" s="526"/>
      <c r="AI219" s="526"/>
      <c r="AJ219" s="526"/>
      <c r="AQ219" s="712"/>
    </row>
    <row r="220" spans="11:43" ht="22" thickBot="1">
      <c r="K220" s="712"/>
      <c r="L220" s="502"/>
      <c r="M220" s="502"/>
      <c r="O220" s="526"/>
      <c r="P220" s="526"/>
      <c r="Q220" s="526"/>
      <c r="R220" s="526"/>
      <c r="S220" s="526"/>
      <c r="T220" s="530" t="s">
        <v>334</v>
      </c>
      <c r="U220" s="528"/>
      <c r="V220" s="528"/>
      <c r="W220" s="528"/>
      <c r="X220" s="529"/>
      <c r="Y220" s="526"/>
      <c r="Z220" s="526"/>
      <c r="AA220" s="526"/>
      <c r="AB220" s="526"/>
      <c r="AC220" s="526"/>
      <c r="AD220" s="526"/>
      <c r="AE220" s="526"/>
      <c r="AF220" s="526"/>
      <c r="AG220" s="526"/>
      <c r="AH220" s="526"/>
      <c r="AI220" s="526"/>
      <c r="AJ220" s="526"/>
      <c r="AQ220" s="712"/>
    </row>
    <row r="221" spans="11:43" ht="22" thickBot="1">
      <c r="K221" s="712"/>
      <c r="L221" s="502"/>
      <c r="M221" s="502"/>
      <c r="O221" s="526"/>
      <c r="P221" s="526"/>
      <c r="Q221" s="526"/>
      <c r="R221" s="526"/>
      <c r="S221" s="526" t="s">
        <v>332</v>
      </c>
      <c r="T221" s="584">
        <v>2021</v>
      </c>
      <c r="U221" s="585">
        <v>2022</v>
      </c>
      <c r="V221" s="585">
        <v>2023</v>
      </c>
      <c r="W221" s="585">
        <v>2024</v>
      </c>
      <c r="X221" s="586">
        <v>2025</v>
      </c>
      <c r="Y221" s="526"/>
      <c r="Z221" s="526"/>
      <c r="AA221" s="526"/>
      <c r="AB221" s="526"/>
      <c r="AC221" s="526"/>
      <c r="AD221" s="526"/>
      <c r="AE221" s="526"/>
      <c r="AF221" s="526"/>
      <c r="AG221" s="526"/>
      <c r="AH221" s="526"/>
      <c r="AI221" s="526"/>
      <c r="AJ221" s="526"/>
      <c r="AQ221" s="712"/>
    </row>
    <row r="222" spans="11:43" ht="21">
      <c r="K222" s="712"/>
      <c r="L222" s="502"/>
      <c r="M222" s="502"/>
      <c r="O222" s="530" t="s">
        <v>315</v>
      </c>
      <c r="P222" s="528"/>
      <c r="Q222" s="528"/>
      <c r="R222" s="528"/>
      <c r="S222" s="528">
        <f>VLOOKUP(O222,Preturi_medicamente!D:F,3,0)</f>
        <v>0.78</v>
      </c>
      <c r="T222" s="600">
        <f t="shared" ref="T222:X229" si="22">ROUND(T211*$S222,2)</f>
        <v>20966.400000000001</v>
      </c>
      <c r="U222" s="601">
        <f t="shared" si="22"/>
        <v>20592</v>
      </c>
      <c r="V222" s="601">
        <f t="shared" si="22"/>
        <v>20217.599999999999</v>
      </c>
      <c r="W222" s="601">
        <f t="shared" si="22"/>
        <v>19656</v>
      </c>
      <c r="X222" s="602">
        <f t="shared" si="22"/>
        <v>18720</v>
      </c>
      <c r="Y222" s="526"/>
      <c r="Z222" s="526"/>
      <c r="AA222" s="526"/>
      <c r="AB222" s="526"/>
      <c r="AC222" s="526"/>
      <c r="AD222" s="526"/>
      <c r="AE222" s="526"/>
      <c r="AF222" s="526"/>
      <c r="AG222" s="526"/>
      <c r="AH222" s="526"/>
      <c r="AI222" s="526"/>
      <c r="AJ222" s="526"/>
      <c r="AQ222" s="712"/>
    </row>
    <row r="223" spans="11:43" ht="21">
      <c r="K223" s="712"/>
      <c r="L223" s="502"/>
      <c r="M223" s="502"/>
      <c r="O223" s="574" t="s">
        <v>325</v>
      </c>
      <c r="P223" s="591"/>
      <c r="Q223" s="591"/>
      <c r="R223" s="591"/>
      <c r="S223" s="591">
        <f>VLOOKUP(O223,Preturi_medicamente!D:F,3,0)</f>
        <v>1.4</v>
      </c>
      <c r="T223" s="603">
        <f t="shared" si="22"/>
        <v>7728</v>
      </c>
      <c r="U223" s="604">
        <f t="shared" si="22"/>
        <v>7392</v>
      </c>
      <c r="V223" s="604">
        <f t="shared" si="22"/>
        <v>7056</v>
      </c>
      <c r="W223" s="604">
        <f t="shared" si="22"/>
        <v>7056</v>
      </c>
      <c r="X223" s="605">
        <f t="shared" si="22"/>
        <v>6720</v>
      </c>
      <c r="Y223" s="526"/>
      <c r="Z223" s="526"/>
      <c r="AA223" s="526"/>
      <c r="AB223" s="526"/>
      <c r="AC223" s="526"/>
      <c r="AD223" s="526"/>
      <c r="AE223" s="526"/>
      <c r="AF223" s="526"/>
      <c r="AG223" s="526"/>
      <c r="AH223" s="526"/>
      <c r="AI223" s="526"/>
      <c r="AJ223" s="526"/>
      <c r="AQ223" s="712"/>
    </row>
    <row r="224" spans="11:43" ht="21">
      <c r="K224" s="712"/>
      <c r="L224" s="502"/>
      <c r="M224" s="502"/>
      <c r="O224" s="574" t="s">
        <v>322</v>
      </c>
      <c r="P224" s="591"/>
      <c r="Q224" s="591"/>
      <c r="R224" s="591"/>
      <c r="S224" s="591">
        <f>VLOOKUP(O224,Preturi_medicamente!D:F,3,0)</f>
        <v>45.64</v>
      </c>
      <c r="T224" s="603">
        <f t="shared" si="22"/>
        <v>0</v>
      </c>
      <c r="U224" s="604">
        <f t="shared" si="22"/>
        <v>0</v>
      </c>
      <c r="V224" s="604">
        <f t="shared" si="22"/>
        <v>0</v>
      </c>
      <c r="W224" s="604">
        <f t="shared" si="22"/>
        <v>0</v>
      </c>
      <c r="X224" s="605">
        <f t="shared" si="22"/>
        <v>0</v>
      </c>
      <c r="Y224" s="526"/>
      <c r="Z224" s="526"/>
      <c r="AA224" s="526"/>
      <c r="AB224" s="526"/>
      <c r="AC224" s="526"/>
      <c r="AD224" s="526"/>
      <c r="AE224" s="526"/>
      <c r="AF224" s="526"/>
      <c r="AG224" s="526"/>
      <c r="AH224" s="526"/>
      <c r="AI224" s="526"/>
      <c r="AJ224" s="526"/>
      <c r="AQ224" s="712"/>
    </row>
    <row r="225" spans="1:44" ht="21">
      <c r="K225" s="712"/>
      <c r="L225" s="502"/>
      <c r="M225" s="502"/>
      <c r="O225" s="574" t="s">
        <v>313</v>
      </c>
      <c r="P225" s="591"/>
      <c r="Q225" s="591"/>
      <c r="R225" s="591"/>
      <c r="S225" s="591">
        <f>VLOOKUP(O225,Preturi_medicamente!D:F,3,0)</f>
        <v>1</v>
      </c>
      <c r="T225" s="603">
        <f t="shared" si="22"/>
        <v>12060</v>
      </c>
      <c r="U225" s="604">
        <f t="shared" si="22"/>
        <v>12060</v>
      </c>
      <c r="V225" s="604">
        <f t="shared" si="22"/>
        <v>11160</v>
      </c>
      <c r="W225" s="604">
        <f t="shared" si="22"/>
        <v>10980</v>
      </c>
      <c r="X225" s="605">
        <f t="shared" si="22"/>
        <v>10800</v>
      </c>
      <c r="Y225" s="526"/>
      <c r="Z225" s="526"/>
      <c r="AA225" s="526"/>
      <c r="AB225" s="526"/>
      <c r="AC225" s="526"/>
      <c r="AD225" s="526"/>
      <c r="AE225" s="526"/>
      <c r="AF225" s="526"/>
      <c r="AG225" s="526"/>
      <c r="AH225" s="526"/>
      <c r="AI225" s="526"/>
      <c r="AJ225" s="526"/>
      <c r="AQ225" s="712"/>
    </row>
    <row r="226" spans="1:44" ht="21">
      <c r="K226" s="712"/>
      <c r="L226" s="502"/>
      <c r="M226" s="502"/>
      <c r="O226" s="574" t="s">
        <v>320</v>
      </c>
      <c r="P226" s="591"/>
      <c r="Q226" s="591"/>
      <c r="R226" s="591"/>
      <c r="S226" s="591">
        <f>VLOOKUP(O226,Preturi_medicamente!D:F,3,0)</f>
        <v>0.22</v>
      </c>
      <c r="T226" s="603">
        <f t="shared" si="22"/>
        <v>435.6</v>
      </c>
      <c r="U226" s="604">
        <f t="shared" si="22"/>
        <v>435.6</v>
      </c>
      <c r="V226" s="604">
        <f t="shared" si="22"/>
        <v>396</v>
      </c>
      <c r="W226" s="604">
        <f t="shared" si="22"/>
        <v>396</v>
      </c>
      <c r="X226" s="605">
        <f t="shared" si="22"/>
        <v>396</v>
      </c>
      <c r="Y226" s="526"/>
      <c r="Z226" s="526"/>
      <c r="AA226" s="526"/>
      <c r="AB226" s="526"/>
      <c r="AC226" s="526"/>
      <c r="AD226" s="526"/>
      <c r="AE226" s="526"/>
      <c r="AF226" s="526"/>
      <c r="AG226" s="526"/>
      <c r="AH226" s="526"/>
      <c r="AI226" s="526"/>
      <c r="AJ226" s="526"/>
      <c r="AQ226" s="712"/>
    </row>
    <row r="227" spans="1:44" ht="21">
      <c r="K227" s="712"/>
      <c r="L227" s="502"/>
      <c r="M227" s="502"/>
      <c r="O227" s="574" t="s">
        <v>321</v>
      </c>
      <c r="P227" s="591"/>
      <c r="Q227" s="591"/>
      <c r="R227" s="591"/>
      <c r="S227" s="591">
        <f>VLOOKUP(O227,Preturi_medicamente!D:F,3,0)</f>
        <v>3.65</v>
      </c>
      <c r="T227" s="603">
        <f t="shared" si="22"/>
        <v>0</v>
      </c>
      <c r="U227" s="604">
        <f t="shared" si="22"/>
        <v>0</v>
      </c>
      <c r="V227" s="604">
        <f t="shared" si="22"/>
        <v>0</v>
      </c>
      <c r="W227" s="604">
        <f t="shared" si="22"/>
        <v>0</v>
      </c>
      <c r="X227" s="605">
        <f t="shared" si="22"/>
        <v>0</v>
      </c>
      <c r="Y227" s="526"/>
      <c r="Z227" s="526"/>
      <c r="AA227" s="526"/>
      <c r="AB227" s="526"/>
      <c r="AC227" s="526"/>
      <c r="AD227" s="526"/>
      <c r="AE227" s="526"/>
      <c r="AF227" s="526"/>
      <c r="AG227" s="526"/>
      <c r="AH227" s="526"/>
      <c r="AI227" s="526"/>
      <c r="AJ227" s="526"/>
      <c r="AQ227" s="712"/>
    </row>
    <row r="228" spans="1:44" ht="21">
      <c r="K228" s="712"/>
      <c r="L228" s="502"/>
      <c r="M228" s="502"/>
      <c r="O228" s="574" t="s">
        <v>314</v>
      </c>
      <c r="P228" s="591"/>
      <c r="Q228" s="591"/>
      <c r="R228" s="591"/>
      <c r="S228" s="591">
        <f>VLOOKUP(O228,Preturi_medicamente!D:F,3,0)</f>
        <v>0.5</v>
      </c>
      <c r="T228" s="603">
        <f t="shared" si="22"/>
        <v>3960</v>
      </c>
      <c r="U228" s="604">
        <f t="shared" si="22"/>
        <v>3960</v>
      </c>
      <c r="V228" s="604">
        <f t="shared" si="22"/>
        <v>3840</v>
      </c>
      <c r="W228" s="604">
        <f t="shared" si="22"/>
        <v>3720</v>
      </c>
      <c r="X228" s="605">
        <f t="shared" si="22"/>
        <v>3600</v>
      </c>
      <c r="Y228" s="526"/>
      <c r="Z228" s="526"/>
      <c r="AA228" s="526"/>
      <c r="AB228" s="526"/>
      <c r="AC228" s="526"/>
      <c r="AD228" s="526"/>
      <c r="AE228" s="526"/>
      <c r="AF228" s="526"/>
      <c r="AG228" s="526"/>
      <c r="AH228" s="526"/>
      <c r="AI228" s="526"/>
      <c r="AJ228" s="526"/>
      <c r="AQ228" s="712"/>
    </row>
    <row r="229" spans="1:44" ht="22" thickBot="1">
      <c r="K229" s="712"/>
      <c r="L229" s="502"/>
      <c r="M229" s="502"/>
      <c r="O229" s="595" t="s">
        <v>319</v>
      </c>
      <c r="P229" s="596"/>
      <c r="Q229" s="596"/>
      <c r="R229" s="596"/>
      <c r="S229" s="596">
        <f>VLOOKUP(O229,Preturi_medicamente!D:F,3,0)</f>
        <v>2.0499999999999998</v>
      </c>
      <c r="T229" s="606">
        <f t="shared" si="22"/>
        <v>8118</v>
      </c>
      <c r="U229" s="607">
        <f t="shared" si="22"/>
        <v>8118</v>
      </c>
      <c r="V229" s="607">
        <f t="shared" si="22"/>
        <v>7380</v>
      </c>
      <c r="W229" s="607">
        <f t="shared" si="22"/>
        <v>7380</v>
      </c>
      <c r="X229" s="608">
        <f t="shared" si="22"/>
        <v>7380</v>
      </c>
      <c r="Y229" s="526"/>
      <c r="Z229" s="526"/>
      <c r="AA229" s="526"/>
      <c r="AB229" s="526"/>
      <c r="AC229" s="526"/>
      <c r="AD229" s="526"/>
      <c r="AE229" s="526"/>
      <c r="AF229" s="526"/>
      <c r="AG229" s="526"/>
      <c r="AH229" s="526"/>
      <c r="AI229" s="526"/>
      <c r="AJ229" s="526"/>
      <c r="AQ229" s="712"/>
    </row>
    <row r="230" spans="1:44" ht="22" thickBot="1">
      <c r="A230" s="730">
        <v>14</v>
      </c>
      <c r="B230" s="733">
        <f>T230</f>
        <v>53268</v>
      </c>
      <c r="C230" s="733">
        <f>U230</f>
        <v>52557.599999999999</v>
      </c>
      <c r="D230" s="733">
        <f>V230</f>
        <v>50049.599999999999</v>
      </c>
      <c r="E230" s="733">
        <f>W230</f>
        <v>49188</v>
      </c>
      <c r="F230" s="733">
        <f>X230</f>
        <v>47616</v>
      </c>
      <c r="G230" s="733" t="s">
        <v>350</v>
      </c>
      <c r="H230" s="733" t="s">
        <v>503</v>
      </c>
      <c r="I230" s="841"/>
      <c r="J230" s="841" t="s">
        <v>2934</v>
      </c>
      <c r="K230" s="712"/>
      <c r="L230" s="502"/>
      <c r="M230" s="502"/>
      <c r="O230" s="526"/>
      <c r="P230" s="526"/>
      <c r="Q230" s="526"/>
      <c r="R230" s="526"/>
      <c r="S230" s="526"/>
      <c r="T230" s="1738">
        <f>SUM(T222:T229)</f>
        <v>53268</v>
      </c>
      <c r="U230" s="1736">
        <f>SUM(U222:U229)</f>
        <v>52557.599999999999</v>
      </c>
      <c r="V230" s="1736">
        <f>SUM(V222:V229)</f>
        <v>50049.599999999999</v>
      </c>
      <c r="W230" s="1736">
        <f>SUM(W222:W229)</f>
        <v>49188</v>
      </c>
      <c r="X230" s="1737">
        <f>SUM(X222:X229)</f>
        <v>47616</v>
      </c>
      <c r="Y230" s="526"/>
      <c r="Z230" s="526"/>
      <c r="AA230" s="526"/>
      <c r="AB230" s="526"/>
      <c r="AC230" s="526"/>
      <c r="AD230" s="526"/>
      <c r="AE230" s="526"/>
      <c r="AF230" s="526"/>
      <c r="AG230" s="526"/>
      <c r="AH230" s="526"/>
      <c r="AI230" s="526"/>
      <c r="AJ230" s="526"/>
      <c r="AQ230" s="712"/>
      <c r="AR230" s="1487">
        <f>SUM(T230:X230)</f>
        <v>252679.2</v>
      </c>
    </row>
    <row r="231" spans="1:44" ht="21">
      <c r="K231" s="712"/>
      <c r="L231" s="502"/>
      <c r="M231" s="502"/>
      <c r="O231" s="526"/>
      <c r="P231" s="526"/>
      <c r="Q231" s="526"/>
      <c r="R231" s="526"/>
      <c r="S231" s="526"/>
      <c r="T231" s="686"/>
      <c r="U231" s="690"/>
      <c r="V231" s="690"/>
      <c r="W231" s="690"/>
      <c r="X231" s="690"/>
      <c r="Y231" s="526"/>
      <c r="Z231" s="526"/>
      <c r="AA231" s="526"/>
      <c r="AB231" s="526"/>
      <c r="AC231" s="526"/>
      <c r="AD231" s="526"/>
      <c r="AE231" s="526"/>
      <c r="AF231" s="526"/>
      <c r="AG231" s="526"/>
      <c r="AH231" s="526"/>
      <c r="AI231" s="526"/>
      <c r="AJ231" s="526"/>
      <c r="AQ231" s="712"/>
    </row>
    <row r="232" spans="1:44" ht="21">
      <c r="K232" s="712"/>
      <c r="L232" s="502"/>
      <c r="M232" s="502"/>
      <c r="O232" s="526"/>
      <c r="P232" s="526"/>
      <c r="Q232" s="526"/>
      <c r="R232" s="526"/>
      <c r="S232" s="526"/>
      <c r="T232" s="686"/>
      <c r="U232" s="690"/>
      <c r="V232" s="690"/>
      <c r="W232" s="690"/>
      <c r="X232" s="690"/>
      <c r="Y232" s="526"/>
      <c r="Z232" s="526"/>
      <c r="AA232" s="526"/>
      <c r="AB232" s="526"/>
      <c r="AC232" s="526"/>
      <c r="AD232" s="526"/>
      <c r="AE232" s="526"/>
      <c r="AF232" s="526"/>
      <c r="AG232" s="526"/>
      <c r="AH232" s="526"/>
      <c r="AI232" s="526"/>
      <c r="AJ232" s="526"/>
      <c r="AQ232" s="712"/>
    </row>
    <row r="233" spans="1:44" ht="21">
      <c r="K233" s="712"/>
      <c r="L233" s="502"/>
      <c r="M233" s="502"/>
      <c r="O233" s="526"/>
      <c r="P233" s="526"/>
      <c r="Q233" s="526"/>
      <c r="R233" s="526"/>
      <c r="S233" s="526"/>
      <c r="T233" s="686"/>
      <c r="U233" s="690"/>
      <c r="V233" s="690"/>
      <c r="W233" s="690"/>
      <c r="X233" s="690"/>
      <c r="Y233" s="526"/>
      <c r="Z233" s="526"/>
      <c r="AA233" s="526"/>
      <c r="AB233" s="526"/>
      <c r="AC233" s="526"/>
      <c r="AD233" s="526"/>
      <c r="AE233" s="526"/>
      <c r="AF233" s="526"/>
      <c r="AG233" s="526"/>
      <c r="AH233" s="526"/>
      <c r="AI233" s="526"/>
      <c r="AJ233" s="526"/>
      <c r="AQ233" s="712"/>
    </row>
    <row r="234" spans="1:44" ht="21">
      <c r="K234" s="712"/>
      <c r="L234" s="501" t="s">
        <v>1812</v>
      </c>
      <c r="M234" s="499" t="s">
        <v>1813</v>
      </c>
      <c r="N234" s="500"/>
      <c r="O234" s="526"/>
      <c r="P234" s="526"/>
      <c r="Q234" s="558"/>
      <c r="R234" s="558"/>
      <c r="S234" s="558"/>
      <c r="T234" s="526"/>
      <c r="U234" s="526"/>
      <c r="V234" s="526"/>
      <c r="W234" s="526"/>
      <c r="X234" s="526"/>
      <c r="Y234" s="526"/>
      <c r="Z234" s="526"/>
      <c r="AA234" s="526"/>
      <c r="AB234" s="526"/>
      <c r="AC234" s="526"/>
      <c r="AD234" s="526"/>
      <c r="AE234" s="526"/>
      <c r="AF234" s="526"/>
      <c r="AG234" s="526"/>
      <c r="AH234" s="526"/>
      <c r="AI234" s="526"/>
      <c r="AJ234" s="526"/>
      <c r="AQ234" s="712"/>
    </row>
    <row r="235" spans="1:44" ht="22" thickBot="1">
      <c r="K235" s="712"/>
      <c r="L235" s="502"/>
      <c r="M235" s="502"/>
      <c r="O235" s="526"/>
      <c r="P235" s="526"/>
      <c r="Q235" s="526"/>
      <c r="R235" s="526"/>
      <c r="S235" s="526"/>
      <c r="T235" s="526"/>
      <c r="U235" s="526"/>
      <c r="V235" s="526"/>
      <c r="W235" s="526"/>
      <c r="X235" s="526"/>
      <c r="Y235" s="526"/>
      <c r="Z235" s="526"/>
      <c r="AA235" s="526"/>
      <c r="AB235" s="526"/>
      <c r="AC235" s="526"/>
      <c r="AD235" s="526"/>
      <c r="AE235" s="526"/>
      <c r="AF235" s="526"/>
      <c r="AG235" s="526"/>
      <c r="AH235" s="526"/>
      <c r="AI235" s="526"/>
      <c r="AJ235" s="526"/>
      <c r="AQ235" s="712"/>
    </row>
    <row r="236" spans="1:44" ht="22" thickBot="1">
      <c r="K236" s="712"/>
      <c r="L236" s="502"/>
      <c r="M236" s="502"/>
      <c r="N236" s="508" t="s">
        <v>354</v>
      </c>
      <c r="O236" s="526"/>
      <c r="P236" s="526"/>
      <c r="Q236" s="558"/>
      <c r="R236" s="558"/>
      <c r="S236" s="526"/>
      <c r="T236" s="559">
        <v>2021</v>
      </c>
      <c r="U236" s="560">
        <v>2022</v>
      </c>
      <c r="V236" s="560">
        <v>2023</v>
      </c>
      <c r="W236" s="560">
        <v>2024</v>
      </c>
      <c r="X236" s="561">
        <v>2025</v>
      </c>
      <c r="Y236" s="526"/>
      <c r="Z236" s="526"/>
      <c r="AA236" s="526"/>
      <c r="AB236" s="526"/>
      <c r="AC236" s="526"/>
      <c r="AD236" s="526"/>
      <c r="AE236" s="526"/>
      <c r="AF236" s="526"/>
      <c r="AG236" s="526"/>
      <c r="AH236" s="526"/>
      <c r="AI236" s="526"/>
      <c r="AJ236" s="526"/>
      <c r="AQ236" s="712"/>
    </row>
    <row r="237" spans="1:44" ht="22" thickBot="1">
      <c r="K237" s="712"/>
      <c r="L237" s="502"/>
      <c r="M237" s="502"/>
      <c r="O237" s="526" t="s">
        <v>308</v>
      </c>
      <c r="P237" s="526"/>
      <c r="Q237" s="526"/>
      <c r="R237" s="562" t="s">
        <v>93</v>
      </c>
      <c r="S237" s="562" t="s">
        <v>310</v>
      </c>
      <c r="T237" s="563">
        <f>T46</f>
        <v>3</v>
      </c>
      <c r="U237" s="563">
        <f>U46</f>
        <v>3</v>
      </c>
      <c r="V237" s="563">
        <f>V46</f>
        <v>3</v>
      </c>
      <c r="W237" s="563">
        <f>W46</f>
        <v>3</v>
      </c>
      <c r="X237" s="563">
        <f>X46</f>
        <v>3</v>
      </c>
      <c r="Y237" s="526"/>
      <c r="Z237" s="526"/>
      <c r="AA237" s="526"/>
      <c r="AB237" s="526"/>
      <c r="AC237" s="526"/>
      <c r="AD237" s="526"/>
      <c r="AE237" s="526"/>
      <c r="AF237" s="526"/>
      <c r="AG237" s="526"/>
      <c r="AH237" s="526"/>
      <c r="AI237" s="526"/>
      <c r="AJ237" s="526"/>
      <c r="AQ237" s="712"/>
    </row>
    <row r="238" spans="1:44" ht="22" thickBot="1">
      <c r="K238" s="712"/>
      <c r="L238" s="502"/>
      <c r="M238" s="502"/>
      <c r="O238" s="564">
        <v>1</v>
      </c>
      <c r="P238" s="565">
        <v>1</v>
      </c>
      <c r="Q238" s="566">
        <v>1</v>
      </c>
      <c r="R238" s="567" t="s">
        <v>324</v>
      </c>
      <c r="S238" s="568" t="s">
        <v>427</v>
      </c>
      <c r="T238" s="569">
        <f>T$237*$O238*$P238*$Q238</f>
        <v>3</v>
      </c>
      <c r="U238" s="569">
        <f>U$237*$O238*$P238*$Q238</f>
        <v>3</v>
      </c>
      <c r="V238" s="569">
        <f>V$237*$O238*$P238*$Q238</f>
        <v>3</v>
      </c>
      <c r="W238" s="569">
        <f>W$237*$O238*$P238*$Q238</f>
        <v>3</v>
      </c>
      <c r="X238" s="570">
        <f>X$237*$O238*$P238*$Q238</f>
        <v>3</v>
      </c>
      <c r="Y238" s="526"/>
      <c r="Z238" s="526"/>
      <c r="AA238" s="526"/>
      <c r="AB238" s="526"/>
      <c r="AC238" s="526"/>
      <c r="AD238" s="526"/>
      <c r="AE238" s="526"/>
      <c r="AF238" s="526"/>
      <c r="AG238" s="526"/>
      <c r="AH238" s="526"/>
      <c r="AI238" s="526"/>
      <c r="AJ238" s="526"/>
      <c r="AQ238" s="712"/>
    </row>
    <row r="239" spans="1:44" ht="21">
      <c r="K239" s="712"/>
      <c r="L239" s="502"/>
      <c r="M239" s="502"/>
      <c r="O239" s="526"/>
      <c r="P239" s="526"/>
      <c r="Q239" s="526"/>
      <c r="R239" s="526"/>
      <c r="S239" s="526"/>
      <c r="T239" s="526"/>
      <c r="U239" s="526"/>
      <c r="V239" s="526"/>
      <c r="W239" s="526"/>
      <c r="X239" s="526"/>
      <c r="Y239" s="526"/>
      <c r="Z239" s="526"/>
      <c r="AA239" s="526"/>
      <c r="AB239" s="526"/>
      <c r="AC239" s="526"/>
      <c r="AD239" s="526"/>
      <c r="AE239" s="526"/>
      <c r="AF239" s="526"/>
      <c r="AG239" s="526"/>
      <c r="AH239" s="526"/>
      <c r="AI239" s="526"/>
      <c r="AJ239" s="526"/>
      <c r="AQ239" s="712"/>
    </row>
    <row r="240" spans="1:44" ht="21">
      <c r="K240" s="712"/>
      <c r="L240" s="502"/>
      <c r="M240" s="502"/>
      <c r="O240" s="526"/>
      <c r="P240" s="526"/>
      <c r="Q240" s="526"/>
      <c r="R240" s="526"/>
      <c r="S240" s="526"/>
      <c r="T240" s="526"/>
      <c r="U240" s="526"/>
      <c r="V240" s="526"/>
      <c r="W240" s="526"/>
      <c r="X240" s="526"/>
      <c r="Y240" s="526"/>
      <c r="Z240" s="526"/>
      <c r="AA240" s="526"/>
      <c r="AB240" s="526"/>
      <c r="AC240" s="526"/>
      <c r="AD240" s="526"/>
      <c r="AE240" s="526"/>
      <c r="AF240" s="526"/>
      <c r="AG240" s="526"/>
      <c r="AH240" s="526"/>
      <c r="AI240" s="526"/>
      <c r="AJ240" s="526"/>
      <c r="AQ240" s="712"/>
    </row>
    <row r="241" spans="11:43" ht="22" thickBot="1">
      <c r="K241" s="712"/>
      <c r="L241" s="502"/>
      <c r="M241" s="502"/>
      <c r="N241" s="442" t="s">
        <v>355</v>
      </c>
      <c r="O241" s="526"/>
      <c r="P241" s="526"/>
      <c r="Q241" s="526"/>
      <c r="R241" s="526"/>
      <c r="S241" s="526"/>
      <c r="T241" s="571">
        <v>3</v>
      </c>
      <c r="U241" s="571">
        <v>4</v>
      </c>
      <c r="V241" s="571">
        <v>5</v>
      </c>
      <c r="W241" s="571">
        <v>6</v>
      </c>
      <c r="X241" s="571">
        <v>7</v>
      </c>
      <c r="Y241" s="526"/>
      <c r="Z241" s="526"/>
      <c r="AA241" s="526"/>
      <c r="AB241" s="526"/>
      <c r="AC241" s="526"/>
      <c r="AD241" s="526"/>
      <c r="AE241" s="526"/>
      <c r="AF241" s="526"/>
      <c r="AG241" s="526"/>
      <c r="AH241" s="526"/>
      <c r="AI241" s="526"/>
      <c r="AJ241" s="526"/>
      <c r="AQ241" s="712"/>
    </row>
    <row r="242" spans="11:43" ht="35" thickBot="1">
      <c r="K242" s="712"/>
      <c r="L242" s="502"/>
      <c r="M242" s="502"/>
      <c r="N242" s="509" t="s">
        <v>330</v>
      </c>
      <c r="O242" s="572" t="s">
        <v>312</v>
      </c>
      <c r="P242" s="573" t="s">
        <v>328</v>
      </c>
      <c r="Q242" s="573" t="s">
        <v>327</v>
      </c>
      <c r="R242" s="573" t="s">
        <v>329</v>
      </c>
      <c r="S242" s="573" t="s">
        <v>97</v>
      </c>
      <c r="T242" s="559">
        <v>2021</v>
      </c>
      <c r="U242" s="560">
        <v>2022</v>
      </c>
      <c r="V242" s="560">
        <v>2023</v>
      </c>
      <c r="W242" s="560">
        <v>2024</v>
      </c>
      <c r="X242" s="561">
        <v>2025</v>
      </c>
      <c r="Y242" s="526"/>
      <c r="Z242" s="526"/>
      <c r="AA242" s="526"/>
      <c r="AB242" s="526"/>
      <c r="AC242" s="526"/>
      <c r="AD242" s="526"/>
      <c r="AE242" s="526"/>
      <c r="AF242" s="526"/>
      <c r="AG242" s="526"/>
      <c r="AH242" s="526"/>
      <c r="AI242" s="526"/>
      <c r="AJ242" s="526"/>
      <c r="AQ242" s="712"/>
    </row>
    <row r="243" spans="11:43" ht="21">
      <c r="K243" s="712"/>
      <c r="L243" s="502"/>
      <c r="M243" s="502"/>
      <c r="N243" s="510" t="s">
        <v>324</v>
      </c>
      <c r="O243" s="574" t="s">
        <v>428</v>
      </c>
      <c r="P243" s="575">
        <v>4</v>
      </c>
      <c r="Q243" s="575">
        <v>30</v>
      </c>
      <c r="R243" s="575">
        <v>2</v>
      </c>
      <c r="S243" s="575">
        <f>P243*Q243*R243</f>
        <v>240</v>
      </c>
      <c r="T243" s="576">
        <f t="shared" ref="T243:X245" si="23">VLOOKUP($N243,FLD_MS_copii,T$75,0)*$S243</f>
        <v>720</v>
      </c>
      <c r="U243" s="576">
        <f t="shared" si="23"/>
        <v>720</v>
      </c>
      <c r="V243" s="576">
        <f t="shared" si="23"/>
        <v>720</v>
      </c>
      <c r="W243" s="576">
        <f t="shared" si="23"/>
        <v>720</v>
      </c>
      <c r="X243" s="577">
        <f t="shared" si="23"/>
        <v>720</v>
      </c>
      <c r="Y243" s="526"/>
      <c r="Z243" s="526"/>
      <c r="AA243" s="526"/>
      <c r="AB243" s="526"/>
      <c r="AC243" s="526"/>
      <c r="AD243" s="526"/>
      <c r="AE243" s="526"/>
      <c r="AF243" s="526"/>
      <c r="AG243" s="526"/>
      <c r="AH243" s="526"/>
      <c r="AI243" s="526"/>
      <c r="AJ243" s="526"/>
      <c r="AQ243" s="712"/>
    </row>
    <row r="244" spans="11:43" ht="21">
      <c r="K244" s="712"/>
      <c r="L244" s="502"/>
      <c r="M244" s="502"/>
      <c r="N244" s="511" t="s">
        <v>324</v>
      </c>
      <c r="O244" s="578" t="s">
        <v>429</v>
      </c>
      <c r="P244" s="579">
        <v>4</v>
      </c>
      <c r="Q244" s="579">
        <v>30</v>
      </c>
      <c r="R244" s="579">
        <v>4</v>
      </c>
      <c r="S244" s="579">
        <f>P244*Q244*R244</f>
        <v>480</v>
      </c>
      <c r="T244" s="576">
        <f t="shared" si="23"/>
        <v>1440</v>
      </c>
      <c r="U244" s="576">
        <f t="shared" si="23"/>
        <v>1440</v>
      </c>
      <c r="V244" s="576">
        <f t="shared" si="23"/>
        <v>1440</v>
      </c>
      <c r="W244" s="576">
        <f t="shared" si="23"/>
        <v>1440</v>
      </c>
      <c r="X244" s="577">
        <f t="shared" si="23"/>
        <v>1440</v>
      </c>
      <c r="Y244" s="526"/>
      <c r="Z244" s="526"/>
      <c r="AA244" s="526"/>
      <c r="AB244" s="526"/>
      <c r="AC244" s="526"/>
      <c r="AD244" s="526"/>
      <c r="AE244" s="526"/>
      <c r="AF244" s="526"/>
      <c r="AG244" s="526"/>
      <c r="AH244" s="526"/>
      <c r="AI244" s="526"/>
      <c r="AJ244" s="526"/>
      <c r="AQ244" s="712"/>
    </row>
    <row r="245" spans="11:43" ht="22" thickBot="1">
      <c r="K245" s="712"/>
      <c r="L245" s="502"/>
      <c r="M245" s="502"/>
      <c r="N245" s="512" t="s">
        <v>324</v>
      </c>
      <c r="O245" s="580" t="s">
        <v>445</v>
      </c>
      <c r="P245" s="581">
        <v>3</v>
      </c>
      <c r="Q245" s="581">
        <v>30</v>
      </c>
      <c r="R245" s="581">
        <v>2</v>
      </c>
      <c r="S245" s="581">
        <f>P245*Q245*R245</f>
        <v>180</v>
      </c>
      <c r="T245" s="582">
        <f t="shared" si="23"/>
        <v>540</v>
      </c>
      <c r="U245" s="582">
        <f t="shared" si="23"/>
        <v>540</v>
      </c>
      <c r="V245" s="582">
        <f t="shared" si="23"/>
        <v>540</v>
      </c>
      <c r="W245" s="582">
        <f t="shared" si="23"/>
        <v>540</v>
      </c>
      <c r="X245" s="583">
        <f t="shared" si="23"/>
        <v>540</v>
      </c>
      <c r="Y245" s="526"/>
      <c r="Z245" s="526"/>
      <c r="AA245" s="526"/>
      <c r="AB245" s="526"/>
      <c r="AC245" s="526"/>
      <c r="AD245" s="526"/>
      <c r="AE245" s="526"/>
      <c r="AF245" s="526"/>
      <c r="AG245" s="526"/>
      <c r="AH245" s="526"/>
      <c r="AI245" s="526"/>
      <c r="AJ245" s="526"/>
      <c r="AQ245" s="712"/>
    </row>
    <row r="246" spans="11:43" ht="21">
      <c r="K246" s="712"/>
      <c r="L246" s="502"/>
      <c r="M246" s="502"/>
      <c r="O246" s="526"/>
      <c r="P246" s="526"/>
      <c r="Q246" s="526"/>
      <c r="R246" s="526"/>
      <c r="S246" s="526"/>
      <c r="T246" s="526"/>
      <c r="U246" s="526"/>
      <c r="V246" s="526"/>
      <c r="W246" s="526"/>
      <c r="X246" s="526"/>
      <c r="Y246" s="526"/>
      <c r="Z246" s="526"/>
      <c r="AA246" s="526"/>
      <c r="AB246" s="526"/>
      <c r="AC246" s="526"/>
      <c r="AD246" s="526"/>
      <c r="AE246" s="526"/>
      <c r="AF246" s="526"/>
      <c r="AG246" s="526"/>
      <c r="AH246" s="526"/>
      <c r="AI246" s="526"/>
      <c r="AJ246" s="526"/>
      <c r="AQ246" s="712"/>
    </row>
    <row r="247" spans="11:43" ht="21">
      <c r="K247" s="712"/>
      <c r="L247" s="502"/>
      <c r="M247" s="502"/>
      <c r="O247" s="526"/>
      <c r="P247" s="526"/>
      <c r="Q247" s="526"/>
      <c r="R247" s="526"/>
      <c r="S247" s="526"/>
      <c r="T247" s="526"/>
      <c r="U247" s="526"/>
      <c r="V247" s="526"/>
      <c r="W247" s="526"/>
      <c r="X247" s="526"/>
      <c r="Y247" s="526"/>
      <c r="Z247" s="526"/>
      <c r="AA247" s="526"/>
      <c r="AB247" s="526"/>
      <c r="AC247" s="526"/>
      <c r="AD247" s="526"/>
      <c r="AE247" s="526"/>
      <c r="AF247" s="526"/>
      <c r="AG247" s="526"/>
      <c r="AH247" s="526"/>
      <c r="AI247" s="526"/>
      <c r="AJ247" s="526"/>
      <c r="AQ247" s="712"/>
    </row>
    <row r="248" spans="11:43" ht="22" thickBot="1">
      <c r="K248" s="712"/>
      <c r="L248" s="502"/>
      <c r="M248" s="502"/>
      <c r="O248" s="526"/>
      <c r="P248" s="526"/>
      <c r="Q248" s="526"/>
      <c r="R248" s="526"/>
      <c r="S248" s="526"/>
      <c r="T248" s="526"/>
      <c r="U248" s="526"/>
      <c r="V248" s="526"/>
      <c r="W248" s="526"/>
      <c r="X248" s="526"/>
      <c r="Y248" s="526"/>
      <c r="Z248" s="526"/>
      <c r="AA248" s="526"/>
      <c r="AB248" s="526"/>
      <c r="AC248" s="526"/>
      <c r="AD248" s="526"/>
      <c r="AE248" s="526"/>
      <c r="AF248" s="526"/>
      <c r="AG248" s="526"/>
      <c r="AH248" s="526"/>
      <c r="AI248" s="526"/>
      <c r="AJ248" s="526"/>
      <c r="AQ248" s="712"/>
    </row>
    <row r="249" spans="11:43" ht="22" thickBot="1">
      <c r="K249" s="712"/>
      <c r="L249" s="502"/>
      <c r="M249" s="502"/>
      <c r="N249" s="508" t="s">
        <v>335</v>
      </c>
      <c r="O249" s="526"/>
      <c r="P249" s="526"/>
      <c r="Q249" s="526"/>
      <c r="R249" s="526"/>
      <c r="S249" s="526"/>
      <c r="T249" s="530" t="s">
        <v>333</v>
      </c>
      <c r="U249" s="528"/>
      <c r="V249" s="528"/>
      <c r="W249" s="528"/>
      <c r="X249" s="529"/>
      <c r="Y249" s="526"/>
      <c r="Z249" s="526"/>
      <c r="AA249" s="526"/>
      <c r="AB249" s="526"/>
      <c r="AC249" s="526"/>
      <c r="AD249" s="526"/>
      <c r="AE249" s="526"/>
      <c r="AF249" s="526"/>
      <c r="AG249" s="526"/>
      <c r="AH249" s="526"/>
      <c r="AI249" s="526"/>
      <c r="AJ249" s="526"/>
      <c r="AQ249" s="712"/>
    </row>
    <row r="250" spans="11:43" ht="22" thickBot="1">
      <c r="K250" s="712"/>
      <c r="L250" s="502"/>
      <c r="M250" s="502"/>
      <c r="O250" s="526"/>
      <c r="P250" s="526"/>
      <c r="Q250" s="526"/>
      <c r="R250" s="526"/>
      <c r="S250" s="526"/>
      <c r="T250" s="584">
        <v>2021</v>
      </c>
      <c r="U250" s="585">
        <v>2022</v>
      </c>
      <c r="V250" s="585">
        <v>2023</v>
      </c>
      <c r="W250" s="585">
        <v>2024</v>
      </c>
      <c r="X250" s="586">
        <v>2025</v>
      </c>
      <c r="Y250" s="526"/>
      <c r="Z250" s="526"/>
      <c r="AA250" s="526"/>
      <c r="AB250" s="526"/>
      <c r="AC250" s="526"/>
      <c r="AD250" s="526"/>
      <c r="AE250" s="526"/>
      <c r="AF250" s="526"/>
      <c r="AG250" s="526"/>
      <c r="AH250" s="526"/>
      <c r="AI250" s="526"/>
      <c r="AJ250" s="526"/>
      <c r="AQ250" s="712"/>
    </row>
    <row r="251" spans="11:43" ht="21">
      <c r="K251" s="712"/>
      <c r="L251" s="502"/>
      <c r="M251" s="502"/>
      <c r="O251" s="530" t="s">
        <v>428</v>
      </c>
      <c r="P251" s="528"/>
      <c r="Q251" s="528"/>
      <c r="R251" s="528"/>
      <c r="S251" s="528"/>
      <c r="T251" s="587">
        <f t="shared" ref="T251:X258" si="24">SUMIF($O$243:$O$245,$O251,T$243:T$245)</f>
        <v>720</v>
      </c>
      <c r="U251" s="588">
        <f t="shared" si="24"/>
        <v>720</v>
      </c>
      <c r="V251" s="588">
        <f t="shared" si="24"/>
        <v>720</v>
      </c>
      <c r="W251" s="588">
        <f t="shared" si="24"/>
        <v>720</v>
      </c>
      <c r="X251" s="589">
        <f t="shared" si="24"/>
        <v>720</v>
      </c>
      <c r="Y251" s="526"/>
      <c r="Z251" s="526"/>
      <c r="AA251" s="526"/>
      <c r="AB251" s="526"/>
      <c r="AC251" s="526"/>
      <c r="AD251" s="526"/>
      <c r="AE251" s="526"/>
      <c r="AF251" s="526"/>
      <c r="AG251" s="526"/>
      <c r="AH251" s="526"/>
      <c r="AI251" s="526"/>
      <c r="AJ251" s="526"/>
      <c r="AQ251" s="712"/>
    </row>
    <row r="252" spans="11:43" ht="21">
      <c r="K252" s="712"/>
      <c r="L252" s="502"/>
      <c r="M252" s="502"/>
      <c r="O252" s="590" t="s">
        <v>429</v>
      </c>
      <c r="P252" s="591"/>
      <c r="Q252" s="591"/>
      <c r="R252" s="591"/>
      <c r="S252" s="591"/>
      <c r="T252" s="592">
        <f t="shared" si="24"/>
        <v>1440</v>
      </c>
      <c r="U252" s="593">
        <f t="shared" si="24"/>
        <v>1440</v>
      </c>
      <c r="V252" s="593">
        <f t="shared" si="24"/>
        <v>1440</v>
      </c>
      <c r="W252" s="593">
        <f t="shared" si="24"/>
        <v>1440</v>
      </c>
      <c r="X252" s="594">
        <f t="shared" si="24"/>
        <v>1440</v>
      </c>
      <c r="Y252" s="526"/>
      <c r="Z252" s="526"/>
      <c r="AA252" s="526"/>
      <c r="AB252" s="526"/>
      <c r="AC252" s="526"/>
      <c r="AD252" s="526"/>
      <c r="AE252" s="526"/>
      <c r="AF252" s="526"/>
      <c r="AG252" s="526"/>
      <c r="AH252" s="526"/>
      <c r="AI252" s="526"/>
      <c r="AJ252" s="526"/>
      <c r="AQ252" s="712"/>
    </row>
    <row r="253" spans="11:43" ht="21">
      <c r="K253" s="712"/>
      <c r="L253" s="502"/>
      <c r="M253" s="502"/>
      <c r="O253" s="590" t="s">
        <v>445</v>
      </c>
      <c r="P253" s="591"/>
      <c r="Q253" s="591"/>
      <c r="R253" s="591"/>
      <c r="S253" s="591"/>
      <c r="T253" s="592">
        <f t="shared" si="24"/>
        <v>540</v>
      </c>
      <c r="U253" s="593">
        <f t="shared" si="24"/>
        <v>540</v>
      </c>
      <c r="V253" s="593">
        <f t="shared" si="24"/>
        <v>540</v>
      </c>
      <c r="W253" s="593">
        <f t="shared" si="24"/>
        <v>540</v>
      </c>
      <c r="X253" s="594">
        <f t="shared" si="24"/>
        <v>540</v>
      </c>
      <c r="Y253" s="526"/>
      <c r="Z253" s="526"/>
      <c r="AA253" s="526"/>
      <c r="AB253" s="526"/>
      <c r="AC253" s="526"/>
      <c r="AD253" s="526"/>
      <c r="AE253" s="526"/>
      <c r="AF253" s="526"/>
      <c r="AG253" s="526"/>
      <c r="AH253" s="526"/>
      <c r="AI253" s="526"/>
      <c r="AJ253" s="526"/>
      <c r="AQ253" s="712"/>
    </row>
    <row r="254" spans="11:43" ht="21">
      <c r="K254" s="712"/>
      <c r="L254" s="502"/>
      <c r="M254" s="502"/>
      <c r="O254" s="574"/>
      <c r="P254" s="591"/>
      <c r="Q254" s="591"/>
      <c r="R254" s="591"/>
      <c r="S254" s="591"/>
      <c r="T254" s="592">
        <f t="shared" si="24"/>
        <v>0</v>
      </c>
      <c r="U254" s="593">
        <f t="shared" si="24"/>
        <v>0</v>
      </c>
      <c r="V254" s="593">
        <f t="shared" si="24"/>
        <v>0</v>
      </c>
      <c r="W254" s="593">
        <f t="shared" si="24"/>
        <v>0</v>
      </c>
      <c r="X254" s="594">
        <f t="shared" si="24"/>
        <v>0</v>
      </c>
      <c r="Y254" s="526"/>
      <c r="Z254" s="526"/>
      <c r="AA254" s="526"/>
      <c r="AB254" s="526"/>
      <c r="AC254" s="526"/>
      <c r="AD254" s="526"/>
      <c r="AE254" s="526"/>
      <c r="AF254" s="526"/>
      <c r="AG254" s="526"/>
      <c r="AH254" s="526"/>
      <c r="AI254" s="526"/>
      <c r="AJ254" s="526"/>
      <c r="AQ254" s="712"/>
    </row>
    <row r="255" spans="11:43" ht="21">
      <c r="K255" s="712"/>
      <c r="L255" s="502"/>
      <c r="M255" s="502"/>
      <c r="O255" s="574"/>
      <c r="P255" s="591"/>
      <c r="Q255" s="591"/>
      <c r="R255" s="591"/>
      <c r="S255" s="591"/>
      <c r="T255" s="592">
        <f t="shared" si="24"/>
        <v>0</v>
      </c>
      <c r="U255" s="593">
        <f t="shared" si="24"/>
        <v>0</v>
      </c>
      <c r="V255" s="593">
        <f t="shared" si="24"/>
        <v>0</v>
      </c>
      <c r="W255" s="593">
        <f t="shared" si="24"/>
        <v>0</v>
      </c>
      <c r="X255" s="594">
        <f t="shared" si="24"/>
        <v>0</v>
      </c>
      <c r="Y255" s="526"/>
      <c r="Z255" s="526"/>
      <c r="AA255" s="526"/>
      <c r="AB255" s="526"/>
      <c r="AC255" s="526"/>
      <c r="AD255" s="526"/>
      <c r="AE255" s="526"/>
      <c r="AF255" s="526"/>
      <c r="AG255" s="526"/>
      <c r="AH255" s="526"/>
      <c r="AI255" s="526"/>
      <c r="AJ255" s="526"/>
      <c r="AQ255" s="712"/>
    </row>
    <row r="256" spans="11:43" ht="21">
      <c r="K256" s="712"/>
      <c r="L256" s="502"/>
      <c r="M256" s="502"/>
      <c r="O256" s="574"/>
      <c r="P256" s="591"/>
      <c r="Q256" s="591"/>
      <c r="R256" s="591"/>
      <c r="S256" s="591"/>
      <c r="T256" s="592">
        <f t="shared" si="24"/>
        <v>0</v>
      </c>
      <c r="U256" s="593">
        <f t="shared" si="24"/>
        <v>0</v>
      </c>
      <c r="V256" s="593">
        <f t="shared" si="24"/>
        <v>0</v>
      </c>
      <c r="W256" s="593">
        <f t="shared" si="24"/>
        <v>0</v>
      </c>
      <c r="X256" s="594">
        <f t="shared" si="24"/>
        <v>0</v>
      </c>
      <c r="Y256" s="526"/>
      <c r="Z256" s="526"/>
      <c r="AA256" s="526"/>
      <c r="AB256" s="526"/>
      <c r="AC256" s="526"/>
      <c r="AD256" s="526"/>
      <c r="AE256" s="526"/>
      <c r="AF256" s="526"/>
      <c r="AG256" s="526"/>
      <c r="AH256" s="526"/>
      <c r="AI256" s="526"/>
      <c r="AJ256" s="526"/>
      <c r="AQ256" s="712"/>
    </row>
    <row r="257" spans="1:44" ht="21">
      <c r="K257" s="712"/>
      <c r="L257" s="502"/>
      <c r="M257" s="502"/>
      <c r="O257" s="574"/>
      <c r="P257" s="591"/>
      <c r="Q257" s="591"/>
      <c r="R257" s="591"/>
      <c r="S257" s="591"/>
      <c r="T257" s="592">
        <f t="shared" si="24"/>
        <v>0</v>
      </c>
      <c r="U257" s="593">
        <f t="shared" si="24"/>
        <v>0</v>
      </c>
      <c r="V257" s="593">
        <f t="shared" si="24"/>
        <v>0</v>
      </c>
      <c r="W257" s="593">
        <f t="shared" si="24"/>
        <v>0</v>
      </c>
      <c r="X257" s="594">
        <f t="shared" si="24"/>
        <v>0</v>
      </c>
      <c r="Y257" s="526"/>
      <c r="Z257" s="526"/>
      <c r="AA257" s="526"/>
      <c r="AB257" s="526"/>
      <c r="AC257" s="526"/>
      <c r="AD257" s="526"/>
      <c r="AE257" s="526"/>
      <c r="AF257" s="526"/>
      <c r="AG257" s="526"/>
      <c r="AH257" s="526"/>
      <c r="AI257" s="526"/>
      <c r="AJ257" s="526"/>
      <c r="AQ257" s="712"/>
    </row>
    <row r="258" spans="1:44" ht="22" thickBot="1">
      <c r="K258" s="712"/>
      <c r="L258" s="502"/>
      <c r="M258" s="502"/>
      <c r="O258" s="595"/>
      <c r="P258" s="596"/>
      <c r="Q258" s="596"/>
      <c r="R258" s="596"/>
      <c r="S258" s="596"/>
      <c r="T258" s="597">
        <f t="shared" si="24"/>
        <v>0</v>
      </c>
      <c r="U258" s="598">
        <f t="shared" si="24"/>
        <v>0</v>
      </c>
      <c r="V258" s="598">
        <f t="shared" si="24"/>
        <v>0</v>
      </c>
      <c r="W258" s="598">
        <f t="shared" si="24"/>
        <v>0</v>
      </c>
      <c r="X258" s="599">
        <f t="shared" si="24"/>
        <v>0</v>
      </c>
      <c r="Y258" s="526"/>
      <c r="Z258" s="526"/>
      <c r="AA258" s="526"/>
      <c r="AB258" s="526"/>
      <c r="AC258" s="526"/>
      <c r="AD258" s="526"/>
      <c r="AE258" s="526"/>
      <c r="AF258" s="526"/>
      <c r="AG258" s="526"/>
      <c r="AH258" s="526"/>
      <c r="AI258" s="526"/>
      <c r="AJ258" s="526"/>
      <c r="AQ258" s="712"/>
    </row>
    <row r="259" spans="1:44" ht="22" thickBot="1">
      <c r="K259" s="712"/>
      <c r="L259" s="502"/>
      <c r="M259" s="502"/>
      <c r="O259" s="526"/>
      <c r="P259" s="526"/>
      <c r="Q259" s="526"/>
      <c r="R259" s="526"/>
      <c r="S259" s="526"/>
      <c r="T259" s="526"/>
      <c r="U259" s="526"/>
      <c r="V259" s="526"/>
      <c r="W259" s="526"/>
      <c r="X259" s="526"/>
      <c r="Y259" s="526"/>
      <c r="Z259" s="526"/>
      <c r="AA259" s="526"/>
      <c r="AB259" s="526"/>
      <c r="AC259" s="526"/>
      <c r="AD259" s="526"/>
      <c r="AE259" s="526"/>
      <c r="AF259" s="526"/>
      <c r="AG259" s="526"/>
      <c r="AH259" s="526"/>
      <c r="AI259" s="526"/>
      <c r="AJ259" s="526"/>
      <c r="AQ259" s="712"/>
    </row>
    <row r="260" spans="1:44" ht="22" thickBot="1">
      <c r="K260" s="712"/>
      <c r="L260" s="502"/>
      <c r="M260" s="502"/>
      <c r="O260" s="526"/>
      <c r="P260" s="526"/>
      <c r="Q260" s="526"/>
      <c r="R260" s="526"/>
      <c r="S260" s="526"/>
      <c r="T260" s="530" t="s">
        <v>334</v>
      </c>
      <c r="U260" s="528"/>
      <c r="V260" s="528"/>
      <c r="W260" s="528"/>
      <c r="X260" s="529"/>
      <c r="Y260" s="526"/>
      <c r="Z260" s="526"/>
      <c r="AA260" s="526"/>
      <c r="AB260" s="526"/>
      <c r="AC260" s="526"/>
      <c r="AD260" s="526"/>
      <c r="AE260" s="526"/>
      <c r="AF260" s="526"/>
      <c r="AG260" s="526"/>
      <c r="AH260" s="526"/>
      <c r="AI260" s="526"/>
      <c r="AJ260" s="526"/>
      <c r="AQ260" s="712"/>
    </row>
    <row r="261" spans="1:44" ht="22" thickBot="1">
      <c r="K261" s="712"/>
      <c r="L261" s="502"/>
      <c r="M261" s="502"/>
      <c r="O261" s="526"/>
      <c r="P261" s="526"/>
      <c r="Q261" s="526"/>
      <c r="R261" s="526"/>
      <c r="S261" s="526" t="s">
        <v>332</v>
      </c>
      <c r="T261" s="584">
        <v>2021</v>
      </c>
      <c r="U261" s="585">
        <v>2022</v>
      </c>
      <c r="V261" s="585">
        <v>2023</v>
      </c>
      <c r="W261" s="585">
        <v>2024</v>
      </c>
      <c r="X261" s="586">
        <v>2025</v>
      </c>
      <c r="Y261" s="526"/>
      <c r="Z261" s="526"/>
      <c r="AA261" s="526"/>
      <c r="AB261" s="526"/>
      <c r="AC261" s="526"/>
      <c r="AD261" s="526"/>
      <c r="AE261" s="526"/>
      <c r="AF261" s="526"/>
      <c r="AG261" s="526"/>
      <c r="AH261" s="526"/>
      <c r="AI261" s="526"/>
      <c r="AJ261" s="526"/>
      <c r="AQ261" s="712"/>
    </row>
    <row r="262" spans="1:44" ht="21">
      <c r="K262" s="712"/>
      <c r="L262" s="502"/>
      <c r="M262" s="502"/>
      <c r="O262" s="530" t="s">
        <v>428</v>
      </c>
      <c r="P262" s="528"/>
      <c r="Q262" s="528"/>
      <c r="R262" s="528"/>
      <c r="S262" s="528">
        <f>IFERROR(VLOOKUP(O262,Preturi_medicamente!D:F,3,0),0)</f>
        <v>0.7</v>
      </c>
      <c r="T262" s="600">
        <f t="shared" ref="T262:X269" si="25">ROUND(T251*$S262,2)</f>
        <v>504</v>
      </c>
      <c r="U262" s="601">
        <f t="shared" si="25"/>
        <v>504</v>
      </c>
      <c r="V262" s="601">
        <f t="shared" si="25"/>
        <v>504</v>
      </c>
      <c r="W262" s="601">
        <f t="shared" si="25"/>
        <v>504</v>
      </c>
      <c r="X262" s="602">
        <f t="shared" si="25"/>
        <v>504</v>
      </c>
      <c r="Y262" s="526"/>
      <c r="Z262" s="526"/>
      <c r="AA262" s="526"/>
      <c r="AB262" s="526"/>
      <c r="AC262" s="526"/>
      <c r="AD262" s="526"/>
      <c r="AE262" s="526"/>
      <c r="AF262" s="526"/>
      <c r="AG262" s="526"/>
      <c r="AH262" s="526"/>
      <c r="AI262" s="526"/>
      <c r="AJ262" s="526"/>
      <c r="AQ262" s="712"/>
    </row>
    <row r="263" spans="1:44" ht="21">
      <c r="K263" s="712"/>
      <c r="L263" s="502"/>
      <c r="M263" s="502"/>
      <c r="O263" s="574" t="s">
        <v>429</v>
      </c>
      <c r="P263" s="591"/>
      <c r="Q263" s="591"/>
      <c r="R263" s="591"/>
      <c r="S263" s="591">
        <f>IFERROR(VLOOKUP(O263,Preturi_medicamente!D:F,3,0),0)</f>
        <v>0.7</v>
      </c>
      <c r="T263" s="603">
        <f t="shared" si="25"/>
        <v>1008</v>
      </c>
      <c r="U263" s="604">
        <f t="shared" si="25"/>
        <v>1008</v>
      </c>
      <c r="V263" s="604">
        <f t="shared" si="25"/>
        <v>1008</v>
      </c>
      <c r="W263" s="604">
        <f t="shared" si="25"/>
        <v>1008</v>
      </c>
      <c r="X263" s="605">
        <f t="shared" si="25"/>
        <v>1008</v>
      </c>
      <c r="Y263" s="526"/>
      <c r="Z263" s="526"/>
      <c r="AA263" s="526"/>
      <c r="AB263" s="526"/>
      <c r="AC263" s="526"/>
      <c r="AD263" s="526"/>
      <c r="AE263" s="526"/>
      <c r="AF263" s="526"/>
      <c r="AG263" s="526"/>
      <c r="AH263" s="526"/>
      <c r="AI263" s="526"/>
      <c r="AJ263" s="526"/>
      <c r="AQ263" s="712"/>
    </row>
    <row r="264" spans="1:44" ht="21">
      <c r="K264" s="712"/>
      <c r="L264" s="502"/>
      <c r="M264" s="502"/>
      <c r="O264" s="574" t="s">
        <v>445</v>
      </c>
      <c r="P264" s="591"/>
      <c r="Q264" s="591"/>
      <c r="R264" s="591"/>
      <c r="S264" s="591">
        <f>IFERROR(VLOOKUP(O264,Preturi_medicamente!D:F,3,0),0)</f>
        <v>4.04</v>
      </c>
      <c r="T264" s="603">
        <f t="shared" si="25"/>
        <v>2181.6</v>
      </c>
      <c r="U264" s="604">
        <f t="shared" si="25"/>
        <v>2181.6</v>
      </c>
      <c r="V264" s="604">
        <f t="shared" si="25"/>
        <v>2181.6</v>
      </c>
      <c r="W264" s="604">
        <f t="shared" si="25"/>
        <v>2181.6</v>
      </c>
      <c r="X264" s="605">
        <f t="shared" si="25"/>
        <v>2181.6</v>
      </c>
      <c r="Y264" s="526"/>
      <c r="Z264" s="526"/>
      <c r="AA264" s="526"/>
      <c r="AB264" s="526"/>
      <c r="AC264" s="526"/>
      <c r="AD264" s="526"/>
      <c r="AE264" s="526"/>
      <c r="AF264" s="526"/>
      <c r="AG264" s="526"/>
      <c r="AH264" s="526"/>
      <c r="AI264" s="526"/>
      <c r="AJ264" s="526"/>
      <c r="AQ264" s="712"/>
    </row>
    <row r="265" spans="1:44" ht="21">
      <c r="K265" s="712"/>
      <c r="L265" s="502"/>
      <c r="M265" s="502"/>
      <c r="O265" s="574"/>
      <c r="P265" s="591"/>
      <c r="Q265" s="591"/>
      <c r="R265" s="591"/>
      <c r="S265" s="591">
        <f>IFERROR(VLOOKUP(O265,Preturi_medicamente!D:F,3,0),0)</f>
        <v>0</v>
      </c>
      <c r="T265" s="603">
        <f t="shared" si="25"/>
        <v>0</v>
      </c>
      <c r="U265" s="604">
        <f t="shared" si="25"/>
        <v>0</v>
      </c>
      <c r="V265" s="604">
        <f t="shared" si="25"/>
        <v>0</v>
      </c>
      <c r="W265" s="604">
        <f t="shared" si="25"/>
        <v>0</v>
      </c>
      <c r="X265" s="605">
        <f t="shared" si="25"/>
        <v>0</v>
      </c>
      <c r="Y265" s="526"/>
      <c r="Z265" s="526"/>
      <c r="AA265" s="526"/>
      <c r="AB265" s="526"/>
      <c r="AC265" s="526"/>
      <c r="AD265" s="526"/>
      <c r="AE265" s="526"/>
      <c r="AF265" s="526"/>
      <c r="AG265" s="526"/>
      <c r="AH265" s="526"/>
      <c r="AI265" s="526"/>
      <c r="AJ265" s="526"/>
      <c r="AQ265" s="712"/>
    </row>
    <row r="266" spans="1:44" ht="21">
      <c r="K266" s="712"/>
      <c r="L266" s="502"/>
      <c r="M266" s="502"/>
      <c r="O266" s="574"/>
      <c r="P266" s="591"/>
      <c r="Q266" s="591"/>
      <c r="R266" s="591"/>
      <c r="S266" s="591">
        <f>IFERROR(VLOOKUP(O266,Preturi_medicamente!D:F,3,0),0)</f>
        <v>0</v>
      </c>
      <c r="T266" s="603">
        <f t="shared" si="25"/>
        <v>0</v>
      </c>
      <c r="U266" s="604">
        <f t="shared" si="25"/>
        <v>0</v>
      </c>
      <c r="V266" s="604">
        <f t="shared" si="25"/>
        <v>0</v>
      </c>
      <c r="W266" s="604">
        <f t="shared" si="25"/>
        <v>0</v>
      </c>
      <c r="X266" s="605">
        <f t="shared" si="25"/>
        <v>0</v>
      </c>
      <c r="Y266" s="526"/>
      <c r="Z266" s="526"/>
      <c r="AA266" s="526"/>
      <c r="AB266" s="526"/>
      <c r="AC266" s="526"/>
      <c r="AD266" s="526"/>
      <c r="AE266" s="526"/>
      <c r="AF266" s="526"/>
      <c r="AG266" s="526"/>
      <c r="AH266" s="526"/>
      <c r="AI266" s="526"/>
      <c r="AJ266" s="526"/>
      <c r="AQ266" s="712"/>
    </row>
    <row r="267" spans="1:44" ht="21">
      <c r="K267" s="712"/>
      <c r="L267" s="502"/>
      <c r="M267" s="502"/>
      <c r="O267" s="574"/>
      <c r="P267" s="591"/>
      <c r="Q267" s="591"/>
      <c r="R267" s="591"/>
      <c r="S267" s="591">
        <f>IFERROR(VLOOKUP(O267,Preturi_medicamente!D:F,3,0),0)</f>
        <v>0</v>
      </c>
      <c r="T267" s="603">
        <f t="shared" si="25"/>
        <v>0</v>
      </c>
      <c r="U267" s="604">
        <f t="shared" si="25"/>
        <v>0</v>
      </c>
      <c r="V267" s="604">
        <f t="shared" si="25"/>
        <v>0</v>
      </c>
      <c r="W267" s="604">
        <f t="shared" si="25"/>
        <v>0</v>
      </c>
      <c r="X267" s="605">
        <f t="shared" si="25"/>
        <v>0</v>
      </c>
      <c r="Y267" s="526"/>
      <c r="Z267" s="526"/>
      <c r="AA267" s="526"/>
      <c r="AB267" s="526"/>
      <c r="AC267" s="526"/>
      <c r="AD267" s="526"/>
      <c r="AE267" s="526"/>
      <c r="AF267" s="526"/>
      <c r="AG267" s="526"/>
      <c r="AH267" s="526"/>
      <c r="AI267" s="526"/>
      <c r="AJ267" s="526"/>
      <c r="AQ267" s="712"/>
    </row>
    <row r="268" spans="1:44" ht="21">
      <c r="K268" s="712"/>
      <c r="L268" s="502"/>
      <c r="M268" s="502"/>
      <c r="O268" s="574"/>
      <c r="P268" s="591"/>
      <c r="Q268" s="591"/>
      <c r="R268" s="591"/>
      <c r="S268" s="591">
        <f>IFERROR(VLOOKUP(O268,Preturi_medicamente!D:F,3,0),0)</f>
        <v>0</v>
      </c>
      <c r="T268" s="603">
        <f t="shared" si="25"/>
        <v>0</v>
      </c>
      <c r="U268" s="604">
        <f t="shared" si="25"/>
        <v>0</v>
      </c>
      <c r="V268" s="604">
        <f t="shared" si="25"/>
        <v>0</v>
      </c>
      <c r="W268" s="604">
        <f t="shared" si="25"/>
        <v>0</v>
      </c>
      <c r="X268" s="605">
        <f t="shared" si="25"/>
        <v>0</v>
      </c>
      <c r="Y268" s="526"/>
      <c r="Z268" s="526"/>
      <c r="AA268" s="526"/>
      <c r="AB268" s="526"/>
      <c r="AC268" s="526"/>
      <c r="AD268" s="526"/>
      <c r="AE268" s="526"/>
      <c r="AF268" s="526"/>
      <c r="AG268" s="526"/>
      <c r="AH268" s="526"/>
      <c r="AI268" s="526"/>
      <c r="AJ268" s="526"/>
      <c r="AQ268" s="712"/>
    </row>
    <row r="269" spans="1:44" ht="22" thickBot="1">
      <c r="K269" s="712"/>
      <c r="L269" s="502"/>
      <c r="M269" s="502"/>
      <c r="O269" s="595"/>
      <c r="P269" s="596"/>
      <c r="Q269" s="596"/>
      <c r="R269" s="596"/>
      <c r="S269" s="596">
        <f>IFERROR(VLOOKUP(O269,Preturi_medicamente!D:F,3,0),0)</f>
        <v>0</v>
      </c>
      <c r="T269" s="606">
        <f t="shared" si="25"/>
        <v>0</v>
      </c>
      <c r="U269" s="607">
        <f t="shared" si="25"/>
        <v>0</v>
      </c>
      <c r="V269" s="607">
        <f t="shared" si="25"/>
        <v>0</v>
      </c>
      <c r="W269" s="607">
        <f t="shared" si="25"/>
        <v>0</v>
      </c>
      <c r="X269" s="608">
        <f t="shared" si="25"/>
        <v>0</v>
      </c>
      <c r="Y269" s="526"/>
      <c r="Z269" s="526"/>
      <c r="AA269" s="526"/>
      <c r="AB269" s="526"/>
      <c r="AC269" s="526"/>
      <c r="AD269" s="526"/>
      <c r="AE269" s="526"/>
      <c r="AF269" s="526"/>
      <c r="AG269" s="526"/>
      <c r="AH269" s="526"/>
      <c r="AI269" s="526"/>
      <c r="AJ269" s="526"/>
      <c r="AQ269" s="712"/>
    </row>
    <row r="270" spans="1:44" ht="22" thickBot="1">
      <c r="A270" s="730">
        <v>15</v>
      </c>
      <c r="B270" s="733">
        <f>T270</f>
        <v>3693.6</v>
      </c>
      <c r="C270" s="733">
        <f>U270</f>
        <v>3693.6</v>
      </c>
      <c r="D270" s="733">
        <f>V270</f>
        <v>3693.6</v>
      </c>
      <c r="E270" s="733">
        <f>W270</f>
        <v>3693.6</v>
      </c>
      <c r="F270" s="733">
        <f>X270</f>
        <v>3693.6</v>
      </c>
      <c r="G270" s="733" t="s">
        <v>513</v>
      </c>
      <c r="H270" s="733" t="s">
        <v>1813</v>
      </c>
      <c r="I270" s="841"/>
      <c r="J270" s="841" t="s">
        <v>2936</v>
      </c>
      <c r="K270" s="712"/>
      <c r="L270" s="502"/>
      <c r="M270" s="502"/>
      <c r="O270" s="526"/>
      <c r="P270" s="526"/>
      <c r="Q270" s="526"/>
      <c r="R270" s="526"/>
      <c r="S270" s="526"/>
      <c r="T270" s="1738">
        <f>SUM(T262:T269)</f>
        <v>3693.6</v>
      </c>
      <c r="U270" s="1736">
        <f>SUM(U262:U269)</f>
        <v>3693.6</v>
      </c>
      <c r="V270" s="1736">
        <f>SUM(V262:V269)</f>
        <v>3693.6</v>
      </c>
      <c r="W270" s="1736">
        <f>SUM(W262:W269)</f>
        <v>3693.6</v>
      </c>
      <c r="X270" s="1737">
        <f>SUM(X262:X269)</f>
        <v>3693.6</v>
      </c>
      <c r="Y270" s="526"/>
      <c r="Z270" s="526"/>
      <c r="AA270" s="526"/>
      <c r="AB270" s="526"/>
      <c r="AC270" s="526"/>
      <c r="AD270" s="526"/>
      <c r="AE270" s="526"/>
      <c r="AF270" s="526"/>
      <c r="AG270" s="526"/>
      <c r="AH270" s="526"/>
      <c r="AI270" s="526"/>
      <c r="AJ270" s="526"/>
      <c r="AQ270" s="712"/>
      <c r="AR270" s="1487">
        <f>SUM(T270:X270)</f>
        <v>18468</v>
      </c>
    </row>
    <row r="271" spans="1:44" ht="21">
      <c r="K271" s="712"/>
      <c r="L271" s="502"/>
      <c r="M271" s="502"/>
      <c r="O271" s="526"/>
      <c r="P271" s="526"/>
      <c r="Q271" s="526"/>
      <c r="R271" s="526"/>
      <c r="S271" s="526"/>
      <c r="T271" s="686"/>
      <c r="U271" s="690"/>
      <c r="V271" s="690"/>
      <c r="W271" s="690"/>
      <c r="X271" s="690"/>
      <c r="Y271" s="526"/>
      <c r="Z271" s="526"/>
      <c r="AA271" s="526"/>
      <c r="AB271" s="526"/>
      <c r="AC271" s="526"/>
      <c r="AD271" s="526"/>
      <c r="AE271" s="526"/>
      <c r="AF271" s="526"/>
      <c r="AG271" s="526"/>
      <c r="AH271" s="526"/>
      <c r="AI271" s="526"/>
      <c r="AJ271" s="526"/>
      <c r="AQ271" s="712"/>
    </row>
    <row r="272" spans="1:44" ht="21">
      <c r="K272" s="712"/>
      <c r="L272" s="502"/>
      <c r="M272" s="502"/>
      <c r="O272" s="526"/>
      <c r="P272" s="526"/>
      <c r="Q272" s="526"/>
      <c r="R272" s="526"/>
      <c r="S272" s="526"/>
      <c r="T272" s="686"/>
      <c r="U272" s="690"/>
      <c r="V272" s="690"/>
      <c r="W272" s="690"/>
      <c r="X272" s="690"/>
      <c r="Y272" s="526"/>
      <c r="Z272" s="526"/>
      <c r="AA272" s="526"/>
      <c r="AB272" s="526"/>
      <c r="AC272" s="526"/>
      <c r="AD272" s="526"/>
      <c r="AE272" s="526"/>
      <c r="AF272" s="526"/>
      <c r="AG272" s="526"/>
      <c r="AH272" s="526"/>
      <c r="AI272" s="526"/>
      <c r="AJ272" s="526"/>
      <c r="AQ272" s="712"/>
    </row>
    <row r="273" spans="11:44" ht="21">
      <c r="K273" s="712"/>
      <c r="L273" s="502"/>
      <c r="M273" s="502"/>
      <c r="O273" s="526"/>
      <c r="P273" s="526"/>
      <c r="Q273" s="526"/>
      <c r="R273" s="526"/>
      <c r="S273" s="526"/>
      <c r="T273" s="686"/>
      <c r="U273" s="690"/>
      <c r="V273" s="690"/>
      <c r="W273" s="690"/>
      <c r="X273" s="690"/>
      <c r="Y273" s="526"/>
      <c r="Z273" s="526"/>
      <c r="AA273" s="526"/>
      <c r="AB273" s="526"/>
      <c r="AC273" s="526"/>
      <c r="AD273" s="526"/>
      <c r="AE273" s="526"/>
      <c r="AF273" s="526"/>
      <c r="AG273" s="526"/>
      <c r="AH273" s="526"/>
      <c r="AI273" s="526"/>
      <c r="AJ273" s="526"/>
      <c r="AQ273" s="712"/>
    </row>
    <row r="274" spans="11:44" ht="21">
      <c r="K274" s="712"/>
      <c r="L274" s="501" t="s">
        <v>1814</v>
      </c>
      <c r="M274" s="499" t="s">
        <v>1815</v>
      </c>
      <c r="O274" s="526"/>
      <c r="P274" s="526"/>
      <c r="Q274" s="558"/>
      <c r="R274" s="558"/>
      <c r="S274" s="526"/>
      <c r="T274" s="526"/>
      <c r="U274" s="526"/>
      <c r="V274" s="526"/>
      <c r="W274" s="526"/>
      <c r="X274" s="526"/>
      <c r="Y274" s="526"/>
      <c r="Z274" s="526"/>
      <c r="AA274" s="526"/>
      <c r="AB274" s="526"/>
      <c r="AC274" s="526"/>
      <c r="AD274" s="526"/>
      <c r="AE274" s="526"/>
      <c r="AF274" s="526"/>
      <c r="AG274" s="526"/>
      <c r="AH274" s="526"/>
      <c r="AI274" s="526"/>
      <c r="AJ274" s="526"/>
      <c r="AQ274" s="712"/>
    </row>
    <row r="275" spans="11:44" ht="22" thickBot="1">
      <c r="K275" s="712"/>
      <c r="L275" s="502"/>
      <c r="M275" s="502"/>
      <c r="O275" s="513"/>
      <c r="P275" s="508"/>
      <c r="Q275" s="558"/>
      <c r="R275" s="558"/>
      <c r="S275" s="526"/>
      <c r="T275" s="526"/>
      <c r="U275" s="526"/>
      <c r="V275" s="526"/>
      <c r="W275" s="526"/>
      <c r="X275" s="526"/>
      <c r="Y275" s="526"/>
      <c r="Z275" s="526"/>
      <c r="AA275" s="526"/>
      <c r="AB275" s="526"/>
      <c r="AC275" s="526"/>
      <c r="AD275" s="526"/>
      <c r="AE275" s="526"/>
      <c r="AF275" s="526"/>
      <c r="AG275" s="526"/>
      <c r="AH275" s="526"/>
      <c r="AI275" s="526"/>
      <c r="AJ275" s="526"/>
      <c r="AQ275" s="712"/>
    </row>
    <row r="276" spans="11:44" ht="22" thickBot="1">
      <c r="K276" s="712"/>
      <c r="L276" s="502"/>
      <c r="M276" s="502"/>
      <c r="N276" s="508" t="s">
        <v>354</v>
      </c>
      <c r="O276" s="526"/>
      <c r="P276" s="526"/>
      <c r="Q276" s="558"/>
      <c r="R276" s="558"/>
      <c r="S276" s="526"/>
      <c r="T276" s="559">
        <v>2021</v>
      </c>
      <c r="U276" s="560">
        <v>2022</v>
      </c>
      <c r="V276" s="560">
        <v>2023</v>
      </c>
      <c r="W276" s="560">
        <v>2024</v>
      </c>
      <c r="X276" s="561">
        <v>2025</v>
      </c>
      <c r="Y276" s="526"/>
      <c r="Z276" s="526"/>
      <c r="AA276" s="526"/>
      <c r="AB276" s="526"/>
      <c r="AC276" s="526"/>
      <c r="AD276" s="526"/>
      <c r="AE276" s="526"/>
      <c r="AF276" s="526"/>
      <c r="AG276" s="526"/>
      <c r="AH276" s="526"/>
      <c r="AI276" s="526"/>
      <c r="AJ276" s="526"/>
      <c r="AQ276" s="712"/>
    </row>
    <row r="277" spans="11:44" ht="22" thickBot="1">
      <c r="K277" s="712"/>
      <c r="L277" s="502"/>
      <c r="M277" s="502"/>
      <c r="O277" s="526" t="s">
        <v>308</v>
      </c>
      <c r="P277" s="526"/>
      <c r="Q277" s="526"/>
      <c r="R277" s="562" t="s">
        <v>93</v>
      </c>
      <c r="S277" s="562" t="s">
        <v>310</v>
      </c>
      <c r="T277" s="563">
        <f>T40+T58</f>
        <v>309</v>
      </c>
      <c r="U277" s="563">
        <f>U40+U58</f>
        <v>299</v>
      </c>
      <c r="V277" s="563">
        <f>V40+V58</f>
        <v>294</v>
      </c>
      <c r="W277" s="563">
        <f>W40+W58</f>
        <v>290</v>
      </c>
      <c r="X277" s="563">
        <f>X40+X58</f>
        <v>284</v>
      </c>
      <c r="Y277" s="526"/>
      <c r="Z277" s="526"/>
      <c r="AA277" s="526"/>
      <c r="AB277" s="526"/>
      <c r="AC277" s="526"/>
      <c r="AD277" s="526"/>
      <c r="AE277" s="526"/>
      <c r="AF277" s="526"/>
      <c r="AG277" s="526"/>
      <c r="AH277" s="526"/>
      <c r="AI277" s="526"/>
      <c r="AJ277" s="526"/>
      <c r="AQ277" s="712"/>
    </row>
    <row r="278" spans="11:44" ht="21">
      <c r="K278" s="712"/>
      <c r="L278" s="502"/>
      <c r="M278" s="502"/>
      <c r="O278" s="609">
        <v>0.8</v>
      </c>
      <c r="P278" s="610">
        <v>0.5</v>
      </c>
      <c r="Q278" s="611">
        <v>0.7</v>
      </c>
      <c r="R278" s="612" t="s">
        <v>309</v>
      </c>
      <c r="S278" s="613" t="s">
        <v>311</v>
      </c>
      <c r="T278" s="614">
        <f>T277-SUM(T279:T283)</f>
        <v>86</v>
      </c>
      <c r="U278" s="614">
        <f>U277-SUM(U279:U283)</f>
        <v>83</v>
      </c>
      <c r="V278" s="614">
        <f>V277-SUM(V279:V283)</f>
        <v>83</v>
      </c>
      <c r="W278" s="614">
        <f>W277-SUM(W279:W283)</f>
        <v>81</v>
      </c>
      <c r="X278" s="615">
        <f>X277-SUM(X279:X283)</f>
        <v>79</v>
      </c>
      <c r="Y278" s="526"/>
      <c r="Z278" s="526"/>
      <c r="AA278" s="526"/>
      <c r="AB278" s="526"/>
      <c r="AC278" s="526"/>
      <c r="AD278" s="526"/>
      <c r="AE278" s="526"/>
      <c r="AF278" s="526"/>
      <c r="AG278" s="526"/>
      <c r="AH278" s="526"/>
      <c r="AI278" s="526"/>
      <c r="AJ278" s="526"/>
      <c r="AQ278" s="712"/>
    </row>
    <row r="279" spans="11:44" ht="22" thickBot="1">
      <c r="K279" s="712"/>
      <c r="L279" s="502"/>
      <c r="M279" s="502"/>
      <c r="O279" s="616">
        <v>0.8</v>
      </c>
      <c r="P279" s="617">
        <v>0.5</v>
      </c>
      <c r="Q279" s="618">
        <v>0.3</v>
      </c>
      <c r="R279" s="619" t="s">
        <v>316</v>
      </c>
      <c r="S279" s="578" t="s">
        <v>317</v>
      </c>
      <c r="T279" s="539">
        <f t="shared" ref="T279:X283" si="26">ROUND(T$277*$O279*$P279*$Q279,0)</f>
        <v>37</v>
      </c>
      <c r="U279" s="539">
        <f t="shared" si="26"/>
        <v>36</v>
      </c>
      <c r="V279" s="539">
        <f t="shared" si="26"/>
        <v>35</v>
      </c>
      <c r="W279" s="539">
        <f t="shared" si="26"/>
        <v>35</v>
      </c>
      <c r="X279" s="540">
        <f t="shared" si="26"/>
        <v>34</v>
      </c>
      <c r="Y279" s="526"/>
      <c r="Z279" s="526"/>
      <c r="AA279" s="526"/>
      <c r="AB279" s="526"/>
      <c r="AC279" s="526"/>
      <c r="AD279" s="526"/>
      <c r="AE279" s="526"/>
      <c r="AF279" s="526"/>
      <c r="AG279" s="526"/>
      <c r="AH279" s="526"/>
      <c r="AI279" s="526"/>
      <c r="AJ279" s="526"/>
      <c r="AQ279" s="712"/>
    </row>
    <row r="280" spans="11:44" ht="21">
      <c r="K280" s="712"/>
      <c r="L280" s="502"/>
      <c r="M280" s="502"/>
      <c r="O280" s="616">
        <v>0.8</v>
      </c>
      <c r="P280" s="610">
        <v>0.5</v>
      </c>
      <c r="Q280" s="618">
        <v>0.7</v>
      </c>
      <c r="R280" s="620" t="s">
        <v>324</v>
      </c>
      <c r="S280" s="578" t="s">
        <v>431</v>
      </c>
      <c r="T280" s="539">
        <f t="shared" si="26"/>
        <v>87</v>
      </c>
      <c r="U280" s="539">
        <f t="shared" si="26"/>
        <v>84</v>
      </c>
      <c r="V280" s="539">
        <f t="shared" si="26"/>
        <v>82</v>
      </c>
      <c r="W280" s="539">
        <f t="shared" si="26"/>
        <v>81</v>
      </c>
      <c r="X280" s="540">
        <f t="shared" si="26"/>
        <v>80</v>
      </c>
      <c r="Y280" s="526"/>
      <c r="Z280" s="526"/>
      <c r="AA280" s="526"/>
      <c r="AB280" s="526"/>
      <c r="AC280" s="526"/>
      <c r="AD280" s="526"/>
      <c r="AE280" s="526"/>
      <c r="AF280" s="526"/>
      <c r="AG280" s="526"/>
      <c r="AH280" s="526"/>
      <c r="AI280" s="526"/>
      <c r="AJ280" s="526"/>
      <c r="AQ280" s="712"/>
    </row>
    <row r="281" spans="11:44" ht="22" thickBot="1">
      <c r="K281" s="712"/>
      <c r="L281" s="502"/>
      <c r="M281" s="502"/>
      <c r="O281" s="621">
        <v>0.8</v>
      </c>
      <c r="P281" s="617">
        <v>0.5</v>
      </c>
      <c r="Q281" s="622">
        <v>0.3</v>
      </c>
      <c r="R281" s="620" t="s">
        <v>326</v>
      </c>
      <c r="S281" s="578" t="s">
        <v>432</v>
      </c>
      <c r="T281" s="539">
        <f t="shared" si="26"/>
        <v>37</v>
      </c>
      <c r="U281" s="539">
        <f t="shared" si="26"/>
        <v>36</v>
      </c>
      <c r="V281" s="539">
        <f t="shared" si="26"/>
        <v>35</v>
      </c>
      <c r="W281" s="539">
        <f t="shared" si="26"/>
        <v>35</v>
      </c>
      <c r="X281" s="540">
        <f t="shared" si="26"/>
        <v>34</v>
      </c>
      <c r="Y281" s="526"/>
      <c r="Z281" s="526"/>
      <c r="AA281" s="526"/>
      <c r="AB281" s="526"/>
      <c r="AC281" s="526"/>
      <c r="AD281" s="526"/>
      <c r="AE281" s="526"/>
      <c r="AF281" s="526"/>
      <c r="AG281" s="526"/>
      <c r="AH281" s="526"/>
      <c r="AI281" s="526"/>
      <c r="AJ281" s="526"/>
      <c r="AQ281" s="712"/>
    </row>
    <row r="282" spans="11:44" ht="21">
      <c r="K282" s="712"/>
      <c r="L282" s="502"/>
      <c r="M282" s="502"/>
      <c r="O282" s="623">
        <v>0.2</v>
      </c>
      <c r="P282" s="624">
        <v>1</v>
      </c>
      <c r="Q282" s="625">
        <v>0.7</v>
      </c>
      <c r="R282" s="619" t="s">
        <v>318</v>
      </c>
      <c r="S282" s="578" t="s">
        <v>430</v>
      </c>
      <c r="T282" s="539">
        <f t="shared" si="26"/>
        <v>43</v>
      </c>
      <c r="U282" s="539">
        <f t="shared" si="26"/>
        <v>42</v>
      </c>
      <c r="V282" s="539">
        <f t="shared" si="26"/>
        <v>41</v>
      </c>
      <c r="W282" s="539">
        <f t="shared" si="26"/>
        <v>41</v>
      </c>
      <c r="X282" s="540">
        <f t="shared" si="26"/>
        <v>40</v>
      </c>
      <c r="Y282" s="526"/>
      <c r="Z282" s="526"/>
      <c r="AA282" s="526"/>
      <c r="AB282" s="526"/>
      <c r="AC282" s="526"/>
      <c r="AD282" s="526"/>
      <c r="AE282" s="526"/>
      <c r="AF282" s="526"/>
      <c r="AG282" s="526"/>
      <c r="AH282" s="526"/>
      <c r="AI282" s="526"/>
      <c r="AJ282" s="526"/>
      <c r="AQ282" s="712"/>
    </row>
    <row r="283" spans="11:44" ht="22" thickBot="1">
      <c r="K283" s="712"/>
      <c r="L283" s="502"/>
      <c r="M283" s="502"/>
      <c r="O283" s="626">
        <v>0.2</v>
      </c>
      <c r="P283" s="627">
        <v>1</v>
      </c>
      <c r="Q283" s="628">
        <v>0.3</v>
      </c>
      <c r="R283" s="629" t="s">
        <v>323</v>
      </c>
      <c r="S283" s="580" t="s">
        <v>433</v>
      </c>
      <c r="T283" s="543">
        <f t="shared" si="26"/>
        <v>19</v>
      </c>
      <c r="U283" s="543">
        <f t="shared" si="26"/>
        <v>18</v>
      </c>
      <c r="V283" s="543">
        <f t="shared" si="26"/>
        <v>18</v>
      </c>
      <c r="W283" s="543">
        <f t="shared" si="26"/>
        <v>17</v>
      </c>
      <c r="X283" s="544">
        <f t="shared" si="26"/>
        <v>17</v>
      </c>
      <c r="Y283" s="526"/>
      <c r="Z283" s="526"/>
      <c r="AA283" s="526"/>
      <c r="AB283" s="526"/>
      <c r="AC283" s="526"/>
      <c r="AD283" s="526"/>
      <c r="AE283" s="526"/>
      <c r="AF283" s="526"/>
      <c r="AG283" s="526"/>
      <c r="AH283" s="526"/>
      <c r="AI283" s="526"/>
      <c r="AJ283" s="526"/>
      <c r="AQ283" s="712"/>
    </row>
    <row r="284" spans="11:44" ht="22" thickBot="1">
      <c r="K284" s="712"/>
      <c r="L284" s="502"/>
      <c r="M284" s="502"/>
      <c r="O284" s="526"/>
      <c r="P284" s="526"/>
      <c r="Q284" s="526"/>
      <c r="R284" s="526"/>
      <c r="S284" s="1438" t="s">
        <v>2401</v>
      </c>
      <c r="T284" s="1439">
        <f>TB_HIV_LB_Co_tr</f>
        <v>0.13439999999999999</v>
      </c>
      <c r="U284" s="1439">
        <f>TB_HIV_LB_Co_tr</f>
        <v>0.13439999999999999</v>
      </c>
      <c r="V284" s="1439">
        <f>TB_HIV_LB_Co_tr</f>
        <v>0.13439999999999999</v>
      </c>
      <c r="W284" s="1439">
        <f>TB_HIV_LB_Co_tr</f>
        <v>0.13439999999999999</v>
      </c>
      <c r="X284" s="1439">
        <f>TB_HIV_LB_Co_tr</f>
        <v>0.13439999999999999</v>
      </c>
      <c r="Y284" s="526"/>
      <c r="Z284" s="526"/>
      <c r="AA284" s="526"/>
      <c r="AB284" s="526"/>
      <c r="AC284" s="526"/>
      <c r="AD284" s="526"/>
      <c r="AE284" s="526"/>
      <c r="AF284" s="526"/>
      <c r="AG284" s="526"/>
      <c r="AH284" s="526"/>
      <c r="AI284" s="526"/>
      <c r="AJ284" s="526"/>
      <c r="AQ284" s="712"/>
    </row>
    <row r="285" spans="11:44" ht="22" thickBot="1">
      <c r="K285" s="712"/>
      <c r="L285" s="502"/>
      <c r="M285" s="502"/>
      <c r="O285" s="526"/>
      <c r="P285" s="526"/>
      <c r="Q285" s="526"/>
      <c r="R285" s="526"/>
      <c r="S285" s="1438" t="s">
        <v>2402</v>
      </c>
      <c r="T285" s="1440">
        <f>ROUND(T284*T277,0)</f>
        <v>42</v>
      </c>
      <c r="U285" s="1441">
        <f>ROUND(U284*U277,0)</f>
        <v>40</v>
      </c>
      <c r="V285" s="1441">
        <f>ROUND(V284*V277,0)</f>
        <v>40</v>
      </c>
      <c r="W285" s="1441">
        <f>ROUND(W284*W277,0)</f>
        <v>39</v>
      </c>
      <c r="X285" s="1442">
        <f>ROUND(X284*X277,0)</f>
        <v>38</v>
      </c>
      <c r="Y285" s="526"/>
      <c r="Z285" s="526"/>
      <c r="AA285" s="526"/>
      <c r="AB285" s="526"/>
      <c r="AC285" s="526"/>
      <c r="AD285" s="526"/>
      <c r="AE285" s="526"/>
      <c r="AF285" s="526"/>
      <c r="AG285" s="526"/>
      <c r="AH285" s="526"/>
      <c r="AI285" s="526"/>
      <c r="AJ285" s="526"/>
      <c r="AQ285" s="712"/>
      <c r="AR285" s="1487"/>
    </row>
    <row r="286" spans="11:44" ht="22" thickBot="1">
      <c r="K286" s="712"/>
      <c r="L286" s="502"/>
      <c r="M286" s="502"/>
      <c r="N286" s="442" t="s">
        <v>355</v>
      </c>
      <c r="O286" s="526"/>
      <c r="P286" s="526"/>
      <c r="Q286" s="526"/>
      <c r="R286" s="526"/>
      <c r="S286" s="526"/>
      <c r="T286" s="571">
        <v>3</v>
      </c>
      <c r="U286" s="571">
        <v>4</v>
      </c>
      <c r="V286" s="571">
        <v>5</v>
      </c>
      <c r="W286" s="571">
        <v>6</v>
      </c>
      <c r="X286" s="571">
        <v>7</v>
      </c>
      <c r="Y286" s="526"/>
      <c r="Z286" s="526"/>
      <c r="AA286" s="526"/>
      <c r="AB286" s="526"/>
      <c r="AC286" s="526"/>
      <c r="AD286" s="526"/>
      <c r="AE286" s="526"/>
      <c r="AF286" s="526"/>
      <c r="AG286" s="526"/>
      <c r="AH286" s="526"/>
      <c r="AI286" s="526"/>
      <c r="AJ286" s="526"/>
      <c r="AQ286" s="712"/>
    </row>
    <row r="287" spans="11:44" ht="35" thickBot="1">
      <c r="K287" s="712"/>
      <c r="L287" s="502"/>
      <c r="M287" s="502"/>
      <c r="N287" s="514" t="s">
        <v>330</v>
      </c>
      <c r="O287" s="630" t="s">
        <v>312</v>
      </c>
      <c r="P287" s="631" t="s">
        <v>328</v>
      </c>
      <c r="Q287" s="631" t="s">
        <v>327</v>
      </c>
      <c r="R287" s="631" t="s">
        <v>329</v>
      </c>
      <c r="S287" s="631" t="s">
        <v>97</v>
      </c>
      <c r="T287" s="559">
        <v>2021</v>
      </c>
      <c r="U287" s="560">
        <v>2022</v>
      </c>
      <c r="V287" s="560">
        <v>2023</v>
      </c>
      <c r="W287" s="560">
        <v>2024</v>
      </c>
      <c r="X287" s="561">
        <v>2025</v>
      </c>
      <c r="Y287" s="526"/>
      <c r="Z287" s="526"/>
      <c r="AA287" s="526"/>
      <c r="AB287" s="526"/>
      <c r="AC287" s="526"/>
      <c r="AD287" s="526"/>
      <c r="AE287" s="526"/>
      <c r="AF287" s="526"/>
      <c r="AG287" s="526"/>
      <c r="AH287" s="526"/>
      <c r="AI287" s="526"/>
      <c r="AJ287" s="526"/>
      <c r="AQ287" s="712"/>
    </row>
    <row r="288" spans="11:44" ht="21">
      <c r="K288" s="712"/>
      <c r="L288" s="502"/>
      <c r="M288" s="502"/>
      <c r="N288" s="511" t="s">
        <v>309</v>
      </c>
      <c r="O288" s="578" t="s">
        <v>315</v>
      </c>
      <c r="P288" s="579">
        <v>4</v>
      </c>
      <c r="Q288" s="579">
        <v>30</v>
      </c>
      <c r="R288" s="579">
        <v>6</v>
      </c>
      <c r="S288" s="579">
        <f t="shared" ref="S288:S307" si="27">P288*Q288*R288</f>
        <v>720</v>
      </c>
      <c r="T288" s="576">
        <f t="shared" ref="T288:X297" si="28">VLOOKUP($N288,FLD_MS_adulti,T$120,0)*$S288</f>
        <v>61920</v>
      </c>
      <c r="U288" s="576">
        <f t="shared" si="28"/>
        <v>59760</v>
      </c>
      <c r="V288" s="576">
        <f t="shared" si="28"/>
        <v>59760</v>
      </c>
      <c r="W288" s="576">
        <f t="shared" si="28"/>
        <v>58320</v>
      </c>
      <c r="X288" s="576">
        <f t="shared" si="28"/>
        <v>56880</v>
      </c>
      <c r="Y288" s="526"/>
      <c r="Z288" s="526"/>
      <c r="AA288" s="526"/>
      <c r="AB288" s="526"/>
      <c r="AC288" s="526"/>
      <c r="AD288" s="526"/>
      <c r="AE288" s="526"/>
      <c r="AF288" s="526"/>
      <c r="AG288" s="526"/>
      <c r="AH288" s="526"/>
      <c r="AI288" s="526"/>
      <c r="AJ288" s="526"/>
      <c r="AQ288" s="712"/>
    </row>
    <row r="289" spans="11:43" ht="21">
      <c r="K289" s="712"/>
      <c r="L289" s="502"/>
      <c r="M289" s="502"/>
      <c r="N289" s="511" t="s">
        <v>309</v>
      </c>
      <c r="O289" s="578" t="s">
        <v>313</v>
      </c>
      <c r="P289" s="579">
        <v>3</v>
      </c>
      <c r="Q289" s="579">
        <v>30</v>
      </c>
      <c r="R289" s="579">
        <v>2</v>
      </c>
      <c r="S289" s="579">
        <f t="shared" si="27"/>
        <v>180</v>
      </c>
      <c r="T289" s="576">
        <f t="shared" si="28"/>
        <v>15480</v>
      </c>
      <c r="U289" s="576">
        <f t="shared" si="28"/>
        <v>14940</v>
      </c>
      <c r="V289" s="576">
        <f t="shared" si="28"/>
        <v>14940</v>
      </c>
      <c r="W289" s="576">
        <f t="shared" si="28"/>
        <v>14580</v>
      </c>
      <c r="X289" s="576">
        <f t="shared" si="28"/>
        <v>14220</v>
      </c>
      <c r="Y289" s="526"/>
      <c r="Z289" s="526"/>
      <c r="AA289" s="526"/>
      <c r="AB289" s="526"/>
      <c r="AC289" s="526"/>
      <c r="AD289" s="526"/>
      <c r="AE289" s="526"/>
      <c r="AF289" s="526"/>
      <c r="AG289" s="526"/>
      <c r="AH289" s="526"/>
      <c r="AI289" s="526"/>
      <c r="AJ289" s="526"/>
      <c r="AQ289" s="712"/>
    </row>
    <row r="290" spans="11:43" ht="21">
      <c r="K290" s="712"/>
      <c r="L290" s="502"/>
      <c r="M290" s="502"/>
      <c r="N290" s="511" t="s">
        <v>309</v>
      </c>
      <c r="O290" s="578" t="s">
        <v>314</v>
      </c>
      <c r="P290" s="579">
        <v>4</v>
      </c>
      <c r="Q290" s="579">
        <v>30</v>
      </c>
      <c r="R290" s="579">
        <v>2</v>
      </c>
      <c r="S290" s="579">
        <f t="shared" si="27"/>
        <v>240</v>
      </c>
      <c r="T290" s="576">
        <f t="shared" si="28"/>
        <v>20640</v>
      </c>
      <c r="U290" s="576">
        <f t="shared" si="28"/>
        <v>19920</v>
      </c>
      <c r="V290" s="576">
        <f t="shared" si="28"/>
        <v>19920</v>
      </c>
      <c r="W290" s="576">
        <f t="shared" si="28"/>
        <v>19440</v>
      </c>
      <c r="X290" s="576">
        <f t="shared" si="28"/>
        <v>18960</v>
      </c>
      <c r="Y290" s="526"/>
      <c r="Z290" s="526"/>
      <c r="AA290" s="526"/>
      <c r="AB290" s="526"/>
      <c r="AC290" s="526"/>
      <c r="AD290" s="526"/>
      <c r="AE290" s="526"/>
      <c r="AF290" s="526"/>
      <c r="AG290" s="526"/>
      <c r="AH290" s="526"/>
      <c r="AI290" s="526"/>
      <c r="AJ290" s="526"/>
      <c r="AQ290" s="712"/>
    </row>
    <row r="291" spans="11:43" ht="21">
      <c r="K291" s="712"/>
      <c r="L291" s="502"/>
      <c r="M291" s="502"/>
      <c r="N291" s="511" t="s">
        <v>316</v>
      </c>
      <c r="O291" s="632" t="s">
        <v>315</v>
      </c>
      <c r="P291" s="633">
        <v>4</v>
      </c>
      <c r="Q291" s="633">
        <v>30</v>
      </c>
      <c r="R291" s="633">
        <v>6</v>
      </c>
      <c r="S291" s="633">
        <f t="shared" si="27"/>
        <v>720</v>
      </c>
      <c r="T291" s="576">
        <f t="shared" si="28"/>
        <v>26640</v>
      </c>
      <c r="U291" s="576">
        <f t="shared" si="28"/>
        <v>25920</v>
      </c>
      <c r="V291" s="576">
        <f t="shared" si="28"/>
        <v>25200</v>
      </c>
      <c r="W291" s="576">
        <f t="shared" si="28"/>
        <v>25200</v>
      </c>
      <c r="X291" s="576">
        <f t="shared" si="28"/>
        <v>24480</v>
      </c>
      <c r="Y291" s="526"/>
      <c r="Z291" s="526"/>
      <c r="AA291" s="526"/>
      <c r="AB291" s="526"/>
      <c r="AC291" s="526"/>
      <c r="AD291" s="526"/>
      <c r="AE291" s="526"/>
      <c r="AF291" s="526"/>
      <c r="AG291" s="526"/>
      <c r="AH291" s="526"/>
      <c r="AI291" s="526"/>
      <c r="AJ291" s="526"/>
      <c r="AQ291" s="712"/>
    </row>
    <row r="292" spans="11:43" ht="21">
      <c r="K292" s="712"/>
      <c r="L292" s="502"/>
      <c r="M292" s="502"/>
      <c r="N292" s="511" t="s">
        <v>316</v>
      </c>
      <c r="O292" s="578" t="s">
        <v>313</v>
      </c>
      <c r="P292" s="579">
        <v>3</v>
      </c>
      <c r="Q292" s="579">
        <v>30</v>
      </c>
      <c r="R292" s="579">
        <v>6</v>
      </c>
      <c r="S292" s="579">
        <f t="shared" si="27"/>
        <v>540</v>
      </c>
      <c r="T292" s="576">
        <f t="shared" si="28"/>
        <v>19980</v>
      </c>
      <c r="U292" s="576">
        <f t="shared" si="28"/>
        <v>19440</v>
      </c>
      <c r="V292" s="576">
        <f t="shared" si="28"/>
        <v>18900</v>
      </c>
      <c r="W292" s="576">
        <f t="shared" si="28"/>
        <v>18900</v>
      </c>
      <c r="X292" s="576">
        <f t="shared" si="28"/>
        <v>18360</v>
      </c>
      <c r="Y292" s="526"/>
      <c r="Z292" s="526"/>
      <c r="AA292" s="526"/>
      <c r="AB292" s="526"/>
      <c r="AC292" s="526"/>
      <c r="AD292" s="526"/>
      <c r="AE292" s="526"/>
      <c r="AF292" s="526"/>
      <c r="AG292" s="526"/>
      <c r="AH292" s="526"/>
      <c r="AI292" s="526"/>
      <c r="AJ292" s="526"/>
      <c r="AQ292" s="712"/>
    </row>
    <row r="293" spans="11:43" ht="21">
      <c r="K293" s="712"/>
      <c r="L293" s="502"/>
      <c r="M293" s="502"/>
      <c r="N293" s="511" t="s">
        <v>316</v>
      </c>
      <c r="O293" s="578" t="s">
        <v>314</v>
      </c>
      <c r="P293" s="579">
        <v>4</v>
      </c>
      <c r="Q293" s="579">
        <v>30</v>
      </c>
      <c r="R293" s="579">
        <v>2</v>
      </c>
      <c r="S293" s="579">
        <f t="shared" si="27"/>
        <v>240</v>
      </c>
      <c r="T293" s="576">
        <f t="shared" si="28"/>
        <v>8880</v>
      </c>
      <c r="U293" s="576">
        <f t="shared" si="28"/>
        <v>8640</v>
      </c>
      <c r="V293" s="576">
        <f t="shared" si="28"/>
        <v>8400</v>
      </c>
      <c r="W293" s="576">
        <f t="shared" si="28"/>
        <v>8400</v>
      </c>
      <c r="X293" s="576">
        <f t="shared" si="28"/>
        <v>8160</v>
      </c>
      <c r="Y293" s="526"/>
      <c r="Z293" s="526"/>
      <c r="AA293" s="526"/>
      <c r="AB293" s="526"/>
      <c r="AC293" s="526"/>
      <c r="AD293" s="526"/>
      <c r="AE293" s="526"/>
      <c r="AF293" s="526"/>
      <c r="AG293" s="526"/>
      <c r="AH293" s="526"/>
      <c r="AI293" s="526"/>
      <c r="AJ293" s="526"/>
      <c r="AQ293" s="712"/>
    </row>
    <row r="294" spans="11:43" ht="21">
      <c r="K294" s="712"/>
      <c r="L294" s="502"/>
      <c r="M294" s="502"/>
      <c r="N294" s="511" t="s">
        <v>318</v>
      </c>
      <c r="O294" s="636" t="s">
        <v>313</v>
      </c>
      <c r="P294" s="579">
        <v>3</v>
      </c>
      <c r="Q294" s="579">
        <v>30</v>
      </c>
      <c r="R294" s="579">
        <v>2</v>
      </c>
      <c r="S294" s="579">
        <f t="shared" si="27"/>
        <v>180</v>
      </c>
      <c r="T294" s="576">
        <f t="shared" si="28"/>
        <v>7740</v>
      </c>
      <c r="U294" s="576">
        <f t="shared" si="28"/>
        <v>7560</v>
      </c>
      <c r="V294" s="576">
        <f t="shared" si="28"/>
        <v>7380</v>
      </c>
      <c r="W294" s="576">
        <f t="shared" si="28"/>
        <v>7380</v>
      </c>
      <c r="X294" s="576">
        <f t="shared" si="28"/>
        <v>7200</v>
      </c>
      <c r="Y294" s="526"/>
      <c r="Z294" s="526"/>
      <c r="AA294" s="526"/>
      <c r="AB294" s="526"/>
      <c r="AC294" s="526"/>
      <c r="AD294" s="526"/>
      <c r="AE294" s="526"/>
      <c r="AF294" s="526"/>
      <c r="AG294" s="526"/>
      <c r="AH294" s="526"/>
      <c r="AI294" s="526"/>
      <c r="AJ294" s="526"/>
      <c r="AQ294" s="712"/>
    </row>
    <row r="295" spans="11:43" ht="21">
      <c r="K295" s="712"/>
      <c r="L295" s="502"/>
      <c r="M295" s="502"/>
      <c r="N295" s="511" t="s">
        <v>318</v>
      </c>
      <c r="O295" s="636" t="s">
        <v>320</v>
      </c>
      <c r="P295" s="579">
        <v>1</v>
      </c>
      <c r="Q295" s="579">
        <v>30</v>
      </c>
      <c r="R295" s="579">
        <v>6</v>
      </c>
      <c r="S295" s="579">
        <f t="shared" si="27"/>
        <v>180</v>
      </c>
      <c r="T295" s="576">
        <f t="shared" si="28"/>
        <v>7740</v>
      </c>
      <c r="U295" s="576">
        <f t="shared" si="28"/>
        <v>7560</v>
      </c>
      <c r="V295" s="576">
        <f t="shared" si="28"/>
        <v>7380</v>
      </c>
      <c r="W295" s="576">
        <f t="shared" si="28"/>
        <v>7380</v>
      </c>
      <c r="X295" s="576">
        <f t="shared" si="28"/>
        <v>7200</v>
      </c>
      <c r="Y295" s="526"/>
      <c r="Z295" s="526"/>
      <c r="AA295" s="526"/>
      <c r="AB295" s="526"/>
      <c r="AC295" s="526"/>
      <c r="AD295" s="526"/>
      <c r="AE295" s="526"/>
      <c r="AF295" s="526"/>
      <c r="AG295" s="526"/>
      <c r="AH295" s="526"/>
      <c r="AI295" s="526"/>
      <c r="AJ295" s="526"/>
      <c r="AQ295" s="712"/>
    </row>
    <row r="296" spans="11:43" ht="21">
      <c r="K296" s="712"/>
      <c r="L296" s="502"/>
      <c r="M296" s="502"/>
      <c r="N296" s="511" t="s">
        <v>318</v>
      </c>
      <c r="O296" s="636" t="s">
        <v>314</v>
      </c>
      <c r="P296" s="579">
        <v>4</v>
      </c>
      <c r="Q296" s="579">
        <v>30</v>
      </c>
      <c r="R296" s="579">
        <v>2</v>
      </c>
      <c r="S296" s="579">
        <f t="shared" si="27"/>
        <v>240</v>
      </c>
      <c r="T296" s="576">
        <f t="shared" si="28"/>
        <v>10320</v>
      </c>
      <c r="U296" s="576">
        <f t="shared" si="28"/>
        <v>10080</v>
      </c>
      <c r="V296" s="576">
        <f t="shared" si="28"/>
        <v>9840</v>
      </c>
      <c r="W296" s="576">
        <f t="shared" si="28"/>
        <v>9840</v>
      </c>
      <c r="X296" s="576">
        <f t="shared" si="28"/>
        <v>9600</v>
      </c>
      <c r="Y296" s="526"/>
      <c r="Z296" s="526"/>
      <c r="AA296" s="526"/>
      <c r="AB296" s="526"/>
      <c r="AC296" s="526"/>
      <c r="AD296" s="526"/>
      <c r="AE296" s="526"/>
      <c r="AF296" s="526"/>
      <c r="AG296" s="526"/>
      <c r="AH296" s="526"/>
      <c r="AI296" s="526"/>
      <c r="AJ296" s="526"/>
      <c r="AQ296" s="712"/>
    </row>
    <row r="297" spans="11:43" ht="21">
      <c r="K297" s="712"/>
      <c r="L297" s="502"/>
      <c r="M297" s="502"/>
      <c r="N297" s="511" t="s">
        <v>318</v>
      </c>
      <c r="O297" s="636" t="s">
        <v>319</v>
      </c>
      <c r="P297" s="579">
        <v>2</v>
      </c>
      <c r="Q297" s="579">
        <v>30</v>
      </c>
      <c r="R297" s="579">
        <v>6</v>
      </c>
      <c r="S297" s="579">
        <f t="shared" si="27"/>
        <v>360</v>
      </c>
      <c r="T297" s="576">
        <f t="shared" si="28"/>
        <v>15480</v>
      </c>
      <c r="U297" s="576">
        <f t="shared" si="28"/>
        <v>15120</v>
      </c>
      <c r="V297" s="576">
        <f t="shared" si="28"/>
        <v>14760</v>
      </c>
      <c r="W297" s="576">
        <f t="shared" si="28"/>
        <v>14760</v>
      </c>
      <c r="X297" s="576">
        <f t="shared" si="28"/>
        <v>14400</v>
      </c>
      <c r="Y297" s="526"/>
      <c r="Z297" s="526"/>
      <c r="AA297" s="526"/>
      <c r="AB297" s="526"/>
      <c r="AC297" s="526"/>
      <c r="AD297" s="526"/>
      <c r="AE297" s="526"/>
      <c r="AF297" s="526"/>
      <c r="AG297" s="526"/>
      <c r="AH297" s="526"/>
      <c r="AI297" s="526"/>
      <c r="AJ297" s="526"/>
      <c r="AQ297" s="712"/>
    </row>
    <row r="298" spans="11:43" ht="21">
      <c r="K298" s="712"/>
      <c r="L298" s="502"/>
      <c r="M298" s="502"/>
      <c r="N298" s="518" t="s">
        <v>323</v>
      </c>
      <c r="O298" s="636" t="s">
        <v>313</v>
      </c>
      <c r="P298" s="579">
        <v>3</v>
      </c>
      <c r="Q298" s="579">
        <v>30</v>
      </c>
      <c r="R298" s="638">
        <v>6</v>
      </c>
      <c r="S298" s="579">
        <f t="shared" si="27"/>
        <v>540</v>
      </c>
      <c r="T298" s="576">
        <f t="shared" ref="T298:X306" si="29">VLOOKUP($N298,FLD_MS_adulti,T$120,0)*$S298</f>
        <v>10260</v>
      </c>
      <c r="U298" s="576">
        <f t="shared" si="29"/>
        <v>9720</v>
      </c>
      <c r="V298" s="576">
        <f t="shared" si="29"/>
        <v>9720</v>
      </c>
      <c r="W298" s="576">
        <f t="shared" si="29"/>
        <v>9180</v>
      </c>
      <c r="X298" s="576">
        <f t="shared" si="29"/>
        <v>9180</v>
      </c>
      <c r="Y298" s="526"/>
      <c r="Z298" s="526"/>
      <c r="AA298" s="526"/>
      <c r="AB298" s="526"/>
      <c r="AC298" s="526"/>
      <c r="AD298" s="526"/>
      <c r="AE298" s="526"/>
      <c r="AF298" s="526"/>
      <c r="AG298" s="526"/>
      <c r="AH298" s="526"/>
      <c r="AI298" s="526"/>
      <c r="AJ298" s="526"/>
      <c r="AQ298" s="712"/>
    </row>
    <row r="299" spans="11:43" ht="21">
      <c r="K299" s="712"/>
      <c r="L299" s="502"/>
      <c r="M299" s="502"/>
      <c r="N299" s="518" t="s">
        <v>323</v>
      </c>
      <c r="O299" s="636" t="s">
        <v>320</v>
      </c>
      <c r="P299" s="579">
        <v>1</v>
      </c>
      <c r="Q299" s="579">
        <v>30</v>
      </c>
      <c r="R299" s="638">
        <v>6</v>
      </c>
      <c r="S299" s="579">
        <f t="shared" si="27"/>
        <v>180</v>
      </c>
      <c r="T299" s="576">
        <f t="shared" si="29"/>
        <v>3420</v>
      </c>
      <c r="U299" s="576">
        <f t="shared" si="29"/>
        <v>3240</v>
      </c>
      <c r="V299" s="576">
        <f t="shared" si="29"/>
        <v>3240</v>
      </c>
      <c r="W299" s="576">
        <f t="shared" si="29"/>
        <v>3060</v>
      </c>
      <c r="X299" s="576">
        <f t="shared" si="29"/>
        <v>3060</v>
      </c>
      <c r="Y299" s="526"/>
      <c r="Z299" s="526"/>
      <c r="AA299" s="526"/>
      <c r="AB299" s="526"/>
      <c r="AC299" s="526"/>
      <c r="AD299" s="526"/>
      <c r="AE299" s="526"/>
      <c r="AF299" s="526"/>
      <c r="AG299" s="526"/>
      <c r="AH299" s="526"/>
      <c r="AI299" s="526"/>
      <c r="AJ299" s="526"/>
      <c r="AQ299" s="712"/>
    </row>
    <row r="300" spans="11:43" ht="21">
      <c r="K300" s="712"/>
      <c r="L300" s="502"/>
      <c r="M300" s="502"/>
      <c r="N300" s="518" t="s">
        <v>323</v>
      </c>
      <c r="O300" s="636" t="s">
        <v>314</v>
      </c>
      <c r="P300" s="579">
        <v>4</v>
      </c>
      <c r="Q300" s="579">
        <v>30</v>
      </c>
      <c r="R300" s="638">
        <v>2</v>
      </c>
      <c r="S300" s="579">
        <f t="shared" si="27"/>
        <v>240</v>
      </c>
      <c r="T300" s="576">
        <f t="shared" si="29"/>
        <v>4560</v>
      </c>
      <c r="U300" s="576">
        <f t="shared" si="29"/>
        <v>4320</v>
      </c>
      <c r="V300" s="576">
        <f t="shared" si="29"/>
        <v>4320</v>
      </c>
      <c r="W300" s="576">
        <f t="shared" si="29"/>
        <v>4080</v>
      </c>
      <c r="X300" s="576">
        <f t="shared" si="29"/>
        <v>4080</v>
      </c>
      <c r="Y300" s="526"/>
      <c r="Z300" s="526"/>
      <c r="AA300" s="526"/>
      <c r="AB300" s="526"/>
      <c r="AC300" s="526"/>
      <c r="AD300" s="526"/>
      <c r="AE300" s="526"/>
      <c r="AF300" s="526"/>
      <c r="AG300" s="526"/>
      <c r="AH300" s="526"/>
      <c r="AI300" s="526"/>
      <c r="AJ300" s="526"/>
      <c r="AQ300" s="712"/>
    </row>
    <row r="301" spans="11:43" ht="21">
      <c r="K301" s="712"/>
      <c r="L301" s="502"/>
      <c r="M301" s="502"/>
      <c r="N301" s="518" t="s">
        <v>323</v>
      </c>
      <c r="O301" s="636" t="s">
        <v>319</v>
      </c>
      <c r="P301" s="579">
        <v>2</v>
      </c>
      <c r="Q301" s="579">
        <v>30</v>
      </c>
      <c r="R301" s="638">
        <v>6</v>
      </c>
      <c r="S301" s="579">
        <f t="shared" si="27"/>
        <v>360</v>
      </c>
      <c r="T301" s="576">
        <f t="shared" si="29"/>
        <v>6840</v>
      </c>
      <c r="U301" s="576">
        <f t="shared" si="29"/>
        <v>6480</v>
      </c>
      <c r="V301" s="576">
        <f t="shared" si="29"/>
        <v>6480</v>
      </c>
      <c r="W301" s="576">
        <f t="shared" si="29"/>
        <v>6120</v>
      </c>
      <c r="X301" s="576">
        <f t="shared" si="29"/>
        <v>6120</v>
      </c>
      <c r="Y301" s="526"/>
      <c r="Z301" s="526"/>
      <c r="AA301" s="526"/>
      <c r="AB301" s="526"/>
      <c r="AC301" s="526"/>
      <c r="AD301" s="526"/>
      <c r="AE301" s="526"/>
      <c r="AF301" s="526"/>
      <c r="AG301" s="526"/>
      <c r="AH301" s="526"/>
      <c r="AI301" s="526"/>
      <c r="AJ301" s="526"/>
      <c r="AQ301" s="712"/>
    </row>
    <row r="302" spans="11:43" ht="21">
      <c r="K302" s="712"/>
      <c r="L302" s="502"/>
      <c r="M302" s="502"/>
      <c r="N302" s="518" t="s">
        <v>324</v>
      </c>
      <c r="O302" s="636" t="s">
        <v>315</v>
      </c>
      <c r="P302" s="579">
        <v>4</v>
      </c>
      <c r="Q302" s="579">
        <v>30</v>
      </c>
      <c r="R302" s="639">
        <v>4</v>
      </c>
      <c r="S302" s="579">
        <f t="shared" si="27"/>
        <v>480</v>
      </c>
      <c r="T302" s="576">
        <f t="shared" si="29"/>
        <v>41760</v>
      </c>
      <c r="U302" s="576">
        <f t="shared" si="29"/>
        <v>40320</v>
      </c>
      <c r="V302" s="576">
        <f t="shared" si="29"/>
        <v>39360</v>
      </c>
      <c r="W302" s="576">
        <f t="shared" si="29"/>
        <v>38880</v>
      </c>
      <c r="X302" s="576">
        <f t="shared" si="29"/>
        <v>38400</v>
      </c>
      <c r="Y302" s="526"/>
      <c r="Z302" s="526"/>
      <c r="AA302" s="526"/>
      <c r="AB302" s="526"/>
      <c r="AC302" s="526"/>
      <c r="AD302" s="526"/>
      <c r="AE302" s="526"/>
      <c r="AF302" s="526"/>
      <c r="AG302" s="526"/>
      <c r="AH302" s="526"/>
      <c r="AI302" s="526"/>
      <c r="AJ302" s="526"/>
      <c r="AQ302" s="712"/>
    </row>
    <row r="303" spans="11:43" ht="34">
      <c r="K303" s="712"/>
      <c r="L303" s="502"/>
      <c r="M303" s="502"/>
      <c r="N303" s="518" t="s">
        <v>324</v>
      </c>
      <c r="O303" s="636" t="s">
        <v>325</v>
      </c>
      <c r="P303" s="579">
        <v>4</v>
      </c>
      <c r="Q303" s="579">
        <v>30</v>
      </c>
      <c r="R303" s="639">
        <v>2</v>
      </c>
      <c r="S303" s="579">
        <f t="shared" si="27"/>
        <v>240</v>
      </c>
      <c r="T303" s="576">
        <f t="shared" si="29"/>
        <v>20880</v>
      </c>
      <c r="U303" s="576">
        <f t="shared" si="29"/>
        <v>20160</v>
      </c>
      <c r="V303" s="576">
        <f t="shared" si="29"/>
        <v>19680</v>
      </c>
      <c r="W303" s="576">
        <f t="shared" si="29"/>
        <v>19440</v>
      </c>
      <c r="X303" s="576">
        <f t="shared" si="29"/>
        <v>19200</v>
      </c>
      <c r="Y303" s="526"/>
      <c r="Z303" s="526"/>
      <c r="AA303" s="526"/>
      <c r="AB303" s="526"/>
      <c r="AC303" s="526"/>
      <c r="AD303" s="526"/>
      <c r="AE303" s="526"/>
      <c r="AF303" s="526"/>
      <c r="AG303" s="526"/>
      <c r="AH303" s="526"/>
      <c r="AI303" s="526"/>
      <c r="AJ303" s="526"/>
      <c r="AQ303" s="712"/>
    </row>
    <row r="304" spans="11:43" ht="21">
      <c r="K304" s="712"/>
      <c r="L304" s="502"/>
      <c r="M304" s="502"/>
      <c r="N304" s="518" t="s">
        <v>326</v>
      </c>
      <c r="O304" s="636" t="s">
        <v>315</v>
      </c>
      <c r="P304" s="579">
        <v>4</v>
      </c>
      <c r="Q304" s="579">
        <v>30</v>
      </c>
      <c r="R304" s="639">
        <v>4</v>
      </c>
      <c r="S304" s="579">
        <f t="shared" si="27"/>
        <v>480</v>
      </c>
      <c r="T304" s="576">
        <f t="shared" si="29"/>
        <v>17760</v>
      </c>
      <c r="U304" s="576">
        <f t="shared" si="29"/>
        <v>17280</v>
      </c>
      <c r="V304" s="576">
        <f t="shared" si="29"/>
        <v>16800</v>
      </c>
      <c r="W304" s="576">
        <f t="shared" si="29"/>
        <v>16800</v>
      </c>
      <c r="X304" s="576">
        <f t="shared" si="29"/>
        <v>16320</v>
      </c>
      <c r="Y304" s="526"/>
      <c r="Z304" s="526"/>
      <c r="AA304" s="526"/>
      <c r="AB304" s="526"/>
      <c r="AC304" s="526"/>
      <c r="AD304" s="526"/>
      <c r="AE304" s="526"/>
      <c r="AF304" s="526"/>
      <c r="AG304" s="526"/>
      <c r="AH304" s="526"/>
      <c r="AI304" s="526"/>
      <c r="AJ304" s="526"/>
      <c r="AQ304" s="712"/>
    </row>
    <row r="305" spans="1:44" ht="34">
      <c r="K305" s="712"/>
      <c r="L305" s="502"/>
      <c r="M305" s="502"/>
      <c r="N305" s="518" t="s">
        <v>326</v>
      </c>
      <c r="O305" s="636" t="s">
        <v>325</v>
      </c>
      <c r="P305" s="579">
        <v>4</v>
      </c>
      <c r="Q305" s="579">
        <v>30</v>
      </c>
      <c r="R305" s="639">
        <v>2</v>
      </c>
      <c r="S305" s="579">
        <f t="shared" si="27"/>
        <v>240</v>
      </c>
      <c r="T305" s="576">
        <f t="shared" si="29"/>
        <v>8880</v>
      </c>
      <c r="U305" s="576">
        <f t="shared" si="29"/>
        <v>8640</v>
      </c>
      <c r="V305" s="576">
        <f t="shared" si="29"/>
        <v>8400</v>
      </c>
      <c r="W305" s="576">
        <f t="shared" si="29"/>
        <v>8400</v>
      </c>
      <c r="X305" s="576">
        <f t="shared" si="29"/>
        <v>8160</v>
      </c>
      <c r="Y305" s="526"/>
      <c r="Z305" s="526"/>
      <c r="AA305" s="526"/>
      <c r="AB305" s="526"/>
      <c r="AC305" s="526"/>
      <c r="AD305" s="526"/>
      <c r="AE305" s="526"/>
      <c r="AF305" s="526"/>
      <c r="AG305" s="526"/>
      <c r="AH305" s="526"/>
      <c r="AI305" s="526"/>
      <c r="AJ305" s="526"/>
      <c r="AQ305" s="712"/>
    </row>
    <row r="306" spans="1:44" ht="22" thickBot="1">
      <c r="K306" s="712"/>
      <c r="L306" s="502"/>
      <c r="M306" s="502"/>
      <c r="N306" s="524" t="s">
        <v>326</v>
      </c>
      <c r="O306" s="640" t="s">
        <v>313</v>
      </c>
      <c r="P306" s="581">
        <v>3</v>
      </c>
      <c r="Q306" s="581">
        <v>30</v>
      </c>
      <c r="R306" s="641">
        <v>4</v>
      </c>
      <c r="S306" s="581">
        <f t="shared" si="27"/>
        <v>360</v>
      </c>
      <c r="T306" s="576">
        <f t="shared" si="29"/>
        <v>13320</v>
      </c>
      <c r="U306" s="576">
        <f t="shared" si="29"/>
        <v>12960</v>
      </c>
      <c r="V306" s="576">
        <f t="shared" si="29"/>
        <v>12600</v>
      </c>
      <c r="W306" s="576">
        <f t="shared" si="29"/>
        <v>12600</v>
      </c>
      <c r="X306" s="576">
        <f t="shared" si="29"/>
        <v>12240</v>
      </c>
      <c r="Y306" s="526"/>
      <c r="Z306" s="526"/>
      <c r="AA306" s="526"/>
      <c r="AB306" s="526"/>
      <c r="AC306" s="526"/>
      <c r="AD306" s="526"/>
      <c r="AE306" s="526"/>
      <c r="AF306" s="526"/>
      <c r="AG306" s="526"/>
      <c r="AH306" s="526"/>
      <c r="AI306" s="526"/>
      <c r="AJ306" s="526"/>
      <c r="AQ306" s="712"/>
    </row>
    <row r="307" spans="1:44" ht="22" thickBot="1">
      <c r="K307" s="712"/>
      <c r="L307" s="502"/>
      <c r="M307" s="502"/>
      <c r="N307" s="1438" t="s">
        <v>2402</v>
      </c>
      <c r="O307" s="1443" t="s">
        <v>2403</v>
      </c>
      <c r="P307" s="1387">
        <v>2</v>
      </c>
      <c r="Q307" s="1387">
        <v>30</v>
      </c>
      <c r="R307" s="1387">
        <v>6</v>
      </c>
      <c r="S307" s="1387">
        <f t="shared" si="27"/>
        <v>360</v>
      </c>
      <c r="T307" s="582">
        <f>T285*$S307</f>
        <v>15120</v>
      </c>
      <c r="U307" s="582">
        <f>U285*$S307</f>
        <v>14400</v>
      </c>
      <c r="V307" s="582">
        <f>V285*$S307</f>
        <v>14400</v>
      </c>
      <c r="W307" s="582">
        <f>W285*$S307</f>
        <v>14040</v>
      </c>
      <c r="X307" s="582">
        <f>X285*$S307</f>
        <v>13680</v>
      </c>
      <c r="Y307" s="526"/>
      <c r="Z307" s="526"/>
      <c r="AA307" s="526"/>
      <c r="AB307" s="526"/>
      <c r="AC307" s="526"/>
      <c r="AD307" s="526"/>
      <c r="AE307" s="526"/>
      <c r="AF307" s="526"/>
      <c r="AG307" s="526"/>
      <c r="AH307" s="526"/>
      <c r="AI307" s="526"/>
      <c r="AJ307" s="526"/>
      <c r="AQ307" s="712"/>
    </row>
    <row r="308" spans="1:44" ht="22" thickBot="1">
      <c r="K308" s="712"/>
      <c r="L308" s="502"/>
      <c r="M308" s="502"/>
      <c r="O308" s="1443"/>
      <c r="P308" s="526"/>
      <c r="Q308" s="526"/>
      <c r="R308" s="526"/>
      <c r="S308" s="526"/>
      <c r="T308" s="526"/>
      <c r="U308" s="526"/>
      <c r="V308" s="526"/>
      <c r="W308" s="526"/>
      <c r="X308" s="526"/>
      <c r="Y308" s="526"/>
      <c r="Z308" s="526"/>
      <c r="AA308" s="526"/>
      <c r="AB308" s="526"/>
      <c r="AC308" s="526"/>
      <c r="AD308" s="526"/>
      <c r="AE308" s="526"/>
      <c r="AF308" s="526"/>
      <c r="AG308" s="526"/>
      <c r="AH308" s="526"/>
      <c r="AI308" s="526"/>
      <c r="AJ308" s="526"/>
      <c r="AQ308" s="712"/>
    </row>
    <row r="309" spans="1:44" ht="22" thickBot="1">
      <c r="A309" s="730">
        <v>16</v>
      </c>
      <c r="B309" s="733">
        <f>T309</f>
        <v>7560</v>
      </c>
      <c r="C309" s="733">
        <f>U309</f>
        <v>7200</v>
      </c>
      <c r="D309" s="733">
        <f>V309</f>
        <v>7200</v>
      </c>
      <c r="E309" s="733">
        <f>W309</f>
        <v>7020</v>
      </c>
      <c r="F309" s="733">
        <f>X309</f>
        <v>6840</v>
      </c>
      <c r="G309" s="733" t="s">
        <v>513</v>
      </c>
      <c r="H309" s="1860" t="s">
        <v>3242</v>
      </c>
      <c r="I309" s="841"/>
      <c r="J309" s="841" t="s">
        <v>2950</v>
      </c>
      <c r="K309" s="712"/>
      <c r="L309" s="502"/>
      <c r="M309" s="502"/>
      <c r="O309" s="1443" t="s">
        <v>2403</v>
      </c>
      <c r="P309" s="526"/>
      <c r="Q309" s="526"/>
      <c r="R309" s="526"/>
      <c r="S309" s="591">
        <f>VLOOKUP(O309,Preturi_medicamente!D:F,3,0)</f>
        <v>0.5</v>
      </c>
      <c r="T309" s="1738">
        <f>ROUND(T307*$S309,2)</f>
        <v>7560</v>
      </c>
      <c r="U309" s="1736">
        <f>ROUND(U307*$S309,2)</f>
        <v>7200</v>
      </c>
      <c r="V309" s="1736">
        <f>ROUND(V307*$S309,2)</f>
        <v>7200</v>
      </c>
      <c r="W309" s="1736">
        <f>ROUND(W307*$S309,2)</f>
        <v>7020</v>
      </c>
      <c r="X309" s="1737">
        <f>ROUND(X307*$S309,2)</f>
        <v>6840</v>
      </c>
      <c r="Y309" s="526"/>
      <c r="Z309" s="526"/>
      <c r="AA309" s="526"/>
      <c r="AB309" s="526"/>
      <c r="AC309" s="526"/>
      <c r="AD309" s="526"/>
      <c r="AE309" s="526"/>
      <c r="AF309" s="526"/>
      <c r="AG309" s="526"/>
      <c r="AH309" s="526"/>
      <c r="AI309" s="526"/>
      <c r="AJ309" s="526"/>
      <c r="AQ309" s="712"/>
      <c r="AR309" s="1487">
        <f>SUM(T309:X309)</f>
        <v>35820</v>
      </c>
    </row>
    <row r="310" spans="1:44" ht="21">
      <c r="K310" s="712"/>
      <c r="L310" s="502"/>
      <c r="M310" s="502"/>
      <c r="O310" s="526"/>
      <c r="P310" s="526"/>
      <c r="Q310" s="526"/>
      <c r="R310" s="526"/>
      <c r="S310" s="526"/>
      <c r="T310" s="526"/>
      <c r="U310" s="526"/>
      <c r="V310" s="526"/>
      <c r="W310" s="526"/>
      <c r="X310" s="526"/>
      <c r="Y310" s="526"/>
      <c r="Z310" s="526"/>
      <c r="AA310" s="526"/>
      <c r="AB310" s="526"/>
      <c r="AC310" s="526"/>
      <c r="AD310" s="526"/>
      <c r="AE310" s="526"/>
      <c r="AF310" s="526"/>
      <c r="AG310" s="526"/>
      <c r="AH310" s="526"/>
      <c r="AI310" s="526"/>
      <c r="AJ310" s="526"/>
      <c r="AQ310" s="712"/>
    </row>
    <row r="311" spans="1:44" ht="21">
      <c r="K311" s="712"/>
      <c r="L311" s="502"/>
      <c r="M311" s="502"/>
      <c r="O311" s="526"/>
      <c r="P311" s="526"/>
      <c r="Q311" s="526"/>
      <c r="R311" s="526"/>
      <c r="S311" s="526"/>
      <c r="T311" s="526"/>
      <c r="U311" s="526"/>
      <c r="V311" s="526"/>
      <c r="W311" s="526"/>
      <c r="X311" s="526"/>
      <c r="Y311" s="526"/>
      <c r="Z311" s="526"/>
      <c r="AA311" s="526"/>
      <c r="AB311" s="526"/>
      <c r="AC311" s="526"/>
      <c r="AD311" s="526"/>
      <c r="AE311" s="526"/>
      <c r="AF311" s="526"/>
      <c r="AG311" s="526"/>
      <c r="AH311" s="526"/>
      <c r="AI311" s="526"/>
      <c r="AJ311" s="526"/>
      <c r="AQ311" s="712"/>
    </row>
    <row r="312" spans="1:44" ht="22" thickBot="1">
      <c r="K312" s="712"/>
      <c r="L312" s="502"/>
      <c r="M312" s="502"/>
      <c r="O312" s="526"/>
      <c r="P312" s="526"/>
      <c r="Q312" s="526"/>
      <c r="R312" s="526"/>
      <c r="S312" s="526"/>
      <c r="T312" s="526"/>
      <c r="U312" s="526"/>
      <c r="V312" s="526"/>
      <c r="W312" s="526"/>
      <c r="X312" s="526"/>
      <c r="Y312" s="526"/>
      <c r="Z312" s="526"/>
      <c r="AA312" s="526"/>
      <c r="AB312" s="526"/>
      <c r="AC312" s="526"/>
      <c r="AD312" s="526"/>
      <c r="AE312" s="526"/>
      <c r="AF312" s="526"/>
      <c r="AG312" s="526"/>
      <c r="AH312" s="526"/>
      <c r="AI312" s="526"/>
      <c r="AJ312" s="526"/>
      <c r="AQ312" s="712"/>
    </row>
    <row r="313" spans="1:44" ht="22" thickBot="1">
      <c r="K313" s="712"/>
      <c r="L313" s="502"/>
      <c r="M313" s="502"/>
      <c r="N313" s="508" t="s">
        <v>335</v>
      </c>
      <c r="O313" s="526"/>
      <c r="P313" s="526"/>
      <c r="Q313" s="526"/>
      <c r="R313" s="526"/>
      <c r="S313" s="526"/>
      <c r="T313" s="530" t="s">
        <v>333</v>
      </c>
      <c r="U313" s="528"/>
      <c r="V313" s="528"/>
      <c r="W313" s="528"/>
      <c r="X313" s="529"/>
      <c r="Y313" s="526"/>
      <c r="Z313" s="526"/>
      <c r="AA313" s="526"/>
      <c r="AB313" s="526"/>
      <c r="AC313" s="526"/>
      <c r="AD313" s="526"/>
      <c r="AE313" s="526"/>
      <c r="AF313" s="526"/>
      <c r="AG313" s="526"/>
      <c r="AH313" s="526"/>
      <c r="AI313" s="526"/>
      <c r="AJ313" s="526"/>
      <c r="AQ313" s="712"/>
    </row>
    <row r="314" spans="1:44" ht="22" thickBot="1">
      <c r="K314" s="712"/>
      <c r="L314" s="502"/>
      <c r="M314" s="502"/>
      <c r="O314" s="526"/>
      <c r="P314" s="526"/>
      <c r="Q314" s="526"/>
      <c r="R314" s="526"/>
      <c r="S314" s="526"/>
      <c r="T314" s="584">
        <v>2021</v>
      </c>
      <c r="U314" s="585">
        <v>2022</v>
      </c>
      <c r="V314" s="585">
        <v>2023</v>
      </c>
      <c r="W314" s="585">
        <v>2024</v>
      </c>
      <c r="X314" s="586">
        <v>2025</v>
      </c>
      <c r="Y314" s="526"/>
      <c r="Z314" s="526"/>
      <c r="AA314" s="526"/>
      <c r="AB314" s="526"/>
      <c r="AC314" s="526"/>
      <c r="AD314" s="526"/>
      <c r="AE314" s="526"/>
      <c r="AF314" s="526"/>
      <c r="AG314" s="526"/>
      <c r="AH314" s="526"/>
      <c r="AI314" s="526"/>
      <c r="AJ314" s="526"/>
      <c r="AQ314" s="712"/>
    </row>
    <row r="315" spans="1:44" ht="21">
      <c r="K315" s="712"/>
      <c r="L315" s="502"/>
      <c r="M315" s="502"/>
      <c r="O315" s="530" t="s">
        <v>315</v>
      </c>
      <c r="P315" s="528"/>
      <c r="Q315" s="528"/>
      <c r="R315" s="528"/>
      <c r="S315" s="528"/>
      <c r="T315" s="592">
        <f t="shared" ref="T315:X321" si="30">SUMIF($O288:$O306,$O315,T$288:T$306)</f>
        <v>148080</v>
      </c>
      <c r="U315" s="593">
        <f t="shared" si="30"/>
        <v>143280</v>
      </c>
      <c r="V315" s="593">
        <f t="shared" si="30"/>
        <v>141120</v>
      </c>
      <c r="W315" s="593">
        <f t="shared" si="30"/>
        <v>139200</v>
      </c>
      <c r="X315" s="594">
        <f t="shared" si="30"/>
        <v>136080</v>
      </c>
      <c r="Y315" s="526"/>
      <c r="Z315" s="526"/>
      <c r="AA315" s="526"/>
      <c r="AB315" s="526"/>
      <c r="AC315" s="526"/>
      <c r="AD315" s="526"/>
      <c r="AE315" s="526"/>
      <c r="AF315" s="526"/>
      <c r="AG315" s="526"/>
      <c r="AH315" s="526"/>
      <c r="AI315" s="526"/>
      <c r="AJ315" s="526"/>
      <c r="AQ315" s="712"/>
    </row>
    <row r="316" spans="1:44" ht="21">
      <c r="K316" s="712"/>
      <c r="L316" s="502"/>
      <c r="M316" s="502"/>
      <c r="O316" s="574" t="s">
        <v>325</v>
      </c>
      <c r="P316" s="591"/>
      <c r="Q316" s="591"/>
      <c r="R316" s="591"/>
      <c r="S316" s="591"/>
      <c r="T316" s="592">
        <f t="shared" si="30"/>
        <v>59520</v>
      </c>
      <c r="U316" s="593">
        <f t="shared" si="30"/>
        <v>57600</v>
      </c>
      <c r="V316" s="593">
        <f t="shared" si="30"/>
        <v>56160</v>
      </c>
      <c r="W316" s="593">
        <f t="shared" si="30"/>
        <v>55680</v>
      </c>
      <c r="X316" s="594">
        <f t="shared" si="30"/>
        <v>54720</v>
      </c>
      <c r="Y316" s="526"/>
      <c r="Z316" s="526"/>
      <c r="AA316" s="526"/>
      <c r="AB316" s="526"/>
      <c r="AC316" s="526"/>
      <c r="AD316" s="526"/>
      <c r="AE316" s="526"/>
      <c r="AF316" s="526"/>
      <c r="AG316" s="526"/>
      <c r="AH316" s="526"/>
      <c r="AI316" s="526"/>
      <c r="AJ316" s="526"/>
      <c r="AQ316" s="712"/>
    </row>
    <row r="317" spans="1:44" ht="21">
      <c r="K317" s="712"/>
      <c r="L317" s="502"/>
      <c r="M317" s="502"/>
      <c r="O317" s="574" t="s">
        <v>313</v>
      </c>
      <c r="P317" s="591"/>
      <c r="Q317" s="591"/>
      <c r="R317" s="591"/>
      <c r="S317" s="591"/>
      <c r="T317" s="592">
        <f t="shared" si="30"/>
        <v>68700</v>
      </c>
      <c r="U317" s="593">
        <f t="shared" si="30"/>
        <v>66720</v>
      </c>
      <c r="V317" s="593">
        <f t="shared" si="30"/>
        <v>65460</v>
      </c>
      <c r="W317" s="593">
        <f t="shared" si="30"/>
        <v>64980</v>
      </c>
      <c r="X317" s="594">
        <f t="shared" si="30"/>
        <v>63240</v>
      </c>
      <c r="Y317" s="526"/>
      <c r="Z317" s="526"/>
      <c r="AA317" s="526"/>
      <c r="AB317" s="526"/>
      <c r="AC317" s="526"/>
      <c r="AD317" s="526"/>
      <c r="AE317" s="526"/>
      <c r="AF317" s="526"/>
      <c r="AG317" s="526"/>
      <c r="AH317" s="526"/>
      <c r="AI317" s="526"/>
      <c r="AJ317" s="526"/>
      <c r="AQ317" s="712"/>
    </row>
    <row r="318" spans="1:44" ht="21">
      <c r="K318" s="712"/>
      <c r="L318" s="502"/>
      <c r="M318" s="502"/>
      <c r="O318" s="574" t="s">
        <v>320</v>
      </c>
      <c r="P318" s="591"/>
      <c r="Q318" s="591"/>
      <c r="R318" s="591"/>
      <c r="S318" s="591"/>
      <c r="T318" s="592">
        <f t="shared" si="30"/>
        <v>30300</v>
      </c>
      <c r="U318" s="593">
        <f t="shared" si="30"/>
        <v>29520</v>
      </c>
      <c r="V318" s="593">
        <f t="shared" si="30"/>
        <v>28740</v>
      </c>
      <c r="W318" s="593">
        <f t="shared" si="30"/>
        <v>28740</v>
      </c>
      <c r="X318" s="594">
        <f t="shared" si="30"/>
        <v>27960</v>
      </c>
      <c r="Y318" s="526"/>
      <c r="Z318" s="526"/>
      <c r="AA318" s="526"/>
      <c r="AB318" s="526"/>
      <c r="AC318" s="526"/>
      <c r="AD318" s="526"/>
      <c r="AE318" s="526"/>
      <c r="AF318" s="526"/>
      <c r="AG318" s="526"/>
      <c r="AH318" s="526"/>
      <c r="AI318" s="526"/>
      <c r="AJ318" s="526"/>
      <c r="AQ318" s="712"/>
    </row>
    <row r="319" spans="1:44" ht="21">
      <c r="K319" s="712"/>
      <c r="L319" s="502"/>
      <c r="M319" s="502"/>
      <c r="O319" s="574" t="s">
        <v>321</v>
      </c>
      <c r="P319" s="591"/>
      <c r="Q319" s="591"/>
      <c r="R319" s="591"/>
      <c r="S319" s="591"/>
      <c r="T319" s="592">
        <f t="shared" si="30"/>
        <v>0</v>
      </c>
      <c r="U319" s="593">
        <f t="shared" si="30"/>
        <v>0</v>
      </c>
      <c r="V319" s="593">
        <f t="shared" si="30"/>
        <v>0</v>
      </c>
      <c r="W319" s="593">
        <f t="shared" si="30"/>
        <v>0</v>
      </c>
      <c r="X319" s="594">
        <f t="shared" si="30"/>
        <v>0</v>
      </c>
      <c r="Y319" s="526"/>
      <c r="Z319" s="526"/>
      <c r="AA319" s="526"/>
      <c r="AB319" s="526"/>
      <c r="AC319" s="526"/>
      <c r="AD319" s="526"/>
      <c r="AE319" s="526"/>
      <c r="AF319" s="526"/>
      <c r="AG319" s="526"/>
      <c r="AH319" s="526"/>
      <c r="AI319" s="526"/>
      <c r="AJ319" s="526"/>
      <c r="AQ319" s="712"/>
    </row>
    <row r="320" spans="1:44" ht="21">
      <c r="K320" s="712"/>
      <c r="L320" s="502"/>
      <c r="M320" s="502"/>
      <c r="O320" s="574" t="s">
        <v>314</v>
      </c>
      <c r="P320" s="591"/>
      <c r="Q320" s="591"/>
      <c r="R320" s="591"/>
      <c r="S320" s="591"/>
      <c r="T320" s="592">
        <f t="shared" si="30"/>
        <v>96300</v>
      </c>
      <c r="U320" s="593">
        <f t="shared" si="30"/>
        <v>93240</v>
      </c>
      <c r="V320" s="593">
        <f t="shared" si="30"/>
        <v>92340</v>
      </c>
      <c r="W320" s="593">
        <f t="shared" si="30"/>
        <v>90900</v>
      </c>
      <c r="X320" s="594">
        <f t="shared" si="30"/>
        <v>88560</v>
      </c>
      <c r="Y320" s="526"/>
      <c r="Z320" s="526"/>
      <c r="AA320" s="526"/>
      <c r="AB320" s="526"/>
      <c r="AC320" s="526"/>
      <c r="AD320" s="526"/>
      <c r="AE320" s="526"/>
      <c r="AF320" s="526"/>
      <c r="AG320" s="526"/>
      <c r="AH320" s="526"/>
      <c r="AI320" s="526"/>
      <c r="AJ320" s="526"/>
      <c r="AQ320" s="712"/>
    </row>
    <row r="321" spans="1:44" ht="22" thickBot="1">
      <c r="K321" s="712"/>
      <c r="L321" s="502"/>
      <c r="M321" s="502"/>
      <c r="O321" s="595" t="s">
        <v>319</v>
      </c>
      <c r="P321" s="596"/>
      <c r="Q321" s="596"/>
      <c r="R321" s="596"/>
      <c r="S321" s="596"/>
      <c r="T321" s="597">
        <f t="shared" si="30"/>
        <v>34380</v>
      </c>
      <c r="U321" s="598">
        <f t="shared" si="30"/>
        <v>33480</v>
      </c>
      <c r="V321" s="598">
        <f t="shared" si="30"/>
        <v>32580</v>
      </c>
      <c r="W321" s="598">
        <f t="shared" si="30"/>
        <v>32580</v>
      </c>
      <c r="X321" s="599">
        <f t="shared" si="30"/>
        <v>31680</v>
      </c>
      <c r="Y321" s="526"/>
      <c r="Z321" s="526"/>
      <c r="AA321" s="526"/>
      <c r="AB321" s="526"/>
      <c r="AC321" s="526"/>
      <c r="AD321" s="526"/>
      <c r="AE321" s="526"/>
      <c r="AF321" s="526"/>
      <c r="AG321" s="526"/>
      <c r="AH321" s="526"/>
      <c r="AI321" s="526"/>
      <c r="AJ321" s="526"/>
      <c r="AQ321" s="712"/>
    </row>
    <row r="322" spans="1:44" ht="22" thickBot="1">
      <c r="K322" s="712"/>
      <c r="L322" s="502"/>
      <c r="M322" s="502"/>
      <c r="O322" s="526"/>
      <c r="P322" s="526"/>
      <c r="Q322" s="526"/>
      <c r="R322" s="526"/>
      <c r="S322" s="526"/>
      <c r="T322" s="526"/>
      <c r="U322" s="526"/>
      <c r="V322" s="526"/>
      <c r="W322" s="526"/>
      <c r="X322" s="526"/>
      <c r="Y322" s="526"/>
      <c r="Z322" s="526"/>
      <c r="AA322" s="526"/>
      <c r="AB322" s="526"/>
      <c r="AC322" s="526"/>
      <c r="AD322" s="526"/>
      <c r="AE322" s="526"/>
      <c r="AF322" s="526"/>
      <c r="AG322" s="526"/>
      <c r="AH322" s="526"/>
      <c r="AI322" s="526"/>
      <c r="AJ322" s="526"/>
      <c r="AQ322" s="712"/>
    </row>
    <row r="323" spans="1:44" ht="22" thickBot="1">
      <c r="K323" s="712"/>
      <c r="L323" s="502"/>
      <c r="M323" s="502"/>
      <c r="O323" s="526"/>
      <c r="P323" s="526"/>
      <c r="Q323" s="526"/>
      <c r="R323" s="526"/>
      <c r="S323" s="526"/>
      <c r="T323" s="530" t="s">
        <v>334</v>
      </c>
      <c r="U323" s="528"/>
      <c r="V323" s="528"/>
      <c r="W323" s="528"/>
      <c r="X323" s="529"/>
      <c r="Y323" s="526"/>
      <c r="Z323" s="526"/>
      <c r="AA323" s="526"/>
      <c r="AB323" s="526"/>
      <c r="AC323" s="526"/>
      <c r="AD323" s="526"/>
      <c r="AE323" s="526"/>
      <c r="AF323" s="526"/>
      <c r="AG323" s="526"/>
      <c r="AH323" s="526"/>
      <c r="AI323" s="526"/>
      <c r="AJ323" s="526"/>
      <c r="AQ323" s="712"/>
    </row>
    <row r="324" spans="1:44" ht="22" thickBot="1">
      <c r="K324" s="712"/>
      <c r="L324" s="502"/>
      <c r="M324" s="502"/>
      <c r="O324" s="526"/>
      <c r="P324" s="526"/>
      <c r="Q324" s="526"/>
      <c r="R324" s="526"/>
      <c r="S324" s="526" t="s">
        <v>332</v>
      </c>
      <c r="T324" s="584">
        <v>2021</v>
      </c>
      <c r="U324" s="585">
        <v>2022</v>
      </c>
      <c r="V324" s="585">
        <v>2023</v>
      </c>
      <c r="W324" s="585">
        <v>2024</v>
      </c>
      <c r="X324" s="586">
        <v>2025</v>
      </c>
      <c r="Y324" s="526"/>
      <c r="Z324" s="526"/>
      <c r="AA324" s="526"/>
      <c r="AB324" s="526"/>
      <c r="AC324" s="526"/>
      <c r="AD324" s="526"/>
      <c r="AE324" s="526"/>
      <c r="AF324" s="526"/>
      <c r="AG324" s="526"/>
      <c r="AH324" s="526"/>
      <c r="AI324" s="526"/>
      <c r="AJ324" s="526"/>
      <c r="AQ324" s="712"/>
    </row>
    <row r="325" spans="1:44" ht="21">
      <c r="K325" s="712"/>
      <c r="L325" s="502"/>
      <c r="M325" s="502"/>
      <c r="O325" s="530" t="s">
        <v>315</v>
      </c>
      <c r="P325" s="528"/>
      <c r="Q325" s="528"/>
      <c r="R325" s="528"/>
      <c r="S325" s="528">
        <f>VLOOKUP(O325,Preturi_medicamente!D:F,3,0)</f>
        <v>0.78</v>
      </c>
      <c r="T325" s="600">
        <f t="shared" ref="T325:X331" si="31">ROUND(T315*$S325,2)</f>
        <v>115502.39999999999</v>
      </c>
      <c r="U325" s="601">
        <f t="shared" si="31"/>
        <v>111758.39999999999</v>
      </c>
      <c r="V325" s="601">
        <f t="shared" si="31"/>
        <v>110073.60000000001</v>
      </c>
      <c r="W325" s="601">
        <f t="shared" si="31"/>
        <v>108576</v>
      </c>
      <c r="X325" s="602">
        <f t="shared" si="31"/>
        <v>106142.39999999999</v>
      </c>
      <c r="Y325" s="526"/>
      <c r="Z325" s="526"/>
      <c r="AA325" s="526"/>
      <c r="AB325" s="526"/>
      <c r="AC325" s="526"/>
      <c r="AD325" s="526"/>
      <c r="AE325" s="526"/>
      <c r="AF325" s="526"/>
      <c r="AG325" s="526"/>
      <c r="AH325" s="526"/>
      <c r="AI325" s="526"/>
      <c r="AJ325" s="526"/>
      <c r="AQ325" s="712"/>
    </row>
    <row r="326" spans="1:44" ht="21">
      <c r="K326" s="712"/>
      <c r="L326" s="502"/>
      <c r="M326" s="502"/>
      <c r="O326" s="574" t="s">
        <v>325</v>
      </c>
      <c r="P326" s="591"/>
      <c r="Q326" s="591"/>
      <c r="R326" s="591"/>
      <c r="S326" s="591">
        <f>VLOOKUP(O326,Preturi_medicamente!D:F,3,0)</f>
        <v>1.4</v>
      </c>
      <c r="T326" s="603">
        <f t="shared" si="31"/>
        <v>83328</v>
      </c>
      <c r="U326" s="604">
        <f t="shared" si="31"/>
        <v>80640</v>
      </c>
      <c r="V326" s="604">
        <f t="shared" si="31"/>
        <v>78624</v>
      </c>
      <c r="W326" s="604">
        <f t="shared" si="31"/>
        <v>77952</v>
      </c>
      <c r="X326" s="605">
        <f t="shared" si="31"/>
        <v>76608</v>
      </c>
      <c r="Y326" s="526"/>
      <c r="Z326" s="526"/>
      <c r="AA326" s="526"/>
      <c r="AB326" s="526"/>
      <c r="AC326" s="526"/>
      <c r="AD326" s="526"/>
      <c r="AE326" s="526"/>
      <c r="AF326" s="526"/>
      <c r="AG326" s="526"/>
      <c r="AH326" s="526"/>
      <c r="AI326" s="526"/>
      <c r="AJ326" s="526"/>
      <c r="AQ326" s="712"/>
    </row>
    <row r="327" spans="1:44" ht="21">
      <c r="K327" s="712"/>
      <c r="L327" s="502"/>
      <c r="M327" s="502"/>
      <c r="O327" s="574" t="s">
        <v>313</v>
      </c>
      <c r="P327" s="591"/>
      <c r="Q327" s="591"/>
      <c r="R327" s="591"/>
      <c r="S327" s="591">
        <f>VLOOKUP(O327,Preturi_medicamente!D:F,3,0)</f>
        <v>1</v>
      </c>
      <c r="T327" s="603">
        <f t="shared" si="31"/>
        <v>68700</v>
      </c>
      <c r="U327" s="604">
        <f t="shared" si="31"/>
        <v>66720</v>
      </c>
      <c r="V327" s="604">
        <f t="shared" si="31"/>
        <v>65460</v>
      </c>
      <c r="W327" s="604">
        <f t="shared" si="31"/>
        <v>64980</v>
      </c>
      <c r="X327" s="605">
        <f t="shared" si="31"/>
        <v>63240</v>
      </c>
      <c r="Y327" s="526"/>
      <c r="Z327" s="526"/>
      <c r="AA327" s="526"/>
      <c r="AB327" s="526"/>
      <c r="AC327" s="526"/>
      <c r="AD327" s="526"/>
      <c r="AE327" s="526"/>
      <c r="AF327" s="526"/>
      <c r="AG327" s="526"/>
      <c r="AH327" s="526"/>
      <c r="AI327" s="526"/>
      <c r="AJ327" s="526"/>
      <c r="AQ327" s="712"/>
    </row>
    <row r="328" spans="1:44" ht="21">
      <c r="K328" s="712"/>
      <c r="L328" s="502"/>
      <c r="M328" s="502"/>
      <c r="O328" s="574" t="s">
        <v>320</v>
      </c>
      <c r="P328" s="591"/>
      <c r="Q328" s="591"/>
      <c r="R328" s="591"/>
      <c r="S328" s="591">
        <f>VLOOKUP(O328,Preturi_medicamente!D:F,3,0)</f>
        <v>0.22</v>
      </c>
      <c r="T328" s="603">
        <f t="shared" si="31"/>
        <v>6666</v>
      </c>
      <c r="U328" s="604">
        <f t="shared" si="31"/>
        <v>6494.4</v>
      </c>
      <c r="V328" s="604">
        <f t="shared" si="31"/>
        <v>6322.8</v>
      </c>
      <c r="W328" s="604">
        <f t="shared" si="31"/>
        <v>6322.8</v>
      </c>
      <c r="X328" s="605">
        <f t="shared" si="31"/>
        <v>6151.2</v>
      </c>
      <c r="Y328" s="526"/>
      <c r="Z328" s="526"/>
      <c r="AA328" s="526"/>
      <c r="AB328" s="526"/>
      <c r="AC328" s="526"/>
      <c r="AD328" s="526"/>
      <c r="AE328" s="526"/>
      <c r="AF328" s="526"/>
      <c r="AG328" s="526"/>
      <c r="AH328" s="526"/>
      <c r="AI328" s="526"/>
      <c r="AJ328" s="526"/>
      <c r="AQ328" s="712"/>
    </row>
    <row r="329" spans="1:44" ht="21">
      <c r="K329" s="712"/>
      <c r="L329" s="502"/>
      <c r="M329" s="502"/>
      <c r="O329" s="574" t="s">
        <v>321</v>
      </c>
      <c r="P329" s="591"/>
      <c r="Q329" s="591"/>
      <c r="R329" s="591"/>
      <c r="S329" s="591">
        <f>VLOOKUP(O329,Preturi_medicamente!D:F,3,0)</f>
        <v>3.65</v>
      </c>
      <c r="T329" s="603">
        <f t="shared" si="31"/>
        <v>0</v>
      </c>
      <c r="U329" s="604">
        <f t="shared" si="31"/>
        <v>0</v>
      </c>
      <c r="V329" s="604">
        <f t="shared" si="31"/>
        <v>0</v>
      </c>
      <c r="W329" s="604">
        <f t="shared" si="31"/>
        <v>0</v>
      </c>
      <c r="X329" s="605">
        <f t="shared" si="31"/>
        <v>0</v>
      </c>
      <c r="Y329" s="526"/>
      <c r="Z329" s="526"/>
      <c r="AA329" s="526"/>
      <c r="AB329" s="526"/>
      <c r="AC329" s="526"/>
      <c r="AD329" s="526"/>
      <c r="AE329" s="526"/>
      <c r="AF329" s="526"/>
      <c r="AG329" s="526"/>
      <c r="AH329" s="526"/>
      <c r="AI329" s="526"/>
      <c r="AJ329" s="526"/>
      <c r="AQ329" s="712"/>
    </row>
    <row r="330" spans="1:44" ht="21">
      <c r="K330" s="712"/>
      <c r="L330" s="502"/>
      <c r="M330" s="502"/>
      <c r="O330" s="574" t="s">
        <v>314</v>
      </c>
      <c r="P330" s="591"/>
      <c r="Q330" s="591"/>
      <c r="R330" s="591"/>
      <c r="S330" s="591">
        <f>VLOOKUP(O330,Preturi_medicamente!D:F,3,0)</f>
        <v>0.5</v>
      </c>
      <c r="T330" s="603">
        <f t="shared" si="31"/>
        <v>48150</v>
      </c>
      <c r="U330" s="604">
        <f t="shared" si="31"/>
        <v>46620</v>
      </c>
      <c r="V330" s="604">
        <f t="shared" si="31"/>
        <v>46170</v>
      </c>
      <c r="W330" s="604">
        <f t="shared" si="31"/>
        <v>45450</v>
      </c>
      <c r="X330" s="605">
        <f t="shared" si="31"/>
        <v>44280</v>
      </c>
      <c r="Y330" s="526"/>
      <c r="Z330" s="526"/>
      <c r="AA330" s="526"/>
      <c r="AB330" s="526"/>
      <c r="AC330" s="526"/>
      <c r="AD330" s="526"/>
      <c r="AE330" s="526"/>
      <c r="AF330" s="526"/>
      <c r="AG330" s="526"/>
      <c r="AH330" s="526"/>
      <c r="AI330" s="526"/>
      <c r="AJ330" s="526"/>
      <c r="AQ330" s="712"/>
    </row>
    <row r="331" spans="1:44" ht="22" thickBot="1">
      <c r="K331" s="712"/>
      <c r="L331" s="502"/>
      <c r="M331" s="502"/>
      <c r="O331" s="595" t="s">
        <v>319</v>
      </c>
      <c r="P331" s="596"/>
      <c r="Q331" s="596"/>
      <c r="R331" s="596"/>
      <c r="S331" s="596">
        <f>VLOOKUP(O331,Preturi_medicamente!D:F,3,0)</f>
        <v>2.0499999999999998</v>
      </c>
      <c r="T331" s="606">
        <f t="shared" si="31"/>
        <v>70479</v>
      </c>
      <c r="U331" s="607">
        <f t="shared" si="31"/>
        <v>68634</v>
      </c>
      <c r="V331" s="607">
        <f t="shared" si="31"/>
        <v>66789</v>
      </c>
      <c r="W331" s="607">
        <f t="shared" si="31"/>
        <v>66789</v>
      </c>
      <c r="X331" s="608">
        <f t="shared" si="31"/>
        <v>64944</v>
      </c>
      <c r="Y331" s="526"/>
      <c r="Z331" s="526"/>
      <c r="AA331" s="526"/>
      <c r="AB331" s="526"/>
      <c r="AC331" s="526"/>
      <c r="AD331" s="526"/>
      <c r="AE331" s="526"/>
      <c r="AF331" s="526"/>
      <c r="AG331" s="526"/>
      <c r="AH331" s="526"/>
      <c r="AI331" s="526"/>
      <c r="AJ331" s="526"/>
      <c r="AQ331" s="712"/>
    </row>
    <row r="332" spans="1:44" ht="22" thickBot="1">
      <c r="A332" s="730">
        <v>17</v>
      </c>
      <c r="B332" s="733">
        <f>T332</f>
        <v>392825.4</v>
      </c>
      <c r="C332" s="733">
        <f>U332</f>
        <v>380866.8</v>
      </c>
      <c r="D332" s="733">
        <f>V332</f>
        <v>373439.4</v>
      </c>
      <c r="E332" s="733">
        <f>W332</f>
        <v>370069.8</v>
      </c>
      <c r="F332" s="733">
        <f>X332</f>
        <v>361365.6</v>
      </c>
      <c r="G332" s="733" t="s">
        <v>513</v>
      </c>
      <c r="H332" s="733" t="s">
        <v>1815</v>
      </c>
      <c r="I332" s="841"/>
      <c r="J332" s="841" t="s">
        <v>2934</v>
      </c>
      <c r="K332" s="712"/>
      <c r="L332" s="502"/>
      <c r="M332" s="502"/>
      <c r="O332" s="526"/>
      <c r="P332" s="526"/>
      <c r="Q332" s="526"/>
      <c r="R332" s="526"/>
      <c r="S332" s="526"/>
      <c r="T332" s="1738">
        <f>SUM(T325:T331)</f>
        <v>392825.4</v>
      </c>
      <c r="U332" s="1736">
        <f>SUM(U325:U331)</f>
        <v>380866.8</v>
      </c>
      <c r="V332" s="1736">
        <f>SUM(V325:V331)</f>
        <v>373439.4</v>
      </c>
      <c r="W332" s="1736">
        <f>SUM(W325:W331)</f>
        <v>370069.8</v>
      </c>
      <c r="X332" s="1737">
        <f>SUM(X325:X331)</f>
        <v>361365.6</v>
      </c>
      <c r="Y332" s="526"/>
      <c r="Z332" s="526"/>
      <c r="AA332" s="526"/>
      <c r="AB332" s="526"/>
      <c r="AC332" s="526"/>
      <c r="AD332" s="526"/>
      <c r="AE332" s="526"/>
      <c r="AF332" s="526"/>
      <c r="AG332" s="526"/>
      <c r="AH332" s="526"/>
      <c r="AI332" s="526"/>
      <c r="AJ332" s="526"/>
      <c r="AQ332" s="712"/>
      <c r="AR332" s="1487">
        <f>SUM(T332:X332)</f>
        <v>1878567</v>
      </c>
    </row>
    <row r="333" spans="1:44" ht="21">
      <c r="K333" s="712"/>
      <c r="L333" s="502"/>
      <c r="M333" s="502"/>
      <c r="O333" s="526"/>
      <c r="P333" s="526"/>
      <c r="Q333" s="526"/>
      <c r="R333" s="526"/>
      <c r="S333" s="526"/>
      <c r="T333" s="686"/>
      <c r="U333" s="690"/>
      <c r="V333" s="690"/>
      <c r="W333" s="690"/>
      <c r="X333" s="690"/>
      <c r="Y333" s="526"/>
      <c r="Z333" s="526"/>
      <c r="AA333" s="526"/>
      <c r="AB333" s="526"/>
      <c r="AC333" s="526"/>
      <c r="AD333" s="526"/>
      <c r="AE333" s="526"/>
      <c r="AF333" s="526"/>
      <c r="AG333" s="526"/>
      <c r="AH333" s="526"/>
      <c r="AI333" s="526"/>
      <c r="AJ333" s="526"/>
      <c r="AQ333" s="712"/>
    </row>
    <row r="334" spans="1:44" ht="10.25" customHeight="1">
      <c r="K334" s="712"/>
      <c r="L334" s="705"/>
      <c r="M334" s="705"/>
      <c r="N334" s="705"/>
      <c r="O334" s="706"/>
      <c r="P334" s="706"/>
      <c r="Q334" s="706"/>
      <c r="R334" s="706"/>
      <c r="S334" s="706"/>
      <c r="T334" s="706"/>
      <c r="U334" s="706"/>
      <c r="V334" s="706"/>
      <c r="W334" s="706"/>
      <c r="X334" s="706"/>
      <c r="Y334" s="706"/>
      <c r="Z334" s="706"/>
      <c r="AA334" s="706"/>
      <c r="AB334" s="706"/>
      <c r="AC334" s="706"/>
      <c r="AD334" s="706"/>
      <c r="AE334" s="706"/>
      <c r="AF334" s="706"/>
      <c r="AG334" s="706"/>
      <c r="AH334" s="706"/>
      <c r="AI334" s="706"/>
      <c r="AJ334" s="706"/>
      <c r="AK334" s="706"/>
      <c r="AL334" s="706"/>
      <c r="AM334" s="706"/>
      <c r="AN334" s="706"/>
      <c r="AO334" s="706"/>
      <c r="AP334" s="706"/>
      <c r="AQ334" s="712"/>
    </row>
    <row r="335" spans="1:44" ht="21">
      <c r="K335" s="712"/>
      <c r="L335" s="502"/>
      <c r="M335" s="502"/>
      <c r="N335" s="502"/>
      <c r="O335" s="558"/>
      <c r="P335" s="558"/>
      <c r="Q335" s="526"/>
      <c r="R335" s="526"/>
      <c r="S335" s="526"/>
      <c r="T335" s="526"/>
      <c r="U335" s="526"/>
      <c r="V335" s="526"/>
      <c r="W335" s="526"/>
      <c r="X335" s="526"/>
      <c r="Y335" s="526"/>
      <c r="Z335" s="526"/>
      <c r="AA335" s="526"/>
      <c r="AB335" s="526"/>
      <c r="AC335" s="526"/>
      <c r="AD335" s="526"/>
      <c r="AE335" s="526"/>
      <c r="AF335" s="526"/>
      <c r="AG335" s="526"/>
      <c r="AH335" s="526"/>
      <c r="AI335" s="526"/>
      <c r="AJ335" s="526"/>
      <c r="AN335" s="1887" t="s">
        <v>3733</v>
      </c>
      <c r="AO335" s="2232">
        <v>0.85</v>
      </c>
      <c r="AQ335" s="712"/>
    </row>
    <row r="336" spans="1:44" ht="21">
      <c r="K336" s="712"/>
      <c r="L336" s="501" t="s">
        <v>459</v>
      </c>
      <c r="M336" s="499" t="s">
        <v>1816</v>
      </c>
      <c r="N336" s="502"/>
      <c r="O336" s="558"/>
      <c r="P336" s="558"/>
      <c r="Q336" s="526"/>
      <c r="R336" s="526"/>
      <c r="S336" s="526"/>
      <c r="T336" s="526"/>
      <c r="U336" s="526"/>
      <c r="V336" s="526"/>
      <c r="W336" s="526"/>
      <c r="X336" s="526"/>
      <c r="Y336" s="526"/>
      <c r="Z336" s="526"/>
      <c r="AA336" s="526"/>
      <c r="AB336" s="526"/>
      <c r="AC336" s="526"/>
      <c r="AD336" s="526"/>
      <c r="AE336" s="526"/>
      <c r="AF336" s="526"/>
      <c r="AG336" s="526"/>
      <c r="AH336" s="526"/>
      <c r="AI336" s="526"/>
      <c r="AJ336" s="526"/>
      <c r="AN336" s="1887" t="s">
        <v>3855</v>
      </c>
      <c r="AO336" s="2287">
        <v>0.5</v>
      </c>
      <c r="AQ336" s="712"/>
    </row>
    <row r="337" spans="11:43" ht="21">
      <c r="K337" s="712"/>
      <c r="L337" s="501"/>
      <c r="M337" s="499"/>
      <c r="N337" s="502"/>
      <c r="O337" s="558"/>
      <c r="P337" s="558"/>
      <c r="Q337" s="526"/>
      <c r="R337" s="526"/>
      <c r="S337" s="526"/>
      <c r="T337" s="526"/>
      <c r="U337" s="526"/>
      <c r="V337" s="526"/>
      <c r="W337" s="526"/>
      <c r="X337" s="526"/>
      <c r="Y337" s="526"/>
      <c r="Z337" s="526"/>
      <c r="AA337" s="526"/>
      <c r="AB337" s="526"/>
      <c r="AC337" s="526"/>
      <c r="AD337" s="526"/>
      <c r="AE337" s="526"/>
      <c r="AF337" s="526"/>
      <c r="AG337" s="526"/>
      <c r="AH337" s="526"/>
      <c r="AI337" s="526"/>
      <c r="AJ337" s="526"/>
      <c r="AQ337" s="712"/>
    </row>
    <row r="338" spans="11:43" ht="21">
      <c r="K338" s="712"/>
      <c r="L338" s="501" t="s">
        <v>458</v>
      </c>
      <c r="M338" s="499" t="s">
        <v>505</v>
      </c>
      <c r="N338" s="502"/>
      <c r="O338" s="526"/>
      <c r="P338" s="526"/>
      <c r="Q338" s="558"/>
      <c r="R338" s="558">
        <v>1</v>
      </c>
      <c r="S338" s="558">
        <v>2</v>
      </c>
      <c r="T338" s="558">
        <v>3</v>
      </c>
      <c r="U338" s="558">
        <v>4</v>
      </c>
      <c r="V338" s="558">
        <v>5</v>
      </c>
      <c r="W338" s="558">
        <v>6</v>
      </c>
      <c r="X338" s="558">
        <v>7</v>
      </c>
      <c r="Y338" s="558">
        <v>8</v>
      </c>
      <c r="Z338" s="558">
        <v>9</v>
      </c>
      <c r="AA338" s="558">
        <v>10</v>
      </c>
      <c r="AB338" s="558">
        <v>11</v>
      </c>
      <c r="AC338" s="558">
        <v>12</v>
      </c>
      <c r="AD338" s="558">
        <v>13</v>
      </c>
      <c r="AE338" s="558">
        <v>14</v>
      </c>
      <c r="AF338" s="558">
        <v>15</v>
      </c>
      <c r="AG338" s="558">
        <v>16</v>
      </c>
      <c r="AH338" s="558">
        <v>17</v>
      </c>
      <c r="AI338" s="558">
        <v>18</v>
      </c>
      <c r="AJ338" s="558">
        <v>19</v>
      </c>
      <c r="AQ338" s="712"/>
    </row>
    <row r="339" spans="11:43" ht="22" thickBot="1">
      <c r="K339" s="712"/>
      <c r="L339" s="502"/>
      <c r="M339" s="502"/>
      <c r="N339" s="502"/>
      <c r="O339" s="513"/>
      <c r="P339" s="508"/>
      <c r="Q339" s="558"/>
      <c r="R339" s="558"/>
      <c r="S339" s="526"/>
      <c r="T339" s="545" t="s">
        <v>114</v>
      </c>
      <c r="U339" s="545"/>
      <c r="V339" s="545"/>
      <c r="W339" s="545"/>
      <c r="X339" s="545"/>
      <c r="Y339" s="545"/>
      <c r="Z339" s="642" t="s">
        <v>349</v>
      </c>
      <c r="AA339" s="545"/>
      <c r="AB339" s="545"/>
      <c r="AC339" s="545"/>
      <c r="AD339" s="545"/>
      <c r="AE339" s="545"/>
      <c r="AF339" s="545" t="s">
        <v>351</v>
      </c>
      <c r="AG339" s="545"/>
      <c r="AH339" s="545"/>
      <c r="AI339" s="545"/>
      <c r="AJ339" s="545"/>
      <c r="AL339" s="442" t="s">
        <v>3854</v>
      </c>
      <c r="AQ339" s="712"/>
    </row>
    <row r="340" spans="11:43" ht="22" thickBot="1">
      <c r="K340" s="712"/>
      <c r="L340" s="502"/>
      <c r="M340" s="502"/>
      <c r="N340" s="482" t="s">
        <v>354</v>
      </c>
      <c r="O340" s="526"/>
      <c r="P340" s="526"/>
      <c r="Q340" s="558"/>
      <c r="R340" s="558"/>
      <c r="S340" s="526"/>
      <c r="T340" s="559">
        <v>2021</v>
      </c>
      <c r="U340" s="560">
        <v>2022</v>
      </c>
      <c r="V340" s="560">
        <v>2023</v>
      </c>
      <c r="W340" s="560">
        <v>2024</v>
      </c>
      <c r="X340" s="561">
        <v>2025</v>
      </c>
      <c r="Y340" s="563" t="s">
        <v>238</v>
      </c>
      <c r="Z340" s="559">
        <v>2021</v>
      </c>
      <c r="AA340" s="560">
        <v>2022</v>
      </c>
      <c r="AB340" s="560">
        <v>2023</v>
      </c>
      <c r="AC340" s="560">
        <v>2024</v>
      </c>
      <c r="AD340" s="561">
        <v>2025</v>
      </c>
      <c r="AE340" s="563" t="s">
        <v>238</v>
      </c>
      <c r="AF340" s="584">
        <v>2021</v>
      </c>
      <c r="AG340" s="585">
        <v>2022</v>
      </c>
      <c r="AH340" s="585">
        <v>2023</v>
      </c>
      <c r="AI340" s="585">
        <v>2024</v>
      </c>
      <c r="AJ340" s="586">
        <v>2025</v>
      </c>
      <c r="AN340" s="514" t="s">
        <v>312</v>
      </c>
      <c r="AO340" s="504" t="s">
        <v>481</v>
      </c>
      <c r="AQ340" s="712"/>
    </row>
    <row r="341" spans="11:43" ht="21">
      <c r="K341" s="712"/>
      <c r="L341" s="502"/>
      <c r="M341" s="502"/>
      <c r="O341" s="1689"/>
      <c r="P341" s="526"/>
      <c r="Q341" s="526"/>
      <c r="R341" s="562" t="s">
        <v>93</v>
      </c>
      <c r="S341" s="643" t="s">
        <v>310</v>
      </c>
      <c r="T341" s="644">
        <f>T24</f>
        <v>406</v>
      </c>
      <c r="U341" s="645">
        <f>U24</f>
        <v>393</v>
      </c>
      <c r="V341" s="645">
        <f>V24</f>
        <v>381</v>
      </c>
      <c r="W341" s="645">
        <f>W24</f>
        <v>370</v>
      </c>
      <c r="X341" s="646">
        <f>X24</f>
        <v>359</v>
      </c>
      <c r="Y341" s="563" t="s">
        <v>238</v>
      </c>
      <c r="Z341" s="647">
        <v>0.55000000000000004</v>
      </c>
      <c r="AA341" s="648">
        <v>0.65</v>
      </c>
      <c r="AB341" s="648">
        <v>0.75</v>
      </c>
      <c r="AC341" s="648">
        <v>1</v>
      </c>
      <c r="AD341" s="649">
        <v>1</v>
      </c>
      <c r="AE341" s="563" t="s">
        <v>238</v>
      </c>
      <c r="AF341" s="650">
        <f>100%-Z341</f>
        <v>0.44999999999999996</v>
      </c>
      <c r="AG341" s="651">
        <f>100%-AA341</f>
        <v>0.35</v>
      </c>
      <c r="AH341" s="651">
        <f>100%-AB341</f>
        <v>0.25</v>
      </c>
      <c r="AI341" s="651">
        <f>100%-AC341</f>
        <v>0</v>
      </c>
      <c r="AJ341" s="652">
        <f>100%-AD341</f>
        <v>0</v>
      </c>
      <c r="AN341" s="519" t="s">
        <v>463</v>
      </c>
      <c r="AO341" s="505">
        <v>2</v>
      </c>
      <c r="AQ341" s="712"/>
    </row>
    <row r="342" spans="11:43" ht="21">
      <c r="K342" s="712"/>
      <c r="L342" s="502"/>
      <c r="M342" s="502"/>
      <c r="O342" s="653">
        <v>0.6</v>
      </c>
      <c r="P342" s="653"/>
      <c r="Q342" s="653"/>
      <c r="R342" s="578" t="s">
        <v>462</v>
      </c>
      <c r="S342" s="654" t="s">
        <v>482</v>
      </c>
      <c r="T342" s="655">
        <f>T341-SUM(T343:T346)</f>
        <v>244</v>
      </c>
      <c r="U342" s="656">
        <f>U341-SUM(U343:U346)</f>
        <v>235</v>
      </c>
      <c r="V342" s="656">
        <f>V341-SUM(V343:V346)</f>
        <v>229</v>
      </c>
      <c r="W342" s="656">
        <f>W341-SUM(W343:W346)</f>
        <v>222</v>
      </c>
      <c r="X342" s="657">
        <f>X341-SUM(X343:X346)</f>
        <v>215</v>
      </c>
      <c r="Y342" s="563" t="s">
        <v>238</v>
      </c>
      <c r="Z342" s="655">
        <f>ROUND(T342*Z341,0)</f>
        <v>134</v>
      </c>
      <c r="AA342" s="656">
        <f>ROUND(U342*AA341,0)</f>
        <v>153</v>
      </c>
      <c r="AB342" s="656">
        <f>ROUND(V342*AB341,0)</f>
        <v>172</v>
      </c>
      <c r="AC342" s="656">
        <f>ROUND(W342*AC341,0)</f>
        <v>222</v>
      </c>
      <c r="AD342" s="657">
        <f>ROUND(X342*AD341,0)</f>
        <v>215</v>
      </c>
      <c r="AE342" s="563" t="s">
        <v>238</v>
      </c>
      <c r="AF342" s="658">
        <f>ROUND((T342-Z342)*AL342,0)</f>
        <v>55</v>
      </c>
      <c r="AG342" s="659">
        <f>U342-AA342</f>
        <v>82</v>
      </c>
      <c r="AH342" s="659">
        <f>V342-AB342</f>
        <v>57</v>
      </c>
      <c r="AI342" s="659">
        <f>W342-AC342</f>
        <v>0</v>
      </c>
      <c r="AJ342" s="660">
        <f>X342-AD342</f>
        <v>0</v>
      </c>
      <c r="AL342" s="2286">
        <f>Year_2021_covered</f>
        <v>0.5</v>
      </c>
      <c r="AN342" s="518" t="s">
        <v>464</v>
      </c>
      <c r="AO342" s="505">
        <v>188</v>
      </c>
      <c r="AQ342" s="712"/>
    </row>
    <row r="343" spans="11:43" ht="21">
      <c r="K343" s="712"/>
      <c r="L343" s="502"/>
      <c r="M343" s="502"/>
      <c r="O343" s="653"/>
      <c r="P343" s="653"/>
      <c r="Q343" s="653"/>
      <c r="R343" s="526"/>
      <c r="S343" s="661"/>
      <c r="T343" s="662"/>
      <c r="U343" s="539"/>
      <c r="V343" s="539"/>
      <c r="W343" s="539"/>
      <c r="X343" s="540"/>
      <c r="Y343" s="563" t="s">
        <v>238</v>
      </c>
      <c r="Z343" s="647">
        <v>0.55000000000000004</v>
      </c>
      <c r="AA343" s="648">
        <v>0.65</v>
      </c>
      <c r="AB343" s="648">
        <v>0.75</v>
      </c>
      <c r="AC343" s="648">
        <v>1</v>
      </c>
      <c r="AD343" s="649">
        <v>1</v>
      </c>
      <c r="AE343" s="563" t="s">
        <v>238</v>
      </c>
      <c r="AF343" s="650">
        <f>100%-Z343</f>
        <v>0.44999999999999996</v>
      </c>
      <c r="AG343" s="651">
        <f>100%-AA343</f>
        <v>0.35</v>
      </c>
      <c r="AH343" s="651">
        <f>100%-AB343</f>
        <v>0.25</v>
      </c>
      <c r="AI343" s="651">
        <f>100%-AC343</f>
        <v>0</v>
      </c>
      <c r="AJ343" s="652">
        <f>100%-AD343</f>
        <v>0</v>
      </c>
      <c r="AN343" s="518" t="s">
        <v>465</v>
      </c>
      <c r="AO343" s="505">
        <v>1</v>
      </c>
      <c r="AQ343" s="712"/>
    </row>
    <row r="344" spans="11:43" ht="21">
      <c r="K344" s="712"/>
      <c r="L344" s="502"/>
      <c r="M344" s="502"/>
      <c r="O344" s="653">
        <v>0.2</v>
      </c>
      <c r="P344" s="653"/>
      <c r="Q344" s="653"/>
      <c r="R344" s="578" t="s">
        <v>473</v>
      </c>
      <c r="S344" s="526" t="s">
        <v>475</v>
      </c>
      <c r="T344" s="655">
        <f>ROUND(T341*O344,0)</f>
        <v>81</v>
      </c>
      <c r="U344" s="656">
        <f>ROUND(U341*O344,0)</f>
        <v>79</v>
      </c>
      <c r="V344" s="656">
        <f>ROUND(V341*O344,0)</f>
        <v>76</v>
      </c>
      <c r="W344" s="656">
        <f>ROUND(W341*O344,0)</f>
        <v>74</v>
      </c>
      <c r="X344" s="657">
        <f>ROUND(X341*O344,0)</f>
        <v>72</v>
      </c>
      <c r="Y344" s="563" t="s">
        <v>238</v>
      </c>
      <c r="Z344" s="655">
        <f>ROUND(T344*Z343,0)</f>
        <v>45</v>
      </c>
      <c r="AA344" s="656">
        <f>ROUND(U344*AA343,0)</f>
        <v>51</v>
      </c>
      <c r="AB344" s="656">
        <f>ROUND(V344*AB343,0)</f>
        <v>57</v>
      </c>
      <c r="AC344" s="656">
        <f>ROUND(W344*AC343,0)</f>
        <v>74</v>
      </c>
      <c r="AD344" s="657">
        <f>ROUND(X344*AD343,0)</f>
        <v>72</v>
      </c>
      <c r="AE344" s="563" t="s">
        <v>238</v>
      </c>
      <c r="AF344" s="658">
        <f>ROUND((T344-Z344)*AL344,0)</f>
        <v>18</v>
      </c>
      <c r="AG344" s="659">
        <f>U344-AA344</f>
        <v>28</v>
      </c>
      <c r="AH344" s="659">
        <f>V344-AB344</f>
        <v>19</v>
      </c>
      <c r="AI344" s="659">
        <f>W344-AC344</f>
        <v>0</v>
      </c>
      <c r="AJ344" s="660">
        <f>X344-AD344</f>
        <v>0</v>
      </c>
      <c r="AL344" s="2286">
        <f>Year_2021_covered</f>
        <v>0.5</v>
      </c>
      <c r="AN344" s="518" t="s">
        <v>466</v>
      </c>
      <c r="AO344" s="505">
        <v>3</v>
      </c>
      <c r="AQ344" s="712"/>
    </row>
    <row r="345" spans="11:43" ht="21">
      <c r="K345" s="712"/>
      <c r="L345" s="502"/>
      <c r="M345" s="502"/>
      <c r="O345" s="653"/>
      <c r="P345" s="653"/>
      <c r="Q345" s="653"/>
      <c r="R345" s="663"/>
      <c r="S345" s="661"/>
      <c r="T345" s="662"/>
      <c r="U345" s="539"/>
      <c r="V345" s="539"/>
      <c r="W345" s="539"/>
      <c r="X345" s="540"/>
      <c r="Y345" s="563" t="s">
        <v>238</v>
      </c>
      <c r="Z345" s="647">
        <v>0.55000000000000004</v>
      </c>
      <c r="AA345" s="648">
        <v>0.65</v>
      </c>
      <c r="AB345" s="648">
        <v>0.75</v>
      </c>
      <c r="AC345" s="648">
        <v>1</v>
      </c>
      <c r="AD345" s="649">
        <v>1</v>
      </c>
      <c r="AE345" s="563" t="s">
        <v>238</v>
      </c>
      <c r="AF345" s="650">
        <f>100%-Z345</f>
        <v>0.44999999999999996</v>
      </c>
      <c r="AG345" s="651">
        <f>100%-AA345</f>
        <v>0.35</v>
      </c>
      <c r="AH345" s="651">
        <f>100%-AB345</f>
        <v>0.25</v>
      </c>
      <c r="AI345" s="651">
        <f>100%-AC345</f>
        <v>0</v>
      </c>
      <c r="AJ345" s="652">
        <f>100%-AD345</f>
        <v>0</v>
      </c>
      <c r="AN345" s="520" t="s">
        <v>467</v>
      </c>
      <c r="AO345" s="505">
        <v>4</v>
      </c>
      <c r="AQ345" s="712"/>
    </row>
    <row r="346" spans="11:43" ht="34">
      <c r="K346" s="712"/>
      <c r="L346" s="502"/>
      <c r="M346" s="502"/>
      <c r="O346" s="653">
        <v>0.2</v>
      </c>
      <c r="P346" s="653"/>
      <c r="Q346" s="653"/>
      <c r="R346" s="661" t="s">
        <v>474</v>
      </c>
      <c r="S346" s="661" t="s">
        <v>476</v>
      </c>
      <c r="T346" s="655">
        <f>ROUND(T341*O346,0)</f>
        <v>81</v>
      </c>
      <c r="U346" s="656">
        <f>ROUND(U341*O346,0)</f>
        <v>79</v>
      </c>
      <c r="V346" s="656">
        <f>ROUND(V341*O346,0)</f>
        <v>76</v>
      </c>
      <c r="W346" s="656">
        <f>ROUND(W341*O346,0)</f>
        <v>74</v>
      </c>
      <c r="X346" s="657">
        <f>ROUND(X341*O346,0)</f>
        <v>72</v>
      </c>
      <c r="Y346" s="563" t="s">
        <v>238</v>
      </c>
      <c r="Z346" s="655">
        <f>ROUND(T346*Z345,0)</f>
        <v>45</v>
      </c>
      <c r="AA346" s="656">
        <f>ROUND(U346*AA345,0)</f>
        <v>51</v>
      </c>
      <c r="AB346" s="656">
        <f>ROUND(V346*AB345,0)</f>
        <v>57</v>
      </c>
      <c r="AC346" s="656">
        <f>ROUND(W346*AC345,0)</f>
        <v>74</v>
      </c>
      <c r="AD346" s="657">
        <f>ROUND(X346*AD345,0)</f>
        <v>72</v>
      </c>
      <c r="AE346" s="563" t="s">
        <v>238</v>
      </c>
      <c r="AF346" s="658">
        <f>ROUND((T346-Z346)*AL346,0)</f>
        <v>18</v>
      </c>
      <c r="AG346" s="659">
        <f>U346-AA346</f>
        <v>28</v>
      </c>
      <c r="AH346" s="659">
        <f>V346-AB346</f>
        <v>19</v>
      </c>
      <c r="AI346" s="659">
        <f>W346-AC346</f>
        <v>0</v>
      </c>
      <c r="AJ346" s="660">
        <f>X346-AD346</f>
        <v>0</v>
      </c>
      <c r="AL346" s="2286">
        <f>Year_2021_covered</f>
        <v>0.5</v>
      </c>
      <c r="AN346" s="520" t="s">
        <v>313</v>
      </c>
      <c r="AO346" s="505">
        <v>3</v>
      </c>
      <c r="AQ346" s="712"/>
    </row>
    <row r="347" spans="11:43" ht="21">
      <c r="K347" s="712"/>
      <c r="L347" s="502"/>
      <c r="M347" s="502"/>
      <c r="O347" s="653"/>
      <c r="P347" s="653"/>
      <c r="Q347" s="653"/>
      <c r="R347" s="578"/>
      <c r="S347" s="661"/>
      <c r="T347" s="662"/>
      <c r="U347" s="539"/>
      <c r="V347" s="539"/>
      <c r="W347" s="539"/>
      <c r="X347" s="540"/>
      <c r="Y347" s="563" t="s">
        <v>238</v>
      </c>
      <c r="Z347" s="719">
        <v>0.55000000000000004</v>
      </c>
      <c r="AA347" s="720">
        <v>0.65</v>
      </c>
      <c r="AB347" s="720">
        <v>0.75</v>
      </c>
      <c r="AC347" s="720">
        <v>1</v>
      </c>
      <c r="AD347" s="721">
        <v>1</v>
      </c>
      <c r="AE347" s="563" t="s">
        <v>238</v>
      </c>
      <c r="AF347" s="650">
        <f>100%-Z347</f>
        <v>0.44999999999999996</v>
      </c>
      <c r="AG347" s="651">
        <f>100%-AA347</f>
        <v>0.35</v>
      </c>
      <c r="AH347" s="651">
        <f>100%-AB347</f>
        <v>0.25</v>
      </c>
      <c r="AI347" s="651">
        <f>100%-AC347</f>
        <v>0</v>
      </c>
      <c r="AJ347" s="652">
        <f>100%-AD347</f>
        <v>0</v>
      </c>
      <c r="AN347" s="520" t="s">
        <v>468</v>
      </c>
      <c r="AO347" s="505">
        <v>3</v>
      </c>
      <c r="AQ347" s="712"/>
    </row>
    <row r="348" spans="11:43" ht="21">
      <c r="K348" s="712"/>
      <c r="L348" s="502"/>
      <c r="M348" s="502"/>
      <c r="O348" s="653">
        <v>1</v>
      </c>
      <c r="P348" s="653"/>
      <c r="Q348" s="653"/>
      <c r="R348" s="578" t="s">
        <v>510</v>
      </c>
      <c r="S348" s="654" t="s">
        <v>511</v>
      </c>
      <c r="T348" s="655">
        <f>T25</f>
        <v>143</v>
      </c>
      <c r="U348" s="656">
        <f>U25</f>
        <v>137</v>
      </c>
      <c r="V348" s="656">
        <f>V25</f>
        <v>132</v>
      </c>
      <c r="W348" s="656">
        <f>W25</f>
        <v>127</v>
      </c>
      <c r="X348" s="657">
        <f>X25</f>
        <v>124</v>
      </c>
      <c r="Y348" s="563" t="s">
        <v>238</v>
      </c>
      <c r="Z348" s="655">
        <f>ROUND(T348*Z347,0)</f>
        <v>79</v>
      </c>
      <c r="AA348" s="656">
        <f>ROUND(U348*AA347,0)</f>
        <v>89</v>
      </c>
      <c r="AB348" s="656">
        <f>ROUND(V348*AB347,0)</f>
        <v>99</v>
      </c>
      <c r="AC348" s="656">
        <f>ROUND(W348*AC347,0)</f>
        <v>127</v>
      </c>
      <c r="AD348" s="657">
        <f>ROUND(X348*AD347,0)</f>
        <v>124</v>
      </c>
      <c r="AE348" s="563" t="s">
        <v>238</v>
      </c>
      <c r="AF348" s="658">
        <f>ROUND((T348-Z348)*AL348,0)</f>
        <v>32</v>
      </c>
      <c r="AG348" s="659">
        <f>U348-AA348</f>
        <v>48</v>
      </c>
      <c r="AH348" s="659">
        <f>V348-AB348</f>
        <v>33</v>
      </c>
      <c r="AI348" s="659">
        <f>W348-AC348</f>
        <v>0</v>
      </c>
      <c r="AJ348" s="660">
        <f>X348-AD348</f>
        <v>0</v>
      </c>
      <c r="AL348" s="2286">
        <f>Year_2021_covered</f>
        <v>0.5</v>
      </c>
      <c r="AN348" s="520" t="s">
        <v>469</v>
      </c>
      <c r="AO348" s="505">
        <v>4</v>
      </c>
      <c r="AQ348" s="712"/>
    </row>
    <row r="349" spans="11:43" ht="22" thickBot="1">
      <c r="K349" s="712"/>
      <c r="L349" s="502"/>
      <c r="M349" s="502"/>
      <c r="O349" s="653"/>
      <c r="P349" s="653"/>
      <c r="Q349" s="653"/>
      <c r="R349" s="663"/>
      <c r="S349" s="661"/>
      <c r="T349" s="664"/>
      <c r="U349" s="543"/>
      <c r="V349" s="543"/>
      <c r="W349" s="543"/>
      <c r="X349" s="544"/>
      <c r="Y349" s="563" t="s">
        <v>238</v>
      </c>
      <c r="Z349" s="664">
        <f>ROUND(Z$173*$O349*$P349*$Q349,0)</f>
        <v>0</v>
      </c>
      <c r="AA349" s="543">
        <f>ROUND(AA$173*$O349*$P349*$Q349,0)</f>
        <v>0</v>
      </c>
      <c r="AB349" s="543">
        <f>ROUND(AB$173*$O349*$P349*$Q349,0)</f>
        <v>0</v>
      </c>
      <c r="AC349" s="543">
        <f>ROUND(AC$173*$O349*$P349*$Q349,0)</f>
        <v>0</v>
      </c>
      <c r="AD349" s="544">
        <f>ROUND(AD$173*$O349*$P349*$Q349,0)</f>
        <v>0</v>
      </c>
      <c r="AE349" s="563" t="s">
        <v>238</v>
      </c>
      <c r="AF349" s="664">
        <f>ROUND(AF$173*$O349*$P349*$Q349,0)</f>
        <v>0</v>
      </c>
      <c r="AG349" s="543">
        <f>ROUND(AG$173*$O349*$P349*$Q349,0)</f>
        <v>0</v>
      </c>
      <c r="AH349" s="543">
        <f>ROUND(AH$173*$O349*$P349*$Q349,0)</f>
        <v>0</v>
      </c>
      <c r="AI349" s="543">
        <f>ROUND(AI$173*$O349*$P349*$Q349,0)</f>
        <v>0</v>
      </c>
      <c r="AJ349" s="544">
        <f>ROUND(AJ$173*$O349*$P349*$Q349,0)</f>
        <v>0</v>
      </c>
      <c r="AN349" s="520" t="s">
        <v>470</v>
      </c>
      <c r="AO349" s="505">
        <v>1</v>
      </c>
      <c r="AQ349" s="712"/>
    </row>
    <row r="350" spans="11:43" ht="21">
      <c r="K350" s="712"/>
      <c r="L350" s="502"/>
      <c r="M350" s="502"/>
      <c r="O350" s="526"/>
      <c r="P350" s="526"/>
      <c r="Q350" s="526"/>
      <c r="R350" s="526"/>
      <c r="S350" s="526"/>
      <c r="T350" s="526"/>
      <c r="U350" s="526"/>
      <c r="V350" s="526"/>
      <c r="W350" s="526"/>
      <c r="X350" s="526"/>
      <c r="Y350" s="526"/>
      <c r="Z350" s="526"/>
      <c r="AA350" s="526"/>
      <c r="AB350" s="526"/>
      <c r="AC350" s="526"/>
      <c r="AD350" s="526"/>
      <c r="AE350" s="526"/>
      <c r="AF350" s="526"/>
      <c r="AG350" s="526"/>
      <c r="AH350" s="526"/>
      <c r="AI350" s="526"/>
      <c r="AJ350" s="526"/>
      <c r="AN350" s="520" t="s">
        <v>471</v>
      </c>
      <c r="AO350" s="505">
        <v>1</v>
      </c>
      <c r="AQ350" s="712"/>
    </row>
    <row r="351" spans="11:43" ht="21">
      <c r="K351" s="712"/>
      <c r="L351" s="502"/>
      <c r="M351" s="502"/>
      <c r="O351" s="526"/>
      <c r="P351" s="526"/>
      <c r="Q351" s="526"/>
      <c r="R351" s="526"/>
      <c r="S351" s="526"/>
      <c r="T351" s="571"/>
      <c r="U351" s="571"/>
      <c r="V351" s="571"/>
      <c r="W351" s="571"/>
      <c r="X351" s="571"/>
      <c r="Y351" s="526"/>
      <c r="Z351" s="526"/>
      <c r="AA351" s="526"/>
      <c r="AB351" s="526"/>
      <c r="AC351" s="526"/>
      <c r="AD351" s="526"/>
      <c r="AE351" s="526"/>
      <c r="AF351" s="526"/>
      <c r="AG351" s="526"/>
      <c r="AH351" s="526"/>
      <c r="AI351" s="526"/>
      <c r="AJ351" s="526"/>
      <c r="AN351" s="520" t="s">
        <v>472</v>
      </c>
      <c r="AO351" s="505">
        <v>2</v>
      </c>
      <c r="AQ351" s="712"/>
    </row>
    <row r="352" spans="11:43" ht="22" thickBot="1">
      <c r="K352" s="712"/>
      <c r="L352" s="502"/>
      <c r="M352" s="517"/>
      <c r="N352" s="482" t="s">
        <v>355</v>
      </c>
      <c r="O352" s="526"/>
      <c r="P352" s="526"/>
      <c r="Q352" s="526"/>
      <c r="R352" s="526"/>
      <c r="S352" s="526"/>
      <c r="T352" s="571"/>
      <c r="U352" s="571"/>
      <c r="V352" s="571"/>
      <c r="W352" s="571"/>
      <c r="X352" s="571"/>
      <c r="Y352" s="526"/>
      <c r="Z352" s="526"/>
      <c r="AA352" s="526"/>
      <c r="AB352" s="526"/>
      <c r="AC352" s="526"/>
      <c r="AD352" s="526"/>
      <c r="AE352" s="526"/>
      <c r="AF352" s="526"/>
      <c r="AG352" s="526"/>
      <c r="AH352" s="526"/>
      <c r="AI352" s="526"/>
      <c r="AJ352" s="526"/>
      <c r="AN352" s="521" t="s">
        <v>314</v>
      </c>
      <c r="AO352" s="506">
        <v>5</v>
      </c>
      <c r="AQ352" s="712"/>
    </row>
    <row r="353" spans="11:43" ht="22" thickBot="1">
      <c r="K353" s="712"/>
      <c r="L353" s="502"/>
      <c r="M353" s="502"/>
      <c r="N353" s="514" t="s">
        <v>330</v>
      </c>
      <c r="O353" s="630" t="s">
        <v>312</v>
      </c>
      <c r="P353" s="631" t="s">
        <v>477</v>
      </c>
      <c r="Q353" s="631"/>
      <c r="R353" s="631" t="s">
        <v>328</v>
      </c>
      <c r="S353" s="631" t="s">
        <v>327</v>
      </c>
      <c r="T353" s="631" t="s">
        <v>329</v>
      </c>
      <c r="U353" s="631" t="s">
        <v>97</v>
      </c>
      <c r="V353" s="631"/>
      <c r="W353" s="631"/>
      <c r="X353" s="665"/>
      <c r="Y353" s="526" t="s">
        <v>2407</v>
      </c>
      <c r="Z353" s="559">
        <v>2021</v>
      </c>
      <c r="AA353" s="560">
        <v>2022</v>
      </c>
      <c r="AB353" s="560">
        <v>2023</v>
      </c>
      <c r="AC353" s="560">
        <v>2024</v>
      </c>
      <c r="AD353" s="561">
        <v>2025</v>
      </c>
      <c r="AE353" s="526" t="s">
        <v>2407</v>
      </c>
      <c r="AF353" s="559">
        <v>2021</v>
      </c>
      <c r="AG353" s="560">
        <v>2022</v>
      </c>
      <c r="AH353" s="560">
        <v>2023</v>
      </c>
      <c r="AI353" s="560">
        <v>2024</v>
      </c>
      <c r="AJ353" s="561">
        <v>2025</v>
      </c>
      <c r="AQ353" s="712"/>
    </row>
    <row r="354" spans="11:43" ht="21">
      <c r="K354" s="712"/>
      <c r="L354" s="502"/>
      <c r="M354" s="502"/>
      <c r="N354" s="518" t="s">
        <v>462</v>
      </c>
      <c r="O354" s="666" t="s">
        <v>463</v>
      </c>
      <c r="P354" s="667">
        <v>0.05</v>
      </c>
      <c r="Q354" s="579"/>
      <c r="R354" s="579">
        <v>2</v>
      </c>
      <c r="S354" s="579">
        <v>30</v>
      </c>
      <c r="T354" s="579">
        <v>8</v>
      </c>
      <c r="U354" s="579">
        <f t="shared" ref="U354:U401" si="32">R354*S354*T354</f>
        <v>480</v>
      </c>
      <c r="V354" s="552"/>
      <c r="W354" s="552"/>
      <c r="X354" s="553"/>
      <c r="Y354" s="526"/>
      <c r="Z354" s="668">
        <f t="shared" ref="Z354:AD363" si="33">IFERROR(ROUND(VLOOKUP($N354,SLD_MD,Z$338,0)*$U354*$P354*Attrition,0),0)</f>
        <v>2734</v>
      </c>
      <c r="AA354" s="669">
        <f t="shared" si="33"/>
        <v>3121</v>
      </c>
      <c r="AB354" s="669">
        <f t="shared" si="33"/>
        <v>3509</v>
      </c>
      <c r="AC354" s="669">
        <f t="shared" si="33"/>
        <v>4529</v>
      </c>
      <c r="AD354" s="670">
        <f t="shared" si="33"/>
        <v>4386</v>
      </c>
      <c r="AE354" s="526"/>
      <c r="AF354" s="669">
        <f t="shared" ref="AF354:AJ363" si="34">IFERROR(ROUND(VLOOKUP($N354,SLD_MD,AF$338,0)*$U354*$P354*Attrition,0),0)</f>
        <v>1122</v>
      </c>
      <c r="AG354" s="669">
        <f t="shared" si="34"/>
        <v>1673</v>
      </c>
      <c r="AH354" s="669">
        <f t="shared" si="34"/>
        <v>1163</v>
      </c>
      <c r="AI354" s="669">
        <f t="shared" si="34"/>
        <v>0</v>
      </c>
      <c r="AJ354" s="669">
        <f t="shared" si="34"/>
        <v>0</v>
      </c>
      <c r="AQ354" s="712"/>
    </row>
    <row r="355" spans="11:43" ht="21">
      <c r="K355" s="712"/>
      <c r="L355" s="502"/>
      <c r="M355" s="502"/>
      <c r="N355" s="518" t="s">
        <v>462</v>
      </c>
      <c r="O355" s="432" t="s">
        <v>1808</v>
      </c>
      <c r="P355" s="667">
        <v>0.05</v>
      </c>
      <c r="Q355" s="633"/>
      <c r="R355" s="579">
        <v>4</v>
      </c>
      <c r="S355" s="579">
        <v>30</v>
      </c>
      <c r="T355" s="633">
        <v>10</v>
      </c>
      <c r="U355" s="579">
        <f t="shared" si="32"/>
        <v>1200</v>
      </c>
      <c r="V355" s="552"/>
      <c r="W355" s="552"/>
      <c r="X355" s="553"/>
      <c r="Y355" s="526"/>
      <c r="Z355" s="668">
        <f t="shared" si="33"/>
        <v>6834</v>
      </c>
      <c r="AA355" s="669">
        <f t="shared" si="33"/>
        <v>7803</v>
      </c>
      <c r="AB355" s="669">
        <f t="shared" si="33"/>
        <v>8772</v>
      </c>
      <c r="AC355" s="669">
        <f t="shared" si="33"/>
        <v>11322</v>
      </c>
      <c r="AD355" s="670">
        <f t="shared" si="33"/>
        <v>10965</v>
      </c>
      <c r="AE355" s="526"/>
      <c r="AF355" s="669">
        <f t="shared" si="34"/>
        <v>2805</v>
      </c>
      <c r="AG355" s="669">
        <f t="shared" si="34"/>
        <v>4182</v>
      </c>
      <c r="AH355" s="669">
        <f t="shared" si="34"/>
        <v>2907</v>
      </c>
      <c r="AI355" s="669">
        <f t="shared" si="34"/>
        <v>0</v>
      </c>
      <c r="AJ355" s="669">
        <f t="shared" si="34"/>
        <v>0</v>
      </c>
      <c r="AQ355" s="712"/>
    </row>
    <row r="356" spans="11:43" ht="21">
      <c r="K356" s="712"/>
      <c r="L356" s="502"/>
      <c r="M356" s="502"/>
      <c r="N356" s="518" t="s">
        <v>462</v>
      </c>
      <c r="O356" s="432" t="s">
        <v>1809</v>
      </c>
      <c r="P356" s="667">
        <v>0.05</v>
      </c>
      <c r="Q356" s="633"/>
      <c r="R356" s="579">
        <v>2</v>
      </c>
      <c r="S356" s="579">
        <v>30</v>
      </c>
      <c r="T356" s="633">
        <v>10</v>
      </c>
      <c r="U356" s="579">
        <f t="shared" si="32"/>
        <v>600</v>
      </c>
      <c r="V356" s="552"/>
      <c r="W356" s="552"/>
      <c r="X356" s="553"/>
      <c r="Y356" s="526"/>
      <c r="Z356" s="668">
        <f t="shared" si="33"/>
        <v>3417</v>
      </c>
      <c r="AA356" s="669">
        <f t="shared" si="33"/>
        <v>3902</v>
      </c>
      <c r="AB356" s="669">
        <f t="shared" si="33"/>
        <v>4386</v>
      </c>
      <c r="AC356" s="669">
        <f t="shared" si="33"/>
        <v>5661</v>
      </c>
      <c r="AD356" s="670">
        <f t="shared" si="33"/>
        <v>5483</v>
      </c>
      <c r="AE356" s="526"/>
      <c r="AF356" s="669">
        <f t="shared" si="34"/>
        <v>1403</v>
      </c>
      <c r="AG356" s="669">
        <f t="shared" si="34"/>
        <v>2091</v>
      </c>
      <c r="AH356" s="669">
        <f t="shared" si="34"/>
        <v>1454</v>
      </c>
      <c r="AI356" s="669">
        <f t="shared" si="34"/>
        <v>0</v>
      </c>
      <c r="AJ356" s="669">
        <f t="shared" si="34"/>
        <v>0</v>
      </c>
      <c r="AQ356" s="712"/>
    </row>
    <row r="357" spans="11:43" ht="21">
      <c r="K357" s="712"/>
      <c r="L357" s="502"/>
      <c r="M357" s="502"/>
      <c r="N357" s="518" t="s">
        <v>462</v>
      </c>
      <c r="O357" s="578" t="s">
        <v>464</v>
      </c>
      <c r="P357" s="671">
        <v>0.8</v>
      </c>
      <c r="Q357" s="633"/>
      <c r="R357" s="637">
        <v>188</v>
      </c>
      <c r="S357" s="637">
        <v>1</v>
      </c>
      <c r="T357" s="672">
        <v>1</v>
      </c>
      <c r="U357" s="672">
        <f t="shared" si="32"/>
        <v>188</v>
      </c>
      <c r="V357" s="552"/>
      <c r="W357" s="552"/>
      <c r="X357" s="553"/>
      <c r="Y357" s="526"/>
      <c r="Z357" s="668">
        <f t="shared" si="33"/>
        <v>17131</v>
      </c>
      <c r="AA357" s="669">
        <f t="shared" si="33"/>
        <v>19560</v>
      </c>
      <c r="AB357" s="669">
        <f t="shared" si="33"/>
        <v>21988</v>
      </c>
      <c r="AC357" s="669">
        <f t="shared" si="33"/>
        <v>28380</v>
      </c>
      <c r="AD357" s="670">
        <f t="shared" si="33"/>
        <v>27486</v>
      </c>
      <c r="AE357" s="526"/>
      <c r="AF357" s="669">
        <f t="shared" si="34"/>
        <v>7031</v>
      </c>
      <c r="AG357" s="669">
        <f t="shared" si="34"/>
        <v>10483</v>
      </c>
      <c r="AH357" s="669">
        <f t="shared" si="34"/>
        <v>7287</v>
      </c>
      <c r="AI357" s="669">
        <f t="shared" si="34"/>
        <v>0</v>
      </c>
      <c r="AJ357" s="669">
        <f t="shared" si="34"/>
        <v>0</v>
      </c>
      <c r="AQ357" s="712"/>
    </row>
    <row r="358" spans="11:43" ht="21">
      <c r="K358" s="712"/>
      <c r="L358" s="502"/>
      <c r="M358" s="502"/>
      <c r="N358" s="518" t="s">
        <v>462</v>
      </c>
      <c r="O358" s="578" t="s">
        <v>465</v>
      </c>
      <c r="P358" s="673">
        <v>0.8</v>
      </c>
      <c r="Q358" s="579"/>
      <c r="R358" s="579">
        <v>1</v>
      </c>
      <c r="S358" s="579">
        <v>30</v>
      </c>
      <c r="T358" s="579">
        <v>18</v>
      </c>
      <c r="U358" s="579">
        <f t="shared" si="32"/>
        <v>540</v>
      </c>
      <c r="V358" s="552"/>
      <c r="W358" s="552"/>
      <c r="X358" s="553"/>
      <c r="Y358" s="526"/>
      <c r="Z358" s="668">
        <f t="shared" si="33"/>
        <v>49205</v>
      </c>
      <c r="AA358" s="669">
        <f t="shared" si="33"/>
        <v>56182</v>
      </c>
      <c r="AB358" s="669">
        <f t="shared" si="33"/>
        <v>63158</v>
      </c>
      <c r="AC358" s="669">
        <f t="shared" si="33"/>
        <v>81518</v>
      </c>
      <c r="AD358" s="670">
        <f t="shared" si="33"/>
        <v>78948</v>
      </c>
      <c r="AE358" s="526"/>
      <c r="AF358" s="669">
        <f t="shared" si="34"/>
        <v>20196</v>
      </c>
      <c r="AG358" s="669">
        <f t="shared" si="34"/>
        <v>30110</v>
      </c>
      <c r="AH358" s="669">
        <f t="shared" si="34"/>
        <v>20930</v>
      </c>
      <c r="AI358" s="669">
        <f t="shared" si="34"/>
        <v>0</v>
      </c>
      <c r="AJ358" s="669">
        <f t="shared" si="34"/>
        <v>0</v>
      </c>
      <c r="AQ358" s="712"/>
    </row>
    <row r="359" spans="11:43" ht="21">
      <c r="K359" s="712"/>
      <c r="L359" s="502"/>
      <c r="M359" s="502"/>
      <c r="N359" s="518" t="s">
        <v>462</v>
      </c>
      <c r="O359" s="578" t="s">
        <v>466</v>
      </c>
      <c r="P359" s="673">
        <v>0.8</v>
      </c>
      <c r="Q359" s="579"/>
      <c r="R359" s="579">
        <v>3</v>
      </c>
      <c r="S359" s="579">
        <v>30</v>
      </c>
      <c r="T359" s="579">
        <v>18</v>
      </c>
      <c r="U359" s="579">
        <f t="shared" si="32"/>
        <v>1620</v>
      </c>
      <c r="V359" s="552"/>
      <c r="W359" s="552"/>
      <c r="X359" s="553"/>
      <c r="Y359" s="526"/>
      <c r="Z359" s="668">
        <f t="shared" si="33"/>
        <v>147614</v>
      </c>
      <c r="AA359" s="669">
        <f t="shared" si="33"/>
        <v>168545</v>
      </c>
      <c r="AB359" s="669">
        <f t="shared" si="33"/>
        <v>189475</v>
      </c>
      <c r="AC359" s="669">
        <f t="shared" si="33"/>
        <v>244555</v>
      </c>
      <c r="AD359" s="670">
        <f t="shared" si="33"/>
        <v>236844</v>
      </c>
      <c r="AE359" s="526"/>
      <c r="AF359" s="669">
        <f t="shared" si="34"/>
        <v>60588</v>
      </c>
      <c r="AG359" s="669">
        <f t="shared" si="34"/>
        <v>90331</v>
      </c>
      <c r="AH359" s="669">
        <f t="shared" si="34"/>
        <v>62791</v>
      </c>
      <c r="AI359" s="669">
        <f t="shared" si="34"/>
        <v>0</v>
      </c>
      <c r="AJ359" s="669">
        <f t="shared" si="34"/>
        <v>0</v>
      </c>
      <c r="AQ359" s="712"/>
    </row>
    <row r="360" spans="11:43" ht="21">
      <c r="K360" s="712"/>
      <c r="L360" s="502"/>
      <c r="M360" s="502"/>
      <c r="N360" s="518" t="s">
        <v>462</v>
      </c>
      <c r="O360" s="636" t="s">
        <v>467</v>
      </c>
      <c r="P360" s="667">
        <v>0.2</v>
      </c>
      <c r="Q360" s="579"/>
      <c r="R360" s="579">
        <v>4</v>
      </c>
      <c r="S360" s="579">
        <v>30</v>
      </c>
      <c r="T360" s="579">
        <v>6</v>
      </c>
      <c r="U360" s="579">
        <f t="shared" si="32"/>
        <v>720</v>
      </c>
      <c r="V360" s="552"/>
      <c r="W360" s="552"/>
      <c r="X360" s="553"/>
      <c r="Y360" s="526"/>
      <c r="Z360" s="668">
        <f t="shared" si="33"/>
        <v>16402</v>
      </c>
      <c r="AA360" s="669">
        <f t="shared" si="33"/>
        <v>18727</v>
      </c>
      <c r="AB360" s="669">
        <f t="shared" si="33"/>
        <v>21053</v>
      </c>
      <c r="AC360" s="669">
        <f t="shared" si="33"/>
        <v>27173</v>
      </c>
      <c r="AD360" s="670">
        <f t="shared" si="33"/>
        <v>26316</v>
      </c>
      <c r="AE360" s="526"/>
      <c r="AF360" s="669">
        <f t="shared" si="34"/>
        <v>6732</v>
      </c>
      <c r="AG360" s="669">
        <f t="shared" si="34"/>
        <v>10037</v>
      </c>
      <c r="AH360" s="669">
        <f t="shared" si="34"/>
        <v>6977</v>
      </c>
      <c r="AI360" s="669">
        <f t="shared" si="34"/>
        <v>0</v>
      </c>
      <c r="AJ360" s="669">
        <f t="shared" si="34"/>
        <v>0</v>
      </c>
      <c r="AQ360" s="712"/>
    </row>
    <row r="361" spans="11:43" ht="21">
      <c r="K361" s="712"/>
      <c r="L361" s="502"/>
      <c r="M361" s="502"/>
      <c r="N361" s="518" t="s">
        <v>462</v>
      </c>
      <c r="O361" s="636" t="s">
        <v>313</v>
      </c>
      <c r="P361" s="667">
        <v>0.3</v>
      </c>
      <c r="Q361" s="579"/>
      <c r="R361" s="579">
        <v>3</v>
      </c>
      <c r="S361" s="579">
        <v>30</v>
      </c>
      <c r="T361" s="579">
        <v>18</v>
      </c>
      <c r="U361" s="579">
        <f t="shared" si="32"/>
        <v>1620</v>
      </c>
      <c r="V361" s="552"/>
      <c r="W361" s="552"/>
      <c r="X361" s="553"/>
      <c r="Y361" s="526"/>
      <c r="Z361" s="668">
        <f t="shared" si="33"/>
        <v>55355</v>
      </c>
      <c r="AA361" s="669">
        <f t="shared" si="33"/>
        <v>63204</v>
      </c>
      <c r="AB361" s="669">
        <f t="shared" si="33"/>
        <v>71053</v>
      </c>
      <c r="AC361" s="669">
        <f t="shared" si="33"/>
        <v>91708</v>
      </c>
      <c r="AD361" s="670">
        <f t="shared" si="33"/>
        <v>88817</v>
      </c>
      <c r="AE361" s="526"/>
      <c r="AF361" s="669">
        <f t="shared" si="34"/>
        <v>22721</v>
      </c>
      <c r="AG361" s="669">
        <f t="shared" si="34"/>
        <v>33874</v>
      </c>
      <c r="AH361" s="669">
        <f t="shared" si="34"/>
        <v>23547</v>
      </c>
      <c r="AI361" s="669">
        <f t="shared" si="34"/>
        <v>0</v>
      </c>
      <c r="AJ361" s="669">
        <f t="shared" si="34"/>
        <v>0</v>
      </c>
      <c r="AQ361" s="712"/>
    </row>
    <row r="362" spans="11:43" ht="21">
      <c r="K362" s="712"/>
      <c r="L362" s="502"/>
      <c r="M362" s="502"/>
      <c r="N362" s="518" t="s">
        <v>462</v>
      </c>
      <c r="O362" s="636" t="s">
        <v>468</v>
      </c>
      <c r="P362" s="667">
        <v>0.15</v>
      </c>
      <c r="Q362" s="579"/>
      <c r="R362" s="579">
        <v>3</v>
      </c>
      <c r="S362" s="579">
        <v>30</v>
      </c>
      <c r="T362" s="579">
        <v>18</v>
      </c>
      <c r="U362" s="579">
        <f t="shared" si="32"/>
        <v>1620</v>
      </c>
      <c r="V362" s="552"/>
      <c r="W362" s="552"/>
      <c r="X362" s="553"/>
      <c r="Y362" s="526"/>
      <c r="Z362" s="668">
        <f t="shared" si="33"/>
        <v>27678</v>
      </c>
      <c r="AA362" s="669">
        <f t="shared" si="33"/>
        <v>31602</v>
      </c>
      <c r="AB362" s="669">
        <f t="shared" si="33"/>
        <v>35527</v>
      </c>
      <c r="AC362" s="669">
        <f t="shared" si="33"/>
        <v>45854</v>
      </c>
      <c r="AD362" s="670">
        <f t="shared" si="33"/>
        <v>44408</v>
      </c>
      <c r="AE362" s="526"/>
      <c r="AF362" s="669">
        <f t="shared" si="34"/>
        <v>11360</v>
      </c>
      <c r="AG362" s="669">
        <f t="shared" si="34"/>
        <v>16937</v>
      </c>
      <c r="AH362" s="669">
        <f t="shared" si="34"/>
        <v>11773</v>
      </c>
      <c r="AI362" s="669">
        <f t="shared" si="34"/>
        <v>0</v>
      </c>
      <c r="AJ362" s="669">
        <f t="shared" si="34"/>
        <v>0</v>
      </c>
      <c r="AQ362" s="712"/>
    </row>
    <row r="363" spans="11:43" ht="21">
      <c r="K363" s="712"/>
      <c r="L363" s="502"/>
      <c r="M363" s="502"/>
      <c r="N363" s="518" t="s">
        <v>462</v>
      </c>
      <c r="O363" s="636" t="s">
        <v>469</v>
      </c>
      <c r="P363" s="667">
        <v>0.8</v>
      </c>
      <c r="Q363" s="579"/>
      <c r="R363" s="579">
        <v>4</v>
      </c>
      <c r="S363" s="579">
        <v>30</v>
      </c>
      <c r="T363" s="579">
        <v>18</v>
      </c>
      <c r="U363" s="579">
        <f t="shared" si="32"/>
        <v>2160</v>
      </c>
      <c r="V363" s="552"/>
      <c r="W363" s="552"/>
      <c r="X363" s="553"/>
      <c r="Y363" s="526"/>
      <c r="Z363" s="668">
        <f t="shared" si="33"/>
        <v>196819</v>
      </c>
      <c r="AA363" s="669">
        <f t="shared" si="33"/>
        <v>224726</v>
      </c>
      <c r="AB363" s="669">
        <f t="shared" si="33"/>
        <v>252634</v>
      </c>
      <c r="AC363" s="669">
        <f t="shared" si="33"/>
        <v>326074</v>
      </c>
      <c r="AD363" s="670">
        <f t="shared" si="33"/>
        <v>315792</v>
      </c>
      <c r="AE363" s="526"/>
      <c r="AF363" s="669">
        <f t="shared" si="34"/>
        <v>80784</v>
      </c>
      <c r="AG363" s="669">
        <f t="shared" si="34"/>
        <v>120442</v>
      </c>
      <c r="AH363" s="669">
        <f t="shared" si="34"/>
        <v>83722</v>
      </c>
      <c r="AI363" s="669">
        <f t="shared" si="34"/>
        <v>0</v>
      </c>
      <c r="AJ363" s="669">
        <f t="shared" si="34"/>
        <v>0</v>
      </c>
      <c r="AQ363" s="712"/>
    </row>
    <row r="364" spans="11:43" ht="21">
      <c r="K364" s="712"/>
      <c r="L364" s="502"/>
      <c r="M364" s="502"/>
      <c r="N364" s="518" t="s">
        <v>462</v>
      </c>
      <c r="O364" s="636" t="s">
        <v>470</v>
      </c>
      <c r="P364" s="667">
        <v>1</v>
      </c>
      <c r="Q364" s="579"/>
      <c r="R364" s="579">
        <v>1</v>
      </c>
      <c r="S364" s="579">
        <v>30</v>
      </c>
      <c r="T364" s="579">
        <v>18</v>
      </c>
      <c r="U364" s="579">
        <f t="shared" si="32"/>
        <v>540</v>
      </c>
      <c r="V364" s="552"/>
      <c r="W364" s="552"/>
      <c r="X364" s="553"/>
      <c r="Y364" s="526"/>
      <c r="Z364" s="668">
        <f t="shared" ref="Z364:AD373" si="35">IFERROR(ROUND(VLOOKUP($N364,SLD_MD,Z$338,0)*$U364*$P364*Attrition,0),0)</f>
        <v>61506</v>
      </c>
      <c r="AA364" s="669">
        <f t="shared" si="35"/>
        <v>70227</v>
      </c>
      <c r="AB364" s="669">
        <f t="shared" si="35"/>
        <v>78948</v>
      </c>
      <c r="AC364" s="669">
        <f t="shared" si="35"/>
        <v>101898</v>
      </c>
      <c r="AD364" s="670">
        <f t="shared" si="35"/>
        <v>98685</v>
      </c>
      <c r="AE364" s="526"/>
      <c r="AF364" s="669">
        <f t="shared" ref="AF364:AJ373" si="36">IFERROR(ROUND(VLOOKUP($N364,SLD_MD,AF$338,0)*$U364*$P364*Attrition,0),0)</f>
        <v>25245</v>
      </c>
      <c r="AG364" s="669">
        <f t="shared" si="36"/>
        <v>37638</v>
      </c>
      <c r="AH364" s="669">
        <f t="shared" si="36"/>
        <v>26163</v>
      </c>
      <c r="AI364" s="669">
        <f t="shared" si="36"/>
        <v>0</v>
      </c>
      <c r="AJ364" s="669">
        <f t="shared" si="36"/>
        <v>0</v>
      </c>
      <c r="AQ364" s="712"/>
    </row>
    <row r="365" spans="11:43" ht="21">
      <c r="K365" s="712"/>
      <c r="L365" s="502"/>
      <c r="M365" s="502"/>
      <c r="N365" s="518" t="s">
        <v>462</v>
      </c>
      <c r="O365" s="636" t="s">
        <v>471</v>
      </c>
      <c r="P365" s="667">
        <v>0.2</v>
      </c>
      <c r="Q365" s="579"/>
      <c r="R365" s="579">
        <v>1</v>
      </c>
      <c r="S365" s="579">
        <v>30</v>
      </c>
      <c r="T365" s="579">
        <v>18</v>
      </c>
      <c r="U365" s="579">
        <f t="shared" si="32"/>
        <v>540</v>
      </c>
      <c r="V365" s="552"/>
      <c r="W365" s="552"/>
      <c r="X365" s="553"/>
      <c r="Y365" s="526"/>
      <c r="Z365" s="668">
        <f t="shared" si="35"/>
        <v>12301</v>
      </c>
      <c r="AA365" s="669">
        <f t="shared" si="35"/>
        <v>14045</v>
      </c>
      <c r="AB365" s="669">
        <f t="shared" si="35"/>
        <v>15790</v>
      </c>
      <c r="AC365" s="669">
        <f t="shared" si="35"/>
        <v>20380</v>
      </c>
      <c r="AD365" s="670">
        <f t="shared" si="35"/>
        <v>19737</v>
      </c>
      <c r="AE365" s="526"/>
      <c r="AF365" s="669">
        <f t="shared" si="36"/>
        <v>5049</v>
      </c>
      <c r="AG365" s="669">
        <f t="shared" si="36"/>
        <v>7528</v>
      </c>
      <c r="AH365" s="669">
        <f t="shared" si="36"/>
        <v>5233</v>
      </c>
      <c r="AI365" s="669">
        <f t="shared" si="36"/>
        <v>0</v>
      </c>
      <c r="AJ365" s="669">
        <f t="shared" si="36"/>
        <v>0</v>
      </c>
      <c r="AQ365" s="712"/>
    </row>
    <row r="366" spans="11:43" ht="21">
      <c r="K366" s="712"/>
      <c r="L366" s="502"/>
      <c r="M366" s="502"/>
      <c r="N366" s="518" t="s">
        <v>462</v>
      </c>
      <c r="O366" s="636" t="s">
        <v>472</v>
      </c>
      <c r="P366" s="667">
        <v>0.1</v>
      </c>
      <c r="Q366" s="579"/>
      <c r="R366" s="579">
        <v>2</v>
      </c>
      <c r="S366" s="579">
        <v>30</v>
      </c>
      <c r="T366" s="579">
        <v>18</v>
      </c>
      <c r="U366" s="579">
        <f t="shared" si="32"/>
        <v>1080</v>
      </c>
      <c r="V366" s="552"/>
      <c r="W366" s="552"/>
      <c r="X366" s="553"/>
      <c r="Y366" s="526"/>
      <c r="Z366" s="668">
        <f t="shared" si="35"/>
        <v>12301</v>
      </c>
      <c r="AA366" s="669">
        <f t="shared" si="35"/>
        <v>14045</v>
      </c>
      <c r="AB366" s="669">
        <f t="shared" si="35"/>
        <v>15790</v>
      </c>
      <c r="AC366" s="669">
        <f t="shared" si="35"/>
        <v>20380</v>
      </c>
      <c r="AD366" s="670">
        <f t="shared" si="35"/>
        <v>19737</v>
      </c>
      <c r="AE366" s="526"/>
      <c r="AF366" s="669">
        <f t="shared" si="36"/>
        <v>5049</v>
      </c>
      <c r="AG366" s="669">
        <f t="shared" si="36"/>
        <v>7528</v>
      </c>
      <c r="AH366" s="669">
        <f t="shared" si="36"/>
        <v>5233</v>
      </c>
      <c r="AI366" s="669">
        <f t="shared" si="36"/>
        <v>0</v>
      </c>
      <c r="AJ366" s="669">
        <f t="shared" si="36"/>
        <v>0</v>
      </c>
      <c r="AQ366" s="712"/>
    </row>
    <row r="367" spans="11:43" ht="21">
      <c r="K367" s="712"/>
      <c r="L367" s="502"/>
      <c r="M367" s="502"/>
      <c r="N367" s="518" t="s">
        <v>462</v>
      </c>
      <c r="O367" s="636" t="s">
        <v>314</v>
      </c>
      <c r="P367" s="667">
        <v>0.2</v>
      </c>
      <c r="Q367" s="579"/>
      <c r="R367" s="579">
        <v>5</v>
      </c>
      <c r="S367" s="579">
        <v>30</v>
      </c>
      <c r="T367" s="579">
        <v>18</v>
      </c>
      <c r="U367" s="579">
        <f t="shared" si="32"/>
        <v>2700</v>
      </c>
      <c r="V367" s="552"/>
      <c r="W367" s="552"/>
      <c r="X367" s="553"/>
      <c r="Y367" s="526"/>
      <c r="Z367" s="668">
        <f t="shared" si="35"/>
        <v>61506</v>
      </c>
      <c r="AA367" s="669">
        <f t="shared" si="35"/>
        <v>70227</v>
      </c>
      <c r="AB367" s="669">
        <f t="shared" si="35"/>
        <v>78948</v>
      </c>
      <c r="AC367" s="669">
        <f t="shared" si="35"/>
        <v>101898</v>
      </c>
      <c r="AD367" s="670">
        <f t="shared" si="35"/>
        <v>98685</v>
      </c>
      <c r="AE367" s="526"/>
      <c r="AF367" s="669">
        <f t="shared" si="36"/>
        <v>25245</v>
      </c>
      <c r="AG367" s="669">
        <f t="shared" si="36"/>
        <v>37638</v>
      </c>
      <c r="AH367" s="669">
        <f t="shared" si="36"/>
        <v>26163</v>
      </c>
      <c r="AI367" s="669">
        <f t="shared" si="36"/>
        <v>0</v>
      </c>
      <c r="AJ367" s="669">
        <f t="shared" si="36"/>
        <v>0</v>
      </c>
      <c r="AQ367" s="712"/>
    </row>
    <row r="368" spans="11:43" ht="21">
      <c r="K368" s="712"/>
      <c r="L368" s="502"/>
      <c r="M368" s="502"/>
      <c r="N368" s="522"/>
      <c r="O368" s="674"/>
      <c r="P368" s="675"/>
      <c r="Q368" s="676"/>
      <c r="R368" s="676">
        <v>0</v>
      </c>
      <c r="S368" s="676">
        <v>30</v>
      </c>
      <c r="T368" s="676"/>
      <c r="U368" s="676">
        <f t="shared" si="32"/>
        <v>0</v>
      </c>
      <c r="V368" s="677"/>
      <c r="W368" s="677"/>
      <c r="X368" s="678"/>
      <c r="Y368" s="526"/>
      <c r="Z368" s="668">
        <f t="shared" si="35"/>
        <v>0</v>
      </c>
      <c r="AA368" s="669">
        <f t="shared" si="35"/>
        <v>0</v>
      </c>
      <c r="AB368" s="669">
        <f t="shared" si="35"/>
        <v>0</v>
      </c>
      <c r="AC368" s="669">
        <f t="shared" si="35"/>
        <v>0</v>
      </c>
      <c r="AD368" s="670">
        <f t="shared" si="35"/>
        <v>0</v>
      </c>
      <c r="AE368" s="526"/>
      <c r="AF368" s="669">
        <f t="shared" si="36"/>
        <v>0</v>
      </c>
      <c r="AG368" s="669">
        <f t="shared" si="36"/>
        <v>0</v>
      </c>
      <c r="AH368" s="669">
        <f t="shared" si="36"/>
        <v>0</v>
      </c>
      <c r="AI368" s="669">
        <f t="shared" si="36"/>
        <v>0</v>
      </c>
      <c r="AJ368" s="669">
        <f t="shared" si="36"/>
        <v>0</v>
      </c>
      <c r="AQ368" s="712"/>
    </row>
    <row r="369" spans="11:43" ht="21">
      <c r="K369" s="712"/>
      <c r="L369" s="502"/>
      <c r="M369" s="502"/>
      <c r="N369" s="518" t="s">
        <v>473</v>
      </c>
      <c r="O369" s="552" t="s">
        <v>464</v>
      </c>
      <c r="P369" s="667">
        <v>1</v>
      </c>
      <c r="Q369" s="579"/>
      <c r="R369" s="637">
        <v>284</v>
      </c>
      <c r="S369" s="637">
        <v>1</v>
      </c>
      <c r="T369" s="672">
        <v>1</v>
      </c>
      <c r="U369" s="672">
        <f t="shared" si="32"/>
        <v>284</v>
      </c>
      <c r="V369" s="552"/>
      <c r="W369" s="552"/>
      <c r="X369" s="553"/>
      <c r="Y369" s="526"/>
      <c r="Z369" s="668">
        <f t="shared" si="35"/>
        <v>10863</v>
      </c>
      <c r="AA369" s="669">
        <f t="shared" si="35"/>
        <v>12311</v>
      </c>
      <c r="AB369" s="669">
        <f t="shared" si="35"/>
        <v>13760</v>
      </c>
      <c r="AC369" s="669">
        <f t="shared" si="35"/>
        <v>17864</v>
      </c>
      <c r="AD369" s="670">
        <f t="shared" si="35"/>
        <v>17381</v>
      </c>
      <c r="AE369" s="526"/>
      <c r="AF369" s="669">
        <f t="shared" si="36"/>
        <v>4345</v>
      </c>
      <c r="AG369" s="669">
        <f t="shared" si="36"/>
        <v>6759</v>
      </c>
      <c r="AH369" s="669">
        <f t="shared" si="36"/>
        <v>4587</v>
      </c>
      <c r="AI369" s="669">
        <f t="shared" si="36"/>
        <v>0</v>
      </c>
      <c r="AJ369" s="669">
        <f t="shared" si="36"/>
        <v>0</v>
      </c>
      <c r="AQ369" s="712"/>
    </row>
    <row r="370" spans="11:43" ht="21">
      <c r="K370" s="712"/>
      <c r="L370" s="502"/>
      <c r="M370" s="502"/>
      <c r="N370" s="518" t="s">
        <v>473</v>
      </c>
      <c r="O370" s="552" t="s">
        <v>465</v>
      </c>
      <c r="P370" s="667">
        <v>1</v>
      </c>
      <c r="Q370" s="579"/>
      <c r="R370" s="579">
        <v>1</v>
      </c>
      <c r="S370" s="579">
        <v>30</v>
      </c>
      <c r="T370" s="579">
        <v>9</v>
      </c>
      <c r="U370" s="579">
        <f t="shared" si="32"/>
        <v>270</v>
      </c>
      <c r="V370" s="552"/>
      <c r="W370" s="552"/>
      <c r="X370" s="553"/>
      <c r="Y370" s="526"/>
      <c r="Z370" s="668">
        <f t="shared" si="35"/>
        <v>10328</v>
      </c>
      <c r="AA370" s="669">
        <f t="shared" si="35"/>
        <v>11705</v>
      </c>
      <c r="AB370" s="669">
        <f t="shared" si="35"/>
        <v>13082</v>
      </c>
      <c r="AC370" s="669">
        <f t="shared" si="35"/>
        <v>16983</v>
      </c>
      <c r="AD370" s="670">
        <f t="shared" si="35"/>
        <v>16524</v>
      </c>
      <c r="AE370" s="526"/>
      <c r="AF370" s="669">
        <f t="shared" si="36"/>
        <v>4131</v>
      </c>
      <c r="AG370" s="669">
        <f t="shared" si="36"/>
        <v>6426</v>
      </c>
      <c r="AH370" s="669">
        <f t="shared" si="36"/>
        <v>4361</v>
      </c>
      <c r="AI370" s="669">
        <f t="shared" si="36"/>
        <v>0</v>
      </c>
      <c r="AJ370" s="669">
        <f t="shared" si="36"/>
        <v>0</v>
      </c>
      <c r="AQ370" s="712"/>
    </row>
    <row r="371" spans="11:43" ht="21">
      <c r="K371" s="712"/>
      <c r="L371" s="502"/>
      <c r="M371" s="502"/>
      <c r="N371" s="518" t="s">
        <v>473</v>
      </c>
      <c r="O371" s="552" t="s">
        <v>470</v>
      </c>
      <c r="P371" s="667">
        <v>1</v>
      </c>
      <c r="Q371" s="579"/>
      <c r="R371" s="579">
        <v>1</v>
      </c>
      <c r="S371" s="579">
        <v>30</v>
      </c>
      <c r="T371" s="579">
        <v>9</v>
      </c>
      <c r="U371" s="579">
        <f t="shared" si="32"/>
        <v>270</v>
      </c>
      <c r="V371" s="552"/>
      <c r="W371" s="552"/>
      <c r="X371" s="553"/>
      <c r="Y371" s="526"/>
      <c r="Z371" s="668">
        <f t="shared" si="35"/>
        <v>10328</v>
      </c>
      <c r="AA371" s="669">
        <f t="shared" si="35"/>
        <v>11705</v>
      </c>
      <c r="AB371" s="669">
        <f t="shared" si="35"/>
        <v>13082</v>
      </c>
      <c r="AC371" s="669">
        <f t="shared" si="35"/>
        <v>16983</v>
      </c>
      <c r="AD371" s="670">
        <f t="shared" si="35"/>
        <v>16524</v>
      </c>
      <c r="AE371" s="526"/>
      <c r="AF371" s="669">
        <f t="shared" si="36"/>
        <v>4131</v>
      </c>
      <c r="AG371" s="669">
        <f t="shared" si="36"/>
        <v>6426</v>
      </c>
      <c r="AH371" s="669">
        <f t="shared" si="36"/>
        <v>4361</v>
      </c>
      <c r="AI371" s="669">
        <f t="shared" si="36"/>
        <v>0</v>
      </c>
      <c r="AJ371" s="669">
        <f t="shared" si="36"/>
        <v>0</v>
      </c>
      <c r="AQ371" s="712"/>
    </row>
    <row r="372" spans="11:43" ht="21">
      <c r="K372" s="712"/>
      <c r="L372" s="502"/>
      <c r="M372" s="502"/>
      <c r="N372" s="518" t="s">
        <v>473</v>
      </c>
      <c r="O372" s="552" t="s">
        <v>466</v>
      </c>
      <c r="P372" s="667">
        <v>1</v>
      </c>
      <c r="Q372" s="579"/>
      <c r="R372" s="579">
        <v>3</v>
      </c>
      <c r="S372" s="579">
        <v>30</v>
      </c>
      <c r="T372" s="579">
        <v>9</v>
      </c>
      <c r="U372" s="579">
        <f t="shared" si="32"/>
        <v>810</v>
      </c>
      <c r="V372" s="552"/>
      <c r="W372" s="552"/>
      <c r="X372" s="553"/>
      <c r="Y372" s="526"/>
      <c r="Z372" s="668">
        <f t="shared" si="35"/>
        <v>30983</v>
      </c>
      <c r="AA372" s="669">
        <f t="shared" si="35"/>
        <v>35114</v>
      </c>
      <c r="AB372" s="669">
        <f t="shared" si="35"/>
        <v>39245</v>
      </c>
      <c r="AC372" s="669">
        <f t="shared" si="35"/>
        <v>50949</v>
      </c>
      <c r="AD372" s="670">
        <f t="shared" si="35"/>
        <v>49572</v>
      </c>
      <c r="AE372" s="526"/>
      <c r="AF372" s="669">
        <f t="shared" si="36"/>
        <v>12393</v>
      </c>
      <c r="AG372" s="669">
        <f t="shared" si="36"/>
        <v>19278</v>
      </c>
      <c r="AH372" s="669">
        <f t="shared" si="36"/>
        <v>13082</v>
      </c>
      <c r="AI372" s="669">
        <f t="shared" si="36"/>
        <v>0</v>
      </c>
      <c r="AJ372" s="669">
        <f t="shared" si="36"/>
        <v>0</v>
      </c>
      <c r="AQ372" s="712"/>
    </row>
    <row r="373" spans="11:43" ht="21">
      <c r="K373" s="712"/>
      <c r="L373" s="502"/>
      <c r="M373" s="502"/>
      <c r="N373" s="518" t="s">
        <v>473</v>
      </c>
      <c r="O373" s="552" t="s">
        <v>469</v>
      </c>
      <c r="P373" s="667">
        <v>1</v>
      </c>
      <c r="Q373" s="579"/>
      <c r="R373" s="579">
        <v>4</v>
      </c>
      <c r="S373" s="579">
        <v>30</v>
      </c>
      <c r="T373" s="579">
        <v>9</v>
      </c>
      <c r="U373" s="579">
        <f t="shared" si="32"/>
        <v>1080</v>
      </c>
      <c r="V373" s="552"/>
      <c r="W373" s="552"/>
      <c r="X373" s="553"/>
      <c r="Y373" s="526"/>
      <c r="Z373" s="668">
        <f t="shared" si="35"/>
        <v>41310</v>
      </c>
      <c r="AA373" s="669">
        <f t="shared" si="35"/>
        <v>46818</v>
      </c>
      <c r="AB373" s="669">
        <f t="shared" si="35"/>
        <v>52326</v>
      </c>
      <c r="AC373" s="669">
        <f t="shared" si="35"/>
        <v>67932</v>
      </c>
      <c r="AD373" s="670">
        <f t="shared" si="35"/>
        <v>66096</v>
      </c>
      <c r="AE373" s="526"/>
      <c r="AF373" s="669">
        <f t="shared" si="36"/>
        <v>16524</v>
      </c>
      <c r="AG373" s="669">
        <f t="shared" si="36"/>
        <v>25704</v>
      </c>
      <c r="AH373" s="669">
        <f t="shared" si="36"/>
        <v>17442</v>
      </c>
      <c r="AI373" s="669">
        <f t="shared" si="36"/>
        <v>0</v>
      </c>
      <c r="AJ373" s="669">
        <f t="shared" si="36"/>
        <v>0</v>
      </c>
      <c r="AQ373" s="712"/>
    </row>
    <row r="374" spans="11:43" ht="21">
      <c r="K374" s="712"/>
      <c r="L374" s="502"/>
      <c r="M374" s="502"/>
      <c r="N374" s="522"/>
      <c r="O374" s="674"/>
      <c r="P374" s="675"/>
      <c r="Q374" s="676"/>
      <c r="R374" s="676">
        <v>0</v>
      </c>
      <c r="S374" s="676">
        <v>30</v>
      </c>
      <c r="T374" s="676"/>
      <c r="U374" s="676">
        <f t="shared" si="32"/>
        <v>0</v>
      </c>
      <c r="V374" s="677"/>
      <c r="W374" s="677"/>
      <c r="X374" s="678"/>
      <c r="Y374" s="526"/>
      <c r="Z374" s="668">
        <f t="shared" ref="Z374:AD383" si="37">IFERROR(ROUND(VLOOKUP($N374,SLD_MD,Z$338,0)*$U374*$P374*Attrition,0),0)</f>
        <v>0</v>
      </c>
      <c r="AA374" s="669">
        <f t="shared" si="37"/>
        <v>0</v>
      </c>
      <c r="AB374" s="669">
        <f t="shared" si="37"/>
        <v>0</v>
      </c>
      <c r="AC374" s="669">
        <f t="shared" si="37"/>
        <v>0</v>
      </c>
      <c r="AD374" s="670">
        <f t="shared" si="37"/>
        <v>0</v>
      </c>
      <c r="AE374" s="526"/>
      <c r="AF374" s="669">
        <f t="shared" ref="AF374:AJ383" si="38">IFERROR(ROUND(VLOOKUP($N374,SLD_MD,AF$338,0)*$U374*$P374*Attrition,0),0)</f>
        <v>0</v>
      </c>
      <c r="AG374" s="669">
        <f t="shared" si="38"/>
        <v>0</v>
      </c>
      <c r="AH374" s="669">
        <f t="shared" si="38"/>
        <v>0</v>
      </c>
      <c r="AI374" s="669">
        <f t="shared" si="38"/>
        <v>0</v>
      </c>
      <c r="AJ374" s="669">
        <f t="shared" si="38"/>
        <v>0</v>
      </c>
      <c r="AQ374" s="712"/>
    </row>
    <row r="375" spans="11:43" ht="21">
      <c r="K375" s="712"/>
      <c r="L375" s="502"/>
      <c r="M375" s="502"/>
      <c r="N375" s="523" t="s">
        <v>474</v>
      </c>
      <c r="O375" s="636" t="s">
        <v>464</v>
      </c>
      <c r="P375" s="667">
        <v>1</v>
      </c>
      <c r="Q375" s="579"/>
      <c r="R375" s="637">
        <v>284</v>
      </c>
      <c r="S375" s="637">
        <v>1</v>
      </c>
      <c r="T375" s="672">
        <v>1</v>
      </c>
      <c r="U375" s="672">
        <f t="shared" si="32"/>
        <v>284</v>
      </c>
      <c r="V375" s="552"/>
      <c r="W375" s="552"/>
      <c r="X375" s="553"/>
      <c r="Y375" s="526"/>
      <c r="Z375" s="668">
        <f t="shared" si="37"/>
        <v>10863</v>
      </c>
      <c r="AA375" s="669">
        <f t="shared" si="37"/>
        <v>12311</v>
      </c>
      <c r="AB375" s="669">
        <f t="shared" si="37"/>
        <v>13760</v>
      </c>
      <c r="AC375" s="669">
        <f t="shared" si="37"/>
        <v>17864</v>
      </c>
      <c r="AD375" s="670">
        <f t="shared" si="37"/>
        <v>17381</v>
      </c>
      <c r="AE375" s="526"/>
      <c r="AF375" s="669">
        <f t="shared" si="38"/>
        <v>4345</v>
      </c>
      <c r="AG375" s="669">
        <f t="shared" si="38"/>
        <v>6759</v>
      </c>
      <c r="AH375" s="669">
        <f t="shared" si="38"/>
        <v>4587</v>
      </c>
      <c r="AI375" s="669">
        <f t="shared" si="38"/>
        <v>0</v>
      </c>
      <c r="AJ375" s="669">
        <f t="shared" si="38"/>
        <v>0</v>
      </c>
      <c r="AQ375" s="712"/>
    </row>
    <row r="376" spans="11:43" ht="21">
      <c r="K376" s="712"/>
      <c r="L376" s="502"/>
      <c r="M376" s="502"/>
      <c r="N376" s="523" t="s">
        <v>474</v>
      </c>
      <c r="O376" s="636" t="s">
        <v>465</v>
      </c>
      <c r="P376" s="667">
        <v>1</v>
      </c>
      <c r="Q376" s="579"/>
      <c r="R376" s="579">
        <v>1</v>
      </c>
      <c r="S376" s="579">
        <v>30</v>
      </c>
      <c r="T376" s="579">
        <v>9</v>
      </c>
      <c r="U376" s="579">
        <f t="shared" si="32"/>
        <v>270</v>
      </c>
      <c r="V376" s="552"/>
      <c r="W376" s="552"/>
      <c r="X376" s="553"/>
      <c r="Y376" s="526"/>
      <c r="Z376" s="668">
        <f t="shared" si="37"/>
        <v>10328</v>
      </c>
      <c r="AA376" s="669">
        <f t="shared" si="37"/>
        <v>11705</v>
      </c>
      <c r="AB376" s="669">
        <f t="shared" si="37"/>
        <v>13082</v>
      </c>
      <c r="AC376" s="669">
        <f t="shared" si="37"/>
        <v>16983</v>
      </c>
      <c r="AD376" s="670">
        <f t="shared" si="37"/>
        <v>16524</v>
      </c>
      <c r="AE376" s="526"/>
      <c r="AF376" s="669">
        <f t="shared" si="38"/>
        <v>4131</v>
      </c>
      <c r="AG376" s="669">
        <f t="shared" si="38"/>
        <v>6426</v>
      </c>
      <c r="AH376" s="669">
        <f t="shared" si="38"/>
        <v>4361</v>
      </c>
      <c r="AI376" s="669">
        <f t="shared" si="38"/>
        <v>0</v>
      </c>
      <c r="AJ376" s="669">
        <f t="shared" si="38"/>
        <v>0</v>
      </c>
      <c r="AQ376" s="712"/>
    </row>
    <row r="377" spans="11:43" ht="21">
      <c r="K377" s="712"/>
      <c r="L377" s="502"/>
      <c r="M377" s="502"/>
      <c r="N377" s="523" t="s">
        <v>474</v>
      </c>
      <c r="O377" s="636" t="s">
        <v>470</v>
      </c>
      <c r="P377" s="667">
        <v>1</v>
      </c>
      <c r="Q377" s="579"/>
      <c r="R377" s="579">
        <v>1</v>
      </c>
      <c r="S377" s="579">
        <v>30</v>
      </c>
      <c r="T377" s="579">
        <v>9</v>
      </c>
      <c r="U377" s="579">
        <f t="shared" si="32"/>
        <v>270</v>
      </c>
      <c r="V377" s="552"/>
      <c r="W377" s="552"/>
      <c r="X377" s="553"/>
      <c r="Y377" s="526"/>
      <c r="Z377" s="668">
        <f t="shared" si="37"/>
        <v>10328</v>
      </c>
      <c r="AA377" s="669">
        <f t="shared" si="37"/>
        <v>11705</v>
      </c>
      <c r="AB377" s="669">
        <f t="shared" si="37"/>
        <v>13082</v>
      </c>
      <c r="AC377" s="669">
        <f t="shared" si="37"/>
        <v>16983</v>
      </c>
      <c r="AD377" s="670">
        <f t="shared" si="37"/>
        <v>16524</v>
      </c>
      <c r="AE377" s="526"/>
      <c r="AF377" s="669">
        <f t="shared" si="38"/>
        <v>4131</v>
      </c>
      <c r="AG377" s="669">
        <f t="shared" si="38"/>
        <v>6426</v>
      </c>
      <c r="AH377" s="669">
        <f t="shared" si="38"/>
        <v>4361</v>
      </c>
      <c r="AI377" s="669">
        <f t="shared" si="38"/>
        <v>0</v>
      </c>
      <c r="AJ377" s="669">
        <f t="shared" si="38"/>
        <v>0</v>
      </c>
      <c r="AQ377" s="712"/>
    </row>
    <row r="378" spans="11:43" ht="21">
      <c r="K378" s="712"/>
      <c r="L378" s="502"/>
      <c r="M378" s="502"/>
      <c r="N378" s="523" t="s">
        <v>474</v>
      </c>
      <c r="O378" s="636" t="s">
        <v>467</v>
      </c>
      <c r="P378" s="667">
        <v>1</v>
      </c>
      <c r="Q378" s="579"/>
      <c r="R378" s="579">
        <v>4</v>
      </c>
      <c r="S378" s="579">
        <v>30</v>
      </c>
      <c r="T378" s="579">
        <v>6</v>
      </c>
      <c r="U378" s="579">
        <f t="shared" si="32"/>
        <v>720</v>
      </c>
      <c r="V378" s="552"/>
      <c r="W378" s="552"/>
      <c r="X378" s="553"/>
      <c r="Y378" s="526"/>
      <c r="Z378" s="668">
        <f t="shared" si="37"/>
        <v>27540</v>
      </c>
      <c r="AA378" s="669">
        <f t="shared" si="37"/>
        <v>31212</v>
      </c>
      <c r="AB378" s="669">
        <f t="shared" si="37"/>
        <v>34884</v>
      </c>
      <c r="AC378" s="669">
        <f t="shared" si="37"/>
        <v>45288</v>
      </c>
      <c r="AD378" s="670">
        <f t="shared" si="37"/>
        <v>44064</v>
      </c>
      <c r="AE378" s="526"/>
      <c r="AF378" s="669">
        <f t="shared" si="38"/>
        <v>11016</v>
      </c>
      <c r="AG378" s="669">
        <f t="shared" si="38"/>
        <v>17136</v>
      </c>
      <c r="AH378" s="669">
        <f t="shared" si="38"/>
        <v>11628</v>
      </c>
      <c r="AI378" s="669">
        <f t="shared" si="38"/>
        <v>0</v>
      </c>
      <c r="AJ378" s="669">
        <f t="shared" si="38"/>
        <v>0</v>
      </c>
      <c r="AQ378" s="712"/>
    </row>
    <row r="379" spans="11:43" ht="21">
      <c r="K379" s="712"/>
      <c r="L379" s="502"/>
      <c r="M379" s="502"/>
      <c r="N379" s="523" t="s">
        <v>474</v>
      </c>
      <c r="O379" s="636" t="s">
        <v>469</v>
      </c>
      <c r="P379" s="667">
        <v>1</v>
      </c>
      <c r="Q379" s="579"/>
      <c r="R379" s="579">
        <v>4</v>
      </c>
      <c r="S379" s="579">
        <v>30</v>
      </c>
      <c r="T379" s="579">
        <v>9</v>
      </c>
      <c r="U379" s="579">
        <f t="shared" si="32"/>
        <v>1080</v>
      </c>
      <c r="V379" s="552"/>
      <c r="W379" s="552"/>
      <c r="X379" s="553"/>
      <c r="Y379" s="526"/>
      <c r="Z379" s="668">
        <f t="shared" si="37"/>
        <v>41310</v>
      </c>
      <c r="AA379" s="669">
        <f t="shared" si="37"/>
        <v>46818</v>
      </c>
      <c r="AB379" s="669">
        <f t="shared" si="37"/>
        <v>52326</v>
      </c>
      <c r="AC379" s="669">
        <f t="shared" si="37"/>
        <v>67932</v>
      </c>
      <c r="AD379" s="670">
        <f t="shared" si="37"/>
        <v>66096</v>
      </c>
      <c r="AE379" s="526"/>
      <c r="AF379" s="669">
        <f t="shared" si="38"/>
        <v>16524</v>
      </c>
      <c r="AG379" s="669">
        <f t="shared" si="38"/>
        <v>25704</v>
      </c>
      <c r="AH379" s="669">
        <f t="shared" si="38"/>
        <v>17442</v>
      </c>
      <c r="AI379" s="669">
        <f t="shared" si="38"/>
        <v>0</v>
      </c>
      <c r="AJ379" s="669">
        <f t="shared" si="38"/>
        <v>0</v>
      </c>
      <c r="AQ379" s="712"/>
    </row>
    <row r="380" spans="11:43" ht="21">
      <c r="K380" s="712"/>
      <c r="L380" s="502"/>
      <c r="M380" s="502"/>
      <c r="N380" s="522"/>
      <c r="O380" s="674"/>
      <c r="P380" s="675"/>
      <c r="Q380" s="676"/>
      <c r="R380" s="676">
        <v>0</v>
      </c>
      <c r="S380" s="676">
        <v>30</v>
      </c>
      <c r="T380" s="676"/>
      <c r="U380" s="676">
        <f t="shared" si="32"/>
        <v>0</v>
      </c>
      <c r="V380" s="677"/>
      <c r="W380" s="677"/>
      <c r="X380" s="678"/>
      <c r="Y380" s="526"/>
      <c r="Z380" s="668">
        <f t="shared" si="37"/>
        <v>0</v>
      </c>
      <c r="AA380" s="669">
        <f t="shared" si="37"/>
        <v>0</v>
      </c>
      <c r="AB380" s="669">
        <f t="shared" si="37"/>
        <v>0</v>
      </c>
      <c r="AC380" s="669">
        <f t="shared" si="37"/>
        <v>0</v>
      </c>
      <c r="AD380" s="670">
        <f t="shared" si="37"/>
        <v>0</v>
      </c>
      <c r="AE380" s="526"/>
      <c r="AF380" s="669">
        <f t="shared" si="38"/>
        <v>0</v>
      </c>
      <c r="AG380" s="669">
        <f t="shared" si="38"/>
        <v>0</v>
      </c>
      <c r="AH380" s="669">
        <f t="shared" si="38"/>
        <v>0</v>
      </c>
      <c r="AI380" s="669">
        <f t="shared" si="38"/>
        <v>0</v>
      </c>
      <c r="AJ380" s="669">
        <f t="shared" si="38"/>
        <v>0</v>
      </c>
      <c r="AQ380" s="712"/>
    </row>
    <row r="381" spans="11:43" ht="21">
      <c r="K381" s="712"/>
      <c r="L381" s="502"/>
      <c r="M381" s="502"/>
      <c r="N381" s="423" t="s">
        <v>510</v>
      </c>
      <c r="O381" s="666" t="s">
        <v>463</v>
      </c>
      <c r="P381" s="667">
        <v>0.05</v>
      </c>
      <c r="Q381" s="579"/>
      <c r="R381" s="579">
        <v>2</v>
      </c>
      <c r="S381" s="579">
        <v>30</v>
      </c>
      <c r="T381" s="579">
        <v>8</v>
      </c>
      <c r="U381" s="579">
        <f t="shared" si="32"/>
        <v>480</v>
      </c>
      <c r="V381" s="552"/>
      <c r="W381" s="552"/>
      <c r="X381" s="553"/>
      <c r="Y381" s="526"/>
      <c r="Z381" s="668">
        <f t="shared" si="37"/>
        <v>1612</v>
      </c>
      <c r="AA381" s="669">
        <f t="shared" si="37"/>
        <v>1816</v>
      </c>
      <c r="AB381" s="669">
        <f t="shared" si="37"/>
        <v>2020</v>
      </c>
      <c r="AC381" s="669">
        <f t="shared" si="37"/>
        <v>2591</v>
      </c>
      <c r="AD381" s="670">
        <f t="shared" si="37"/>
        <v>2530</v>
      </c>
      <c r="AE381" s="526"/>
      <c r="AF381" s="669">
        <f t="shared" si="38"/>
        <v>653</v>
      </c>
      <c r="AG381" s="669">
        <f t="shared" si="38"/>
        <v>979</v>
      </c>
      <c r="AH381" s="669">
        <f t="shared" si="38"/>
        <v>673</v>
      </c>
      <c r="AI381" s="669">
        <f t="shared" si="38"/>
        <v>0</v>
      </c>
      <c r="AJ381" s="669">
        <f t="shared" si="38"/>
        <v>0</v>
      </c>
      <c r="AQ381" s="712"/>
    </row>
    <row r="382" spans="11:43" ht="21">
      <c r="K382" s="712"/>
      <c r="L382" s="502"/>
      <c r="M382" s="502"/>
      <c r="N382" s="423" t="s">
        <v>510</v>
      </c>
      <c r="O382" s="432" t="s">
        <v>1808</v>
      </c>
      <c r="P382" s="667">
        <v>0.05</v>
      </c>
      <c r="Q382" s="633"/>
      <c r="R382" s="579">
        <v>4</v>
      </c>
      <c r="S382" s="579">
        <v>30</v>
      </c>
      <c r="T382" s="633">
        <v>10</v>
      </c>
      <c r="U382" s="579">
        <f t="shared" si="32"/>
        <v>1200</v>
      </c>
      <c r="V382" s="552"/>
      <c r="W382" s="552"/>
      <c r="X382" s="553"/>
      <c r="Y382" s="526"/>
      <c r="Z382" s="668">
        <f t="shared" si="37"/>
        <v>4029</v>
      </c>
      <c r="AA382" s="669">
        <f t="shared" si="37"/>
        <v>4539</v>
      </c>
      <c r="AB382" s="669">
        <f t="shared" si="37"/>
        <v>5049</v>
      </c>
      <c r="AC382" s="669">
        <f t="shared" si="37"/>
        <v>6477</v>
      </c>
      <c r="AD382" s="670">
        <f t="shared" si="37"/>
        <v>6324</v>
      </c>
      <c r="AE382" s="526"/>
      <c r="AF382" s="669">
        <f t="shared" si="38"/>
        <v>1632</v>
      </c>
      <c r="AG382" s="669">
        <f t="shared" si="38"/>
        <v>2448</v>
      </c>
      <c r="AH382" s="669">
        <f t="shared" si="38"/>
        <v>1683</v>
      </c>
      <c r="AI382" s="669">
        <f t="shared" si="38"/>
        <v>0</v>
      </c>
      <c r="AJ382" s="669">
        <f t="shared" si="38"/>
        <v>0</v>
      </c>
      <c r="AQ382" s="712"/>
    </row>
    <row r="383" spans="11:43" ht="21">
      <c r="K383" s="712"/>
      <c r="L383" s="502"/>
      <c r="M383" s="502"/>
      <c r="N383" s="423" t="s">
        <v>510</v>
      </c>
      <c r="O383" s="432" t="s">
        <v>1809</v>
      </c>
      <c r="P383" s="667">
        <v>0.05</v>
      </c>
      <c r="Q383" s="633"/>
      <c r="R383" s="579">
        <v>2</v>
      </c>
      <c r="S383" s="579">
        <v>30</v>
      </c>
      <c r="T383" s="633">
        <v>10</v>
      </c>
      <c r="U383" s="579">
        <f t="shared" si="32"/>
        <v>600</v>
      </c>
      <c r="V383" s="552"/>
      <c r="W383" s="552"/>
      <c r="X383" s="553"/>
      <c r="Y383" s="526"/>
      <c r="Z383" s="668">
        <f t="shared" si="37"/>
        <v>2015</v>
      </c>
      <c r="AA383" s="669">
        <f t="shared" si="37"/>
        <v>2270</v>
      </c>
      <c r="AB383" s="669">
        <f t="shared" si="37"/>
        <v>2525</v>
      </c>
      <c r="AC383" s="669">
        <f t="shared" si="37"/>
        <v>3239</v>
      </c>
      <c r="AD383" s="670">
        <f t="shared" si="37"/>
        <v>3162</v>
      </c>
      <c r="AE383" s="526"/>
      <c r="AF383" s="669">
        <f t="shared" si="38"/>
        <v>816</v>
      </c>
      <c r="AG383" s="669">
        <f t="shared" si="38"/>
        <v>1224</v>
      </c>
      <c r="AH383" s="669">
        <f t="shared" si="38"/>
        <v>842</v>
      </c>
      <c r="AI383" s="669">
        <f t="shared" si="38"/>
        <v>0</v>
      </c>
      <c r="AJ383" s="669">
        <f t="shared" si="38"/>
        <v>0</v>
      </c>
      <c r="AQ383" s="712"/>
    </row>
    <row r="384" spans="11:43" ht="21">
      <c r="K384" s="712"/>
      <c r="L384" s="502"/>
      <c r="M384" s="502"/>
      <c r="N384" s="423" t="s">
        <v>510</v>
      </c>
      <c r="O384" s="578" t="s">
        <v>464</v>
      </c>
      <c r="P384" s="671">
        <v>0.8</v>
      </c>
      <c r="Q384" s="579"/>
      <c r="R384" s="637">
        <v>342</v>
      </c>
      <c r="S384" s="579">
        <v>1</v>
      </c>
      <c r="T384" s="672">
        <v>1</v>
      </c>
      <c r="U384" s="579">
        <f t="shared" si="32"/>
        <v>342</v>
      </c>
      <c r="V384" s="552"/>
      <c r="W384" s="552"/>
      <c r="X384" s="553"/>
      <c r="Y384" s="526"/>
      <c r="Z384" s="668">
        <f t="shared" ref="Z384:AD397" si="39">IFERROR(ROUND(VLOOKUP($N384,SLD_MD,Z$338,0)*$U384*$P384*Attrition,0),0)</f>
        <v>18372</v>
      </c>
      <c r="AA384" s="669">
        <f t="shared" si="39"/>
        <v>20698</v>
      </c>
      <c r="AB384" s="669">
        <f t="shared" si="39"/>
        <v>23023</v>
      </c>
      <c r="AC384" s="669">
        <f t="shared" si="39"/>
        <v>29535</v>
      </c>
      <c r="AD384" s="670">
        <f t="shared" si="39"/>
        <v>28837</v>
      </c>
      <c r="AE384" s="526"/>
      <c r="AF384" s="669">
        <f t="shared" ref="AF384:AJ397" si="40">IFERROR(ROUND(VLOOKUP($N384,SLD_MD,AF$338,0)*$U384*$P384*Attrition,0),0)</f>
        <v>7442</v>
      </c>
      <c r="AG384" s="669">
        <f t="shared" si="40"/>
        <v>11163</v>
      </c>
      <c r="AH384" s="669">
        <f t="shared" si="40"/>
        <v>7674</v>
      </c>
      <c r="AI384" s="669">
        <f t="shared" si="40"/>
        <v>0</v>
      </c>
      <c r="AJ384" s="669">
        <f t="shared" si="40"/>
        <v>0</v>
      </c>
      <c r="AQ384" s="712"/>
    </row>
    <row r="385" spans="11:43" ht="21">
      <c r="K385" s="712"/>
      <c r="L385" s="502"/>
      <c r="M385" s="502"/>
      <c r="N385" s="423" t="s">
        <v>510</v>
      </c>
      <c r="O385" s="578" t="s">
        <v>465</v>
      </c>
      <c r="P385" s="673">
        <v>0.8</v>
      </c>
      <c r="Q385" s="579"/>
      <c r="R385" s="579">
        <v>1</v>
      </c>
      <c r="S385" s="579">
        <v>30</v>
      </c>
      <c r="T385" s="579">
        <v>22</v>
      </c>
      <c r="U385" s="579">
        <f t="shared" si="32"/>
        <v>660</v>
      </c>
      <c r="V385" s="552"/>
      <c r="W385" s="552"/>
      <c r="X385" s="553"/>
      <c r="Y385" s="526"/>
      <c r="Z385" s="668">
        <f t="shared" si="39"/>
        <v>35455</v>
      </c>
      <c r="AA385" s="669">
        <f t="shared" si="39"/>
        <v>39943</v>
      </c>
      <c r="AB385" s="669">
        <f t="shared" si="39"/>
        <v>44431</v>
      </c>
      <c r="AC385" s="669">
        <f t="shared" si="39"/>
        <v>56998</v>
      </c>
      <c r="AD385" s="670">
        <f t="shared" si="39"/>
        <v>55651</v>
      </c>
      <c r="AE385" s="526"/>
      <c r="AF385" s="669">
        <f t="shared" si="40"/>
        <v>14362</v>
      </c>
      <c r="AG385" s="669">
        <f t="shared" si="40"/>
        <v>21542</v>
      </c>
      <c r="AH385" s="669">
        <f t="shared" si="40"/>
        <v>14810</v>
      </c>
      <c r="AI385" s="669">
        <f t="shared" si="40"/>
        <v>0</v>
      </c>
      <c r="AJ385" s="669">
        <f t="shared" si="40"/>
        <v>0</v>
      </c>
      <c r="AQ385" s="712"/>
    </row>
    <row r="386" spans="11:43" ht="21">
      <c r="K386" s="712"/>
      <c r="L386" s="502"/>
      <c r="M386" s="502"/>
      <c r="N386" s="423" t="s">
        <v>510</v>
      </c>
      <c r="O386" s="578" t="s">
        <v>466</v>
      </c>
      <c r="P386" s="673">
        <v>0.8</v>
      </c>
      <c r="Q386" s="579"/>
      <c r="R386" s="579">
        <v>3</v>
      </c>
      <c r="S386" s="579">
        <v>30</v>
      </c>
      <c r="T386" s="579">
        <v>22</v>
      </c>
      <c r="U386" s="579">
        <f t="shared" si="32"/>
        <v>1980</v>
      </c>
      <c r="V386" s="552"/>
      <c r="W386" s="552"/>
      <c r="X386" s="553"/>
      <c r="Y386" s="526"/>
      <c r="Z386" s="668">
        <f t="shared" si="39"/>
        <v>106366</v>
      </c>
      <c r="AA386" s="669">
        <f t="shared" si="39"/>
        <v>119830</v>
      </c>
      <c r="AB386" s="669">
        <f t="shared" si="39"/>
        <v>133294</v>
      </c>
      <c r="AC386" s="669">
        <f t="shared" si="39"/>
        <v>170993</v>
      </c>
      <c r="AD386" s="670">
        <f t="shared" si="39"/>
        <v>166954</v>
      </c>
      <c r="AE386" s="526"/>
      <c r="AF386" s="669">
        <f t="shared" si="40"/>
        <v>43085</v>
      </c>
      <c r="AG386" s="669">
        <f t="shared" si="40"/>
        <v>64627</v>
      </c>
      <c r="AH386" s="669">
        <f t="shared" si="40"/>
        <v>44431</v>
      </c>
      <c r="AI386" s="669">
        <f t="shared" si="40"/>
        <v>0</v>
      </c>
      <c r="AJ386" s="669">
        <f t="shared" si="40"/>
        <v>0</v>
      </c>
      <c r="AQ386" s="712"/>
    </row>
    <row r="387" spans="11:43" ht="21">
      <c r="K387" s="712"/>
      <c r="L387" s="502"/>
      <c r="M387" s="502"/>
      <c r="N387" s="423" t="s">
        <v>510</v>
      </c>
      <c r="O387" s="636" t="s">
        <v>467</v>
      </c>
      <c r="P387" s="667">
        <v>0.2</v>
      </c>
      <c r="Q387" s="579"/>
      <c r="R387" s="579">
        <v>4</v>
      </c>
      <c r="S387" s="579">
        <v>30</v>
      </c>
      <c r="T387" s="579">
        <v>6</v>
      </c>
      <c r="U387" s="579">
        <f t="shared" si="32"/>
        <v>720</v>
      </c>
      <c r="V387" s="552"/>
      <c r="W387" s="552"/>
      <c r="X387" s="553"/>
      <c r="Y387" s="526"/>
      <c r="Z387" s="668">
        <f t="shared" si="39"/>
        <v>9670</v>
      </c>
      <c r="AA387" s="669">
        <f t="shared" si="39"/>
        <v>10894</v>
      </c>
      <c r="AB387" s="669">
        <f t="shared" si="39"/>
        <v>12118</v>
      </c>
      <c r="AC387" s="669">
        <f t="shared" si="39"/>
        <v>15545</v>
      </c>
      <c r="AD387" s="670">
        <f t="shared" si="39"/>
        <v>15178</v>
      </c>
      <c r="AE387" s="526"/>
      <c r="AF387" s="669">
        <f t="shared" si="40"/>
        <v>3917</v>
      </c>
      <c r="AG387" s="669">
        <f t="shared" si="40"/>
        <v>5875</v>
      </c>
      <c r="AH387" s="669">
        <f t="shared" si="40"/>
        <v>4039</v>
      </c>
      <c r="AI387" s="669">
        <f t="shared" si="40"/>
        <v>0</v>
      </c>
      <c r="AJ387" s="669">
        <f t="shared" si="40"/>
        <v>0</v>
      </c>
      <c r="AQ387" s="712"/>
    </row>
    <row r="388" spans="11:43" ht="21">
      <c r="K388" s="712"/>
      <c r="L388" s="502"/>
      <c r="M388" s="502"/>
      <c r="N388" s="423" t="s">
        <v>510</v>
      </c>
      <c r="O388" s="636" t="s">
        <v>313</v>
      </c>
      <c r="P388" s="667">
        <v>0.3</v>
      </c>
      <c r="Q388" s="579"/>
      <c r="R388" s="579">
        <v>3</v>
      </c>
      <c r="S388" s="579">
        <v>30</v>
      </c>
      <c r="T388" s="579">
        <v>22</v>
      </c>
      <c r="U388" s="579">
        <f t="shared" si="32"/>
        <v>1980</v>
      </c>
      <c r="V388" s="552"/>
      <c r="W388" s="552"/>
      <c r="X388" s="553"/>
      <c r="Y388" s="526"/>
      <c r="Z388" s="668">
        <f t="shared" si="39"/>
        <v>39887</v>
      </c>
      <c r="AA388" s="669">
        <f t="shared" si="39"/>
        <v>44936</v>
      </c>
      <c r="AB388" s="669">
        <f t="shared" si="39"/>
        <v>49985</v>
      </c>
      <c r="AC388" s="669">
        <f t="shared" si="39"/>
        <v>64122</v>
      </c>
      <c r="AD388" s="670">
        <f t="shared" si="39"/>
        <v>62608</v>
      </c>
      <c r="AE388" s="526"/>
      <c r="AF388" s="669">
        <f t="shared" si="40"/>
        <v>16157</v>
      </c>
      <c r="AG388" s="669">
        <f t="shared" si="40"/>
        <v>24235</v>
      </c>
      <c r="AH388" s="669">
        <f t="shared" si="40"/>
        <v>16662</v>
      </c>
      <c r="AI388" s="669">
        <f t="shared" si="40"/>
        <v>0</v>
      </c>
      <c r="AJ388" s="669">
        <f t="shared" si="40"/>
        <v>0</v>
      </c>
      <c r="AQ388" s="712"/>
    </row>
    <row r="389" spans="11:43" ht="21">
      <c r="K389" s="712"/>
      <c r="L389" s="502"/>
      <c r="M389" s="502"/>
      <c r="N389" s="423" t="s">
        <v>510</v>
      </c>
      <c r="O389" s="636" t="s">
        <v>468</v>
      </c>
      <c r="P389" s="667">
        <v>0.15</v>
      </c>
      <c r="Q389" s="579"/>
      <c r="R389" s="579">
        <v>3</v>
      </c>
      <c r="S389" s="579">
        <v>30</v>
      </c>
      <c r="T389" s="579">
        <v>22</v>
      </c>
      <c r="U389" s="579">
        <f t="shared" si="32"/>
        <v>1980</v>
      </c>
      <c r="V389" s="552"/>
      <c r="W389" s="552"/>
      <c r="X389" s="553"/>
      <c r="Y389" s="526"/>
      <c r="Z389" s="668">
        <f t="shared" si="39"/>
        <v>19944</v>
      </c>
      <c r="AA389" s="669">
        <f t="shared" si="39"/>
        <v>22468</v>
      </c>
      <c r="AB389" s="669">
        <f t="shared" si="39"/>
        <v>24993</v>
      </c>
      <c r="AC389" s="669">
        <f t="shared" si="39"/>
        <v>32061</v>
      </c>
      <c r="AD389" s="670">
        <f t="shared" si="39"/>
        <v>31304</v>
      </c>
      <c r="AE389" s="526"/>
      <c r="AF389" s="669">
        <f t="shared" si="40"/>
        <v>8078</v>
      </c>
      <c r="AG389" s="669">
        <f t="shared" si="40"/>
        <v>12118</v>
      </c>
      <c r="AH389" s="669">
        <f t="shared" si="40"/>
        <v>8331</v>
      </c>
      <c r="AI389" s="669">
        <f t="shared" si="40"/>
        <v>0</v>
      </c>
      <c r="AJ389" s="669">
        <f t="shared" si="40"/>
        <v>0</v>
      </c>
      <c r="AQ389" s="712"/>
    </row>
    <row r="390" spans="11:43" ht="21">
      <c r="K390" s="712"/>
      <c r="L390" s="502"/>
      <c r="M390" s="502"/>
      <c r="N390" s="423" t="s">
        <v>510</v>
      </c>
      <c r="O390" s="636" t="s">
        <v>469</v>
      </c>
      <c r="P390" s="667">
        <v>0.8</v>
      </c>
      <c r="Q390" s="579"/>
      <c r="R390" s="579">
        <v>4</v>
      </c>
      <c r="S390" s="579">
        <v>30</v>
      </c>
      <c r="T390" s="579">
        <v>22</v>
      </c>
      <c r="U390" s="579">
        <f t="shared" si="32"/>
        <v>2640</v>
      </c>
      <c r="V390" s="552"/>
      <c r="W390" s="552"/>
      <c r="X390" s="553"/>
      <c r="Y390" s="526"/>
      <c r="Z390" s="668">
        <f t="shared" si="39"/>
        <v>141821</v>
      </c>
      <c r="AA390" s="669">
        <f t="shared" si="39"/>
        <v>159773</v>
      </c>
      <c r="AB390" s="669">
        <f t="shared" si="39"/>
        <v>177725</v>
      </c>
      <c r="AC390" s="669">
        <f t="shared" si="39"/>
        <v>227990</v>
      </c>
      <c r="AD390" s="670">
        <f t="shared" si="39"/>
        <v>222605</v>
      </c>
      <c r="AE390" s="526"/>
      <c r="AF390" s="669">
        <f t="shared" si="40"/>
        <v>57446</v>
      </c>
      <c r="AG390" s="669">
        <f t="shared" si="40"/>
        <v>86170</v>
      </c>
      <c r="AH390" s="669">
        <f t="shared" si="40"/>
        <v>59242</v>
      </c>
      <c r="AI390" s="669">
        <f t="shared" si="40"/>
        <v>0</v>
      </c>
      <c r="AJ390" s="669">
        <f t="shared" si="40"/>
        <v>0</v>
      </c>
      <c r="AQ390" s="712"/>
    </row>
    <row r="391" spans="11:43" ht="21">
      <c r="K391" s="712"/>
      <c r="L391" s="502"/>
      <c r="M391" s="502"/>
      <c r="N391" s="423" t="s">
        <v>510</v>
      </c>
      <c r="O391" s="636" t="s">
        <v>470</v>
      </c>
      <c r="P391" s="667">
        <v>1</v>
      </c>
      <c r="Q391" s="579"/>
      <c r="R391" s="579">
        <v>1</v>
      </c>
      <c r="S391" s="579">
        <v>30</v>
      </c>
      <c r="T391" s="579">
        <v>22</v>
      </c>
      <c r="U391" s="579">
        <f t="shared" si="32"/>
        <v>660</v>
      </c>
      <c r="V391" s="552"/>
      <c r="W391" s="552"/>
      <c r="X391" s="553"/>
      <c r="Y391" s="526"/>
      <c r="Z391" s="668">
        <f t="shared" si="39"/>
        <v>44319</v>
      </c>
      <c r="AA391" s="669">
        <f t="shared" si="39"/>
        <v>49929</v>
      </c>
      <c r="AB391" s="669">
        <f t="shared" si="39"/>
        <v>55539</v>
      </c>
      <c r="AC391" s="669">
        <f t="shared" si="39"/>
        <v>71247</v>
      </c>
      <c r="AD391" s="670">
        <f t="shared" si="39"/>
        <v>69564</v>
      </c>
      <c r="AE391" s="526"/>
      <c r="AF391" s="669">
        <f t="shared" si="40"/>
        <v>17952</v>
      </c>
      <c r="AG391" s="669">
        <f t="shared" si="40"/>
        <v>26928</v>
      </c>
      <c r="AH391" s="669">
        <f t="shared" si="40"/>
        <v>18513</v>
      </c>
      <c r="AI391" s="669">
        <f t="shared" si="40"/>
        <v>0</v>
      </c>
      <c r="AJ391" s="669">
        <f t="shared" si="40"/>
        <v>0</v>
      </c>
      <c r="AQ391" s="712"/>
    </row>
    <row r="392" spans="11:43" ht="21">
      <c r="K392" s="712"/>
      <c r="L392" s="502"/>
      <c r="M392" s="502"/>
      <c r="N392" s="423" t="s">
        <v>510</v>
      </c>
      <c r="O392" s="636" t="s">
        <v>471</v>
      </c>
      <c r="P392" s="667">
        <v>0.2</v>
      </c>
      <c r="Q392" s="579"/>
      <c r="R392" s="579">
        <v>1</v>
      </c>
      <c r="S392" s="579">
        <v>30</v>
      </c>
      <c r="T392" s="579">
        <v>22</v>
      </c>
      <c r="U392" s="579">
        <f t="shared" si="32"/>
        <v>660</v>
      </c>
      <c r="V392" s="552"/>
      <c r="W392" s="552"/>
      <c r="X392" s="553"/>
      <c r="Y392" s="526"/>
      <c r="Z392" s="668">
        <f t="shared" si="39"/>
        <v>8864</v>
      </c>
      <c r="AA392" s="669">
        <f t="shared" si="39"/>
        <v>9986</v>
      </c>
      <c r="AB392" s="669">
        <f t="shared" si="39"/>
        <v>11108</v>
      </c>
      <c r="AC392" s="669">
        <f t="shared" si="39"/>
        <v>14249</v>
      </c>
      <c r="AD392" s="670">
        <f t="shared" si="39"/>
        <v>13913</v>
      </c>
      <c r="AE392" s="526"/>
      <c r="AF392" s="669">
        <f t="shared" si="40"/>
        <v>3590</v>
      </c>
      <c r="AG392" s="669">
        <f t="shared" si="40"/>
        <v>5386</v>
      </c>
      <c r="AH392" s="669">
        <f t="shared" si="40"/>
        <v>3703</v>
      </c>
      <c r="AI392" s="669">
        <f t="shared" si="40"/>
        <v>0</v>
      </c>
      <c r="AJ392" s="669">
        <f t="shared" si="40"/>
        <v>0</v>
      </c>
      <c r="AQ392" s="712"/>
    </row>
    <row r="393" spans="11:43" ht="21">
      <c r="K393" s="712"/>
      <c r="L393" s="502"/>
      <c r="M393" s="502"/>
      <c r="N393" s="423" t="s">
        <v>510</v>
      </c>
      <c r="O393" s="636" t="s">
        <v>472</v>
      </c>
      <c r="P393" s="667">
        <v>0.1</v>
      </c>
      <c r="Q393" s="579"/>
      <c r="R393" s="579">
        <v>2</v>
      </c>
      <c r="S393" s="579">
        <v>30</v>
      </c>
      <c r="T393" s="579">
        <v>22</v>
      </c>
      <c r="U393" s="579">
        <f t="shared" si="32"/>
        <v>1320</v>
      </c>
      <c r="V393" s="552"/>
      <c r="W393" s="552"/>
      <c r="X393" s="553"/>
      <c r="Y393" s="526"/>
      <c r="Z393" s="668">
        <f t="shared" si="39"/>
        <v>8864</v>
      </c>
      <c r="AA393" s="669">
        <f t="shared" si="39"/>
        <v>9986</v>
      </c>
      <c r="AB393" s="669">
        <f t="shared" si="39"/>
        <v>11108</v>
      </c>
      <c r="AC393" s="669">
        <f t="shared" si="39"/>
        <v>14249</v>
      </c>
      <c r="AD393" s="670">
        <f t="shared" si="39"/>
        <v>13913</v>
      </c>
      <c r="AE393" s="526"/>
      <c r="AF393" s="669">
        <f t="shared" si="40"/>
        <v>3590</v>
      </c>
      <c r="AG393" s="669">
        <f t="shared" si="40"/>
        <v>5386</v>
      </c>
      <c r="AH393" s="669">
        <f t="shared" si="40"/>
        <v>3703</v>
      </c>
      <c r="AI393" s="669">
        <f t="shared" si="40"/>
        <v>0</v>
      </c>
      <c r="AJ393" s="669">
        <f t="shared" si="40"/>
        <v>0</v>
      </c>
      <c r="AQ393" s="712"/>
    </row>
    <row r="394" spans="11:43" ht="21">
      <c r="K394" s="712"/>
      <c r="L394" s="502"/>
      <c r="M394" s="502"/>
      <c r="N394" s="423" t="s">
        <v>510</v>
      </c>
      <c r="O394" s="636" t="s">
        <v>314</v>
      </c>
      <c r="P394" s="667">
        <v>0.2</v>
      </c>
      <c r="Q394" s="579"/>
      <c r="R394" s="579">
        <v>5</v>
      </c>
      <c r="S394" s="579">
        <v>30</v>
      </c>
      <c r="T394" s="579">
        <v>22</v>
      </c>
      <c r="U394" s="579">
        <f t="shared" si="32"/>
        <v>3300</v>
      </c>
      <c r="V394" s="552"/>
      <c r="W394" s="552"/>
      <c r="X394" s="553"/>
      <c r="Y394" s="526"/>
      <c r="Z394" s="668">
        <f t="shared" si="39"/>
        <v>44319</v>
      </c>
      <c r="AA394" s="669">
        <f t="shared" si="39"/>
        <v>49929</v>
      </c>
      <c r="AB394" s="669">
        <f t="shared" si="39"/>
        <v>55539</v>
      </c>
      <c r="AC394" s="669">
        <f t="shared" si="39"/>
        <v>71247</v>
      </c>
      <c r="AD394" s="670">
        <f t="shared" si="39"/>
        <v>69564</v>
      </c>
      <c r="AE394" s="526"/>
      <c r="AF394" s="669">
        <f t="shared" si="40"/>
        <v>17952</v>
      </c>
      <c r="AG394" s="669">
        <f t="shared" si="40"/>
        <v>26928</v>
      </c>
      <c r="AH394" s="669">
        <f t="shared" si="40"/>
        <v>18513</v>
      </c>
      <c r="AI394" s="669">
        <f t="shared" si="40"/>
        <v>0</v>
      </c>
      <c r="AJ394" s="669">
        <f t="shared" si="40"/>
        <v>0</v>
      </c>
      <c r="AQ394" s="712"/>
    </row>
    <row r="395" spans="11:43" ht="21">
      <c r="K395" s="712"/>
      <c r="L395" s="502"/>
      <c r="M395" s="502"/>
      <c r="N395" s="515"/>
      <c r="O395" s="636"/>
      <c r="P395" s="667"/>
      <c r="Q395" s="579"/>
      <c r="R395" s="579">
        <v>0</v>
      </c>
      <c r="S395" s="579">
        <v>30</v>
      </c>
      <c r="T395" s="639"/>
      <c r="U395" s="579">
        <f t="shared" si="32"/>
        <v>0</v>
      </c>
      <c r="V395" s="552"/>
      <c r="W395" s="552"/>
      <c r="X395" s="553"/>
      <c r="Y395" s="526"/>
      <c r="Z395" s="668">
        <f t="shared" si="39"/>
        <v>0</v>
      </c>
      <c r="AA395" s="669">
        <f t="shared" si="39"/>
        <v>0</v>
      </c>
      <c r="AB395" s="669">
        <f t="shared" si="39"/>
        <v>0</v>
      </c>
      <c r="AC395" s="669">
        <f t="shared" si="39"/>
        <v>0</v>
      </c>
      <c r="AD395" s="670">
        <f t="shared" si="39"/>
        <v>0</v>
      </c>
      <c r="AE395" s="526"/>
      <c r="AF395" s="669">
        <f t="shared" si="40"/>
        <v>0</v>
      </c>
      <c r="AG395" s="669">
        <f t="shared" si="40"/>
        <v>0</v>
      </c>
      <c r="AH395" s="669">
        <f t="shared" si="40"/>
        <v>0</v>
      </c>
      <c r="AI395" s="669">
        <f t="shared" si="40"/>
        <v>0</v>
      </c>
      <c r="AJ395" s="669">
        <f t="shared" si="40"/>
        <v>0</v>
      </c>
      <c r="AQ395" s="712"/>
    </row>
    <row r="396" spans="11:43" ht="21">
      <c r="K396" s="712"/>
      <c r="L396" s="502"/>
      <c r="M396" s="502"/>
      <c r="N396" s="515"/>
      <c r="O396" s="636"/>
      <c r="P396" s="667"/>
      <c r="Q396" s="579"/>
      <c r="R396" s="579">
        <v>0</v>
      </c>
      <c r="S396" s="579">
        <v>30</v>
      </c>
      <c r="T396" s="639"/>
      <c r="U396" s="579">
        <f t="shared" si="32"/>
        <v>0</v>
      </c>
      <c r="V396" s="552"/>
      <c r="W396" s="552"/>
      <c r="X396" s="553"/>
      <c r="Y396" s="526"/>
      <c r="Z396" s="668">
        <f t="shared" si="39"/>
        <v>0</v>
      </c>
      <c r="AA396" s="669">
        <f t="shared" si="39"/>
        <v>0</v>
      </c>
      <c r="AB396" s="669">
        <f t="shared" si="39"/>
        <v>0</v>
      </c>
      <c r="AC396" s="669">
        <f t="shared" si="39"/>
        <v>0</v>
      </c>
      <c r="AD396" s="670">
        <f t="shared" si="39"/>
        <v>0</v>
      </c>
      <c r="AE396" s="526"/>
      <c r="AF396" s="669">
        <f t="shared" si="40"/>
        <v>0</v>
      </c>
      <c r="AG396" s="669">
        <f t="shared" si="40"/>
        <v>0</v>
      </c>
      <c r="AH396" s="669">
        <f t="shared" si="40"/>
        <v>0</v>
      </c>
      <c r="AI396" s="669">
        <f t="shared" si="40"/>
        <v>0</v>
      </c>
      <c r="AJ396" s="669">
        <f t="shared" si="40"/>
        <v>0</v>
      </c>
      <c r="AQ396" s="712"/>
    </row>
    <row r="397" spans="11:43" ht="22" thickBot="1">
      <c r="K397" s="712"/>
      <c r="L397" s="502"/>
      <c r="M397" s="502"/>
      <c r="N397" s="516"/>
      <c r="O397" s="640"/>
      <c r="P397" s="679"/>
      <c r="Q397" s="581"/>
      <c r="R397" s="581">
        <v>0</v>
      </c>
      <c r="S397" s="581">
        <v>30</v>
      </c>
      <c r="T397" s="641"/>
      <c r="U397" s="581">
        <f t="shared" si="32"/>
        <v>0</v>
      </c>
      <c r="V397" s="556"/>
      <c r="W397" s="556"/>
      <c r="X397" s="557"/>
      <c r="Y397" s="526"/>
      <c r="Z397" s="668">
        <f t="shared" si="39"/>
        <v>0</v>
      </c>
      <c r="AA397" s="669">
        <f t="shared" si="39"/>
        <v>0</v>
      </c>
      <c r="AB397" s="669">
        <f t="shared" si="39"/>
        <v>0</v>
      </c>
      <c r="AC397" s="669">
        <f t="shared" si="39"/>
        <v>0</v>
      </c>
      <c r="AD397" s="670">
        <f t="shared" si="39"/>
        <v>0</v>
      </c>
      <c r="AE397" s="526"/>
      <c r="AF397" s="669">
        <f t="shared" si="40"/>
        <v>0</v>
      </c>
      <c r="AG397" s="669">
        <f t="shared" si="40"/>
        <v>0</v>
      </c>
      <c r="AH397" s="669">
        <f t="shared" si="40"/>
        <v>0</v>
      </c>
      <c r="AI397" s="669">
        <f t="shared" si="40"/>
        <v>0</v>
      </c>
      <c r="AJ397" s="669">
        <f t="shared" si="40"/>
        <v>0</v>
      </c>
      <c r="AQ397" s="712"/>
    </row>
    <row r="398" spans="11:43" ht="21">
      <c r="K398" s="712"/>
      <c r="L398" s="502"/>
      <c r="M398" s="1438" t="s">
        <v>2402</v>
      </c>
      <c r="N398" s="442" t="s">
        <v>462</v>
      </c>
      <c r="O398" s="1443" t="s">
        <v>2403</v>
      </c>
      <c r="P398" s="1468">
        <f>TB_HIV_RB_Co_tr</f>
        <v>6.7193523515805695E-2</v>
      </c>
      <c r="Q398" s="526"/>
      <c r="R398" s="563">
        <v>2</v>
      </c>
      <c r="S398" s="563">
        <v>30</v>
      </c>
      <c r="T398" s="563">
        <v>18</v>
      </c>
      <c r="U398" s="563">
        <f t="shared" si="32"/>
        <v>1080</v>
      </c>
      <c r="V398" s="526"/>
      <c r="W398" s="526"/>
      <c r="X398" s="526"/>
      <c r="Y398" s="526"/>
      <c r="Z398" s="1470">
        <f>IFERROR(ROUND(T342*$U398*$P398,0),0)</f>
        <v>17707</v>
      </c>
      <c r="AA398" s="1471">
        <f>IFERROR(U342*$U398*$P398,0)</f>
        <v>17053.716268311484</v>
      </c>
      <c r="AB398" s="1471">
        <f>IFERROR(V342*$U398*$P398,0)</f>
        <v>16618.302235929066</v>
      </c>
      <c r="AC398" s="1471">
        <f>IFERROR(W342*$U398*$P398,0)</f>
        <v>16110.319198149573</v>
      </c>
      <c r="AD398" s="1472">
        <f>IFERROR(X342*$U398*$P398,0)</f>
        <v>15602.336160370083</v>
      </c>
      <c r="AE398" s="526"/>
      <c r="AF398" s="526"/>
      <c r="AG398" s="526"/>
      <c r="AH398" s="526"/>
      <c r="AI398" s="526"/>
      <c r="AJ398" s="526"/>
      <c r="AQ398" s="712"/>
    </row>
    <row r="399" spans="11:43" ht="21">
      <c r="K399" s="712"/>
      <c r="L399" s="502"/>
      <c r="M399"/>
      <c r="N399" s="442" t="s">
        <v>473</v>
      </c>
      <c r="O399" s="1443" t="s">
        <v>2403</v>
      </c>
      <c r="P399" s="1468">
        <f>TB_HIV_RB_Co_tr</f>
        <v>6.7193523515805695E-2</v>
      </c>
      <c r="Q399" s="526"/>
      <c r="R399" s="563">
        <v>2</v>
      </c>
      <c r="S399" s="563">
        <v>30</v>
      </c>
      <c r="T399" s="563">
        <v>9</v>
      </c>
      <c r="U399" s="563">
        <f t="shared" si="32"/>
        <v>540</v>
      </c>
      <c r="V399" s="526"/>
      <c r="W399" s="526"/>
      <c r="X399" s="526"/>
      <c r="Y399" s="526"/>
      <c r="Z399" s="1473">
        <f>IFERROR(T344*$U399*$P399,0)</f>
        <v>2939.0447185813409</v>
      </c>
      <c r="AA399" s="1474">
        <f>IFERROR(U344*$U399*$P399,0)</f>
        <v>2866.4757131842707</v>
      </c>
      <c r="AB399" s="1474">
        <f>IFERROR(V344*$U399*$P399,0)</f>
        <v>2757.6222050886659</v>
      </c>
      <c r="AC399" s="1474">
        <f>IFERROR(W344*$U399*$P399,0)</f>
        <v>2685.0531996915956</v>
      </c>
      <c r="AD399" s="1475">
        <f>IFERROR(X344*$U399*$P399,0)</f>
        <v>2612.4841942945254</v>
      </c>
      <c r="AE399" s="526"/>
      <c r="AF399" s="526"/>
      <c r="AG399" s="526"/>
      <c r="AH399" s="526"/>
      <c r="AI399" s="526"/>
      <c r="AJ399" s="526"/>
      <c r="AQ399" s="712"/>
    </row>
    <row r="400" spans="11:43" ht="21">
      <c r="K400" s="712"/>
      <c r="L400" s="502"/>
      <c r="M400"/>
      <c r="N400" s="442" t="s">
        <v>474</v>
      </c>
      <c r="O400" s="1443" t="s">
        <v>2403</v>
      </c>
      <c r="P400" s="1468">
        <f>TB_HIV_RB_Co_tr</f>
        <v>6.7193523515805695E-2</v>
      </c>
      <c r="Q400" s="526"/>
      <c r="R400" s="563">
        <v>2</v>
      </c>
      <c r="S400" s="563">
        <v>30</v>
      </c>
      <c r="T400" s="563">
        <v>9</v>
      </c>
      <c r="U400" s="563">
        <f t="shared" si="32"/>
        <v>540</v>
      </c>
      <c r="V400" s="526"/>
      <c r="W400" s="526"/>
      <c r="X400" s="526"/>
      <c r="Y400" s="526"/>
      <c r="Z400" s="1473">
        <f>IFERROR(T346*$U400*$P400,0)</f>
        <v>2939.0447185813409</v>
      </c>
      <c r="AA400" s="1474">
        <f>IFERROR(U346*$U400*$P400,0)</f>
        <v>2866.4757131842707</v>
      </c>
      <c r="AB400" s="1474">
        <f>IFERROR(V346*$U400*$P400,0)</f>
        <v>2757.6222050886659</v>
      </c>
      <c r="AC400" s="1474">
        <f>IFERROR(W346*$U400*$P400,0)</f>
        <v>2685.0531996915956</v>
      </c>
      <c r="AD400" s="1475">
        <f>IFERROR(X346*$U400*$P400,0)</f>
        <v>2612.4841942945254</v>
      </c>
      <c r="AE400" s="526"/>
      <c r="AF400" s="526"/>
      <c r="AG400" s="526"/>
      <c r="AH400" s="526"/>
      <c r="AI400" s="526"/>
      <c r="AJ400" s="526"/>
      <c r="AQ400" s="712"/>
    </row>
    <row r="401" spans="1:45" ht="22" thickBot="1">
      <c r="K401" s="712"/>
      <c r="L401" s="502"/>
      <c r="M401"/>
      <c r="N401" s="442" t="s">
        <v>510</v>
      </c>
      <c r="O401" s="1443" t="s">
        <v>2403</v>
      </c>
      <c r="P401" s="1468">
        <f>TB_HIV_RB_Co_tr</f>
        <v>6.7193523515805695E-2</v>
      </c>
      <c r="Q401" s="526"/>
      <c r="R401" s="563">
        <v>2</v>
      </c>
      <c r="S401" s="563">
        <v>30</v>
      </c>
      <c r="T401" s="563">
        <v>22</v>
      </c>
      <c r="U401" s="563">
        <f t="shared" si="32"/>
        <v>1320</v>
      </c>
      <c r="V401" s="526"/>
      <c r="W401" s="526"/>
      <c r="X401" s="526"/>
      <c r="Y401" s="526"/>
      <c r="Z401" s="1476">
        <f>IFERROR(T348*$U401*$P401,0)</f>
        <v>12683.449498843484</v>
      </c>
      <c r="AA401" s="1477">
        <f>IFERROR(U348*$U401*$P401,0)</f>
        <v>12151.276792598303</v>
      </c>
      <c r="AB401" s="1477">
        <f>IFERROR(V348*$U401*$P401,0)</f>
        <v>11707.799537393985</v>
      </c>
      <c r="AC401" s="1477">
        <f>IFERROR(W348*$U401*$P401,0)</f>
        <v>11264.322282189667</v>
      </c>
      <c r="AD401" s="1478">
        <f>IFERROR(X348*$U401*$P401,0)</f>
        <v>10998.235929067076</v>
      </c>
      <c r="AE401" s="526"/>
      <c r="AF401" s="526"/>
      <c r="AG401" s="526"/>
      <c r="AH401" s="526"/>
      <c r="AI401" s="526"/>
      <c r="AJ401" s="526"/>
      <c r="AQ401" s="712"/>
    </row>
    <row r="402" spans="1:45" s="431" customFormat="1" ht="22" thickBot="1">
      <c r="K402" s="713"/>
      <c r="L402" s="1479"/>
      <c r="N402" s="431" t="s">
        <v>2408</v>
      </c>
      <c r="O402" s="1443" t="s">
        <v>2403</v>
      </c>
      <c r="Z402" s="1480">
        <f>ROUND(SUM(Z398:Z401),0)</f>
        <v>36269</v>
      </c>
      <c r="AA402" s="1480">
        <f>ROUND(SUM(AA398:AA401),0)</f>
        <v>34938</v>
      </c>
      <c r="AB402" s="1480">
        <f>ROUND(SUM(AB398:AB401),0)</f>
        <v>33841</v>
      </c>
      <c r="AC402" s="1480">
        <f>ROUND(SUM(AC398:AC401),0)</f>
        <v>32745</v>
      </c>
      <c r="AD402" s="1480">
        <f>ROUND(SUM(AD398:AD401),0)</f>
        <v>31826</v>
      </c>
      <c r="AE402" s="545"/>
      <c r="AF402" s="545"/>
      <c r="AG402" s="545"/>
      <c r="AH402" s="545"/>
      <c r="AI402" s="545"/>
      <c r="AJ402" s="545"/>
      <c r="AQ402" s="713"/>
      <c r="AR402" s="1488"/>
      <c r="AS402" s="2217"/>
    </row>
    <row r="403" spans="1:45" ht="22" thickBot="1">
      <c r="A403" s="730">
        <v>18</v>
      </c>
      <c r="B403" s="733">
        <f>Z403</f>
        <v>18134.5</v>
      </c>
      <c r="C403" s="733">
        <f>AA403</f>
        <v>17469</v>
      </c>
      <c r="D403" s="733">
        <f>AB403</f>
        <v>16920.5</v>
      </c>
      <c r="E403" s="733">
        <f>AC403</f>
        <v>16372.5</v>
      </c>
      <c r="F403" s="733">
        <f>AD403</f>
        <v>15913</v>
      </c>
      <c r="G403" s="733" t="s">
        <v>349</v>
      </c>
      <c r="H403" s="733" t="s">
        <v>2409</v>
      </c>
      <c r="I403" s="841"/>
      <c r="J403" s="841" t="s">
        <v>2950</v>
      </c>
      <c r="K403" s="712"/>
      <c r="L403" s="502"/>
      <c r="M403"/>
      <c r="N403" s="431" t="s">
        <v>2216</v>
      </c>
      <c r="O403" s="1469" t="s">
        <v>2403</v>
      </c>
      <c r="P403" s="545"/>
      <c r="Q403" s="545"/>
      <c r="R403" s="545"/>
      <c r="S403" s="545"/>
      <c r="T403" s="545"/>
      <c r="U403" s="545"/>
      <c r="V403" s="545"/>
      <c r="W403" s="545"/>
      <c r="X403" s="545"/>
      <c r="Y403" s="545">
        <f>VLOOKUP(O403,Preturi_medicamente!D:M,6,0)</f>
        <v>0.5</v>
      </c>
      <c r="Z403" s="1738">
        <f>$Y403*Z402</f>
        <v>18134.5</v>
      </c>
      <c r="AA403" s="1736">
        <f>$Y403*AA402</f>
        <v>17469</v>
      </c>
      <c r="AB403" s="1736">
        <f>$Y403*AB402</f>
        <v>16920.5</v>
      </c>
      <c r="AC403" s="1736">
        <f>$Y403*AC402</f>
        <v>16372.5</v>
      </c>
      <c r="AD403" s="1737">
        <f>$Y403*AD402</f>
        <v>15913</v>
      </c>
      <c r="AE403" s="526"/>
      <c r="AF403" s="526"/>
      <c r="AG403" s="526"/>
      <c r="AH403" s="526"/>
      <c r="AI403" s="526"/>
      <c r="AJ403" s="526"/>
      <c r="AQ403" s="712"/>
    </row>
    <row r="404" spans="1:45" ht="22" thickBot="1">
      <c r="K404" s="712"/>
      <c r="L404" s="502"/>
      <c r="M404"/>
      <c r="N404" s="707" t="s">
        <v>335</v>
      </c>
      <c r="O404" s="526"/>
      <c r="P404" s="526"/>
      <c r="Q404" s="526"/>
      <c r="R404" s="526"/>
      <c r="S404" s="526"/>
      <c r="T404" s="545" t="s">
        <v>114</v>
      </c>
      <c r="U404" s="545"/>
      <c r="V404" s="545"/>
      <c r="W404" s="545"/>
      <c r="X404" s="545"/>
      <c r="Y404" s="545"/>
      <c r="Z404" s="642" t="s">
        <v>349</v>
      </c>
      <c r="AA404" s="545"/>
      <c r="AB404" s="545"/>
      <c r="AC404" s="545"/>
      <c r="AD404" s="545"/>
      <c r="AE404" s="545"/>
      <c r="AF404" s="545" t="s">
        <v>351</v>
      </c>
      <c r="AG404" s="526"/>
      <c r="AH404" s="526"/>
      <c r="AI404" s="526"/>
      <c r="AJ404" s="526"/>
      <c r="AQ404" s="712"/>
      <c r="AR404" s="1487">
        <f>SUM(Z403:AD403)</f>
        <v>84809.5</v>
      </c>
    </row>
    <row r="405" spans="1:45" ht="22" thickBot="1">
      <c r="K405" s="712"/>
      <c r="L405" s="502"/>
      <c r="M405"/>
      <c r="O405" s="526"/>
      <c r="P405" s="526"/>
      <c r="Q405" s="526"/>
      <c r="R405" s="526"/>
      <c r="S405" s="526"/>
      <c r="T405" s="584">
        <v>2021</v>
      </c>
      <c r="U405" s="585">
        <v>2022</v>
      </c>
      <c r="V405" s="585">
        <v>2023</v>
      </c>
      <c r="W405" s="585">
        <v>2024</v>
      </c>
      <c r="X405" s="586">
        <v>2025</v>
      </c>
      <c r="Y405" s="526"/>
      <c r="Z405" s="584">
        <v>2021</v>
      </c>
      <c r="AA405" s="585">
        <v>2022</v>
      </c>
      <c r="AB405" s="585">
        <v>2023</v>
      </c>
      <c r="AC405" s="585">
        <v>2024</v>
      </c>
      <c r="AD405" s="586">
        <v>2025</v>
      </c>
      <c r="AE405" s="526"/>
      <c r="AF405" s="584">
        <v>2021</v>
      </c>
      <c r="AG405" s="585">
        <v>2022</v>
      </c>
      <c r="AH405" s="585">
        <v>2023</v>
      </c>
      <c r="AI405" s="585">
        <v>2024</v>
      </c>
      <c r="AJ405" s="586">
        <v>2025</v>
      </c>
      <c r="AQ405" s="712"/>
    </row>
    <row r="406" spans="1:45" ht="21">
      <c r="K406" s="712"/>
      <c r="L406" s="502"/>
      <c r="M406" s="502"/>
      <c r="O406" s="716" t="s">
        <v>463</v>
      </c>
      <c r="P406" s="528"/>
      <c r="Q406" s="528"/>
      <c r="R406" s="528"/>
      <c r="S406" s="528"/>
      <c r="T406" s="587">
        <f t="shared" ref="T406:T420" si="41">Z406+AF406</f>
        <v>6121</v>
      </c>
      <c r="U406" s="588">
        <f t="shared" ref="U406:U420" si="42">AA406+AG406</f>
        <v>7589</v>
      </c>
      <c r="V406" s="588">
        <f t="shared" ref="V406:V420" si="43">AB406+AH406</f>
        <v>7365</v>
      </c>
      <c r="W406" s="588">
        <f t="shared" ref="W406:W420" si="44">AC406+AI406</f>
        <v>7120</v>
      </c>
      <c r="X406" s="589">
        <f t="shared" ref="X406:X420" si="45">AD406+AJ406</f>
        <v>6916</v>
      </c>
      <c r="Y406" s="526"/>
      <c r="Z406" s="592">
        <f t="shared" ref="Z406:AD420" si="46">SUMIF($O$354:$O$397,$O406,Z$354:Z$397)</f>
        <v>4346</v>
      </c>
      <c r="AA406" s="593">
        <f t="shared" si="46"/>
        <v>4937</v>
      </c>
      <c r="AB406" s="593">
        <f t="shared" si="46"/>
        <v>5529</v>
      </c>
      <c r="AC406" s="593">
        <f t="shared" si="46"/>
        <v>7120</v>
      </c>
      <c r="AD406" s="594">
        <f t="shared" si="46"/>
        <v>6916</v>
      </c>
      <c r="AE406" s="526"/>
      <c r="AF406" s="592">
        <f t="shared" ref="AF406:AJ420" si="47">SUMIF($O$354:$O$397,$O406,AF$354:AF$397)</f>
        <v>1775</v>
      </c>
      <c r="AG406" s="593">
        <f t="shared" si="47"/>
        <v>2652</v>
      </c>
      <c r="AH406" s="593">
        <f t="shared" si="47"/>
        <v>1836</v>
      </c>
      <c r="AI406" s="593">
        <f t="shared" si="47"/>
        <v>0</v>
      </c>
      <c r="AJ406" s="594">
        <f t="shared" si="47"/>
        <v>0</v>
      </c>
      <c r="AQ406" s="712"/>
    </row>
    <row r="407" spans="1:45" ht="21">
      <c r="K407" s="712"/>
      <c r="L407" s="502"/>
      <c r="M407" s="502"/>
      <c r="N407" s="431"/>
      <c r="O407" s="714" t="s">
        <v>1808</v>
      </c>
      <c r="P407" s="715"/>
      <c r="Q407" s="715"/>
      <c r="R407" s="715"/>
      <c r="S407" s="715"/>
      <c r="T407" s="592">
        <f t="shared" si="41"/>
        <v>15300</v>
      </c>
      <c r="U407" s="593">
        <f t="shared" si="42"/>
        <v>18972</v>
      </c>
      <c r="V407" s="593">
        <f t="shared" si="43"/>
        <v>18411</v>
      </c>
      <c r="W407" s="593">
        <f t="shared" si="44"/>
        <v>17799</v>
      </c>
      <c r="X407" s="594">
        <f t="shared" si="45"/>
        <v>17289</v>
      </c>
      <c r="Y407" s="526"/>
      <c r="Z407" s="592">
        <f t="shared" si="46"/>
        <v>10863</v>
      </c>
      <c r="AA407" s="593">
        <f t="shared" si="46"/>
        <v>12342</v>
      </c>
      <c r="AB407" s="593">
        <f t="shared" si="46"/>
        <v>13821</v>
      </c>
      <c r="AC407" s="593">
        <f t="shared" si="46"/>
        <v>17799</v>
      </c>
      <c r="AD407" s="594">
        <f t="shared" si="46"/>
        <v>17289</v>
      </c>
      <c r="AE407" s="526"/>
      <c r="AF407" s="592">
        <f t="shared" si="47"/>
        <v>4437</v>
      </c>
      <c r="AG407" s="593">
        <f t="shared" si="47"/>
        <v>6630</v>
      </c>
      <c r="AH407" s="593">
        <f t="shared" si="47"/>
        <v>4590</v>
      </c>
      <c r="AI407" s="593">
        <f t="shared" si="47"/>
        <v>0</v>
      </c>
      <c r="AJ407" s="594">
        <f t="shared" si="47"/>
        <v>0</v>
      </c>
      <c r="AQ407" s="712"/>
    </row>
    <row r="408" spans="1:45" ht="34">
      <c r="K408" s="712"/>
      <c r="L408" s="502"/>
      <c r="M408" s="502"/>
      <c r="N408" s="431"/>
      <c r="O408" s="714" t="s">
        <v>1809</v>
      </c>
      <c r="P408" s="715"/>
      <c r="Q408" s="715"/>
      <c r="R408" s="715"/>
      <c r="S408" s="715"/>
      <c r="T408" s="592">
        <f t="shared" si="41"/>
        <v>7651</v>
      </c>
      <c r="U408" s="593">
        <f t="shared" si="42"/>
        <v>9487</v>
      </c>
      <c r="V408" s="593">
        <f t="shared" si="43"/>
        <v>9207</v>
      </c>
      <c r="W408" s="593">
        <f t="shared" si="44"/>
        <v>8900</v>
      </c>
      <c r="X408" s="594">
        <f t="shared" si="45"/>
        <v>8645</v>
      </c>
      <c r="Y408" s="526"/>
      <c r="Z408" s="592">
        <f t="shared" si="46"/>
        <v>5432</v>
      </c>
      <c r="AA408" s="593">
        <f t="shared" si="46"/>
        <v>6172</v>
      </c>
      <c r="AB408" s="593">
        <f t="shared" si="46"/>
        <v>6911</v>
      </c>
      <c r="AC408" s="593">
        <f t="shared" si="46"/>
        <v>8900</v>
      </c>
      <c r="AD408" s="594">
        <f t="shared" si="46"/>
        <v>8645</v>
      </c>
      <c r="AE408" s="526"/>
      <c r="AF408" s="592">
        <f t="shared" si="47"/>
        <v>2219</v>
      </c>
      <c r="AG408" s="593">
        <f t="shared" si="47"/>
        <v>3315</v>
      </c>
      <c r="AH408" s="593">
        <f t="shared" si="47"/>
        <v>2296</v>
      </c>
      <c r="AI408" s="593">
        <f t="shared" si="47"/>
        <v>0</v>
      </c>
      <c r="AJ408" s="594">
        <f t="shared" si="47"/>
        <v>0</v>
      </c>
      <c r="AQ408" s="712"/>
    </row>
    <row r="409" spans="1:45" ht="21">
      <c r="K409" s="712"/>
      <c r="L409" s="502"/>
      <c r="M409" s="502"/>
      <c r="N409" s="431"/>
      <c r="O409" s="714" t="s">
        <v>464</v>
      </c>
      <c r="P409" s="715"/>
      <c r="Q409" s="715"/>
      <c r="R409" s="715"/>
      <c r="S409" s="715"/>
      <c r="T409" s="592">
        <f t="shared" si="41"/>
        <v>80392</v>
      </c>
      <c r="U409" s="593">
        <f t="shared" si="42"/>
        <v>100044</v>
      </c>
      <c r="V409" s="593">
        <f t="shared" si="43"/>
        <v>96666</v>
      </c>
      <c r="W409" s="593">
        <f t="shared" si="44"/>
        <v>93643</v>
      </c>
      <c r="X409" s="594">
        <f t="shared" si="45"/>
        <v>91085</v>
      </c>
      <c r="Y409" s="526"/>
      <c r="Z409" s="592">
        <f>SUMIF($O$354:$O$397,$O409,Z$354:Z$397)</f>
        <v>57229</v>
      </c>
      <c r="AA409" s="593">
        <f t="shared" si="46"/>
        <v>64880</v>
      </c>
      <c r="AB409" s="593">
        <f t="shared" si="46"/>
        <v>72531</v>
      </c>
      <c r="AC409" s="593">
        <f t="shared" si="46"/>
        <v>93643</v>
      </c>
      <c r="AD409" s="594">
        <f t="shared" si="46"/>
        <v>91085</v>
      </c>
      <c r="AE409" s="526"/>
      <c r="AF409" s="592">
        <f t="shared" si="47"/>
        <v>23163</v>
      </c>
      <c r="AG409" s="593">
        <f t="shared" si="47"/>
        <v>35164</v>
      </c>
      <c r="AH409" s="593">
        <f t="shared" si="47"/>
        <v>24135</v>
      </c>
      <c r="AI409" s="593">
        <f t="shared" si="47"/>
        <v>0</v>
      </c>
      <c r="AJ409" s="594">
        <f t="shared" si="47"/>
        <v>0</v>
      </c>
      <c r="AQ409" s="712"/>
    </row>
    <row r="410" spans="1:45" ht="21">
      <c r="K410" s="712"/>
      <c r="L410" s="502"/>
      <c r="M410" s="502"/>
      <c r="N410" s="431"/>
      <c r="O410" s="714" t="s">
        <v>465</v>
      </c>
      <c r="P410" s="715"/>
      <c r="Q410" s="715"/>
      <c r="R410" s="715"/>
      <c r="S410" s="715"/>
      <c r="T410" s="592">
        <f t="shared" si="41"/>
        <v>148136</v>
      </c>
      <c r="U410" s="593">
        <f t="shared" si="42"/>
        <v>184039</v>
      </c>
      <c r="V410" s="593">
        <f t="shared" si="43"/>
        <v>178215</v>
      </c>
      <c r="W410" s="593">
        <f t="shared" si="44"/>
        <v>172482</v>
      </c>
      <c r="X410" s="594">
        <f t="shared" si="45"/>
        <v>167647</v>
      </c>
      <c r="Y410" s="526"/>
      <c r="Z410" s="592">
        <f t="shared" si="46"/>
        <v>105316</v>
      </c>
      <c r="AA410" s="593">
        <f t="shared" si="46"/>
        <v>119535</v>
      </c>
      <c r="AB410" s="593">
        <f t="shared" si="46"/>
        <v>133753</v>
      </c>
      <c r="AC410" s="593">
        <f t="shared" si="46"/>
        <v>172482</v>
      </c>
      <c r="AD410" s="594">
        <f t="shared" si="46"/>
        <v>167647</v>
      </c>
      <c r="AE410" s="526"/>
      <c r="AF410" s="592">
        <f t="shared" si="47"/>
        <v>42820</v>
      </c>
      <c r="AG410" s="593">
        <f t="shared" si="47"/>
        <v>64504</v>
      </c>
      <c r="AH410" s="593">
        <f t="shared" si="47"/>
        <v>44462</v>
      </c>
      <c r="AI410" s="593">
        <f t="shared" si="47"/>
        <v>0</v>
      </c>
      <c r="AJ410" s="594">
        <f t="shared" si="47"/>
        <v>0</v>
      </c>
      <c r="AQ410" s="712"/>
    </row>
    <row r="411" spans="1:45" ht="21">
      <c r="K411" s="712"/>
      <c r="L411" s="502"/>
      <c r="M411" s="502"/>
      <c r="N411" s="431"/>
      <c r="O411" s="714" t="s">
        <v>466</v>
      </c>
      <c r="P411" s="715"/>
      <c r="Q411" s="715"/>
      <c r="R411" s="715"/>
      <c r="S411" s="715"/>
      <c r="T411" s="592">
        <f t="shared" si="41"/>
        <v>401029</v>
      </c>
      <c r="U411" s="593">
        <f t="shared" si="42"/>
        <v>497725</v>
      </c>
      <c r="V411" s="593">
        <f t="shared" si="43"/>
        <v>482318</v>
      </c>
      <c r="W411" s="593">
        <f t="shared" si="44"/>
        <v>466497</v>
      </c>
      <c r="X411" s="594">
        <f t="shared" si="45"/>
        <v>453370</v>
      </c>
      <c r="Y411" s="526"/>
      <c r="Z411" s="592">
        <f t="shared" si="46"/>
        <v>284963</v>
      </c>
      <c r="AA411" s="593">
        <f t="shared" si="46"/>
        <v>323489</v>
      </c>
      <c r="AB411" s="593">
        <f t="shared" si="46"/>
        <v>362014</v>
      </c>
      <c r="AC411" s="593">
        <f t="shared" si="46"/>
        <v>466497</v>
      </c>
      <c r="AD411" s="594">
        <f t="shared" si="46"/>
        <v>453370</v>
      </c>
      <c r="AE411" s="526"/>
      <c r="AF411" s="592">
        <f t="shared" si="47"/>
        <v>116066</v>
      </c>
      <c r="AG411" s="593">
        <f t="shared" si="47"/>
        <v>174236</v>
      </c>
      <c r="AH411" s="593">
        <f t="shared" si="47"/>
        <v>120304</v>
      </c>
      <c r="AI411" s="593">
        <f t="shared" si="47"/>
        <v>0</v>
      </c>
      <c r="AJ411" s="594">
        <f t="shared" si="47"/>
        <v>0</v>
      </c>
      <c r="AQ411" s="712"/>
    </row>
    <row r="412" spans="1:45" ht="21">
      <c r="K412" s="712"/>
      <c r="L412" s="502"/>
      <c r="M412" s="502"/>
      <c r="N412" s="431"/>
      <c r="O412" s="714" t="s">
        <v>467</v>
      </c>
      <c r="P412" s="715"/>
      <c r="Q412" s="715"/>
      <c r="R412" s="715"/>
      <c r="S412" s="715"/>
      <c r="T412" s="592">
        <f t="shared" si="41"/>
        <v>75277</v>
      </c>
      <c r="U412" s="593">
        <f t="shared" si="42"/>
        <v>93881</v>
      </c>
      <c r="V412" s="593">
        <f t="shared" si="43"/>
        <v>90699</v>
      </c>
      <c r="W412" s="593">
        <f t="shared" si="44"/>
        <v>88006</v>
      </c>
      <c r="X412" s="594">
        <f t="shared" si="45"/>
        <v>85558</v>
      </c>
      <c r="Y412" s="526"/>
      <c r="Z412" s="592">
        <f t="shared" si="46"/>
        <v>53612</v>
      </c>
      <c r="AA412" s="593">
        <f t="shared" si="46"/>
        <v>60833</v>
      </c>
      <c r="AB412" s="593">
        <f t="shared" si="46"/>
        <v>68055</v>
      </c>
      <c r="AC412" s="593">
        <f t="shared" si="46"/>
        <v>88006</v>
      </c>
      <c r="AD412" s="594">
        <f t="shared" si="46"/>
        <v>85558</v>
      </c>
      <c r="AE412" s="526"/>
      <c r="AF412" s="592">
        <f t="shared" si="47"/>
        <v>21665</v>
      </c>
      <c r="AG412" s="593">
        <f t="shared" si="47"/>
        <v>33048</v>
      </c>
      <c r="AH412" s="593">
        <f t="shared" si="47"/>
        <v>22644</v>
      </c>
      <c r="AI412" s="593">
        <f t="shared" si="47"/>
        <v>0</v>
      </c>
      <c r="AJ412" s="594">
        <f t="shared" si="47"/>
        <v>0</v>
      </c>
      <c r="AQ412" s="712"/>
    </row>
    <row r="413" spans="1:45" ht="21">
      <c r="K413" s="712"/>
      <c r="L413" s="502"/>
      <c r="M413" s="502"/>
      <c r="N413" s="431"/>
      <c r="O413" s="714" t="s">
        <v>313</v>
      </c>
      <c r="P413" s="715"/>
      <c r="Q413" s="715"/>
      <c r="R413" s="715"/>
      <c r="S413" s="715"/>
      <c r="T413" s="592">
        <f t="shared" si="41"/>
        <v>134120</v>
      </c>
      <c r="U413" s="593">
        <f t="shared" si="42"/>
        <v>166249</v>
      </c>
      <c r="V413" s="593">
        <f t="shared" si="43"/>
        <v>161247</v>
      </c>
      <c r="W413" s="593">
        <f t="shared" si="44"/>
        <v>155830</v>
      </c>
      <c r="X413" s="594">
        <f t="shared" si="45"/>
        <v>151425</v>
      </c>
      <c r="Y413" s="526"/>
      <c r="Z413" s="592">
        <f t="shared" si="46"/>
        <v>95242</v>
      </c>
      <c r="AA413" s="593">
        <f t="shared" si="46"/>
        <v>108140</v>
      </c>
      <c r="AB413" s="593">
        <f t="shared" si="46"/>
        <v>121038</v>
      </c>
      <c r="AC413" s="593">
        <f t="shared" si="46"/>
        <v>155830</v>
      </c>
      <c r="AD413" s="594">
        <f t="shared" si="46"/>
        <v>151425</v>
      </c>
      <c r="AE413" s="526"/>
      <c r="AF413" s="592">
        <f t="shared" si="47"/>
        <v>38878</v>
      </c>
      <c r="AG413" s="593">
        <f t="shared" si="47"/>
        <v>58109</v>
      </c>
      <c r="AH413" s="593">
        <f t="shared" si="47"/>
        <v>40209</v>
      </c>
      <c r="AI413" s="593">
        <f t="shared" si="47"/>
        <v>0</v>
      </c>
      <c r="AJ413" s="594">
        <f t="shared" si="47"/>
        <v>0</v>
      </c>
      <c r="AQ413" s="712"/>
    </row>
    <row r="414" spans="1:45" ht="21">
      <c r="K414" s="712"/>
      <c r="L414" s="502"/>
      <c r="M414" s="502"/>
      <c r="N414" s="431"/>
      <c r="O414" s="714" t="s">
        <v>468</v>
      </c>
      <c r="P414" s="715"/>
      <c r="Q414" s="715"/>
      <c r="R414" s="715"/>
      <c r="S414" s="715"/>
      <c r="T414" s="592">
        <f t="shared" si="41"/>
        <v>67060</v>
      </c>
      <c r="U414" s="593">
        <f t="shared" si="42"/>
        <v>83125</v>
      </c>
      <c r="V414" s="593">
        <f t="shared" si="43"/>
        <v>80624</v>
      </c>
      <c r="W414" s="593">
        <f t="shared" si="44"/>
        <v>77915</v>
      </c>
      <c r="X414" s="594">
        <f t="shared" si="45"/>
        <v>75712</v>
      </c>
      <c r="Y414" s="526"/>
      <c r="Z414" s="592">
        <f t="shared" si="46"/>
        <v>47622</v>
      </c>
      <c r="AA414" s="593">
        <f t="shared" si="46"/>
        <v>54070</v>
      </c>
      <c r="AB414" s="593">
        <f t="shared" si="46"/>
        <v>60520</v>
      </c>
      <c r="AC414" s="593">
        <f t="shared" si="46"/>
        <v>77915</v>
      </c>
      <c r="AD414" s="594">
        <f t="shared" si="46"/>
        <v>75712</v>
      </c>
      <c r="AE414" s="526"/>
      <c r="AF414" s="592">
        <f t="shared" si="47"/>
        <v>19438</v>
      </c>
      <c r="AG414" s="593">
        <f t="shared" si="47"/>
        <v>29055</v>
      </c>
      <c r="AH414" s="593">
        <f t="shared" si="47"/>
        <v>20104</v>
      </c>
      <c r="AI414" s="593">
        <f t="shared" si="47"/>
        <v>0</v>
      </c>
      <c r="AJ414" s="594">
        <f t="shared" si="47"/>
        <v>0</v>
      </c>
      <c r="AQ414" s="712"/>
    </row>
    <row r="415" spans="1:45" ht="21">
      <c r="K415" s="712"/>
      <c r="L415" s="502"/>
      <c r="M415" s="502"/>
      <c r="N415" s="431"/>
      <c r="O415" s="714" t="s">
        <v>469</v>
      </c>
      <c r="P415" s="715"/>
      <c r="Q415" s="715"/>
      <c r="R415" s="715"/>
      <c r="S415" s="715"/>
      <c r="T415" s="592">
        <f t="shared" si="41"/>
        <v>592538</v>
      </c>
      <c r="U415" s="593">
        <f t="shared" si="42"/>
        <v>736155</v>
      </c>
      <c r="V415" s="593">
        <f t="shared" si="43"/>
        <v>712859</v>
      </c>
      <c r="W415" s="593">
        <f t="shared" si="44"/>
        <v>689928</v>
      </c>
      <c r="X415" s="594">
        <f t="shared" si="45"/>
        <v>670589</v>
      </c>
      <c r="Y415" s="526"/>
      <c r="Z415" s="592">
        <f t="shared" si="46"/>
        <v>421260</v>
      </c>
      <c r="AA415" s="593">
        <f t="shared" si="46"/>
        <v>478135</v>
      </c>
      <c r="AB415" s="593">
        <f t="shared" si="46"/>
        <v>535011</v>
      </c>
      <c r="AC415" s="593">
        <f t="shared" si="46"/>
        <v>689928</v>
      </c>
      <c r="AD415" s="594">
        <f t="shared" si="46"/>
        <v>670589</v>
      </c>
      <c r="AE415" s="526"/>
      <c r="AF415" s="592">
        <f t="shared" si="47"/>
        <v>171278</v>
      </c>
      <c r="AG415" s="593">
        <f t="shared" si="47"/>
        <v>258020</v>
      </c>
      <c r="AH415" s="593">
        <f t="shared" si="47"/>
        <v>177848</v>
      </c>
      <c r="AI415" s="593">
        <f t="shared" si="47"/>
        <v>0</v>
      </c>
      <c r="AJ415" s="594">
        <f t="shared" si="47"/>
        <v>0</v>
      </c>
      <c r="AQ415" s="712"/>
    </row>
    <row r="416" spans="1:45" ht="21">
      <c r="K416" s="712"/>
      <c r="L416" s="502"/>
      <c r="M416" s="502"/>
      <c r="N416" s="431"/>
      <c r="O416" s="714" t="s">
        <v>470</v>
      </c>
      <c r="P416" s="715"/>
      <c r="Q416" s="715"/>
      <c r="R416" s="715"/>
      <c r="S416" s="715"/>
      <c r="T416" s="592">
        <f t="shared" si="41"/>
        <v>177940</v>
      </c>
      <c r="U416" s="593">
        <f t="shared" si="42"/>
        <v>220984</v>
      </c>
      <c r="V416" s="593">
        <f t="shared" si="43"/>
        <v>214049</v>
      </c>
      <c r="W416" s="593">
        <f t="shared" si="44"/>
        <v>207111</v>
      </c>
      <c r="X416" s="594">
        <f t="shared" si="45"/>
        <v>201297</v>
      </c>
      <c r="Y416" s="526"/>
      <c r="Z416" s="592">
        <f t="shared" si="46"/>
        <v>126481</v>
      </c>
      <c r="AA416" s="593">
        <f t="shared" si="46"/>
        <v>143566</v>
      </c>
      <c r="AB416" s="593">
        <f t="shared" si="46"/>
        <v>160651</v>
      </c>
      <c r="AC416" s="593">
        <f t="shared" si="46"/>
        <v>207111</v>
      </c>
      <c r="AD416" s="594">
        <f t="shared" si="46"/>
        <v>201297</v>
      </c>
      <c r="AE416" s="526"/>
      <c r="AF416" s="592">
        <f t="shared" si="47"/>
        <v>51459</v>
      </c>
      <c r="AG416" s="593">
        <f t="shared" si="47"/>
        <v>77418</v>
      </c>
      <c r="AH416" s="593">
        <f t="shared" si="47"/>
        <v>53398</v>
      </c>
      <c r="AI416" s="593">
        <f t="shared" si="47"/>
        <v>0</v>
      </c>
      <c r="AJ416" s="594">
        <f t="shared" si="47"/>
        <v>0</v>
      </c>
      <c r="AQ416" s="712"/>
    </row>
    <row r="417" spans="11:43" ht="21">
      <c r="K417" s="712"/>
      <c r="L417" s="502"/>
      <c r="M417" s="502"/>
      <c r="N417" s="431"/>
      <c r="O417" s="714" t="s">
        <v>471</v>
      </c>
      <c r="P417" s="715"/>
      <c r="Q417" s="715"/>
      <c r="R417" s="715"/>
      <c r="S417" s="715"/>
      <c r="T417" s="592">
        <f t="shared" si="41"/>
        <v>29804</v>
      </c>
      <c r="U417" s="593">
        <f t="shared" si="42"/>
        <v>36945</v>
      </c>
      <c r="V417" s="593">
        <f t="shared" si="43"/>
        <v>35834</v>
      </c>
      <c r="W417" s="593">
        <f t="shared" si="44"/>
        <v>34629</v>
      </c>
      <c r="X417" s="594">
        <f t="shared" si="45"/>
        <v>33650</v>
      </c>
      <c r="Y417" s="526"/>
      <c r="Z417" s="592">
        <f t="shared" si="46"/>
        <v>21165</v>
      </c>
      <c r="AA417" s="593">
        <f t="shared" si="46"/>
        <v>24031</v>
      </c>
      <c r="AB417" s="593">
        <f t="shared" si="46"/>
        <v>26898</v>
      </c>
      <c r="AC417" s="593">
        <f t="shared" si="46"/>
        <v>34629</v>
      </c>
      <c r="AD417" s="594">
        <f t="shared" si="46"/>
        <v>33650</v>
      </c>
      <c r="AE417" s="526"/>
      <c r="AF417" s="592">
        <f t="shared" si="47"/>
        <v>8639</v>
      </c>
      <c r="AG417" s="593">
        <f t="shared" si="47"/>
        <v>12914</v>
      </c>
      <c r="AH417" s="593">
        <f t="shared" si="47"/>
        <v>8936</v>
      </c>
      <c r="AI417" s="593">
        <f t="shared" si="47"/>
        <v>0</v>
      </c>
      <c r="AJ417" s="594">
        <f t="shared" si="47"/>
        <v>0</v>
      </c>
      <c r="AQ417" s="712"/>
    </row>
    <row r="418" spans="11:43" ht="21">
      <c r="K418" s="712"/>
      <c r="L418" s="502"/>
      <c r="M418" s="502"/>
      <c r="N418" s="431"/>
      <c r="O418" s="714" t="s">
        <v>472</v>
      </c>
      <c r="P418" s="715"/>
      <c r="Q418" s="715"/>
      <c r="R418" s="715"/>
      <c r="S418" s="715"/>
      <c r="T418" s="592">
        <f t="shared" si="41"/>
        <v>29804</v>
      </c>
      <c r="U418" s="593">
        <f t="shared" si="42"/>
        <v>36945</v>
      </c>
      <c r="V418" s="593">
        <f t="shared" si="43"/>
        <v>35834</v>
      </c>
      <c r="W418" s="593">
        <f t="shared" si="44"/>
        <v>34629</v>
      </c>
      <c r="X418" s="594">
        <f t="shared" si="45"/>
        <v>33650</v>
      </c>
      <c r="Y418" s="526"/>
      <c r="Z418" s="592">
        <f t="shared" si="46"/>
        <v>21165</v>
      </c>
      <c r="AA418" s="593">
        <f t="shared" si="46"/>
        <v>24031</v>
      </c>
      <c r="AB418" s="593">
        <f t="shared" si="46"/>
        <v>26898</v>
      </c>
      <c r="AC418" s="593">
        <f t="shared" si="46"/>
        <v>34629</v>
      </c>
      <c r="AD418" s="594">
        <f t="shared" si="46"/>
        <v>33650</v>
      </c>
      <c r="AE418" s="526"/>
      <c r="AF418" s="592">
        <f t="shared" si="47"/>
        <v>8639</v>
      </c>
      <c r="AG418" s="593">
        <f t="shared" si="47"/>
        <v>12914</v>
      </c>
      <c r="AH418" s="593">
        <f t="shared" si="47"/>
        <v>8936</v>
      </c>
      <c r="AI418" s="593">
        <f t="shared" si="47"/>
        <v>0</v>
      </c>
      <c r="AJ418" s="594">
        <f t="shared" si="47"/>
        <v>0</v>
      </c>
      <c r="AQ418" s="712"/>
    </row>
    <row r="419" spans="11:43" ht="21">
      <c r="K419" s="712"/>
      <c r="L419" s="502"/>
      <c r="M419" s="502"/>
      <c r="N419" s="431"/>
      <c r="O419" s="714" t="s">
        <v>314</v>
      </c>
      <c r="P419" s="715"/>
      <c r="Q419" s="715"/>
      <c r="R419" s="715"/>
      <c r="S419" s="715"/>
      <c r="T419" s="592">
        <f t="shared" si="41"/>
        <v>149022</v>
      </c>
      <c r="U419" s="593">
        <f t="shared" si="42"/>
        <v>184722</v>
      </c>
      <c r="V419" s="593">
        <f t="shared" si="43"/>
        <v>179163</v>
      </c>
      <c r="W419" s="593">
        <f t="shared" si="44"/>
        <v>173145</v>
      </c>
      <c r="X419" s="594">
        <f t="shared" si="45"/>
        <v>168249</v>
      </c>
      <c r="Y419" s="526"/>
      <c r="Z419" s="592">
        <f t="shared" si="46"/>
        <v>105825</v>
      </c>
      <c r="AA419" s="593">
        <f t="shared" si="46"/>
        <v>120156</v>
      </c>
      <c r="AB419" s="593">
        <f t="shared" si="46"/>
        <v>134487</v>
      </c>
      <c r="AC419" s="593">
        <f t="shared" si="46"/>
        <v>173145</v>
      </c>
      <c r="AD419" s="594">
        <f t="shared" si="46"/>
        <v>168249</v>
      </c>
      <c r="AE419" s="526"/>
      <c r="AF419" s="592">
        <f t="shared" si="47"/>
        <v>43197</v>
      </c>
      <c r="AG419" s="593">
        <f t="shared" si="47"/>
        <v>64566</v>
      </c>
      <c r="AH419" s="593">
        <f t="shared" si="47"/>
        <v>44676</v>
      </c>
      <c r="AI419" s="593">
        <f t="shared" si="47"/>
        <v>0</v>
      </c>
      <c r="AJ419" s="594">
        <f t="shared" si="47"/>
        <v>0</v>
      </c>
      <c r="AQ419" s="712"/>
    </row>
    <row r="420" spans="11:43" ht="22" thickBot="1">
      <c r="K420" s="712"/>
      <c r="L420" s="502"/>
      <c r="M420" s="502"/>
      <c r="O420" s="595"/>
      <c r="P420" s="596"/>
      <c r="Q420" s="596"/>
      <c r="R420" s="596"/>
      <c r="S420" s="596"/>
      <c r="T420" s="597">
        <f t="shared" si="41"/>
        <v>0</v>
      </c>
      <c r="U420" s="598">
        <f t="shared" si="42"/>
        <v>0</v>
      </c>
      <c r="V420" s="598">
        <f t="shared" si="43"/>
        <v>0</v>
      </c>
      <c r="W420" s="598">
        <f t="shared" si="44"/>
        <v>0</v>
      </c>
      <c r="X420" s="599">
        <f t="shared" si="45"/>
        <v>0</v>
      </c>
      <c r="Y420" s="526"/>
      <c r="Z420" s="597">
        <f t="shared" si="46"/>
        <v>0</v>
      </c>
      <c r="AA420" s="598">
        <f t="shared" si="46"/>
        <v>0</v>
      </c>
      <c r="AB420" s="598">
        <f t="shared" si="46"/>
        <v>0</v>
      </c>
      <c r="AC420" s="598">
        <f t="shared" si="46"/>
        <v>0</v>
      </c>
      <c r="AD420" s="599">
        <f t="shared" si="46"/>
        <v>0</v>
      </c>
      <c r="AE420" s="526"/>
      <c r="AF420" s="597">
        <f t="shared" si="47"/>
        <v>0</v>
      </c>
      <c r="AG420" s="598">
        <f t="shared" si="47"/>
        <v>0</v>
      </c>
      <c r="AH420" s="598">
        <f t="shared" si="47"/>
        <v>0</v>
      </c>
      <c r="AI420" s="598">
        <f t="shared" si="47"/>
        <v>0</v>
      </c>
      <c r="AJ420" s="599">
        <f t="shared" si="47"/>
        <v>0</v>
      </c>
      <c r="AQ420" s="712"/>
    </row>
    <row r="421" spans="11:43" ht="21">
      <c r="K421" s="712"/>
      <c r="L421" s="502"/>
      <c r="M421" s="502"/>
      <c r="O421" s="526"/>
      <c r="P421" s="526"/>
      <c r="Q421" s="526"/>
      <c r="R421" s="526"/>
      <c r="S421" s="526"/>
      <c r="T421" s="526"/>
      <c r="U421" s="526"/>
      <c r="V421" s="526"/>
      <c r="W421" s="526"/>
      <c r="X421" s="526"/>
      <c r="Y421" s="526"/>
      <c r="Z421" s="526"/>
      <c r="AA421" s="526"/>
      <c r="AB421" s="526"/>
      <c r="AC421" s="526"/>
      <c r="AD421" s="684"/>
      <c r="AE421" s="526"/>
      <c r="AF421" s="526"/>
      <c r="AG421" s="526"/>
      <c r="AH421" s="526"/>
      <c r="AI421" s="526"/>
      <c r="AJ421" s="526"/>
      <c r="AQ421" s="712"/>
    </row>
    <row r="422" spans="11:43" ht="22" thickBot="1">
      <c r="K422" s="712"/>
      <c r="L422" s="502"/>
      <c r="M422" s="502"/>
      <c r="O422" s="526"/>
      <c r="P422" s="526"/>
      <c r="Q422" s="526"/>
      <c r="R422" s="526"/>
      <c r="S422"/>
      <c r="T422"/>
      <c r="U422"/>
      <c r="V422"/>
      <c r="W422"/>
      <c r="X422"/>
      <c r="Y422" s="526" t="s">
        <v>332</v>
      </c>
      <c r="Z422" s="526"/>
      <c r="AA422" s="526"/>
      <c r="AB422" s="526"/>
      <c r="AC422" s="526"/>
      <c r="AD422" s="526"/>
      <c r="AE422" s="526" t="s">
        <v>483</v>
      </c>
      <c r="AF422" s="526"/>
      <c r="AG422" s="526"/>
      <c r="AH422" s="526"/>
      <c r="AI422" s="526"/>
      <c r="AJ422" s="526"/>
      <c r="AQ422" s="712"/>
    </row>
    <row r="423" spans="11:43" ht="22" thickBot="1">
      <c r="K423" s="712"/>
      <c r="L423" s="502"/>
      <c r="M423" s="502"/>
      <c r="O423" s="526"/>
      <c r="P423" s="526"/>
      <c r="Q423" s="526"/>
      <c r="R423" s="526"/>
      <c r="S423"/>
      <c r="T423"/>
      <c r="U423"/>
      <c r="V423"/>
      <c r="W423"/>
      <c r="X423"/>
      <c r="Y423" s="526"/>
      <c r="Z423" s="584">
        <v>2021</v>
      </c>
      <c r="AA423" s="585">
        <v>2022</v>
      </c>
      <c r="AB423" s="585">
        <v>2023</v>
      </c>
      <c r="AC423" s="585">
        <v>2024</v>
      </c>
      <c r="AD423" s="586">
        <v>2025</v>
      </c>
      <c r="AE423" s="526"/>
      <c r="AF423" s="584">
        <v>2021</v>
      </c>
      <c r="AG423" s="585">
        <v>2022</v>
      </c>
      <c r="AH423" s="585">
        <v>2023</v>
      </c>
      <c r="AI423" s="585">
        <v>2024</v>
      </c>
      <c r="AJ423" s="586">
        <v>2025</v>
      </c>
      <c r="AQ423" s="712"/>
    </row>
    <row r="424" spans="11:43" ht="21">
      <c r="K424" s="712"/>
      <c r="L424" s="502"/>
      <c r="M424" s="502"/>
      <c r="O424" s="716" t="s">
        <v>463</v>
      </c>
      <c r="P424" s="528"/>
      <c r="Q424" s="528"/>
      <c r="R424" s="528"/>
      <c r="S424" s="528"/>
      <c r="T424" s="528"/>
      <c r="U424" s="528"/>
      <c r="V424" s="528"/>
      <c r="W424" s="528"/>
      <c r="X424" s="528"/>
      <c r="Y424" s="685">
        <f>IFERROR(VLOOKUP($O424,Preturi_medicamente!$D:$M,3,0),0)</f>
        <v>11.59</v>
      </c>
      <c r="Z424" s="600">
        <f t="shared" ref="Z424:AD438" si="48">ROUND(Z406*$Y424,2)</f>
        <v>50370.14</v>
      </c>
      <c r="AA424" s="601">
        <f t="shared" si="48"/>
        <v>57219.83</v>
      </c>
      <c r="AB424" s="601">
        <f t="shared" si="48"/>
        <v>64081.11</v>
      </c>
      <c r="AC424" s="601">
        <f t="shared" si="48"/>
        <v>82520.800000000003</v>
      </c>
      <c r="AD424" s="602">
        <f t="shared" si="48"/>
        <v>80156.44</v>
      </c>
      <c r="AE424" s="686">
        <f>IFERROR(VLOOKUP($O424,Preturi_medicamente!$D:$M,10,0),0)</f>
        <v>0.68300000000000005</v>
      </c>
      <c r="AF424" s="600">
        <f t="shared" ref="AF424:AJ438" si="49">ROUND(AF406*$AE424,2)</f>
        <v>1212.33</v>
      </c>
      <c r="AG424" s="601">
        <f t="shared" si="49"/>
        <v>1811.32</v>
      </c>
      <c r="AH424" s="601">
        <f t="shared" si="49"/>
        <v>1253.99</v>
      </c>
      <c r="AI424" s="601">
        <f t="shared" si="49"/>
        <v>0</v>
      </c>
      <c r="AJ424" s="602">
        <f t="shared" si="49"/>
        <v>0</v>
      </c>
      <c r="AQ424" s="712"/>
    </row>
    <row r="425" spans="11:43" ht="21">
      <c r="K425" s="712"/>
      <c r="L425" s="502"/>
      <c r="M425" s="502"/>
      <c r="O425" s="714" t="s">
        <v>1808</v>
      </c>
      <c r="P425" s="715"/>
      <c r="Q425" s="715"/>
      <c r="R425" s="715"/>
      <c r="S425" s="715"/>
      <c r="T425" s="715"/>
      <c r="U425" s="715"/>
      <c r="V425" s="715"/>
      <c r="W425" s="715"/>
      <c r="X425" s="715"/>
      <c r="Y425" s="685">
        <f>IFERROR(VLOOKUP($O425,Preturi_medicamente!$D:$M,3,0),0)</f>
        <v>85.29</v>
      </c>
      <c r="Z425" s="603">
        <f t="shared" si="48"/>
        <v>926505.27</v>
      </c>
      <c r="AA425" s="604">
        <f t="shared" si="48"/>
        <v>1052649.18</v>
      </c>
      <c r="AB425" s="604">
        <f t="shared" si="48"/>
        <v>1178793.0900000001</v>
      </c>
      <c r="AC425" s="604">
        <f t="shared" si="48"/>
        <v>1518076.71</v>
      </c>
      <c r="AD425" s="605">
        <f t="shared" si="48"/>
        <v>1474578.81</v>
      </c>
      <c r="AE425" s="686">
        <f>IFERROR(VLOOKUP($O425,Preturi_medicamente!$D:$M,10,0),0)</f>
        <v>3.05</v>
      </c>
      <c r="AF425" s="603">
        <f t="shared" si="49"/>
        <v>13532.85</v>
      </c>
      <c r="AG425" s="604">
        <f t="shared" si="49"/>
        <v>20221.5</v>
      </c>
      <c r="AH425" s="604">
        <f t="shared" si="49"/>
        <v>13999.5</v>
      </c>
      <c r="AI425" s="604">
        <f t="shared" si="49"/>
        <v>0</v>
      </c>
      <c r="AJ425" s="605">
        <f t="shared" si="49"/>
        <v>0</v>
      </c>
      <c r="AQ425" s="712"/>
    </row>
    <row r="426" spans="11:43" ht="34">
      <c r="K426" s="712"/>
      <c r="L426" s="502"/>
      <c r="M426" s="502"/>
      <c r="O426" s="714" t="s">
        <v>1809</v>
      </c>
      <c r="P426" s="715"/>
      <c r="Q426" s="715"/>
      <c r="R426" s="715"/>
      <c r="S426" s="715"/>
      <c r="T426" s="715"/>
      <c r="U426" s="715"/>
      <c r="V426" s="715"/>
      <c r="W426" s="715"/>
      <c r="X426" s="715"/>
      <c r="Y426" s="685">
        <f>IFERROR(VLOOKUP($O426,Preturi_medicamente!$D:$M,3,0),0)</f>
        <v>3.03</v>
      </c>
      <c r="Z426" s="603">
        <f t="shared" si="48"/>
        <v>16458.96</v>
      </c>
      <c r="AA426" s="604">
        <f t="shared" si="48"/>
        <v>18701.16</v>
      </c>
      <c r="AB426" s="604">
        <f t="shared" si="48"/>
        <v>20940.330000000002</v>
      </c>
      <c r="AC426" s="604">
        <f t="shared" si="48"/>
        <v>26967</v>
      </c>
      <c r="AD426" s="605">
        <f t="shared" si="48"/>
        <v>26194.35</v>
      </c>
      <c r="AE426" s="686">
        <f>IFERROR(VLOOKUP($O426,Preturi_medicamente!$D:$M,10,0),0)</f>
        <v>0.12</v>
      </c>
      <c r="AF426" s="603">
        <f t="shared" si="49"/>
        <v>266.27999999999997</v>
      </c>
      <c r="AG426" s="604">
        <f t="shared" si="49"/>
        <v>397.8</v>
      </c>
      <c r="AH426" s="604">
        <f t="shared" si="49"/>
        <v>275.52</v>
      </c>
      <c r="AI426" s="604">
        <f t="shared" si="49"/>
        <v>0</v>
      </c>
      <c r="AJ426" s="605">
        <f t="shared" si="49"/>
        <v>0</v>
      </c>
      <c r="AQ426" s="712"/>
    </row>
    <row r="427" spans="11:43" ht="21">
      <c r="K427" s="712"/>
      <c r="L427" s="502"/>
      <c r="M427" s="502"/>
      <c r="O427" s="714" t="s">
        <v>464</v>
      </c>
      <c r="P427" s="715"/>
      <c r="Q427" s="715"/>
      <c r="R427" s="715"/>
      <c r="S427" s="715"/>
      <c r="T427" s="715"/>
      <c r="U427" s="715"/>
      <c r="V427" s="715"/>
      <c r="W427" s="715"/>
      <c r="X427" s="715"/>
      <c r="Y427" s="685">
        <f>IFERROR(VLOOKUP($O427,Preturi_medicamente!$D:$M,3,0),0)</f>
        <v>37.42</v>
      </c>
      <c r="Z427" s="603">
        <f t="shared" si="48"/>
        <v>2141509.1800000002</v>
      </c>
      <c r="AA427" s="604">
        <f t="shared" si="48"/>
        <v>2427809.6</v>
      </c>
      <c r="AB427" s="604">
        <f t="shared" si="48"/>
        <v>2714110.02</v>
      </c>
      <c r="AC427" s="604">
        <f t="shared" si="48"/>
        <v>3504121.06</v>
      </c>
      <c r="AD427" s="605">
        <f t="shared" si="48"/>
        <v>3408400.7</v>
      </c>
      <c r="AE427" s="686">
        <f>IFERROR(VLOOKUP($O427,Preturi_medicamente!$D:$M,10,0),0)</f>
        <v>2.13</v>
      </c>
      <c r="AF427" s="603">
        <f t="shared" si="49"/>
        <v>49337.19</v>
      </c>
      <c r="AG427" s="604">
        <f t="shared" si="49"/>
        <v>74899.320000000007</v>
      </c>
      <c r="AH427" s="604">
        <f t="shared" si="49"/>
        <v>51407.55</v>
      </c>
      <c r="AI427" s="604">
        <f t="shared" si="49"/>
        <v>0</v>
      </c>
      <c r="AJ427" s="605">
        <f t="shared" si="49"/>
        <v>0</v>
      </c>
      <c r="AQ427" s="712"/>
    </row>
    <row r="428" spans="11:43" ht="21">
      <c r="K428" s="712"/>
      <c r="L428" s="502"/>
      <c r="M428" s="502"/>
      <c r="O428" s="714" t="s">
        <v>465</v>
      </c>
      <c r="P428" s="715"/>
      <c r="Q428" s="715"/>
      <c r="R428" s="715"/>
      <c r="S428" s="715"/>
      <c r="T428" s="715"/>
      <c r="U428" s="715"/>
      <c r="V428" s="715"/>
      <c r="W428" s="715"/>
      <c r="X428" s="715"/>
      <c r="Y428" s="685">
        <f>IFERROR(VLOOKUP($O428,Preturi_medicamente!$D:$M,3,0),0)</f>
        <v>25.81</v>
      </c>
      <c r="Z428" s="603">
        <f t="shared" si="48"/>
        <v>2718205.96</v>
      </c>
      <c r="AA428" s="604">
        <f t="shared" si="48"/>
        <v>3085198.35</v>
      </c>
      <c r="AB428" s="604">
        <f t="shared" si="48"/>
        <v>3452164.93</v>
      </c>
      <c r="AC428" s="604">
        <f t="shared" si="48"/>
        <v>4451760.42</v>
      </c>
      <c r="AD428" s="605">
        <f t="shared" si="48"/>
        <v>4326969.07</v>
      </c>
      <c r="AE428" s="686">
        <f>IFERROR(VLOOKUP($O428,Preturi_medicamente!$D:$M,10,0),0)</f>
        <v>0.5</v>
      </c>
      <c r="AF428" s="603">
        <f t="shared" si="49"/>
        <v>21410</v>
      </c>
      <c r="AG428" s="604">
        <f t="shared" si="49"/>
        <v>32252</v>
      </c>
      <c r="AH428" s="604">
        <f t="shared" si="49"/>
        <v>22231</v>
      </c>
      <c r="AI428" s="604">
        <f t="shared" si="49"/>
        <v>0</v>
      </c>
      <c r="AJ428" s="605">
        <f t="shared" si="49"/>
        <v>0</v>
      </c>
      <c r="AQ428" s="712"/>
    </row>
    <row r="429" spans="11:43" ht="21">
      <c r="K429" s="712"/>
      <c r="L429" s="502"/>
      <c r="M429" s="502"/>
      <c r="O429" s="714" t="s">
        <v>466</v>
      </c>
      <c r="P429" s="715"/>
      <c r="Q429" s="715"/>
      <c r="R429" s="715"/>
      <c r="S429" s="715"/>
      <c r="T429" s="715"/>
      <c r="U429" s="715"/>
      <c r="V429" s="715"/>
      <c r="W429" s="715"/>
      <c r="X429" s="715"/>
      <c r="Y429" s="685">
        <f>IFERROR(VLOOKUP($O429,Preturi_medicamente!$D:$M,3,0),0)</f>
        <v>5.55</v>
      </c>
      <c r="Z429" s="603">
        <f t="shared" si="48"/>
        <v>1581544.65</v>
      </c>
      <c r="AA429" s="604">
        <f t="shared" si="48"/>
        <v>1795363.95</v>
      </c>
      <c r="AB429" s="604">
        <f t="shared" si="48"/>
        <v>2009177.7</v>
      </c>
      <c r="AC429" s="604">
        <f t="shared" si="48"/>
        <v>2589058.35</v>
      </c>
      <c r="AD429" s="605">
        <f t="shared" si="48"/>
        <v>2516203.5</v>
      </c>
      <c r="AE429" s="686">
        <f>IFERROR(VLOOKUP($O429,Preturi_medicamente!$D:$M,10,0),0)</f>
        <v>0.25</v>
      </c>
      <c r="AF429" s="603">
        <f t="shared" si="49"/>
        <v>29016.5</v>
      </c>
      <c r="AG429" s="604">
        <f t="shared" si="49"/>
        <v>43559</v>
      </c>
      <c r="AH429" s="604">
        <f t="shared" si="49"/>
        <v>30076</v>
      </c>
      <c r="AI429" s="604">
        <f t="shared" si="49"/>
        <v>0</v>
      </c>
      <c r="AJ429" s="605">
        <f t="shared" si="49"/>
        <v>0</v>
      </c>
      <c r="AQ429" s="712"/>
    </row>
    <row r="430" spans="11:43" ht="21">
      <c r="K430" s="712"/>
      <c r="L430" s="502"/>
      <c r="M430" s="502"/>
      <c r="O430" s="714" t="s">
        <v>467</v>
      </c>
      <c r="P430" s="715"/>
      <c r="Q430" s="715"/>
      <c r="R430" s="715"/>
      <c r="S430" s="715"/>
      <c r="T430" s="715"/>
      <c r="U430" s="715"/>
      <c r="V430" s="715"/>
      <c r="W430" s="715"/>
      <c r="X430" s="715"/>
      <c r="Y430" s="685">
        <f>IFERROR(VLOOKUP($O430,Preturi_medicamente!$D:$M,3,0),0)</f>
        <v>2.5299999999999998</v>
      </c>
      <c r="Z430" s="603">
        <f t="shared" si="48"/>
        <v>135638.35999999999</v>
      </c>
      <c r="AA430" s="604">
        <f t="shared" si="48"/>
        <v>153907.49</v>
      </c>
      <c r="AB430" s="604">
        <f t="shared" si="48"/>
        <v>172179.15</v>
      </c>
      <c r="AC430" s="604">
        <f t="shared" si="48"/>
        <v>222655.18</v>
      </c>
      <c r="AD430" s="605">
        <f t="shared" si="48"/>
        <v>216461.74</v>
      </c>
      <c r="AE430" s="686">
        <f>IFERROR(VLOOKUP($O430,Preturi_medicamente!$D:$M,10,0),0)</f>
        <v>2.5299999999999998</v>
      </c>
      <c r="AF430" s="603">
        <f t="shared" si="49"/>
        <v>54812.45</v>
      </c>
      <c r="AG430" s="604">
        <f t="shared" si="49"/>
        <v>83611.44</v>
      </c>
      <c r="AH430" s="604">
        <f t="shared" si="49"/>
        <v>57289.32</v>
      </c>
      <c r="AI430" s="604">
        <f t="shared" si="49"/>
        <v>0</v>
      </c>
      <c r="AJ430" s="605">
        <f t="shared" si="49"/>
        <v>0</v>
      </c>
      <c r="AQ430" s="712"/>
    </row>
    <row r="431" spans="11:43" ht="21">
      <c r="K431" s="712"/>
      <c r="L431" s="502"/>
      <c r="M431" s="502"/>
      <c r="O431" s="714" t="s">
        <v>313</v>
      </c>
      <c r="P431" s="715"/>
      <c r="Q431" s="715"/>
      <c r="R431" s="715"/>
      <c r="S431" s="715"/>
      <c r="T431" s="715"/>
      <c r="U431" s="715"/>
      <c r="V431" s="715"/>
      <c r="W431" s="715"/>
      <c r="X431" s="715"/>
      <c r="Y431" s="685">
        <f>IFERROR(VLOOKUP($O431,Preturi_medicamente!$D:$M,3,0),0)</f>
        <v>1</v>
      </c>
      <c r="Z431" s="603">
        <f t="shared" si="48"/>
        <v>95242</v>
      </c>
      <c r="AA431" s="604">
        <f t="shared" si="48"/>
        <v>108140</v>
      </c>
      <c r="AB431" s="604">
        <f t="shared" si="48"/>
        <v>121038</v>
      </c>
      <c r="AC431" s="604">
        <f t="shared" si="48"/>
        <v>155830</v>
      </c>
      <c r="AD431" s="605">
        <f t="shared" si="48"/>
        <v>151425</v>
      </c>
      <c r="AE431" s="686">
        <f>IFERROR(VLOOKUP($O431,Preturi_medicamente!$D:$M,10,0),0)</f>
        <v>3.6999999999999998E-2</v>
      </c>
      <c r="AF431" s="603">
        <f t="shared" si="49"/>
        <v>1438.49</v>
      </c>
      <c r="AG431" s="604">
        <f t="shared" si="49"/>
        <v>2150.0300000000002</v>
      </c>
      <c r="AH431" s="604">
        <f t="shared" si="49"/>
        <v>1487.73</v>
      </c>
      <c r="AI431" s="604">
        <f t="shared" si="49"/>
        <v>0</v>
      </c>
      <c r="AJ431" s="605">
        <f t="shared" si="49"/>
        <v>0</v>
      </c>
      <c r="AQ431" s="712"/>
    </row>
    <row r="432" spans="11:43" ht="21">
      <c r="K432" s="712"/>
      <c r="L432" s="502"/>
      <c r="M432" s="502"/>
      <c r="O432" s="714" t="s">
        <v>468</v>
      </c>
      <c r="P432" s="715"/>
      <c r="Q432" s="715"/>
      <c r="R432" s="715"/>
      <c r="S432" s="715"/>
      <c r="T432" s="715"/>
      <c r="U432" s="715"/>
      <c r="V432" s="715"/>
      <c r="W432" s="715"/>
      <c r="X432" s="715"/>
      <c r="Y432" s="685">
        <f>IFERROR(VLOOKUP($O432,Preturi_medicamente!$D:$M,3,0),0)</f>
        <v>1.81</v>
      </c>
      <c r="Z432" s="603">
        <f t="shared" si="48"/>
        <v>86195.82</v>
      </c>
      <c r="AA432" s="604">
        <f t="shared" si="48"/>
        <v>97866.7</v>
      </c>
      <c r="AB432" s="604">
        <f t="shared" si="48"/>
        <v>109541.2</v>
      </c>
      <c r="AC432" s="604">
        <f t="shared" si="48"/>
        <v>141026.15</v>
      </c>
      <c r="AD432" s="605">
        <f t="shared" si="48"/>
        <v>137038.72</v>
      </c>
      <c r="AE432" s="686">
        <f>IFERROR(VLOOKUP($O432,Preturi_medicamente!$D:$M,10,0),0)</f>
        <v>6.7000000000000004E-2</v>
      </c>
      <c r="AF432" s="603">
        <f t="shared" si="49"/>
        <v>1302.3499999999999</v>
      </c>
      <c r="AG432" s="604">
        <f t="shared" si="49"/>
        <v>1946.69</v>
      </c>
      <c r="AH432" s="604">
        <f t="shared" si="49"/>
        <v>1346.97</v>
      </c>
      <c r="AI432" s="604">
        <f t="shared" si="49"/>
        <v>0</v>
      </c>
      <c r="AJ432" s="605">
        <f t="shared" si="49"/>
        <v>0</v>
      </c>
      <c r="AQ432" s="712"/>
    </row>
    <row r="433" spans="1:44" ht="21">
      <c r="K433" s="712"/>
      <c r="L433" s="502"/>
      <c r="M433" s="502"/>
      <c r="O433" s="714" t="s">
        <v>469</v>
      </c>
      <c r="P433" s="715"/>
      <c r="Q433" s="715"/>
      <c r="R433" s="715"/>
      <c r="S433" s="715"/>
      <c r="T433" s="715"/>
      <c r="U433" s="715"/>
      <c r="V433" s="715"/>
      <c r="W433" s="715"/>
      <c r="X433" s="715"/>
      <c r="Y433" s="685">
        <f>IFERROR(VLOOKUP($O433,Preturi_medicamente!$D:$M,3,0),0)</f>
        <v>0.71</v>
      </c>
      <c r="Z433" s="603">
        <f t="shared" si="48"/>
        <v>299094.59999999998</v>
      </c>
      <c r="AA433" s="604">
        <f t="shared" si="48"/>
        <v>339475.85</v>
      </c>
      <c r="AB433" s="604">
        <f t="shared" si="48"/>
        <v>379857.81</v>
      </c>
      <c r="AC433" s="604">
        <f t="shared" si="48"/>
        <v>489848.88</v>
      </c>
      <c r="AD433" s="605">
        <f t="shared" si="48"/>
        <v>476118.19</v>
      </c>
      <c r="AE433" s="686">
        <f>IFERROR(VLOOKUP($O433,Preturi_medicamente!$D:$M,10,0),0)</f>
        <v>2.6499999999999999E-2</v>
      </c>
      <c r="AF433" s="603">
        <f t="shared" si="49"/>
        <v>4538.87</v>
      </c>
      <c r="AG433" s="604">
        <f t="shared" si="49"/>
        <v>6837.53</v>
      </c>
      <c r="AH433" s="604">
        <f t="shared" si="49"/>
        <v>4712.97</v>
      </c>
      <c r="AI433" s="604">
        <f t="shared" si="49"/>
        <v>0</v>
      </c>
      <c r="AJ433" s="605">
        <f t="shared" si="49"/>
        <v>0</v>
      </c>
      <c r="AQ433" s="712"/>
    </row>
    <row r="434" spans="1:44" ht="21">
      <c r="K434" s="712"/>
      <c r="L434" s="502"/>
      <c r="M434" s="502"/>
      <c r="O434" s="714" t="s">
        <v>470</v>
      </c>
      <c r="P434" s="715"/>
      <c r="Q434" s="715"/>
      <c r="R434" s="715"/>
      <c r="S434" s="715"/>
      <c r="T434" s="715"/>
      <c r="U434" s="715"/>
      <c r="V434" s="715"/>
      <c r="W434" s="715"/>
      <c r="X434" s="715"/>
      <c r="Y434" s="685">
        <f>IFERROR(VLOOKUP($O434,Preturi_medicamente!$D:$M,3,0),0)</f>
        <v>1.38</v>
      </c>
      <c r="Z434" s="603">
        <f t="shared" si="48"/>
        <v>174543.78</v>
      </c>
      <c r="AA434" s="604">
        <f t="shared" si="48"/>
        <v>198121.08</v>
      </c>
      <c r="AB434" s="604">
        <f t="shared" si="48"/>
        <v>221698.38</v>
      </c>
      <c r="AC434" s="604">
        <f t="shared" si="48"/>
        <v>285813.18</v>
      </c>
      <c r="AD434" s="605">
        <f t="shared" si="48"/>
        <v>277789.86</v>
      </c>
      <c r="AE434" s="686">
        <f>IFERROR(VLOOKUP($O434,Preturi_medicamente!$D:$M,10,0),0)</f>
        <v>0.75</v>
      </c>
      <c r="AF434" s="603">
        <f t="shared" si="49"/>
        <v>38594.25</v>
      </c>
      <c r="AG434" s="604">
        <f t="shared" si="49"/>
        <v>58063.5</v>
      </c>
      <c r="AH434" s="604">
        <f t="shared" si="49"/>
        <v>40048.5</v>
      </c>
      <c r="AI434" s="604">
        <f t="shared" si="49"/>
        <v>0</v>
      </c>
      <c r="AJ434" s="605">
        <f t="shared" si="49"/>
        <v>0</v>
      </c>
      <c r="AQ434" s="712"/>
    </row>
    <row r="435" spans="1:44" ht="21">
      <c r="K435" s="712"/>
      <c r="L435" s="502"/>
      <c r="M435" s="502"/>
      <c r="O435" s="714" t="s">
        <v>471</v>
      </c>
      <c r="P435" s="715"/>
      <c r="Q435" s="715"/>
      <c r="R435" s="715"/>
      <c r="S435" s="715"/>
      <c r="T435" s="715"/>
      <c r="U435" s="715"/>
      <c r="V435" s="715"/>
      <c r="W435" s="715"/>
      <c r="X435" s="715"/>
      <c r="Y435" s="685">
        <f>IFERROR(VLOOKUP($O435,Preturi_medicamente!$D:$M,3,0),0)</f>
        <v>7.07</v>
      </c>
      <c r="Z435" s="603">
        <f t="shared" si="48"/>
        <v>149636.54999999999</v>
      </c>
      <c r="AA435" s="604">
        <f t="shared" si="48"/>
        <v>169899.17</v>
      </c>
      <c r="AB435" s="604">
        <f t="shared" si="48"/>
        <v>190168.86</v>
      </c>
      <c r="AC435" s="604">
        <f t="shared" si="48"/>
        <v>244827.03</v>
      </c>
      <c r="AD435" s="605">
        <f t="shared" si="48"/>
        <v>237905.5</v>
      </c>
      <c r="AE435" s="686">
        <f>IFERROR(VLOOKUP($O435,Preturi_medicamente!$D:$M,10,0),0)</f>
        <v>0.31</v>
      </c>
      <c r="AF435" s="603">
        <f t="shared" si="49"/>
        <v>2678.09</v>
      </c>
      <c r="AG435" s="604">
        <f t="shared" si="49"/>
        <v>4003.34</v>
      </c>
      <c r="AH435" s="604">
        <f t="shared" si="49"/>
        <v>2770.16</v>
      </c>
      <c r="AI435" s="604">
        <f t="shared" si="49"/>
        <v>0</v>
      </c>
      <c r="AJ435" s="605">
        <f t="shared" si="49"/>
        <v>0</v>
      </c>
      <c r="AQ435" s="712"/>
    </row>
    <row r="436" spans="1:44" ht="21">
      <c r="K436" s="712"/>
      <c r="L436" s="502"/>
      <c r="M436" s="502"/>
      <c r="O436" s="714" t="s">
        <v>472</v>
      </c>
      <c r="P436" s="715"/>
      <c r="Q436" s="715"/>
      <c r="R436" s="715"/>
      <c r="S436" s="715"/>
      <c r="T436" s="715"/>
      <c r="U436" s="715"/>
      <c r="V436" s="715"/>
      <c r="W436" s="715"/>
      <c r="X436" s="715"/>
      <c r="Y436" s="685">
        <f>IFERROR(VLOOKUP($O436,Preturi_medicamente!$D:$M,3,0),0)</f>
        <v>30.86</v>
      </c>
      <c r="Z436" s="603">
        <f t="shared" si="48"/>
        <v>653151.9</v>
      </c>
      <c r="AA436" s="604">
        <f t="shared" si="48"/>
        <v>741596.66</v>
      </c>
      <c r="AB436" s="604">
        <f t="shared" si="48"/>
        <v>830072.28</v>
      </c>
      <c r="AC436" s="604">
        <f t="shared" si="48"/>
        <v>1068650.94</v>
      </c>
      <c r="AD436" s="605">
        <f t="shared" si="48"/>
        <v>1038439</v>
      </c>
      <c r="AE436" s="686">
        <f>IFERROR(VLOOKUP($O436,Preturi_medicamente!$D:$M,10,0),0)</f>
        <v>1.32</v>
      </c>
      <c r="AF436" s="603">
        <f t="shared" si="49"/>
        <v>11403.48</v>
      </c>
      <c r="AG436" s="604">
        <f t="shared" si="49"/>
        <v>17046.48</v>
      </c>
      <c r="AH436" s="604">
        <f t="shared" si="49"/>
        <v>11795.52</v>
      </c>
      <c r="AI436" s="604">
        <f t="shared" si="49"/>
        <v>0</v>
      </c>
      <c r="AJ436" s="605">
        <f t="shared" si="49"/>
        <v>0</v>
      </c>
      <c r="AQ436" s="712"/>
    </row>
    <row r="437" spans="1:44" ht="21">
      <c r="K437" s="712"/>
      <c r="L437" s="502"/>
      <c r="M437" s="502"/>
      <c r="O437" s="714" t="s">
        <v>314</v>
      </c>
      <c r="P437" s="715"/>
      <c r="Q437" s="715"/>
      <c r="R437" s="715"/>
      <c r="S437" s="715"/>
      <c r="T437" s="715"/>
      <c r="U437" s="715"/>
      <c r="V437" s="715"/>
      <c r="W437" s="715"/>
      <c r="X437" s="715"/>
      <c r="Y437" s="685">
        <f>IFERROR(VLOOKUP($O437,Preturi_medicamente!$D:$M,3,0),0)</f>
        <v>0.5</v>
      </c>
      <c r="Z437" s="603">
        <f t="shared" si="48"/>
        <v>52912.5</v>
      </c>
      <c r="AA437" s="604">
        <f t="shared" si="48"/>
        <v>60078</v>
      </c>
      <c r="AB437" s="604">
        <f t="shared" si="48"/>
        <v>67243.5</v>
      </c>
      <c r="AC437" s="604">
        <f t="shared" si="48"/>
        <v>86572.5</v>
      </c>
      <c r="AD437" s="605">
        <f t="shared" si="48"/>
        <v>84124.5</v>
      </c>
      <c r="AE437" s="686">
        <f>IFERROR(VLOOKUP($O437,Preturi_medicamente!$D:$M,10,0),0)</f>
        <v>0.02</v>
      </c>
      <c r="AF437" s="603">
        <f t="shared" si="49"/>
        <v>863.94</v>
      </c>
      <c r="AG437" s="604">
        <f t="shared" si="49"/>
        <v>1291.32</v>
      </c>
      <c r="AH437" s="604">
        <f t="shared" si="49"/>
        <v>893.52</v>
      </c>
      <c r="AI437" s="604">
        <f t="shared" si="49"/>
        <v>0</v>
      </c>
      <c r="AJ437" s="605">
        <f t="shared" si="49"/>
        <v>0</v>
      </c>
      <c r="AQ437" s="712"/>
    </row>
    <row r="438" spans="1:44" ht="22" thickBot="1">
      <c r="K438" s="712"/>
      <c r="L438" s="502"/>
      <c r="M438" s="502"/>
      <c r="O438" s="595"/>
      <c r="P438" s="596"/>
      <c r="Q438" s="596"/>
      <c r="R438" s="596"/>
      <c r="S438" s="596"/>
      <c r="T438" s="596"/>
      <c r="U438" s="596"/>
      <c r="V438" s="596"/>
      <c r="W438" s="596"/>
      <c r="X438" s="596"/>
      <c r="Y438" s="685">
        <f>IFERROR(VLOOKUP($O438,Preturi_medicamente!$D:$M,3,0),0)</f>
        <v>0</v>
      </c>
      <c r="Z438" s="606">
        <f t="shared" si="48"/>
        <v>0</v>
      </c>
      <c r="AA438" s="607">
        <f t="shared" si="48"/>
        <v>0</v>
      </c>
      <c r="AB438" s="607">
        <f t="shared" si="48"/>
        <v>0</v>
      </c>
      <c r="AC438" s="607">
        <f t="shared" si="48"/>
        <v>0</v>
      </c>
      <c r="AD438" s="608">
        <f t="shared" si="48"/>
        <v>0</v>
      </c>
      <c r="AE438" s="686">
        <f>IFERROR(VLOOKUP($O438,Preturi_medicamente!$D:$M,10,0),0)</f>
        <v>0</v>
      </c>
      <c r="AF438" s="606">
        <f t="shared" si="49"/>
        <v>0</v>
      </c>
      <c r="AG438" s="607">
        <f t="shared" si="49"/>
        <v>0</v>
      </c>
      <c r="AH438" s="607">
        <f t="shared" si="49"/>
        <v>0</v>
      </c>
      <c r="AI438" s="607">
        <f t="shared" si="49"/>
        <v>0</v>
      </c>
      <c r="AJ438" s="608">
        <f t="shared" si="49"/>
        <v>0</v>
      </c>
      <c r="AQ438" s="712"/>
    </row>
    <row r="439" spans="1:44" ht="22" thickBot="1">
      <c r="A439" s="730">
        <v>19</v>
      </c>
      <c r="B439" s="733">
        <f>Z439</f>
        <v>9081009.6699999999</v>
      </c>
      <c r="C439" s="733">
        <f>AA439</f>
        <v>10306027.02</v>
      </c>
      <c r="D439" s="733">
        <f>AB439</f>
        <v>11531066.359999999</v>
      </c>
      <c r="E439" s="733">
        <f>AC439</f>
        <v>14867728.199999999</v>
      </c>
      <c r="F439" s="733">
        <f>AD439</f>
        <v>14451805.380000001</v>
      </c>
      <c r="G439" s="733" t="s">
        <v>349</v>
      </c>
      <c r="H439" s="733" t="s">
        <v>505</v>
      </c>
      <c r="I439" s="841"/>
      <c r="J439" s="841" t="s">
        <v>2935</v>
      </c>
      <c r="K439" s="712"/>
      <c r="L439" s="502"/>
      <c r="M439" s="502"/>
      <c r="O439" s="526"/>
      <c r="P439" s="526"/>
      <c r="Q439" s="526"/>
      <c r="R439" s="526"/>
      <c r="S439"/>
      <c r="T439"/>
      <c r="U439"/>
      <c r="V439"/>
      <c r="W439"/>
      <c r="X439"/>
      <c r="Y439" s="526"/>
      <c r="Z439" s="1738">
        <f>SUM(Z424:Z438)</f>
        <v>9081009.6699999999</v>
      </c>
      <c r="AA439" s="1736">
        <f>SUM(AA424:AA438)</f>
        <v>10306027.02</v>
      </c>
      <c r="AB439" s="1736">
        <f>SUM(AB424:AB438)</f>
        <v>11531066.359999999</v>
      </c>
      <c r="AC439" s="1736">
        <f>SUM(AC424:AC438)</f>
        <v>14867728.199999999</v>
      </c>
      <c r="AD439" s="1737">
        <f>SUM(AD424:AD438)</f>
        <v>14451805.380000001</v>
      </c>
      <c r="AE439" s="526"/>
      <c r="AF439" s="687">
        <f>SUM(AF424:AF438)</f>
        <v>230407.06999999998</v>
      </c>
      <c r="AG439" s="688">
        <f>SUM(AG424:AG438)</f>
        <v>348091.27</v>
      </c>
      <c r="AH439" s="688">
        <f>SUM(AH424:AH438)</f>
        <v>239588.25</v>
      </c>
      <c r="AI439" s="688">
        <f>SUM(AI424:AI438)</f>
        <v>0</v>
      </c>
      <c r="AJ439" s="689">
        <f>SUM(AJ424:AJ438)</f>
        <v>0</v>
      </c>
      <c r="AK439" s="483">
        <f>SUM(AF439:AJ439)</f>
        <v>818086.59</v>
      </c>
      <c r="AQ439" s="712"/>
      <c r="AR439" s="1489">
        <f>SUM(Z439:AD439)</f>
        <v>60237636.630000003</v>
      </c>
    </row>
    <row r="440" spans="1:44" ht="22" thickBot="1">
      <c r="K440" s="712"/>
      <c r="L440" s="502"/>
      <c r="M440" s="502"/>
      <c r="O440" s="526"/>
      <c r="P440" s="526"/>
      <c r="Q440" s="526"/>
      <c r="R440" s="526"/>
      <c r="S440"/>
      <c r="T440"/>
      <c r="U440"/>
      <c r="V440"/>
      <c r="W440"/>
      <c r="X440"/>
      <c r="Y440" s="526"/>
      <c r="Z440" s="526"/>
      <c r="AA440" s="526"/>
      <c r="AB440" s="526"/>
      <c r="AC440" s="526"/>
      <c r="AD440" s="526"/>
      <c r="AE440" s="526"/>
      <c r="AF440" s="526"/>
      <c r="AG440" s="526"/>
      <c r="AH440" s="526"/>
      <c r="AI440" s="526"/>
      <c r="AJ440" s="526"/>
      <c r="AQ440" s="712"/>
    </row>
    <row r="441" spans="1:44" ht="34">
      <c r="K441" s="712"/>
      <c r="L441" s="502"/>
      <c r="M441" s="502"/>
      <c r="O441" s="526"/>
      <c r="P441" s="526"/>
      <c r="Q441" s="526"/>
      <c r="R441" s="526"/>
      <c r="S441" s="526"/>
      <c r="T441" s="686"/>
      <c r="U441" s="690"/>
      <c r="V441" s="690"/>
      <c r="W441" s="690"/>
      <c r="X441" s="690"/>
      <c r="Y441" s="526"/>
      <c r="Z441" s="526"/>
      <c r="AA441" s="526"/>
      <c r="AB441" s="526"/>
      <c r="AC441" s="526"/>
      <c r="AD441" s="526"/>
      <c r="AE441" s="691" t="s">
        <v>485</v>
      </c>
      <c r="AF441" s="692">
        <f>AF439*AE442</f>
        <v>2764.8848399999997</v>
      </c>
      <c r="AG441" s="693">
        <f>AG439*AE442</f>
        <v>4177.0952400000006</v>
      </c>
      <c r="AH441" s="693">
        <f>AH439*AE442</f>
        <v>2875.0590000000002</v>
      </c>
      <c r="AI441" s="693">
        <f>AI439*AE442</f>
        <v>0</v>
      </c>
      <c r="AJ441" s="694">
        <f>AJ439*AE442</f>
        <v>0</v>
      </c>
      <c r="AQ441" s="712"/>
    </row>
    <row r="442" spans="1:44" ht="21">
      <c r="K442" s="712"/>
      <c r="L442" s="502"/>
      <c r="M442" s="502"/>
      <c r="O442" s="526"/>
      <c r="P442" s="526"/>
      <c r="Q442" s="526"/>
      <c r="R442" s="526"/>
      <c r="S442" s="526"/>
      <c r="T442" s="686"/>
      <c r="U442" s="690"/>
      <c r="V442" s="690"/>
      <c r="W442" s="690"/>
      <c r="X442" s="690"/>
      <c r="Y442" s="526"/>
      <c r="Z442" s="526"/>
      <c r="AA442" s="526"/>
      <c r="AB442" s="526"/>
      <c r="AC442" s="526"/>
      <c r="AD442" s="526"/>
      <c r="AE442" s="695">
        <v>1.2E-2</v>
      </c>
      <c r="AF442" s="696"/>
      <c r="AG442" s="552"/>
      <c r="AH442" s="552"/>
      <c r="AI442" s="552"/>
      <c r="AJ442" s="553"/>
      <c r="AQ442" s="712"/>
    </row>
    <row r="443" spans="1:44" ht="21">
      <c r="K443" s="712"/>
      <c r="L443" s="502"/>
      <c r="M443" s="502"/>
      <c r="O443" s="526"/>
      <c r="P443" s="526"/>
      <c r="Q443" s="526"/>
      <c r="R443" s="526"/>
      <c r="S443" s="526"/>
      <c r="T443" s="686"/>
      <c r="U443" s="690"/>
      <c r="V443" s="690"/>
      <c r="W443" s="690"/>
      <c r="X443" s="690"/>
      <c r="Y443" s="526"/>
      <c r="Z443" s="526"/>
      <c r="AA443" s="526"/>
      <c r="AB443" s="526"/>
      <c r="AC443" s="526"/>
      <c r="AD443" s="526"/>
      <c r="AE443" s="691" t="s">
        <v>486</v>
      </c>
      <c r="AF443" s="697">
        <f>AF439*AE444</f>
        <v>11981.167639999998</v>
      </c>
      <c r="AG443" s="698">
        <f>AG439*AE444</f>
        <v>18100.746040000002</v>
      </c>
      <c r="AH443" s="698">
        <f>AH439*AE444</f>
        <v>12458.589</v>
      </c>
      <c r="AI443" s="698">
        <f>AI439*AE444</f>
        <v>0</v>
      </c>
      <c r="AJ443" s="699">
        <f>AJ439*AE444</f>
        <v>0</v>
      </c>
      <c r="AQ443" s="712"/>
    </row>
    <row r="444" spans="1:44" ht="21">
      <c r="K444" s="712"/>
      <c r="L444" s="502"/>
      <c r="M444" s="502"/>
      <c r="O444" s="526"/>
      <c r="P444" s="526"/>
      <c r="Q444" s="526"/>
      <c r="R444" s="526"/>
      <c r="S444" s="526"/>
      <c r="T444" s="686"/>
      <c r="U444" s="690"/>
      <c r="V444" s="690"/>
      <c r="W444" s="690"/>
      <c r="X444" s="690"/>
      <c r="Y444" s="526"/>
      <c r="Z444" s="526"/>
      <c r="AA444" s="526"/>
      <c r="AB444" s="526"/>
      <c r="AC444" s="526"/>
      <c r="AD444" s="526"/>
      <c r="AE444" s="695">
        <v>5.1999999999999998E-2</v>
      </c>
      <c r="AF444" s="696"/>
      <c r="AG444" s="552"/>
      <c r="AH444" s="552"/>
      <c r="AI444" s="552"/>
      <c r="AJ444" s="553"/>
      <c r="AQ444" s="712"/>
    </row>
    <row r="445" spans="1:44" ht="21">
      <c r="K445" s="712"/>
      <c r="L445" s="502"/>
      <c r="M445" s="502"/>
      <c r="O445" s="526"/>
      <c r="P445" s="526"/>
      <c r="Q445" s="526"/>
      <c r="R445" s="526"/>
      <c r="S445" s="526"/>
      <c r="T445" s="686"/>
      <c r="U445" s="690"/>
      <c r="V445" s="690"/>
      <c r="W445" s="690"/>
      <c r="X445" s="690"/>
      <c r="Y445" s="526"/>
      <c r="Z445" s="526"/>
      <c r="AA445" s="526"/>
      <c r="AB445" s="526"/>
      <c r="AC445" s="526"/>
      <c r="AD445" s="526"/>
      <c r="AE445" s="691" t="s">
        <v>487</v>
      </c>
      <c r="AF445" s="697">
        <f>AF439*AE446</f>
        <v>9677.0969399999994</v>
      </c>
      <c r="AG445" s="698">
        <f>AG439*AE446</f>
        <v>14619.833340000001</v>
      </c>
      <c r="AH445" s="698">
        <f>AH439*AE446</f>
        <v>10062.7065</v>
      </c>
      <c r="AI445" s="698">
        <f>AI439*AE446</f>
        <v>0</v>
      </c>
      <c r="AJ445" s="699">
        <f>AJ439*AE446</f>
        <v>0</v>
      </c>
      <c r="AQ445" s="712"/>
    </row>
    <row r="446" spans="1:44" ht="21">
      <c r="K446" s="712"/>
      <c r="L446" s="502"/>
      <c r="M446" s="502"/>
      <c r="O446" s="526"/>
      <c r="P446" s="526"/>
      <c r="Q446" s="526"/>
      <c r="R446" s="526"/>
      <c r="S446" s="526"/>
      <c r="T446" s="686"/>
      <c r="U446" s="690"/>
      <c r="V446" s="690"/>
      <c r="W446" s="690"/>
      <c r="X446" s="690"/>
      <c r="Y446" s="526"/>
      <c r="Z446" s="526"/>
      <c r="AA446" s="526"/>
      <c r="AB446" s="526"/>
      <c r="AC446" s="526"/>
      <c r="AD446" s="526"/>
      <c r="AE446" s="695">
        <v>4.2000000000000003E-2</v>
      </c>
      <c r="AF446" s="696"/>
      <c r="AG446" s="552"/>
      <c r="AH446" s="552"/>
      <c r="AI446" s="552"/>
      <c r="AJ446" s="553"/>
      <c r="AQ446" s="712"/>
    </row>
    <row r="447" spans="1:44" ht="22" thickBot="1">
      <c r="K447" s="712"/>
      <c r="L447" s="502"/>
      <c r="M447" s="502"/>
      <c r="O447" s="526"/>
      <c r="P447" s="526"/>
      <c r="Q447" s="526"/>
      <c r="R447" s="526"/>
      <c r="S447" s="526"/>
      <c r="T447" s="686"/>
      <c r="U447" s="690"/>
      <c r="V447" s="690"/>
      <c r="W447" s="690"/>
      <c r="X447" s="690"/>
      <c r="Y447" s="526"/>
      <c r="Z447" s="526"/>
      <c r="AA447" s="526"/>
      <c r="AB447" s="526"/>
      <c r="AC447" s="526"/>
      <c r="AD447" s="526"/>
      <c r="AE447" s="526"/>
      <c r="AF447" s="687">
        <f>SUM(AF441:AF446)</f>
        <v>24423.149419999998</v>
      </c>
      <c r="AG447" s="688">
        <f>SUM(AG441:AG446)</f>
        <v>36897.674620000005</v>
      </c>
      <c r="AH447" s="688">
        <f>SUM(AH441:AH446)</f>
        <v>25396.354500000001</v>
      </c>
      <c r="AI447" s="688">
        <f>SUM(AI441:AI446)</f>
        <v>0</v>
      </c>
      <c r="AJ447" s="689">
        <f>SUM(AJ441:AJ446)</f>
        <v>0</v>
      </c>
      <c r="AQ447" s="712"/>
    </row>
    <row r="448" spans="1:44" ht="22" thickBot="1">
      <c r="K448" s="712"/>
      <c r="L448" s="502"/>
      <c r="M448" s="502"/>
      <c r="O448" s="526"/>
      <c r="P448" s="526"/>
      <c r="Q448" s="526"/>
      <c r="R448" s="526"/>
      <c r="S448" s="526"/>
      <c r="T448" s="686"/>
      <c r="U448" s="690"/>
      <c r="V448" s="690"/>
      <c r="W448" s="690"/>
      <c r="X448" s="690"/>
      <c r="Y448" s="526"/>
      <c r="Z448" s="526"/>
      <c r="AA448" s="526"/>
      <c r="AB448" s="526"/>
      <c r="AC448" s="526"/>
      <c r="AD448" s="526"/>
      <c r="AE448" s="526"/>
      <c r="AF448" s="526"/>
      <c r="AG448" s="526"/>
      <c r="AH448" s="526"/>
      <c r="AI448" s="526"/>
      <c r="AJ448" s="526"/>
      <c r="AQ448" s="712"/>
    </row>
    <row r="449" spans="1:45" ht="22" thickBot="1">
      <c r="K449" s="712"/>
      <c r="L449" s="502"/>
      <c r="M449" s="502"/>
      <c r="O449" s="526"/>
      <c r="P449" s="526"/>
      <c r="Q449" s="526"/>
      <c r="R449" s="526"/>
      <c r="S449" s="526"/>
      <c r="T449" s="686"/>
      <c r="U449" s="690"/>
      <c r="V449" s="690"/>
      <c r="W449" s="690"/>
      <c r="X449" s="690"/>
      <c r="Y449" s="526"/>
      <c r="Z449" s="526"/>
      <c r="AA449" s="526"/>
      <c r="AB449" s="526"/>
      <c r="AC449" s="526"/>
      <c r="AD449" s="526"/>
      <c r="AE449" s="526" t="s">
        <v>488</v>
      </c>
      <c r="AF449" s="1733">
        <f>AF439+AF447</f>
        <v>254830.21941999998</v>
      </c>
      <c r="AG449" s="1734">
        <f>AG439+AG447</f>
        <v>384988.94462000002</v>
      </c>
      <c r="AH449" s="1734">
        <f>AH439+AH447</f>
        <v>264984.60450000002</v>
      </c>
      <c r="AI449" s="1734">
        <f>AI439+AI447</f>
        <v>0</v>
      </c>
      <c r="AJ449" s="1735">
        <f>AJ439+AJ447</f>
        <v>0</v>
      </c>
      <c r="AK449" s="483">
        <f>SUM(AF449:AJ449)</f>
        <v>904803.76853999996</v>
      </c>
      <c r="AQ449" s="712"/>
    </row>
    <row r="450" spans="1:45" ht="22" thickBot="1">
      <c r="K450" s="712"/>
      <c r="L450" s="502"/>
      <c r="M450" s="502"/>
      <c r="O450" s="526"/>
      <c r="P450" s="526"/>
      <c r="Q450" s="526"/>
      <c r="R450" s="526"/>
      <c r="S450" s="526"/>
      <c r="T450" s="686"/>
      <c r="U450" s="690"/>
      <c r="V450" s="690"/>
      <c r="W450" s="690"/>
      <c r="X450" s="690"/>
      <c r="Y450" s="526"/>
      <c r="Z450" s="526"/>
      <c r="AA450" s="526"/>
      <c r="AB450" s="526"/>
      <c r="AC450" s="526"/>
      <c r="AD450" s="526"/>
      <c r="AE450" s="526" t="s">
        <v>489</v>
      </c>
      <c r="AF450" s="1738">
        <f>AF449*USD</f>
        <v>4477089.1902702311</v>
      </c>
      <c r="AG450" s="1736">
        <f>AG449*USD</f>
        <v>6763836.1190237645</v>
      </c>
      <c r="AH450" s="1736">
        <f>AH449*USD</f>
        <v>4655490.6678460948</v>
      </c>
      <c r="AI450" s="1736">
        <f>AI449*USD</f>
        <v>0</v>
      </c>
      <c r="AJ450" s="1737">
        <f>AJ449*USD</f>
        <v>0</v>
      </c>
      <c r="AK450" s="2231">
        <f>SUM(AF450:AJ450)</f>
        <v>15896415.977140091</v>
      </c>
      <c r="AQ450" s="712"/>
      <c r="AR450" s="1489">
        <f>SUM(AF450:AJ450)</f>
        <v>15896415.977140091</v>
      </c>
      <c r="AS450" s="2216">
        <f>AR450/EUR</f>
        <v>810020.71609135135</v>
      </c>
    </row>
    <row r="451" spans="1:45" ht="22" thickBot="1">
      <c r="A451" s="730">
        <v>20</v>
      </c>
      <c r="B451" s="733">
        <f>AF450</f>
        <v>4477089.1902702311</v>
      </c>
      <c r="C451" s="733">
        <f>AG450</f>
        <v>6763836.1190237645</v>
      </c>
      <c r="D451" s="733">
        <f>AH450</f>
        <v>4655490.6678460948</v>
      </c>
      <c r="E451" s="733">
        <f>AI450</f>
        <v>0</v>
      </c>
      <c r="F451" s="733">
        <f>AJ450</f>
        <v>0</v>
      </c>
      <c r="G451" s="733" t="s">
        <v>351</v>
      </c>
      <c r="H451" s="733" t="s">
        <v>505</v>
      </c>
      <c r="I451" s="841"/>
      <c r="J451" s="841" t="s">
        <v>2935</v>
      </c>
      <c r="K451" s="712"/>
      <c r="L451" s="502"/>
      <c r="M451" s="502"/>
      <c r="O451" s="526"/>
      <c r="P451" s="526"/>
      <c r="Q451" s="526"/>
      <c r="R451" s="526"/>
      <c r="S451" s="526"/>
      <c r="T451" s="686"/>
      <c r="U451" s="690"/>
      <c r="V451" s="690"/>
      <c r="W451" s="690"/>
      <c r="X451" s="690"/>
      <c r="Y451" s="526"/>
      <c r="Z451" s="526"/>
      <c r="AA451" s="526"/>
      <c r="AB451" s="526"/>
      <c r="AC451" s="526"/>
      <c r="AD451" s="526"/>
      <c r="AE451" s="526"/>
      <c r="AF451" s="703"/>
      <c r="AG451" s="704"/>
      <c r="AH451" s="704"/>
      <c r="AI451" s="704"/>
      <c r="AJ451" s="704"/>
      <c r="AQ451" s="712"/>
    </row>
    <row r="452" spans="1:45" ht="12" customHeight="1">
      <c r="K452" s="712"/>
      <c r="L452" s="705"/>
      <c r="M452" s="705"/>
      <c r="N452" s="705"/>
      <c r="O452" s="706"/>
      <c r="P452" s="706"/>
      <c r="Q452" s="706"/>
      <c r="R452" s="706"/>
      <c r="S452" s="706"/>
      <c r="T452" s="706"/>
      <c r="U452" s="706"/>
      <c r="V452" s="706"/>
      <c r="W452" s="706"/>
      <c r="X452" s="706"/>
      <c r="Y452" s="706"/>
      <c r="Z452" s="706"/>
      <c r="AA452" s="706"/>
      <c r="AB452" s="706"/>
      <c r="AC452" s="706"/>
      <c r="AD452" s="706"/>
      <c r="AE452" s="706"/>
      <c r="AF452" s="706"/>
      <c r="AG452" s="706"/>
      <c r="AH452" s="706"/>
      <c r="AI452" s="706"/>
      <c r="AJ452" s="706"/>
      <c r="AK452" s="706"/>
      <c r="AL452" s="706"/>
      <c r="AM452" s="706"/>
      <c r="AN452" s="706"/>
      <c r="AO452" s="706"/>
      <c r="AP452" s="706"/>
      <c r="AQ452" s="712"/>
    </row>
    <row r="453" spans="1:45" ht="21">
      <c r="K453" s="712"/>
      <c r="L453" s="502"/>
      <c r="M453" s="502"/>
      <c r="O453" s="526"/>
      <c r="P453" s="526"/>
      <c r="Q453" s="526"/>
      <c r="R453" s="526"/>
      <c r="S453" s="526"/>
      <c r="T453" s="686"/>
      <c r="U453" s="690"/>
      <c r="V453" s="690"/>
      <c r="W453" s="690"/>
      <c r="X453" s="690"/>
      <c r="Y453" s="526"/>
      <c r="Z453" s="526"/>
      <c r="AA453" s="526"/>
      <c r="AB453" s="526"/>
      <c r="AC453" s="526"/>
      <c r="AD453" s="526"/>
      <c r="AE453" s="526"/>
      <c r="AF453" s="703"/>
      <c r="AG453" s="704"/>
      <c r="AH453" s="704"/>
      <c r="AI453" s="704"/>
      <c r="AJ453" s="704"/>
      <c r="AQ453" s="712"/>
    </row>
    <row r="454" spans="1:45" ht="21">
      <c r="K454" s="712"/>
      <c r="L454" s="501" t="s">
        <v>490</v>
      </c>
      <c r="M454" s="499" t="s">
        <v>506</v>
      </c>
      <c r="N454" s="502"/>
      <c r="O454" s="526"/>
      <c r="P454" s="526"/>
      <c r="Q454" s="558"/>
      <c r="R454" s="558">
        <v>1</v>
      </c>
      <c r="S454" s="558">
        <v>2</v>
      </c>
      <c r="T454" s="558">
        <v>3</v>
      </c>
      <c r="U454" s="558">
        <v>4</v>
      </c>
      <c r="V454" s="558">
        <v>5</v>
      </c>
      <c r="W454" s="558">
        <v>6</v>
      </c>
      <c r="X454" s="558">
        <v>7</v>
      </c>
      <c r="Y454" s="558">
        <v>8</v>
      </c>
      <c r="Z454" s="558">
        <v>9</v>
      </c>
      <c r="AA454" s="558">
        <v>10</v>
      </c>
      <c r="AB454" s="558">
        <v>11</v>
      </c>
      <c r="AC454" s="558">
        <v>12</v>
      </c>
      <c r="AD454" s="558">
        <v>13</v>
      </c>
      <c r="AE454" s="558">
        <v>14</v>
      </c>
      <c r="AF454" s="558">
        <v>15</v>
      </c>
      <c r="AG454" s="558">
        <v>16</v>
      </c>
      <c r="AH454" s="558">
        <v>17</v>
      </c>
      <c r="AI454" s="558">
        <v>18</v>
      </c>
      <c r="AJ454" s="558">
        <v>19</v>
      </c>
      <c r="AQ454" s="712"/>
    </row>
    <row r="455" spans="1:45" ht="22" thickBot="1">
      <c r="K455" s="712"/>
      <c r="L455" s="502"/>
      <c r="M455" s="502"/>
      <c r="N455" s="502"/>
      <c r="O455" s="513"/>
      <c r="P455" s="508"/>
      <c r="Q455" s="558"/>
      <c r="R455" s="558"/>
      <c r="S455" s="526"/>
      <c r="T455" s="545" t="s">
        <v>114</v>
      </c>
      <c r="U455" s="545"/>
      <c r="V455" s="545"/>
      <c r="W455" s="545"/>
      <c r="X455" s="545"/>
      <c r="Y455" s="545"/>
      <c r="Z455" s="642" t="s">
        <v>349</v>
      </c>
      <c r="AA455" s="545"/>
      <c r="AB455" s="545"/>
      <c r="AC455" s="545"/>
      <c r="AD455" s="545"/>
      <c r="AE455" s="545"/>
      <c r="AF455" s="545" t="s">
        <v>351</v>
      </c>
      <c r="AG455" s="545"/>
      <c r="AH455" s="545"/>
      <c r="AI455" s="545"/>
      <c r="AJ455" s="545"/>
      <c r="AQ455" s="712"/>
    </row>
    <row r="456" spans="1:45" ht="22" thickBot="1">
      <c r="K456" s="712"/>
      <c r="L456" s="502"/>
      <c r="M456" s="502"/>
      <c r="N456" s="482" t="s">
        <v>354</v>
      </c>
      <c r="O456" s="526"/>
      <c r="P456" s="526"/>
      <c r="Q456" s="558"/>
      <c r="R456" s="558"/>
      <c r="S456" s="526"/>
      <c r="T456" s="559">
        <v>2021</v>
      </c>
      <c r="U456" s="560">
        <v>2022</v>
      </c>
      <c r="V456" s="560">
        <v>2023</v>
      </c>
      <c r="W456" s="560">
        <v>2024</v>
      </c>
      <c r="X456" s="561">
        <v>2025</v>
      </c>
      <c r="Y456" s="563" t="s">
        <v>238</v>
      </c>
      <c r="Z456" s="559">
        <v>2021</v>
      </c>
      <c r="AA456" s="560">
        <v>2022</v>
      </c>
      <c r="AB456" s="560">
        <v>2023</v>
      </c>
      <c r="AC456" s="560">
        <v>2024</v>
      </c>
      <c r="AD456" s="561">
        <v>2025</v>
      </c>
      <c r="AE456" s="563" t="s">
        <v>238</v>
      </c>
      <c r="AF456" s="584">
        <v>2021</v>
      </c>
      <c r="AG456" s="585">
        <v>2022</v>
      </c>
      <c r="AH456" s="585">
        <v>2023</v>
      </c>
      <c r="AI456" s="585">
        <v>2024</v>
      </c>
      <c r="AJ456" s="586">
        <v>2025</v>
      </c>
      <c r="AQ456" s="712"/>
    </row>
    <row r="457" spans="1:45" ht="21">
      <c r="K457" s="712"/>
      <c r="L457" s="502"/>
      <c r="M457" s="502"/>
      <c r="O457" s="526" t="s">
        <v>308</v>
      </c>
      <c r="P457" s="526"/>
      <c r="Q457" s="526"/>
      <c r="R457" s="562" t="s">
        <v>93</v>
      </c>
      <c r="S457" s="643" t="s">
        <v>310</v>
      </c>
      <c r="T457" s="644">
        <f>T18</f>
        <v>21</v>
      </c>
      <c r="U457" s="645">
        <f>U18</f>
        <v>20</v>
      </c>
      <c r="V457" s="645">
        <f>V18</f>
        <v>19</v>
      </c>
      <c r="W457" s="645">
        <f>W18</f>
        <v>19</v>
      </c>
      <c r="X457" s="646">
        <f>X18</f>
        <v>18</v>
      </c>
      <c r="Y457" s="563" t="s">
        <v>238</v>
      </c>
      <c r="Z457" s="647">
        <v>0</v>
      </c>
      <c r="AA457" s="648">
        <v>0</v>
      </c>
      <c r="AB457" s="648">
        <v>0</v>
      </c>
      <c r="AC457" s="648">
        <v>1</v>
      </c>
      <c r="AD457" s="649">
        <v>1</v>
      </c>
      <c r="AE457" s="563" t="s">
        <v>238</v>
      </c>
      <c r="AF457" s="650">
        <f>100%-Z457</f>
        <v>1</v>
      </c>
      <c r="AG457" s="651">
        <f>100%-AA457</f>
        <v>1</v>
      </c>
      <c r="AH457" s="651">
        <f>100%-AB457</f>
        <v>1</v>
      </c>
      <c r="AI457" s="651">
        <f>100%-AC457</f>
        <v>0</v>
      </c>
      <c r="AJ457" s="652">
        <f>100%-AD457</f>
        <v>0</v>
      </c>
      <c r="AQ457" s="712"/>
    </row>
    <row r="458" spans="1:45" ht="21">
      <c r="K458" s="712"/>
      <c r="L458" s="502"/>
      <c r="M458" s="502"/>
      <c r="O458" s="653">
        <v>1</v>
      </c>
      <c r="P458" s="653"/>
      <c r="Q458" s="653"/>
      <c r="R458" s="578" t="s">
        <v>462</v>
      </c>
      <c r="S458" s="654" t="s">
        <v>482</v>
      </c>
      <c r="T458" s="655">
        <f>ROUND(T457*O458*T459,0)</f>
        <v>11</v>
      </c>
      <c r="U458" s="656">
        <f>U457*O458</f>
        <v>20</v>
      </c>
      <c r="V458" s="656">
        <f>V457*O458</f>
        <v>19</v>
      </c>
      <c r="W458" s="656">
        <f>W457*O458</f>
        <v>19</v>
      </c>
      <c r="X458" s="657">
        <f>X457*O458</f>
        <v>18</v>
      </c>
      <c r="Y458" s="563" t="s">
        <v>238</v>
      </c>
      <c r="Z458" s="655">
        <f>ROUND(T458*Z457,0)</f>
        <v>0</v>
      </c>
      <c r="AA458" s="656">
        <f>ROUND(U458*AA457,0)</f>
        <v>0</v>
      </c>
      <c r="AB458" s="656">
        <f>ROUND(V458*AB457,0)</f>
        <v>0</v>
      </c>
      <c r="AC458" s="656">
        <f>ROUND(W458*AC457,0)</f>
        <v>19</v>
      </c>
      <c r="AD458" s="657">
        <f>ROUND(X458*AD457,0)</f>
        <v>18</v>
      </c>
      <c r="AE458" s="563" t="s">
        <v>238</v>
      </c>
      <c r="AF458" s="658">
        <f>T458-Z458</f>
        <v>11</v>
      </c>
      <c r="AG458" s="659">
        <f>U458-AA458</f>
        <v>20</v>
      </c>
      <c r="AH458" s="659">
        <f>V458-AB458</f>
        <v>19</v>
      </c>
      <c r="AI458" s="659">
        <f>W458-AC458</f>
        <v>0</v>
      </c>
      <c r="AJ458" s="660">
        <f>X458-AD458</f>
        <v>0</v>
      </c>
      <c r="AQ458" s="712"/>
    </row>
    <row r="459" spans="1:45" ht="21">
      <c r="K459" s="712"/>
      <c r="L459" s="502"/>
      <c r="M459" s="502"/>
      <c r="O459" s="526"/>
      <c r="P459" s="526"/>
      <c r="Q459" s="526"/>
      <c r="R459" s="526"/>
      <c r="S459" s="526" t="s">
        <v>4099</v>
      </c>
      <c r="T459" s="1914">
        <v>0.5</v>
      </c>
      <c r="U459" s="526"/>
      <c r="V459" s="526"/>
      <c r="W459" s="526"/>
      <c r="X459" s="526"/>
      <c r="Y459" s="526"/>
      <c r="Z459" s="526"/>
      <c r="AA459" s="526"/>
      <c r="AB459" s="526"/>
      <c r="AC459" s="526"/>
      <c r="AD459" s="526"/>
      <c r="AE459" s="526"/>
      <c r="AF459" s="526"/>
      <c r="AG459" s="526"/>
      <c r="AH459" s="526"/>
      <c r="AI459" s="526"/>
      <c r="AJ459" s="526"/>
      <c r="AQ459" s="712"/>
    </row>
    <row r="460" spans="1:45" ht="21">
      <c r="K460" s="712"/>
      <c r="L460" s="502"/>
      <c r="M460" s="502"/>
      <c r="O460" s="526"/>
      <c r="P460" s="526"/>
      <c r="Q460" s="526"/>
      <c r="R460" s="526"/>
      <c r="S460" s="526"/>
      <c r="T460" s="571"/>
      <c r="U460" s="571"/>
      <c r="V460" s="571"/>
      <c r="W460" s="571"/>
      <c r="X460" s="571"/>
      <c r="Y460" s="526"/>
      <c r="Z460" s="526"/>
      <c r="AA460" s="526"/>
      <c r="AB460" s="526"/>
      <c r="AC460" s="526"/>
      <c r="AD460" s="526"/>
      <c r="AE460" s="526"/>
      <c r="AF460" s="526"/>
      <c r="AG460" s="526"/>
      <c r="AH460" s="526"/>
      <c r="AI460" s="526"/>
      <c r="AJ460" s="526"/>
      <c r="AQ460" s="712"/>
    </row>
    <row r="461" spans="1:45" ht="22" thickBot="1">
      <c r="K461" s="712"/>
      <c r="L461" s="502"/>
      <c r="M461" s="517"/>
      <c r="N461" s="482" t="s">
        <v>355</v>
      </c>
      <c r="O461" s="526"/>
      <c r="P461" s="526"/>
      <c r="Q461" s="526"/>
      <c r="R461" s="526"/>
      <c r="S461" s="526"/>
      <c r="T461" s="571"/>
      <c r="U461" s="571"/>
      <c r="V461" s="571"/>
      <c r="W461" s="571"/>
      <c r="X461" s="571"/>
      <c r="Y461" s="526"/>
      <c r="Z461" s="526"/>
      <c r="AA461" s="526"/>
      <c r="AB461" s="526"/>
      <c r="AC461" s="526"/>
      <c r="AD461" s="526"/>
      <c r="AE461" s="526"/>
      <c r="AF461" s="526"/>
      <c r="AG461" s="526"/>
      <c r="AH461" s="526"/>
      <c r="AI461" s="526"/>
      <c r="AJ461" s="526"/>
      <c r="AQ461" s="712"/>
    </row>
    <row r="462" spans="1:45" ht="22" thickBot="1">
      <c r="K462" s="712"/>
      <c r="L462" s="502"/>
      <c r="M462" s="502"/>
      <c r="N462" s="514" t="s">
        <v>330</v>
      </c>
      <c r="O462" s="630" t="s">
        <v>312</v>
      </c>
      <c r="P462" s="631" t="s">
        <v>477</v>
      </c>
      <c r="Q462" s="631"/>
      <c r="R462" s="631" t="s">
        <v>328</v>
      </c>
      <c r="S462" s="631" t="s">
        <v>327</v>
      </c>
      <c r="T462" s="631" t="s">
        <v>329</v>
      </c>
      <c r="U462" s="631" t="s">
        <v>97</v>
      </c>
      <c r="V462" s="631"/>
      <c r="W462" s="631"/>
      <c r="X462" s="665"/>
      <c r="Y462" s="526" t="s">
        <v>478</v>
      </c>
      <c r="Z462" s="584">
        <v>2021</v>
      </c>
      <c r="AA462" s="585">
        <v>2022</v>
      </c>
      <c r="AB462" s="585">
        <v>2023</v>
      </c>
      <c r="AC462" s="585">
        <v>2024</v>
      </c>
      <c r="AD462" s="586">
        <v>2025</v>
      </c>
      <c r="AE462" s="526" t="s">
        <v>478</v>
      </c>
      <c r="AF462" s="559">
        <v>2021</v>
      </c>
      <c r="AG462" s="560">
        <v>2022</v>
      </c>
      <c r="AH462" s="560">
        <v>2023</v>
      </c>
      <c r="AI462" s="560">
        <v>2024</v>
      </c>
      <c r="AJ462" s="561">
        <v>2025</v>
      </c>
      <c r="AQ462" s="712"/>
    </row>
    <row r="463" spans="1:45" ht="21">
      <c r="K463" s="712"/>
      <c r="L463" s="502"/>
      <c r="M463" s="502"/>
      <c r="N463" s="518" t="s">
        <v>462</v>
      </c>
      <c r="O463" s="666" t="s">
        <v>492</v>
      </c>
      <c r="P463" s="667">
        <v>0.4</v>
      </c>
      <c r="Q463" s="579"/>
      <c r="R463" s="579">
        <v>2</v>
      </c>
      <c r="S463" s="579">
        <v>30</v>
      </c>
      <c r="T463" s="579">
        <v>18</v>
      </c>
      <c r="U463" s="539">
        <f t="shared" ref="U463:U474" si="50">R463*S463*T463</f>
        <v>1080</v>
      </c>
      <c r="V463" s="552"/>
      <c r="W463" s="552"/>
      <c r="X463" s="553"/>
      <c r="Y463" s="526"/>
      <c r="Z463" s="539">
        <f t="shared" ref="Z463:AD474" si="51">IFERROR(VLOOKUP($N463,SLD_MD_Copii,Z$454,0)*$U463*$P463,0)</f>
        <v>0</v>
      </c>
      <c r="AA463" s="539">
        <f t="shared" si="51"/>
        <v>0</v>
      </c>
      <c r="AB463" s="539">
        <f t="shared" si="51"/>
        <v>0</v>
      </c>
      <c r="AC463" s="539">
        <f t="shared" si="51"/>
        <v>8208</v>
      </c>
      <c r="AD463" s="539">
        <f t="shared" si="51"/>
        <v>7776</v>
      </c>
      <c r="AE463" s="526"/>
      <c r="AF463" s="539">
        <f t="shared" ref="AF463:AJ474" si="52">IFERROR(VLOOKUP($N463,SLD_MD_Copii,AF$454,0)*$U463*$P463,0)</f>
        <v>4752</v>
      </c>
      <c r="AG463" s="539">
        <f t="shared" si="52"/>
        <v>8640</v>
      </c>
      <c r="AH463" s="539">
        <f t="shared" si="52"/>
        <v>8208</v>
      </c>
      <c r="AI463" s="539">
        <f t="shared" si="52"/>
        <v>0</v>
      </c>
      <c r="AJ463" s="539">
        <f t="shared" si="52"/>
        <v>0</v>
      </c>
      <c r="AQ463" s="712"/>
    </row>
    <row r="464" spans="1:45" ht="21">
      <c r="K464" s="712"/>
      <c r="L464" s="502"/>
      <c r="M464" s="502"/>
      <c r="N464" s="518" t="s">
        <v>462</v>
      </c>
      <c r="O464" s="578" t="s">
        <v>493</v>
      </c>
      <c r="P464" s="671">
        <v>0.6</v>
      </c>
      <c r="Q464" s="633"/>
      <c r="R464" s="637">
        <v>4</v>
      </c>
      <c r="S464" s="637">
        <v>30</v>
      </c>
      <c r="T464" s="672">
        <v>18</v>
      </c>
      <c r="U464" s="539">
        <f t="shared" si="50"/>
        <v>2160</v>
      </c>
      <c r="V464" s="552"/>
      <c r="W464" s="552"/>
      <c r="X464" s="553"/>
      <c r="Y464" s="526"/>
      <c r="Z464" s="539">
        <f t="shared" si="51"/>
        <v>0</v>
      </c>
      <c r="AA464" s="539">
        <f t="shared" si="51"/>
        <v>0</v>
      </c>
      <c r="AB464" s="539">
        <f t="shared" si="51"/>
        <v>0</v>
      </c>
      <c r="AC464" s="539">
        <f t="shared" si="51"/>
        <v>24624</v>
      </c>
      <c r="AD464" s="539">
        <f t="shared" si="51"/>
        <v>23328</v>
      </c>
      <c r="AE464" s="526"/>
      <c r="AF464" s="539">
        <f t="shared" si="52"/>
        <v>14256</v>
      </c>
      <c r="AG464" s="539">
        <f t="shared" si="52"/>
        <v>25920</v>
      </c>
      <c r="AH464" s="539">
        <f t="shared" si="52"/>
        <v>24624</v>
      </c>
      <c r="AI464" s="539">
        <f t="shared" si="52"/>
        <v>0</v>
      </c>
      <c r="AJ464" s="539">
        <f t="shared" si="52"/>
        <v>0</v>
      </c>
      <c r="AQ464" s="712"/>
    </row>
    <row r="465" spans="11:45" ht="21">
      <c r="K465" s="712"/>
      <c r="L465" s="502"/>
      <c r="M465" s="502"/>
      <c r="N465" s="518" t="s">
        <v>462</v>
      </c>
      <c r="O465" s="578" t="s">
        <v>494</v>
      </c>
      <c r="P465" s="673">
        <v>0.3</v>
      </c>
      <c r="Q465" s="579"/>
      <c r="R465" s="579">
        <v>6</v>
      </c>
      <c r="S465" s="579">
        <v>30</v>
      </c>
      <c r="T465" s="579">
        <v>12</v>
      </c>
      <c r="U465" s="539">
        <f t="shared" si="50"/>
        <v>2160</v>
      </c>
      <c r="V465" s="552"/>
      <c r="W465" s="552"/>
      <c r="X465" s="553"/>
      <c r="Y465" s="526"/>
      <c r="Z465" s="539">
        <f t="shared" si="51"/>
        <v>0</v>
      </c>
      <c r="AA465" s="539">
        <f t="shared" si="51"/>
        <v>0</v>
      </c>
      <c r="AB465" s="539">
        <f t="shared" si="51"/>
        <v>0</v>
      </c>
      <c r="AC465" s="539">
        <f t="shared" si="51"/>
        <v>12312</v>
      </c>
      <c r="AD465" s="539">
        <f t="shared" si="51"/>
        <v>11664</v>
      </c>
      <c r="AE465" s="526"/>
      <c r="AF465" s="539">
        <f t="shared" si="52"/>
        <v>7128</v>
      </c>
      <c r="AG465" s="539">
        <f t="shared" si="52"/>
        <v>12960</v>
      </c>
      <c r="AH465" s="539">
        <f t="shared" si="52"/>
        <v>12312</v>
      </c>
      <c r="AI465" s="539">
        <f t="shared" si="52"/>
        <v>0</v>
      </c>
      <c r="AJ465" s="539">
        <f t="shared" si="52"/>
        <v>0</v>
      </c>
      <c r="AQ465" s="712"/>
    </row>
    <row r="466" spans="11:45" ht="21">
      <c r="K466" s="712"/>
      <c r="L466" s="502"/>
      <c r="M466" s="502"/>
      <c r="N466" s="518" t="s">
        <v>462</v>
      </c>
      <c r="O466" s="578" t="s">
        <v>495</v>
      </c>
      <c r="P466" s="673">
        <v>0.3</v>
      </c>
      <c r="Q466" s="579"/>
      <c r="R466" s="579">
        <v>5</v>
      </c>
      <c r="S466" s="579">
        <v>30</v>
      </c>
      <c r="T466" s="579">
        <v>18</v>
      </c>
      <c r="U466" s="539">
        <f t="shared" si="50"/>
        <v>2700</v>
      </c>
      <c r="V466" s="552"/>
      <c r="W466" s="552"/>
      <c r="X466" s="553"/>
      <c r="Y466" s="526"/>
      <c r="Z466" s="539">
        <f t="shared" si="51"/>
        <v>0</v>
      </c>
      <c r="AA466" s="539">
        <f t="shared" si="51"/>
        <v>0</v>
      </c>
      <c r="AB466" s="539">
        <f t="shared" si="51"/>
        <v>0</v>
      </c>
      <c r="AC466" s="539">
        <f t="shared" si="51"/>
        <v>15390</v>
      </c>
      <c r="AD466" s="539">
        <f t="shared" si="51"/>
        <v>14580</v>
      </c>
      <c r="AE466" s="526"/>
      <c r="AF466" s="539">
        <f t="shared" si="52"/>
        <v>8910</v>
      </c>
      <c r="AG466" s="539">
        <f t="shared" si="52"/>
        <v>16200</v>
      </c>
      <c r="AH466" s="539">
        <f t="shared" si="52"/>
        <v>15390</v>
      </c>
      <c r="AI466" s="539">
        <f t="shared" si="52"/>
        <v>0</v>
      </c>
      <c r="AJ466" s="539">
        <f t="shared" si="52"/>
        <v>0</v>
      </c>
      <c r="AQ466" s="712"/>
    </row>
    <row r="467" spans="11:45" ht="21">
      <c r="K467" s="712"/>
      <c r="L467" s="502"/>
      <c r="M467" s="502"/>
      <c r="N467" s="518" t="s">
        <v>462</v>
      </c>
      <c r="O467" s="636" t="s">
        <v>496</v>
      </c>
      <c r="P467" s="667">
        <v>0.8</v>
      </c>
      <c r="Q467" s="579"/>
      <c r="R467" s="579">
        <v>5</v>
      </c>
      <c r="S467" s="579">
        <v>30</v>
      </c>
      <c r="T467" s="579">
        <v>18</v>
      </c>
      <c r="U467" s="539">
        <f t="shared" si="50"/>
        <v>2700</v>
      </c>
      <c r="V467" s="552"/>
      <c r="W467" s="552"/>
      <c r="X467" s="553"/>
      <c r="Y467" s="526"/>
      <c r="Z467" s="539">
        <f t="shared" si="51"/>
        <v>0</v>
      </c>
      <c r="AA467" s="539">
        <f t="shared" si="51"/>
        <v>0</v>
      </c>
      <c r="AB467" s="539">
        <f t="shared" si="51"/>
        <v>0</v>
      </c>
      <c r="AC467" s="539">
        <f t="shared" si="51"/>
        <v>41040</v>
      </c>
      <c r="AD467" s="539">
        <f t="shared" si="51"/>
        <v>38880</v>
      </c>
      <c r="AE467" s="526"/>
      <c r="AF467" s="539">
        <f t="shared" si="52"/>
        <v>23760</v>
      </c>
      <c r="AG467" s="539">
        <f t="shared" si="52"/>
        <v>43200</v>
      </c>
      <c r="AH467" s="539">
        <f t="shared" si="52"/>
        <v>41040</v>
      </c>
      <c r="AI467" s="539">
        <f t="shared" si="52"/>
        <v>0</v>
      </c>
      <c r="AJ467" s="539">
        <f t="shared" si="52"/>
        <v>0</v>
      </c>
      <c r="AQ467" s="712"/>
    </row>
    <row r="468" spans="11:45" ht="21">
      <c r="K468" s="712"/>
      <c r="L468" s="502"/>
      <c r="M468" s="502"/>
      <c r="N468" s="518" t="s">
        <v>462</v>
      </c>
      <c r="O468" s="636" t="s">
        <v>497</v>
      </c>
      <c r="P468" s="667">
        <v>1</v>
      </c>
      <c r="Q468" s="579"/>
      <c r="R468" s="579">
        <v>1</v>
      </c>
      <c r="S468" s="579">
        <v>30</v>
      </c>
      <c r="T468" s="579">
        <v>18</v>
      </c>
      <c r="U468" s="539">
        <f t="shared" si="50"/>
        <v>540</v>
      </c>
      <c r="V468" s="552"/>
      <c r="W468" s="552"/>
      <c r="X468" s="553"/>
      <c r="Y468" s="526"/>
      <c r="Z468" s="539">
        <f t="shared" si="51"/>
        <v>0</v>
      </c>
      <c r="AA468" s="539">
        <f t="shared" si="51"/>
        <v>0</v>
      </c>
      <c r="AB468" s="539">
        <f t="shared" si="51"/>
        <v>0</v>
      </c>
      <c r="AC468" s="539">
        <f t="shared" si="51"/>
        <v>10260</v>
      </c>
      <c r="AD468" s="539">
        <f t="shared" si="51"/>
        <v>9720</v>
      </c>
      <c r="AE468" s="526"/>
      <c r="AF468" s="539">
        <f t="shared" si="52"/>
        <v>5940</v>
      </c>
      <c r="AG468" s="539">
        <f t="shared" si="52"/>
        <v>10800</v>
      </c>
      <c r="AH468" s="539">
        <f t="shared" si="52"/>
        <v>10260</v>
      </c>
      <c r="AI468" s="539">
        <f t="shared" si="52"/>
        <v>0</v>
      </c>
      <c r="AJ468" s="539">
        <f t="shared" si="52"/>
        <v>0</v>
      </c>
      <c r="AQ468" s="712"/>
    </row>
    <row r="469" spans="11:45" ht="21">
      <c r="K469" s="712"/>
      <c r="L469" s="502"/>
      <c r="M469" s="502"/>
      <c r="N469" s="518" t="s">
        <v>462</v>
      </c>
      <c r="O469" s="636" t="s">
        <v>498</v>
      </c>
      <c r="P469" s="667">
        <v>0.2</v>
      </c>
      <c r="Q469" s="579"/>
      <c r="R469" s="579">
        <v>4</v>
      </c>
      <c r="S469" s="579">
        <v>30</v>
      </c>
      <c r="T469" s="579">
        <v>18</v>
      </c>
      <c r="U469" s="539">
        <f t="shared" si="50"/>
        <v>2160</v>
      </c>
      <c r="V469" s="552"/>
      <c r="W469" s="552"/>
      <c r="X469" s="553"/>
      <c r="Y469" s="526"/>
      <c r="Z469" s="539">
        <f t="shared" si="51"/>
        <v>0</v>
      </c>
      <c r="AA469" s="539">
        <f t="shared" si="51"/>
        <v>0</v>
      </c>
      <c r="AB469" s="539">
        <f t="shared" si="51"/>
        <v>0</v>
      </c>
      <c r="AC469" s="539">
        <f t="shared" si="51"/>
        <v>8208</v>
      </c>
      <c r="AD469" s="539">
        <f t="shared" si="51"/>
        <v>7776</v>
      </c>
      <c r="AE469" s="526"/>
      <c r="AF469" s="539">
        <f t="shared" si="52"/>
        <v>4752</v>
      </c>
      <c r="AG469" s="539">
        <f t="shared" si="52"/>
        <v>8640</v>
      </c>
      <c r="AH469" s="539">
        <f t="shared" si="52"/>
        <v>8208</v>
      </c>
      <c r="AI469" s="539">
        <f t="shared" si="52"/>
        <v>0</v>
      </c>
      <c r="AJ469" s="539">
        <f t="shared" si="52"/>
        <v>0</v>
      </c>
      <c r="AQ469" s="712"/>
    </row>
    <row r="470" spans="11:45" ht="21">
      <c r="K470" s="712"/>
      <c r="L470" s="502"/>
      <c r="M470" s="502"/>
      <c r="N470" s="518" t="s">
        <v>462</v>
      </c>
      <c r="O470" s="636" t="s">
        <v>499</v>
      </c>
      <c r="P470" s="667">
        <v>0.2</v>
      </c>
      <c r="Q470" s="579"/>
      <c r="R470" s="579">
        <v>5</v>
      </c>
      <c r="S470" s="579">
        <v>30</v>
      </c>
      <c r="T470" s="579">
        <v>18</v>
      </c>
      <c r="U470" s="539">
        <f t="shared" si="50"/>
        <v>2700</v>
      </c>
      <c r="V470" s="552"/>
      <c r="W470" s="552"/>
      <c r="X470" s="553"/>
      <c r="Y470" s="526"/>
      <c r="Z470" s="539">
        <f t="shared" si="51"/>
        <v>0</v>
      </c>
      <c r="AA470" s="539">
        <f t="shared" si="51"/>
        <v>0</v>
      </c>
      <c r="AB470" s="539">
        <f t="shared" si="51"/>
        <v>0</v>
      </c>
      <c r="AC470" s="539">
        <f t="shared" si="51"/>
        <v>10260</v>
      </c>
      <c r="AD470" s="539">
        <f t="shared" si="51"/>
        <v>9720</v>
      </c>
      <c r="AE470" s="526"/>
      <c r="AF470" s="539">
        <f t="shared" si="52"/>
        <v>5940</v>
      </c>
      <c r="AG470" s="539">
        <f t="shared" si="52"/>
        <v>10800</v>
      </c>
      <c r="AH470" s="539">
        <f t="shared" si="52"/>
        <v>10260</v>
      </c>
      <c r="AI470" s="539">
        <f t="shared" si="52"/>
        <v>0</v>
      </c>
      <c r="AJ470" s="539">
        <f t="shared" si="52"/>
        <v>0</v>
      </c>
      <c r="AQ470" s="712"/>
    </row>
    <row r="471" spans="11:45" ht="21">
      <c r="K471" s="712"/>
      <c r="L471" s="502"/>
      <c r="M471" s="502"/>
      <c r="N471" s="518"/>
      <c r="O471" s="636"/>
      <c r="P471" s="667"/>
      <c r="Q471" s="579"/>
      <c r="R471" s="579"/>
      <c r="S471" s="579"/>
      <c r="T471" s="579"/>
      <c r="U471" s="539">
        <f t="shared" si="50"/>
        <v>0</v>
      </c>
      <c r="V471" s="552"/>
      <c r="W471" s="552"/>
      <c r="X471" s="553"/>
      <c r="Y471" s="526"/>
      <c r="Z471" s="539">
        <f t="shared" si="51"/>
        <v>0</v>
      </c>
      <c r="AA471" s="539">
        <f t="shared" si="51"/>
        <v>0</v>
      </c>
      <c r="AB471" s="539">
        <f t="shared" si="51"/>
        <v>0</v>
      </c>
      <c r="AC471" s="539">
        <f t="shared" si="51"/>
        <v>0</v>
      </c>
      <c r="AD471" s="539">
        <f t="shared" si="51"/>
        <v>0</v>
      </c>
      <c r="AE471" s="526"/>
      <c r="AF471" s="539">
        <f t="shared" si="52"/>
        <v>0</v>
      </c>
      <c r="AG471" s="539">
        <f t="shared" si="52"/>
        <v>0</v>
      </c>
      <c r="AH471" s="539">
        <f t="shared" si="52"/>
        <v>0</v>
      </c>
      <c r="AI471" s="539">
        <f t="shared" si="52"/>
        <v>0</v>
      </c>
      <c r="AJ471" s="539">
        <f t="shared" si="52"/>
        <v>0</v>
      </c>
      <c r="AQ471" s="712"/>
    </row>
    <row r="472" spans="11:45" ht="21">
      <c r="K472" s="712"/>
      <c r="L472" s="502"/>
      <c r="M472" s="502"/>
      <c r="N472" s="518"/>
      <c r="O472" s="636"/>
      <c r="P472" s="667"/>
      <c r="Q472" s="579"/>
      <c r="R472" s="579"/>
      <c r="S472" s="579"/>
      <c r="T472" s="579"/>
      <c r="U472" s="539">
        <f t="shared" si="50"/>
        <v>0</v>
      </c>
      <c r="V472" s="552"/>
      <c r="W472" s="552"/>
      <c r="X472" s="553"/>
      <c r="Y472" s="526"/>
      <c r="Z472" s="539">
        <f t="shared" si="51"/>
        <v>0</v>
      </c>
      <c r="AA472" s="539">
        <f t="shared" si="51"/>
        <v>0</v>
      </c>
      <c r="AB472" s="539">
        <f t="shared" si="51"/>
        <v>0</v>
      </c>
      <c r="AC472" s="539">
        <f t="shared" si="51"/>
        <v>0</v>
      </c>
      <c r="AD472" s="539">
        <f t="shared" si="51"/>
        <v>0</v>
      </c>
      <c r="AE472" s="526"/>
      <c r="AF472" s="539">
        <f t="shared" si="52"/>
        <v>0</v>
      </c>
      <c r="AG472" s="539">
        <f t="shared" si="52"/>
        <v>0</v>
      </c>
      <c r="AH472" s="539">
        <f t="shared" si="52"/>
        <v>0</v>
      </c>
      <c r="AI472" s="539">
        <f t="shared" si="52"/>
        <v>0</v>
      </c>
      <c r="AJ472" s="539">
        <f t="shared" si="52"/>
        <v>0</v>
      </c>
      <c r="AQ472" s="712"/>
    </row>
    <row r="473" spans="11:45" ht="21">
      <c r="K473" s="712"/>
      <c r="L473" s="502"/>
      <c r="M473" s="502"/>
      <c r="N473" s="518"/>
      <c r="O473" s="636"/>
      <c r="P473" s="667"/>
      <c r="Q473" s="579"/>
      <c r="R473" s="579"/>
      <c r="S473" s="579"/>
      <c r="T473" s="579"/>
      <c r="U473" s="539">
        <f t="shared" si="50"/>
        <v>0</v>
      </c>
      <c r="V473" s="552"/>
      <c r="W473" s="552"/>
      <c r="X473" s="553"/>
      <c r="Y473" s="526"/>
      <c r="Z473" s="539">
        <f t="shared" si="51"/>
        <v>0</v>
      </c>
      <c r="AA473" s="539">
        <f t="shared" si="51"/>
        <v>0</v>
      </c>
      <c r="AB473" s="539">
        <f t="shared" si="51"/>
        <v>0</v>
      </c>
      <c r="AC473" s="539">
        <f t="shared" si="51"/>
        <v>0</v>
      </c>
      <c r="AD473" s="539">
        <f t="shared" si="51"/>
        <v>0</v>
      </c>
      <c r="AE473" s="526"/>
      <c r="AF473" s="539">
        <f t="shared" si="52"/>
        <v>0</v>
      </c>
      <c r="AG473" s="539">
        <f t="shared" si="52"/>
        <v>0</v>
      </c>
      <c r="AH473" s="539">
        <f t="shared" si="52"/>
        <v>0</v>
      </c>
      <c r="AI473" s="539">
        <f t="shared" si="52"/>
        <v>0</v>
      </c>
      <c r="AJ473" s="539">
        <f t="shared" si="52"/>
        <v>0</v>
      </c>
      <c r="AQ473" s="712"/>
    </row>
    <row r="474" spans="11:45" s="431" customFormat="1" ht="22" thickBot="1">
      <c r="K474" s="713"/>
      <c r="L474" s="502"/>
      <c r="M474" s="502"/>
      <c r="N474" s="524"/>
      <c r="O474" s="640"/>
      <c r="P474" s="679"/>
      <c r="Q474" s="581"/>
      <c r="R474" s="581"/>
      <c r="S474" s="581"/>
      <c r="T474" s="581"/>
      <c r="U474" s="543">
        <f t="shared" si="50"/>
        <v>0</v>
      </c>
      <c r="V474" s="556"/>
      <c r="W474" s="556"/>
      <c r="X474" s="557"/>
      <c r="Y474" s="526"/>
      <c r="Z474" s="539">
        <f t="shared" si="51"/>
        <v>0</v>
      </c>
      <c r="AA474" s="539">
        <f t="shared" si="51"/>
        <v>0</v>
      </c>
      <c r="AB474" s="539">
        <f t="shared" si="51"/>
        <v>0</v>
      </c>
      <c r="AC474" s="539">
        <f t="shared" si="51"/>
        <v>0</v>
      </c>
      <c r="AD474" s="539">
        <f t="shared" si="51"/>
        <v>0</v>
      </c>
      <c r="AE474" s="526"/>
      <c r="AF474" s="539">
        <f t="shared" si="52"/>
        <v>0</v>
      </c>
      <c r="AG474" s="539">
        <f t="shared" si="52"/>
        <v>0</v>
      </c>
      <c r="AH474" s="539">
        <f t="shared" si="52"/>
        <v>0</v>
      </c>
      <c r="AI474" s="539">
        <f t="shared" si="52"/>
        <v>0</v>
      </c>
      <c r="AJ474" s="539">
        <f t="shared" si="52"/>
        <v>0</v>
      </c>
      <c r="AQ474" s="713"/>
      <c r="AR474" s="1488"/>
      <c r="AS474" s="2217"/>
    </row>
    <row r="475" spans="11:45" ht="21">
      <c r="K475" s="712"/>
      <c r="L475" s="502"/>
      <c r="M475" s="502"/>
      <c r="O475" s="526"/>
      <c r="P475" s="526"/>
      <c r="Q475" s="526"/>
      <c r="R475" s="526"/>
      <c r="S475" s="526"/>
      <c r="T475" s="526"/>
      <c r="U475" s="526"/>
      <c r="V475" s="526"/>
      <c r="W475" s="526"/>
      <c r="X475" s="526"/>
      <c r="Y475" s="526"/>
      <c r="Z475" s="526"/>
      <c r="AA475" s="526"/>
      <c r="AB475" s="526"/>
      <c r="AC475" s="526"/>
      <c r="AD475" s="526"/>
      <c r="AE475" s="526"/>
      <c r="AF475" s="526"/>
      <c r="AG475" s="526"/>
      <c r="AH475" s="526"/>
      <c r="AI475" s="526"/>
      <c r="AJ475" s="526"/>
      <c r="AQ475" s="712"/>
    </row>
    <row r="476" spans="11:45" ht="21">
      <c r="K476" s="712"/>
      <c r="L476" s="502"/>
      <c r="M476" s="502"/>
      <c r="O476" s="526"/>
      <c r="P476" s="526"/>
      <c r="Q476" s="526"/>
      <c r="R476" s="526"/>
      <c r="S476" s="526"/>
      <c r="T476" s="526"/>
      <c r="U476" s="526"/>
      <c r="V476" s="526"/>
      <c r="W476" s="526"/>
      <c r="X476" s="526"/>
      <c r="Y476" s="526"/>
      <c r="Z476" s="526"/>
      <c r="AA476" s="526"/>
      <c r="AB476" s="526"/>
      <c r="AC476" s="526"/>
      <c r="AD476" s="683"/>
      <c r="AE476" s="526"/>
      <c r="AF476" s="526"/>
      <c r="AG476" s="526"/>
      <c r="AH476" s="526"/>
      <c r="AI476" s="526"/>
      <c r="AJ476" s="526"/>
      <c r="AQ476" s="712"/>
    </row>
    <row r="477" spans="11:45" ht="21">
      <c r="K477" s="712"/>
      <c r="L477" s="502"/>
      <c r="M477" s="502"/>
      <c r="O477" s="526"/>
      <c r="P477" s="526"/>
      <c r="Q477" s="526"/>
      <c r="R477" s="526"/>
      <c r="S477" s="526"/>
      <c r="T477" s="526"/>
      <c r="U477" s="526"/>
      <c r="V477" s="526"/>
      <c r="W477" s="526"/>
      <c r="X477" s="526"/>
      <c r="Y477" s="526"/>
      <c r="Z477" s="526"/>
      <c r="AA477" s="526"/>
      <c r="AB477" s="526"/>
      <c r="AC477" s="526"/>
      <c r="AD477" s="526"/>
      <c r="AE477" s="526"/>
      <c r="AF477" s="526"/>
      <c r="AG477" s="526"/>
      <c r="AH477" s="526"/>
      <c r="AI477" s="526"/>
      <c r="AJ477" s="526"/>
      <c r="AQ477" s="712"/>
    </row>
    <row r="478" spans="11:45" ht="21">
      <c r="K478" s="712"/>
      <c r="L478" s="502"/>
      <c r="M478" s="502"/>
      <c r="O478" s="526"/>
      <c r="P478" s="526"/>
      <c r="Q478" s="526"/>
      <c r="R478" s="526"/>
      <c r="S478" s="526"/>
      <c r="T478" s="526"/>
      <c r="U478" s="526"/>
      <c r="V478" s="526"/>
      <c r="W478" s="526"/>
      <c r="X478" s="526"/>
      <c r="Y478" s="526"/>
      <c r="Z478" s="526"/>
      <c r="AA478" s="526"/>
      <c r="AB478" s="526"/>
      <c r="AC478" s="526"/>
      <c r="AD478" s="526"/>
      <c r="AE478" s="526"/>
      <c r="AF478" s="526"/>
      <c r="AG478" s="526"/>
      <c r="AH478" s="526"/>
      <c r="AI478" s="526"/>
      <c r="AJ478" s="526"/>
      <c r="AQ478" s="712"/>
    </row>
    <row r="479" spans="11:45" ht="21">
      <c r="K479" s="712"/>
      <c r="L479" s="502"/>
      <c r="M479" s="502"/>
      <c r="O479" s="526"/>
      <c r="P479" s="526"/>
      <c r="Q479" s="526"/>
      <c r="R479" s="526"/>
      <c r="S479" s="526"/>
      <c r="T479" s="526"/>
      <c r="U479" s="526"/>
      <c r="V479" s="526"/>
      <c r="W479" s="526"/>
      <c r="X479" s="526"/>
      <c r="Y479" s="526"/>
      <c r="Z479" s="526"/>
      <c r="AA479" s="526"/>
      <c r="AB479" s="526"/>
      <c r="AC479" s="526"/>
      <c r="AD479" s="526"/>
      <c r="AE479" s="526"/>
      <c r="AF479" s="526"/>
      <c r="AG479" s="526"/>
      <c r="AH479" s="526"/>
      <c r="AI479" s="526"/>
      <c r="AJ479" s="526"/>
      <c r="AQ479" s="712"/>
    </row>
    <row r="480" spans="11:45" ht="21">
      <c r="K480" s="712"/>
      <c r="L480" s="502"/>
      <c r="M480" s="502"/>
      <c r="O480" s="526"/>
      <c r="P480" s="526"/>
      <c r="Q480" s="526"/>
      <c r="R480" s="526"/>
      <c r="S480" s="526"/>
      <c r="T480" s="526"/>
      <c r="U480" s="526"/>
      <c r="V480" s="526"/>
      <c r="W480" s="526"/>
      <c r="X480" s="526"/>
      <c r="Y480" s="526"/>
      <c r="Z480" s="526"/>
      <c r="AA480" s="526"/>
      <c r="AB480" s="526"/>
      <c r="AC480" s="526"/>
      <c r="AD480" s="526"/>
      <c r="AE480" s="526"/>
      <c r="AF480" s="526"/>
      <c r="AG480" s="526"/>
      <c r="AH480" s="526"/>
      <c r="AI480" s="526"/>
      <c r="AJ480" s="526"/>
      <c r="AQ480" s="712"/>
    </row>
    <row r="481" spans="11:43" ht="22" thickBot="1">
      <c r="K481" s="712"/>
      <c r="L481" s="502"/>
      <c r="M481" s="502"/>
      <c r="N481" s="707" t="s">
        <v>335</v>
      </c>
      <c r="O481" s="526"/>
      <c r="P481" s="526"/>
      <c r="Q481" s="526"/>
      <c r="R481" s="526"/>
      <c r="S481" s="526"/>
      <c r="T481" s="545" t="s">
        <v>114</v>
      </c>
      <c r="U481" s="545"/>
      <c r="V481" s="545"/>
      <c r="W481" s="545"/>
      <c r="X481" s="545"/>
      <c r="Y481" s="545"/>
      <c r="Z481" s="642" t="s">
        <v>349</v>
      </c>
      <c r="AA481" s="545"/>
      <c r="AB481" s="545"/>
      <c r="AC481" s="545"/>
      <c r="AD481" s="545"/>
      <c r="AE481" s="545"/>
      <c r="AF481" s="545" t="s">
        <v>351</v>
      </c>
      <c r="AG481" s="526"/>
      <c r="AH481" s="526"/>
      <c r="AI481" s="526"/>
      <c r="AJ481" s="526"/>
      <c r="AQ481" s="712"/>
    </row>
    <row r="482" spans="11:43" ht="22" thickBot="1">
      <c r="K482" s="712"/>
      <c r="L482" s="502"/>
      <c r="M482" s="502"/>
      <c r="N482" s="708"/>
      <c r="O482" s="526"/>
      <c r="P482" s="526"/>
      <c r="Q482" s="526"/>
      <c r="R482" s="526"/>
      <c r="S482" s="526"/>
      <c r="T482" s="584">
        <v>2021</v>
      </c>
      <c r="U482" s="585">
        <v>2022</v>
      </c>
      <c r="V482" s="585">
        <v>2023</v>
      </c>
      <c r="W482" s="585">
        <v>2024</v>
      </c>
      <c r="X482" s="586">
        <v>2025</v>
      </c>
      <c r="Y482" s="526"/>
      <c r="Z482" s="584">
        <v>2021</v>
      </c>
      <c r="AA482" s="585">
        <v>2022</v>
      </c>
      <c r="AB482" s="585">
        <v>2023</v>
      </c>
      <c r="AC482" s="585">
        <v>2024</v>
      </c>
      <c r="AD482" s="586">
        <v>2025</v>
      </c>
      <c r="AE482" s="526"/>
      <c r="AF482" s="584">
        <v>2021</v>
      </c>
      <c r="AG482" s="585">
        <v>2022</v>
      </c>
      <c r="AH482" s="585">
        <v>2023</v>
      </c>
      <c r="AI482" s="585">
        <v>2024</v>
      </c>
      <c r="AJ482" s="586">
        <v>2025</v>
      </c>
      <c r="AQ482" s="712"/>
    </row>
    <row r="483" spans="11:43" ht="21">
      <c r="K483" s="712"/>
      <c r="L483" s="502"/>
      <c r="M483" s="502"/>
      <c r="N483" s="1481"/>
      <c r="O483" s="716" t="s">
        <v>492</v>
      </c>
      <c r="P483" s="528"/>
      <c r="Q483" s="528"/>
      <c r="R483" s="528"/>
      <c r="S483" s="528"/>
      <c r="T483" s="587">
        <f t="shared" ref="T483:T495" si="53">Z483+AF483</f>
        <v>4752</v>
      </c>
      <c r="U483" s="588">
        <f t="shared" ref="U483:U495" si="54">AA483+AG483</f>
        <v>8640</v>
      </c>
      <c r="V483" s="588">
        <f t="shared" ref="V483:V495" si="55">AB483+AH483</f>
        <v>8208</v>
      </c>
      <c r="W483" s="588">
        <f t="shared" ref="W483:W495" si="56">AC483+AI483</f>
        <v>8208</v>
      </c>
      <c r="X483" s="589">
        <f t="shared" ref="X483:X495" si="57">AD483+AJ483</f>
        <v>7776</v>
      </c>
      <c r="Y483" s="526"/>
      <c r="Z483" s="592">
        <f>SUMIF(O463:O474,O483,Z463:Z474)</f>
        <v>0</v>
      </c>
      <c r="AA483" s="593">
        <f>SUMIF(O463:O474,O483,AA463:AA474)</f>
        <v>0</v>
      </c>
      <c r="AB483" s="593">
        <f>SUMIF(O463:O474,O483,AB463:AB474)</f>
        <v>0</v>
      </c>
      <c r="AC483" s="593">
        <f>SUMIF(O463:O474,O483,AC463:AC474)</f>
        <v>8208</v>
      </c>
      <c r="AD483" s="594">
        <f>SUMIF(O463:O474,O483,AD463:AD474)</f>
        <v>7776</v>
      </c>
      <c r="AE483" s="526"/>
      <c r="AF483" s="592">
        <f>SUMIF(O463:O474,O483,AF463:AF474)</f>
        <v>4752</v>
      </c>
      <c r="AG483" s="593">
        <f>SUMIF(O463:O474,O483,AG463:AG474)</f>
        <v>8640</v>
      </c>
      <c r="AH483" s="593">
        <f>SUMIF(O463:O474,O483,AH463:AH474)</f>
        <v>8208</v>
      </c>
      <c r="AI483" s="593">
        <f>SUMIF(O463:O474,O483,AI463:AI474)</f>
        <v>0</v>
      </c>
      <c r="AJ483" s="594">
        <f>SUMIF(O463:O474,O483,AJ463:AJ474)</f>
        <v>0</v>
      </c>
      <c r="AQ483" s="712"/>
    </row>
    <row r="484" spans="11:43" ht="21">
      <c r="K484" s="712"/>
      <c r="L484" s="502"/>
      <c r="M484" s="502"/>
      <c r="N484" s="1481"/>
      <c r="O484" s="714" t="s">
        <v>493</v>
      </c>
      <c r="P484" s="715"/>
      <c r="Q484" s="715"/>
      <c r="R484" s="715"/>
      <c r="S484" s="715"/>
      <c r="T484" s="592">
        <f t="shared" si="53"/>
        <v>14256</v>
      </c>
      <c r="U484" s="593">
        <f t="shared" si="54"/>
        <v>25920</v>
      </c>
      <c r="V484" s="593">
        <f t="shared" si="55"/>
        <v>24624</v>
      </c>
      <c r="W484" s="593">
        <f t="shared" si="56"/>
        <v>24624</v>
      </c>
      <c r="X484" s="594">
        <f t="shared" si="57"/>
        <v>23328</v>
      </c>
      <c r="Y484" s="526"/>
      <c r="Z484" s="592">
        <f>SUMIF(O463:O474,O484,Z463:Z474)</f>
        <v>0</v>
      </c>
      <c r="AA484" s="593">
        <f>SUMIF(O463:O474,O484,AA463:AA474)</f>
        <v>0</v>
      </c>
      <c r="AB484" s="593">
        <f>SUMIF(O463:O474,O484,AB463:AB474)</f>
        <v>0</v>
      </c>
      <c r="AC484" s="593">
        <f>SUMIF(O463:O474,O484,AC463:AC474)</f>
        <v>24624</v>
      </c>
      <c r="AD484" s="594">
        <f>SUMIF(O463:O474,O484,AD463:AD474)</f>
        <v>23328</v>
      </c>
      <c r="AE484" s="526"/>
      <c r="AF484" s="592">
        <f>SUMIF(O463:O474,O484,AF463:AF474)</f>
        <v>14256</v>
      </c>
      <c r="AG484" s="593">
        <f>SUMIF(O463:O474,O484,AG463:AG474)</f>
        <v>25920</v>
      </c>
      <c r="AH484" s="593">
        <f>SUMIF(O463:O474,O484,AH463:AH474)</f>
        <v>24624</v>
      </c>
      <c r="AI484" s="593">
        <f>SUMIF(O463:O474,O484,AI463:AI474)</f>
        <v>0</v>
      </c>
      <c r="AJ484" s="594">
        <f>SUMIF(O463:O474,O484,AJ463:AJ474)</f>
        <v>0</v>
      </c>
      <c r="AQ484" s="712"/>
    </row>
    <row r="485" spans="11:43" ht="21">
      <c r="K485" s="712"/>
      <c r="L485" s="502"/>
      <c r="M485" s="502"/>
      <c r="N485" s="1481"/>
      <c r="O485" s="714" t="s">
        <v>494</v>
      </c>
      <c r="P485" s="715"/>
      <c r="Q485" s="715"/>
      <c r="R485" s="715"/>
      <c r="S485" s="715"/>
      <c r="T485" s="592">
        <f t="shared" si="53"/>
        <v>7128</v>
      </c>
      <c r="U485" s="593">
        <f t="shared" si="54"/>
        <v>12960</v>
      </c>
      <c r="V485" s="593">
        <f t="shared" si="55"/>
        <v>12312</v>
      </c>
      <c r="W485" s="593">
        <f t="shared" si="56"/>
        <v>12312</v>
      </c>
      <c r="X485" s="594">
        <f t="shared" si="57"/>
        <v>11664</v>
      </c>
      <c r="Y485" s="526"/>
      <c r="Z485" s="592">
        <f>SUMIF(O463:O474,O485,Z463:Z474)</f>
        <v>0</v>
      </c>
      <c r="AA485" s="593">
        <f>SUMIF(O463:O474,O485,AA463:AA474)</f>
        <v>0</v>
      </c>
      <c r="AB485" s="593">
        <f>SUMIF(O463:O474,O485,AB463:AB474)</f>
        <v>0</v>
      </c>
      <c r="AC485" s="593">
        <f>SUMIF(O463:O474,O485,AC463:AC474)</f>
        <v>12312</v>
      </c>
      <c r="AD485" s="594">
        <f>SUMIF(O463:O474,O485,AD463:AD474)</f>
        <v>11664</v>
      </c>
      <c r="AE485" s="526"/>
      <c r="AF485" s="592">
        <f>SUMIF(O463:O474,O485,AF463:AF474)</f>
        <v>7128</v>
      </c>
      <c r="AG485" s="593">
        <f>SUMIF(O463:O474,O485,AG463:AG474)</f>
        <v>12960</v>
      </c>
      <c r="AH485" s="593">
        <f>SUMIF(O463:O474,O485,AH463:AH474)</f>
        <v>12312</v>
      </c>
      <c r="AI485" s="593">
        <f>SUMIF(O463:O474,O485,AI463:AI474)</f>
        <v>0</v>
      </c>
      <c r="AJ485" s="594">
        <f>SUMIF(O463:O474,O485,AJ463:AJ474)</f>
        <v>0</v>
      </c>
      <c r="AQ485" s="712"/>
    </row>
    <row r="486" spans="11:43" ht="21">
      <c r="K486" s="712"/>
      <c r="L486" s="502"/>
      <c r="M486" s="502"/>
      <c r="N486" s="1481"/>
      <c r="O486" s="714" t="s">
        <v>495</v>
      </c>
      <c r="P486" s="715"/>
      <c r="Q486" s="715"/>
      <c r="R486" s="715"/>
      <c r="S486" s="715"/>
      <c r="T486" s="592">
        <f t="shared" si="53"/>
        <v>8910</v>
      </c>
      <c r="U486" s="593">
        <f t="shared" si="54"/>
        <v>16200</v>
      </c>
      <c r="V486" s="593">
        <f t="shared" si="55"/>
        <v>15390</v>
      </c>
      <c r="W486" s="593">
        <f t="shared" si="56"/>
        <v>15390</v>
      </c>
      <c r="X486" s="594">
        <f t="shared" si="57"/>
        <v>14580</v>
      </c>
      <c r="Y486" s="526"/>
      <c r="Z486" s="592">
        <f>SUMIF(O463:O474,O486,Z463:Z474)</f>
        <v>0</v>
      </c>
      <c r="AA486" s="593">
        <f>SUMIF(O463:O474,O486,AA463:AA474)</f>
        <v>0</v>
      </c>
      <c r="AB486" s="593">
        <f>SUMIF(O463:O474,O486,AB463:AB474)</f>
        <v>0</v>
      </c>
      <c r="AC486" s="593">
        <f>SUMIF(O463:O474,O486,AC463:AC474)</f>
        <v>15390</v>
      </c>
      <c r="AD486" s="594">
        <f>SUMIF(O463:O474,O486,AD463:AD474)</f>
        <v>14580</v>
      </c>
      <c r="AE486" s="526"/>
      <c r="AF486" s="592">
        <f>SUMIF(O463:O474,O486,AF463:AF474)</f>
        <v>8910</v>
      </c>
      <c r="AG486" s="593">
        <f>SUMIF(O463:O474,O486,AG463:AG474)</f>
        <v>16200</v>
      </c>
      <c r="AH486" s="593">
        <f>SUMIF(O463:O474,O486,AH463:AH474)</f>
        <v>15390</v>
      </c>
      <c r="AI486" s="593">
        <f>SUMIF(O463:O474,O486,AI463:AI474)</f>
        <v>0</v>
      </c>
      <c r="AJ486" s="594">
        <f>SUMIF(O463:O474,O486,AJ463:AJ474)</f>
        <v>0</v>
      </c>
      <c r="AQ486" s="712"/>
    </row>
    <row r="487" spans="11:43" ht="21">
      <c r="K487" s="712"/>
      <c r="L487" s="502"/>
      <c r="M487" s="502"/>
      <c r="N487" s="1481"/>
      <c r="O487" s="714" t="s">
        <v>496</v>
      </c>
      <c r="P487" s="715"/>
      <c r="Q487" s="715"/>
      <c r="R487" s="715"/>
      <c r="S487" s="715"/>
      <c r="T487" s="592">
        <f t="shared" si="53"/>
        <v>23760</v>
      </c>
      <c r="U487" s="593">
        <f t="shared" si="54"/>
        <v>43200</v>
      </c>
      <c r="V487" s="593">
        <f t="shared" si="55"/>
        <v>41040</v>
      </c>
      <c r="W487" s="593">
        <f t="shared" si="56"/>
        <v>41040</v>
      </c>
      <c r="X487" s="594">
        <f t="shared" si="57"/>
        <v>38880</v>
      </c>
      <c r="Y487" s="526"/>
      <c r="Z487" s="592">
        <f>SUMIF(O463:O474,O487,Z463:Z474)</f>
        <v>0</v>
      </c>
      <c r="AA487" s="593">
        <f>SUMIF(O463:O474,O487,AA463:AA474)</f>
        <v>0</v>
      </c>
      <c r="AB487" s="593">
        <f>SUMIF(O463:O474,O487,AB463:AB474)</f>
        <v>0</v>
      </c>
      <c r="AC487" s="593">
        <f>SUMIF(O463:O474,O487,AC463:AC474)</f>
        <v>41040</v>
      </c>
      <c r="AD487" s="594">
        <f>SUMIF(O463:O474,O487,AD463:AD474)</f>
        <v>38880</v>
      </c>
      <c r="AE487" s="526"/>
      <c r="AF487" s="592">
        <f>SUMIF(O463:O474,O487,AF463:AF474)</f>
        <v>23760</v>
      </c>
      <c r="AG487" s="593">
        <f>SUMIF(O463:O474,O487,AG463:AG474)</f>
        <v>43200</v>
      </c>
      <c r="AH487" s="593">
        <f>SUMIF(O463:O474,O487,AH463:AH474)</f>
        <v>41040</v>
      </c>
      <c r="AI487" s="593">
        <f>SUMIF(O463:O474,O487,AI463:AI474)</f>
        <v>0</v>
      </c>
      <c r="AJ487" s="594">
        <f>SUMIF(O463:O474,O487,AJ463:AJ474)</f>
        <v>0</v>
      </c>
      <c r="AQ487" s="712"/>
    </row>
    <row r="488" spans="11:43" ht="21">
      <c r="K488" s="712"/>
      <c r="L488" s="502"/>
      <c r="M488" s="502"/>
      <c r="N488" s="1481"/>
      <c r="O488" s="714" t="s">
        <v>497</v>
      </c>
      <c r="P488" s="715"/>
      <c r="Q488" s="715"/>
      <c r="R488" s="715"/>
      <c r="S488" s="715"/>
      <c r="T488" s="592">
        <f t="shared" si="53"/>
        <v>5940</v>
      </c>
      <c r="U488" s="593">
        <f t="shared" si="54"/>
        <v>10800</v>
      </c>
      <c r="V488" s="593">
        <f t="shared" si="55"/>
        <v>10260</v>
      </c>
      <c r="W488" s="593">
        <f t="shared" si="56"/>
        <v>10260</v>
      </c>
      <c r="X488" s="594">
        <f t="shared" si="57"/>
        <v>9720</v>
      </c>
      <c r="Y488" s="526"/>
      <c r="Z488" s="592">
        <f>SUMIF(O463:O474,O488,Z463:Z474)</f>
        <v>0</v>
      </c>
      <c r="AA488" s="593">
        <f>SUMIF(O463:O474,O488,AA463:AA474)</f>
        <v>0</v>
      </c>
      <c r="AB488" s="593">
        <f>SUMIF(O463:O474,O488,AB463:AB474)</f>
        <v>0</v>
      </c>
      <c r="AC488" s="593">
        <f>SUMIF(O463:O474,O488,AC463:AC474)</f>
        <v>10260</v>
      </c>
      <c r="AD488" s="594">
        <f>SUMIF(O463:O474,O488,AD463:AD474)</f>
        <v>9720</v>
      </c>
      <c r="AE488" s="526"/>
      <c r="AF488" s="592">
        <f>SUMIF(O463:O474,O488,AF463:AF474)</f>
        <v>5940</v>
      </c>
      <c r="AG488" s="593">
        <f>SUMIF(O463:O474,O488,AG463:AG474)</f>
        <v>10800</v>
      </c>
      <c r="AH488" s="593">
        <f>SUMIF(O463:O474,O488,AH463:AH474)</f>
        <v>10260</v>
      </c>
      <c r="AI488" s="593">
        <f>SUMIF(O463:O474,O488,AI463:AI474)</f>
        <v>0</v>
      </c>
      <c r="AJ488" s="594">
        <f>SUMIF(O463:O474,O488,AJ463:AJ474)</f>
        <v>0</v>
      </c>
      <c r="AQ488" s="712"/>
    </row>
    <row r="489" spans="11:43" ht="21">
      <c r="K489" s="712"/>
      <c r="L489" s="502"/>
      <c r="M489" s="502"/>
      <c r="N489" s="1481"/>
      <c r="O489" s="714" t="s">
        <v>498</v>
      </c>
      <c r="P489" s="715"/>
      <c r="Q489" s="715"/>
      <c r="R489" s="715"/>
      <c r="S489" s="715"/>
      <c r="T489" s="592">
        <f t="shared" si="53"/>
        <v>4752</v>
      </c>
      <c r="U489" s="593">
        <f t="shared" si="54"/>
        <v>8640</v>
      </c>
      <c r="V489" s="593">
        <f t="shared" si="55"/>
        <v>8208</v>
      </c>
      <c r="W489" s="593">
        <f t="shared" si="56"/>
        <v>8208</v>
      </c>
      <c r="X489" s="594">
        <f t="shared" si="57"/>
        <v>7776</v>
      </c>
      <c r="Y489" s="526"/>
      <c r="Z489" s="592">
        <f>SUMIF(O463:O474,O489,Z463:Z474)</f>
        <v>0</v>
      </c>
      <c r="AA489" s="593">
        <f>SUMIF(O463:O474,O489,AA463:AA474)</f>
        <v>0</v>
      </c>
      <c r="AB489" s="593">
        <f>SUMIF(O463:O474,O489,AB463:AB474)</f>
        <v>0</v>
      </c>
      <c r="AC489" s="593">
        <f>SUMIF(O463:O474,O489,AC463:AC474)</f>
        <v>8208</v>
      </c>
      <c r="AD489" s="594">
        <f>SUMIF(O463:O474,O489,AD463:AD474)</f>
        <v>7776</v>
      </c>
      <c r="AE489" s="526"/>
      <c r="AF489" s="592">
        <f>SUMIF(O463:O474,O489,AF463:AF474)</f>
        <v>4752</v>
      </c>
      <c r="AG489" s="593">
        <f>SUMIF(O463:O474,O489,AG463:AG474)</f>
        <v>8640</v>
      </c>
      <c r="AH489" s="593">
        <f>SUMIF(O463:O474,O489,AH463:AH474)</f>
        <v>8208</v>
      </c>
      <c r="AI489" s="593">
        <f>SUMIF(O463:O474,O489,AI463:AI474)</f>
        <v>0</v>
      </c>
      <c r="AJ489" s="594">
        <f>SUMIF(O463:O474,O489,AJ463:AJ474)</f>
        <v>0</v>
      </c>
      <c r="AQ489" s="712"/>
    </row>
    <row r="490" spans="11:43" ht="21">
      <c r="K490" s="712"/>
      <c r="L490" s="502"/>
      <c r="M490" s="502"/>
      <c r="N490" s="1481"/>
      <c r="O490" s="714" t="s">
        <v>499</v>
      </c>
      <c r="P490" s="715"/>
      <c r="Q490" s="715"/>
      <c r="R490" s="715"/>
      <c r="S490" s="715"/>
      <c r="T490" s="592">
        <f t="shared" si="53"/>
        <v>5940</v>
      </c>
      <c r="U490" s="593">
        <f t="shared" si="54"/>
        <v>10800</v>
      </c>
      <c r="V490" s="593">
        <f t="shared" si="55"/>
        <v>10260</v>
      </c>
      <c r="W490" s="593">
        <f t="shared" si="56"/>
        <v>10260</v>
      </c>
      <c r="X490" s="594">
        <f t="shared" si="57"/>
        <v>9720</v>
      </c>
      <c r="Y490" s="526"/>
      <c r="Z490" s="592">
        <f>SUMIF(O463:O474,O490,Z463:Z474)</f>
        <v>0</v>
      </c>
      <c r="AA490" s="593">
        <f>SUMIF(O463:O474,O490,AA463:AA474)</f>
        <v>0</v>
      </c>
      <c r="AB490" s="593">
        <f>SUMIF(O463:O474,O490,AB463:AB474)</f>
        <v>0</v>
      </c>
      <c r="AC490" s="593">
        <f>SUMIF(O463:O474,O490,AC463:AC474)</f>
        <v>10260</v>
      </c>
      <c r="AD490" s="594">
        <f>SUMIF(O463:O474,O490,AD463:AD474)</f>
        <v>9720</v>
      </c>
      <c r="AE490" s="526"/>
      <c r="AF490" s="592">
        <f>SUMIF(O463:O474,O490,AF463:AF474)</f>
        <v>5940</v>
      </c>
      <c r="AG490" s="593">
        <f>SUMIF(O463:O474,O490,AG463:AG474)</f>
        <v>10800</v>
      </c>
      <c r="AH490" s="593">
        <f>SUMIF(O463:O474,O490,AH463:AH474)</f>
        <v>10260</v>
      </c>
      <c r="AI490" s="593">
        <f>SUMIF(O463:O474,O490,AI463:AI474)</f>
        <v>0</v>
      </c>
      <c r="AJ490" s="594">
        <f>SUMIF(O463:O474,O490,AJ463:AJ474)</f>
        <v>0</v>
      </c>
      <c r="AQ490" s="712"/>
    </row>
    <row r="491" spans="11:43" ht="21">
      <c r="K491" s="712"/>
      <c r="L491" s="502"/>
      <c r="M491" s="502"/>
      <c r="N491" s="1481"/>
      <c r="O491" s="714"/>
      <c r="P491" s="715"/>
      <c r="Q491" s="715"/>
      <c r="R491" s="715"/>
      <c r="S491" s="715"/>
      <c r="T491" s="592">
        <f t="shared" si="53"/>
        <v>0</v>
      </c>
      <c r="U491" s="593">
        <f t="shared" si="54"/>
        <v>0</v>
      </c>
      <c r="V491" s="593">
        <f t="shared" si="55"/>
        <v>0</v>
      </c>
      <c r="W491" s="593">
        <f t="shared" si="56"/>
        <v>0</v>
      </c>
      <c r="X491" s="594">
        <f t="shared" si="57"/>
        <v>0</v>
      </c>
      <c r="Y491" s="526"/>
      <c r="Z491" s="592">
        <f>SUMIF(O463:O474,O491,Z463:Z474)</f>
        <v>0</v>
      </c>
      <c r="AA491" s="593">
        <f>SUMIF(O463:O474,O491,AA463:AA474)</f>
        <v>0</v>
      </c>
      <c r="AB491" s="593">
        <f>SUMIF(O463:O474,O491,AB463:AB474)</f>
        <v>0</v>
      </c>
      <c r="AC491" s="593">
        <f>SUMIF(O463:O474,O491,AC463:AC474)</f>
        <v>0</v>
      </c>
      <c r="AD491" s="594">
        <f>SUMIF(O463:O474,O491,AD463:AD474)</f>
        <v>0</v>
      </c>
      <c r="AE491" s="526"/>
      <c r="AF491" s="592">
        <f>SUMIF(O463:O474,O491,AF463:AF474)</f>
        <v>0</v>
      </c>
      <c r="AG491" s="593">
        <f>SUMIF(O463:O474,O491,AG463:AG474)</f>
        <v>0</v>
      </c>
      <c r="AH491" s="593">
        <f>SUMIF(O463:O474,O491,AH463:AH474)</f>
        <v>0</v>
      </c>
      <c r="AI491" s="593">
        <f>SUMIF(O463:O474,O491,AI463:AI474)</f>
        <v>0</v>
      </c>
      <c r="AJ491" s="594">
        <f>SUMIF(O463:O474,O491,AJ463:AJ474)</f>
        <v>0</v>
      </c>
      <c r="AQ491" s="712"/>
    </row>
    <row r="492" spans="11:43" ht="21">
      <c r="K492" s="712"/>
      <c r="L492" s="502"/>
      <c r="M492" s="502"/>
      <c r="N492" s="1481"/>
      <c r="O492" s="714"/>
      <c r="P492" s="715"/>
      <c r="Q492" s="715"/>
      <c r="R492" s="715"/>
      <c r="S492" s="715"/>
      <c r="T492" s="592">
        <f t="shared" si="53"/>
        <v>0</v>
      </c>
      <c r="U492" s="593">
        <f t="shared" si="54"/>
        <v>0</v>
      </c>
      <c r="V492" s="593">
        <f t="shared" si="55"/>
        <v>0</v>
      </c>
      <c r="W492" s="593">
        <f t="shared" si="56"/>
        <v>0</v>
      </c>
      <c r="X492" s="594">
        <f t="shared" si="57"/>
        <v>0</v>
      </c>
      <c r="Y492" s="526"/>
      <c r="Z492" s="592">
        <f>SUMIF(O463:O474,O492,Z463:Z474)</f>
        <v>0</v>
      </c>
      <c r="AA492" s="593">
        <f>SUMIF(O463:O474,O492,AA463:AA474)</f>
        <v>0</v>
      </c>
      <c r="AB492" s="593">
        <f>SUMIF(O463:O474,O492,AB463:AB474)</f>
        <v>0</v>
      </c>
      <c r="AC492" s="593">
        <f>SUMIF(O463:O474,O492,AC463:AC474)</f>
        <v>0</v>
      </c>
      <c r="AD492" s="594">
        <f>SUMIF(O463:O474,O492,AD463:AD474)</f>
        <v>0</v>
      </c>
      <c r="AE492" s="526"/>
      <c r="AF492" s="592">
        <f>SUMIF(O463:O474,O492,AF463:AF474)</f>
        <v>0</v>
      </c>
      <c r="AG492" s="593">
        <f>SUMIF(O463:O474,O492,AG463:AG474)</f>
        <v>0</v>
      </c>
      <c r="AH492" s="593">
        <f>SUMIF(O463:O474,O492,AH463:AH474)</f>
        <v>0</v>
      </c>
      <c r="AI492" s="593">
        <f>SUMIF(O463:O474,O492,AI463:AI474)</f>
        <v>0</v>
      </c>
      <c r="AJ492" s="594">
        <f>SUMIF(O463:O474,O492,AJ463:AJ474)</f>
        <v>0</v>
      </c>
      <c r="AQ492" s="712"/>
    </row>
    <row r="493" spans="11:43" ht="21">
      <c r="K493" s="712"/>
      <c r="L493" s="502"/>
      <c r="M493" s="502"/>
      <c r="N493" s="1481"/>
      <c r="O493" s="714"/>
      <c r="P493" s="715"/>
      <c r="Q493" s="715"/>
      <c r="R493" s="715"/>
      <c r="S493" s="715"/>
      <c r="T493" s="592">
        <f t="shared" si="53"/>
        <v>0</v>
      </c>
      <c r="U493" s="593">
        <f t="shared" si="54"/>
        <v>0</v>
      </c>
      <c r="V493" s="593">
        <f t="shared" si="55"/>
        <v>0</v>
      </c>
      <c r="W493" s="593">
        <f t="shared" si="56"/>
        <v>0</v>
      </c>
      <c r="X493" s="594">
        <f t="shared" si="57"/>
        <v>0</v>
      </c>
      <c r="Y493" s="526"/>
      <c r="Z493" s="592">
        <f>SUMIF(O463:O474,O493,Z463:Z474)</f>
        <v>0</v>
      </c>
      <c r="AA493" s="593">
        <f>SUMIF(O463:O474,O493,AA463:AA474)</f>
        <v>0</v>
      </c>
      <c r="AB493" s="593">
        <f>SUMIF(O463:O474,O493,AB463:AB474)</f>
        <v>0</v>
      </c>
      <c r="AC493" s="593">
        <f>SUMIF(O463:O474,O493,AC463:AC474)</f>
        <v>0</v>
      </c>
      <c r="AD493" s="594">
        <f>SUMIF(O463:O474,O493,AD463:AD474)</f>
        <v>0</v>
      </c>
      <c r="AE493" s="526"/>
      <c r="AF493" s="592">
        <f>SUMIF(O463:O474,O493,AF463:AF474)</f>
        <v>0</v>
      </c>
      <c r="AG493" s="593">
        <f>SUMIF(O463:O474,O493,AG463:AG474)</f>
        <v>0</v>
      </c>
      <c r="AH493" s="593">
        <f>SUMIF(O463:O474,O493,AH463:AH474)</f>
        <v>0</v>
      </c>
      <c r="AI493" s="593">
        <f>SUMIF(O463:O474,O493,AI463:AI474)</f>
        <v>0</v>
      </c>
      <c r="AJ493" s="594">
        <f>SUMIF(O463:O474,O493,AJ463:AJ474)</f>
        <v>0</v>
      </c>
      <c r="AQ493" s="712"/>
    </row>
    <row r="494" spans="11:43" ht="21">
      <c r="K494" s="712"/>
      <c r="L494" s="502"/>
      <c r="M494" s="502"/>
      <c r="N494" s="1481"/>
      <c r="O494" s="714"/>
      <c r="P494" s="715"/>
      <c r="Q494" s="715"/>
      <c r="R494" s="715"/>
      <c r="S494" s="715"/>
      <c r="T494" s="592">
        <f t="shared" si="53"/>
        <v>0</v>
      </c>
      <c r="U494" s="593">
        <f t="shared" si="54"/>
        <v>0</v>
      </c>
      <c r="V494" s="593">
        <f t="shared" si="55"/>
        <v>0</v>
      </c>
      <c r="W494" s="593">
        <f t="shared" si="56"/>
        <v>0</v>
      </c>
      <c r="X494" s="594">
        <f t="shared" si="57"/>
        <v>0</v>
      </c>
      <c r="Y494" s="526"/>
      <c r="Z494" s="592">
        <f>SUMIF(O463:O474,O494,Z463:Z474)</f>
        <v>0</v>
      </c>
      <c r="AA494" s="593">
        <f>SUMIF(O463:O474,O494,AA463:AA474)</f>
        <v>0</v>
      </c>
      <c r="AB494" s="593">
        <f>SUMIF(O463:O474,O494,AB463:AB474)</f>
        <v>0</v>
      </c>
      <c r="AC494" s="593">
        <f>SUMIF(O463:O474,O494,AC463:AC474)</f>
        <v>0</v>
      </c>
      <c r="AD494" s="594">
        <f>SUMIF(O463:O474,O494,AD463:AD474)</f>
        <v>0</v>
      </c>
      <c r="AE494" s="526"/>
      <c r="AF494" s="592">
        <f>SUMIF(O463:O474,O494,AF463:AF474)</f>
        <v>0</v>
      </c>
      <c r="AG494" s="593">
        <f>SUMIF(O463:O474,O494,AG463:AG474)</f>
        <v>0</v>
      </c>
      <c r="AH494" s="593">
        <f>SUMIF(O463:O474,O494,AH463:AH474)</f>
        <v>0</v>
      </c>
      <c r="AI494" s="593">
        <f>SUMIF(O463:O474,O494,AI463:AI474)</f>
        <v>0</v>
      </c>
      <c r="AJ494" s="594">
        <f>SUMIF(O463:O474,O494,AJ463:AJ474)</f>
        <v>0</v>
      </c>
      <c r="AQ494" s="712"/>
    </row>
    <row r="495" spans="11:43" ht="22" thickBot="1">
      <c r="K495" s="712"/>
      <c r="L495" s="502"/>
      <c r="M495" s="502"/>
      <c r="N495" s="1481"/>
      <c r="O495" s="595"/>
      <c r="P495" s="596"/>
      <c r="Q495" s="596"/>
      <c r="R495" s="596"/>
      <c r="S495" s="596"/>
      <c r="T495" s="597">
        <f t="shared" si="53"/>
        <v>0</v>
      </c>
      <c r="U495" s="598">
        <f t="shared" si="54"/>
        <v>0</v>
      </c>
      <c r="V495" s="598">
        <f t="shared" si="55"/>
        <v>0</v>
      </c>
      <c r="W495" s="598">
        <f t="shared" si="56"/>
        <v>0</v>
      </c>
      <c r="X495" s="599">
        <f t="shared" si="57"/>
        <v>0</v>
      </c>
      <c r="Y495" s="526"/>
      <c r="Z495" s="597">
        <f>SUMIF(O463:O474,O495,Z463:Z474)</f>
        <v>0</v>
      </c>
      <c r="AA495" s="598">
        <f>SUMIF(O463:O474,O495,AA463:AA474)</f>
        <v>0</v>
      </c>
      <c r="AB495" s="598">
        <f>SUMIF(O463:O474,O495,AB463:AB474)</f>
        <v>0</v>
      </c>
      <c r="AC495" s="598">
        <f>SUMIF(O463:O474,O495,AC463:AC474)</f>
        <v>0</v>
      </c>
      <c r="AD495" s="599">
        <f>SUMIF(O463:O474,O495,AD463:AD474)</f>
        <v>0</v>
      </c>
      <c r="AE495" s="526"/>
      <c r="AF495" s="597">
        <f>SUMIF(O463:O474,O495,AF463:AF474)</f>
        <v>0</v>
      </c>
      <c r="AG495" s="598">
        <f>SUMIF(O463:O474,O495,AG463:AG474)</f>
        <v>0</v>
      </c>
      <c r="AH495" s="598">
        <f>SUMIF(O463:O474,O495,AH463:AH474)</f>
        <v>0</v>
      </c>
      <c r="AI495" s="598">
        <f>SUMIF(O463:O474,O495,AI463:AI474)</f>
        <v>0</v>
      </c>
      <c r="AJ495" s="599">
        <f>SUMIF(O463:O474,O495,AJ463:AJ474)</f>
        <v>0</v>
      </c>
      <c r="AQ495" s="712"/>
    </row>
    <row r="496" spans="11:43" ht="21">
      <c r="K496" s="712"/>
      <c r="L496" s="502"/>
      <c r="M496" s="502"/>
      <c r="O496" s="526"/>
      <c r="P496" s="526"/>
      <c r="Q496" s="526"/>
      <c r="R496" s="526"/>
      <c r="S496" s="526"/>
      <c r="T496" s="526"/>
      <c r="U496" s="526"/>
      <c r="V496" s="526"/>
      <c r="W496" s="526"/>
      <c r="X496" s="526"/>
      <c r="Y496" s="526"/>
      <c r="Z496" s="526"/>
      <c r="AA496" s="526"/>
      <c r="AB496" s="526"/>
      <c r="AC496" s="526"/>
      <c r="AD496" s="684"/>
      <c r="AE496" s="526"/>
      <c r="AF496" s="526"/>
      <c r="AG496" s="526"/>
      <c r="AH496" s="526"/>
      <c r="AI496" s="526"/>
      <c r="AJ496" s="526"/>
      <c r="AQ496" s="712"/>
    </row>
    <row r="497" spans="1:44" ht="22" thickBot="1">
      <c r="K497" s="712"/>
      <c r="L497" s="502"/>
      <c r="M497" s="502"/>
      <c r="O497" s="526"/>
      <c r="P497" s="526"/>
      <c r="Q497" s="526"/>
      <c r="R497" s="526"/>
      <c r="S497"/>
      <c r="T497"/>
      <c r="U497"/>
      <c r="V497"/>
      <c r="W497"/>
      <c r="X497"/>
      <c r="Y497" s="526" t="s">
        <v>332</v>
      </c>
      <c r="Z497" s="526"/>
      <c r="AA497" s="526"/>
      <c r="AB497" s="526"/>
      <c r="AC497" s="526"/>
      <c r="AD497" s="526"/>
      <c r="AE497" s="526" t="s">
        <v>483</v>
      </c>
      <c r="AF497" s="526"/>
      <c r="AG497" s="526"/>
      <c r="AH497" s="526"/>
      <c r="AI497" s="526"/>
      <c r="AJ497" s="526"/>
      <c r="AQ497" s="712"/>
    </row>
    <row r="498" spans="1:44" ht="22" thickBot="1">
      <c r="K498" s="712"/>
      <c r="L498" s="502"/>
      <c r="M498" s="502"/>
      <c r="O498" s="526"/>
      <c r="P498" s="526"/>
      <c r="Q498" s="526"/>
      <c r="R498" s="526"/>
      <c r="S498"/>
      <c r="T498"/>
      <c r="U498"/>
      <c r="V498"/>
      <c r="W498"/>
      <c r="X498"/>
      <c r="Y498" s="526"/>
      <c r="Z498" s="584">
        <v>2021</v>
      </c>
      <c r="AA498" s="585">
        <v>2022</v>
      </c>
      <c r="AB498" s="585">
        <v>2023</v>
      </c>
      <c r="AC498" s="585">
        <v>2024</v>
      </c>
      <c r="AD498" s="586">
        <v>2025</v>
      </c>
      <c r="AE498" s="526"/>
      <c r="AF498" s="584">
        <v>2021</v>
      </c>
      <c r="AG498" s="585">
        <v>2022</v>
      </c>
      <c r="AH498" s="585">
        <v>2023</v>
      </c>
      <c r="AI498" s="585">
        <v>2024</v>
      </c>
      <c r="AJ498" s="586">
        <v>2025</v>
      </c>
      <c r="AQ498" s="712"/>
    </row>
    <row r="499" spans="1:44" ht="21">
      <c r="K499" s="712"/>
      <c r="L499" s="502"/>
      <c r="M499" s="502"/>
      <c r="O499" s="716" t="s">
        <v>492</v>
      </c>
      <c r="P499" s="528"/>
      <c r="Q499" s="528"/>
      <c r="R499" s="528"/>
      <c r="S499" s="528"/>
      <c r="T499" s="528"/>
      <c r="U499" s="528"/>
      <c r="V499" s="528"/>
      <c r="W499" s="528"/>
      <c r="X499" s="528"/>
      <c r="Y499" s="685">
        <f>IFERROR(VLOOKUP(O499,Preturi_medicamente!D:M,3,0),0)</f>
        <v>6.32</v>
      </c>
      <c r="Z499" s="600">
        <f t="shared" ref="Z499:Z511" si="58">ROUND(Z483*Y499,2)</f>
        <v>0</v>
      </c>
      <c r="AA499" s="601">
        <f t="shared" ref="AA499:AA511" si="59">ROUND(AA483*Y499,2)</f>
        <v>0</v>
      </c>
      <c r="AB499" s="601">
        <f t="shared" ref="AB499:AB511" si="60">ROUND(AB483*Y499,2)</f>
        <v>0</v>
      </c>
      <c r="AC499" s="601">
        <f t="shared" ref="AC499:AC511" si="61">ROUND(AC483*Y499,2)</f>
        <v>51874.559999999998</v>
      </c>
      <c r="AD499" s="602">
        <f t="shared" ref="AD499:AD511" si="62">ROUND(AD483*Y499,2)</f>
        <v>49144.32</v>
      </c>
      <c r="AE499" s="686">
        <f>IFERROR(VLOOKUP(O499,Preturi_medicamente!D:M,10,0),0)</f>
        <v>0.49120000000000003</v>
      </c>
      <c r="AF499" s="600">
        <f t="shared" ref="AF499:AF511" si="63">ROUND(AF483*AE499,2)</f>
        <v>2334.1799999999998</v>
      </c>
      <c r="AG499" s="601">
        <f t="shared" ref="AG499:AG511" si="64">ROUND(AG483*AE499,2)</f>
        <v>4243.97</v>
      </c>
      <c r="AH499" s="601">
        <f t="shared" ref="AH499:AH511" si="65">ROUND(AH483*AE499,2)</f>
        <v>4031.77</v>
      </c>
      <c r="AI499" s="601">
        <f t="shared" ref="AI499:AI511" si="66">ROUND(AI483*AE499,2)</f>
        <v>0</v>
      </c>
      <c r="AJ499" s="602">
        <f t="shared" ref="AJ499:AJ511" si="67">ROUND(AJ483*AE499,2)</f>
        <v>0</v>
      </c>
      <c r="AQ499" s="712"/>
    </row>
    <row r="500" spans="1:44" ht="21">
      <c r="K500" s="712"/>
      <c r="L500" s="502"/>
      <c r="M500" s="502"/>
      <c r="O500" s="714" t="s">
        <v>493</v>
      </c>
      <c r="P500" s="715"/>
      <c r="Q500" s="715"/>
      <c r="R500" s="715"/>
      <c r="S500" s="715"/>
      <c r="T500" s="715"/>
      <c r="U500" s="715"/>
      <c r="V500" s="715"/>
      <c r="W500" s="715"/>
      <c r="X500" s="715"/>
      <c r="Y500" s="685">
        <f>IFERROR(VLOOKUP(O500,Preturi_medicamente!D:M,3,0),0)</f>
        <v>7.91</v>
      </c>
      <c r="Z500" s="603">
        <f t="shared" si="58"/>
        <v>0</v>
      </c>
      <c r="AA500" s="604">
        <f t="shared" si="59"/>
        <v>0</v>
      </c>
      <c r="AB500" s="604">
        <f t="shared" si="60"/>
        <v>0</v>
      </c>
      <c r="AC500" s="604">
        <f t="shared" si="61"/>
        <v>194775.84</v>
      </c>
      <c r="AD500" s="605">
        <f t="shared" si="62"/>
        <v>184524.48</v>
      </c>
      <c r="AE500" s="686">
        <f>IFERROR(VLOOKUP(O500,Preturi_medicamente!D:M,10,0),0)</f>
        <v>0.45</v>
      </c>
      <c r="AF500" s="603">
        <f t="shared" si="63"/>
        <v>6415.2</v>
      </c>
      <c r="AG500" s="604">
        <f t="shared" si="64"/>
        <v>11664</v>
      </c>
      <c r="AH500" s="604">
        <f t="shared" si="65"/>
        <v>11080.8</v>
      </c>
      <c r="AI500" s="604">
        <f t="shared" si="66"/>
        <v>0</v>
      </c>
      <c r="AJ500" s="605">
        <f t="shared" si="67"/>
        <v>0</v>
      </c>
      <c r="AQ500" s="712"/>
    </row>
    <row r="501" spans="1:44" ht="21">
      <c r="K501" s="712"/>
      <c r="L501" s="502"/>
      <c r="M501" s="502"/>
      <c r="O501" s="714" t="s">
        <v>494</v>
      </c>
      <c r="P501" s="715"/>
      <c r="Q501" s="715"/>
      <c r="R501" s="715"/>
      <c r="S501" s="715"/>
      <c r="T501" s="715"/>
      <c r="U501" s="715"/>
      <c r="V501" s="715"/>
      <c r="W501" s="715"/>
      <c r="X501" s="715"/>
      <c r="Y501" s="685">
        <f>IFERROR(VLOOKUP(O501,Preturi_medicamente!D:M,3,0),0)</f>
        <v>35.14</v>
      </c>
      <c r="Z501" s="603">
        <f t="shared" si="58"/>
        <v>0</v>
      </c>
      <c r="AA501" s="604">
        <f t="shared" si="59"/>
        <v>0</v>
      </c>
      <c r="AB501" s="604">
        <f t="shared" si="60"/>
        <v>0</v>
      </c>
      <c r="AC501" s="604">
        <f t="shared" si="61"/>
        <v>432643.68</v>
      </c>
      <c r="AD501" s="605">
        <f t="shared" si="62"/>
        <v>409872.96</v>
      </c>
      <c r="AE501" s="686">
        <f>IFERROR(VLOOKUP(O501,Preturi_medicamente!D:M,10,0),0)</f>
        <v>2.5299999999999998</v>
      </c>
      <c r="AF501" s="603">
        <f t="shared" si="63"/>
        <v>18033.84</v>
      </c>
      <c r="AG501" s="604">
        <f t="shared" si="64"/>
        <v>32788.800000000003</v>
      </c>
      <c r="AH501" s="604">
        <f t="shared" si="65"/>
        <v>31149.360000000001</v>
      </c>
      <c r="AI501" s="604">
        <f t="shared" si="66"/>
        <v>0</v>
      </c>
      <c r="AJ501" s="605">
        <f t="shared" si="67"/>
        <v>0</v>
      </c>
      <c r="AQ501" s="712"/>
    </row>
    <row r="502" spans="1:44" ht="21">
      <c r="K502" s="712"/>
      <c r="L502" s="502"/>
      <c r="M502" s="502"/>
      <c r="O502" s="714" t="s">
        <v>495</v>
      </c>
      <c r="P502" s="715"/>
      <c r="Q502" s="715"/>
      <c r="R502" s="715"/>
      <c r="S502" s="715"/>
      <c r="T502" s="715"/>
      <c r="U502" s="715"/>
      <c r="V502" s="715"/>
      <c r="W502" s="715"/>
      <c r="X502" s="715"/>
      <c r="Y502" s="685">
        <f>IFERROR(VLOOKUP(O502,Preturi_medicamente!D:M,3,0),0)</f>
        <v>0.7</v>
      </c>
      <c r="Z502" s="603">
        <f t="shared" si="58"/>
        <v>0</v>
      </c>
      <c r="AA502" s="604">
        <f t="shared" si="59"/>
        <v>0</v>
      </c>
      <c r="AB502" s="604">
        <f t="shared" si="60"/>
        <v>0</v>
      </c>
      <c r="AC502" s="604">
        <f t="shared" si="61"/>
        <v>10773</v>
      </c>
      <c r="AD502" s="605">
        <f t="shared" si="62"/>
        <v>10206</v>
      </c>
      <c r="AE502" s="686">
        <f>IFERROR(VLOOKUP(O502,Preturi_medicamente!D:M,10,0),0)</f>
        <v>0.22500000000000001</v>
      </c>
      <c r="AF502" s="603">
        <f t="shared" si="63"/>
        <v>2004.75</v>
      </c>
      <c r="AG502" s="604">
        <f t="shared" si="64"/>
        <v>3645</v>
      </c>
      <c r="AH502" s="604">
        <f t="shared" si="65"/>
        <v>3462.75</v>
      </c>
      <c r="AI502" s="604">
        <f t="shared" si="66"/>
        <v>0</v>
      </c>
      <c r="AJ502" s="605">
        <f t="shared" si="67"/>
        <v>0</v>
      </c>
      <c r="AQ502" s="712"/>
    </row>
    <row r="503" spans="1:44" ht="21">
      <c r="K503" s="712"/>
      <c r="L503" s="502"/>
      <c r="M503" s="502"/>
      <c r="O503" s="714" t="s">
        <v>496</v>
      </c>
      <c r="P503" s="715"/>
      <c r="Q503" s="715"/>
      <c r="R503" s="715"/>
      <c r="S503" s="715"/>
      <c r="T503" s="715"/>
      <c r="U503" s="715"/>
      <c r="V503" s="715"/>
      <c r="W503" s="715"/>
      <c r="X503" s="715"/>
      <c r="Y503" s="685">
        <f>IFERROR(VLOOKUP(O503,Preturi_medicamente!D:M,3,0),0)</f>
        <v>2.2799999999999998</v>
      </c>
      <c r="Z503" s="603">
        <f t="shared" si="58"/>
        <v>0</v>
      </c>
      <c r="AA503" s="604">
        <f t="shared" si="59"/>
        <v>0</v>
      </c>
      <c r="AB503" s="604">
        <f t="shared" si="60"/>
        <v>0</v>
      </c>
      <c r="AC503" s="604">
        <f t="shared" si="61"/>
        <v>93571.199999999997</v>
      </c>
      <c r="AD503" s="605">
        <f t="shared" si="62"/>
        <v>88646.399999999994</v>
      </c>
      <c r="AE503" s="686">
        <f>IFERROR(VLOOKUP(O503,Preturi_medicamente!D:M,10,0),0)</f>
        <v>0.12909999999999999</v>
      </c>
      <c r="AF503" s="603">
        <f t="shared" si="63"/>
        <v>3067.42</v>
      </c>
      <c r="AG503" s="604">
        <f t="shared" si="64"/>
        <v>5577.12</v>
      </c>
      <c r="AH503" s="604">
        <f t="shared" si="65"/>
        <v>5298.26</v>
      </c>
      <c r="AI503" s="604">
        <f t="shared" si="66"/>
        <v>0</v>
      </c>
      <c r="AJ503" s="605">
        <f t="shared" si="67"/>
        <v>0</v>
      </c>
      <c r="AQ503" s="712"/>
    </row>
    <row r="504" spans="1:44" ht="21">
      <c r="K504" s="712"/>
      <c r="L504" s="502"/>
      <c r="M504" s="502"/>
      <c r="O504" s="714" t="s">
        <v>497</v>
      </c>
      <c r="P504" s="715"/>
      <c r="Q504" s="715"/>
      <c r="R504" s="715"/>
      <c r="S504" s="715"/>
      <c r="T504" s="715"/>
      <c r="U504" s="715"/>
      <c r="V504" s="715"/>
      <c r="W504" s="715"/>
      <c r="X504" s="715"/>
      <c r="Y504" s="685">
        <f>IFERROR(VLOOKUP(O504,Preturi_medicamente!D:M,3,0),0)</f>
        <v>13.18</v>
      </c>
      <c r="Z504" s="603">
        <f t="shared" si="58"/>
        <v>0</v>
      </c>
      <c r="AA504" s="604">
        <f t="shared" si="59"/>
        <v>0</v>
      </c>
      <c r="AB504" s="604">
        <f t="shared" si="60"/>
        <v>0</v>
      </c>
      <c r="AC504" s="604">
        <f t="shared" si="61"/>
        <v>135226.79999999999</v>
      </c>
      <c r="AD504" s="605">
        <f t="shared" si="62"/>
        <v>128109.6</v>
      </c>
      <c r="AE504" s="686">
        <f>IFERROR(VLOOKUP(O504,Preturi_medicamente!D:M,10,0),0)</f>
        <v>0.75</v>
      </c>
      <c r="AF504" s="603">
        <f t="shared" si="63"/>
        <v>4455</v>
      </c>
      <c r="AG504" s="604">
        <f t="shared" si="64"/>
        <v>8100</v>
      </c>
      <c r="AH504" s="604">
        <f t="shared" si="65"/>
        <v>7695</v>
      </c>
      <c r="AI504" s="604">
        <f t="shared" si="66"/>
        <v>0</v>
      </c>
      <c r="AJ504" s="605">
        <f t="shared" si="67"/>
        <v>0</v>
      </c>
      <c r="AQ504" s="712"/>
    </row>
    <row r="505" spans="1:44" ht="21">
      <c r="K505" s="712"/>
      <c r="L505" s="502"/>
      <c r="M505" s="502"/>
      <c r="O505" s="714" t="s">
        <v>498</v>
      </c>
      <c r="P505" s="715"/>
      <c r="Q505" s="715"/>
      <c r="R505" s="715"/>
      <c r="S505" s="715"/>
      <c r="T505" s="715"/>
      <c r="U505" s="715"/>
      <c r="V505" s="715"/>
      <c r="W505" s="715"/>
      <c r="X505" s="715"/>
      <c r="Y505" s="685">
        <f>IFERROR(VLOOKUP(O505,Preturi_medicamente!D:M,3,0),0)</f>
        <v>3.51</v>
      </c>
      <c r="Z505" s="603">
        <f t="shared" si="58"/>
        <v>0</v>
      </c>
      <c r="AA505" s="604">
        <f t="shared" si="59"/>
        <v>0</v>
      </c>
      <c r="AB505" s="604">
        <f t="shared" si="60"/>
        <v>0</v>
      </c>
      <c r="AC505" s="604">
        <f t="shared" si="61"/>
        <v>28810.080000000002</v>
      </c>
      <c r="AD505" s="605">
        <f t="shared" si="62"/>
        <v>27293.759999999998</v>
      </c>
      <c r="AE505" s="686">
        <f>IFERROR(VLOOKUP(O505,Preturi_medicamente!D:M,10,0),0)</f>
        <v>0.19900000000000001</v>
      </c>
      <c r="AF505" s="603">
        <f t="shared" si="63"/>
        <v>945.65</v>
      </c>
      <c r="AG505" s="604">
        <f t="shared" si="64"/>
        <v>1719.36</v>
      </c>
      <c r="AH505" s="604">
        <f t="shared" si="65"/>
        <v>1633.39</v>
      </c>
      <c r="AI505" s="604">
        <f t="shared" si="66"/>
        <v>0</v>
      </c>
      <c r="AJ505" s="605">
        <f t="shared" si="67"/>
        <v>0</v>
      </c>
      <c r="AQ505" s="712"/>
    </row>
    <row r="506" spans="1:44" ht="21">
      <c r="K506" s="712"/>
      <c r="L506" s="502"/>
      <c r="M506" s="502"/>
      <c r="O506" s="714" t="s">
        <v>499</v>
      </c>
      <c r="P506" s="715"/>
      <c r="Q506" s="715"/>
      <c r="R506" s="715"/>
      <c r="S506" s="715"/>
      <c r="T506" s="715"/>
      <c r="U506" s="715"/>
      <c r="V506" s="715"/>
      <c r="W506" s="715"/>
      <c r="X506" s="715"/>
      <c r="Y506" s="685">
        <f>IFERROR(VLOOKUP(O506,Preturi_medicamente!D:M,3,0),0)</f>
        <v>1.58</v>
      </c>
      <c r="Z506" s="603">
        <f t="shared" si="58"/>
        <v>0</v>
      </c>
      <c r="AA506" s="604">
        <f t="shared" si="59"/>
        <v>0</v>
      </c>
      <c r="AB506" s="604">
        <f t="shared" si="60"/>
        <v>0</v>
      </c>
      <c r="AC506" s="604">
        <f t="shared" si="61"/>
        <v>16210.8</v>
      </c>
      <c r="AD506" s="605">
        <f t="shared" si="62"/>
        <v>15357.6</v>
      </c>
      <c r="AE506" s="686">
        <f>IFERROR(VLOOKUP(O506,Preturi_medicamente!D:M,10,0),0)</f>
        <v>9.4E-2</v>
      </c>
      <c r="AF506" s="603">
        <f t="shared" si="63"/>
        <v>558.36</v>
      </c>
      <c r="AG506" s="604">
        <f t="shared" si="64"/>
        <v>1015.2</v>
      </c>
      <c r="AH506" s="604">
        <f t="shared" si="65"/>
        <v>964.44</v>
      </c>
      <c r="AI506" s="604">
        <f t="shared" si="66"/>
        <v>0</v>
      </c>
      <c r="AJ506" s="605">
        <f t="shared" si="67"/>
        <v>0</v>
      </c>
      <c r="AQ506" s="712"/>
    </row>
    <row r="507" spans="1:44" ht="21">
      <c r="K507" s="712"/>
      <c r="L507" s="502"/>
      <c r="M507" s="502"/>
      <c r="O507" s="714"/>
      <c r="P507" s="715"/>
      <c r="Q507" s="715"/>
      <c r="R507" s="715"/>
      <c r="S507" s="715"/>
      <c r="T507" s="715"/>
      <c r="U507" s="715"/>
      <c r="V507" s="715"/>
      <c r="W507" s="715"/>
      <c r="X507" s="715"/>
      <c r="Y507" s="685">
        <f>IFERROR(VLOOKUP(O507,Preturi_medicamente!D:M,3,0),0)</f>
        <v>0</v>
      </c>
      <c r="Z507" s="603">
        <f t="shared" si="58"/>
        <v>0</v>
      </c>
      <c r="AA507" s="604">
        <f t="shared" si="59"/>
        <v>0</v>
      </c>
      <c r="AB507" s="604">
        <f t="shared" si="60"/>
        <v>0</v>
      </c>
      <c r="AC507" s="604">
        <f t="shared" si="61"/>
        <v>0</v>
      </c>
      <c r="AD507" s="605">
        <f t="shared" si="62"/>
        <v>0</v>
      </c>
      <c r="AE507" s="686">
        <f>IFERROR(VLOOKUP(O507,Preturi_medicamente!D:M,10,0),0)</f>
        <v>0</v>
      </c>
      <c r="AF507" s="603">
        <f t="shared" si="63"/>
        <v>0</v>
      </c>
      <c r="AG507" s="604">
        <f t="shared" si="64"/>
        <v>0</v>
      </c>
      <c r="AH507" s="604">
        <f t="shared" si="65"/>
        <v>0</v>
      </c>
      <c r="AI507" s="604">
        <f t="shared" si="66"/>
        <v>0</v>
      </c>
      <c r="AJ507" s="605">
        <f t="shared" si="67"/>
        <v>0</v>
      </c>
      <c r="AQ507" s="712"/>
    </row>
    <row r="508" spans="1:44" ht="21">
      <c r="K508" s="712"/>
      <c r="L508" s="502"/>
      <c r="M508" s="502"/>
      <c r="O508" s="714"/>
      <c r="P508" s="715"/>
      <c r="Q508" s="715"/>
      <c r="R508" s="715"/>
      <c r="S508" s="715"/>
      <c r="T508" s="715"/>
      <c r="U508" s="715"/>
      <c r="V508" s="715"/>
      <c r="W508" s="715"/>
      <c r="X508" s="715"/>
      <c r="Y508" s="685">
        <f>IFERROR(VLOOKUP(O508,Preturi_medicamente!D:M,3,0),0)</f>
        <v>0</v>
      </c>
      <c r="Z508" s="603">
        <f t="shared" si="58"/>
        <v>0</v>
      </c>
      <c r="AA508" s="604">
        <f t="shared" si="59"/>
        <v>0</v>
      </c>
      <c r="AB508" s="604">
        <f t="shared" si="60"/>
        <v>0</v>
      </c>
      <c r="AC508" s="604">
        <f t="shared" si="61"/>
        <v>0</v>
      </c>
      <c r="AD508" s="605">
        <f t="shared" si="62"/>
        <v>0</v>
      </c>
      <c r="AE508" s="686">
        <f>IFERROR(VLOOKUP(O508,Preturi_medicamente!D:M,10,0),0)</f>
        <v>0</v>
      </c>
      <c r="AF508" s="603">
        <f t="shared" si="63"/>
        <v>0</v>
      </c>
      <c r="AG508" s="604">
        <f t="shared" si="64"/>
        <v>0</v>
      </c>
      <c r="AH508" s="604">
        <f t="shared" si="65"/>
        <v>0</v>
      </c>
      <c r="AI508" s="604">
        <f t="shared" si="66"/>
        <v>0</v>
      </c>
      <c r="AJ508" s="605">
        <f t="shared" si="67"/>
        <v>0</v>
      </c>
      <c r="AQ508" s="712"/>
    </row>
    <row r="509" spans="1:44" ht="21">
      <c r="K509" s="712"/>
      <c r="L509" s="502"/>
      <c r="M509" s="502"/>
      <c r="O509" s="714"/>
      <c r="P509" s="715"/>
      <c r="Q509" s="715"/>
      <c r="R509" s="715"/>
      <c r="S509" s="715"/>
      <c r="T509" s="715"/>
      <c r="U509" s="715"/>
      <c r="V509" s="715"/>
      <c r="W509" s="715"/>
      <c r="X509" s="715"/>
      <c r="Y509" s="685">
        <f>IFERROR(VLOOKUP(O509,Preturi_medicamente!D:M,3,0),0)</f>
        <v>0</v>
      </c>
      <c r="Z509" s="603">
        <f t="shared" si="58"/>
        <v>0</v>
      </c>
      <c r="AA509" s="604">
        <f t="shared" si="59"/>
        <v>0</v>
      </c>
      <c r="AB509" s="604">
        <f t="shared" si="60"/>
        <v>0</v>
      </c>
      <c r="AC509" s="604">
        <f t="shared" si="61"/>
        <v>0</v>
      </c>
      <c r="AD509" s="605">
        <f t="shared" si="62"/>
        <v>0</v>
      </c>
      <c r="AE509" s="686">
        <f>IFERROR(VLOOKUP(O509,Preturi_medicamente!D:M,10,0),0)</f>
        <v>0</v>
      </c>
      <c r="AF509" s="603">
        <f t="shared" si="63"/>
        <v>0</v>
      </c>
      <c r="AG509" s="604">
        <f t="shared" si="64"/>
        <v>0</v>
      </c>
      <c r="AH509" s="604">
        <f t="shared" si="65"/>
        <v>0</v>
      </c>
      <c r="AI509" s="604">
        <f t="shared" si="66"/>
        <v>0</v>
      </c>
      <c r="AJ509" s="605">
        <f t="shared" si="67"/>
        <v>0</v>
      </c>
      <c r="AQ509" s="712"/>
    </row>
    <row r="510" spans="1:44" ht="21">
      <c r="K510" s="712"/>
      <c r="L510" s="502"/>
      <c r="M510" s="502"/>
      <c r="O510" s="714"/>
      <c r="P510" s="715"/>
      <c r="Q510" s="715"/>
      <c r="R510" s="715"/>
      <c r="S510" s="715"/>
      <c r="T510" s="715"/>
      <c r="U510" s="715"/>
      <c r="V510" s="715"/>
      <c r="W510" s="715"/>
      <c r="X510" s="715"/>
      <c r="Y510" s="685">
        <f>IFERROR(VLOOKUP(O510,Preturi_medicamente!D:M,3,0),0)</f>
        <v>0</v>
      </c>
      <c r="Z510" s="603">
        <f t="shared" si="58"/>
        <v>0</v>
      </c>
      <c r="AA510" s="604">
        <f t="shared" si="59"/>
        <v>0</v>
      </c>
      <c r="AB510" s="604">
        <f t="shared" si="60"/>
        <v>0</v>
      </c>
      <c r="AC510" s="604">
        <f t="shared" si="61"/>
        <v>0</v>
      </c>
      <c r="AD510" s="605">
        <f t="shared" si="62"/>
        <v>0</v>
      </c>
      <c r="AE510" s="686">
        <f>IFERROR(VLOOKUP(O510,Preturi_medicamente!D:M,10,0),0)</f>
        <v>0</v>
      </c>
      <c r="AF510" s="603">
        <f t="shared" si="63"/>
        <v>0</v>
      </c>
      <c r="AG510" s="604">
        <f t="shared" si="64"/>
        <v>0</v>
      </c>
      <c r="AH510" s="604">
        <f t="shared" si="65"/>
        <v>0</v>
      </c>
      <c r="AI510" s="604">
        <f t="shared" si="66"/>
        <v>0</v>
      </c>
      <c r="AJ510" s="605">
        <f t="shared" si="67"/>
        <v>0</v>
      </c>
      <c r="AQ510" s="712"/>
    </row>
    <row r="511" spans="1:44" ht="22" thickBot="1">
      <c r="K511" s="712"/>
      <c r="L511" s="502"/>
      <c r="M511" s="502"/>
      <c r="O511" s="595"/>
      <c r="P511" s="596"/>
      <c r="Q511" s="596"/>
      <c r="R511" s="596"/>
      <c r="S511" s="596"/>
      <c r="T511" s="596"/>
      <c r="U511" s="596"/>
      <c r="V511" s="596"/>
      <c r="W511" s="596"/>
      <c r="X511" s="596"/>
      <c r="Y511" s="685">
        <f>IFERROR(VLOOKUP(O511,Preturi_medicamente!D:M,3,0),0)</f>
        <v>0</v>
      </c>
      <c r="Z511" s="606">
        <f t="shared" si="58"/>
        <v>0</v>
      </c>
      <c r="AA511" s="607">
        <f t="shared" si="59"/>
        <v>0</v>
      </c>
      <c r="AB511" s="607">
        <f t="shared" si="60"/>
        <v>0</v>
      </c>
      <c r="AC511" s="607">
        <f t="shared" si="61"/>
        <v>0</v>
      </c>
      <c r="AD511" s="608">
        <f t="shared" si="62"/>
        <v>0</v>
      </c>
      <c r="AE511" s="686">
        <f>IFERROR(VLOOKUP(O511,Preturi_medicamente!D:M,10,0),0)</f>
        <v>0</v>
      </c>
      <c r="AF511" s="606">
        <f t="shared" si="63"/>
        <v>0</v>
      </c>
      <c r="AG511" s="607">
        <f t="shared" si="64"/>
        <v>0</v>
      </c>
      <c r="AH511" s="607">
        <f t="shared" si="65"/>
        <v>0</v>
      </c>
      <c r="AI511" s="607">
        <f t="shared" si="66"/>
        <v>0</v>
      </c>
      <c r="AJ511" s="608">
        <f t="shared" si="67"/>
        <v>0</v>
      </c>
      <c r="AQ511" s="712"/>
    </row>
    <row r="512" spans="1:44" ht="22" thickBot="1">
      <c r="A512" s="730">
        <v>21</v>
      </c>
      <c r="B512" s="733">
        <f>Z512</f>
        <v>0</v>
      </c>
      <c r="C512" s="733">
        <f>AA512</f>
        <v>0</v>
      </c>
      <c r="D512" s="733">
        <f>AB512</f>
        <v>0</v>
      </c>
      <c r="E512" s="733">
        <f>AC512</f>
        <v>963885.95999999985</v>
      </c>
      <c r="F512" s="733">
        <f>AD512</f>
        <v>913155.12</v>
      </c>
      <c r="G512" s="733" t="s">
        <v>349</v>
      </c>
      <c r="H512" s="733" t="s">
        <v>506</v>
      </c>
      <c r="I512" s="733"/>
      <c r="J512" s="841" t="s">
        <v>2936</v>
      </c>
      <c r="K512" s="712"/>
      <c r="L512" s="502"/>
      <c r="M512" s="502"/>
      <c r="O512" s="526"/>
      <c r="P512" s="526"/>
      <c r="Q512" s="526"/>
      <c r="R512" s="526"/>
      <c r="S512"/>
      <c r="T512"/>
      <c r="U512"/>
      <c r="V512"/>
      <c r="W512"/>
      <c r="X512"/>
      <c r="Y512" s="526"/>
      <c r="Z512" s="1738">
        <f>SUM(Z499:Z511)</f>
        <v>0</v>
      </c>
      <c r="AA512" s="1736">
        <f>SUM(AA499:AA511)</f>
        <v>0</v>
      </c>
      <c r="AB512" s="1736">
        <f>SUM(AB499:AB511)</f>
        <v>0</v>
      </c>
      <c r="AC512" s="1736">
        <f>SUM(AC499:AC511)</f>
        <v>963885.95999999985</v>
      </c>
      <c r="AD512" s="1737">
        <f>SUM(AD499:AD511)</f>
        <v>913155.12</v>
      </c>
      <c r="AE512" s="526"/>
      <c r="AF512" s="687">
        <f>SUM(AF499:AF511)</f>
        <v>37814.400000000001</v>
      </c>
      <c r="AG512" s="688">
        <f>SUM(AG499:AG511)</f>
        <v>68753.450000000012</v>
      </c>
      <c r="AH512" s="688">
        <f>SUM(AH499:AH511)</f>
        <v>65315.770000000004</v>
      </c>
      <c r="AI512" s="688">
        <f>SUM(AI499:AI511)</f>
        <v>0</v>
      </c>
      <c r="AJ512" s="689">
        <f>SUM(AJ499:AJ511)</f>
        <v>0</v>
      </c>
      <c r="AK512" s="2218">
        <f>SUM(AF512:AJ512)</f>
        <v>171883.62</v>
      </c>
      <c r="AQ512" s="712"/>
      <c r="AR512" s="1489">
        <f>SUM(Z512:AD512)</f>
        <v>1877041.0799999998</v>
      </c>
    </row>
    <row r="513" spans="1:45" ht="22" thickBot="1">
      <c r="A513"/>
      <c r="B513"/>
      <c r="C513"/>
      <c r="D513"/>
      <c r="E513"/>
      <c r="F513"/>
      <c r="G513"/>
      <c r="H513"/>
      <c r="I513"/>
      <c r="J513"/>
      <c r="K513" s="712"/>
      <c r="L513" s="502"/>
      <c r="M513" s="502"/>
      <c r="O513" s="526"/>
      <c r="P513" s="526"/>
      <c r="Q513" s="526"/>
      <c r="R513" s="526"/>
      <c r="S513" s="526"/>
      <c r="T513" s="686"/>
      <c r="U513" s="690"/>
      <c r="V513" s="690"/>
      <c r="W513" s="690"/>
      <c r="X513" s="690"/>
      <c r="Y513" s="526"/>
      <c r="Z513" s="526"/>
      <c r="AA513" s="526"/>
      <c r="AB513" s="526"/>
      <c r="AC513" s="526"/>
      <c r="AD513" s="526"/>
      <c r="AE513" s="526"/>
      <c r="AF513" s="526"/>
      <c r="AG513" s="526"/>
      <c r="AH513" s="526"/>
      <c r="AI513" s="526"/>
      <c r="AJ513" s="526"/>
      <c r="AQ513" s="712"/>
    </row>
    <row r="514" spans="1:45" ht="34">
      <c r="A514"/>
      <c r="B514"/>
      <c r="C514"/>
      <c r="D514"/>
      <c r="E514"/>
      <c r="F514"/>
      <c r="G514"/>
      <c r="H514"/>
      <c r="I514"/>
      <c r="J514"/>
      <c r="K514" s="712"/>
      <c r="L514" s="502"/>
      <c r="M514" s="502"/>
      <c r="O514" s="526"/>
      <c r="P514" s="526"/>
      <c r="Q514" s="526"/>
      <c r="R514" s="526"/>
      <c r="S514" s="526"/>
      <c r="T514" s="686"/>
      <c r="U514" s="690"/>
      <c r="V514" s="690"/>
      <c r="W514" s="690"/>
      <c r="X514" s="690"/>
      <c r="Y514" s="526"/>
      <c r="Z514" s="526"/>
      <c r="AA514" s="526"/>
      <c r="AB514" s="526"/>
      <c r="AC514" s="526"/>
      <c r="AD514" s="526"/>
      <c r="AE514" s="691" t="s">
        <v>485</v>
      </c>
      <c r="AF514" s="692">
        <f>AF512*AE515</f>
        <v>453.77280000000002</v>
      </c>
      <c r="AG514" s="693">
        <f>AG512*AE515</f>
        <v>825.04140000000018</v>
      </c>
      <c r="AH514" s="693">
        <f>AH512*AE515</f>
        <v>783.78924000000006</v>
      </c>
      <c r="AI514" s="693">
        <f>AI512*AE515</f>
        <v>0</v>
      </c>
      <c r="AJ514" s="694">
        <f>AJ512*AE515</f>
        <v>0</v>
      </c>
      <c r="AQ514" s="712"/>
    </row>
    <row r="515" spans="1:45" ht="21">
      <c r="A515"/>
      <c r="B515"/>
      <c r="C515"/>
      <c r="D515"/>
      <c r="E515"/>
      <c r="F515"/>
      <c r="G515"/>
      <c r="H515"/>
      <c r="I515"/>
      <c r="J515"/>
      <c r="K515" s="712"/>
      <c r="L515" s="502"/>
      <c r="M515" s="502"/>
      <c r="O515" s="526"/>
      <c r="P515" s="526"/>
      <c r="Q515" s="526"/>
      <c r="R515" s="526"/>
      <c r="S515" s="526"/>
      <c r="T515" s="686"/>
      <c r="U515" s="690"/>
      <c r="V515" s="690"/>
      <c r="W515" s="690"/>
      <c r="X515" s="690"/>
      <c r="Y515" s="526"/>
      <c r="Z515" s="526"/>
      <c r="AA515" s="526"/>
      <c r="AB515" s="526"/>
      <c r="AC515" s="526"/>
      <c r="AD515" s="526"/>
      <c r="AE515" s="695">
        <v>1.2E-2</v>
      </c>
      <c r="AF515" s="696"/>
      <c r="AG515" s="552"/>
      <c r="AH515" s="552"/>
      <c r="AI515" s="552"/>
      <c r="AJ515" s="553"/>
      <c r="AQ515" s="712"/>
    </row>
    <row r="516" spans="1:45" ht="21">
      <c r="A516"/>
      <c r="B516"/>
      <c r="C516"/>
      <c r="D516"/>
      <c r="E516"/>
      <c r="F516"/>
      <c r="G516"/>
      <c r="H516"/>
      <c r="I516"/>
      <c r="J516"/>
      <c r="K516" s="712"/>
      <c r="L516" s="502"/>
      <c r="M516" s="502"/>
      <c r="O516" s="526"/>
      <c r="P516" s="526"/>
      <c r="Q516" s="526"/>
      <c r="R516" s="526"/>
      <c r="S516" s="526"/>
      <c r="T516" s="686"/>
      <c r="U516" s="690"/>
      <c r="V516" s="690"/>
      <c r="W516" s="690"/>
      <c r="X516" s="690"/>
      <c r="Y516" s="526"/>
      <c r="Z516" s="526"/>
      <c r="AA516" s="526"/>
      <c r="AB516" s="526"/>
      <c r="AC516" s="526"/>
      <c r="AD516" s="526"/>
      <c r="AE516" s="691" t="s">
        <v>486</v>
      </c>
      <c r="AF516" s="697">
        <f>AF512*AE517</f>
        <v>1966.3488</v>
      </c>
      <c r="AG516" s="698">
        <f>AG512*AE517</f>
        <v>3575.1794000000004</v>
      </c>
      <c r="AH516" s="698">
        <f>AH512*AE517</f>
        <v>3396.42004</v>
      </c>
      <c r="AI516" s="698">
        <f>AI512*AE517</f>
        <v>0</v>
      </c>
      <c r="AJ516" s="699">
        <f>AJ512*AE517</f>
        <v>0</v>
      </c>
      <c r="AQ516" s="712"/>
    </row>
    <row r="517" spans="1:45" ht="21">
      <c r="A517"/>
      <c r="B517"/>
      <c r="C517"/>
      <c r="D517"/>
      <c r="E517"/>
      <c r="F517"/>
      <c r="G517"/>
      <c r="H517"/>
      <c r="I517"/>
      <c r="J517"/>
      <c r="K517" s="712"/>
      <c r="L517" s="502"/>
      <c r="M517" s="502"/>
      <c r="O517" s="526"/>
      <c r="P517" s="526"/>
      <c r="Q517" s="526"/>
      <c r="R517" s="526"/>
      <c r="S517" s="526"/>
      <c r="T517" s="686"/>
      <c r="U517" s="690"/>
      <c r="V517" s="690"/>
      <c r="W517" s="690"/>
      <c r="X517" s="690"/>
      <c r="Y517" s="526"/>
      <c r="Z517" s="526"/>
      <c r="AA517" s="526"/>
      <c r="AB517" s="526"/>
      <c r="AC517" s="526"/>
      <c r="AD517" s="526"/>
      <c r="AE517" s="695">
        <v>5.1999999999999998E-2</v>
      </c>
      <c r="AF517" s="696"/>
      <c r="AG517" s="552"/>
      <c r="AH517" s="552"/>
      <c r="AI517" s="552"/>
      <c r="AJ517" s="553"/>
      <c r="AQ517" s="712"/>
    </row>
    <row r="518" spans="1:45" ht="21">
      <c r="K518" s="712"/>
      <c r="L518" s="502"/>
      <c r="M518" s="502"/>
      <c r="O518" s="526"/>
      <c r="P518" s="526"/>
      <c r="Q518" s="526"/>
      <c r="R518" s="526"/>
      <c r="S518" s="526"/>
      <c r="T518" s="686"/>
      <c r="U518" s="690"/>
      <c r="V518" s="690"/>
      <c r="W518" s="690"/>
      <c r="X518" s="690"/>
      <c r="Y518" s="526"/>
      <c r="Z518" s="526"/>
      <c r="AA518" s="526"/>
      <c r="AB518" s="526"/>
      <c r="AC518" s="526"/>
      <c r="AD518" s="526"/>
      <c r="AE518" s="691" t="s">
        <v>487</v>
      </c>
      <c r="AF518" s="697">
        <f>AF512*AE519</f>
        <v>1588.2048000000002</v>
      </c>
      <c r="AG518" s="698">
        <f>AG512*AE519</f>
        <v>2887.6449000000007</v>
      </c>
      <c r="AH518" s="698">
        <f>AH512*AE519</f>
        <v>2743.2623400000002</v>
      </c>
      <c r="AI518" s="698">
        <f>AI512*AE519</f>
        <v>0</v>
      </c>
      <c r="AJ518" s="699">
        <f>AJ512*AE519</f>
        <v>0</v>
      </c>
      <c r="AQ518" s="712"/>
    </row>
    <row r="519" spans="1:45" ht="21">
      <c r="K519" s="712"/>
      <c r="L519" s="502"/>
      <c r="M519" s="502"/>
      <c r="O519" s="526"/>
      <c r="P519" s="526"/>
      <c r="Q519" s="526"/>
      <c r="R519" s="526"/>
      <c r="S519" s="526"/>
      <c r="T519" s="686"/>
      <c r="U519" s="690"/>
      <c r="V519" s="690"/>
      <c r="W519" s="690"/>
      <c r="X519" s="690"/>
      <c r="Y519" s="526"/>
      <c r="Z519" s="526"/>
      <c r="AA519" s="526"/>
      <c r="AB519" s="526"/>
      <c r="AC519" s="526"/>
      <c r="AD519" s="526"/>
      <c r="AE519" s="695">
        <v>4.2000000000000003E-2</v>
      </c>
      <c r="AF519" s="696"/>
      <c r="AG519" s="552"/>
      <c r="AH519" s="552"/>
      <c r="AI519" s="552"/>
      <c r="AJ519" s="553"/>
      <c r="AQ519" s="712"/>
    </row>
    <row r="520" spans="1:45" ht="22" thickBot="1">
      <c r="K520" s="712"/>
      <c r="L520" s="502"/>
      <c r="M520" s="502"/>
      <c r="O520" s="526"/>
      <c r="P520" s="526"/>
      <c r="Q520" s="526"/>
      <c r="R520" s="526"/>
      <c r="S520" s="526"/>
      <c r="T520" s="686"/>
      <c r="U520" s="690"/>
      <c r="V520" s="690"/>
      <c r="W520" s="690"/>
      <c r="X520" s="690"/>
      <c r="Y520" s="526"/>
      <c r="Z520" s="526"/>
      <c r="AA520" s="526"/>
      <c r="AB520" s="526"/>
      <c r="AC520" s="526"/>
      <c r="AD520" s="526"/>
      <c r="AE520" s="526"/>
      <c r="AF520" s="687">
        <f>SUM(AF514:AF519)</f>
        <v>4008.3263999999999</v>
      </c>
      <c r="AG520" s="688">
        <f>SUM(AG514:AG519)</f>
        <v>7287.8657000000021</v>
      </c>
      <c r="AH520" s="688">
        <f>SUM(AH514:AH519)</f>
        <v>6923.4716200000003</v>
      </c>
      <c r="AI520" s="688">
        <f>SUM(AI514:AI519)</f>
        <v>0</v>
      </c>
      <c r="AJ520" s="689">
        <f>SUM(AJ514:AJ519)</f>
        <v>0</v>
      </c>
      <c r="AQ520" s="712"/>
    </row>
    <row r="521" spans="1:45" ht="22" thickBot="1">
      <c r="K521" s="712"/>
      <c r="L521" s="502"/>
      <c r="M521" s="502"/>
      <c r="O521" s="526"/>
      <c r="P521" s="526"/>
      <c r="Q521" s="526"/>
      <c r="R521" s="526"/>
      <c r="S521" s="526"/>
      <c r="T521" s="686"/>
      <c r="U521" s="690"/>
      <c r="V521" s="690"/>
      <c r="W521" s="690"/>
      <c r="X521" s="690"/>
      <c r="Y521" s="526"/>
      <c r="Z521" s="526"/>
      <c r="AA521" s="526"/>
      <c r="AB521" s="526"/>
      <c r="AC521" s="526"/>
      <c r="AD521" s="526"/>
      <c r="AE521" s="526"/>
      <c r="AF521" s="526"/>
      <c r="AG521" s="526"/>
      <c r="AH521" s="526"/>
      <c r="AI521" s="526"/>
      <c r="AJ521" s="526"/>
      <c r="AQ521" s="712"/>
    </row>
    <row r="522" spans="1:45" ht="22" thickBot="1">
      <c r="K522" s="712"/>
      <c r="L522" s="502"/>
      <c r="M522" s="502"/>
      <c r="O522" s="526"/>
      <c r="P522" s="526"/>
      <c r="Q522" s="526"/>
      <c r="R522" s="526"/>
      <c r="S522" s="526"/>
      <c r="T522" s="686"/>
      <c r="U522" s="690"/>
      <c r="V522" s="690"/>
      <c r="W522" s="690"/>
      <c r="X522" s="690"/>
      <c r="Y522" s="526"/>
      <c r="Z522" s="526"/>
      <c r="AA522" s="526"/>
      <c r="AB522" s="526"/>
      <c r="AC522" s="526"/>
      <c r="AD522" s="526"/>
      <c r="AE522" s="526" t="s">
        <v>488</v>
      </c>
      <c r="AF522" s="700">
        <f>AF512+AF520</f>
        <v>41822.7264</v>
      </c>
      <c r="AG522" s="701">
        <f>AG512+AG520</f>
        <v>76041.315700000006</v>
      </c>
      <c r="AH522" s="701">
        <f>AH512+AH520</f>
        <v>72239.241620000001</v>
      </c>
      <c r="AI522" s="701">
        <f>AI512+AI520</f>
        <v>0</v>
      </c>
      <c r="AJ522" s="702">
        <f>AJ512+AJ520</f>
        <v>0</v>
      </c>
      <c r="AK522" s="2218">
        <f>SUM(AF522:AJ522)</f>
        <v>190103.28372000001</v>
      </c>
      <c r="AQ522" s="712"/>
    </row>
    <row r="523" spans="1:45" ht="22" thickBot="1">
      <c r="A523" s="730">
        <v>22</v>
      </c>
      <c r="B523" s="733">
        <f>AF523</f>
        <v>734779.71607622399</v>
      </c>
      <c r="C523" s="733">
        <f>AG523</f>
        <v>1335963.031814887</v>
      </c>
      <c r="D523" s="733">
        <f>AH523</f>
        <v>1269164.7344900342</v>
      </c>
      <c r="E523" s="733">
        <f>AI523</f>
        <v>0</v>
      </c>
      <c r="F523" s="733">
        <f>AJ523</f>
        <v>0</v>
      </c>
      <c r="G523" s="733" t="s">
        <v>351</v>
      </c>
      <c r="H523" s="733" t="s">
        <v>506</v>
      </c>
      <c r="I523" s="733"/>
      <c r="J523" s="841" t="s">
        <v>2936</v>
      </c>
      <c r="K523" s="712"/>
      <c r="L523" s="502"/>
      <c r="M523" s="502"/>
      <c r="O523" s="526"/>
      <c r="P523" s="526"/>
      <c r="Q523" s="526"/>
      <c r="R523" s="526"/>
      <c r="S523" s="526"/>
      <c r="T523" s="686"/>
      <c r="U523" s="690"/>
      <c r="V523" s="690"/>
      <c r="W523" s="690"/>
      <c r="X523" s="690"/>
      <c r="Y523" s="526"/>
      <c r="Z523" s="526"/>
      <c r="AA523" s="526"/>
      <c r="AB523" s="526"/>
      <c r="AC523" s="526"/>
      <c r="AD523" s="526"/>
      <c r="AE523" s="526" t="s">
        <v>489</v>
      </c>
      <c r="AF523" s="1738">
        <f>AF522*USD</f>
        <v>734779.71607622399</v>
      </c>
      <c r="AG523" s="1736">
        <f>AG522*USD</f>
        <v>1335963.031814887</v>
      </c>
      <c r="AH523" s="1736">
        <f>AH522*USD</f>
        <v>1269164.7344900342</v>
      </c>
      <c r="AI523" s="1736">
        <f>AI522*USD</f>
        <v>0</v>
      </c>
      <c r="AJ523" s="1737">
        <f>AJ522*USD</f>
        <v>0</v>
      </c>
      <c r="AK523" s="2231">
        <f>SUM(AF523:AJ523)</f>
        <v>3339907.482381145</v>
      </c>
      <c r="AQ523" s="712"/>
      <c r="AR523" s="1489">
        <f>SUM(AF523:AJ523)</f>
        <v>3339907.482381145</v>
      </c>
      <c r="AS523" s="2216">
        <f>AR523/EUR</f>
        <v>170188.94412726373</v>
      </c>
    </row>
    <row r="524" spans="1:45" ht="21">
      <c r="K524" s="712"/>
      <c r="L524" s="502"/>
      <c r="M524" s="502"/>
      <c r="O524" s="526"/>
      <c r="P524" s="526"/>
      <c r="Q524" s="526"/>
      <c r="R524" s="526"/>
      <c r="S524" s="526"/>
      <c r="T524" s="686"/>
      <c r="U524" s="690"/>
      <c r="V524" s="690"/>
      <c r="W524" s="690"/>
      <c r="X524" s="690"/>
      <c r="Y524" s="526"/>
      <c r="Z524" s="526"/>
      <c r="AA524" s="526"/>
      <c r="AB524" s="526"/>
      <c r="AC524" s="526"/>
      <c r="AD524" s="526"/>
      <c r="AE524" s="526"/>
      <c r="AF524" s="703"/>
      <c r="AG524" s="704"/>
      <c r="AH524" s="704"/>
      <c r="AI524" s="704"/>
      <c r="AJ524" s="704"/>
      <c r="AQ524" s="712"/>
    </row>
    <row r="525" spans="1:45" ht="12" customHeight="1">
      <c r="K525" s="712"/>
      <c r="L525" s="705"/>
      <c r="M525" s="705"/>
      <c r="N525" s="705"/>
      <c r="O525" s="706"/>
      <c r="P525" s="706"/>
      <c r="Q525" s="706"/>
      <c r="R525" s="706"/>
      <c r="S525" s="706"/>
      <c r="T525" s="706"/>
      <c r="U525" s="706"/>
      <c r="V525" s="706"/>
      <c r="W525" s="706"/>
      <c r="X525" s="706"/>
      <c r="Y525" s="706"/>
      <c r="Z525" s="706"/>
      <c r="AA525" s="706"/>
      <c r="AB525" s="706"/>
      <c r="AC525" s="706"/>
      <c r="AD525" s="706"/>
      <c r="AE525" s="706"/>
      <c r="AF525" s="706"/>
      <c r="AG525" s="706"/>
      <c r="AH525" s="706"/>
      <c r="AI525" s="706"/>
      <c r="AJ525" s="706"/>
      <c r="AK525" s="706"/>
      <c r="AL525" s="706"/>
      <c r="AM525" s="706"/>
      <c r="AN525" s="706"/>
      <c r="AO525" s="706"/>
      <c r="AP525" s="706"/>
      <c r="AQ525" s="712"/>
    </row>
    <row r="526" spans="1:45" ht="21">
      <c r="K526" s="712"/>
      <c r="L526" s="502"/>
      <c r="M526" s="502"/>
      <c r="O526" s="526"/>
      <c r="P526" s="526"/>
      <c r="Q526" s="526"/>
      <c r="R526" s="526"/>
      <c r="S526" s="526"/>
      <c r="T526" s="526"/>
      <c r="U526" s="526"/>
      <c r="V526" s="526"/>
      <c r="W526" s="526"/>
      <c r="X526" s="526"/>
      <c r="Y526" s="526"/>
      <c r="Z526" s="526"/>
      <c r="AA526" s="526"/>
      <c r="AB526" s="526"/>
      <c r="AC526" s="526"/>
      <c r="AD526" s="526"/>
      <c r="AE526" s="526"/>
      <c r="AF526" s="526"/>
      <c r="AG526" s="526"/>
      <c r="AH526" s="526"/>
      <c r="AI526" s="526"/>
      <c r="AJ526" s="526"/>
      <c r="AQ526" s="712"/>
    </row>
    <row r="527" spans="1:45" ht="21">
      <c r="K527" s="712"/>
      <c r="L527" s="501" t="s">
        <v>491</v>
      </c>
      <c r="M527" s="499" t="s">
        <v>507</v>
      </c>
      <c r="N527" s="502"/>
      <c r="O527" s="526"/>
      <c r="P527" s="526"/>
      <c r="Q527" s="558"/>
      <c r="R527" s="558">
        <v>1</v>
      </c>
      <c r="S527" s="558">
        <v>2</v>
      </c>
      <c r="T527" s="558">
        <v>3</v>
      </c>
      <c r="U527" s="558">
        <v>4</v>
      </c>
      <c r="V527" s="558">
        <v>5</v>
      </c>
      <c r="W527" s="558">
        <v>6</v>
      </c>
      <c r="X527" s="558">
        <v>7</v>
      </c>
      <c r="Y527" s="558">
        <v>8</v>
      </c>
      <c r="Z527" s="558">
        <v>9</v>
      </c>
      <c r="AA527" s="558">
        <v>10</v>
      </c>
      <c r="AB527" s="558">
        <v>11</v>
      </c>
      <c r="AC527" s="558">
        <v>12</v>
      </c>
      <c r="AD527" s="558">
        <v>13</v>
      </c>
      <c r="AE527" s="558">
        <v>14</v>
      </c>
      <c r="AF527" s="558">
        <v>15</v>
      </c>
      <c r="AG527" s="558">
        <v>16</v>
      </c>
      <c r="AH527" s="558">
        <v>17</v>
      </c>
      <c r="AI527" s="558">
        <v>18</v>
      </c>
      <c r="AJ527" s="558">
        <v>19</v>
      </c>
      <c r="AQ527" s="712"/>
    </row>
    <row r="528" spans="1:45" ht="22" thickBot="1">
      <c r="K528" s="712"/>
      <c r="L528" s="502"/>
      <c r="M528" s="502"/>
      <c r="N528" s="502"/>
      <c r="O528" s="513"/>
      <c r="P528" s="508"/>
      <c r="Q528" s="558"/>
      <c r="R528" s="558"/>
      <c r="S528" s="526"/>
      <c r="T528" s="545" t="s">
        <v>114</v>
      </c>
      <c r="U528" s="545"/>
      <c r="V528" s="545"/>
      <c r="W528" s="545"/>
      <c r="X528" s="545"/>
      <c r="Y528" s="545"/>
      <c r="Z528" s="642" t="s">
        <v>350</v>
      </c>
      <c r="AA528" s="545"/>
      <c r="AB528" s="545"/>
      <c r="AC528" s="545"/>
      <c r="AD528" s="545"/>
      <c r="AE528" s="545"/>
      <c r="AF528" s="545" t="s">
        <v>351</v>
      </c>
      <c r="AG528" s="545"/>
      <c r="AH528" s="545"/>
      <c r="AI528" s="545"/>
      <c r="AJ528" s="545"/>
      <c r="AK528"/>
      <c r="AQ528" s="712"/>
    </row>
    <row r="529" spans="11:43" ht="22" thickBot="1">
      <c r="K529" s="712"/>
      <c r="L529" s="502"/>
      <c r="M529" s="502"/>
      <c r="N529" s="482" t="s">
        <v>354</v>
      </c>
      <c r="O529" s="526"/>
      <c r="P529" s="526"/>
      <c r="Q529" s="558"/>
      <c r="R529" s="558"/>
      <c r="S529" s="526"/>
      <c r="T529" s="559">
        <v>2021</v>
      </c>
      <c r="U529" s="560">
        <v>2022</v>
      </c>
      <c r="V529" s="560">
        <v>2023</v>
      </c>
      <c r="W529" s="560">
        <v>2024</v>
      </c>
      <c r="X529" s="561">
        <v>2025</v>
      </c>
      <c r="Y529" s="563" t="s">
        <v>238</v>
      </c>
      <c r="Z529" s="559">
        <v>2021</v>
      </c>
      <c r="AA529" s="560">
        <v>2022</v>
      </c>
      <c r="AB529" s="560">
        <v>2023</v>
      </c>
      <c r="AC529" s="560">
        <v>2024</v>
      </c>
      <c r="AD529" s="561">
        <v>2025</v>
      </c>
      <c r="AE529" s="563" t="s">
        <v>238</v>
      </c>
      <c r="AF529" s="584">
        <v>2021</v>
      </c>
      <c r="AG529" s="585">
        <v>2022</v>
      </c>
      <c r="AH529" s="585">
        <v>2023</v>
      </c>
      <c r="AI529" s="585">
        <v>2024</v>
      </c>
      <c r="AJ529" s="586">
        <v>2025</v>
      </c>
      <c r="AK529"/>
      <c r="AL529" s="1887" t="s">
        <v>3854</v>
      </c>
      <c r="AQ529" s="712"/>
    </row>
    <row r="530" spans="11:43" ht="21">
      <c r="K530" s="712"/>
      <c r="L530" s="502"/>
      <c r="M530" s="502"/>
      <c r="O530" s="526" t="s">
        <v>308</v>
      </c>
      <c r="P530" s="526"/>
      <c r="Q530" s="526"/>
      <c r="R530" s="562" t="s">
        <v>93</v>
      </c>
      <c r="S530" s="643" t="s">
        <v>310</v>
      </c>
      <c r="T530" s="644">
        <f>T30</f>
        <v>20</v>
      </c>
      <c r="U530" s="645">
        <f>U30</f>
        <v>19</v>
      </c>
      <c r="V530" s="645">
        <f>V30</f>
        <v>19</v>
      </c>
      <c r="W530" s="645">
        <f>W30</f>
        <v>18</v>
      </c>
      <c r="X530" s="646">
        <f>X30</f>
        <v>18</v>
      </c>
      <c r="Y530" s="563" t="s">
        <v>238</v>
      </c>
      <c r="Z530" s="647">
        <v>0.55000000000000004</v>
      </c>
      <c r="AA530" s="648">
        <v>0.65</v>
      </c>
      <c r="AB530" s="648">
        <v>0.75</v>
      </c>
      <c r="AC530" s="648">
        <v>1</v>
      </c>
      <c r="AD530" s="649">
        <v>1</v>
      </c>
      <c r="AE530" s="563" t="s">
        <v>238</v>
      </c>
      <c r="AF530" s="650">
        <f>100%-Z530</f>
        <v>0.44999999999999996</v>
      </c>
      <c r="AG530" s="651">
        <f>100%-AA530</f>
        <v>0.35</v>
      </c>
      <c r="AH530" s="651">
        <f>100%-AB530</f>
        <v>0.25</v>
      </c>
      <c r="AI530" s="651">
        <f>100%-AC530</f>
        <v>0</v>
      </c>
      <c r="AJ530" s="652">
        <f>100%-AD530</f>
        <v>0</v>
      </c>
      <c r="AK530"/>
      <c r="AL530" s="1887"/>
      <c r="AQ530" s="712"/>
    </row>
    <row r="531" spans="11:43" ht="21">
      <c r="K531" s="712"/>
      <c r="L531" s="502"/>
      <c r="M531" s="502"/>
      <c r="O531" s="653">
        <v>0.6</v>
      </c>
      <c r="P531" s="653"/>
      <c r="Q531" s="653"/>
      <c r="R531" s="578" t="s">
        <v>462</v>
      </c>
      <c r="S531" s="654" t="s">
        <v>482</v>
      </c>
      <c r="T531" s="655">
        <f>T530-SUM(T532:T535)</f>
        <v>12</v>
      </c>
      <c r="U531" s="656">
        <f>U530-SUM(U532:U535)</f>
        <v>11</v>
      </c>
      <c r="V531" s="656">
        <f>V530-SUM(V532:V535)</f>
        <v>11</v>
      </c>
      <c r="W531" s="656">
        <f>W530-SUM(W532:W535)</f>
        <v>10</v>
      </c>
      <c r="X531" s="657">
        <f>X530-SUM(X532:X535)</f>
        <v>10</v>
      </c>
      <c r="Y531" s="563" t="s">
        <v>238</v>
      </c>
      <c r="Z531" s="655">
        <f>ROUND(T531*Z530,0)</f>
        <v>7</v>
      </c>
      <c r="AA531" s="656">
        <f>ROUND(U531*AA530,0)</f>
        <v>7</v>
      </c>
      <c r="AB531" s="656">
        <f>ROUND(V531*AB530,0)</f>
        <v>8</v>
      </c>
      <c r="AC531" s="656">
        <f>ROUND(W531*AC530,0)</f>
        <v>10</v>
      </c>
      <c r="AD531" s="657">
        <f>ROUND(X531*AD530,0)</f>
        <v>10</v>
      </c>
      <c r="AE531" s="563" t="s">
        <v>238</v>
      </c>
      <c r="AF531" s="658">
        <f>ROUND((T531-Z531)*AL531,0)</f>
        <v>3</v>
      </c>
      <c r="AG531" s="659">
        <f>U531-AA531</f>
        <v>4</v>
      </c>
      <c r="AH531" s="659">
        <f>V531-AB531</f>
        <v>3</v>
      </c>
      <c r="AI531" s="659">
        <f>W531-AC531</f>
        <v>0</v>
      </c>
      <c r="AJ531" s="660">
        <f>X531-AD531</f>
        <v>0</v>
      </c>
      <c r="AK531"/>
      <c r="AL531" s="2287">
        <f>Year_2021_covered</f>
        <v>0.5</v>
      </c>
      <c r="AQ531" s="712"/>
    </row>
    <row r="532" spans="11:43" ht="21">
      <c r="K532" s="712"/>
      <c r="L532" s="502"/>
      <c r="M532" s="502"/>
      <c r="O532" s="653"/>
      <c r="P532" s="653"/>
      <c r="Q532" s="653"/>
      <c r="R532" s="526"/>
      <c r="S532" s="661"/>
      <c r="T532" s="662"/>
      <c r="U532" s="539"/>
      <c r="V532" s="539"/>
      <c r="W532" s="539"/>
      <c r="X532" s="540"/>
      <c r="Y532" s="563" t="s">
        <v>238</v>
      </c>
      <c r="Z532" s="647">
        <v>0.55000000000000004</v>
      </c>
      <c r="AA532" s="648">
        <v>0.65</v>
      </c>
      <c r="AB532" s="648">
        <v>0.75</v>
      </c>
      <c r="AC532" s="648">
        <v>1</v>
      </c>
      <c r="AD532" s="649">
        <v>1</v>
      </c>
      <c r="AE532" s="563" t="s">
        <v>238</v>
      </c>
      <c r="AF532" s="650">
        <f>100%-Z532</f>
        <v>0.44999999999999996</v>
      </c>
      <c r="AG532" s="651">
        <f>100%-AA532</f>
        <v>0.35</v>
      </c>
      <c r="AH532" s="651">
        <f>100%-AB532</f>
        <v>0.25</v>
      </c>
      <c r="AI532" s="651">
        <f>100%-AC532</f>
        <v>0</v>
      </c>
      <c r="AJ532" s="652">
        <f>100%-AD532</f>
        <v>0</v>
      </c>
      <c r="AK532"/>
      <c r="AL532" s="1887"/>
      <c r="AQ532" s="712"/>
    </row>
    <row r="533" spans="11:43" ht="21">
      <c r="K533" s="712"/>
      <c r="L533" s="502"/>
      <c r="M533" s="502"/>
      <c r="O533" s="653">
        <v>0.2</v>
      </c>
      <c r="P533" s="653"/>
      <c r="Q533" s="653"/>
      <c r="R533" s="578" t="s">
        <v>473</v>
      </c>
      <c r="S533" s="526" t="s">
        <v>475</v>
      </c>
      <c r="T533" s="655">
        <f>ROUND(T530*$O533,0)</f>
        <v>4</v>
      </c>
      <c r="U533" s="656">
        <f>ROUND(U530*$O533,0)</f>
        <v>4</v>
      </c>
      <c r="V533" s="656">
        <f>ROUND(V530*$O533,0)</f>
        <v>4</v>
      </c>
      <c r="W533" s="656">
        <f>ROUND(W530*$O533,0)</f>
        <v>4</v>
      </c>
      <c r="X533" s="657">
        <f>ROUND(X530*$O533,0)</f>
        <v>4</v>
      </c>
      <c r="Y533" s="563" t="s">
        <v>238</v>
      </c>
      <c r="Z533" s="655">
        <f>ROUND(T533*Z532,0)</f>
        <v>2</v>
      </c>
      <c r="AA533" s="656">
        <f>ROUND(U533*AA532,0)</f>
        <v>3</v>
      </c>
      <c r="AB533" s="656">
        <f>ROUND(V533*AB532,0)</f>
        <v>3</v>
      </c>
      <c r="AC533" s="656">
        <f>ROUND(W533*AC532,0)</f>
        <v>4</v>
      </c>
      <c r="AD533" s="657">
        <f>ROUND(X533*AD532,0)</f>
        <v>4</v>
      </c>
      <c r="AE533" s="563" t="s">
        <v>238</v>
      </c>
      <c r="AF533" s="658">
        <f>ROUND((T533-Z533)*AL533,0)</f>
        <v>1</v>
      </c>
      <c r="AG533" s="659">
        <f>U533-AA533</f>
        <v>1</v>
      </c>
      <c r="AH533" s="659">
        <f>V533-AB533</f>
        <v>1</v>
      </c>
      <c r="AI533" s="659">
        <f>W533-AC533</f>
        <v>0</v>
      </c>
      <c r="AJ533" s="660">
        <f>X533-AD533</f>
        <v>0</v>
      </c>
      <c r="AK533"/>
      <c r="AL533" s="2287">
        <f>Year_2021_covered</f>
        <v>0.5</v>
      </c>
      <c r="AQ533" s="712"/>
    </row>
    <row r="534" spans="11:43" ht="21">
      <c r="K534" s="712"/>
      <c r="L534" s="502"/>
      <c r="M534" s="502"/>
      <c r="O534" s="653"/>
      <c r="P534" s="653"/>
      <c r="Q534" s="653"/>
      <c r="R534" s="663"/>
      <c r="S534" s="661"/>
      <c r="T534" s="662"/>
      <c r="U534" s="539"/>
      <c r="V534" s="539"/>
      <c r="W534" s="539"/>
      <c r="X534" s="540"/>
      <c r="Y534" s="563" t="s">
        <v>238</v>
      </c>
      <c r="Z534" s="647">
        <v>0.55000000000000004</v>
      </c>
      <c r="AA534" s="648">
        <v>0.65</v>
      </c>
      <c r="AB534" s="648">
        <v>0.75</v>
      </c>
      <c r="AC534" s="648">
        <v>1</v>
      </c>
      <c r="AD534" s="649">
        <v>1</v>
      </c>
      <c r="AE534" s="563" t="s">
        <v>238</v>
      </c>
      <c r="AF534" s="650">
        <f>100%-Z534</f>
        <v>0.44999999999999996</v>
      </c>
      <c r="AG534" s="651">
        <f>100%-AA534</f>
        <v>0.35</v>
      </c>
      <c r="AH534" s="651">
        <f>100%-AB534</f>
        <v>0.25</v>
      </c>
      <c r="AI534" s="651">
        <f>100%-AC534</f>
        <v>0</v>
      </c>
      <c r="AJ534" s="652">
        <f>100%-AD534</f>
        <v>0</v>
      </c>
      <c r="AK534"/>
      <c r="AL534" s="1887"/>
      <c r="AQ534" s="712"/>
    </row>
    <row r="535" spans="11:43" ht="34">
      <c r="K535" s="712"/>
      <c r="L535" s="502"/>
      <c r="M535" s="502"/>
      <c r="O535" s="653">
        <v>0.2</v>
      </c>
      <c r="P535" s="653"/>
      <c r="Q535" s="653"/>
      <c r="R535" s="661" t="s">
        <v>474</v>
      </c>
      <c r="S535" s="661" t="s">
        <v>476</v>
      </c>
      <c r="T535" s="655">
        <f>ROUND(T530*O535,0)</f>
        <v>4</v>
      </c>
      <c r="U535" s="656">
        <f>ROUND(U530*O535,0)</f>
        <v>4</v>
      </c>
      <c r="V535" s="656">
        <f>ROUND(V530*O535,0)</f>
        <v>4</v>
      </c>
      <c r="W535" s="656">
        <f>ROUND(W530*O535,0)</f>
        <v>4</v>
      </c>
      <c r="X535" s="657">
        <f>ROUND(X530*O535,0)</f>
        <v>4</v>
      </c>
      <c r="Y535" s="563" t="s">
        <v>238</v>
      </c>
      <c r="Z535" s="655">
        <f>ROUND(T535*Z534,0)</f>
        <v>2</v>
      </c>
      <c r="AA535" s="656">
        <f>ROUND(U535*AA534,0)</f>
        <v>3</v>
      </c>
      <c r="AB535" s="656">
        <f>ROUND(V535*AB534,0)</f>
        <v>3</v>
      </c>
      <c r="AC535" s="656">
        <f>ROUND(W535*AC534,0)</f>
        <v>4</v>
      </c>
      <c r="AD535" s="657">
        <f>ROUND(X535*AD534,0)</f>
        <v>4</v>
      </c>
      <c r="AE535" s="563" t="s">
        <v>238</v>
      </c>
      <c r="AF535" s="658">
        <f>ROUND((T535-Z535)*AL535,0)</f>
        <v>1</v>
      </c>
      <c r="AG535" s="659">
        <f>U535-AA535</f>
        <v>1</v>
      </c>
      <c r="AH535" s="659">
        <f>V535-AB535</f>
        <v>1</v>
      </c>
      <c r="AI535" s="659">
        <f>W535-AC535</f>
        <v>0</v>
      </c>
      <c r="AJ535" s="660">
        <f>X535-AD535</f>
        <v>0</v>
      </c>
      <c r="AK535"/>
      <c r="AL535" s="2287">
        <f>Year_2021_covered</f>
        <v>0.5</v>
      </c>
      <c r="AQ535" s="712"/>
    </row>
    <row r="536" spans="11:43" ht="21">
      <c r="K536" s="712"/>
      <c r="L536" s="502"/>
      <c r="M536" s="502"/>
      <c r="O536" s="653"/>
      <c r="P536" s="653"/>
      <c r="Q536" s="653"/>
      <c r="R536" s="578"/>
      <c r="S536" s="661"/>
      <c r="T536" s="662"/>
      <c r="U536" s="539"/>
      <c r="V536" s="539"/>
      <c r="W536" s="539"/>
      <c r="X536" s="540"/>
      <c r="Y536" s="563" t="s">
        <v>238</v>
      </c>
      <c r="Z536" s="719">
        <v>0.55000000000000004</v>
      </c>
      <c r="AA536" s="720">
        <v>0.65</v>
      </c>
      <c r="AB536" s="720">
        <v>0.75</v>
      </c>
      <c r="AC536" s="720">
        <v>1</v>
      </c>
      <c r="AD536" s="721">
        <v>1</v>
      </c>
      <c r="AE536" s="563" t="s">
        <v>238</v>
      </c>
      <c r="AF536" s="650">
        <f>100%-Z536</f>
        <v>0.44999999999999996</v>
      </c>
      <c r="AG536" s="651">
        <f>100%-AA536</f>
        <v>0.35</v>
      </c>
      <c r="AH536" s="651">
        <f>100%-AB536</f>
        <v>0.25</v>
      </c>
      <c r="AI536" s="651">
        <f>100%-AC536</f>
        <v>0</v>
      </c>
      <c r="AJ536" s="652">
        <f>100%-AD536</f>
        <v>0</v>
      </c>
      <c r="AK536"/>
      <c r="AL536" s="1887"/>
      <c r="AQ536" s="712"/>
    </row>
    <row r="537" spans="11:43" ht="21">
      <c r="K537" s="712"/>
      <c r="L537" s="502"/>
      <c r="M537" s="502"/>
      <c r="O537" s="653">
        <v>1</v>
      </c>
      <c r="P537" s="653"/>
      <c r="Q537" s="653"/>
      <c r="R537" s="578" t="s">
        <v>510</v>
      </c>
      <c r="S537" s="654" t="s">
        <v>511</v>
      </c>
      <c r="T537" s="655">
        <f>T31</f>
        <v>0</v>
      </c>
      <c r="U537" s="656">
        <f>U31</f>
        <v>0</v>
      </c>
      <c r="V537" s="656">
        <f>V31</f>
        <v>0</v>
      </c>
      <c r="W537" s="656">
        <f>W31</f>
        <v>0</v>
      </c>
      <c r="X537" s="657">
        <f>X31</f>
        <v>0</v>
      </c>
      <c r="Y537" s="563" t="s">
        <v>238</v>
      </c>
      <c r="Z537" s="655">
        <f>ROUND(T537*Z536,0)</f>
        <v>0</v>
      </c>
      <c r="AA537" s="656">
        <f>ROUND(U537*AA536,0)</f>
        <v>0</v>
      </c>
      <c r="AB537" s="656">
        <f>ROUND(V537*AB536,0)</f>
        <v>0</v>
      </c>
      <c r="AC537" s="656">
        <f>ROUND(W537*AC536,0)</f>
        <v>0</v>
      </c>
      <c r="AD537" s="657">
        <f>ROUND(X537*AD536,0)</f>
        <v>0</v>
      </c>
      <c r="AE537" s="563" t="s">
        <v>238</v>
      </c>
      <c r="AF537" s="658">
        <f>ROUND((T537-Z537)*AL537,0)</f>
        <v>0</v>
      </c>
      <c r="AG537" s="659">
        <f>U537-AA537</f>
        <v>0</v>
      </c>
      <c r="AH537" s="659">
        <f>V537-AB537</f>
        <v>0</v>
      </c>
      <c r="AI537" s="659">
        <f>W537-AC537</f>
        <v>0</v>
      </c>
      <c r="AJ537" s="660">
        <f>X537-AD537</f>
        <v>0</v>
      </c>
      <c r="AK537"/>
      <c r="AL537" s="2287">
        <f>Year_2021_covered</f>
        <v>0.5</v>
      </c>
      <c r="AQ537" s="712"/>
    </row>
    <row r="538" spans="11:43" ht="22" thickBot="1">
      <c r="K538" s="712"/>
      <c r="L538" s="502"/>
      <c r="M538" s="502"/>
      <c r="O538" s="653"/>
      <c r="P538" s="653"/>
      <c r="Q538" s="653"/>
      <c r="R538" s="663"/>
      <c r="S538" s="661"/>
      <c r="T538" s="664"/>
      <c r="U538" s="543"/>
      <c r="V538" s="543"/>
      <c r="W538" s="543"/>
      <c r="X538" s="544"/>
      <c r="Y538" s="563" t="s">
        <v>238</v>
      </c>
      <c r="Z538" s="664">
        <f>ROUND(Z$173*$O538*$P538*$Q538,0)</f>
        <v>0</v>
      </c>
      <c r="AA538" s="543">
        <f>ROUND(AA$173*$O538*$P538*$Q538,0)</f>
        <v>0</v>
      </c>
      <c r="AB538" s="543">
        <f>ROUND(AB$173*$O538*$P538*$Q538,0)</f>
        <v>0</v>
      </c>
      <c r="AC538" s="543">
        <f>ROUND(AC$173*$O538*$P538*$Q538,0)</f>
        <v>0</v>
      </c>
      <c r="AD538" s="544">
        <f>ROUND(AD$173*$O538*$P538*$Q538,0)</f>
        <v>0</v>
      </c>
      <c r="AE538" s="563" t="s">
        <v>238</v>
      </c>
      <c r="AF538" s="664">
        <f>ROUND(AF$173*$O538*$P538*$Q538,0)</f>
        <v>0</v>
      </c>
      <c r="AG538" s="543">
        <f>ROUND(AG$173*$O538*$P538*$Q538,0)</f>
        <v>0</v>
      </c>
      <c r="AH538" s="543">
        <f>ROUND(AH$173*$O538*$P538*$Q538,0)</f>
        <v>0</v>
      </c>
      <c r="AI538" s="543">
        <f>ROUND(AI$173*$O538*$P538*$Q538,0)</f>
        <v>0</v>
      </c>
      <c r="AJ538" s="544">
        <f>ROUND(AJ$173*$O538*$P538*$Q538,0)</f>
        <v>0</v>
      </c>
      <c r="AK538"/>
      <c r="AL538" s="1887"/>
      <c r="AQ538" s="712"/>
    </row>
    <row r="539" spans="11:43" ht="21">
      <c r="K539" s="712"/>
      <c r="L539" s="502"/>
      <c r="M539" s="502"/>
      <c r="O539" s="526"/>
      <c r="P539" s="526"/>
      <c r="Q539" s="526"/>
      <c r="R539" s="526"/>
      <c r="S539" s="526"/>
      <c r="T539" s="526"/>
      <c r="U539" s="526"/>
      <c r="V539" s="526"/>
      <c r="W539" s="526"/>
      <c r="X539" s="526"/>
      <c r="Y539" s="526"/>
      <c r="Z539" s="526"/>
      <c r="AA539" s="526"/>
      <c r="AB539" s="526"/>
      <c r="AC539" s="526"/>
      <c r="AD539" s="526"/>
      <c r="AE539" s="526"/>
      <c r="AF539" s="526"/>
      <c r="AG539" s="526"/>
      <c r="AH539" s="526"/>
      <c r="AI539" s="526"/>
      <c r="AJ539" s="526"/>
      <c r="AK539"/>
      <c r="AQ539" s="712"/>
    </row>
    <row r="540" spans="11:43" ht="21">
      <c r="K540" s="712"/>
      <c r="L540" s="502"/>
      <c r="M540" s="502"/>
      <c r="O540" s="526"/>
      <c r="P540" s="526"/>
      <c r="Q540" s="526"/>
      <c r="R540" s="526"/>
      <c r="S540" s="526"/>
      <c r="T540" s="571"/>
      <c r="U540" s="571"/>
      <c r="V540" s="571"/>
      <c r="W540" s="571"/>
      <c r="X540" s="571"/>
      <c r="Y540" s="526"/>
      <c r="Z540" s="526"/>
      <c r="AA540" s="526"/>
      <c r="AB540" s="526"/>
      <c r="AC540" s="526"/>
      <c r="AD540" s="526"/>
      <c r="AE540" s="526"/>
      <c r="AF540" s="526"/>
      <c r="AG540" s="526"/>
      <c r="AH540" s="526"/>
      <c r="AI540" s="526"/>
      <c r="AJ540" s="526"/>
      <c r="AK540"/>
      <c r="AQ540" s="712"/>
    </row>
    <row r="541" spans="11:43" ht="22" thickBot="1">
      <c r="K541" s="712"/>
      <c r="L541" s="502"/>
      <c r="M541" s="517"/>
      <c r="N541" s="482" t="s">
        <v>355</v>
      </c>
      <c r="O541" s="526"/>
      <c r="P541" s="526"/>
      <c r="Q541" s="526"/>
      <c r="R541" s="526"/>
      <c r="S541" s="526"/>
      <c r="T541" s="571"/>
      <c r="U541" s="571"/>
      <c r="V541" s="571"/>
      <c r="W541" s="571"/>
      <c r="X541" s="571"/>
      <c r="Y541" s="526"/>
      <c r="Z541" s="526"/>
      <c r="AA541" s="526"/>
      <c r="AB541" s="526"/>
      <c r="AC541" s="526"/>
      <c r="AD541" s="526"/>
      <c r="AE541" s="526"/>
      <c r="AF541" s="526"/>
      <c r="AG541" s="526"/>
      <c r="AH541" s="526"/>
      <c r="AI541" s="526"/>
      <c r="AJ541" s="526"/>
      <c r="AK541"/>
      <c r="AQ541" s="712"/>
    </row>
    <row r="542" spans="11:43" ht="22" thickBot="1">
      <c r="K542" s="712"/>
      <c r="L542" s="502"/>
      <c r="M542" s="502"/>
      <c r="N542" s="514" t="s">
        <v>330</v>
      </c>
      <c r="O542" s="630" t="s">
        <v>312</v>
      </c>
      <c r="P542" s="631" t="s">
        <v>477</v>
      </c>
      <c r="Q542" s="631"/>
      <c r="R542" s="631" t="s">
        <v>328</v>
      </c>
      <c r="S542" s="631" t="s">
        <v>327</v>
      </c>
      <c r="T542" s="631" t="s">
        <v>329</v>
      </c>
      <c r="U542" s="631" t="s">
        <v>97</v>
      </c>
      <c r="V542" s="631"/>
      <c r="W542" s="631"/>
      <c r="X542" s="665"/>
      <c r="Y542" s="526" t="s">
        <v>478</v>
      </c>
      <c r="Z542" s="584">
        <v>2021</v>
      </c>
      <c r="AA542" s="585">
        <v>2022</v>
      </c>
      <c r="AB542" s="585">
        <v>2023</v>
      </c>
      <c r="AC542" s="585">
        <v>2024</v>
      </c>
      <c r="AD542" s="586">
        <v>2025</v>
      </c>
      <c r="AE542" s="526" t="s">
        <v>478</v>
      </c>
      <c r="AF542" s="559">
        <v>2021</v>
      </c>
      <c r="AG542" s="560">
        <v>2022</v>
      </c>
      <c r="AH542" s="560">
        <v>2023</v>
      </c>
      <c r="AI542" s="560">
        <v>2024</v>
      </c>
      <c r="AJ542" s="561">
        <v>2025</v>
      </c>
      <c r="AK542"/>
      <c r="AQ542" s="712"/>
    </row>
    <row r="543" spans="11:43" ht="21">
      <c r="K543" s="712"/>
      <c r="L543" s="502"/>
      <c r="M543" s="502"/>
      <c r="N543" s="518" t="s">
        <v>462</v>
      </c>
      <c r="O543" s="666" t="s">
        <v>463</v>
      </c>
      <c r="P543" s="667">
        <v>0.05</v>
      </c>
      <c r="Q543" s="579"/>
      <c r="R543" s="579">
        <v>2</v>
      </c>
      <c r="S543" s="579">
        <v>30</v>
      </c>
      <c r="T543" s="579">
        <v>8</v>
      </c>
      <c r="U543" s="579">
        <f t="shared" ref="U543:U590" si="68">R543*S543*T543</f>
        <v>480</v>
      </c>
      <c r="V543" s="552"/>
      <c r="W543" s="552"/>
      <c r="X543" s="553"/>
      <c r="Y543" s="526"/>
      <c r="Z543" s="539">
        <f t="shared" ref="Z543:AD552" si="69">ROUND(IFERROR(VLOOKUP($N543,SLD_MD_penit,Z$338,0)*$U543*$P543*Attrition,0),0)</f>
        <v>143</v>
      </c>
      <c r="AA543" s="539">
        <f t="shared" si="69"/>
        <v>143</v>
      </c>
      <c r="AB543" s="539">
        <f t="shared" si="69"/>
        <v>163</v>
      </c>
      <c r="AC543" s="539">
        <f t="shared" si="69"/>
        <v>204</v>
      </c>
      <c r="AD543" s="539">
        <f t="shared" si="69"/>
        <v>204</v>
      </c>
      <c r="AE543" s="526"/>
      <c r="AF543" s="539">
        <f t="shared" ref="AF543:AJ552" si="70">ROUND(IFERROR(VLOOKUP($N543,SLD_MD_penit,AF$338,0)*$U543*$P543*Attrition,0),0)</f>
        <v>61</v>
      </c>
      <c r="AG543" s="539">
        <f t="shared" si="70"/>
        <v>82</v>
      </c>
      <c r="AH543" s="539">
        <f t="shared" si="70"/>
        <v>61</v>
      </c>
      <c r="AI543" s="539">
        <f t="shared" si="70"/>
        <v>0</v>
      </c>
      <c r="AJ543" s="539">
        <f t="shared" si="70"/>
        <v>0</v>
      </c>
      <c r="AK543"/>
      <c r="AQ543" s="712"/>
    </row>
    <row r="544" spans="11:43" ht="21">
      <c r="K544" s="712"/>
      <c r="L544" s="502"/>
      <c r="M544" s="502"/>
      <c r="N544" s="518" t="s">
        <v>462</v>
      </c>
      <c r="O544" s="432" t="s">
        <v>1808</v>
      </c>
      <c r="P544" s="667">
        <v>0.05</v>
      </c>
      <c r="Q544" s="633"/>
      <c r="R544" s="579">
        <v>4</v>
      </c>
      <c r="S544" s="579">
        <v>30</v>
      </c>
      <c r="T544" s="633">
        <v>10</v>
      </c>
      <c r="U544" s="579">
        <f t="shared" si="68"/>
        <v>1200</v>
      </c>
      <c r="V544" s="552"/>
      <c r="W544" s="552"/>
      <c r="X544" s="553"/>
      <c r="Y544" s="526"/>
      <c r="Z544" s="539">
        <f t="shared" si="69"/>
        <v>357</v>
      </c>
      <c r="AA544" s="539">
        <f t="shared" si="69"/>
        <v>357</v>
      </c>
      <c r="AB544" s="539">
        <f t="shared" si="69"/>
        <v>408</v>
      </c>
      <c r="AC544" s="539">
        <f t="shared" si="69"/>
        <v>510</v>
      </c>
      <c r="AD544" s="539">
        <f t="shared" si="69"/>
        <v>510</v>
      </c>
      <c r="AE544" s="526"/>
      <c r="AF544" s="539">
        <f t="shared" si="70"/>
        <v>153</v>
      </c>
      <c r="AG544" s="539">
        <f t="shared" si="70"/>
        <v>204</v>
      </c>
      <c r="AH544" s="539">
        <f t="shared" si="70"/>
        <v>153</v>
      </c>
      <c r="AI544" s="539">
        <f t="shared" si="70"/>
        <v>0</v>
      </c>
      <c r="AJ544" s="539">
        <f t="shared" si="70"/>
        <v>0</v>
      </c>
      <c r="AK544"/>
      <c r="AQ544" s="712"/>
    </row>
    <row r="545" spans="11:43" ht="21">
      <c r="K545" s="712"/>
      <c r="L545" s="502"/>
      <c r="M545" s="502"/>
      <c r="N545" s="518" t="s">
        <v>462</v>
      </c>
      <c r="O545" s="432" t="s">
        <v>1809</v>
      </c>
      <c r="P545" s="667">
        <v>0.05</v>
      </c>
      <c r="Q545" s="633"/>
      <c r="R545" s="579">
        <v>2</v>
      </c>
      <c r="S545" s="579">
        <v>30</v>
      </c>
      <c r="T545" s="633">
        <v>10</v>
      </c>
      <c r="U545" s="579">
        <f t="shared" si="68"/>
        <v>600</v>
      </c>
      <c r="V545" s="552"/>
      <c r="W545" s="552"/>
      <c r="X545" s="553"/>
      <c r="Y545" s="526"/>
      <c r="Z545" s="539">
        <f t="shared" si="69"/>
        <v>179</v>
      </c>
      <c r="AA545" s="539">
        <f t="shared" si="69"/>
        <v>179</v>
      </c>
      <c r="AB545" s="539">
        <f t="shared" si="69"/>
        <v>204</v>
      </c>
      <c r="AC545" s="539">
        <f t="shared" si="69"/>
        <v>255</v>
      </c>
      <c r="AD545" s="539">
        <f t="shared" si="69"/>
        <v>255</v>
      </c>
      <c r="AE545" s="526"/>
      <c r="AF545" s="539">
        <f t="shared" si="70"/>
        <v>77</v>
      </c>
      <c r="AG545" s="539">
        <f t="shared" si="70"/>
        <v>102</v>
      </c>
      <c r="AH545" s="539">
        <f t="shared" si="70"/>
        <v>77</v>
      </c>
      <c r="AI545" s="539">
        <f t="shared" si="70"/>
        <v>0</v>
      </c>
      <c r="AJ545" s="539">
        <f t="shared" si="70"/>
        <v>0</v>
      </c>
      <c r="AK545"/>
      <c r="AQ545" s="712"/>
    </row>
    <row r="546" spans="11:43" ht="21">
      <c r="K546" s="712"/>
      <c r="L546" s="502"/>
      <c r="M546" s="502"/>
      <c r="N546" s="518" t="s">
        <v>462</v>
      </c>
      <c r="O546" s="578" t="s">
        <v>464</v>
      </c>
      <c r="P546" s="671">
        <v>0.8</v>
      </c>
      <c r="Q546" s="633"/>
      <c r="R546" s="637">
        <v>188</v>
      </c>
      <c r="S546" s="637">
        <v>1</v>
      </c>
      <c r="T546" s="672">
        <v>1</v>
      </c>
      <c r="U546" s="672">
        <f t="shared" si="68"/>
        <v>188</v>
      </c>
      <c r="V546" s="552"/>
      <c r="W546" s="552"/>
      <c r="X546" s="553"/>
      <c r="Y546" s="526"/>
      <c r="Z546" s="539">
        <f t="shared" si="69"/>
        <v>895</v>
      </c>
      <c r="AA546" s="539">
        <f t="shared" si="69"/>
        <v>895</v>
      </c>
      <c r="AB546" s="539">
        <f t="shared" si="69"/>
        <v>1023</v>
      </c>
      <c r="AC546" s="539">
        <f t="shared" si="69"/>
        <v>1278</v>
      </c>
      <c r="AD546" s="539">
        <f t="shared" si="69"/>
        <v>1278</v>
      </c>
      <c r="AE546" s="526"/>
      <c r="AF546" s="539">
        <f t="shared" si="70"/>
        <v>384</v>
      </c>
      <c r="AG546" s="539">
        <f t="shared" si="70"/>
        <v>511</v>
      </c>
      <c r="AH546" s="539">
        <f t="shared" si="70"/>
        <v>384</v>
      </c>
      <c r="AI546" s="539">
        <f t="shared" si="70"/>
        <v>0</v>
      </c>
      <c r="AJ546" s="539">
        <f t="shared" si="70"/>
        <v>0</v>
      </c>
      <c r="AK546"/>
      <c r="AQ546" s="712"/>
    </row>
    <row r="547" spans="11:43" ht="21">
      <c r="K547" s="712"/>
      <c r="L547" s="502"/>
      <c r="M547" s="502"/>
      <c r="N547" s="518" t="s">
        <v>462</v>
      </c>
      <c r="O547" s="578" t="s">
        <v>465</v>
      </c>
      <c r="P547" s="673">
        <v>0.8</v>
      </c>
      <c r="Q547" s="579"/>
      <c r="R547" s="579">
        <v>1</v>
      </c>
      <c r="S547" s="579">
        <v>30</v>
      </c>
      <c r="T547" s="579">
        <v>18</v>
      </c>
      <c r="U547" s="579">
        <f t="shared" si="68"/>
        <v>540</v>
      </c>
      <c r="V547" s="552"/>
      <c r="W547" s="552"/>
      <c r="X547" s="553"/>
      <c r="Y547" s="526"/>
      <c r="Z547" s="539">
        <f t="shared" si="69"/>
        <v>2570</v>
      </c>
      <c r="AA547" s="539">
        <f t="shared" si="69"/>
        <v>2570</v>
      </c>
      <c r="AB547" s="539">
        <f t="shared" si="69"/>
        <v>2938</v>
      </c>
      <c r="AC547" s="539">
        <f t="shared" si="69"/>
        <v>3672</v>
      </c>
      <c r="AD547" s="539">
        <f t="shared" si="69"/>
        <v>3672</v>
      </c>
      <c r="AE547" s="526"/>
      <c r="AF547" s="539">
        <f t="shared" si="70"/>
        <v>1102</v>
      </c>
      <c r="AG547" s="539">
        <f t="shared" si="70"/>
        <v>1469</v>
      </c>
      <c r="AH547" s="539">
        <f t="shared" si="70"/>
        <v>1102</v>
      </c>
      <c r="AI547" s="539">
        <f t="shared" si="70"/>
        <v>0</v>
      </c>
      <c r="AJ547" s="539">
        <f t="shared" si="70"/>
        <v>0</v>
      </c>
      <c r="AK547"/>
      <c r="AQ547" s="712"/>
    </row>
    <row r="548" spans="11:43" ht="21">
      <c r="K548" s="712"/>
      <c r="L548" s="502"/>
      <c r="M548" s="502"/>
      <c r="N548" s="518" t="s">
        <v>462</v>
      </c>
      <c r="O548" s="578" t="s">
        <v>466</v>
      </c>
      <c r="P548" s="673">
        <v>0.8</v>
      </c>
      <c r="Q548" s="579"/>
      <c r="R548" s="579">
        <v>3</v>
      </c>
      <c r="S548" s="579">
        <v>30</v>
      </c>
      <c r="T548" s="579">
        <v>18</v>
      </c>
      <c r="U548" s="579">
        <f t="shared" si="68"/>
        <v>1620</v>
      </c>
      <c r="V548" s="552"/>
      <c r="W548" s="552"/>
      <c r="X548" s="553"/>
      <c r="Y548" s="526"/>
      <c r="Z548" s="539">
        <f t="shared" si="69"/>
        <v>7711</v>
      </c>
      <c r="AA548" s="539">
        <f t="shared" si="69"/>
        <v>7711</v>
      </c>
      <c r="AB548" s="539">
        <f t="shared" si="69"/>
        <v>8813</v>
      </c>
      <c r="AC548" s="539">
        <f t="shared" si="69"/>
        <v>11016</v>
      </c>
      <c r="AD548" s="539">
        <f t="shared" si="69"/>
        <v>11016</v>
      </c>
      <c r="AE548" s="526"/>
      <c r="AF548" s="539">
        <f t="shared" si="70"/>
        <v>3305</v>
      </c>
      <c r="AG548" s="539">
        <f t="shared" si="70"/>
        <v>4406</v>
      </c>
      <c r="AH548" s="539">
        <f t="shared" si="70"/>
        <v>3305</v>
      </c>
      <c r="AI548" s="539">
        <f t="shared" si="70"/>
        <v>0</v>
      </c>
      <c r="AJ548" s="539">
        <f t="shared" si="70"/>
        <v>0</v>
      </c>
      <c r="AK548"/>
      <c r="AQ548" s="712"/>
    </row>
    <row r="549" spans="11:43" ht="21">
      <c r="K549" s="712"/>
      <c r="L549" s="502"/>
      <c r="M549" s="502"/>
      <c r="N549" s="518" t="s">
        <v>462</v>
      </c>
      <c r="O549" s="636" t="s">
        <v>467</v>
      </c>
      <c r="P549" s="667">
        <v>0.2</v>
      </c>
      <c r="Q549" s="579"/>
      <c r="R549" s="579">
        <v>4</v>
      </c>
      <c r="S549" s="579">
        <v>30</v>
      </c>
      <c r="T549" s="579">
        <v>6</v>
      </c>
      <c r="U549" s="579">
        <f t="shared" si="68"/>
        <v>720</v>
      </c>
      <c r="V549" s="552"/>
      <c r="W549" s="552"/>
      <c r="X549" s="553"/>
      <c r="Y549" s="526"/>
      <c r="Z549" s="539">
        <f t="shared" si="69"/>
        <v>857</v>
      </c>
      <c r="AA549" s="539">
        <f t="shared" si="69"/>
        <v>857</v>
      </c>
      <c r="AB549" s="539">
        <f t="shared" si="69"/>
        <v>979</v>
      </c>
      <c r="AC549" s="539">
        <f t="shared" si="69"/>
        <v>1224</v>
      </c>
      <c r="AD549" s="539">
        <f t="shared" si="69"/>
        <v>1224</v>
      </c>
      <c r="AE549" s="526"/>
      <c r="AF549" s="539">
        <f t="shared" si="70"/>
        <v>367</v>
      </c>
      <c r="AG549" s="539">
        <f t="shared" si="70"/>
        <v>490</v>
      </c>
      <c r="AH549" s="539">
        <f t="shared" si="70"/>
        <v>367</v>
      </c>
      <c r="AI549" s="539">
        <f t="shared" si="70"/>
        <v>0</v>
      </c>
      <c r="AJ549" s="539">
        <f t="shared" si="70"/>
        <v>0</v>
      </c>
      <c r="AK549"/>
      <c r="AQ549" s="712"/>
    </row>
    <row r="550" spans="11:43" ht="21">
      <c r="K550" s="712"/>
      <c r="L550" s="502"/>
      <c r="M550" s="502"/>
      <c r="N550" s="518" t="s">
        <v>462</v>
      </c>
      <c r="O550" s="636" t="s">
        <v>313</v>
      </c>
      <c r="P550" s="667">
        <v>0.3</v>
      </c>
      <c r="Q550" s="579"/>
      <c r="R550" s="579">
        <v>3</v>
      </c>
      <c r="S550" s="579">
        <v>30</v>
      </c>
      <c r="T550" s="579">
        <v>18</v>
      </c>
      <c r="U550" s="579">
        <f t="shared" si="68"/>
        <v>1620</v>
      </c>
      <c r="V550" s="552"/>
      <c r="W550" s="552"/>
      <c r="X550" s="553"/>
      <c r="Y550" s="526"/>
      <c r="Z550" s="539">
        <f t="shared" si="69"/>
        <v>2892</v>
      </c>
      <c r="AA550" s="539">
        <f t="shared" si="69"/>
        <v>2892</v>
      </c>
      <c r="AB550" s="539">
        <f t="shared" si="69"/>
        <v>3305</v>
      </c>
      <c r="AC550" s="539">
        <f t="shared" si="69"/>
        <v>4131</v>
      </c>
      <c r="AD550" s="539">
        <f t="shared" si="69"/>
        <v>4131</v>
      </c>
      <c r="AE550" s="526"/>
      <c r="AF550" s="539">
        <f t="shared" si="70"/>
        <v>1239</v>
      </c>
      <c r="AG550" s="539">
        <f t="shared" si="70"/>
        <v>1652</v>
      </c>
      <c r="AH550" s="539">
        <f t="shared" si="70"/>
        <v>1239</v>
      </c>
      <c r="AI550" s="539">
        <f t="shared" si="70"/>
        <v>0</v>
      </c>
      <c r="AJ550" s="539">
        <f t="shared" si="70"/>
        <v>0</v>
      </c>
      <c r="AK550"/>
      <c r="AQ550" s="712"/>
    </row>
    <row r="551" spans="11:43" ht="21">
      <c r="K551" s="712"/>
      <c r="L551" s="502"/>
      <c r="M551" s="502"/>
      <c r="N551" s="518" t="s">
        <v>462</v>
      </c>
      <c r="O551" s="636" t="s">
        <v>468</v>
      </c>
      <c r="P551" s="667">
        <v>0.15</v>
      </c>
      <c r="Q551" s="579"/>
      <c r="R551" s="579">
        <v>3</v>
      </c>
      <c r="S551" s="579">
        <v>30</v>
      </c>
      <c r="T551" s="579">
        <v>18</v>
      </c>
      <c r="U551" s="579">
        <f t="shared" si="68"/>
        <v>1620</v>
      </c>
      <c r="V551" s="552"/>
      <c r="W551" s="552"/>
      <c r="X551" s="553"/>
      <c r="Y551" s="526"/>
      <c r="Z551" s="539">
        <f t="shared" si="69"/>
        <v>1446</v>
      </c>
      <c r="AA551" s="539">
        <f t="shared" si="69"/>
        <v>1446</v>
      </c>
      <c r="AB551" s="539">
        <f t="shared" si="69"/>
        <v>1652</v>
      </c>
      <c r="AC551" s="539">
        <f t="shared" si="69"/>
        <v>2066</v>
      </c>
      <c r="AD551" s="539">
        <f t="shared" si="69"/>
        <v>2066</v>
      </c>
      <c r="AE551" s="526"/>
      <c r="AF551" s="539">
        <f t="shared" si="70"/>
        <v>620</v>
      </c>
      <c r="AG551" s="539">
        <f t="shared" si="70"/>
        <v>826</v>
      </c>
      <c r="AH551" s="539">
        <f t="shared" si="70"/>
        <v>620</v>
      </c>
      <c r="AI551" s="539">
        <f t="shared" si="70"/>
        <v>0</v>
      </c>
      <c r="AJ551" s="539">
        <f t="shared" si="70"/>
        <v>0</v>
      </c>
      <c r="AK551"/>
      <c r="AQ551" s="712"/>
    </row>
    <row r="552" spans="11:43" ht="21">
      <c r="K552" s="712"/>
      <c r="L552" s="502"/>
      <c r="M552" s="502"/>
      <c r="N552" s="518" t="s">
        <v>462</v>
      </c>
      <c r="O552" s="636" t="s">
        <v>469</v>
      </c>
      <c r="P552" s="667">
        <v>0.8</v>
      </c>
      <c r="Q552" s="579"/>
      <c r="R552" s="579">
        <v>4</v>
      </c>
      <c r="S552" s="579">
        <v>30</v>
      </c>
      <c r="T552" s="579">
        <v>18</v>
      </c>
      <c r="U552" s="579">
        <f t="shared" si="68"/>
        <v>2160</v>
      </c>
      <c r="V552" s="552"/>
      <c r="W552" s="552"/>
      <c r="X552" s="553"/>
      <c r="Y552" s="526"/>
      <c r="Z552" s="539">
        <f t="shared" si="69"/>
        <v>10282</v>
      </c>
      <c r="AA552" s="539">
        <f t="shared" si="69"/>
        <v>10282</v>
      </c>
      <c r="AB552" s="539">
        <f t="shared" si="69"/>
        <v>11750</v>
      </c>
      <c r="AC552" s="539">
        <f t="shared" si="69"/>
        <v>14688</v>
      </c>
      <c r="AD552" s="539">
        <f t="shared" si="69"/>
        <v>14688</v>
      </c>
      <c r="AE552" s="526"/>
      <c r="AF552" s="539">
        <f t="shared" si="70"/>
        <v>4406</v>
      </c>
      <c r="AG552" s="539">
        <f t="shared" si="70"/>
        <v>5875</v>
      </c>
      <c r="AH552" s="539">
        <f t="shared" si="70"/>
        <v>4406</v>
      </c>
      <c r="AI552" s="539">
        <f t="shared" si="70"/>
        <v>0</v>
      </c>
      <c r="AJ552" s="539">
        <f t="shared" si="70"/>
        <v>0</v>
      </c>
      <c r="AK552"/>
      <c r="AQ552" s="712"/>
    </row>
    <row r="553" spans="11:43" ht="21">
      <c r="K553" s="712"/>
      <c r="L553" s="502"/>
      <c r="M553" s="502"/>
      <c r="N553" s="518" t="s">
        <v>462</v>
      </c>
      <c r="O553" s="636" t="s">
        <v>470</v>
      </c>
      <c r="P553" s="667">
        <v>1</v>
      </c>
      <c r="Q553" s="579"/>
      <c r="R553" s="579">
        <v>1</v>
      </c>
      <c r="S553" s="579">
        <v>30</v>
      </c>
      <c r="T553" s="579">
        <v>18</v>
      </c>
      <c r="U553" s="579">
        <f t="shared" si="68"/>
        <v>540</v>
      </c>
      <c r="V553" s="552"/>
      <c r="W553" s="552"/>
      <c r="X553" s="553"/>
      <c r="Y553" s="526"/>
      <c r="Z553" s="539">
        <f t="shared" ref="Z553:AD562" si="71">ROUND(IFERROR(VLOOKUP($N553,SLD_MD_penit,Z$338,0)*$U553*$P553*Attrition,0),0)</f>
        <v>3213</v>
      </c>
      <c r="AA553" s="539">
        <f t="shared" si="71"/>
        <v>3213</v>
      </c>
      <c r="AB553" s="539">
        <f t="shared" si="71"/>
        <v>3672</v>
      </c>
      <c r="AC553" s="539">
        <f t="shared" si="71"/>
        <v>4590</v>
      </c>
      <c r="AD553" s="539">
        <f t="shared" si="71"/>
        <v>4590</v>
      </c>
      <c r="AE553" s="526"/>
      <c r="AF553" s="539">
        <f t="shared" ref="AF553:AJ562" si="72">ROUND(IFERROR(VLOOKUP($N553,SLD_MD_penit,AF$338,0)*$U553*$P553*Attrition,0),0)</f>
        <v>1377</v>
      </c>
      <c r="AG553" s="539">
        <f t="shared" si="72"/>
        <v>1836</v>
      </c>
      <c r="AH553" s="539">
        <f t="shared" si="72"/>
        <v>1377</v>
      </c>
      <c r="AI553" s="539">
        <f t="shared" si="72"/>
        <v>0</v>
      </c>
      <c r="AJ553" s="539">
        <f t="shared" si="72"/>
        <v>0</v>
      </c>
      <c r="AK553"/>
      <c r="AQ553" s="712"/>
    </row>
    <row r="554" spans="11:43" ht="21">
      <c r="K554" s="712"/>
      <c r="L554" s="502"/>
      <c r="M554" s="502"/>
      <c r="N554" s="518" t="s">
        <v>462</v>
      </c>
      <c r="O554" s="636" t="s">
        <v>471</v>
      </c>
      <c r="P554" s="667">
        <v>0.2</v>
      </c>
      <c r="Q554" s="579"/>
      <c r="R554" s="579">
        <v>1</v>
      </c>
      <c r="S554" s="579">
        <v>30</v>
      </c>
      <c r="T554" s="579">
        <v>18</v>
      </c>
      <c r="U554" s="579">
        <f t="shared" si="68"/>
        <v>540</v>
      </c>
      <c r="V554" s="552"/>
      <c r="W554" s="552"/>
      <c r="X554" s="553"/>
      <c r="Y554" s="526"/>
      <c r="Z554" s="539">
        <f t="shared" si="71"/>
        <v>643</v>
      </c>
      <c r="AA554" s="539">
        <f t="shared" si="71"/>
        <v>643</v>
      </c>
      <c r="AB554" s="539">
        <f t="shared" si="71"/>
        <v>734</v>
      </c>
      <c r="AC554" s="539">
        <f t="shared" si="71"/>
        <v>918</v>
      </c>
      <c r="AD554" s="539">
        <f t="shared" si="71"/>
        <v>918</v>
      </c>
      <c r="AE554" s="526"/>
      <c r="AF554" s="539">
        <f t="shared" si="72"/>
        <v>275</v>
      </c>
      <c r="AG554" s="539">
        <f t="shared" si="72"/>
        <v>367</v>
      </c>
      <c r="AH554" s="539">
        <f t="shared" si="72"/>
        <v>275</v>
      </c>
      <c r="AI554" s="539">
        <f t="shared" si="72"/>
        <v>0</v>
      </c>
      <c r="AJ554" s="539">
        <f t="shared" si="72"/>
        <v>0</v>
      </c>
      <c r="AK554"/>
      <c r="AQ554" s="712"/>
    </row>
    <row r="555" spans="11:43" ht="21">
      <c r="K555" s="712"/>
      <c r="L555" s="502"/>
      <c r="M555" s="502"/>
      <c r="N555" s="518" t="s">
        <v>462</v>
      </c>
      <c r="O555" s="636" t="s">
        <v>472</v>
      </c>
      <c r="P555" s="667">
        <v>0.1</v>
      </c>
      <c r="Q555" s="579"/>
      <c r="R555" s="579">
        <v>2</v>
      </c>
      <c r="S555" s="579">
        <v>30</v>
      </c>
      <c r="T555" s="579">
        <v>18</v>
      </c>
      <c r="U555" s="579">
        <f t="shared" si="68"/>
        <v>1080</v>
      </c>
      <c r="V555" s="552"/>
      <c r="W555" s="552"/>
      <c r="X555" s="553"/>
      <c r="Y555" s="526"/>
      <c r="Z555" s="539">
        <f t="shared" si="71"/>
        <v>643</v>
      </c>
      <c r="AA555" s="539">
        <f t="shared" si="71"/>
        <v>643</v>
      </c>
      <c r="AB555" s="539">
        <f t="shared" si="71"/>
        <v>734</v>
      </c>
      <c r="AC555" s="539">
        <f t="shared" si="71"/>
        <v>918</v>
      </c>
      <c r="AD555" s="539">
        <f t="shared" si="71"/>
        <v>918</v>
      </c>
      <c r="AE555" s="526"/>
      <c r="AF555" s="539">
        <f t="shared" si="72"/>
        <v>275</v>
      </c>
      <c r="AG555" s="539">
        <f t="shared" si="72"/>
        <v>367</v>
      </c>
      <c r="AH555" s="539">
        <f t="shared" si="72"/>
        <v>275</v>
      </c>
      <c r="AI555" s="539">
        <f t="shared" si="72"/>
        <v>0</v>
      </c>
      <c r="AJ555" s="539">
        <f t="shared" si="72"/>
        <v>0</v>
      </c>
      <c r="AK555"/>
      <c r="AQ555" s="712"/>
    </row>
    <row r="556" spans="11:43" ht="21">
      <c r="K556" s="712"/>
      <c r="L556" s="502"/>
      <c r="M556" s="502"/>
      <c r="N556" s="518" t="s">
        <v>462</v>
      </c>
      <c r="O556" s="636" t="s">
        <v>314</v>
      </c>
      <c r="P556" s="667">
        <v>0.2</v>
      </c>
      <c r="Q556" s="579"/>
      <c r="R556" s="579">
        <v>5</v>
      </c>
      <c r="S556" s="579">
        <v>30</v>
      </c>
      <c r="T556" s="579">
        <v>18</v>
      </c>
      <c r="U556" s="579">
        <f t="shared" si="68"/>
        <v>2700</v>
      </c>
      <c r="V556" s="552"/>
      <c r="W556" s="552"/>
      <c r="X556" s="553"/>
      <c r="Y556" s="526"/>
      <c r="Z556" s="539">
        <f t="shared" si="71"/>
        <v>3213</v>
      </c>
      <c r="AA556" s="539">
        <f t="shared" si="71"/>
        <v>3213</v>
      </c>
      <c r="AB556" s="539">
        <f t="shared" si="71"/>
        <v>3672</v>
      </c>
      <c r="AC556" s="539">
        <f t="shared" si="71"/>
        <v>4590</v>
      </c>
      <c r="AD556" s="539">
        <f t="shared" si="71"/>
        <v>4590</v>
      </c>
      <c r="AE556" s="526"/>
      <c r="AF556" s="539">
        <f t="shared" si="72"/>
        <v>1377</v>
      </c>
      <c r="AG556" s="539">
        <f t="shared" si="72"/>
        <v>1836</v>
      </c>
      <c r="AH556" s="539">
        <f t="shared" si="72"/>
        <v>1377</v>
      </c>
      <c r="AI556" s="539">
        <f t="shared" si="72"/>
        <v>0</v>
      </c>
      <c r="AJ556" s="539">
        <f t="shared" si="72"/>
        <v>0</v>
      </c>
      <c r="AK556"/>
      <c r="AQ556" s="712"/>
    </row>
    <row r="557" spans="11:43" ht="21">
      <c r="K557" s="712"/>
      <c r="L557" s="502"/>
      <c r="M557" s="502"/>
      <c r="N557" s="522"/>
      <c r="O557" s="674"/>
      <c r="P557" s="675"/>
      <c r="Q557" s="676"/>
      <c r="R557" s="676">
        <v>0</v>
      </c>
      <c r="S557" s="676">
        <v>30</v>
      </c>
      <c r="T557" s="676"/>
      <c r="U557" s="676">
        <f t="shared" si="68"/>
        <v>0</v>
      </c>
      <c r="V557" s="677"/>
      <c r="W557" s="677"/>
      <c r="X557" s="678"/>
      <c r="Y557" s="526"/>
      <c r="Z557" s="539">
        <f t="shared" si="71"/>
        <v>0</v>
      </c>
      <c r="AA557" s="539">
        <f t="shared" si="71"/>
        <v>0</v>
      </c>
      <c r="AB557" s="539">
        <f t="shared" si="71"/>
        <v>0</v>
      </c>
      <c r="AC557" s="539">
        <f t="shared" si="71"/>
        <v>0</v>
      </c>
      <c r="AD557" s="539">
        <f t="shared" si="71"/>
        <v>0</v>
      </c>
      <c r="AE557" s="526"/>
      <c r="AF557" s="539">
        <f t="shared" si="72"/>
        <v>0</v>
      </c>
      <c r="AG557" s="539">
        <f t="shared" si="72"/>
        <v>0</v>
      </c>
      <c r="AH557" s="539">
        <f t="shared" si="72"/>
        <v>0</v>
      </c>
      <c r="AI557" s="539">
        <f t="shared" si="72"/>
        <v>0</v>
      </c>
      <c r="AJ557" s="539">
        <f t="shared" si="72"/>
        <v>0</v>
      </c>
      <c r="AK557"/>
      <c r="AQ557" s="712"/>
    </row>
    <row r="558" spans="11:43" ht="21">
      <c r="K558" s="712"/>
      <c r="L558" s="502"/>
      <c r="M558" s="502"/>
      <c r="N558" s="518" t="s">
        <v>473</v>
      </c>
      <c r="O558" s="552" t="s">
        <v>464</v>
      </c>
      <c r="P558" s="667">
        <v>1</v>
      </c>
      <c r="Q558" s="579"/>
      <c r="R558" s="637">
        <v>284</v>
      </c>
      <c r="S558" s="637">
        <v>1</v>
      </c>
      <c r="T558" s="672">
        <v>1</v>
      </c>
      <c r="U558" s="672">
        <f t="shared" si="68"/>
        <v>284</v>
      </c>
      <c r="V558" s="552"/>
      <c r="W558" s="552"/>
      <c r="X558" s="553"/>
      <c r="Y558" s="526"/>
      <c r="Z558" s="539">
        <f t="shared" si="71"/>
        <v>483</v>
      </c>
      <c r="AA558" s="539">
        <f t="shared" si="71"/>
        <v>724</v>
      </c>
      <c r="AB558" s="539">
        <f t="shared" si="71"/>
        <v>724</v>
      </c>
      <c r="AC558" s="539">
        <f t="shared" si="71"/>
        <v>966</v>
      </c>
      <c r="AD558" s="539">
        <f t="shared" si="71"/>
        <v>966</v>
      </c>
      <c r="AE558" s="526"/>
      <c r="AF558" s="539">
        <f t="shared" si="72"/>
        <v>241</v>
      </c>
      <c r="AG558" s="539">
        <f t="shared" si="72"/>
        <v>241</v>
      </c>
      <c r="AH558" s="539">
        <f t="shared" si="72"/>
        <v>241</v>
      </c>
      <c r="AI558" s="539">
        <f t="shared" si="72"/>
        <v>0</v>
      </c>
      <c r="AJ558" s="539">
        <f t="shared" si="72"/>
        <v>0</v>
      </c>
      <c r="AK558"/>
      <c r="AQ558" s="712"/>
    </row>
    <row r="559" spans="11:43" ht="21">
      <c r="K559" s="712"/>
      <c r="L559" s="502"/>
      <c r="M559" s="502"/>
      <c r="N559" s="518" t="s">
        <v>473</v>
      </c>
      <c r="O559" s="552" t="s">
        <v>465</v>
      </c>
      <c r="P559" s="667">
        <v>1</v>
      </c>
      <c r="Q559" s="579"/>
      <c r="R559" s="579">
        <v>1</v>
      </c>
      <c r="S559" s="579">
        <v>30</v>
      </c>
      <c r="T559" s="579">
        <v>9</v>
      </c>
      <c r="U559" s="579">
        <f t="shared" si="68"/>
        <v>270</v>
      </c>
      <c r="V559" s="552"/>
      <c r="W559" s="552"/>
      <c r="X559" s="553"/>
      <c r="Y559" s="526"/>
      <c r="Z559" s="539">
        <f t="shared" si="71"/>
        <v>459</v>
      </c>
      <c r="AA559" s="539">
        <f t="shared" si="71"/>
        <v>689</v>
      </c>
      <c r="AB559" s="539">
        <f t="shared" si="71"/>
        <v>689</v>
      </c>
      <c r="AC559" s="539">
        <f t="shared" si="71"/>
        <v>918</v>
      </c>
      <c r="AD559" s="539">
        <f t="shared" si="71"/>
        <v>918</v>
      </c>
      <c r="AE559" s="526"/>
      <c r="AF559" s="539">
        <f t="shared" si="72"/>
        <v>230</v>
      </c>
      <c r="AG559" s="539">
        <f t="shared" si="72"/>
        <v>230</v>
      </c>
      <c r="AH559" s="539">
        <f t="shared" si="72"/>
        <v>230</v>
      </c>
      <c r="AI559" s="539">
        <f t="shared" si="72"/>
        <v>0</v>
      </c>
      <c r="AJ559" s="539">
        <f t="shared" si="72"/>
        <v>0</v>
      </c>
      <c r="AK559"/>
      <c r="AQ559" s="712"/>
    </row>
    <row r="560" spans="11:43" ht="21">
      <c r="K560" s="712"/>
      <c r="L560" s="502"/>
      <c r="M560" s="502"/>
      <c r="N560" s="518" t="s">
        <v>473</v>
      </c>
      <c r="O560" s="552" t="s">
        <v>470</v>
      </c>
      <c r="P560" s="667">
        <v>1</v>
      </c>
      <c r="Q560" s="579"/>
      <c r="R560" s="579">
        <v>1</v>
      </c>
      <c r="S560" s="579">
        <v>30</v>
      </c>
      <c r="T560" s="579">
        <v>9</v>
      </c>
      <c r="U560" s="579">
        <f t="shared" si="68"/>
        <v>270</v>
      </c>
      <c r="V560" s="552"/>
      <c r="W560" s="552"/>
      <c r="X560" s="553"/>
      <c r="Y560" s="526"/>
      <c r="Z560" s="539">
        <f t="shared" si="71"/>
        <v>459</v>
      </c>
      <c r="AA560" s="539">
        <f t="shared" si="71"/>
        <v>689</v>
      </c>
      <c r="AB560" s="539">
        <f t="shared" si="71"/>
        <v>689</v>
      </c>
      <c r="AC560" s="539">
        <f t="shared" si="71"/>
        <v>918</v>
      </c>
      <c r="AD560" s="539">
        <f t="shared" si="71"/>
        <v>918</v>
      </c>
      <c r="AE560" s="526"/>
      <c r="AF560" s="539">
        <f t="shared" si="72"/>
        <v>230</v>
      </c>
      <c r="AG560" s="539">
        <f t="shared" si="72"/>
        <v>230</v>
      </c>
      <c r="AH560" s="539">
        <f t="shared" si="72"/>
        <v>230</v>
      </c>
      <c r="AI560" s="539">
        <f t="shared" si="72"/>
        <v>0</v>
      </c>
      <c r="AJ560" s="539">
        <f t="shared" si="72"/>
        <v>0</v>
      </c>
      <c r="AK560"/>
      <c r="AQ560" s="712"/>
    </row>
    <row r="561" spans="11:43" ht="21">
      <c r="K561" s="712"/>
      <c r="L561" s="502"/>
      <c r="M561" s="502"/>
      <c r="N561" s="518" t="s">
        <v>473</v>
      </c>
      <c r="O561" s="552" t="s">
        <v>466</v>
      </c>
      <c r="P561" s="667">
        <v>1</v>
      </c>
      <c r="Q561" s="579"/>
      <c r="R561" s="579">
        <v>3</v>
      </c>
      <c r="S561" s="579">
        <v>30</v>
      </c>
      <c r="T561" s="579">
        <v>9</v>
      </c>
      <c r="U561" s="579">
        <f t="shared" si="68"/>
        <v>810</v>
      </c>
      <c r="V561" s="552"/>
      <c r="W561" s="552"/>
      <c r="X561" s="553"/>
      <c r="Y561" s="526"/>
      <c r="Z561" s="539">
        <f t="shared" si="71"/>
        <v>1377</v>
      </c>
      <c r="AA561" s="539">
        <f t="shared" si="71"/>
        <v>2066</v>
      </c>
      <c r="AB561" s="539">
        <f t="shared" si="71"/>
        <v>2066</v>
      </c>
      <c r="AC561" s="539">
        <f t="shared" si="71"/>
        <v>2754</v>
      </c>
      <c r="AD561" s="539">
        <f t="shared" si="71"/>
        <v>2754</v>
      </c>
      <c r="AE561" s="526"/>
      <c r="AF561" s="539">
        <f t="shared" si="72"/>
        <v>689</v>
      </c>
      <c r="AG561" s="539">
        <f t="shared" si="72"/>
        <v>689</v>
      </c>
      <c r="AH561" s="539">
        <f t="shared" si="72"/>
        <v>689</v>
      </c>
      <c r="AI561" s="539">
        <f t="shared" si="72"/>
        <v>0</v>
      </c>
      <c r="AJ561" s="539">
        <f t="shared" si="72"/>
        <v>0</v>
      </c>
      <c r="AK561"/>
      <c r="AQ561" s="712"/>
    </row>
    <row r="562" spans="11:43" ht="21">
      <c r="K562" s="712"/>
      <c r="L562" s="502"/>
      <c r="M562" s="502"/>
      <c r="N562" s="518" t="s">
        <v>473</v>
      </c>
      <c r="O562" s="552" t="s">
        <v>469</v>
      </c>
      <c r="P562" s="667">
        <v>1</v>
      </c>
      <c r="Q562" s="579"/>
      <c r="R562" s="579">
        <v>4</v>
      </c>
      <c r="S562" s="579">
        <v>30</v>
      </c>
      <c r="T562" s="579">
        <v>9</v>
      </c>
      <c r="U562" s="579">
        <f t="shared" si="68"/>
        <v>1080</v>
      </c>
      <c r="V562" s="552"/>
      <c r="W562" s="552"/>
      <c r="X562" s="553"/>
      <c r="Y562" s="526"/>
      <c r="Z562" s="539">
        <f t="shared" si="71"/>
        <v>1836</v>
      </c>
      <c r="AA562" s="539">
        <f t="shared" si="71"/>
        <v>2754</v>
      </c>
      <c r="AB562" s="539">
        <f t="shared" si="71"/>
        <v>2754</v>
      </c>
      <c r="AC562" s="539">
        <f t="shared" si="71"/>
        <v>3672</v>
      </c>
      <c r="AD562" s="539">
        <f t="shared" si="71"/>
        <v>3672</v>
      </c>
      <c r="AE562" s="526"/>
      <c r="AF562" s="539">
        <f t="shared" si="72"/>
        <v>918</v>
      </c>
      <c r="AG562" s="539">
        <f t="shared" si="72"/>
        <v>918</v>
      </c>
      <c r="AH562" s="539">
        <f t="shared" si="72"/>
        <v>918</v>
      </c>
      <c r="AI562" s="539">
        <f t="shared" si="72"/>
        <v>0</v>
      </c>
      <c r="AJ562" s="539">
        <f t="shared" si="72"/>
        <v>0</v>
      </c>
      <c r="AK562"/>
      <c r="AQ562" s="712"/>
    </row>
    <row r="563" spans="11:43" ht="21">
      <c r="K563" s="712"/>
      <c r="L563" s="502"/>
      <c r="M563" s="502"/>
      <c r="N563" s="522"/>
      <c r="O563" s="674"/>
      <c r="P563" s="675"/>
      <c r="Q563" s="676"/>
      <c r="R563" s="676">
        <v>0</v>
      </c>
      <c r="S563" s="676">
        <v>30</v>
      </c>
      <c r="T563" s="676"/>
      <c r="U563" s="676">
        <f t="shared" si="68"/>
        <v>0</v>
      </c>
      <c r="V563" s="677"/>
      <c r="W563" s="677"/>
      <c r="X563" s="678"/>
      <c r="Y563" s="526"/>
      <c r="Z563" s="539">
        <f t="shared" ref="Z563:AD572" si="73">ROUND(IFERROR(VLOOKUP($N563,SLD_MD_penit,Z$338,0)*$U563*$P563*Attrition,0),0)</f>
        <v>0</v>
      </c>
      <c r="AA563" s="539">
        <f t="shared" si="73"/>
        <v>0</v>
      </c>
      <c r="AB563" s="539">
        <f t="shared" si="73"/>
        <v>0</v>
      </c>
      <c r="AC563" s="539">
        <f t="shared" si="73"/>
        <v>0</v>
      </c>
      <c r="AD563" s="539">
        <f t="shared" si="73"/>
        <v>0</v>
      </c>
      <c r="AE563" s="526"/>
      <c r="AF563" s="539">
        <f t="shared" ref="AF563:AJ572" si="74">ROUND(IFERROR(VLOOKUP($N563,SLD_MD_penit,AF$338,0)*$U563*$P563*Attrition,0),0)</f>
        <v>0</v>
      </c>
      <c r="AG563" s="539">
        <f t="shared" si="74"/>
        <v>0</v>
      </c>
      <c r="AH563" s="539">
        <f t="shared" si="74"/>
        <v>0</v>
      </c>
      <c r="AI563" s="539">
        <f t="shared" si="74"/>
        <v>0</v>
      </c>
      <c r="AJ563" s="539">
        <f t="shared" si="74"/>
        <v>0</v>
      </c>
      <c r="AK563"/>
      <c r="AQ563" s="712"/>
    </row>
    <row r="564" spans="11:43" ht="21">
      <c r="K564" s="712"/>
      <c r="L564" s="502"/>
      <c r="M564" s="502"/>
      <c r="N564" s="523" t="s">
        <v>474</v>
      </c>
      <c r="O564" s="636" t="s">
        <v>464</v>
      </c>
      <c r="P564" s="667">
        <v>1</v>
      </c>
      <c r="Q564" s="579"/>
      <c r="R564" s="637">
        <v>284</v>
      </c>
      <c r="S564" s="637">
        <v>1</v>
      </c>
      <c r="T564" s="672">
        <v>1</v>
      </c>
      <c r="U564" s="672">
        <f t="shared" si="68"/>
        <v>284</v>
      </c>
      <c r="V564" s="552"/>
      <c r="W564" s="552"/>
      <c r="X564" s="553"/>
      <c r="Y564" s="526"/>
      <c r="Z564" s="539">
        <f t="shared" si="73"/>
        <v>483</v>
      </c>
      <c r="AA564" s="539">
        <f t="shared" si="73"/>
        <v>724</v>
      </c>
      <c r="AB564" s="539">
        <f t="shared" si="73"/>
        <v>724</v>
      </c>
      <c r="AC564" s="539">
        <f t="shared" si="73"/>
        <v>966</v>
      </c>
      <c r="AD564" s="539">
        <f t="shared" si="73"/>
        <v>966</v>
      </c>
      <c r="AE564" s="526"/>
      <c r="AF564" s="539">
        <f t="shared" si="74"/>
        <v>241</v>
      </c>
      <c r="AG564" s="539">
        <f t="shared" si="74"/>
        <v>241</v>
      </c>
      <c r="AH564" s="539">
        <f t="shared" si="74"/>
        <v>241</v>
      </c>
      <c r="AI564" s="539">
        <f t="shared" si="74"/>
        <v>0</v>
      </c>
      <c r="AJ564" s="539">
        <f t="shared" si="74"/>
        <v>0</v>
      </c>
      <c r="AK564"/>
      <c r="AQ564" s="712"/>
    </row>
    <row r="565" spans="11:43" ht="21">
      <c r="K565" s="712"/>
      <c r="L565" s="502"/>
      <c r="M565" s="502"/>
      <c r="N565" s="523" t="s">
        <v>474</v>
      </c>
      <c r="O565" s="636" t="s">
        <v>465</v>
      </c>
      <c r="P565" s="667">
        <v>1</v>
      </c>
      <c r="Q565" s="579"/>
      <c r="R565" s="579">
        <v>1</v>
      </c>
      <c r="S565" s="579">
        <v>30</v>
      </c>
      <c r="T565" s="579">
        <v>9</v>
      </c>
      <c r="U565" s="579">
        <f t="shared" si="68"/>
        <v>270</v>
      </c>
      <c r="V565" s="552"/>
      <c r="W565" s="552"/>
      <c r="X565" s="553"/>
      <c r="Y565" s="526"/>
      <c r="Z565" s="539">
        <f t="shared" si="73"/>
        <v>459</v>
      </c>
      <c r="AA565" s="539">
        <f t="shared" si="73"/>
        <v>689</v>
      </c>
      <c r="AB565" s="539">
        <f t="shared" si="73"/>
        <v>689</v>
      </c>
      <c r="AC565" s="539">
        <f t="shared" si="73"/>
        <v>918</v>
      </c>
      <c r="AD565" s="539">
        <f t="shared" si="73"/>
        <v>918</v>
      </c>
      <c r="AE565" s="526"/>
      <c r="AF565" s="539">
        <f t="shared" si="74"/>
        <v>230</v>
      </c>
      <c r="AG565" s="539">
        <f t="shared" si="74"/>
        <v>230</v>
      </c>
      <c r="AH565" s="539">
        <f t="shared" si="74"/>
        <v>230</v>
      </c>
      <c r="AI565" s="539">
        <f t="shared" si="74"/>
        <v>0</v>
      </c>
      <c r="AJ565" s="539">
        <f t="shared" si="74"/>
        <v>0</v>
      </c>
      <c r="AK565"/>
      <c r="AQ565" s="712"/>
    </row>
    <row r="566" spans="11:43" ht="21">
      <c r="K566" s="712"/>
      <c r="L566" s="502"/>
      <c r="M566" s="502"/>
      <c r="N566" s="523" t="s">
        <v>474</v>
      </c>
      <c r="O566" s="636" t="s">
        <v>470</v>
      </c>
      <c r="P566" s="667">
        <v>1</v>
      </c>
      <c r="Q566" s="579"/>
      <c r="R566" s="579">
        <v>1</v>
      </c>
      <c r="S566" s="579">
        <v>30</v>
      </c>
      <c r="T566" s="579">
        <v>9</v>
      </c>
      <c r="U566" s="579">
        <f t="shared" si="68"/>
        <v>270</v>
      </c>
      <c r="V566" s="552"/>
      <c r="W566" s="552"/>
      <c r="X566" s="553"/>
      <c r="Y566" s="526"/>
      <c r="Z566" s="539">
        <f t="shared" si="73"/>
        <v>459</v>
      </c>
      <c r="AA566" s="539">
        <f t="shared" si="73"/>
        <v>689</v>
      </c>
      <c r="AB566" s="539">
        <f t="shared" si="73"/>
        <v>689</v>
      </c>
      <c r="AC566" s="539">
        <f t="shared" si="73"/>
        <v>918</v>
      </c>
      <c r="AD566" s="539">
        <f t="shared" si="73"/>
        <v>918</v>
      </c>
      <c r="AE566" s="526"/>
      <c r="AF566" s="539">
        <f t="shared" si="74"/>
        <v>230</v>
      </c>
      <c r="AG566" s="539">
        <f t="shared" si="74"/>
        <v>230</v>
      </c>
      <c r="AH566" s="539">
        <f t="shared" si="74"/>
        <v>230</v>
      </c>
      <c r="AI566" s="539">
        <f t="shared" si="74"/>
        <v>0</v>
      </c>
      <c r="AJ566" s="539">
        <f t="shared" si="74"/>
        <v>0</v>
      </c>
      <c r="AK566"/>
      <c r="AQ566" s="712"/>
    </row>
    <row r="567" spans="11:43" ht="21">
      <c r="K567" s="712"/>
      <c r="L567" s="502"/>
      <c r="M567" s="502"/>
      <c r="N567" s="523" t="s">
        <v>474</v>
      </c>
      <c r="O567" s="636" t="s">
        <v>467</v>
      </c>
      <c r="P567" s="667">
        <v>1</v>
      </c>
      <c r="Q567" s="579"/>
      <c r="R567" s="579">
        <v>4</v>
      </c>
      <c r="S567" s="579">
        <v>30</v>
      </c>
      <c r="T567" s="579">
        <v>6</v>
      </c>
      <c r="U567" s="579">
        <f t="shared" si="68"/>
        <v>720</v>
      </c>
      <c r="V567" s="552"/>
      <c r="W567" s="552"/>
      <c r="X567" s="553"/>
      <c r="Y567" s="526"/>
      <c r="Z567" s="539">
        <f t="shared" si="73"/>
        <v>1224</v>
      </c>
      <c r="AA567" s="539">
        <f t="shared" si="73"/>
        <v>1836</v>
      </c>
      <c r="AB567" s="539">
        <f t="shared" si="73"/>
        <v>1836</v>
      </c>
      <c r="AC567" s="539">
        <f t="shared" si="73"/>
        <v>2448</v>
      </c>
      <c r="AD567" s="539">
        <f t="shared" si="73"/>
        <v>2448</v>
      </c>
      <c r="AE567" s="526"/>
      <c r="AF567" s="539">
        <f t="shared" si="74"/>
        <v>612</v>
      </c>
      <c r="AG567" s="539">
        <f t="shared" si="74"/>
        <v>612</v>
      </c>
      <c r="AH567" s="539">
        <f t="shared" si="74"/>
        <v>612</v>
      </c>
      <c r="AI567" s="539">
        <f t="shared" si="74"/>
        <v>0</v>
      </c>
      <c r="AJ567" s="539">
        <f t="shared" si="74"/>
        <v>0</v>
      </c>
      <c r="AK567"/>
      <c r="AQ567" s="712"/>
    </row>
    <row r="568" spans="11:43" ht="21">
      <c r="K568" s="712"/>
      <c r="L568" s="502"/>
      <c r="M568" s="502"/>
      <c r="N568" s="523" t="s">
        <v>474</v>
      </c>
      <c r="O568" s="636" t="s">
        <v>469</v>
      </c>
      <c r="P568" s="667">
        <v>1</v>
      </c>
      <c r="Q568" s="579"/>
      <c r="R568" s="579">
        <v>4</v>
      </c>
      <c r="S568" s="579">
        <v>30</v>
      </c>
      <c r="T568" s="579">
        <v>9</v>
      </c>
      <c r="U568" s="579">
        <f t="shared" si="68"/>
        <v>1080</v>
      </c>
      <c r="V568" s="552"/>
      <c r="W568" s="552"/>
      <c r="X568" s="553"/>
      <c r="Y568" s="526"/>
      <c r="Z568" s="539">
        <f t="shared" si="73"/>
        <v>1836</v>
      </c>
      <c r="AA568" s="539">
        <f t="shared" si="73"/>
        <v>2754</v>
      </c>
      <c r="AB568" s="539">
        <f t="shared" si="73"/>
        <v>2754</v>
      </c>
      <c r="AC568" s="539">
        <f t="shared" si="73"/>
        <v>3672</v>
      </c>
      <c r="AD568" s="539">
        <f t="shared" si="73"/>
        <v>3672</v>
      </c>
      <c r="AE568" s="526"/>
      <c r="AF568" s="539">
        <f t="shared" si="74"/>
        <v>918</v>
      </c>
      <c r="AG568" s="539">
        <f t="shared" si="74"/>
        <v>918</v>
      </c>
      <c r="AH568" s="539">
        <f t="shared" si="74"/>
        <v>918</v>
      </c>
      <c r="AI568" s="539">
        <f t="shared" si="74"/>
        <v>0</v>
      </c>
      <c r="AJ568" s="539">
        <f t="shared" si="74"/>
        <v>0</v>
      </c>
      <c r="AK568"/>
      <c r="AQ568" s="712"/>
    </row>
    <row r="569" spans="11:43" ht="21">
      <c r="K569" s="712"/>
      <c r="L569" s="502"/>
      <c r="M569" s="502"/>
      <c r="N569" s="522"/>
      <c r="O569" s="674"/>
      <c r="P569" s="675"/>
      <c r="Q569" s="676"/>
      <c r="R569" s="676">
        <v>0</v>
      </c>
      <c r="S569" s="676">
        <v>30</v>
      </c>
      <c r="T569" s="676"/>
      <c r="U569" s="676">
        <f t="shared" si="68"/>
        <v>0</v>
      </c>
      <c r="V569" s="677"/>
      <c r="W569" s="677"/>
      <c r="X569" s="678"/>
      <c r="Y569" s="526"/>
      <c r="Z569" s="539">
        <f t="shared" si="73"/>
        <v>0</v>
      </c>
      <c r="AA569" s="539">
        <f t="shared" si="73"/>
        <v>0</v>
      </c>
      <c r="AB569" s="539">
        <f t="shared" si="73"/>
        <v>0</v>
      </c>
      <c r="AC569" s="539">
        <f t="shared" si="73"/>
        <v>0</v>
      </c>
      <c r="AD569" s="539">
        <f t="shared" si="73"/>
        <v>0</v>
      </c>
      <c r="AE569" s="526"/>
      <c r="AF569" s="539">
        <f t="shared" si="74"/>
        <v>0</v>
      </c>
      <c r="AG569" s="539">
        <f t="shared" si="74"/>
        <v>0</v>
      </c>
      <c r="AH569" s="539">
        <f t="shared" si="74"/>
        <v>0</v>
      </c>
      <c r="AI569" s="539">
        <f t="shared" si="74"/>
        <v>0</v>
      </c>
      <c r="AJ569" s="539">
        <f t="shared" si="74"/>
        <v>0</v>
      </c>
      <c r="AK569"/>
      <c r="AQ569" s="712"/>
    </row>
    <row r="570" spans="11:43" ht="21">
      <c r="K570" s="712"/>
      <c r="L570" s="502"/>
      <c r="M570" s="502"/>
      <c r="N570" s="423" t="s">
        <v>510</v>
      </c>
      <c r="O570" s="666" t="s">
        <v>463</v>
      </c>
      <c r="P570" s="667">
        <v>0.05</v>
      </c>
      <c r="Q570" s="579"/>
      <c r="R570" s="579">
        <v>2</v>
      </c>
      <c r="S570" s="579">
        <v>30</v>
      </c>
      <c r="T570" s="579">
        <v>8</v>
      </c>
      <c r="U570" s="579">
        <f t="shared" si="68"/>
        <v>480</v>
      </c>
      <c r="V570" s="552"/>
      <c r="W570" s="552"/>
      <c r="X570" s="553"/>
      <c r="Y570" s="526"/>
      <c r="Z570" s="539">
        <f t="shared" si="73"/>
        <v>0</v>
      </c>
      <c r="AA570" s="539">
        <f t="shared" si="73"/>
        <v>0</v>
      </c>
      <c r="AB570" s="539">
        <f t="shared" si="73"/>
        <v>0</v>
      </c>
      <c r="AC570" s="539">
        <f t="shared" si="73"/>
        <v>0</v>
      </c>
      <c r="AD570" s="539">
        <f t="shared" si="73"/>
        <v>0</v>
      </c>
      <c r="AE570" s="526"/>
      <c r="AF570" s="539">
        <f t="shared" si="74"/>
        <v>0</v>
      </c>
      <c r="AG570" s="539">
        <f t="shared" si="74"/>
        <v>0</v>
      </c>
      <c r="AH570" s="539">
        <f t="shared" si="74"/>
        <v>0</v>
      </c>
      <c r="AI570" s="539">
        <f t="shared" si="74"/>
        <v>0</v>
      </c>
      <c r="AJ570" s="539">
        <f t="shared" si="74"/>
        <v>0</v>
      </c>
      <c r="AK570"/>
      <c r="AQ570" s="712"/>
    </row>
    <row r="571" spans="11:43" ht="21">
      <c r="K571" s="712"/>
      <c r="L571" s="502"/>
      <c r="M571" s="502"/>
      <c r="N571" s="423" t="s">
        <v>510</v>
      </c>
      <c r="O571" s="432" t="s">
        <v>1808</v>
      </c>
      <c r="P571" s="667">
        <v>0.05</v>
      </c>
      <c r="Q571" s="633"/>
      <c r="R571" s="579">
        <v>4</v>
      </c>
      <c r="S571" s="579">
        <v>30</v>
      </c>
      <c r="T571" s="633">
        <v>10</v>
      </c>
      <c r="U571" s="579">
        <f t="shared" si="68"/>
        <v>1200</v>
      </c>
      <c r="V571" s="552"/>
      <c r="W571" s="552"/>
      <c r="X571" s="553"/>
      <c r="Y571" s="526"/>
      <c r="Z571" s="539">
        <f t="shared" si="73"/>
        <v>0</v>
      </c>
      <c r="AA571" s="539">
        <f t="shared" si="73"/>
        <v>0</v>
      </c>
      <c r="AB571" s="539">
        <f t="shared" si="73"/>
        <v>0</v>
      </c>
      <c r="AC571" s="539">
        <f t="shared" si="73"/>
        <v>0</v>
      </c>
      <c r="AD571" s="539">
        <f t="shared" si="73"/>
        <v>0</v>
      </c>
      <c r="AE571" s="526"/>
      <c r="AF571" s="539">
        <f t="shared" si="74"/>
        <v>0</v>
      </c>
      <c r="AG571" s="539">
        <f t="shared" si="74"/>
        <v>0</v>
      </c>
      <c r="AH571" s="539">
        <f t="shared" si="74"/>
        <v>0</v>
      </c>
      <c r="AI571" s="539">
        <f t="shared" si="74"/>
        <v>0</v>
      </c>
      <c r="AJ571" s="539">
        <f t="shared" si="74"/>
        <v>0</v>
      </c>
      <c r="AK571"/>
      <c r="AQ571" s="712"/>
    </row>
    <row r="572" spans="11:43" ht="21">
      <c r="K572" s="712"/>
      <c r="L572" s="502"/>
      <c r="M572" s="502"/>
      <c r="N572" s="423" t="s">
        <v>510</v>
      </c>
      <c r="O572" s="432" t="s">
        <v>1809</v>
      </c>
      <c r="P572" s="667">
        <v>0.05</v>
      </c>
      <c r="Q572" s="633"/>
      <c r="R572" s="579">
        <v>2</v>
      </c>
      <c r="S572" s="579">
        <v>30</v>
      </c>
      <c r="T572" s="633">
        <v>10</v>
      </c>
      <c r="U572" s="579">
        <f t="shared" si="68"/>
        <v>600</v>
      </c>
      <c r="V572" s="552"/>
      <c r="W572" s="552"/>
      <c r="X572" s="553"/>
      <c r="Y572" s="526"/>
      <c r="Z572" s="539">
        <f t="shared" si="73"/>
        <v>0</v>
      </c>
      <c r="AA572" s="539">
        <f t="shared" si="73"/>
        <v>0</v>
      </c>
      <c r="AB572" s="539">
        <f t="shared" si="73"/>
        <v>0</v>
      </c>
      <c r="AC572" s="539">
        <f t="shared" si="73"/>
        <v>0</v>
      </c>
      <c r="AD572" s="539">
        <f t="shared" si="73"/>
        <v>0</v>
      </c>
      <c r="AE572" s="526"/>
      <c r="AF572" s="539">
        <f t="shared" si="74"/>
        <v>0</v>
      </c>
      <c r="AG572" s="539">
        <f t="shared" si="74"/>
        <v>0</v>
      </c>
      <c r="AH572" s="539">
        <f t="shared" si="74"/>
        <v>0</v>
      </c>
      <c r="AI572" s="539">
        <f t="shared" si="74"/>
        <v>0</v>
      </c>
      <c r="AJ572" s="539">
        <f t="shared" si="74"/>
        <v>0</v>
      </c>
      <c r="AK572"/>
      <c r="AQ572" s="712"/>
    </row>
    <row r="573" spans="11:43" ht="21">
      <c r="K573" s="712"/>
      <c r="L573" s="502"/>
      <c r="M573" s="502"/>
      <c r="N573" s="423" t="s">
        <v>510</v>
      </c>
      <c r="O573" s="578" t="s">
        <v>464</v>
      </c>
      <c r="P573" s="671">
        <v>0.8</v>
      </c>
      <c r="Q573" s="579"/>
      <c r="R573" s="637">
        <v>342</v>
      </c>
      <c r="S573" s="579">
        <v>1</v>
      </c>
      <c r="T573" s="672">
        <v>1</v>
      </c>
      <c r="U573" s="579">
        <f t="shared" si="68"/>
        <v>342</v>
      </c>
      <c r="V573" s="552"/>
      <c r="W573" s="552"/>
      <c r="X573" s="553"/>
      <c r="Y573" s="526"/>
      <c r="Z573" s="539">
        <f t="shared" ref="Z573:AD586" si="75">ROUND(IFERROR(VLOOKUP($N573,SLD_MD_penit,Z$338,0)*$U573*$P573*Attrition,0),0)</f>
        <v>0</v>
      </c>
      <c r="AA573" s="539">
        <f t="shared" si="75"/>
        <v>0</v>
      </c>
      <c r="AB573" s="539">
        <f t="shared" si="75"/>
        <v>0</v>
      </c>
      <c r="AC573" s="539">
        <f t="shared" si="75"/>
        <v>0</v>
      </c>
      <c r="AD573" s="539">
        <f t="shared" si="75"/>
        <v>0</v>
      </c>
      <c r="AE573" s="526"/>
      <c r="AF573" s="539">
        <f t="shared" ref="AF573:AJ586" si="76">ROUND(IFERROR(VLOOKUP($N573,SLD_MD_penit,AF$338,0)*$U573*$P573*Attrition,0),0)</f>
        <v>0</v>
      </c>
      <c r="AG573" s="539">
        <f t="shared" si="76"/>
        <v>0</v>
      </c>
      <c r="AH573" s="539">
        <f t="shared" si="76"/>
        <v>0</v>
      </c>
      <c r="AI573" s="539">
        <f t="shared" si="76"/>
        <v>0</v>
      </c>
      <c r="AJ573" s="539">
        <f t="shared" si="76"/>
        <v>0</v>
      </c>
      <c r="AK573"/>
      <c r="AQ573" s="712"/>
    </row>
    <row r="574" spans="11:43" ht="21">
      <c r="K574" s="712"/>
      <c r="L574" s="502"/>
      <c r="M574" s="502"/>
      <c r="N574" s="423" t="s">
        <v>510</v>
      </c>
      <c r="O574" s="578" t="s">
        <v>465</v>
      </c>
      <c r="P574" s="673">
        <v>0.8</v>
      </c>
      <c r="Q574" s="579"/>
      <c r="R574" s="579">
        <v>1</v>
      </c>
      <c r="S574" s="579">
        <v>30</v>
      </c>
      <c r="T574" s="579">
        <v>22</v>
      </c>
      <c r="U574" s="579">
        <f t="shared" si="68"/>
        <v>660</v>
      </c>
      <c r="V574" s="552"/>
      <c r="W574" s="552"/>
      <c r="X574" s="553"/>
      <c r="Y574" s="526"/>
      <c r="Z574" s="539">
        <f t="shared" si="75"/>
        <v>0</v>
      </c>
      <c r="AA574" s="539">
        <f t="shared" si="75"/>
        <v>0</v>
      </c>
      <c r="AB574" s="539">
        <f t="shared" si="75"/>
        <v>0</v>
      </c>
      <c r="AC574" s="539">
        <f t="shared" si="75"/>
        <v>0</v>
      </c>
      <c r="AD574" s="539">
        <f t="shared" si="75"/>
        <v>0</v>
      </c>
      <c r="AE574" s="526"/>
      <c r="AF574" s="539">
        <f t="shared" si="76"/>
        <v>0</v>
      </c>
      <c r="AG574" s="539">
        <f t="shared" si="76"/>
        <v>0</v>
      </c>
      <c r="AH574" s="539">
        <f t="shared" si="76"/>
        <v>0</v>
      </c>
      <c r="AI574" s="539">
        <f t="shared" si="76"/>
        <v>0</v>
      </c>
      <c r="AJ574" s="539">
        <f t="shared" si="76"/>
        <v>0</v>
      </c>
      <c r="AK574"/>
      <c r="AQ574" s="712"/>
    </row>
    <row r="575" spans="11:43" ht="21">
      <c r="K575" s="712"/>
      <c r="L575" s="502"/>
      <c r="M575" s="502"/>
      <c r="N575" s="423" t="s">
        <v>510</v>
      </c>
      <c r="O575" s="578" t="s">
        <v>466</v>
      </c>
      <c r="P575" s="673">
        <v>0.8</v>
      </c>
      <c r="Q575" s="579"/>
      <c r="R575" s="579">
        <v>3</v>
      </c>
      <c r="S575" s="579">
        <v>30</v>
      </c>
      <c r="T575" s="579">
        <v>22</v>
      </c>
      <c r="U575" s="579">
        <f t="shared" si="68"/>
        <v>1980</v>
      </c>
      <c r="V575" s="552"/>
      <c r="W575" s="552"/>
      <c r="X575" s="553"/>
      <c r="Y575" s="526"/>
      <c r="Z575" s="539">
        <f t="shared" si="75"/>
        <v>0</v>
      </c>
      <c r="AA575" s="539">
        <f t="shared" si="75"/>
        <v>0</v>
      </c>
      <c r="AB575" s="539">
        <f t="shared" si="75"/>
        <v>0</v>
      </c>
      <c r="AC575" s="539">
        <f t="shared" si="75"/>
        <v>0</v>
      </c>
      <c r="AD575" s="539">
        <f t="shared" si="75"/>
        <v>0</v>
      </c>
      <c r="AE575" s="526"/>
      <c r="AF575" s="539">
        <f t="shared" si="76"/>
        <v>0</v>
      </c>
      <c r="AG575" s="539">
        <f t="shared" si="76"/>
        <v>0</v>
      </c>
      <c r="AH575" s="539">
        <f t="shared" si="76"/>
        <v>0</v>
      </c>
      <c r="AI575" s="539">
        <f t="shared" si="76"/>
        <v>0</v>
      </c>
      <c r="AJ575" s="539">
        <f t="shared" si="76"/>
        <v>0</v>
      </c>
      <c r="AK575"/>
      <c r="AQ575" s="712"/>
    </row>
    <row r="576" spans="11:43" ht="21">
      <c r="K576" s="712"/>
      <c r="L576" s="502"/>
      <c r="M576" s="502"/>
      <c r="N576" s="423" t="s">
        <v>510</v>
      </c>
      <c r="O576" s="636" t="s">
        <v>467</v>
      </c>
      <c r="P576" s="667">
        <v>0.2</v>
      </c>
      <c r="Q576" s="579"/>
      <c r="R576" s="579">
        <v>4</v>
      </c>
      <c r="S576" s="579">
        <v>30</v>
      </c>
      <c r="T576" s="579">
        <v>6</v>
      </c>
      <c r="U576" s="579">
        <f t="shared" si="68"/>
        <v>720</v>
      </c>
      <c r="V576" s="552"/>
      <c r="W576" s="552"/>
      <c r="X576" s="553"/>
      <c r="Y576" s="526"/>
      <c r="Z576" s="539">
        <f t="shared" si="75"/>
        <v>0</v>
      </c>
      <c r="AA576" s="539">
        <f t="shared" si="75"/>
        <v>0</v>
      </c>
      <c r="AB576" s="539">
        <f t="shared" si="75"/>
        <v>0</v>
      </c>
      <c r="AC576" s="539">
        <f t="shared" si="75"/>
        <v>0</v>
      </c>
      <c r="AD576" s="539">
        <f t="shared" si="75"/>
        <v>0</v>
      </c>
      <c r="AE576" s="526"/>
      <c r="AF576" s="539">
        <f t="shared" si="76"/>
        <v>0</v>
      </c>
      <c r="AG576" s="539">
        <f t="shared" si="76"/>
        <v>0</v>
      </c>
      <c r="AH576" s="539">
        <f t="shared" si="76"/>
        <v>0</v>
      </c>
      <c r="AI576" s="539">
        <f t="shared" si="76"/>
        <v>0</v>
      </c>
      <c r="AJ576" s="539">
        <f t="shared" si="76"/>
        <v>0</v>
      </c>
      <c r="AK576"/>
      <c r="AQ576" s="712"/>
    </row>
    <row r="577" spans="1:44" ht="21">
      <c r="K577" s="712"/>
      <c r="L577" s="502"/>
      <c r="M577" s="502"/>
      <c r="N577" s="423" t="s">
        <v>510</v>
      </c>
      <c r="O577" s="636" t="s">
        <v>313</v>
      </c>
      <c r="P577" s="667">
        <v>0.3</v>
      </c>
      <c r="Q577" s="579"/>
      <c r="R577" s="579">
        <v>3</v>
      </c>
      <c r="S577" s="579">
        <v>30</v>
      </c>
      <c r="T577" s="579">
        <v>22</v>
      </c>
      <c r="U577" s="579">
        <f t="shared" si="68"/>
        <v>1980</v>
      </c>
      <c r="V577" s="552"/>
      <c r="W577" s="552"/>
      <c r="X577" s="553"/>
      <c r="Y577" s="526"/>
      <c r="Z577" s="539">
        <f t="shared" si="75"/>
        <v>0</v>
      </c>
      <c r="AA577" s="539">
        <f t="shared" si="75"/>
        <v>0</v>
      </c>
      <c r="AB577" s="539">
        <f t="shared" si="75"/>
        <v>0</v>
      </c>
      <c r="AC577" s="539">
        <f t="shared" si="75"/>
        <v>0</v>
      </c>
      <c r="AD577" s="539">
        <f t="shared" si="75"/>
        <v>0</v>
      </c>
      <c r="AE577" s="526"/>
      <c r="AF577" s="539">
        <f t="shared" si="76"/>
        <v>0</v>
      </c>
      <c r="AG577" s="539">
        <f t="shared" si="76"/>
        <v>0</v>
      </c>
      <c r="AH577" s="539">
        <f t="shared" si="76"/>
        <v>0</v>
      </c>
      <c r="AI577" s="539">
        <f t="shared" si="76"/>
        <v>0</v>
      </c>
      <c r="AJ577" s="539">
        <f t="shared" si="76"/>
        <v>0</v>
      </c>
      <c r="AK577"/>
      <c r="AQ577" s="712"/>
    </row>
    <row r="578" spans="1:44" ht="21">
      <c r="K578" s="712"/>
      <c r="L578" s="502"/>
      <c r="M578" s="502"/>
      <c r="N578" s="423" t="s">
        <v>510</v>
      </c>
      <c r="O578" s="636" t="s">
        <v>468</v>
      </c>
      <c r="P578" s="667">
        <v>0.15</v>
      </c>
      <c r="Q578" s="579"/>
      <c r="R578" s="579">
        <v>3</v>
      </c>
      <c r="S578" s="579">
        <v>30</v>
      </c>
      <c r="T578" s="579">
        <v>22</v>
      </c>
      <c r="U578" s="579">
        <f t="shared" si="68"/>
        <v>1980</v>
      </c>
      <c r="V578" s="552"/>
      <c r="W578" s="552"/>
      <c r="X578" s="553"/>
      <c r="Y578" s="526"/>
      <c r="Z578" s="539">
        <f t="shared" si="75"/>
        <v>0</v>
      </c>
      <c r="AA578" s="539">
        <f t="shared" si="75"/>
        <v>0</v>
      </c>
      <c r="AB578" s="539">
        <f t="shared" si="75"/>
        <v>0</v>
      </c>
      <c r="AC578" s="539">
        <f t="shared" si="75"/>
        <v>0</v>
      </c>
      <c r="AD578" s="539">
        <f t="shared" si="75"/>
        <v>0</v>
      </c>
      <c r="AE578" s="526"/>
      <c r="AF578" s="539">
        <f t="shared" si="76"/>
        <v>0</v>
      </c>
      <c r="AG578" s="539">
        <f t="shared" si="76"/>
        <v>0</v>
      </c>
      <c r="AH578" s="539">
        <f t="shared" si="76"/>
        <v>0</v>
      </c>
      <c r="AI578" s="539">
        <f t="shared" si="76"/>
        <v>0</v>
      </c>
      <c r="AJ578" s="539">
        <f t="shared" si="76"/>
        <v>0</v>
      </c>
      <c r="AK578"/>
      <c r="AQ578" s="712"/>
    </row>
    <row r="579" spans="1:44" ht="21">
      <c r="K579" s="712"/>
      <c r="L579" s="502"/>
      <c r="M579" s="502"/>
      <c r="N579" s="423" t="s">
        <v>510</v>
      </c>
      <c r="O579" s="636" t="s">
        <v>469</v>
      </c>
      <c r="P579" s="667">
        <v>0.8</v>
      </c>
      <c r="Q579" s="579"/>
      <c r="R579" s="579">
        <v>4</v>
      </c>
      <c r="S579" s="579">
        <v>30</v>
      </c>
      <c r="T579" s="579">
        <v>22</v>
      </c>
      <c r="U579" s="579">
        <f t="shared" si="68"/>
        <v>2640</v>
      </c>
      <c r="V579" s="552"/>
      <c r="W579" s="552"/>
      <c r="X579" s="553"/>
      <c r="Y579" s="526"/>
      <c r="Z579" s="539">
        <f t="shared" si="75"/>
        <v>0</v>
      </c>
      <c r="AA579" s="539">
        <f t="shared" si="75"/>
        <v>0</v>
      </c>
      <c r="AB579" s="539">
        <f t="shared" si="75"/>
        <v>0</v>
      </c>
      <c r="AC579" s="539">
        <f t="shared" si="75"/>
        <v>0</v>
      </c>
      <c r="AD579" s="539">
        <f t="shared" si="75"/>
        <v>0</v>
      </c>
      <c r="AE579" s="526"/>
      <c r="AF579" s="539">
        <f t="shared" si="76"/>
        <v>0</v>
      </c>
      <c r="AG579" s="539">
        <f t="shared" si="76"/>
        <v>0</v>
      </c>
      <c r="AH579" s="539">
        <f t="shared" si="76"/>
        <v>0</v>
      </c>
      <c r="AI579" s="539">
        <f t="shared" si="76"/>
        <v>0</v>
      </c>
      <c r="AJ579" s="539">
        <f t="shared" si="76"/>
        <v>0</v>
      </c>
      <c r="AK579"/>
      <c r="AQ579" s="712"/>
    </row>
    <row r="580" spans="1:44" ht="21">
      <c r="K580" s="712"/>
      <c r="L580" s="502"/>
      <c r="M580" s="502"/>
      <c r="N580" s="423" t="s">
        <v>510</v>
      </c>
      <c r="O580" s="636" t="s">
        <v>470</v>
      </c>
      <c r="P580" s="667">
        <v>1</v>
      </c>
      <c r="Q580" s="579"/>
      <c r="R580" s="579">
        <v>1</v>
      </c>
      <c r="S580" s="579">
        <v>30</v>
      </c>
      <c r="T580" s="579">
        <v>22</v>
      </c>
      <c r="U580" s="579">
        <f t="shared" si="68"/>
        <v>660</v>
      </c>
      <c r="V580" s="552"/>
      <c r="W580" s="552"/>
      <c r="X580" s="553"/>
      <c r="Y580" s="526"/>
      <c r="Z580" s="539">
        <f t="shared" si="75"/>
        <v>0</v>
      </c>
      <c r="AA580" s="539">
        <f t="shared" si="75"/>
        <v>0</v>
      </c>
      <c r="AB580" s="539">
        <f t="shared" si="75"/>
        <v>0</v>
      </c>
      <c r="AC580" s="539">
        <f t="shared" si="75"/>
        <v>0</v>
      </c>
      <c r="AD580" s="539">
        <f t="shared" si="75"/>
        <v>0</v>
      </c>
      <c r="AE580" s="526"/>
      <c r="AF580" s="539">
        <f t="shared" si="76"/>
        <v>0</v>
      </c>
      <c r="AG580" s="539">
        <f t="shared" si="76"/>
        <v>0</v>
      </c>
      <c r="AH580" s="539">
        <f t="shared" si="76"/>
        <v>0</v>
      </c>
      <c r="AI580" s="539">
        <f t="shared" si="76"/>
        <v>0</v>
      </c>
      <c r="AJ580" s="539">
        <f t="shared" si="76"/>
        <v>0</v>
      </c>
      <c r="AK580"/>
      <c r="AQ580" s="712"/>
    </row>
    <row r="581" spans="1:44" ht="21">
      <c r="K581" s="712"/>
      <c r="L581" s="502"/>
      <c r="M581" s="502"/>
      <c r="N581" s="423" t="s">
        <v>510</v>
      </c>
      <c r="O581" s="636" t="s">
        <v>471</v>
      </c>
      <c r="P581" s="667">
        <v>0.2</v>
      </c>
      <c r="Q581" s="579"/>
      <c r="R581" s="579">
        <v>1</v>
      </c>
      <c r="S581" s="579">
        <v>30</v>
      </c>
      <c r="T581" s="579">
        <v>22</v>
      </c>
      <c r="U581" s="579">
        <f t="shared" si="68"/>
        <v>660</v>
      </c>
      <c r="V581" s="552"/>
      <c r="W581" s="552"/>
      <c r="X581" s="553"/>
      <c r="Y581" s="526"/>
      <c r="Z581" s="539">
        <f t="shared" si="75"/>
        <v>0</v>
      </c>
      <c r="AA581" s="539">
        <f t="shared" si="75"/>
        <v>0</v>
      </c>
      <c r="AB581" s="539">
        <f t="shared" si="75"/>
        <v>0</v>
      </c>
      <c r="AC581" s="539">
        <f t="shared" si="75"/>
        <v>0</v>
      </c>
      <c r="AD581" s="539">
        <f t="shared" si="75"/>
        <v>0</v>
      </c>
      <c r="AE581" s="526"/>
      <c r="AF581" s="539">
        <f t="shared" si="76"/>
        <v>0</v>
      </c>
      <c r="AG581" s="539">
        <f t="shared" si="76"/>
        <v>0</v>
      </c>
      <c r="AH581" s="539">
        <f t="shared" si="76"/>
        <v>0</v>
      </c>
      <c r="AI581" s="539">
        <f t="shared" si="76"/>
        <v>0</v>
      </c>
      <c r="AJ581" s="539">
        <f t="shared" si="76"/>
        <v>0</v>
      </c>
      <c r="AK581"/>
      <c r="AQ581" s="712"/>
    </row>
    <row r="582" spans="1:44" ht="21">
      <c r="K582" s="712"/>
      <c r="L582" s="502"/>
      <c r="M582" s="502"/>
      <c r="N582" s="423" t="s">
        <v>510</v>
      </c>
      <c r="O582" s="636" t="s">
        <v>472</v>
      </c>
      <c r="P582" s="667">
        <v>0.1</v>
      </c>
      <c r="Q582" s="579"/>
      <c r="R582" s="579">
        <v>2</v>
      </c>
      <c r="S582" s="579">
        <v>30</v>
      </c>
      <c r="T582" s="579">
        <v>22</v>
      </c>
      <c r="U582" s="579">
        <f t="shared" si="68"/>
        <v>1320</v>
      </c>
      <c r="V582" s="552"/>
      <c r="W582" s="552"/>
      <c r="X582" s="553"/>
      <c r="Y582" s="526"/>
      <c r="Z582" s="539">
        <f t="shared" si="75"/>
        <v>0</v>
      </c>
      <c r="AA582" s="539">
        <f t="shared" si="75"/>
        <v>0</v>
      </c>
      <c r="AB582" s="539">
        <f t="shared" si="75"/>
        <v>0</v>
      </c>
      <c r="AC582" s="539">
        <f t="shared" si="75"/>
        <v>0</v>
      </c>
      <c r="AD582" s="539">
        <f t="shared" si="75"/>
        <v>0</v>
      </c>
      <c r="AE582" s="526"/>
      <c r="AF582" s="539">
        <f t="shared" si="76"/>
        <v>0</v>
      </c>
      <c r="AG582" s="539">
        <f t="shared" si="76"/>
        <v>0</v>
      </c>
      <c r="AH582" s="539">
        <f t="shared" si="76"/>
        <v>0</v>
      </c>
      <c r="AI582" s="539">
        <f t="shared" si="76"/>
        <v>0</v>
      </c>
      <c r="AJ582" s="539">
        <f t="shared" si="76"/>
        <v>0</v>
      </c>
      <c r="AK582"/>
      <c r="AQ582" s="712"/>
    </row>
    <row r="583" spans="1:44" ht="21">
      <c r="K583" s="712"/>
      <c r="L583" s="502"/>
      <c r="M583" s="502"/>
      <c r="N583" s="423" t="s">
        <v>510</v>
      </c>
      <c r="O583" s="636" t="s">
        <v>314</v>
      </c>
      <c r="P583" s="667">
        <v>0.2</v>
      </c>
      <c r="Q583" s="579"/>
      <c r="R583" s="579">
        <v>5</v>
      </c>
      <c r="S583" s="579">
        <v>30</v>
      </c>
      <c r="T583" s="579">
        <v>22</v>
      </c>
      <c r="U583" s="579">
        <f t="shared" si="68"/>
        <v>3300</v>
      </c>
      <c r="V583" s="552"/>
      <c r="W583" s="552"/>
      <c r="X583" s="553"/>
      <c r="Y583" s="526"/>
      <c r="Z583" s="539">
        <f t="shared" si="75"/>
        <v>0</v>
      </c>
      <c r="AA583" s="539">
        <f t="shared" si="75"/>
        <v>0</v>
      </c>
      <c r="AB583" s="539">
        <f t="shared" si="75"/>
        <v>0</v>
      </c>
      <c r="AC583" s="539">
        <f t="shared" si="75"/>
        <v>0</v>
      </c>
      <c r="AD583" s="539">
        <f t="shared" si="75"/>
        <v>0</v>
      </c>
      <c r="AE583" s="526"/>
      <c r="AF583" s="539">
        <f t="shared" si="76"/>
        <v>0</v>
      </c>
      <c r="AG583" s="539">
        <f t="shared" si="76"/>
        <v>0</v>
      </c>
      <c r="AH583" s="539">
        <f t="shared" si="76"/>
        <v>0</v>
      </c>
      <c r="AI583" s="539">
        <f t="shared" si="76"/>
        <v>0</v>
      </c>
      <c r="AJ583" s="539">
        <f t="shared" si="76"/>
        <v>0</v>
      </c>
      <c r="AK583"/>
      <c r="AQ583" s="712"/>
    </row>
    <row r="584" spans="1:44" ht="21">
      <c r="K584" s="712"/>
      <c r="L584" s="502"/>
      <c r="M584" s="502"/>
      <c r="N584" s="515"/>
      <c r="O584" s="636"/>
      <c r="P584" s="667"/>
      <c r="Q584" s="579"/>
      <c r="R584" s="579">
        <v>0</v>
      </c>
      <c r="S584" s="579">
        <v>30</v>
      </c>
      <c r="T584" s="639"/>
      <c r="U584" s="579">
        <f t="shared" si="68"/>
        <v>0</v>
      </c>
      <c r="V584" s="552"/>
      <c r="W584" s="552"/>
      <c r="X584" s="553"/>
      <c r="Y584" s="526"/>
      <c r="Z584" s="539">
        <f t="shared" si="75"/>
        <v>0</v>
      </c>
      <c r="AA584" s="539">
        <f t="shared" si="75"/>
        <v>0</v>
      </c>
      <c r="AB584" s="539">
        <f t="shared" si="75"/>
        <v>0</v>
      </c>
      <c r="AC584" s="539">
        <f t="shared" si="75"/>
        <v>0</v>
      </c>
      <c r="AD584" s="539">
        <f t="shared" si="75"/>
        <v>0</v>
      </c>
      <c r="AE584" s="526"/>
      <c r="AF584" s="539">
        <f t="shared" si="76"/>
        <v>0</v>
      </c>
      <c r="AG584" s="539">
        <f t="shared" si="76"/>
        <v>0</v>
      </c>
      <c r="AH584" s="539">
        <f t="shared" si="76"/>
        <v>0</v>
      </c>
      <c r="AI584" s="539">
        <f t="shared" si="76"/>
        <v>0</v>
      </c>
      <c r="AJ584" s="539">
        <f t="shared" si="76"/>
        <v>0</v>
      </c>
      <c r="AK584"/>
      <c r="AQ584" s="712"/>
    </row>
    <row r="585" spans="1:44" ht="21">
      <c r="K585" s="712"/>
      <c r="L585" s="502"/>
      <c r="M585" s="502"/>
      <c r="N585" s="515"/>
      <c r="O585" s="636"/>
      <c r="P585" s="667"/>
      <c r="Q585" s="579"/>
      <c r="R585" s="579">
        <v>0</v>
      </c>
      <c r="S585" s="579">
        <v>30</v>
      </c>
      <c r="T585" s="639"/>
      <c r="U585" s="579">
        <f t="shared" si="68"/>
        <v>0</v>
      </c>
      <c r="V585" s="552"/>
      <c r="W585" s="552"/>
      <c r="X585" s="553"/>
      <c r="Y585" s="526"/>
      <c r="Z585" s="539">
        <f t="shared" si="75"/>
        <v>0</v>
      </c>
      <c r="AA585" s="539">
        <f t="shared" si="75"/>
        <v>0</v>
      </c>
      <c r="AB585" s="539">
        <f t="shared" si="75"/>
        <v>0</v>
      </c>
      <c r="AC585" s="539">
        <f t="shared" si="75"/>
        <v>0</v>
      </c>
      <c r="AD585" s="539">
        <f t="shared" si="75"/>
        <v>0</v>
      </c>
      <c r="AE585" s="526"/>
      <c r="AF585" s="539">
        <f t="shared" si="76"/>
        <v>0</v>
      </c>
      <c r="AG585" s="539">
        <f t="shared" si="76"/>
        <v>0</v>
      </c>
      <c r="AH585" s="539">
        <f t="shared" si="76"/>
        <v>0</v>
      </c>
      <c r="AI585" s="539">
        <f t="shared" si="76"/>
        <v>0</v>
      </c>
      <c r="AJ585" s="539">
        <f t="shared" si="76"/>
        <v>0</v>
      </c>
      <c r="AK585"/>
      <c r="AQ585" s="712"/>
    </row>
    <row r="586" spans="1:44" ht="22" thickBot="1">
      <c r="K586" s="712"/>
      <c r="L586" s="502"/>
      <c r="M586" s="502"/>
      <c r="N586" s="516"/>
      <c r="O586" s="640"/>
      <c r="P586" s="679"/>
      <c r="Q586" s="581"/>
      <c r="R586" s="581">
        <v>0</v>
      </c>
      <c r="S586" s="581">
        <v>30</v>
      </c>
      <c r="T586" s="641"/>
      <c r="U586" s="581">
        <f t="shared" si="68"/>
        <v>0</v>
      </c>
      <c r="V586" s="556"/>
      <c r="W586" s="556"/>
      <c r="X586" s="557"/>
      <c r="Y586" s="526"/>
      <c r="Z586" s="539">
        <f t="shared" si="75"/>
        <v>0</v>
      </c>
      <c r="AA586" s="539">
        <f t="shared" si="75"/>
        <v>0</v>
      </c>
      <c r="AB586" s="539">
        <f t="shared" si="75"/>
        <v>0</v>
      </c>
      <c r="AC586" s="539">
        <f t="shared" si="75"/>
        <v>0</v>
      </c>
      <c r="AD586" s="539">
        <f t="shared" si="75"/>
        <v>0</v>
      </c>
      <c r="AE586" s="526"/>
      <c r="AF586" s="539">
        <f t="shared" si="76"/>
        <v>0</v>
      </c>
      <c r="AG586" s="539">
        <f t="shared" si="76"/>
        <v>0</v>
      </c>
      <c r="AH586" s="539">
        <f t="shared" si="76"/>
        <v>0</v>
      </c>
      <c r="AI586" s="539">
        <f t="shared" si="76"/>
        <v>0</v>
      </c>
      <c r="AJ586" s="539">
        <f t="shared" si="76"/>
        <v>0</v>
      </c>
      <c r="AK586"/>
      <c r="AQ586" s="712"/>
    </row>
    <row r="587" spans="1:44" ht="21">
      <c r="K587" s="712"/>
      <c r="L587" s="502"/>
      <c r="M587" s="1438" t="s">
        <v>2402</v>
      </c>
      <c r="N587" s="442" t="s">
        <v>462</v>
      </c>
      <c r="O587" s="1443" t="s">
        <v>2403</v>
      </c>
      <c r="P587" s="1468">
        <f>TB_HIV_RB_Co_tr</f>
        <v>6.7193523515805695E-2</v>
      </c>
      <c r="Q587" s="526"/>
      <c r="R587" s="563">
        <v>2</v>
      </c>
      <c r="S587" s="563">
        <v>30</v>
      </c>
      <c r="T587" s="563">
        <v>18</v>
      </c>
      <c r="U587" s="563">
        <f t="shared" si="68"/>
        <v>1080</v>
      </c>
      <c r="V587" s="526"/>
      <c r="W587" s="526"/>
      <c r="X587" s="526"/>
      <c r="Y587" s="526"/>
      <c r="Z587" s="1470">
        <f>IFERROR(ROUND(T531*$U587*$P587,0),0)</f>
        <v>871</v>
      </c>
      <c r="AA587" s="1471">
        <f>IFERROR(U531*$U587*$P587,0)</f>
        <v>798.25905936777167</v>
      </c>
      <c r="AB587" s="1471">
        <f>IFERROR(V531*$U587*$P587,0)</f>
        <v>798.25905936777167</v>
      </c>
      <c r="AC587" s="1471">
        <f>IFERROR(W531*$U587*$P587,0)</f>
        <v>725.69005397070146</v>
      </c>
      <c r="AD587" s="1472">
        <f>IFERROR(X531*$U587*$P587,0)</f>
        <v>725.69005397070146</v>
      </c>
      <c r="AE587" s="526"/>
      <c r="AF587" s="526"/>
      <c r="AG587" s="526"/>
      <c r="AH587" s="526"/>
      <c r="AI587" s="526"/>
      <c r="AJ587" s="526"/>
      <c r="AK587"/>
      <c r="AQ587" s="712"/>
    </row>
    <row r="588" spans="1:44" ht="21">
      <c r="K588" s="712"/>
      <c r="L588" s="502"/>
      <c r="M588"/>
      <c r="N588" s="442" t="s">
        <v>473</v>
      </c>
      <c r="O588" s="1443" t="s">
        <v>2403</v>
      </c>
      <c r="P588" s="1468">
        <f>TB_HIV_RB_Co_tr</f>
        <v>6.7193523515805695E-2</v>
      </c>
      <c r="Q588" s="526"/>
      <c r="R588" s="563">
        <v>2</v>
      </c>
      <c r="S588" s="563">
        <v>30</v>
      </c>
      <c r="T588" s="563">
        <v>9</v>
      </c>
      <c r="U588" s="563">
        <f t="shared" si="68"/>
        <v>540</v>
      </c>
      <c r="V588" s="526"/>
      <c r="W588" s="526"/>
      <c r="X588" s="526"/>
      <c r="Y588" s="526"/>
      <c r="Z588" s="1473">
        <f>IFERROR(T533*$U588*$P588,0)</f>
        <v>145.13801079414031</v>
      </c>
      <c r="AA588" s="1474">
        <f>IFERROR(U533*$U588*$P588,0)</f>
        <v>145.13801079414031</v>
      </c>
      <c r="AB588" s="1474">
        <f>IFERROR(V533*$U588*$P588,0)</f>
        <v>145.13801079414031</v>
      </c>
      <c r="AC588" s="1474">
        <f>IFERROR(W533*$U588*$P588,0)</f>
        <v>145.13801079414031</v>
      </c>
      <c r="AD588" s="1475">
        <f>IFERROR(X533*$U588*$P588,0)</f>
        <v>145.13801079414031</v>
      </c>
      <c r="AE588" s="526"/>
      <c r="AF588" s="526"/>
      <c r="AG588" s="526"/>
      <c r="AH588" s="526"/>
      <c r="AI588" s="526"/>
      <c r="AJ588" s="526"/>
      <c r="AK588"/>
      <c r="AQ588" s="712"/>
    </row>
    <row r="589" spans="1:44" ht="21">
      <c r="K589" s="712"/>
      <c r="L589" s="502"/>
      <c r="M589"/>
      <c r="N589" s="442" t="s">
        <v>474</v>
      </c>
      <c r="O589" s="1443" t="s">
        <v>2403</v>
      </c>
      <c r="P589" s="1468">
        <f>TB_HIV_RB_Co_tr</f>
        <v>6.7193523515805695E-2</v>
      </c>
      <c r="Q589" s="526"/>
      <c r="R589" s="563">
        <v>2</v>
      </c>
      <c r="S589" s="563">
        <v>30</v>
      </c>
      <c r="T589" s="563">
        <v>9</v>
      </c>
      <c r="U589" s="563">
        <f t="shared" si="68"/>
        <v>540</v>
      </c>
      <c r="V589" s="526"/>
      <c r="W589" s="526"/>
      <c r="X589" s="526"/>
      <c r="Y589" s="526"/>
      <c r="Z589" s="1473">
        <f>IFERROR(T535*$U589*$P589,0)</f>
        <v>145.13801079414031</v>
      </c>
      <c r="AA589" s="1474">
        <f>IFERROR(U535*$U589*$P589,0)</f>
        <v>145.13801079414031</v>
      </c>
      <c r="AB589" s="1474">
        <f>IFERROR(V535*$U589*$P589,0)</f>
        <v>145.13801079414031</v>
      </c>
      <c r="AC589" s="1474">
        <f>IFERROR(W535*$U589*$P589,0)</f>
        <v>145.13801079414031</v>
      </c>
      <c r="AD589" s="1475">
        <f>IFERROR(X535*$U589*$P589,0)</f>
        <v>145.13801079414031</v>
      </c>
      <c r="AE589" s="526"/>
      <c r="AF589" s="526"/>
      <c r="AG589" s="526"/>
      <c r="AH589" s="526"/>
      <c r="AI589" s="526"/>
      <c r="AJ589" s="526"/>
      <c r="AK589"/>
      <c r="AQ589" s="712"/>
    </row>
    <row r="590" spans="1:44" ht="22" thickBot="1">
      <c r="K590" s="712"/>
      <c r="L590" s="502"/>
      <c r="M590"/>
      <c r="N590" s="442" t="s">
        <v>510</v>
      </c>
      <c r="O590" s="1443" t="s">
        <v>2403</v>
      </c>
      <c r="P590" s="1468">
        <f>TB_HIV_RB_Co_tr</f>
        <v>6.7193523515805695E-2</v>
      </c>
      <c r="Q590" s="526"/>
      <c r="R590" s="563">
        <v>2</v>
      </c>
      <c r="S590" s="563">
        <v>30</v>
      </c>
      <c r="T590" s="563">
        <v>22</v>
      </c>
      <c r="U590" s="563">
        <f t="shared" si="68"/>
        <v>1320</v>
      </c>
      <c r="V590" s="526"/>
      <c r="W590" s="526"/>
      <c r="X590" s="526"/>
      <c r="Y590" s="526"/>
      <c r="Z590" s="1476">
        <f>IFERROR(T537*$U590*$P590,0)</f>
        <v>0</v>
      </c>
      <c r="AA590" s="1477">
        <f>IFERROR(U537*$U590*$P590,0)</f>
        <v>0</v>
      </c>
      <c r="AB590" s="1477">
        <f>IFERROR(V537*$U590*$P590,0)</f>
        <v>0</v>
      </c>
      <c r="AC590" s="1477">
        <f>IFERROR(W537*$U590*$P590,0)</f>
        <v>0</v>
      </c>
      <c r="AD590" s="1478">
        <f>IFERROR(X537*$U590*$P590,0)</f>
        <v>0</v>
      </c>
      <c r="AE590" s="526"/>
      <c r="AF590" s="526"/>
      <c r="AG590" s="526"/>
      <c r="AH590" s="526"/>
      <c r="AI590" s="526"/>
      <c r="AJ590" s="526"/>
      <c r="AK590"/>
      <c r="AQ590" s="712"/>
    </row>
    <row r="591" spans="1:44" ht="22" thickBot="1">
      <c r="K591" s="712"/>
      <c r="L591" s="502"/>
      <c r="M591" s="431"/>
      <c r="N591" s="431" t="s">
        <v>2408</v>
      </c>
      <c r="O591" s="1443" t="s">
        <v>2403</v>
      </c>
      <c r="P591" s="431"/>
      <c r="Q591" s="431"/>
      <c r="R591" s="431"/>
      <c r="S591" s="431"/>
      <c r="T591" s="431"/>
      <c r="U591" s="431"/>
      <c r="V591" s="431"/>
      <c r="W591" s="431"/>
      <c r="X591" s="431"/>
      <c r="Y591" s="431"/>
      <c r="Z591" s="1480">
        <f>ROUND(SUM(Z587:Z590),0)</f>
        <v>1161</v>
      </c>
      <c r="AA591" s="1480">
        <f>ROUND(SUM(AA587:AA590),0)</f>
        <v>1089</v>
      </c>
      <c r="AB591" s="1480">
        <f>ROUND(SUM(AB587:AB590),0)</f>
        <v>1089</v>
      </c>
      <c r="AC591" s="1480">
        <f>ROUND(SUM(AC587:AC590),0)</f>
        <v>1016</v>
      </c>
      <c r="AD591" s="1480">
        <f>ROUND(SUM(AD587:AD590),0)</f>
        <v>1016</v>
      </c>
      <c r="AE591" s="545"/>
      <c r="AF591" s="545"/>
      <c r="AG591" s="545"/>
      <c r="AH591" s="545"/>
      <c r="AI591" s="545"/>
      <c r="AJ591" s="545"/>
      <c r="AK591"/>
      <c r="AQ591" s="712"/>
    </row>
    <row r="592" spans="1:44" ht="22" thickBot="1">
      <c r="A592" s="730">
        <v>23</v>
      </c>
      <c r="B592" s="733">
        <f>Z592</f>
        <v>580.5</v>
      </c>
      <c r="C592" s="733">
        <f>AA592</f>
        <v>544.5</v>
      </c>
      <c r="D592" s="733">
        <f>AB592</f>
        <v>544.5</v>
      </c>
      <c r="E592" s="733">
        <f>AC592</f>
        <v>508</v>
      </c>
      <c r="F592" s="733">
        <f>AD592</f>
        <v>508</v>
      </c>
      <c r="G592" s="733" t="s">
        <v>350</v>
      </c>
      <c r="H592" s="733" t="s">
        <v>2410</v>
      </c>
      <c r="I592" s="841"/>
      <c r="J592" s="841" t="s">
        <v>2950</v>
      </c>
      <c r="K592" s="712"/>
      <c r="L592" s="502"/>
      <c r="M592"/>
      <c r="N592" s="431" t="s">
        <v>2216</v>
      </c>
      <c r="O592" s="1469" t="s">
        <v>2403</v>
      </c>
      <c r="P592" s="545"/>
      <c r="Q592" s="545"/>
      <c r="R592" s="545"/>
      <c r="S592" s="545"/>
      <c r="T592" s="545"/>
      <c r="U592" s="545"/>
      <c r="V592" s="545"/>
      <c r="W592" s="545"/>
      <c r="X592" s="545"/>
      <c r="Y592" s="545">
        <f>VLOOKUP(O592,Preturi_medicamente!D:M,6,0)</f>
        <v>0.5</v>
      </c>
      <c r="Z592" s="1738">
        <f>$Y592*Z591</f>
        <v>580.5</v>
      </c>
      <c r="AA592" s="1736">
        <f>$Y592*AA591</f>
        <v>544.5</v>
      </c>
      <c r="AB592" s="1736">
        <f>$Y592*AB591</f>
        <v>544.5</v>
      </c>
      <c r="AC592" s="1736">
        <f>$Y592*AC591</f>
        <v>508</v>
      </c>
      <c r="AD592" s="1737">
        <f>$Y592*AD591</f>
        <v>508</v>
      </c>
      <c r="AE592" s="526"/>
      <c r="AF592" s="526"/>
      <c r="AG592" s="526"/>
      <c r="AH592" s="526"/>
      <c r="AI592" s="526"/>
      <c r="AJ592" s="526"/>
      <c r="AK592"/>
      <c r="AQ592" s="712"/>
      <c r="AR592" s="1487">
        <f>SUM(Z592:AD592)</f>
        <v>2685.5</v>
      </c>
    </row>
    <row r="593" spans="11:43" ht="22" thickBot="1">
      <c r="K593" s="712"/>
      <c r="L593" s="502"/>
      <c r="M593" s="502"/>
      <c r="N593" s="707" t="s">
        <v>335</v>
      </c>
      <c r="O593" s="526"/>
      <c r="P593" s="526"/>
      <c r="Q593" s="526"/>
      <c r="R593" s="526"/>
      <c r="S593" s="526"/>
      <c r="T593" s="545" t="s">
        <v>114</v>
      </c>
      <c r="U593" s="545"/>
      <c r="V593" s="545"/>
      <c r="W593" s="545"/>
      <c r="X593" s="545"/>
      <c r="Y593" s="545"/>
      <c r="Z593" s="642" t="s">
        <v>350</v>
      </c>
      <c r="AA593" s="545"/>
      <c r="AB593" s="545"/>
      <c r="AC593" s="545"/>
      <c r="AD593" s="545"/>
      <c r="AE593" s="545"/>
      <c r="AF593" s="545" t="s">
        <v>351</v>
      </c>
      <c r="AG593" s="526"/>
      <c r="AH593" s="526"/>
      <c r="AI593" s="526"/>
      <c r="AJ593" s="526"/>
      <c r="AK593"/>
      <c r="AQ593" s="712"/>
    </row>
    <row r="594" spans="11:43" ht="22" thickBot="1">
      <c r="K594" s="712"/>
      <c r="L594" s="502"/>
      <c r="M594" s="502"/>
      <c r="O594" s="526"/>
      <c r="P594" s="526"/>
      <c r="Q594" s="526"/>
      <c r="R594" s="526"/>
      <c r="S594" s="526"/>
      <c r="T594" s="584">
        <v>2021</v>
      </c>
      <c r="U594" s="585">
        <v>2022</v>
      </c>
      <c r="V594" s="585">
        <v>2023</v>
      </c>
      <c r="W594" s="585">
        <v>2024</v>
      </c>
      <c r="X594" s="586">
        <v>2025</v>
      </c>
      <c r="Y594" s="526"/>
      <c r="Z594" s="584">
        <v>2021</v>
      </c>
      <c r="AA594" s="585">
        <v>2022</v>
      </c>
      <c r="AB594" s="585">
        <v>2023</v>
      </c>
      <c r="AC594" s="585">
        <v>2024</v>
      </c>
      <c r="AD594" s="586">
        <v>2025</v>
      </c>
      <c r="AE594" s="526"/>
      <c r="AF594" s="584">
        <v>2021</v>
      </c>
      <c r="AG594" s="585">
        <v>2022</v>
      </c>
      <c r="AH594" s="585">
        <v>2023</v>
      </c>
      <c r="AI594" s="585">
        <v>2024</v>
      </c>
      <c r="AJ594" s="586">
        <v>2025</v>
      </c>
      <c r="AK594"/>
      <c r="AQ594" s="712"/>
    </row>
    <row r="595" spans="11:43" ht="21">
      <c r="K595" s="712"/>
      <c r="L595" s="502"/>
      <c r="M595" s="502"/>
      <c r="O595" s="716" t="s">
        <v>463</v>
      </c>
      <c r="P595" s="528"/>
      <c r="Q595" s="528"/>
      <c r="R595" s="528"/>
      <c r="S595" s="528"/>
      <c r="T595" s="587">
        <f t="shared" ref="T595:T609" si="77">Z595+AF595</f>
        <v>204</v>
      </c>
      <c r="U595" s="588">
        <f t="shared" ref="U595:U609" si="78">AA595+AG595</f>
        <v>225</v>
      </c>
      <c r="V595" s="588">
        <f t="shared" ref="V595:V609" si="79">AB595+AH595</f>
        <v>224</v>
      </c>
      <c r="W595" s="588">
        <f t="shared" ref="W595:W609" si="80">AC595+AI595</f>
        <v>204</v>
      </c>
      <c r="X595" s="589">
        <f t="shared" ref="X595:X609" si="81">AD595+AJ595</f>
        <v>204</v>
      </c>
      <c r="Y595" s="526"/>
      <c r="Z595" s="592">
        <f t="shared" ref="Z595:AD609" si="82">SUMIF($O$543:$O$586,$O595,Z$543:Z$586)</f>
        <v>143</v>
      </c>
      <c r="AA595" s="593">
        <f t="shared" si="82"/>
        <v>143</v>
      </c>
      <c r="AB595" s="593">
        <f t="shared" si="82"/>
        <v>163</v>
      </c>
      <c r="AC595" s="593">
        <f t="shared" si="82"/>
        <v>204</v>
      </c>
      <c r="AD595" s="594">
        <f t="shared" si="82"/>
        <v>204</v>
      </c>
      <c r="AE595" s="526"/>
      <c r="AF595" s="592">
        <f t="shared" ref="AF595:AJ609" si="83">SUMIF($O$543:$O$586,$O595,AF$543:AF$586)</f>
        <v>61</v>
      </c>
      <c r="AG595" s="593">
        <f t="shared" si="83"/>
        <v>82</v>
      </c>
      <c r="AH595" s="593">
        <f t="shared" si="83"/>
        <v>61</v>
      </c>
      <c r="AI595" s="593">
        <f t="shared" si="83"/>
        <v>0</v>
      </c>
      <c r="AJ595" s="594">
        <f t="shared" si="83"/>
        <v>0</v>
      </c>
      <c r="AK595"/>
      <c r="AQ595" s="712"/>
    </row>
    <row r="596" spans="11:43" ht="21">
      <c r="K596" s="712"/>
      <c r="L596" s="502"/>
      <c r="M596" s="502"/>
      <c r="O596" s="714" t="s">
        <v>1808</v>
      </c>
      <c r="P596" s="715"/>
      <c r="Q596" s="715"/>
      <c r="R596" s="715"/>
      <c r="S596" s="715"/>
      <c r="T596" s="592">
        <f t="shared" si="77"/>
        <v>510</v>
      </c>
      <c r="U596" s="593">
        <f t="shared" si="78"/>
        <v>561</v>
      </c>
      <c r="V596" s="593">
        <f t="shared" si="79"/>
        <v>561</v>
      </c>
      <c r="W596" s="593">
        <f t="shared" si="80"/>
        <v>510</v>
      </c>
      <c r="X596" s="594">
        <f t="shared" si="81"/>
        <v>510</v>
      </c>
      <c r="Y596" s="526"/>
      <c r="Z596" s="592">
        <f t="shared" si="82"/>
        <v>357</v>
      </c>
      <c r="AA596" s="593">
        <f t="shared" si="82"/>
        <v>357</v>
      </c>
      <c r="AB596" s="593">
        <f t="shared" si="82"/>
        <v>408</v>
      </c>
      <c r="AC596" s="593">
        <f t="shared" si="82"/>
        <v>510</v>
      </c>
      <c r="AD596" s="594">
        <f t="shared" si="82"/>
        <v>510</v>
      </c>
      <c r="AE596" s="526"/>
      <c r="AF596" s="592">
        <f t="shared" si="83"/>
        <v>153</v>
      </c>
      <c r="AG596" s="593">
        <f t="shared" si="83"/>
        <v>204</v>
      </c>
      <c r="AH596" s="593">
        <f t="shared" si="83"/>
        <v>153</v>
      </c>
      <c r="AI596" s="593">
        <f t="shared" si="83"/>
        <v>0</v>
      </c>
      <c r="AJ596" s="594">
        <f t="shared" si="83"/>
        <v>0</v>
      </c>
      <c r="AK596"/>
      <c r="AQ596" s="712"/>
    </row>
    <row r="597" spans="11:43" ht="34">
      <c r="K597" s="712"/>
      <c r="L597" s="502"/>
      <c r="M597" s="502"/>
      <c r="O597" s="714" t="s">
        <v>1809</v>
      </c>
      <c r="P597" s="715"/>
      <c r="Q597" s="715"/>
      <c r="R597" s="715"/>
      <c r="S597" s="715"/>
      <c r="T597" s="592">
        <f t="shared" si="77"/>
        <v>256</v>
      </c>
      <c r="U597" s="593">
        <f t="shared" si="78"/>
        <v>281</v>
      </c>
      <c r="V597" s="593">
        <f t="shared" si="79"/>
        <v>281</v>
      </c>
      <c r="W597" s="593">
        <f t="shared" si="80"/>
        <v>255</v>
      </c>
      <c r="X597" s="594">
        <f t="shared" si="81"/>
        <v>255</v>
      </c>
      <c r="Y597" s="526"/>
      <c r="Z597" s="592">
        <f t="shared" si="82"/>
        <v>179</v>
      </c>
      <c r="AA597" s="593">
        <f t="shared" si="82"/>
        <v>179</v>
      </c>
      <c r="AB597" s="593">
        <f t="shared" si="82"/>
        <v>204</v>
      </c>
      <c r="AC597" s="593">
        <f t="shared" si="82"/>
        <v>255</v>
      </c>
      <c r="AD597" s="594">
        <f t="shared" si="82"/>
        <v>255</v>
      </c>
      <c r="AE597" s="526"/>
      <c r="AF597" s="592">
        <f t="shared" si="83"/>
        <v>77</v>
      </c>
      <c r="AG597" s="593">
        <f t="shared" si="83"/>
        <v>102</v>
      </c>
      <c r="AH597" s="593">
        <f t="shared" si="83"/>
        <v>77</v>
      </c>
      <c r="AI597" s="593">
        <f t="shared" si="83"/>
        <v>0</v>
      </c>
      <c r="AJ597" s="594">
        <f t="shared" si="83"/>
        <v>0</v>
      </c>
      <c r="AK597"/>
      <c r="AQ597" s="712"/>
    </row>
    <row r="598" spans="11:43" ht="21">
      <c r="K598" s="712"/>
      <c r="L598" s="502"/>
      <c r="M598" s="502"/>
      <c r="O598" s="714" t="s">
        <v>464</v>
      </c>
      <c r="P598" s="715"/>
      <c r="Q598" s="715"/>
      <c r="R598" s="715"/>
      <c r="S598" s="715"/>
      <c r="T598" s="592">
        <f t="shared" si="77"/>
        <v>2727</v>
      </c>
      <c r="U598" s="593">
        <f t="shared" si="78"/>
        <v>3336</v>
      </c>
      <c r="V598" s="593">
        <f t="shared" si="79"/>
        <v>3337</v>
      </c>
      <c r="W598" s="593">
        <f t="shared" si="80"/>
        <v>3210</v>
      </c>
      <c r="X598" s="594">
        <f t="shared" si="81"/>
        <v>3210</v>
      </c>
      <c r="Y598" s="526"/>
      <c r="Z598" s="592">
        <f t="shared" si="82"/>
        <v>1861</v>
      </c>
      <c r="AA598" s="593">
        <f t="shared" si="82"/>
        <v>2343</v>
      </c>
      <c r="AB598" s="593">
        <f t="shared" si="82"/>
        <v>2471</v>
      </c>
      <c r="AC598" s="593">
        <f t="shared" si="82"/>
        <v>3210</v>
      </c>
      <c r="AD598" s="594">
        <f t="shared" si="82"/>
        <v>3210</v>
      </c>
      <c r="AE598" s="526"/>
      <c r="AF598" s="592">
        <f t="shared" si="83"/>
        <v>866</v>
      </c>
      <c r="AG598" s="593">
        <f t="shared" si="83"/>
        <v>993</v>
      </c>
      <c r="AH598" s="593">
        <f t="shared" si="83"/>
        <v>866</v>
      </c>
      <c r="AI598" s="593">
        <f t="shared" si="83"/>
        <v>0</v>
      </c>
      <c r="AJ598" s="594">
        <f t="shared" si="83"/>
        <v>0</v>
      </c>
      <c r="AK598"/>
      <c r="AQ598" s="712"/>
    </row>
    <row r="599" spans="11:43" ht="21">
      <c r="K599" s="712"/>
      <c r="L599" s="502"/>
      <c r="M599" s="502"/>
      <c r="O599" s="714" t="s">
        <v>465</v>
      </c>
      <c r="P599" s="715"/>
      <c r="Q599" s="715"/>
      <c r="R599" s="715"/>
      <c r="S599" s="715"/>
      <c r="T599" s="592">
        <f t="shared" si="77"/>
        <v>5050</v>
      </c>
      <c r="U599" s="593">
        <f t="shared" si="78"/>
        <v>5877</v>
      </c>
      <c r="V599" s="593">
        <f t="shared" si="79"/>
        <v>5878</v>
      </c>
      <c r="W599" s="593">
        <f t="shared" si="80"/>
        <v>5508</v>
      </c>
      <c r="X599" s="594">
        <f t="shared" si="81"/>
        <v>5508</v>
      </c>
      <c r="Y599" s="526"/>
      <c r="Z599" s="592">
        <f>SUMIF($O$543:$O$586,$O599,Z$543:Z$586)</f>
        <v>3488</v>
      </c>
      <c r="AA599" s="593">
        <f t="shared" si="82"/>
        <v>3948</v>
      </c>
      <c r="AB599" s="593">
        <f t="shared" si="82"/>
        <v>4316</v>
      </c>
      <c r="AC599" s="593">
        <f t="shared" si="82"/>
        <v>5508</v>
      </c>
      <c r="AD599" s="594">
        <f t="shared" si="82"/>
        <v>5508</v>
      </c>
      <c r="AE599" s="526"/>
      <c r="AF599" s="592">
        <f t="shared" si="83"/>
        <v>1562</v>
      </c>
      <c r="AG599" s="593">
        <f t="shared" si="83"/>
        <v>1929</v>
      </c>
      <c r="AH599" s="593">
        <f t="shared" si="83"/>
        <v>1562</v>
      </c>
      <c r="AI599" s="593">
        <f t="shared" si="83"/>
        <v>0</v>
      </c>
      <c r="AJ599" s="594">
        <f t="shared" si="83"/>
        <v>0</v>
      </c>
      <c r="AK599"/>
      <c r="AQ599" s="712"/>
    </row>
    <row r="600" spans="11:43" ht="21">
      <c r="K600" s="712"/>
      <c r="L600" s="502"/>
      <c r="M600" s="502"/>
      <c r="O600" s="714" t="s">
        <v>466</v>
      </c>
      <c r="P600" s="715"/>
      <c r="Q600" s="715"/>
      <c r="R600" s="715"/>
      <c r="S600" s="715"/>
      <c r="T600" s="592">
        <f t="shared" si="77"/>
        <v>13082</v>
      </c>
      <c r="U600" s="593">
        <f t="shared" si="78"/>
        <v>14872</v>
      </c>
      <c r="V600" s="593">
        <f t="shared" si="79"/>
        <v>14873</v>
      </c>
      <c r="W600" s="593">
        <f t="shared" si="80"/>
        <v>13770</v>
      </c>
      <c r="X600" s="594">
        <f t="shared" si="81"/>
        <v>13770</v>
      </c>
      <c r="Y600" s="526"/>
      <c r="Z600" s="592">
        <f t="shared" si="82"/>
        <v>9088</v>
      </c>
      <c r="AA600" s="593">
        <f t="shared" si="82"/>
        <v>9777</v>
      </c>
      <c r="AB600" s="593">
        <f t="shared" si="82"/>
        <v>10879</v>
      </c>
      <c r="AC600" s="593">
        <f t="shared" si="82"/>
        <v>13770</v>
      </c>
      <c r="AD600" s="594">
        <f t="shared" si="82"/>
        <v>13770</v>
      </c>
      <c r="AE600" s="526"/>
      <c r="AF600" s="592">
        <f>SUMIF($O$543:$O$586,$O600,AF$543:AF$586)</f>
        <v>3994</v>
      </c>
      <c r="AG600" s="593">
        <f t="shared" si="83"/>
        <v>5095</v>
      </c>
      <c r="AH600" s="593">
        <f t="shared" si="83"/>
        <v>3994</v>
      </c>
      <c r="AI600" s="593">
        <f t="shared" si="83"/>
        <v>0</v>
      </c>
      <c r="AJ600" s="594">
        <f t="shared" si="83"/>
        <v>0</v>
      </c>
      <c r="AK600"/>
      <c r="AQ600" s="712"/>
    </row>
    <row r="601" spans="11:43" ht="21">
      <c r="K601" s="712"/>
      <c r="L601" s="502"/>
      <c r="M601" s="502"/>
      <c r="O601" s="714" t="s">
        <v>467</v>
      </c>
      <c r="P601" s="715"/>
      <c r="Q601" s="715"/>
      <c r="R601" s="715"/>
      <c r="S601" s="715"/>
      <c r="T601" s="592">
        <f t="shared" si="77"/>
        <v>3060</v>
      </c>
      <c r="U601" s="593">
        <f t="shared" si="78"/>
        <v>3795</v>
      </c>
      <c r="V601" s="593">
        <f t="shared" si="79"/>
        <v>3794</v>
      </c>
      <c r="W601" s="593">
        <f t="shared" si="80"/>
        <v>3672</v>
      </c>
      <c r="X601" s="594">
        <f t="shared" si="81"/>
        <v>3672</v>
      </c>
      <c r="Y601" s="526"/>
      <c r="Z601" s="592">
        <f t="shared" si="82"/>
        <v>2081</v>
      </c>
      <c r="AA601" s="593">
        <f t="shared" si="82"/>
        <v>2693</v>
      </c>
      <c r="AB601" s="593">
        <f t="shared" si="82"/>
        <v>2815</v>
      </c>
      <c r="AC601" s="593">
        <f t="shared" si="82"/>
        <v>3672</v>
      </c>
      <c r="AD601" s="594">
        <f t="shared" si="82"/>
        <v>3672</v>
      </c>
      <c r="AE601" s="526"/>
      <c r="AF601" s="592">
        <f t="shared" si="83"/>
        <v>979</v>
      </c>
      <c r="AG601" s="593">
        <f t="shared" si="83"/>
        <v>1102</v>
      </c>
      <c r="AH601" s="593">
        <f t="shared" si="83"/>
        <v>979</v>
      </c>
      <c r="AI601" s="593">
        <f t="shared" si="83"/>
        <v>0</v>
      </c>
      <c r="AJ601" s="594">
        <f t="shared" si="83"/>
        <v>0</v>
      </c>
      <c r="AK601"/>
      <c r="AQ601" s="712"/>
    </row>
    <row r="602" spans="11:43" ht="21">
      <c r="K602" s="712"/>
      <c r="L602" s="502"/>
      <c r="M602" s="502"/>
      <c r="O602" s="714" t="s">
        <v>313</v>
      </c>
      <c r="P602" s="715"/>
      <c r="Q602" s="715"/>
      <c r="R602" s="715"/>
      <c r="S602" s="715"/>
      <c r="T602" s="592">
        <f t="shared" si="77"/>
        <v>4131</v>
      </c>
      <c r="U602" s="593">
        <f t="shared" si="78"/>
        <v>4544</v>
      </c>
      <c r="V602" s="593">
        <f t="shared" si="79"/>
        <v>4544</v>
      </c>
      <c r="W602" s="593">
        <f t="shared" si="80"/>
        <v>4131</v>
      </c>
      <c r="X602" s="594">
        <f t="shared" si="81"/>
        <v>4131</v>
      </c>
      <c r="Y602" s="526"/>
      <c r="Z602" s="592">
        <f t="shared" si="82"/>
        <v>2892</v>
      </c>
      <c r="AA602" s="593">
        <f t="shared" si="82"/>
        <v>2892</v>
      </c>
      <c r="AB602" s="593">
        <f t="shared" si="82"/>
        <v>3305</v>
      </c>
      <c r="AC602" s="593">
        <f t="shared" si="82"/>
        <v>4131</v>
      </c>
      <c r="AD602" s="594">
        <f t="shared" si="82"/>
        <v>4131</v>
      </c>
      <c r="AE602" s="526"/>
      <c r="AF602" s="592">
        <f t="shared" si="83"/>
        <v>1239</v>
      </c>
      <c r="AG602" s="593">
        <f t="shared" si="83"/>
        <v>1652</v>
      </c>
      <c r="AH602" s="593">
        <f t="shared" si="83"/>
        <v>1239</v>
      </c>
      <c r="AI602" s="593">
        <f t="shared" si="83"/>
        <v>0</v>
      </c>
      <c r="AJ602" s="594">
        <f t="shared" si="83"/>
        <v>0</v>
      </c>
      <c r="AK602"/>
      <c r="AQ602" s="712"/>
    </row>
    <row r="603" spans="11:43" ht="21">
      <c r="K603" s="712"/>
      <c r="L603" s="502"/>
      <c r="M603" s="502"/>
      <c r="O603" s="714" t="s">
        <v>468</v>
      </c>
      <c r="P603" s="715"/>
      <c r="Q603" s="715"/>
      <c r="R603" s="715"/>
      <c r="S603" s="715"/>
      <c r="T603" s="592">
        <f t="shared" si="77"/>
        <v>2066</v>
      </c>
      <c r="U603" s="593">
        <f t="shared" si="78"/>
        <v>2272</v>
      </c>
      <c r="V603" s="593">
        <f t="shared" si="79"/>
        <v>2272</v>
      </c>
      <c r="W603" s="593">
        <f t="shared" si="80"/>
        <v>2066</v>
      </c>
      <c r="X603" s="594">
        <f t="shared" si="81"/>
        <v>2066</v>
      </c>
      <c r="Y603" s="526"/>
      <c r="Z603" s="592">
        <f t="shared" si="82"/>
        <v>1446</v>
      </c>
      <c r="AA603" s="593">
        <f t="shared" si="82"/>
        <v>1446</v>
      </c>
      <c r="AB603" s="593">
        <f t="shared" si="82"/>
        <v>1652</v>
      </c>
      <c r="AC603" s="593">
        <f t="shared" si="82"/>
        <v>2066</v>
      </c>
      <c r="AD603" s="594">
        <f t="shared" si="82"/>
        <v>2066</v>
      </c>
      <c r="AE603" s="526"/>
      <c r="AF603" s="592">
        <f t="shared" si="83"/>
        <v>620</v>
      </c>
      <c r="AG603" s="593">
        <f t="shared" si="83"/>
        <v>826</v>
      </c>
      <c r="AH603" s="593">
        <f t="shared" si="83"/>
        <v>620</v>
      </c>
      <c r="AI603" s="593">
        <f t="shared" si="83"/>
        <v>0</v>
      </c>
      <c r="AJ603" s="594">
        <f t="shared" si="83"/>
        <v>0</v>
      </c>
      <c r="AK603"/>
      <c r="AQ603" s="712"/>
    </row>
    <row r="604" spans="11:43" ht="21">
      <c r="K604" s="712"/>
      <c r="L604" s="502"/>
      <c r="M604" s="502"/>
      <c r="O604" s="714" t="s">
        <v>469</v>
      </c>
      <c r="P604" s="715"/>
      <c r="Q604" s="715"/>
      <c r="R604" s="715"/>
      <c r="S604" s="715"/>
      <c r="T604" s="592">
        <f t="shared" si="77"/>
        <v>20196</v>
      </c>
      <c r="U604" s="593">
        <f t="shared" si="78"/>
        <v>23501</v>
      </c>
      <c r="V604" s="593">
        <f t="shared" si="79"/>
        <v>23500</v>
      </c>
      <c r="W604" s="593">
        <f t="shared" si="80"/>
        <v>22032</v>
      </c>
      <c r="X604" s="594">
        <f t="shared" si="81"/>
        <v>22032</v>
      </c>
      <c r="Y604" s="526"/>
      <c r="Z604" s="592">
        <f t="shared" si="82"/>
        <v>13954</v>
      </c>
      <c r="AA604" s="593">
        <f t="shared" si="82"/>
        <v>15790</v>
      </c>
      <c r="AB604" s="593">
        <f t="shared" si="82"/>
        <v>17258</v>
      </c>
      <c r="AC604" s="593">
        <f t="shared" si="82"/>
        <v>22032</v>
      </c>
      <c r="AD604" s="594">
        <f t="shared" si="82"/>
        <v>22032</v>
      </c>
      <c r="AE604" s="526"/>
      <c r="AF604" s="592">
        <f t="shared" si="83"/>
        <v>6242</v>
      </c>
      <c r="AG604" s="593">
        <f t="shared" si="83"/>
        <v>7711</v>
      </c>
      <c r="AH604" s="593">
        <f t="shared" si="83"/>
        <v>6242</v>
      </c>
      <c r="AI604" s="593">
        <f t="shared" si="83"/>
        <v>0</v>
      </c>
      <c r="AJ604" s="594">
        <f t="shared" si="83"/>
        <v>0</v>
      </c>
      <c r="AK604"/>
      <c r="AQ604" s="712"/>
    </row>
    <row r="605" spans="11:43" ht="21">
      <c r="K605" s="712"/>
      <c r="L605" s="502"/>
      <c r="M605" s="502"/>
      <c r="O605" s="714" t="s">
        <v>470</v>
      </c>
      <c r="P605" s="715"/>
      <c r="Q605" s="715"/>
      <c r="R605" s="715"/>
      <c r="S605" s="715"/>
      <c r="T605" s="592">
        <f t="shared" si="77"/>
        <v>5968</v>
      </c>
      <c r="U605" s="593">
        <f t="shared" si="78"/>
        <v>6887</v>
      </c>
      <c r="V605" s="593">
        <f t="shared" si="79"/>
        <v>6887</v>
      </c>
      <c r="W605" s="593">
        <f t="shared" si="80"/>
        <v>6426</v>
      </c>
      <c r="X605" s="594">
        <f t="shared" si="81"/>
        <v>6426</v>
      </c>
      <c r="Y605" s="526"/>
      <c r="Z605" s="592">
        <f t="shared" si="82"/>
        <v>4131</v>
      </c>
      <c r="AA605" s="593">
        <f t="shared" si="82"/>
        <v>4591</v>
      </c>
      <c r="AB605" s="593">
        <f t="shared" si="82"/>
        <v>5050</v>
      </c>
      <c r="AC605" s="593">
        <f t="shared" si="82"/>
        <v>6426</v>
      </c>
      <c r="AD605" s="594">
        <f t="shared" si="82"/>
        <v>6426</v>
      </c>
      <c r="AE605" s="526"/>
      <c r="AF605" s="592">
        <f t="shared" si="83"/>
        <v>1837</v>
      </c>
      <c r="AG605" s="593">
        <f t="shared" si="83"/>
        <v>2296</v>
      </c>
      <c r="AH605" s="593">
        <f t="shared" si="83"/>
        <v>1837</v>
      </c>
      <c r="AI605" s="593">
        <f t="shared" si="83"/>
        <v>0</v>
      </c>
      <c r="AJ605" s="594">
        <f t="shared" si="83"/>
        <v>0</v>
      </c>
      <c r="AK605"/>
      <c r="AQ605" s="712"/>
    </row>
    <row r="606" spans="11:43" ht="21">
      <c r="K606" s="712"/>
      <c r="L606" s="502"/>
      <c r="M606" s="502"/>
      <c r="O606" s="714" t="s">
        <v>471</v>
      </c>
      <c r="P606" s="715"/>
      <c r="Q606" s="715"/>
      <c r="R606" s="715"/>
      <c r="S606" s="715"/>
      <c r="T606" s="592">
        <f t="shared" si="77"/>
        <v>918</v>
      </c>
      <c r="U606" s="593">
        <f t="shared" si="78"/>
        <v>1010</v>
      </c>
      <c r="V606" s="593">
        <f t="shared" si="79"/>
        <v>1009</v>
      </c>
      <c r="W606" s="593">
        <f t="shared" si="80"/>
        <v>918</v>
      </c>
      <c r="X606" s="594">
        <f t="shared" si="81"/>
        <v>918</v>
      </c>
      <c r="Y606" s="526"/>
      <c r="Z606" s="592">
        <f t="shared" si="82"/>
        <v>643</v>
      </c>
      <c r="AA606" s="593">
        <f t="shared" si="82"/>
        <v>643</v>
      </c>
      <c r="AB606" s="593">
        <f t="shared" si="82"/>
        <v>734</v>
      </c>
      <c r="AC606" s="593">
        <f t="shared" si="82"/>
        <v>918</v>
      </c>
      <c r="AD606" s="594">
        <f t="shared" si="82"/>
        <v>918</v>
      </c>
      <c r="AE606" s="526"/>
      <c r="AF606" s="592">
        <f t="shared" si="83"/>
        <v>275</v>
      </c>
      <c r="AG606" s="593">
        <f t="shared" si="83"/>
        <v>367</v>
      </c>
      <c r="AH606" s="593">
        <f t="shared" si="83"/>
        <v>275</v>
      </c>
      <c r="AI606" s="593">
        <f t="shared" si="83"/>
        <v>0</v>
      </c>
      <c r="AJ606" s="594">
        <f t="shared" si="83"/>
        <v>0</v>
      </c>
      <c r="AK606"/>
      <c r="AQ606" s="712"/>
    </row>
    <row r="607" spans="11:43" ht="21">
      <c r="K607" s="712"/>
      <c r="L607" s="502"/>
      <c r="M607" s="502"/>
      <c r="O607" s="714" t="s">
        <v>472</v>
      </c>
      <c r="P607" s="715"/>
      <c r="Q607" s="715"/>
      <c r="R607" s="715"/>
      <c r="S607" s="715"/>
      <c r="T607" s="592">
        <f t="shared" si="77"/>
        <v>918</v>
      </c>
      <c r="U607" s="593">
        <f t="shared" si="78"/>
        <v>1010</v>
      </c>
      <c r="V607" s="593">
        <f t="shared" si="79"/>
        <v>1009</v>
      </c>
      <c r="W607" s="593">
        <f t="shared" si="80"/>
        <v>918</v>
      </c>
      <c r="X607" s="594">
        <f t="shared" si="81"/>
        <v>918</v>
      </c>
      <c r="Y607" s="526"/>
      <c r="Z607" s="592">
        <f t="shared" si="82"/>
        <v>643</v>
      </c>
      <c r="AA607" s="593">
        <f t="shared" si="82"/>
        <v>643</v>
      </c>
      <c r="AB607" s="593">
        <f t="shared" si="82"/>
        <v>734</v>
      </c>
      <c r="AC607" s="593">
        <f t="shared" si="82"/>
        <v>918</v>
      </c>
      <c r="AD607" s="594">
        <f t="shared" si="82"/>
        <v>918</v>
      </c>
      <c r="AE607" s="526"/>
      <c r="AF607" s="592">
        <f t="shared" si="83"/>
        <v>275</v>
      </c>
      <c r="AG607" s="593">
        <f t="shared" si="83"/>
        <v>367</v>
      </c>
      <c r="AH607" s="593">
        <f t="shared" si="83"/>
        <v>275</v>
      </c>
      <c r="AI607" s="593">
        <f t="shared" si="83"/>
        <v>0</v>
      </c>
      <c r="AJ607" s="594">
        <f t="shared" si="83"/>
        <v>0</v>
      </c>
      <c r="AK607"/>
      <c r="AQ607" s="712"/>
    </row>
    <row r="608" spans="11:43" ht="21">
      <c r="K608" s="712"/>
      <c r="L608" s="502"/>
      <c r="M608" s="502"/>
      <c r="O608" s="714" t="s">
        <v>314</v>
      </c>
      <c r="P608" s="715"/>
      <c r="Q608" s="715"/>
      <c r="R608" s="715"/>
      <c r="S608" s="715"/>
      <c r="T608" s="592">
        <f t="shared" si="77"/>
        <v>4590</v>
      </c>
      <c r="U608" s="593">
        <f t="shared" si="78"/>
        <v>5049</v>
      </c>
      <c r="V608" s="593">
        <f t="shared" si="79"/>
        <v>5049</v>
      </c>
      <c r="W608" s="593">
        <f t="shared" si="80"/>
        <v>4590</v>
      </c>
      <c r="X608" s="594">
        <f t="shared" si="81"/>
        <v>4590</v>
      </c>
      <c r="Y608" s="526"/>
      <c r="Z608" s="592">
        <f t="shared" si="82"/>
        <v>3213</v>
      </c>
      <c r="AA608" s="593">
        <f t="shared" si="82"/>
        <v>3213</v>
      </c>
      <c r="AB608" s="593">
        <f t="shared" si="82"/>
        <v>3672</v>
      </c>
      <c r="AC608" s="593">
        <f t="shared" si="82"/>
        <v>4590</v>
      </c>
      <c r="AD608" s="594">
        <f t="shared" si="82"/>
        <v>4590</v>
      </c>
      <c r="AE608" s="526"/>
      <c r="AF608" s="592">
        <f t="shared" si="83"/>
        <v>1377</v>
      </c>
      <c r="AG608" s="593">
        <f t="shared" si="83"/>
        <v>1836</v>
      </c>
      <c r="AH608" s="593">
        <f t="shared" si="83"/>
        <v>1377</v>
      </c>
      <c r="AI608" s="593">
        <f t="shared" si="83"/>
        <v>0</v>
      </c>
      <c r="AJ608" s="594">
        <f t="shared" si="83"/>
        <v>0</v>
      </c>
      <c r="AK608"/>
      <c r="AQ608" s="712"/>
    </row>
    <row r="609" spans="1:43" ht="22" thickBot="1">
      <c r="K609" s="712"/>
      <c r="L609" s="502"/>
      <c r="M609" s="502"/>
      <c r="O609" s="595"/>
      <c r="P609" s="596"/>
      <c r="Q609" s="596"/>
      <c r="R609" s="596"/>
      <c r="S609" s="596"/>
      <c r="T609" s="597">
        <f t="shared" si="77"/>
        <v>0</v>
      </c>
      <c r="U609" s="598">
        <f t="shared" si="78"/>
        <v>0</v>
      </c>
      <c r="V609" s="598">
        <f t="shared" si="79"/>
        <v>0</v>
      </c>
      <c r="W609" s="598">
        <f t="shared" si="80"/>
        <v>0</v>
      </c>
      <c r="X609" s="599">
        <f t="shared" si="81"/>
        <v>0</v>
      </c>
      <c r="Y609" s="526"/>
      <c r="Z609" s="597">
        <f t="shared" si="82"/>
        <v>0</v>
      </c>
      <c r="AA609" s="598">
        <f t="shared" si="82"/>
        <v>0</v>
      </c>
      <c r="AB609" s="598">
        <f t="shared" si="82"/>
        <v>0</v>
      </c>
      <c r="AC609" s="598">
        <f t="shared" si="82"/>
        <v>0</v>
      </c>
      <c r="AD609" s="599">
        <f t="shared" si="82"/>
        <v>0</v>
      </c>
      <c r="AE609" s="526"/>
      <c r="AF609" s="597">
        <f t="shared" si="83"/>
        <v>0</v>
      </c>
      <c r="AG609" s="598">
        <f t="shared" si="83"/>
        <v>0</v>
      </c>
      <c r="AH609" s="598">
        <f t="shared" si="83"/>
        <v>0</v>
      </c>
      <c r="AI609" s="598">
        <f t="shared" si="83"/>
        <v>0</v>
      </c>
      <c r="AJ609" s="599">
        <f t="shared" si="83"/>
        <v>0</v>
      </c>
      <c r="AK609"/>
      <c r="AQ609" s="712"/>
    </row>
    <row r="610" spans="1:43" ht="21">
      <c r="K610" s="712"/>
      <c r="L610" s="502"/>
      <c r="M610" s="502"/>
      <c r="O610" s="526"/>
      <c r="P610" s="526"/>
      <c r="Q610" s="526"/>
      <c r="R610" s="526"/>
      <c r="S610" s="526"/>
      <c r="T610" s="526"/>
      <c r="U610" s="526"/>
      <c r="V610" s="526"/>
      <c r="W610" s="526"/>
      <c r="X610" s="526"/>
      <c r="Y610" s="526"/>
      <c r="Z610" s="526"/>
      <c r="AA610" s="526"/>
      <c r="AB610" s="526"/>
      <c r="AC610" s="526"/>
      <c r="AD610" s="684"/>
      <c r="AE610" s="526"/>
      <c r="AF610" s="526"/>
      <c r="AG610" s="526"/>
      <c r="AH610" s="526"/>
      <c r="AI610" s="526"/>
      <c r="AJ610" s="526"/>
      <c r="AK610"/>
      <c r="AQ610" s="712"/>
    </row>
    <row r="611" spans="1:43" ht="22" thickBot="1">
      <c r="K611" s="712"/>
      <c r="L611" s="502"/>
      <c r="M611" s="502"/>
      <c r="O611" s="526"/>
      <c r="P611" s="526"/>
      <c r="Q611" s="526"/>
      <c r="R611" s="526"/>
      <c r="S611"/>
      <c r="T611"/>
      <c r="U611"/>
      <c r="V611"/>
      <c r="W611"/>
      <c r="X611"/>
      <c r="Y611" s="526" t="s">
        <v>332</v>
      </c>
      <c r="Z611" s="526"/>
      <c r="AA611" s="526"/>
      <c r="AB611" s="526"/>
      <c r="AC611" s="526"/>
      <c r="AD611" s="526"/>
      <c r="AE611" s="526" t="s">
        <v>483</v>
      </c>
      <c r="AF611" s="526"/>
      <c r="AG611" s="526"/>
      <c r="AH611" s="526"/>
      <c r="AI611" s="526"/>
      <c r="AJ611" s="526"/>
      <c r="AK611"/>
      <c r="AQ611" s="712"/>
    </row>
    <row r="612" spans="1:43" ht="22" thickBot="1">
      <c r="K612" s="712"/>
      <c r="L612" s="502"/>
      <c r="M612" s="502"/>
      <c r="O612" s="526"/>
      <c r="P612" s="526"/>
      <c r="Q612" s="526"/>
      <c r="R612" s="526"/>
      <c r="S612"/>
      <c r="T612"/>
      <c r="U612"/>
      <c r="V612"/>
      <c r="W612"/>
      <c r="X612"/>
      <c r="Y612" s="526"/>
      <c r="Z612" s="584">
        <v>2021</v>
      </c>
      <c r="AA612" s="585">
        <v>2022</v>
      </c>
      <c r="AB612" s="585">
        <v>2023</v>
      </c>
      <c r="AC612" s="585">
        <v>2024</v>
      </c>
      <c r="AD612" s="586">
        <v>2025</v>
      </c>
      <c r="AE612" s="526"/>
      <c r="AF612" s="584">
        <v>2021</v>
      </c>
      <c r="AG612" s="585">
        <v>2022</v>
      </c>
      <c r="AH612" s="585">
        <v>2023</v>
      </c>
      <c r="AI612" s="585">
        <v>2024</v>
      </c>
      <c r="AJ612" s="586">
        <v>2025</v>
      </c>
      <c r="AK612"/>
      <c r="AQ612" s="712"/>
    </row>
    <row r="613" spans="1:43" ht="21">
      <c r="K613" s="712"/>
      <c r="L613" s="502"/>
      <c r="M613" s="502"/>
      <c r="O613" s="716" t="s">
        <v>463</v>
      </c>
      <c r="P613" s="528"/>
      <c r="Q613" s="528"/>
      <c r="R613" s="528"/>
      <c r="S613" s="528"/>
      <c r="T613" s="528"/>
      <c r="U613" s="528"/>
      <c r="V613" s="528"/>
      <c r="W613" s="528"/>
      <c r="X613" s="528"/>
      <c r="Y613" s="685">
        <f>IFERROR(VLOOKUP($O613,Preturi_medicamente!$D:$M,3,0),0)</f>
        <v>11.59</v>
      </c>
      <c r="Z613" s="600">
        <f t="shared" ref="Z613:AD627" si="84">ROUND(Z595*$Y613,2)</f>
        <v>1657.37</v>
      </c>
      <c r="AA613" s="601">
        <f t="shared" si="84"/>
        <v>1657.37</v>
      </c>
      <c r="AB613" s="601">
        <f t="shared" si="84"/>
        <v>1889.17</v>
      </c>
      <c r="AC613" s="601">
        <f t="shared" si="84"/>
        <v>2364.36</v>
      </c>
      <c r="AD613" s="602">
        <f t="shared" si="84"/>
        <v>2364.36</v>
      </c>
      <c r="AE613" s="686">
        <f>IFERROR(VLOOKUP($O613,Preturi_medicamente!$D:$M,10,0),0)</f>
        <v>0.68300000000000005</v>
      </c>
      <c r="AF613" s="600">
        <f t="shared" ref="AF613:AJ627" si="85">ROUND(AF595*$AE613,2)</f>
        <v>41.66</v>
      </c>
      <c r="AG613" s="601">
        <f t="shared" si="85"/>
        <v>56.01</v>
      </c>
      <c r="AH613" s="601">
        <f t="shared" si="85"/>
        <v>41.66</v>
      </c>
      <c r="AI613" s="601">
        <f t="shared" si="85"/>
        <v>0</v>
      </c>
      <c r="AJ613" s="602">
        <f t="shared" si="85"/>
        <v>0</v>
      </c>
      <c r="AK613"/>
      <c r="AQ613" s="712"/>
    </row>
    <row r="614" spans="1:43" ht="21">
      <c r="K614" s="712"/>
      <c r="L614" s="502"/>
      <c r="M614" s="502"/>
      <c r="O614" s="714" t="s">
        <v>1808</v>
      </c>
      <c r="P614" s="715"/>
      <c r="Q614" s="715"/>
      <c r="R614" s="715"/>
      <c r="S614" s="715"/>
      <c r="T614" s="715"/>
      <c r="U614" s="715"/>
      <c r="V614" s="715"/>
      <c r="W614" s="715"/>
      <c r="X614" s="715"/>
      <c r="Y614" s="685">
        <f>IFERROR(VLOOKUP($O614,Preturi_medicamente!$D:$M,3,0),0)</f>
        <v>85.29</v>
      </c>
      <c r="Z614" s="603">
        <f t="shared" si="84"/>
        <v>30448.53</v>
      </c>
      <c r="AA614" s="604">
        <f t="shared" si="84"/>
        <v>30448.53</v>
      </c>
      <c r="AB614" s="604">
        <f t="shared" si="84"/>
        <v>34798.32</v>
      </c>
      <c r="AC614" s="604">
        <f t="shared" si="84"/>
        <v>43497.9</v>
      </c>
      <c r="AD614" s="605">
        <f t="shared" si="84"/>
        <v>43497.9</v>
      </c>
      <c r="AE614" s="686">
        <f>IFERROR(VLOOKUP($O614,Preturi_medicamente!$D:$M,10,0),0)</f>
        <v>3.05</v>
      </c>
      <c r="AF614" s="603">
        <f t="shared" si="85"/>
        <v>466.65</v>
      </c>
      <c r="AG614" s="604">
        <f t="shared" si="85"/>
        <v>622.20000000000005</v>
      </c>
      <c r="AH614" s="604">
        <f t="shared" si="85"/>
        <v>466.65</v>
      </c>
      <c r="AI614" s="604">
        <f t="shared" si="85"/>
        <v>0</v>
      </c>
      <c r="AJ614" s="605">
        <f t="shared" si="85"/>
        <v>0</v>
      </c>
      <c r="AK614"/>
      <c r="AQ614" s="712"/>
    </row>
    <row r="615" spans="1:43" ht="34">
      <c r="K615" s="712"/>
      <c r="L615" s="502"/>
      <c r="M615" s="502"/>
      <c r="O615" s="714" t="s">
        <v>1809</v>
      </c>
      <c r="P615" s="715"/>
      <c r="Q615" s="715"/>
      <c r="R615" s="715"/>
      <c r="S615" s="715"/>
      <c r="T615" s="715"/>
      <c r="U615" s="715"/>
      <c r="V615" s="715"/>
      <c r="W615" s="715"/>
      <c r="X615" s="715"/>
      <c r="Y615" s="685">
        <f>IFERROR(VLOOKUP($O615,Preturi_medicamente!$D:$M,3,0),0)</f>
        <v>3.03</v>
      </c>
      <c r="Z615" s="603">
        <f t="shared" si="84"/>
        <v>542.37</v>
      </c>
      <c r="AA615" s="604">
        <f t="shared" si="84"/>
        <v>542.37</v>
      </c>
      <c r="AB615" s="604">
        <f t="shared" si="84"/>
        <v>618.12</v>
      </c>
      <c r="AC615" s="604">
        <f t="shared" si="84"/>
        <v>772.65</v>
      </c>
      <c r="AD615" s="605">
        <f t="shared" si="84"/>
        <v>772.65</v>
      </c>
      <c r="AE615" s="686">
        <f>IFERROR(VLOOKUP($O615,Preturi_medicamente!$D:$M,10,0),0)</f>
        <v>0.12</v>
      </c>
      <c r="AF615" s="603">
        <f t="shared" si="85"/>
        <v>9.24</v>
      </c>
      <c r="AG615" s="604">
        <f t="shared" si="85"/>
        <v>12.24</v>
      </c>
      <c r="AH615" s="604">
        <f t="shared" si="85"/>
        <v>9.24</v>
      </c>
      <c r="AI615" s="604">
        <f t="shared" si="85"/>
        <v>0</v>
      </c>
      <c r="AJ615" s="605">
        <f t="shared" si="85"/>
        <v>0</v>
      </c>
      <c r="AK615"/>
      <c r="AQ615" s="712"/>
    </row>
    <row r="616" spans="1:43" ht="21">
      <c r="K616" s="712"/>
      <c r="L616" s="502"/>
      <c r="M616" s="502"/>
      <c r="O616" s="714" t="s">
        <v>464</v>
      </c>
      <c r="P616" s="715"/>
      <c r="Q616" s="715"/>
      <c r="R616" s="715"/>
      <c r="S616" s="715"/>
      <c r="T616" s="715"/>
      <c r="U616" s="715"/>
      <c r="V616" s="715"/>
      <c r="W616" s="715"/>
      <c r="X616" s="715"/>
      <c r="Y616" s="685">
        <f>IFERROR(VLOOKUP($O616,Preturi_medicamente!$D:$M,3,0),0)</f>
        <v>37.42</v>
      </c>
      <c r="Z616" s="603">
        <f t="shared" si="84"/>
        <v>69638.62</v>
      </c>
      <c r="AA616" s="604">
        <f t="shared" si="84"/>
        <v>87675.06</v>
      </c>
      <c r="AB616" s="604">
        <f t="shared" si="84"/>
        <v>92464.82</v>
      </c>
      <c r="AC616" s="604">
        <f t="shared" si="84"/>
        <v>120118.2</v>
      </c>
      <c r="AD616" s="605">
        <f t="shared" si="84"/>
        <v>120118.2</v>
      </c>
      <c r="AE616" s="686">
        <f>IFERROR(VLOOKUP($O616,Preturi_medicamente!$D:$M,10,0),0)</f>
        <v>2.13</v>
      </c>
      <c r="AF616" s="603">
        <f t="shared" si="85"/>
        <v>1844.58</v>
      </c>
      <c r="AG616" s="604">
        <f t="shared" si="85"/>
        <v>2115.09</v>
      </c>
      <c r="AH616" s="604">
        <f t="shared" si="85"/>
        <v>1844.58</v>
      </c>
      <c r="AI616" s="604">
        <f t="shared" si="85"/>
        <v>0</v>
      </c>
      <c r="AJ616" s="605">
        <f t="shared" si="85"/>
        <v>0</v>
      </c>
      <c r="AK616"/>
      <c r="AQ616" s="712"/>
    </row>
    <row r="617" spans="1:43" ht="21">
      <c r="K617" s="712"/>
      <c r="L617" s="502"/>
      <c r="M617" s="502"/>
      <c r="O617" s="714" t="s">
        <v>465</v>
      </c>
      <c r="P617" s="715"/>
      <c r="Q617" s="715"/>
      <c r="R617" s="715"/>
      <c r="S617" s="715"/>
      <c r="T617" s="715"/>
      <c r="U617" s="715"/>
      <c r="V617" s="715"/>
      <c r="W617" s="715"/>
      <c r="X617" s="715"/>
      <c r="Y617" s="685">
        <f>IFERROR(VLOOKUP($O617,Preturi_medicamente!$D:$M,3,0),0)</f>
        <v>25.81</v>
      </c>
      <c r="Z617" s="603">
        <f t="shared" si="84"/>
        <v>90025.279999999999</v>
      </c>
      <c r="AA617" s="604">
        <f t="shared" si="84"/>
        <v>101897.88</v>
      </c>
      <c r="AB617" s="604">
        <f t="shared" si="84"/>
        <v>111395.96</v>
      </c>
      <c r="AC617" s="604">
        <f t="shared" si="84"/>
        <v>142161.48000000001</v>
      </c>
      <c r="AD617" s="605">
        <f t="shared" si="84"/>
        <v>142161.48000000001</v>
      </c>
      <c r="AE617" s="686">
        <f>IFERROR(VLOOKUP($O617,Preturi_medicamente!$D:$M,10,0),0)</f>
        <v>0.5</v>
      </c>
      <c r="AF617" s="603">
        <f t="shared" si="85"/>
        <v>781</v>
      </c>
      <c r="AG617" s="604">
        <f t="shared" si="85"/>
        <v>964.5</v>
      </c>
      <c r="AH617" s="604">
        <f t="shared" si="85"/>
        <v>781</v>
      </c>
      <c r="AI617" s="604">
        <f t="shared" si="85"/>
        <v>0</v>
      </c>
      <c r="AJ617" s="605">
        <f t="shared" si="85"/>
        <v>0</v>
      </c>
      <c r="AK617"/>
      <c r="AQ617" s="712"/>
    </row>
    <row r="618" spans="1:43" ht="21">
      <c r="K618" s="712"/>
      <c r="L618" s="502"/>
      <c r="M618" s="502"/>
      <c r="O618" s="714" t="s">
        <v>466</v>
      </c>
      <c r="P618" s="715"/>
      <c r="Q618" s="715"/>
      <c r="R618" s="715"/>
      <c r="S618" s="715"/>
      <c r="T618" s="715"/>
      <c r="U618" s="715"/>
      <c r="V618" s="715"/>
      <c r="W618" s="715"/>
      <c r="X618" s="715"/>
      <c r="Y618" s="685">
        <f>IFERROR(VLOOKUP($O618,Preturi_medicamente!$D:$M,3,0),0)</f>
        <v>5.55</v>
      </c>
      <c r="Z618" s="603">
        <f t="shared" si="84"/>
        <v>50438.400000000001</v>
      </c>
      <c r="AA618" s="604">
        <f t="shared" si="84"/>
        <v>54262.35</v>
      </c>
      <c r="AB618" s="604">
        <f t="shared" si="84"/>
        <v>60378.45</v>
      </c>
      <c r="AC618" s="604">
        <f t="shared" si="84"/>
        <v>76423.5</v>
      </c>
      <c r="AD618" s="605">
        <f t="shared" si="84"/>
        <v>76423.5</v>
      </c>
      <c r="AE618" s="686">
        <f>IFERROR(VLOOKUP($O618,Preturi_medicamente!$D:$M,10,0),0)</f>
        <v>0.25</v>
      </c>
      <c r="AF618" s="603">
        <f>ROUND(AF600*$AE618,2)</f>
        <v>998.5</v>
      </c>
      <c r="AG618" s="604">
        <f t="shared" si="85"/>
        <v>1273.75</v>
      </c>
      <c r="AH618" s="604">
        <f t="shared" si="85"/>
        <v>998.5</v>
      </c>
      <c r="AI618" s="604">
        <f t="shared" si="85"/>
        <v>0</v>
      </c>
      <c r="AJ618" s="605">
        <f t="shared" si="85"/>
        <v>0</v>
      </c>
      <c r="AK618"/>
      <c r="AQ618" s="712"/>
    </row>
    <row r="619" spans="1:43" ht="21">
      <c r="K619" s="712"/>
      <c r="L619" s="502"/>
      <c r="M619" s="502"/>
      <c r="O619" s="714" t="s">
        <v>467</v>
      </c>
      <c r="P619" s="715"/>
      <c r="Q619" s="715"/>
      <c r="R619" s="715"/>
      <c r="S619" s="715"/>
      <c r="T619" s="715"/>
      <c r="U619" s="715"/>
      <c r="V619" s="715"/>
      <c r="W619" s="715"/>
      <c r="X619" s="715"/>
      <c r="Y619" s="685">
        <f>IFERROR(VLOOKUP($O619,Preturi_medicamente!$D:$M,3,0),0)</f>
        <v>2.5299999999999998</v>
      </c>
      <c r="Z619" s="603">
        <f t="shared" si="84"/>
        <v>5264.93</v>
      </c>
      <c r="AA619" s="604">
        <f t="shared" si="84"/>
        <v>6813.29</v>
      </c>
      <c r="AB619" s="604">
        <f t="shared" si="84"/>
        <v>7121.95</v>
      </c>
      <c r="AC619" s="604">
        <f t="shared" si="84"/>
        <v>9290.16</v>
      </c>
      <c r="AD619" s="605">
        <f t="shared" si="84"/>
        <v>9290.16</v>
      </c>
      <c r="AE619" s="686">
        <f>IFERROR(VLOOKUP($O619,Preturi_medicamente!$D:$M,10,0),0)</f>
        <v>2.5299999999999998</v>
      </c>
      <c r="AF619" s="603">
        <f t="shared" si="85"/>
        <v>2476.87</v>
      </c>
      <c r="AG619" s="604">
        <f t="shared" si="85"/>
        <v>2788.06</v>
      </c>
      <c r="AH619" s="604">
        <f t="shared" si="85"/>
        <v>2476.87</v>
      </c>
      <c r="AI619" s="604">
        <f t="shared" si="85"/>
        <v>0</v>
      </c>
      <c r="AJ619" s="605">
        <f t="shared" si="85"/>
        <v>0</v>
      </c>
      <c r="AK619"/>
      <c r="AQ619" s="712"/>
    </row>
    <row r="620" spans="1:43" ht="21">
      <c r="A620"/>
      <c r="B620"/>
      <c r="C620"/>
      <c r="D620"/>
      <c r="E620"/>
      <c r="F620"/>
      <c r="G620"/>
      <c r="H620"/>
      <c r="I620"/>
      <c r="J620"/>
      <c r="K620" s="712"/>
      <c r="L620" s="502"/>
      <c r="M620" s="502"/>
      <c r="O620" s="714" t="s">
        <v>313</v>
      </c>
      <c r="P620" s="715"/>
      <c r="Q620" s="715"/>
      <c r="R620" s="715"/>
      <c r="S620" s="715"/>
      <c r="T620" s="715"/>
      <c r="U620" s="715"/>
      <c r="V620" s="715"/>
      <c r="W620" s="715"/>
      <c r="X620" s="715"/>
      <c r="Y620" s="685">
        <f>IFERROR(VLOOKUP($O620,Preturi_medicamente!$D:$M,3,0),0)</f>
        <v>1</v>
      </c>
      <c r="Z620" s="603">
        <f t="shared" si="84"/>
        <v>2892</v>
      </c>
      <c r="AA620" s="604">
        <f t="shared" si="84"/>
        <v>2892</v>
      </c>
      <c r="AB620" s="604">
        <f t="shared" si="84"/>
        <v>3305</v>
      </c>
      <c r="AC620" s="604">
        <f t="shared" si="84"/>
        <v>4131</v>
      </c>
      <c r="AD620" s="605">
        <f t="shared" si="84"/>
        <v>4131</v>
      </c>
      <c r="AE620" s="686">
        <f>IFERROR(VLOOKUP($O620,Preturi_medicamente!$D:$M,10,0),0)</f>
        <v>3.6999999999999998E-2</v>
      </c>
      <c r="AF620" s="603">
        <f t="shared" si="85"/>
        <v>45.84</v>
      </c>
      <c r="AG620" s="604">
        <f t="shared" si="85"/>
        <v>61.12</v>
      </c>
      <c r="AH620" s="604">
        <f t="shared" si="85"/>
        <v>45.84</v>
      </c>
      <c r="AI620" s="604">
        <f t="shared" si="85"/>
        <v>0</v>
      </c>
      <c r="AJ620" s="605">
        <f t="shared" si="85"/>
        <v>0</v>
      </c>
      <c r="AK620"/>
      <c r="AQ620" s="712"/>
    </row>
    <row r="621" spans="1:43" ht="21">
      <c r="A621"/>
      <c r="B621"/>
      <c r="C621"/>
      <c r="D621"/>
      <c r="E621"/>
      <c r="F621"/>
      <c r="G621"/>
      <c r="H621"/>
      <c r="I621"/>
      <c r="J621"/>
      <c r="K621" s="712"/>
      <c r="L621" s="502"/>
      <c r="M621" s="502"/>
      <c r="O621" s="714" t="s">
        <v>468</v>
      </c>
      <c r="P621" s="715"/>
      <c r="Q621" s="715"/>
      <c r="R621" s="715"/>
      <c r="S621" s="715"/>
      <c r="T621" s="715"/>
      <c r="U621" s="715"/>
      <c r="V621" s="715"/>
      <c r="W621" s="715"/>
      <c r="X621" s="715"/>
      <c r="Y621" s="685">
        <f>IFERROR(VLOOKUP($O621,Preturi_medicamente!$D:$M,3,0),0)</f>
        <v>1.81</v>
      </c>
      <c r="Z621" s="603">
        <f t="shared" si="84"/>
        <v>2617.2600000000002</v>
      </c>
      <c r="AA621" s="604">
        <f t="shared" si="84"/>
        <v>2617.2600000000002</v>
      </c>
      <c r="AB621" s="604">
        <f t="shared" si="84"/>
        <v>2990.12</v>
      </c>
      <c r="AC621" s="604">
        <f t="shared" si="84"/>
        <v>3739.46</v>
      </c>
      <c r="AD621" s="605">
        <f t="shared" si="84"/>
        <v>3739.46</v>
      </c>
      <c r="AE621" s="686">
        <f>IFERROR(VLOOKUP($O621,Preturi_medicamente!$D:$M,10,0),0)</f>
        <v>6.7000000000000004E-2</v>
      </c>
      <c r="AF621" s="603">
        <f t="shared" si="85"/>
        <v>41.54</v>
      </c>
      <c r="AG621" s="604">
        <f t="shared" si="85"/>
        <v>55.34</v>
      </c>
      <c r="AH621" s="604">
        <f t="shared" si="85"/>
        <v>41.54</v>
      </c>
      <c r="AI621" s="604">
        <f t="shared" si="85"/>
        <v>0</v>
      </c>
      <c r="AJ621" s="605">
        <f t="shared" si="85"/>
        <v>0</v>
      </c>
      <c r="AK621"/>
      <c r="AQ621" s="712"/>
    </row>
    <row r="622" spans="1:43" ht="21">
      <c r="A622"/>
      <c r="B622"/>
      <c r="C622"/>
      <c r="D622"/>
      <c r="E622"/>
      <c r="F622"/>
      <c r="G622"/>
      <c r="H622"/>
      <c r="I622"/>
      <c r="J622"/>
      <c r="K622" s="712"/>
      <c r="L622" s="502"/>
      <c r="M622" s="502"/>
      <c r="O622" s="714" t="s">
        <v>469</v>
      </c>
      <c r="P622" s="715"/>
      <c r="Q622" s="715"/>
      <c r="R622" s="715"/>
      <c r="S622" s="715"/>
      <c r="T622" s="715"/>
      <c r="U622" s="715"/>
      <c r="V622" s="715"/>
      <c r="W622" s="715"/>
      <c r="X622" s="715"/>
      <c r="Y622" s="685">
        <f>IFERROR(VLOOKUP($O622,Preturi_medicamente!$D:$M,3,0),0)</f>
        <v>0.71</v>
      </c>
      <c r="Z622" s="603">
        <f t="shared" si="84"/>
        <v>9907.34</v>
      </c>
      <c r="AA622" s="604">
        <f t="shared" si="84"/>
        <v>11210.9</v>
      </c>
      <c r="AB622" s="604">
        <f t="shared" si="84"/>
        <v>12253.18</v>
      </c>
      <c r="AC622" s="604">
        <f t="shared" si="84"/>
        <v>15642.72</v>
      </c>
      <c r="AD622" s="605">
        <f t="shared" si="84"/>
        <v>15642.72</v>
      </c>
      <c r="AE622" s="686">
        <f>IFERROR(VLOOKUP($O622,Preturi_medicamente!$D:$M,10,0),0)</f>
        <v>2.6499999999999999E-2</v>
      </c>
      <c r="AF622" s="603">
        <f t="shared" si="85"/>
        <v>165.41</v>
      </c>
      <c r="AG622" s="604">
        <f t="shared" si="85"/>
        <v>204.34</v>
      </c>
      <c r="AH622" s="604">
        <f t="shared" si="85"/>
        <v>165.41</v>
      </c>
      <c r="AI622" s="604">
        <f t="shared" si="85"/>
        <v>0</v>
      </c>
      <c r="AJ622" s="605">
        <f t="shared" si="85"/>
        <v>0</v>
      </c>
      <c r="AK622"/>
      <c r="AQ622" s="712"/>
    </row>
    <row r="623" spans="1:43" ht="21">
      <c r="A623"/>
      <c r="B623"/>
      <c r="C623"/>
      <c r="D623"/>
      <c r="E623"/>
      <c r="F623"/>
      <c r="G623"/>
      <c r="H623"/>
      <c r="I623"/>
      <c r="J623"/>
      <c r="K623" s="712"/>
      <c r="L623" s="502"/>
      <c r="M623" s="502"/>
      <c r="O623" s="714" t="s">
        <v>470</v>
      </c>
      <c r="P623" s="715"/>
      <c r="Q623" s="715"/>
      <c r="R623" s="715"/>
      <c r="S623" s="715"/>
      <c r="T623" s="715"/>
      <c r="U623" s="715"/>
      <c r="V623" s="715"/>
      <c r="W623" s="715"/>
      <c r="X623" s="715"/>
      <c r="Y623" s="685">
        <f>IFERROR(VLOOKUP($O623,Preturi_medicamente!$D:$M,3,0),0)</f>
        <v>1.38</v>
      </c>
      <c r="Z623" s="603">
        <f t="shared" si="84"/>
        <v>5700.78</v>
      </c>
      <c r="AA623" s="604">
        <f t="shared" si="84"/>
        <v>6335.58</v>
      </c>
      <c r="AB623" s="604">
        <f t="shared" si="84"/>
        <v>6969</v>
      </c>
      <c r="AC623" s="604">
        <f t="shared" si="84"/>
        <v>8867.8799999999992</v>
      </c>
      <c r="AD623" s="605">
        <f t="shared" si="84"/>
        <v>8867.8799999999992</v>
      </c>
      <c r="AE623" s="686">
        <f>IFERROR(VLOOKUP($O623,Preturi_medicamente!$D:$M,10,0),0)</f>
        <v>0.75</v>
      </c>
      <c r="AF623" s="603">
        <f t="shared" si="85"/>
        <v>1377.75</v>
      </c>
      <c r="AG623" s="604">
        <f t="shared" si="85"/>
        <v>1722</v>
      </c>
      <c r="AH623" s="604">
        <f t="shared" si="85"/>
        <v>1377.75</v>
      </c>
      <c r="AI623" s="604">
        <f t="shared" si="85"/>
        <v>0</v>
      </c>
      <c r="AJ623" s="605">
        <f t="shared" si="85"/>
        <v>0</v>
      </c>
      <c r="AK623"/>
      <c r="AQ623" s="712"/>
    </row>
    <row r="624" spans="1:43" ht="21">
      <c r="A624"/>
      <c r="B624"/>
      <c r="C624"/>
      <c r="D624"/>
      <c r="E624"/>
      <c r="F624"/>
      <c r="G624"/>
      <c r="H624"/>
      <c r="I624"/>
      <c r="J624"/>
      <c r="K624" s="712"/>
      <c r="L624" s="502"/>
      <c r="M624" s="502"/>
      <c r="O624" s="714" t="s">
        <v>471</v>
      </c>
      <c r="P624" s="715"/>
      <c r="Q624" s="715"/>
      <c r="R624" s="715"/>
      <c r="S624" s="715"/>
      <c r="T624" s="715"/>
      <c r="U624" s="715"/>
      <c r="V624" s="715"/>
      <c r="W624" s="715"/>
      <c r="X624" s="715"/>
      <c r="Y624" s="685">
        <f>IFERROR(VLOOKUP($O624,Preturi_medicamente!$D:$M,3,0),0)</f>
        <v>7.07</v>
      </c>
      <c r="Z624" s="603">
        <f t="shared" si="84"/>
        <v>4546.01</v>
      </c>
      <c r="AA624" s="604">
        <f t="shared" si="84"/>
        <v>4546.01</v>
      </c>
      <c r="AB624" s="604">
        <f t="shared" si="84"/>
        <v>5189.38</v>
      </c>
      <c r="AC624" s="604">
        <f t="shared" si="84"/>
        <v>6490.26</v>
      </c>
      <c r="AD624" s="605">
        <f t="shared" si="84"/>
        <v>6490.26</v>
      </c>
      <c r="AE624" s="686">
        <f>IFERROR(VLOOKUP($O624,Preturi_medicamente!$D:$M,10,0),0)</f>
        <v>0.31</v>
      </c>
      <c r="AF624" s="603">
        <f t="shared" si="85"/>
        <v>85.25</v>
      </c>
      <c r="AG624" s="604">
        <f t="shared" si="85"/>
        <v>113.77</v>
      </c>
      <c r="AH624" s="604">
        <f t="shared" si="85"/>
        <v>85.25</v>
      </c>
      <c r="AI624" s="604">
        <f t="shared" si="85"/>
        <v>0</v>
      </c>
      <c r="AJ624" s="605">
        <f t="shared" si="85"/>
        <v>0</v>
      </c>
      <c r="AK624"/>
      <c r="AQ624" s="712"/>
    </row>
    <row r="625" spans="1:45" ht="21">
      <c r="A625"/>
      <c r="B625"/>
      <c r="C625"/>
      <c r="D625"/>
      <c r="E625"/>
      <c r="F625"/>
      <c r="G625"/>
      <c r="H625"/>
      <c r="I625"/>
      <c r="J625"/>
      <c r="K625" s="712"/>
      <c r="L625" s="502"/>
      <c r="M625" s="502"/>
      <c r="O625" s="714" t="s">
        <v>472</v>
      </c>
      <c r="P625" s="715"/>
      <c r="Q625" s="715"/>
      <c r="R625" s="715"/>
      <c r="S625" s="715"/>
      <c r="T625" s="715"/>
      <c r="U625" s="715"/>
      <c r="V625" s="715"/>
      <c r="W625" s="715"/>
      <c r="X625" s="715"/>
      <c r="Y625" s="685">
        <f>IFERROR(VLOOKUP($O625,Preturi_medicamente!$D:$M,3,0),0)</f>
        <v>30.86</v>
      </c>
      <c r="Z625" s="603">
        <f t="shared" si="84"/>
        <v>19842.98</v>
      </c>
      <c r="AA625" s="604">
        <f t="shared" si="84"/>
        <v>19842.98</v>
      </c>
      <c r="AB625" s="604">
        <f t="shared" si="84"/>
        <v>22651.24</v>
      </c>
      <c r="AC625" s="604">
        <f t="shared" si="84"/>
        <v>28329.48</v>
      </c>
      <c r="AD625" s="605">
        <f t="shared" si="84"/>
        <v>28329.48</v>
      </c>
      <c r="AE625" s="686">
        <f>IFERROR(VLOOKUP($O625,Preturi_medicamente!$D:$M,10,0),0)</f>
        <v>1.32</v>
      </c>
      <c r="AF625" s="603">
        <f t="shared" si="85"/>
        <v>363</v>
      </c>
      <c r="AG625" s="604">
        <f t="shared" si="85"/>
        <v>484.44</v>
      </c>
      <c r="AH625" s="604">
        <f t="shared" si="85"/>
        <v>363</v>
      </c>
      <c r="AI625" s="604">
        <f t="shared" si="85"/>
        <v>0</v>
      </c>
      <c r="AJ625" s="605">
        <f t="shared" si="85"/>
        <v>0</v>
      </c>
      <c r="AK625"/>
      <c r="AQ625" s="712"/>
    </row>
    <row r="626" spans="1:45" ht="21">
      <c r="A626"/>
      <c r="B626"/>
      <c r="C626"/>
      <c r="D626"/>
      <c r="E626"/>
      <c r="F626"/>
      <c r="G626"/>
      <c r="H626"/>
      <c r="I626"/>
      <c r="J626"/>
      <c r="K626" s="712"/>
      <c r="L626" s="502"/>
      <c r="M626" s="502"/>
      <c r="O626" s="714" t="s">
        <v>314</v>
      </c>
      <c r="P626" s="715"/>
      <c r="Q626" s="715"/>
      <c r="R626" s="715"/>
      <c r="S626" s="715"/>
      <c r="T626" s="715"/>
      <c r="U626" s="715"/>
      <c r="V626" s="715"/>
      <c r="W626" s="715"/>
      <c r="X626" s="715"/>
      <c r="Y626" s="685">
        <f>IFERROR(VLOOKUP($O626,Preturi_medicamente!$D:$M,3,0),0)</f>
        <v>0.5</v>
      </c>
      <c r="Z626" s="603">
        <f t="shared" si="84"/>
        <v>1606.5</v>
      </c>
      <c r="AA626" s="604">
        <f t="shared" si="84"/>
        <v>1606.5</v>
      </c>
      <c r="AB626" s="604">
        <f t="shared" si="84"/>
        <v>1836</v>
      </c>
      <c r="AC626" s="604">
        <f t="shared" si="84"/>
        <v>2295</v>
      </c>
      <c r="AD626" s="605">
        <f t="shared" si="84"/>
        <v>2295</v>
      </c>
      <c r="AE626" s="686">
        <f>IFERROR(VLOOKUP($O626,Preturi_medicamente!$D:$M,10,0),0)</f>
        <v>0.02</v>
      </c>
      <c r="AF626" s="603">
        <f t="shared" si="85"/>
        <v>27.54</v>
      </c>
      <c r="AG626" s="604">
        <f t="shared" si="85"/>
        <v>36.72</v>
      </c>
      <c r="AH626" s="604">
        <f t="shared" si="85"/>
        <v>27.54</v>
      </c>
      <c r="AI626" s="604">
        <f t="shared" si="85"/>
        <v>0</v>
      </c>
      <c r="AJ626" s="605">
        <f t="shared" si="85"/>
        <v>0</v>
      </c>
      <c r="AK626"/>
      <c r="AQ626" s="712"/>
    </row>
    <row r="627" spans="1:45" ht="22" thickBot="1">
      <c r="A627"/>
      <c r="B627"/>
      <c r="C627"/>
      <c r="D627"/>
      <c r="E627"/>
      <c r="F627"/>
      <c r="G627"/>
      <c r="H627"/>
      <c r="I627"/>
      <c r="J627"/>
      <c r="K627" s="712"/>
      <c r="L627" s="502"/>
      <c r="M627" s="502"/>
      <c r="O627" s="595"/>
      <c r="P627" s="596"/>
      <c r="Q627" s="596"/>
      <c r="R627" s="596"/>
      <c r="S627" s="596"/>
      <c r="T627" s="596"/>
      <c r="U627" s="596"/>
      <c r="V627" s="596"/>
      <c r="W627" s="596"/>
      <c r="X627" s="596"/>
      <c r="Y627" s="685">
        <f>IFERROR(VLOOKUP($O627,Preturi_medicamente!$D:$M,3,0),0)</f>
        <v>0</v>
      </c>
      <c r="Z627" s="606">
        <f t="shared" si="84"/>
        <v>0</v>
      </c>
      <c r="AA627" s="607">
        <f t="shared" si="84"/>
        <v>0</v>
      </c>
      <c r="AB627" s="607">
        <f t="shared" si="84"/>
        <v>0</v>
      </c>
      <c r="AC627" s="607">
        <f t="shared" si="84"/>
        <v>0</v>
      </c>
      <c r="AD627" s="608">
        <f t="shared" si="84"/>
        <v>0</v>
      </c>
      <c r="AE627" s="686">
        <f>IFERROR(VLOOKUP($O627,Preturi_medicamente!$D:$M,10,0),0)</f>
        <v>0</v>
      </c>
      <c r="AF627" s="606">
        <f t="shared" si="85"/>
        <v>0</v>
      </c>
      <c r="AG627" s="607">
        <f t="shared" si="85"/>
        <v>0</v>
      </c>
      <c r="AH627" s="607">
        <f t="shared" si="85"/>
        <v>0</v>
      </c>
      <c r="AI627" s="607">
        <f t="shared" si="85"/>
        <v>0</v>
      </c>
      <c r="AJ627" s="608">
        <f t="shared" si="85"/>
        <v>0</v>
      </c>
      <c r="AK627"/>
      <c r="AQ627" s="712"/>
    </row>
    <row r="628" spans="1:45" ht="22" thickBot="1">
      <c r="A628" s="730">
        <v>24</v>
      </c>
      <c r="B628" s="733">
        <f>Z628</f>
        <v>295128.37</v>
      </c>
      <c r="C628" s="733">
        <f>AA628</f>
        <v>332348.08</v>
      </c>
      <c r="D628" s="733">
        <f>AB628</f>
        <v>363860.71</v>
      </c>
      <c r="E628" s="733">
        <f>AC628</f>
        <v>464124.04999999993</v>
      </c>
      <c r="F628" s="733">
        <f>AD628</f>
        <v>464124.04999999993</v>
      </c>
      <c r="G628" s="733" t="s">
        <v>350</v>
      </c>
      <c r="H628" s="733" t="s">
        <v>507</v>
      </c>
      <c r="I628" s="733"/>
      <c r="J628" s="841" t="s">
        <v>2935</v>
      </c>
      <c r="K628" s="712"/>
      <c r="L628" s="502"/>
      <c r="M628" s="502"/>
      <c r="O628" s="526"/>
      <c r="P628" s="526"/>
      <c r="Q628" s="526"/>
      <c r="R628" s="526"/>
      <c r="S628"/>
      <c r="T628"/>
      <c r="U628"/>
      <c r="V628"/>
      <c r="W628"/>
      <c r="X628"/>
      <c r="Y628" s="526"/>
      <c r="Z628" s="1738">
        <f>SUM(Z613:Z627)</f>
        <v>295128.37</v>
      </c>
      <c r="AA628" s="1736">
        <f>SUM(AA613:AA627)</f>
        <v>332348.08</v>
      </c>
      <c r="AB628" s="1736">
        <f>SUM(AB613:AB627)</f>
        <v>363860.71</v>
      </c>
      <c r="AC628" s="1736">
        <f>SUM(AC613:AC627)</f>
        <v>464124.04999999993</v>
      </c>
      <c r="AD628" s="1737">
        <f>SUM(AD613:AD627)</f>
        <v>464124.04999999993</v>
      </c>
      <c r="AE628" s="526"/>
      <c r="AF628" s="687">
        <f>SUM(AF613:AF627)</f>
        <v>8724.8300000000017</v>
      </c>
      <c r="AG628" s="688">
        <f>SUM(AG613:AG627)</f>
        <v>10509.580000000002</v>
      </c>
      <c r="AH628" s="688">
        <f>SUM(AH613:AH627)</f>
        <v>8724.8300000000017</v>
      </c>
      <c r="AI628" s="688">
        <f>SUM(AI613:AI627)</f>
        <v>0</v>
      </c>
      <c r="AJ628" s="689">
        <f>SUM(AJ613:AJ627)</f>
        <v>0</v>
      </c>
      <c r="AK628" s="2230">
        <f>SUM(AF628:AJ628)</f>
        <v>27959.240000000005</v>
      </c>
      <c r="AQ628" s="712"/>
      <c r="AR628" s="1489">
        <f>SUM(Z628:AD628)</f>
        <v>1919585.2599999998</v>
      </c>
    </row>
    <row r="629" spans="1:45" ht="22" thickBot="1">
      <c r="K629" s="712"/>
      <c r="L629" s="502"/>
      <c r="M629" s="502"/>
      <c r="O629" s="526"/>
      <c r="P629" s="526"/>
      <c r="Q629" s="526"/>
      <c r="R629" s="526"/>
      <c r="S629"/>
      <c r="T629"/>
      <c r="U629"/>
      <c r="V629"/>
      <c r="W629"/>
      <c r="X629"/>
      <c r="Y629" s="526"/>
      <c r="Z629" s="526"/>
      <c r="AA629" s="526"/>
      <c r="AB629" s="526"/>
      <c r="AC629" s="526"/>
      <c r="AD629" s="526"/>
      <c r="AE629" s="526"/>
      <c r="AF629" s="526"/>
      <c r="AG629" s="526"/>
      <c r="AH629" s="526"/>
      <c r="AI629" s="526"/>
      <c r="AJ629" s="526"/>
      <c r="AK629"/>
      <c r="AQ629" s="712"/>
    </row>
    <row r="630" spans="1:45" ht="34">
      <c r="K630" s="712"/>
      <c r="L630" s="502"/>
      <c r="M630" s="502"/>
      <c r="O630" s="526"/>
      <c r="P630" s="526"/>
      <c r="Q630" s="526"/>
      <c r="R630" s="526"/>
      <c r="S630" s="526"/>
      <c r="T630" s="686"/>
      <c r="U630" s="690"/>
      <c r="V630" s="690"/>
      <c r="W630" s="690"/>
      <c r="X630" s="690"/>
      <c r="Y630" s="526"/>
      <c r="Z630" s="526"/>
      <c r="AA630" s="526"/>
      <c r="AB630" s="526"/>
      <c r="AC630" s="526"/>
      <c r="AD630" s="526"/>
      <c r="AE630" s="691" t="s">
        <v>485</v>
      </c>
      <c r="AF630" s="692">
        <f>AF628*AE631</f>
        <v>104.69796000000002</v>
      </c>
      <c r="AG630" s="693">
        <f>AG628*AE631</f>
        <v>126.11496000000002</v>
      </c>
      <c r="AH630" s="693">
        <f>AH628*AE631</f>
        <v>104.69796000000002</v>
      </c>
      <c r="AI630" s="693">
        <f>AI628*AE631</f>
        <v>0</v>
      </c>
      <c r="AJ630" s="694">
        <f>AJ628*AE631</f>
        <v>0</v>
      </c>
      <c r="AK630"/>
      <c r="AQ630" s="712"/>
    </row>
    <row r="631" spans="1:45" ht="21">
      <c r="K631" s="712"/>
      <c r="L631" s="502"/>
      <c r="M631" s="502"/>
      <c r="O631" s="526"/>
      <c r="P631" s="526"/>
      <c r="Q631" s="526"/>
      <c r="R631" s="526"/>
      <c r="S631" s="526"/>
      <c r="T631" s="686"/>
      <c r="U631" s="690"/>
      <c r="V631" s="690"/>
      <c r="W631" s="690"/>
      <c r="X631" s="690"/>
      <c r="Y631" s="526"/>
      <c r="Z631" s="526"/>
      <c r="AA631" s="526"/>
      <c r="AB631" s="526"/>
      <c r="AC631" s="526"/>
      <c r="AD631" s="526"/>
      <c r="AE631" s="695">
        <v>1.2E-2</v>
      </c>
      <c r="AF631" s="696"/>
      <c r="AG631" s="552"/>
      <c r="AH631" s="552"/>
      <c r="AI631" s="552"/>
      <c r="AJ631" s="553"/>
      <c r="AK631"/>
      <c r="AQ631" s="712"/>
    </row>
    <row r="632" spans="1:45" ht="21">
      <c r="K632" s="712"/>
      <c r="L632" s="502"/>
      <c r="M632" s="502"/>
      <c r="O632" s="526"/>
      <c r="P632" s="526"/>
      <c r="Q632" s="526"/>
      <c r="R632" s="526"/>
      <c r="S632" s="526"/>
      <c r="T632" s="686"/>
      <c r="U632" s="690"/>
      <c r="V632" s="690"/>
      <c r="W632" s="690"/>
      <c r="X632" s="690"/>
      <c r="Y632" s="526"/>
      <c r="Z632" s="526"/>
      <c r="AA632" s="526"/>
      <c r="AB632" s="526"/>
      <c r="AC632" s="526"/>
      <c r="AD632" s="526"/>
      <c r="AE632" s="691" t="s">
        <v>486</v>
      </c>
      <c r="AF632" s="697">
        <f>AF628*AE633</f>
        <v>453.69116000000008</v>
      </c>
      <c r="AG632" s="698">
        <f>AG628*AE633</f>
        <v>546.4981600000001</v>
      </c>
      <c r="AH632" s="698">
        <f>AH628*AE633</f>
        <v>453.69116000000008</v>
      </c>
      <c r="AI632" s="698">
        <f>AI628*AE633</f>
        <v>0</v>
      </c>
      <c r="AJ632" s="699">
        <f>AJ628*AE633</f>
        <v>0</v>
      </c>
      <c r="AK632"/>
      <c r="AQ632" s="712"/>
    </row>
    <row r="633" spans="1:45" ht="21">
      <c r="K633" s="712"/>
      <c r="L633" s="502"/>
      <c r="M633" s="502"/>
      <c r="O633" s="526"/>
      <c r="P633" s="526"/>
      <c r="Q633" s="526"/>
      <c r="R633" s="526"/>
      <c r="S633" s="526"/>
      <c r="T633" s="686"/>
      <c r="U633" s="690"/>
      <c r="V633" s="690"/>
      <c r="W633" s="690"/>
      <c r="X633" s="690"/>
      <c r="Y633" s="526"/>
      <c r="Z633" s="526"/>
      <c r="AA633" s="526"/>
      <c r="AB633" s="526"/>
      <c r="AC633" s="526"/>
      <c r="AD633" s="526"/>
      <c r="AE633" s="695">
        <v>5.1999999999999998E-2</v>
      </c>
      <c r="AF633" s="696"/>
      <c r="AG633" s="552"/>
      <c r="AH633" s="552"/>
      <c r="AI633" s="552"/>
      <c r="AJ633" s="553"/>
      <c r="AK633"/>
      <c r="AQ633" s="712"/>
    </row>
    <row r="634" spans="1:45" ht="21">
      <c r="K634" s="712"/>
      <c r="L634" s="502"/>
      <c r="M634" s="502"/>
      <c r="O634" s="526"/>
      <c r="P634" s="526"/>
      <c r="Q634" s="526"/>
      <c r="R634" s="526"/>
      <c r="S634" s="526"/>
      <c r="T634" s="686"/>
      <c r="U634" s="690"/>
      <c r="V634" s="690"/>
      <c r="W634" s="690"/>
      <c r="X634" s="690"/>
      <c r="Y634" s="526"/>
      <c r="Z634" s="526"/>
      <c r="AA634" s="526"/>
      <c r="AB634" s="526"/>
      <c r="AC634" s="526"/>
      <c r="AD634" s="526"/>
      <c r="AE634" s="691" t="s">
        <v>487</v>
      </c>
      <c r="AF634" s="697">
        <f>AF628*AE635</f>
        <v>366.44286000000011</v>
      </c>
      <c r="AG634" s="698">
        <f>AG628*AE635</f>
        <v>441.4023600000001</v>
      </c>
      <c r="AH634" s="698">
        <f>AH628*AE635</f>
        <v>366.44286000000011</v>
      </c>
      <c r="AI634" s="698">
        <f>AI628*AE635</f>
        <v>0</v>
      </c>
      <c r="AJ634" s="699">
        <f>AJ628*AE635</f>
        <v>0</v>
      </c>
      <c r="AK634"/>
      <c r="AQ634" s="712"/>
    </row>
    <row r="635" spans="1:45" ht="21">
      <c r="K635" s="712"/>
      <c r="L635" s="502"/>
      <c r="M635" s="502"/>
      <c r="O635" s="526"/>
      <c r="P635" s="526"/>
      <c r="Q635" s="526"/>
      <c r="R635" s="526"/>
      <c r="S635" s="526"/>
      <c r="T635" s="686"/>
      <c r="U635" s="690"/>
      <c r="V635" s="690"/>
      <c r="W635" s="690"/>
      <c r="X635" s="690"/>
      <c r="Y635" s="526"/>
      <c r="Z635" s="526"/>
      <c r="AA635" s="526"/>
      <c r="AB635" s="526"/>
      <c r="AC635" s="526"/>
      <c r="AD635" s="526"/>
      <c r="AE635" s="695">
        <v>4.2000000000000003E-2</v>
      </c>
      <c r="AF635" s="696"/>
      <c r="AG635" s="552"/>
      <c r="AH635" s="552"/>
      <c r="AI635" s="552"/>
      <c r="AJ635" s="553"/>
      <c r="AK635"/>
      <c r="AQ635" s="712"/>
    </row>
    <row r="636" spans="1:45" ht="22" thickBot="1">
      <c r="K636" s="712"/>
      <c r="L636" s="502"/>
      <c r="M636" s="502"/>
      <c r="O636" s="526"/>
      <c r="P636" s="526"/>
      <c r="Q636" s="526"/>
      <c r="R636" s="526"/>
      <c r="S636" s="526"/>
      <c r="T636" s="686"/>
      <c r="U636" s="690"/>
      <c r="V636" s="690"/>
      <c r="W636" s="690"/>
      <c r="X636" s="690"/>
      <c r="Y636" s="526"/>
      <c r="Z636" s="526"/>
      <c r="AA636" s="526"/>
      <c r="AB636" s="526"/>
      <c r="AC636" s="526"/>
      <c r="AD636" s="526"/>
      <c r="AE636" s="526"/>
      <c r="AF636" s="687">
        <f>SUM(AF630:AF635)</f>
        <v>924.83198000000016</v>
      </c>
      <c r="AG636" s="688">
        <f>SUM(AG630:AG635)</f>
        <v>1114.0154800000003</v>
      </c>
      <c r="AH636" s="688">
        <f>SUM(AH630:AH635)</f>
        <v>924.83198000000016</v>
      </c>
      <c r="AI636" s="688">
        <f>SUM(AI630:AI635)</f>
        <v>0</v>
      </c>
      <c r="AJ636" s="689">
        <f>SUM(AJ630:AJ635)</f>
        <v>0</v>
      </c>
      <c r="AK636"/>
      <c r="AQ636" s="712"/>
    </row>
    <row r="637" spans="1:45" ht="22" thickBot="1">
      <c r="K637" s="712"/>
      <c r="L637" s="502"/>
      <c r="M637" s="502"/>
      <c r="O637" s="526"/>
      <c r="P637" s="526"/>
      <c r="Q637" s="526"/>
      <c r="R637" s="526"/>
      <c r="S637" s="526"/>
      <c r="T637" s="686"/>
      <c r="U637" s="690"/>
      <c r="V637" s="690"/>
      <c r="W637" s="690"/>
      <c r="X637" s="690"/>
      <c r="Y637" s="526"/>
      <c r="Z637" s="526"/>
      <c r="AA637" s="526"/>
      <c r="AB637" s="526"/>
      <c r="AC637" s="526"/>
      <c r="AD637" s="526"/>
      <c r="AE637" s="526"/>
      <c r="AF637" s="526"/>
      <c r="AG637" s="526"/>
      <c r="AH637" s="526"/>
      <c r="AI637" s="526"/>
      <c r="AJ637" s="526"/>
      <c r="AK637"/>
      <c r="AQ637" s="712"/>
    </row>
    <row r="638" spans="1:45" ht="22" thickBot="1">
      <c r="K638" s="712"/>
      <c r="L638" s="502"/>
      <c r="M638" s="502"/>
      <c r="O638" s="526"/>
      <c r="P638" s="526"/>
      <c r="Q638" s="526"/>
      <c r="R638" s="526"/>
      <c r="S638" s="526"/>
      <c r="T638" s="686"/>
      <c r="U638" s="690"/>
      <c r="V638" s="690"/>
      <c r="W638" s="690"/>
      <c r="X638" s="690"/>
      <c r="Y638" s="526"/>
      <c r="Z638" s="526"/>
      <c r="AA638" s="526"/>
      <c r="AB638" s="526"/>
      <c r="AC638" s="526"/>
      <c r="AD638" s="526"/>
      <c r="AE638" s="526" t="s">
        <v>488</v>
      </c>
      <c r="AF638" s="700">
        <f>AF628+AF636</f>
        <v>9649.6619800000026</v>
      </c>
      <c r="AG638" s="701">
        <f>AG628+AG636</f>
        <v>11623.595480000002</v>
      </c>
      <c r="AH638" s="701">
        <f>AH628+AH636</f>
        <v>9649.6619800000026</v>
      </c>
      <c r="AI638" s="701">
        <f>AI628+AI636</f>
        <v>0</v>
      </c>
      <c r="AJ638" s="702">
        <f>AJ628+AJ636</f>
        <v>0</v>
      </c>
      <c r="AK638" s="2230">
        <f>SUM(AF638:AJ638)</f>
        <v>30922.919440000005</v>
      </c>
      <c r="AQ638" s="712"/>
    </row>
    <row r="639" spans="1:45" ht="22" thickBot="1">
      <c r="A639" s="730">
        <v>25</v>
      </c>
      <c r="B639" s="733">
        <f>AF639</f>
        <v>169534.04285704184</v>
      </c>
      <c r="C639" s="733">
        <f>AG639</f>
        <v>204213.90286452681</v>
      </c>
      <c r="D639" s="733">
        <f>AH639</f>
        <v>169534.04285704184</v>
      </c>
      <c r="E639" s="733">
        <f>AI639</f>
        <v>0</v>
      </c>
      <c r="F639" s="733">
        <f>AJ639</f>
        <v>0</v>
      </c>
      <c r="G639" s="733" t="s">
        <v>351</v>
      </c>
      <c r="H639" s="733" t="s">
        <v>507</v>
      </c>
      <c r="I639" s="733"/>
      <c r="J639" s="841" t="s">
        <v>2935</v>
      </c>
      <c r="K639" s="712"/>
      <c r="L639" s="502"/>
      <c r="M639" s="502"/>
      <c r="O639" s="526"/>
      <c r="P639" s="526"/>
      <c r="Q639" s="526"/>
      <c r="R639" s="526"/>
      <c r="S639" s="526"/>
      <c r="T639" s="686"/>
      <c r="U639" s="690"/>
      <c r="V639" s="690"/>
      <c r="W639" s="690"/>
      <c r="X639" s="690"/>
      <c r="Y639" s="526"/>
      <c r="Z639" s="526"/>
      <c r="AA639" s="526"/>
      <c r="AB639" s="526"/>
      <c r="AC639" s="526"/>
      <c r="AD639" s="526"/>
      <c r="AE639" s="526" t="s">
        <v>489</v>
      </c>
      <c r="AF639" s="1738">
        <f>AF638*USD</f>
        <v>169534.04285704184</v>
      </c>
      <c r="AG639" s="1736">
        <f>AG638*USD</f>
        <v>204213.90286452681</v>
      </c>
      <c r="AH639" s="1736">
        <f>AH638*USD</f>
        <v>169534.04285704184</v>
      </c>
      <c r="AI639" s="1736">
        <f>AI638*USD</f>
        <v>0</v>
      </c>
      <c r="AJ639" s="1737">
        <f>AJ638*USD</f>
        <v>0</v>
      </c>
      <c r="AK639" s="2231">
        <f>SUM(AF639:AJ639)</f>
        <v>543281.98857861047</v>
      </c>
      <c r="AQ639" s="712"/>
      <c r="AR639" s="1489">
        <f>SUM(AF639:AJ639)</f>
        <v>543281.98857861047</v>
      </c>
      <c r="AS639" s="2216">
        <f>AR639/EUR</f>
        <v>27683.577610250228</v>
      </c>
    </row>
    <row r="640" spans="1:45" ht="21">
      <c r="K640" s="712"/>
      <c r="L640" s="502"/>
      <c r="M640" s="502"/>
      <c r="O640" s="526"/>
      <c r="P640" s="526"/>
      <c r="Q640" s="526"/>
      <c r="R640" s="526"/>
      <c r="S640" s="526"/>
      <c r="T640" s="686"/>
      <c r="U640" s="690"/>
      <c r="V640" s="690"/>
      <c r="W640" s="690"/>
      <c r="X640" s="690"/>
      <c r="Y640" s="526"/>
      <c r="Z640" s="526"/>
      <c r="AA640" s="526"/>
      <c r="AB640" s="526"/>
      <c r="AC640" s="526"/>
      <c r="AD640" s="526"/>
      <c r="AE640" s="526"/>
      <c r="AF640" s="703"/>
      <c r="AG640" s="704"/>
      <c r="AH640" s="704"/>
      <c r="AI640" s="704"/>
      <c r="AJ640" s="704"/>
      <c r="AQ640" s="712"/>
    </row>
    <row r="641" spans="11:43" ht="12" customHeight="1">
      <c r="K641" s="712"/>
      <c r="L641" s="705"/>
      <c r="M641" s="705"/>
      <c r="N641" s="705"/>
      <c r="O641" s="706"/>
      <c r="P641" s="706"/>
      <c r="Q641" s="706"/>
      <c r="R641" s="706"/>
      <c r="S641" s="706"/>
      <c r="T641" s="706"/>
      <c r="U641" s="706"/>
      <c r="V641" s="706"/>
      <c r="W641" s="706"/>
      <c r="X641" s="706"/>
      <c r="Y641" s="706"/>
      <c r="Z641" s="706"/>
      <c r="AA641" s="706"/>
      <c r="AB641" s="706"/>
      <c r="AC641" s="706"/>
      <c r="AD641" s="706"/>
      <c r="AE641" s="706"/>
      <c r="AF641" s="706"/>
      <c r="AG641" s="706"/>
      <c r="AH641" s="706"/>
      <c r="AI641" s="706"/>
      <c r="AJ641" s="706"/>
      <c r="AK641" s="706"/>
      <c r="AL641" s="706"/>
      <c r="AM641" s="706"/>
      <c r="AN641" s="706"/>
      <c r="AO641" s="706"/>
      <c r="AP641" s="706"/>
      <c r="AQ641" s="712"/>
    </row>
    <row r="642" spans="11:43" ht="21">
      <c r="K642" s="712"/>
      <c r="L642" s="502"/>
      <c r="M642" s="502"/>
      <c r="O642" s="526"/>
      <c r="P642" s="526"/>
      <c r="Q642" s="526"/>
      <c r="R642" s="526"/>
      <c r="S642" s="526"/>
      <c r="T642" s="526"/>
      <c r="U642" s="526"/>
      <c r="V642" s="526"/>
      <c r="W642" s="526"/>
      <c r="X642" s="526"/>
      <c r="Y642" s="526"/>
      <c r="Z642" s="526"/>
      <c r="AA642" s="526"/>
      <c r="AB642" s="526"/>
      <c r="AC642" s="526"/>
      <c r="AD642" s="526"/>
      <c r="AE642" s="526"/>
      <c r="AF642" s="526"/>
      <c r="AG642" s="526"/>
      <c r="AH642" s="526"/>
      <c r="AI642" s="526"/>
      <c r="AJ642" s="526"/>
      <c r="AQ642" s="712"/>
    </row>
    <row r="643" spans="11:43" ht="21">
      <c r="K643" s="712"/>
      <c r="L643" s="501" t="s">
        <v>500</v>
      </c>
      <c r="M643" s="499" t="s">
        <v>509</v>
      </c>
      <c r="N643" s="502"/>
      <c r="O643" s="526"/>
      <c r="P643" s="526"/>
      <c r="Q643" s="558"/>
      <c r="R643" s="558">
        <v>1</v>
      </c>
      <c r="S643" s="558">
        <v>2</v>
      </c>
      <c r="T643" s="558">
        <v>3</v>
      </c>
      <c r="U643" s="558">
        <v>4</v>
      </c>
      <c r="V643" s="558">
        <v>5</v>
      </c>
      <c r="W643" s="558">
        <v>6</v>
      </c>
      <c r="X643" s="558">
        <v>7</v>
      </c>
      <c r="Y643" s="558">
        <v>8</v>
      </c>
      <c r="Z643" s="558">
        <v>9</v>
      </c>
      <c r="AA643" s="558">
        <v>10</v>
      </c>
      <c r="AB643" s="558">
        <v>11</v>
      </c>
      <c r="AC643" s="558">
        <v>12</v>
      </c>
      <c r="AD643" s="558">
        <v>13</v>
      </c>
      <c r="AE643" s="558">
        <v>14</v>
      </c>
      <c r="AF643" s="558">
        <v>15</v>
      </c>
      <c r="AG643" s="558">
        <v>16</v>
      </c>
      <c r="AH643" s="558">
        <v>17</v>
      </c>
      <c r="AI643" s="558">
        <v>18</v>
      </c>
      <c r="AJ643" s="558">
        <v>19</v>
      </c>
      <c r="AQ643" s="712"/>
    </row>
    <row r="644" spans="11:43" ht="22" thickBot="1">
      <c r="K644" s="712"/>
      <c r="L644" s="502"/>
      <c r="M644" s="502"/>
      <c r="N644" s="502"/>
      <c r="O644" s="513"/>
      <c r="P644" s="508"/>
      <c r="Q644" s="558"/>
      <c r="R644" s="558"/>
      <c r="S644" s="526"/>
      <c r="T644" s="545" t="s">
        <v>114</v>
      </c>
      <c r="U644" s="545"/>
      <c r="V644" s="545"/>
      <c r="W644" s="545"/>
      <c r="X644" s="545"/>
      <c r="Y644" s="545"/>
      <c r="Z644" s="55" t="s">
        <v>513</v>
      </c>
      <c r="AA644" s="545"/>
      <c r="AB644" s="545"/>
      <c r="AC644" s="545"/>
      <c r="AD644" s="545"/>
      <c r="AE644" s="545"/>
      <c r="AF644" s="545" t="s">
        <v>351</v>
      </c>
      <c r="AG644" s="545"/>
      <c r="AH644" s="545"/>
      <c r="AI644" s="545"/>
      <c r="AJ644" s="545"/>
      <c r="AK644"/>
      <c r="AL644"/>
      <c r="AM644"/>
      <c r="AN644"/>
      <c r="AQ644" s="712"/>
    </row>
    <row r="645" spans="11:43" ht="22" thickBot="1">
      <c r="K645" s="712"/>
      <c r="L645" s="502"/>
      <c r="M645" s="502"/>
      <c r="N645" s="482" t="s">
        <v>354</v>
      </c>
      <c r="O645" s="526"/>
      <c r="P645" s="526"/>
      <c r="Q645" s="558"/>
      <c r="R645" s="558"/>
      <c r="S645" s="526"/>
      <c r="T645" s="559">
        <v>2021</v>
      </c>
      <c r="U645" s="560">
        <v>2022</v>
      </c>
      <c r="V645" s="560">
        <v>2023</v>
      </c>
      <c r="W645" s="560">
        <v>2024</v>
      </c>
      <c r="X645" s="561">
        <v>2025</v>
      </c>
      <c r="Y645" s="563" t="s">
        <v>238</v>
      </c>
      <c r="Z645" s="559">
        <v>2021</v>
      </c>
      <c r="AA645" s="560">
        <v>2022</v>
      </c>
      <c r="AB645" s="560">
        <v>2023</v>
      </c>
      <c r="AC645" s="560">
        <v>2024</v>
      </c>
      <c r="AD645" s="561">
        <v>2025</v>
      </c>
      <c r="AE645" s="563" t="s">
        <v>238</v>
      </c>
      <c r="AF645" s="584">
        <v>2021</v>
      </c>
      <c r="AG645" s="585">
        <v>2022</v>
      </c>
      <c r="AH645" s="585">
        <v>2023</v>
      </c>
      <c r="AI645" s="585">
        <v>2024</v>
      </c>
      <c r="AJ645" s="586">
        <v>2025</v>
      </c>
      <c r="AK645"/>
      <c r="AL645" s="1887" t="s">
        <v>3854</v>
      </c>
      <c r="AM645"/>
      <c r="AN645"/>
      <c r="AQ645" s="712"/>
    </row>
    <row r="646" spans="11:43" ht="21">
      <c r="K646" s="712"/>
      <c r="L646" s="502"/>
      <c r="M646" s="502"/>
      <c r="O646" s="526" t="s">
        <v>308</v>
      </c>
      <c r="P646" s="526"/>
      <c r="Q646" s="526"/>
      <c r="R646" s="562" t="s">
        <v>93</v>
      </c>
      <c r="S646" s="643" t="s">
        <v>310</v>
      </c>
      <c r="T646" s="644">
        <f>T54+T60</f>
        <v>191</v>
      </c>
      <c r="U646" s="645">
        <f>U54+U60</f>
        <v>191</v>
      </c>
      <c r="V646" s="645">
        <f>V54+V60</f>
        <v>192</v>
      </c>
      <c r="W646" s="645">
        <f>W54+W60</f>
        <v>194</v>
      </c>
      <c r="X646" s="646">
        <f>X54+X60</f>
        <v>197</v>
      </c>
      <c r="Y646" s="563" t="s">
        <v>238</v>
      </c>
      <c r="Z646" s="647">
        <v>0</v>
      </c>
      <c r="AA646" s="648">
        <v>0</v>
      </c>
      <c r="AB646" s="648">
        <v>0</v>
      </c>
      <c r="AC646" s="648">
        <v>1</v>
      </c>
      <c r="AD646" s="649">
        <v>1</v>
      </c>
      <c r="AE646" s="563" t="s">
        <v>238</v>
      </c>
      <c r="AF646" s="650">
        <f>100%-Z646</f>
        <v>1</v>
      </c>
      <c r="AG646" s="651">
        <f>100%-AA646</f>
        <v>1</v>
      </c>
      <c r="AH646" s="651">
        <f>100%-AB646</f>
        <v>1</v>
      </c>
      <c r="AI646" s="651">
        <f>100%-AC646</f>
        <v>0</v>
      </c>
      <c r="AJ646" s="652">
        <f>100%-AD646</f>
        <v>0</v>
      </c>
      <c r="AK646"/>
      <c r="AL646" s="1887"/>
      <c r="AM646"/>
      <c r="AN646"/>
      <c r="AQ646" s="712"/>
    </row>
    <row r="647" spans="11:43" ht="21">
      <c r="K647" s="712"/>
      <c r="L647" s="502"/>
      <c r="M647" s="502"/>
      <c r="O647" s="653">
        <v>0.6</v>
      </c>
      <c r="P647" s="653"/>
      <c r="Q647" s="653"/>
      <c r="R647" s="578" t="s">
        <v>462</v>
      </c>
      <c r="S647" s="654" t="s">
        <v>482</v>
      </c>
      <c r="T647" s="655">
        <f>T646-SUM(T648:T651)</f>
        <v>115</v>
      </c>
      <c r="U647" s="656">
        <f>U646-SUM(U648:U651)</f>
        <v>115</v>
      </c>
      <c r="V647" s="656">
        <f>V646-SUM(V648:V651)</f>
        <v>116</v>
      </c>
      <c r="W647" s="656">
        <f>W646-SUM(W648:W651)</f>
        <v>116</v>
      </c>
      <c r="X647" s="657">
        <f>X646-SUM(X648:X651)</f>
        <v>119</v>
      </c>
      <c r="Y647" s="563" t="s">
        <v>238</v>
      </c>
      <c r="Z647" s="655">
        <f>ROUND(T647*Z646,0)</f>
        <v>0</v>
      </c>
      <c r="AA647" s="656">
        <f>ROUND(U647*AA646,0)</f>
        <v>0</v>
      </c>
      <c r="AB647" s="656">
        <f>ROUND(V647*AB646,0)</f>
        <v>0</v>
      </c>
      <c r="AC647" s="656">
        <f>ROUND(W647*AC646,0)</f>
        <v>116</v>
      </c>
      <c r="AD647" s="657">
        <f>ROUND(X647*AD646,0)</f>
        <v>119</v>
      </c>
      <c r="AE647" s="563" t="s">
        <v>238</v>
      </c>
      <c r="AF647" s="658">
        <f>ROUND((T647-Z647)*AL647,0)</f>
        <v>58</v>
      </c>
      <c r="AG647" s="659">
        <f>U647-AA647</f>
        <v>115</v>
      </c>
      <c r="AH647" s="659">
        <f>V647-AB647</f>
        <v>116</v>
      </c>
      <c r="AI647" s="659">
        <f>W647-AC647</f>
        <v>0</v>
      </c>
      <c r="AJ647" s="660">
        <f>X647-AD647</f>
        <v>0</v>
      </c>
      <c r="AK647"/>
      <c r="AL647" s="2287">
        <f>Year_2021_covered</f>
        <v>0.5</v>
      </c>
      <c r="AM647"/>
      <c r="AN647"/>
      <c r="AQ647" s="712"/>
    </row>
    <row r="648" spans="11:43" ht="21">
      <c r="K648" s="712"/>
      <c r="L648" s="502"/>
      <c r="M648" s="502"/>
      <c r="O648" s="653"/>
      <c r="P648" s="653"/>
      <c r="Q648" s="653"/>
      <c r="R648" s="526"/>
      <c r="S648" s="661"/>
      <c r="T648" s="662"/>
      <c r="U648" s="539"/>
      <c r="V648" s="539"/>
      <c r="W648" s="539"/>
      <c r="X648" s="540"/>
      <c r="Y648" s="563" t="s">
        <v>238</v>
      </c>
      <c r="Z648" s="647">
        <v>0</v>
      </c>
      <c r="AA648" s="648">
        <v>0</v>
      </c>
      <c r="AB648" s="648">
        <v>0</v>
      </c>
      <c r="AC648" s="648">
        <v>1</v>
      </c>
      <c r="AD648" s="649">
        <v>1</v>
      </c>
      <c r="AE648" s="563" t="s">
        <v>238</v>
      </c>
      <c r="AF648" s="650">
        <f>100%-Z648</f>
        <v>1</v>
      </c>
      <c r="AG648" s="651">
        <f>100%-AA648</f>
        <v>1</v>
      </c>
      <c r="AH648" s="651">
        <f>100%-AB648</f>
        <v>1</v>
      </c>
      <c r="AI648" s="651">
        <f>100%-AC648</f>
        <v>0</v>
      </c>
      <c r="AJ648" s="652">
        <f>100%-AD648</f>
        <v>0</v>
      </c>
      <c r="AK648"/>
      <c r="AL648" s="1887"/>
      <c r="AM648"/>
      <c r="AN648"/>
      <c r="AQ648" s="712"/>
    </row>
    <row r="649" spans="11:43" ht="21">
      <c r="K649" s="712"/>
      <c r="L649" s="502"/>
      <c r="M649" s="502"/>
      <c r="O649" s="653">
        <v>0.2</v>
      </c>
      <c r="P649" s="653"/>
      <c r="Q649" s="653"/>
      <c r="R649" s="578" t="s">
        <v>473</v>
      </c>
      <c r="S649" s="526" t="s">
        <v>475</v>
      </c>
      <c r="T649" s="655">
        <f>ROUND(T646*$O649,0)</f>
        <v>38</v>
      </c>
      <c r="U649" s="656">
        <f>ROUND(U646*$O649,0)</f>
        <v>38</v>
      </c>
      <c r="V649" s="656">
        <f>ROUND(V646*$O649,0)</f>
        <v>38</v>
      </c>
      <c r="W649" s="656">
        <f>ROUND(W646*$O649,0)</f>
        <v>39</v>
      </c>
      <c r="X649" s="657">
        <f>ROUND(X646*$O649,0)</f>
        <v>39</v>
      </c>
      <c r="Y649" s="563" t="s">
        <v>238</v>
      </c>
      <c r="Z649" s="655">
        <f>ROUND(T649*Z648,0)</f>
        <v>0</v>
      </c>
      <c r="AA649" s="656">
        <f>ROUND(U649*AA648,0)</f>
        <v>0</v>
      </c>
      <c r="AB649" s="656">
        <f>ROUND(V649*AB648,0)</f>
        <v>0</v>
      </c>
      <c r="AC649" s="656">
        <f>ROUND(W649*AC648,0)</f>
        <v>39</v>
      </c>
      <c r="AD649" s="657">
        <f>ROUND(X649*AD648,0)</f>
        <v>39</v>
      </c>
      <c r="AE649" s="563" t="s">
        <v>238</v>
      </c>
      <c r="AF649" s="658">
        <f>ROUND((T649-Z649)*AL649,0)</f>
        <v>19</v>
      </c>
      <c r="AG649" s="659">
        <f>U649-AA649</f>
        <v>38</v>
      </c>
      <c r="AH649" s="659">
        <f>V649-AB649</f>
        <v>38</v>
      </c>
      <c r="AI649" s="659">
        <f>W649-AC649</f>
        <v>0</v>
      </c>
      <c r="AJ649" s="660">
        <f>X649-AD649</f>
        <v>0</v>
      </c>
      <c r="AK649"/>
      <c r="AL649" s="2287">
        <f>Year_2021_covered</f>
        <v>0.5</v>
      </c>
      <c r="AM649"/>
      <c r="AN649"/>
      <c r="AQ649" s="712"/>
    </row>
    <row r="650" spans="11:43" ht="21">
      <c r="K650" s="712"/>
      <c r="L650" s="502"/>
      <c r="M650" s="502"/>
      <c r="O650" s="653"/>
      <c r="P650" s="653"/>
      <c r="Q650" s="653"/>
      <c r="R650" s="663"/>
      <c r="S650" s="661"/>
      <c r="T650" s="662"/>
      <c r="U650" s="539"/>
      <c r="V650" s="539"/>
      <c r="W650" s="539"/>
      <c r="X650" s="540"/>
      <c r="Y650" s="563" t="s">
        <v>238</v>
      </c>
      <c r="Z650" s="647">
        <v>0</v>
      </c>
      <c r="AA650" s="648">
        <v>0</v>
      </c>
      <c r="AB650" s="648">
        <v>0</v>
      </c>
      <c r="AC650" s="648">
        <v>1</v>
      </c>
      <c r="AD650" s="649">
        <v>1</v>
      </c>
      <c r="AE650" s="563" t="s">
        <v>238</v>
      </c>
      <c r="AF650" s="650">
        <f>100%-Z650</f>
        <v>1</v>
      </c>
      <c r="AG650" s="651">
        <f>100%-AA650</f>
        <v>1</v>
      </c>
      <c r="AH650" s="651">
        <f>100%-AB650</f>
        <v>1</v>
      </c>
      <c r="AI650" s="651">
        <f>100%-AC650</f>
        <v>0</v>
      </c>
      <c r="AJ650" s="652">
        <f>100%-AD650</f>
        <v>0</v>
      </c>
      <c r="AK650"/>
      <c r="AL650" s="1887"/>
      <c r="AM650"/>
      <c r="AN650"/>
      <c r="AQ650" s="712"/>
    </row>
    <row r="651" spans="11:43" ht="34">
      <c r="K651" s="712"/>
      <c r="L651" s="502"/>
      <c r="M651" s="502"/>
      <c r="O651" s="653">
        <v>0.2</v>
      </c>
      <c r="P651" s="653"/>
      <c r="Q651" s="653"/>
      <c r="R651" s="661" t="s">
        <v>474</v>
      </c>
      <c r="S651" s="661" t="s">
        <v>476</v>
      </c>
      <c r="T651" s="655">
        <f>ROUND(T646*O651,0)</f>
        <v>38</v>
      </c>
      <c r="U651" s="656">
        <f>ROUND(U646*O651,0)</f>
        <v>38</v>
      </c>
      <c r="V651" s="656">
        <f>ROUND(V646*O651,0)</f>
        <v>38</v>
      </c>
      <c r="W651" s="656">
        <f>ROUND(W646*O651,0)</f>
        <v>39</v>
      </c>
      <c r="X651" s="657">
        <f>ROUND(X646*O651,0)</f>
        <v>39</v>
      </c>
      <c r="Y651" s="563" t="s">
        <v>238</v>
      </c>
      <c r="Z651" s="655">
        <f>ROUND(T651*Z650,0)</f>
        <v>0</v>
      </c>
      <c r="AA651" s="656">
        <f>ROUND(U651*AA650,0)</f>
        <v>0</v>
      </c>
      <c r="AB651" s="656">
        <f>ROUND(V651*AB650,0)</f>
        <v>0</v>
      </c>
      <c r="AC651" s="656">
        <f>ROUND(W651*AC650,0)</f>
        <v>39</v>
      </c>
      <c r="AD651" s="657">
        <f>ROUND(X651*AD650,0)</f>
        <v>39</v>
      </c>
      <c r="AE651" s="563" t="s">
        <v>238</v>
      </c>
      <c r="AF651" s="658">
        <f>ROUND((T651-Z651)*AL651,0)</f>
        <v>19</v>
      </c>
      <c r="AG651" s="659">
        <f>U651-AA651</f>
        <v>38</v>
      </c>
      <c r="AH651" s="659">
        <f>V651-AB651</f>
        <v>38</v>
      </c>
      <c r="AI651" s="659">
        <f>W651-AC651</f>
        <v>0</v>
      </c>
      <c r="AJ651" s="660">
        <f>X651-AD651</f>
        <v>0</v>
      </c>
      <c r="AK651"/>
      <c r="AL651" s="2287">
        <f>Year_2021_covered</f>
        <v>0.5</v>
      </c>
      <c r="AM651"/>
      <c r="AN651"/>
      <c r="AQ651" s="712"/>
    </row>
    <row r="652" spans="11:43" ht="21">
      <c r="K652" s="712"/>
      <c r="L652" s="502"/>
      <c r="M652" s="502"/>
      <c r="O652" s="653"/>
      <c r="P652" s="653"/>
      <c r="Q652" s="653"/>
      <c r="R652" s="578"/>
      <c r="S652" s="661"/>
      <c r="T652" s="662"/>
      <c r="U652" s="539"/>
      <c r="V652" s="539"/>
      <c r="W652" s="539"/>
      <c r="X652" s="540"/>
      <c r="Y652" s="563" t="s">
        <v>238</v>
      </c>
      <c r="Z652" s="719">
        <v>0</v>
      </c>
      <c r="AA652" s="720">
        <v>0</v>
      </c>
      <c r="AB652" s="720">
        <v>0</v>
      </c>
      <c r="AC652" s="720">
        <v>1</v>
      </c>
      <c r="AD652" s="721">
        <v>1</v>
      </c>
      <c r="AE652" s="563" t="s">
        <v>238</v>
      </c>
      <c r="AF652" s="650">
        <f>100%-Z652</f>
        <v>1</v>
      </c>
      <c r="AG652" s="651">
        <f>100%-AA652</f>
        <v>1</v>
      </c>
      <c r="AH652" s="651">
        <f>100%-AB652</f>
        <v>1</v>
      </c>
      <c r="AI652" s="651">
        <f>100%-AC652</f>
        <v>0</v>
      </c>
      <c r="AJ652" s="652">
        <f>100%-AD652</f>
        <v>0</v>
      </c>
      <c r="AK652"/>
      <c r="AL652" s="1887"/>
      <c r="AM652"/>
      <c r="AN652"/>
      <c r="AQ652" s="712"/>
    </row>
    <row r="653" spans="11:43" ht="21">
      <c r="K653" s="712"/>
      <c r="L653" s="502"/>
      <c r="M653" s="502"/>
      <c r="O653" s="653">
        <v>1</v>
      </c>
      <c r="P653" s="653"/>
      <c r="Q653" s="653"/>
      <c r="R653" s="578" t="s">
        <v>510</v>
      </c>
      <c r="S653" s="654" t="s">
        <v>511</v>
      </c>
      <c r="T653" s="655">
        <f>T55+T61</f>
        <v>88</v>
      </c>
      <c r="U653" s="656">
        <f t="shared" ref="U653:X653" si="86">U55+U61</f>
        <v>88</v>
      </c>
      <c r="V653" s="656">
        <f t="shared" si="86"/>
        <v>90</v>
      </c>
      <c r="W653" s="656">
        <f t="shared" si="86"/>
        <v>94</v>
      </c>
      <c r="X653" s="657">
        <f t="shared" si="86"/>
        <v>96</v>
      </c>
      <c r="Y653" s="563" t="s">
        <v>238</v>
      </c>
      <c r="Z653" s="655">
        <f>ROUND(T653*Z652,0)</f>
        <v>0</v>
      </c>
      <c r="AA653" s="656">
        <f>ROUND(U653*AA652,0)</f>
        <v>0</v>
      </c>
      <c r="AB653" s="656">
        <f>ROUND(V653*AB652,0)</f>
        <v>0</v>
      </c>
      <c r="AC653" s="656">
        <f>ROUND(W653*AC652,0)</f>
        <v>94</v>
      </c>
      <c r="AD653" s="657">
        <f>ROUND(X653*AD652,0)</f>
        <v>96</v>
      </c>
      <c r="AE653" s="563" t="s">
        <v>238</v>
      </c>
      <c r="AF653" s="658">
        <f>ROUND((T653-Z653)*AL653,0)</f>
        <v>44</v>
      </c>
      <c r="AG653" s="659">
        <f>U653-AA653</f>
        <v>88</v>
      </c>
      <c r="AH653" s="659">
        <f>V653-AB653</f>
        <v>90</v>
      </c>
      <c r="AI653" s="659">
        <f>W653-AC653</f>
        <v>0</v>
      </c>
      <c r="AJ653" s="660">
        <f>X653-AD653</f>
        <v>0</v>
      </c>
      <c r="AK653"/>
      <c r="AL653" s="2287">
        <f>Year_2021_covered</f>
        <v>0.5</v>
      </c>
      <c r="AM653"/>
      <c r="AN653"/>
      <c r="AQ653" s="712"/>
    </row>
    <row r="654" spans="11:43" ht="22" thickBot="1">
      <c r="K654" s="712"/>
      <c r="L654" s="502"/>
      <c r="M654" s="502"/>
      <c r="O654" s="653"/>
      <c r="P654" s="653"/>
      <c r="Q654" s="653"/>
      <c r="R654" s="663"/>
      <c r="S654" s="661"/>
      <c r="T654" s="664"/>
      <c r="U654" s="543"/>
      <c r="V654" s="543"/>
      <c r="W654" s="543"/>
      <c r="X654" s="544"/>
      <c r="Y654" s="563" t="s">
        <v>238</v>
      </c>
      <c r="Z654" s="664">
        <f>ROUND(Z$173*$O654*$P654*$Q654,0)</f>
        <v>0</v>
      </c>
      <c r="AA654" s="543">
        <f>ROUND(AA$173*$O654*$P654*$Q654,0)</f>
        <v>0</v>
      </c>
      <c r="AB654" s="543">
        <f>ROUND(AB$173*$O654*$P654*$Q654,0)</f>
        <v>0</v>
      </c>
      <c r="AC654" s="543">
        <f>ROUND(AC$173*$O654*$P654*$Q654,0)</f>
        <v>0</v>
      </c>
      <c r="AD654" s="544">
        <f>ROUND(AD$173*$O654*$P654*$Q654,0)</f>
        <v>0</v>
      </c>
      <c r="AE654" s="563" t="s">
        <v>238</v>
      </c>
      <c r="AF654" s="664">
        <f>ROUND(AF$173*$O654*$P654*$Q654,0)</f>
        <v>0</v>
      </c>
      <c r="AG654" s="543">
        <f>ROUND(AG$173*$O654*$P654*$Q654,0)</f>
        <v>0</v>
      </c>
      <c r="AH654" s="543">
        <f>ROUND(AH$173*$O654*$P654*$Q654,0)</f>
        <v>0</v>
      </c>
      <c r="AI654" s="543">
        <f>ROUND(AI$173*$O654*$P654*$Q654,0)</f>
        <v>0</v>
      </c>
      <c r="AJ654" s="544">
        <f>ROUND(AJ$173*$O654*$P654*$Q654,0)</f>
        <v>0</v>
      </c>
      <c r="AK654"/>
      <c r="AL654" s="1887"/>
      <c r="AM654"/>
      <c r="AN654"/>
      <c r="AQ654" s="712"/>
    </row>
    <row r="655" spans="11:43" ht="21">
      <c r="K655" s="712"/>
      <c r="L655" s="502"/>
      <c r="M655" s="502"/>
      <c r="O655" s="526"/>
      <c r="P655" s="526"/>
      <c r="Q655" s="526"/>
      <c r="R655" s="526"/>
      <c r="S655" s="526"/>
      <c r="T655" s="526"/>
      <c r="U655" s="526"/>
      <c r="V655" s="526"/>
      <c r="W655" s="526"/>
      <c r="X655" s="526"/>
      <c r="Y655" s="526"/>
      <c r="Z655" s="526"/>
      <c r="AA655" s="526"/>
      <c r="AB655" s="526"/>
      <c r="AC655" s="526"/>
      <c r="AD655" s="526"/>
      <c r="AE655" s="526"/>
      <c r="AF655" s="526"/>
      <c r="AG655" s="526"/>
      <c r="AH655" s="526"/>
      <c r="AI655" s="526"/>
      <c r="AJ655" s="526"/>
      <c r="AK655"/>
      <c r="AL655"/>
      <c r="AM655"/>
      <c r="AN655"/>
      <c r="AQ655" s="712"/>
    </row>
    <row r="656" spans="11:43" ht="21">
      <c r="K656" s="712"/>
      <c r="L656" s="502"/>
      <c r="M656" s="502"/>
      <c r="O656" s="526"/>
      <c r="P656" s="526"/>
      <c r="Q656" s="526"/>
      <c r="R656" s="526"/>
      <c r="S656" s="526"/>
      <c r="T656" s="571"/>
      <c r="U656" s="571"/>
      <c r="V656" s="571"/>
      <c r="W656" s="571"/>
      <c r="X656" s="571"/>
      <c r="Y656" s="526"/>
      <c r="Z656" s="526"/>
      <c r="AA656" s="526"/>
      <c r="AB656" s="526"/>
      <c r="AC656" s="526"/>
      <c r="AD656" s="526"/>
      <c r="AE656" s="526"/>
      <c r="AF656" s="526"/>
      <c r="AG656" s="526"/>
      <c r="AH656" s="526"/>
      <c r="AI656" s="526"/>
      <c r="AJ656" s="526"/>
      <c r="AK656"/>
      <c r="AL656"/>
      <c r="AM656"/>
      <c r="AN656"/>
      <c r="AQ656" s="712"/>
    </row>
    <row r="657" spans="11:43" ht="22" thickBot="1">
      <c r="K657" s="712"/>
      <c r="L657" s="502"/>
      <c r="M657" s="517"/>
      <c r="N657" s="482" t="s">
        <v>355</v>
      </c>
      <c r="O657" s="526"/>
      <c r="P657" s="526"/>
      <c r="Q657" s="526"/>
      <c r="R657" s="526"/>
      <c r="S657" s="526"/>
      <c r="T657" s="571"/>
      <c r="U657" s="571"/>
      <c r="V657" s="571"/>
      <c r="W657" s="571"/>
      <c r="X657" s="571"/>
      <c r="Y657" s="526"/>
      <c r="Z657" s="526"/>
      <c r="AA657" s="526"/>
      <c r="AB657" s="526"/>
      <c r="AC657" s="526"/>
      <c r="AD657" s="526"/>
      <c r="AE657" s="526"/>
      <c r="AF657" s="526"/>
      <c r="AG657" s="526"/>
      <c r="AH657" s="526"/>
      <c r="AI657" s="526"/>
      <c r="AJ657" s="526"/>
      <c r="AK657"/>
      <c r="AL657"/>
      <c r="AM657"/>
      <c r="AN657"/>
      <c r="AQ657" s="712"/>
    </row>
    <row r="658" spans="11:43" ht="22" thickBot="1">
      <c r="K658" s="712"/>
      <c r="L658" s="502"/>
      <c r="M658" s="502"/>
      <c r="N658" s="514" t="s">
        <v>330</v>
      </c>
      <c r="O658" s="630" t="s">
        <v>312</v>
      </c>
      <c r="P658" s="631" t="s">
        <v>477</v>
      </c>
      <c r="Q658" s="631"/>
      <c r="R658" s="631" t="s">
        <v>328</v>
      </c>
      <c r="S658" s="631" t="s">
        <v>327</v>
      </c>
      <c r="T658" s="631" t="s">
        <v>329</v>
      </c>
      <c r="U658" s="631" t="s">
        <v>97</v>
      </c>
      <c r="V658" s="631"/>
      <c r="W658" s="631"/>
      <c r="X658" s="665"/>
      <c r="Y658" s="526" t="s">
        <v>478</v>
      </c>
      <c r="Z658" s="584">
        <v>2021</v>
      </c>
      <c r="AA658" s="585">
        <v>2022</v>
      </c>
      <c r="AB658" s="585">
        <v>2023</v>
      </c>
      <c r="AC658" s="585">
        <v>2024</v>
      </c>
      <c r="AD658" s="586">
        <v>2025</v>
      </c>
      <c r="AE658" s="526" t="s">
        <v>478</v>
      </c>
      <c r="AF658" s="559">
        <v>2021</v>
      </c>
      <c r="AG658" s="560">
        <v>2022</v>
      </c>
      <c r="AH658" s="560">
        <v>2023</v>
      </c>
      <c r="AI658" s="560">
        <v>2024</v>
      </c>
      <c r="AJ658" s="561">
        <v>2025</v>
      </c>
      <c r="AK658"/>
      <c r="AL658"/>
      <c r="AM658"/>
      <c r="AN658"/>
      <c r="AQ658" s="712"/>
    </row>
    <row r="659" spans="11:43" ht="21">
      <c r="K659" s="712"/>
      <c r="L659" s="502"/>
      <c r="M659" s="502"/>
      <c r="N659" s="518" t="s">
        <v>462</v>
      </c>
      <c r="O659" s="666" t="s">
        <v>463</v>
      </c>
      <c r="P659" s="667">
        <v>0.05</v>
      </c>
      <c r="Q659" s="579"/>
      <c r="R659" s="579">
        <v>2</v>
      </c>
      <c r="S659" s="579">
        <v>30</v>
      </c>
      <c r="T659" s="579">
        <v>8</v>
      </c>
      <c r="U659" s="579">
        <f t="shared" ref="U659:U706" si="87">R659*S659*T659</f>
        <v>480</v>
      </c>
      <c r="V659" s="552"/>
      <c r="W659" s="552"/>
      <c r="X659" s="553"/>
      <c r="Y659" s="526"/>
      <c r="Z659" s="539">
        <f t="shared" ref="Z659:AD668" si="88">ROUND(IFERROR(VLOOKUP($N659,SLD_MS_adulti,Z$338,0)*$U659*$P659*Attrition,0),0)</f>
        <v>0</v>
      </c>
      <c r="AA659" s="539">
        <f t="shared" si="88"/>
        <v>0</v>
      </c>
      <c r="AB659" s="539">
        <f t="shared" si="88"/>
        <v>0</v>
      </c>
      <c r="AC659" s="539">
        <f t="shared" si="88"/>
        <v>2366</v>
      </c>
      <c r="AD659" s="539">
        <f t="shared" si="88"/>
        <v>2428</v>
      </c>
      <c r="AE659" s="526"/>
      <c r="AF659" s="539">
        <f t="shared" ref="AF659:AJ668" si="89">ROUND(IFERROR(VLOOKUP($N659,SLD_MS_adulti,AF$338,0)*$U659*$P659*Attrition,0),0)</f>
        <v>1183</v>
      </c>
      <c r="AG659" s="539">
        <f t="shared" si="89"/>
        <v>2346</v>
      </c>
      <c r="AH659" s="539">
        <f t="shared" si="89"/>
        <v>2366</v>
      </c>
      <c r="AI659" s="539">
        <f t="shared" si="89"/>
        <v>0</v>
      </c>
      <c r="AJ659" s="539">
        <f t="shared" si="89"/>
        <v>0</v>
      </c>
      <c r="AK659"/>
      <c r="AL659"/>
      <c r="AM659"/>
      <c r="AN659"/>
      <c r="AQ659" s="712"/>
    </row>
    <row r="660" spans="11:43" ht="21">
      <c r="K660" s="712"/>
      <c r="L660" s="502"/>
      <c r="M660" s="502"/>
      <c r="N660" s="518" t="s">
        <v>462</v>
      </c>
      <c r="O660" s="432" t="s">
        <v>1808</v>
      </c>
      <c r="P660" s="667">
        <v>0.05</v>
      </c>
      <c r="Q660" s="633"/>
      <c r="R660" s="579">
        <v>4</v>
      </c>
      <c r="S660" s="579">
        <v>30</v>
      </c>
      <c r="T660" s="633">
        <v>10</v>
      </c>
      <c r="U660" s="579">
        <f t="shared" si="87"/>
        <v>1200</v>
      </c>
      <c r="V660" s="552"/>
      <c r="W660" s="552"/>
      <c r="X660" s="553"/>
      <c r="Y660" s="526"/>
      <c r="Z660" s="539">
        <f t="shared" si="88"/>
        <v>0</v>
      </c>
      <c r="AA660" s="539">
        <f t="shared" si="88"/>
        <v>0</v>
      </c>
      <c r="AB660" s="539">
        <f t="shared" si="88"/>
        <v>0</v>
      </c>
      <c r="AC660" s="539">
        <f t="shared" si="88"/>
        <v>5916</v>
      </c>
      <c r="AD660" s="539">
        <f t="shared" si="88"/>
        <v>6069</v>
      </c>
      <c r="AE660" s="526"/>
      <c r="AF660" s="539">
        <f t="shared" si="89"/>
        <v>2958</v>
      </c>
      <c r="AG660" s="539">
        <f t="shared" si="89"/>
        <v>5865</v>
      </c>
      <c r="AH660" s="539">
        <f t="shared" si="89"/>
        <v>5916</v>
      </c>
      <c r="AI660" s="539">
        <f t="shared" si="89"/>
        <v>0</v>
      </c>
      <c r="AJ660" s="539">
        <f t="shared" si="89"/>
        <v>0</v>
      </c>
      <c r="AK660"/>
      <c r="AL660"/>
      <c r="AM660"/>
      <c r="AN660"/>
      <c r="AQ660" s="712"/>
    </row>
    <row r="661" spans="11:43" ht="21">
      <c r="K661" s="712"/>
      <c r="L661" s="502"/>
      <c r="M661" s="502"/>
      <c r="N661" s="518" t="s">
        <v>462</v>
      </c>
      <c r="O661" s="432" t="s">
        <v>1809</v>
      </c>
      <c r="P661" s="667">
        <v>0.05</v>
      </c>
      <c r="Q661" s="633"/>
      <c r="R661" s="579">
        <v>2</v>
      </c>
      <c r="S661" s="579">
        <v>30</v>
      </c>
      <c r="T661" s="633">
        <v>10</v>
      </c>
      <c r="U661" s="579">
        <f t="shared" si="87"/>
        <v>600</v>
      </c>
      <c r="V661" s="552"/>
      <c r="W661" s="552"/>
      <c r="X661" s="553"/>
      <c r="Y661" s="526"/>
      <c r="Z661" s="539">
        <f t="shared" si="88"/>
        <v>0</v>
      </c>
      <c r="AA661" s="539">
        <f t="shared" si="88"/>
        <v>0</v>
      </c>
      <c r="AB661" s="539">
        <f t="shared" si="88"/>
        <v>0</v>
      </c>
      <c r="AC661" s="539">
        <f t="shared" si="88"/>
        <v>2958</v>
      </c>
      <c r="AD661" s="539">
        <f t="shared" si="88"/>
        <v>3035</v>
      </c>
      <c r="AE661" s="526"/>
      <c r="AF661" s="539">
        <f t="shared" si="89"/>
        <v>1479</v>
      </c>
      <c r="AG661" s="539">
        <f t="shared" si="89"/>
        <v>2933</v>
      </c>
      <c r="AH661" s="539">
        <f t="shared" si="89"/>
        <v>2958</v>
      </c>
      <c r="AI661" s="539">
        <f t="shared" si="89"/>
        <v>0</v>
      </c>
      <c r="AJ661" s="539">
        <f t="shared" si="89"/>
        <v>0</v>
      </c>
      <c r="AK661"/>
      <c r="AL661"/>
      <c r="AM661"/>
      <c r="AN661"/>
      <c r="AQ661" s="712"/>
    </row>
    <row r="662" spans="11:43" ht="21">
      <c r="K662" s="712"/>
      <c r="L662" s="502"/>
      <c r="M662" s="502"/>
      <c r="N662" s="518" t="s">
        <v>462</v>
      </c>
      <c r="O662" s="578" t="s">
        <v>464</v>
      </c>
      <c r="P662" s="671">
        <v>0.8</v>
      </c>
      <c r="Q662" s="633"/>
      <c r="R662" s="637">
        <v>188</v>
      </c>
      <c r="S662" s="637">
        <v>1</v>
      </c>
      <c r="T662" s="672">
        <v>1</v>
      </c>
      <c r="U662" s="672">
        <f t="shared" si="87"/>
        <v>188</v>
      </c>
      <c r="V662" s="552"/>
      <c r="W662" s="552"/>
      <c r="X662" s="553"/>
      <c r="Y662" s="526"/>
      <c r="Z662" s="539">
        <f t="shared" si="88"/>
        <v>0</v>
      </c>
      <c r="AA662" s="539">
        <f t="shared" si="88"/>
        <v>0</v>
      </c>
      <c r="AB662" s="539">
        <f t="shared" si="88"/>
        <v>0</v>
      </c>
      <c r="AC662" s="539">
        <f t="shared" si="88"/>
        <v>14829</v>
      </c>
      <c r="AD662" s="539">
        <f t="shared" si="88"/>
        <v>15213</v>
      </c>
      <c r="AE662" s="526"/>
      <c r="AF662" s="539">
        <f t="shared" si="89"/>
        <v>7415</v>
      </c>
      <c r="AG662" s="539">
        <f t="shared" si="89"/>
        <v>14702</v>
      </c>
      <c r="AH662" s="539">
        <f t="shared" si="89"/>
        <v>14829</v>
      </c>
      <c r="AI662" s="539">
        <f t="shared" si="89"/>
        <v>0</v>
      </c>
      <c r="AJ662" s="539">
        <f t="shared" si="89"/>
        <v>0</v>
      </c>
      <c r="AK662"/>
      <c r="AL662"/>
      <c r="AM662"/>
      <c r="AN662"/>
      <c r="AQ662" s="712"/>
    </row>
    <row r="663" spans="11:43" ht="21">
      <c r="K663" s="712"/>
      <c r="L663" s="502"/>
      <c r="M663" s="502"/>
      <c r="N663" s="518" t="s">
        <v>462</v>
      </c>
      <c r="O663" s="578" t="s">
        <v>465</v>
      </c>
      <c r="P663" s="673">
        <v>0.8</v>
      </c>
      <c r="Q663" s="579"/>
      <c r="R663" s="579">
        <v>1</v>
      </c>
      <c r="S663" s="579">
        <v>30</v>
      </c>
      <c r="T663" s="579">
        <v>18</v>
      </c>
      <c r="U663" s="579">
        <f t="shared" si="87"/>
        <v>540</v>
      </c>
      <c r="V663" s="552"/>
      <c r="W663" s="552"/>
      <c r="X663" s="553"/>
      <c r="Y663" s="526"/>
      <c r="Z663" s="539">
        <f t="shared" si="88"/>
        <v>0</v>
      </c>
      <c r="AA663" s="539">
        <f t="shared" si="88"/>
        <v>0</v>
      </c>
      <c r="AB663" s="539">
        <f t="shared" si="88"/>
        <v>0</v>
      </c>
      <c r="AC663" s="539">
        <f t="shared" si="88"/>
        <v>42595</v>
      </c>
      <c r="AD663" s="539">
        <f t="shared" si="88"/>
        <v>43697</v>
      </c>
      <c r="AE663" s="526"/>
      <c r="AF663" s="539">
        <f t="shared" si="89"/>
        <v>21298</v>
      </c>
      <c r="AG663" s="539">
        <f t="shared" si="89"/>
        <v>42228</v>
      </c>
      <c r="AH663" s="539">
        <f t="shared" si="89"/>
        <v>42595</v>
      </c>
      <c r="AI663" s="539">
        <f t="shared" si="89"/>
        <v>0</v>
      </c>
      <c r="AJ663" s="539">
        <f t="shared" si="89"/>
        <v>0</v>
      </c>
      <c r="AK663"/>
      <c r="AL663"/>
      <c r="AM663"/>
      <c r="AN663"/>
      <c r="AQ663" s="712"/>
    </row>
    <row r="664" spans="11:43" ht="21">
      <c r="K664" s="712"/>
      <c r="L664" s="502"/>
      <c r="M664" s="502"/>
      <c r="N664" s="518" t="s">
        <v>462</v>
      </c>
      <c r="O664" s="578" t="s">
        <v>466</v>
      </c>
      <c r="P664" s="673">
        <v>0.8</v>
      </c>
      <c r="Q664" s="579"/>
      <c r="R664" s="579">
        <v>3</v>
      </c>
      <c r="S664" s="579">
        <v>30</v>
      </c>
      <c r="T664" s="579">
        <v>18</v>
      </c>
      <c r="U664" s="579">
        <f t="shared" si="87"/>
        <v>1620</v>
      </c>
      <c r="V664" s="552"/>
      <c r="W664" s="552"/>
      <c r="X664" s="553"/>
      <c r="Y664" s="526"/>
      <c r="Z664" s="539">
        <f t="shared" si="88"/>
        <v>0</v>
      </c>
      <c r="AA664" s="539">
        <f t="shared" si="88"/>
        <v>0</v>
      </c>
      <c r="AB664" s="539">
        <f t="shared" si="88"/>
        <v>0</v>
      </c>
      <c r="AC664" s="539">
        <f t="shared" si="88"/>
        <v>127786</v>
      </c>
      <c r="AD664" s="539">
        <f t="shared" si="88"/>
        <v>131090</v>
      </c>
      <c r="AE664" s="526"/>
      <c r="AF664" s="539">
        <f t="shared" si="89"/>
        <v>63893</v>
      </c>
      <c r="AG664" s="539">
        <f t="shared" si="89"/>
        <v>126684</v>
      </c>
      <c r="AH664" s="539">
        <f t="shared" si="89"/>
        <v>127786</v>
      </c>
      <c r="AI664" s="539">
        <f t="shared" si="89"/>
        <v>0</v>
      </c>
      <c r="AJ664" s="539">
        <f t="shared" si="89"/>
        <v>0</v>
      </c>
      <c r="AK664"/>
      <c r="AL664"/>
      <c r="AM664"/>
      <c r="AN664"/>
      <c r="AQ664" s="712"/>
    </row>
    <row r="665" spans="11:43" ht="21">
      <c r="K665" s="712"/>
      <c r="L665" s="502"/>
      <c r="M665" s="502"/>
      <c r="N665" s="518" t="s">
        <v>462</v>
      </c>
      <c r="O665" s="636" t="s">
        <v>467</v>
      </c>
      <c r="P665" s="667">
        <v>0.2</v>
      </c>
      <c r="Q665" s="579"/>
      <c r="R665" s="579">
        <v>4</v>
      </c>
      <c r="S665" s="579">
        <v>30</v>
      </c>
      <c r="T665" s="579">
        <v>6</v>
      </c>
      <c r="U665" s="579">
        <f t="shared" si="87"/>
        <v>720</v>
      </c>
      <c r="V665" s="552"/>
      <c r="W665" s="552"/>
      <c r="X665" s="553"/>
      <c r="Y665" s="526"/>
      <c r="Z665" s="539">
        <f t="shared" si="88"/>
        <v>0</v>
      </c>
      <c r="AA665" s="539">
        <f t="shared" si="88"/>
        <v>0</v>
      </c>
      <c r="AB665" s="539">
        <f t="shared" si="88"/>
        <v>0</v>
      </c>
      <c r="AC665" s="539">
        <f t="shared" si="88"/>
        <v>14198</v>
      </c>
      <c r="AD665" s="539">
        <f t="shared" si="88"/>
        <v>14566</v>
      </c>
      <c r="AE665" s="526"/>
      <c r="AF665" s="539">
        <f t="shared" si="89"/>
        <v>7099</v>
      </c>
      <c r="AG665" s="539">
        <f t="shared" si="89"/>
        <v>14076</v>
      </c>
      <c r="AH665" s="539">
        <f t="shared" si="89"/>
        <v>14198</v>
      </c>
      <c r="AI665" s="539">
        <f t="shared" si="89"/>
        <v>0</v>
      </c>
      <c r="AJ665" s="539">
        <f t="shared" si="89"/>
        <v>0</v>
      </c>
      <c r="AK665"/>
      <c r="AL665"/>
      <c r="AM665"/>
      <c r="AN665"/>
      <c r="AQ665" s="712"/>
    </row>
    <row r="666" spans="11:43" ht="21">
      <c r="K666" s="712"/>
      <c r="L666" s="502"/>
      <c r="M666" s="502"/>
      <c r="N666" s="518" t="s">
        <v>462</v>
      </c>
      <c r="O666" s="636" t="s">
        <v>313</v>
      </c>
      <c r="P666" s="667">
        <v>0.3</v>
      </c>
      <c r="Q666" s="579"/>
      <c r="R666" s="579">
        <v>3</v>
      </c>
      <c r="S666" s="579">
        <v>30</v>
      </c>
      <c r="T666" s="579">
        <v>18</v>
      </c>
      <c r="U666" s="579">
        <f t="shared" si="87"/>
        <v>1620</v>
      </c>
      <c r="V666" s="552"/>
      <c r="W666" s="552"/>
      <c r="X666" s="553"/>
      <c r="Y666" s="526"/>
      <c r="Z666" s="539">
        <f t="shared" si="88"/>
        <v>0</v>
      </c>
      <c r="AA666" s="539">
        <f t="shared" si="88"/>
        <v>0</v>
      </c>
      <c r="AB666" s="539">
        <f t="shared" si="88"/>
        <v>0</v>
      </c>
      <c r="AC666" s="539">
        <f t="shared" si="88"/>
        <v>47920</v>
      </c>
      <c r="AD666" s="539">
        <f t="shared" si="88"/>
        <v>49159</v>
      </c>
      <c r="AE666" s="526"/>
      <c r="AF666" s="539">
        <f t="shared" si="89"/>
        <v>23960</v>
      </c>
      <c r="AG666" s="539">
        <f t="shared" si="89"/>
        <v>47507</v>
      </c>
      <c r="AH666" s="539">
        <f t="shared" si="89"/>
        <v>47920</v>
      </c>
      <c r="AI666" s="539">
        <f t="shared" si="89"/>
        <v>0</v>
      </c>
      <c r="AJ666" s="539">
        <f t="shared" si="89"/>
        <v>0</v>
      </c>
      <c r="AK666"/>
      <c r="AL666"/>
      <c r="AM666"/>
      <c r="AN666"/>
      <c r="AQ666" s="712"/>
    </row>
    <row r="667" spans="11:43" ht="21">
      <c r="K667" s="712"/>
      <c r="L667" s="502"/>
      <c r="M667" s="502"/>
      <c r="N667" s="518" t="s">
        <v>462</v>
      </c>
      <c r="O667" s="636" t="s">
        <v>468</v>
      </c>
      <c r="P667" s="667">
        <v>0.15</v>
      </c>
      <c r="Q667" s="579"/>
      <c r="R667" s="579">
        <v>3</v>
      </c>
      <c r="S667" s="579">
        <v>30</v>
      </c>
      <c r="T667" s="579">
        <v>18</v>
      </c>
      <c r="U667" s="579">
        <f t="shared" si="87"/>
        <v>1620</v>
      </c>
      <c r="V667" s="552"/>
      <c r="W667" s="552"/>
      <c r="X667" s="553"/>
      <c r="Y667" s="526"/>
      <c r="Z667" s="539">
        <f t="shared" si="88"/>
        <v>0</v>
      </c>
      <c r="AA667" s="539">
        <f t="shared" si="88"/>
        <v>0</v>
      </c>
      <c r="AB667" s="539">
        <f t="shared" si="88"/>
        <v>0</v>
      </c>
      <c r="AC667" s="539">
        <f t="shared" si="88"/>
        <v>23960</v>
      </c>
      <c r="AD667" s="539">
        <f t="shared" si="88"/>
        <v>24579</v>
      </c>
      <c r="AE667" s="526"/>
      <c r="AF667" s="539">
        <f t="shared" si="89"/>
        <v>11980</v>
      </c>
      <c r="AG667" s="539">
        <f t="shared" si="89"/>
        <v>23753</v>
      </c>
      <c r="AH667" s="539">
        <f t="shared" si="89"/>
        <v>23960</v>
      </c>
      <c r="AI667" s="539">
        <f t="shared" si="89"/>
        <v>0</v>
      </c>
      <c r="AJ667" s="539">
        <f t="shared" si="89"/>
        <v>0</v>
      </c>
      <c r="AK667"/>
      <c r="AL667"/>
      <c r="AM667"/>
      <c r="AN667"/>
      <c r="AQ667" s="712"/>
    </row>
    <row r="668" spans="11:43" ht="21">
      <c r="K668" s="712"/>
      <c r="L668" s="502"/>
      <c r="M668" s="502"/>
      <c r="N668" s="518" t="s">
        <v>462</v>
      </c>
      <c r="O668" s="636" t="s">
        <v>469</v>
      </c>
      <c r="P668" s="667">
        <v>0.8</v>
      </c>
      <c r="Q668" s="579"/>
      <c r="R668" s="579">
        <v>4</v>
      </c>
      <c r="S668" s="579">
        <v>30</v>
      </c>
      <c r="T668" s="579">
        <v>18</v>
      </c>
      <c r="U668" s="579">
        <f t="shared" si="87"/>
        <v>2160</v>
      </c>
      <c r="V668" s="552"/>
      <c r="W668" s="552"/>
      <c r="X668" s="553"/>
      <c r="Y668" s="526"/>
      <c r="Z668" s="539">
        <f t="shared" si="88"/>
        <v>0</v>
      </c>
      <c r="AA668" s="539">
        <f t="shared" si="88"/>
        <v>0</v>
      </c>
      <c r="AB668" s="539">
        <f t="shared" si="88"/>
        <v>0</v>
      </c>
      <c r="AC668" s="539">
        <f t="shared" si="88"/>
        <v>170381</v>
      </c>
      <c r="AD668" s="539">
        <f t="shared" si="88"/>
        <v>174787</v>
      </c>
      <c r="AE668" s="526"/>
      <c r="AF668" s="539">
        <f t="shared" si="89"/>
        <v>85190</v>
      </c>
      <c r="AG668" s="539">
        <f t="shared" si="89"/>
        <v>168912</v>
      </c>
      <c r="AH668" s="539">
        <f t="shared" si="89"/>
        <v>170381</v>
      </c>
      <c r="AI668" s="539">
        <f t="shared" si="89"/>
        <v>0</v>
      </c>
      <c r="AJ668" s="539">
        <f t="shared" si="89"/>
        <v>0</v>
      </c>
      <c r="AK668"/>
      <c r="AL668"/>
      <c r="AM668"/>
      <c r="AN668"/>
      <c r="AQ668" s="712"/>
    </row>
    <row r="669" spans="11:43" ht="21">
      <c r="K669" s="712"/>
      <c r="L669" s="502"/>
      <c r="M669" s="502"/>
      <c r="N669" s="518" t="s">
        <v>462</v>
      </c>
      <c r="O669" s="636" t="s">
        <v>470</v>
      </c>
      <c r="P669" s="667">
        <v>1</v>
      </c>
      <c r="Q669" s="579"/>
      <c r="R669" s="579">
        <v>1</v>
      </c>
      <c r="S669" s="579">
        <v>30</v>
      </c>
      <c r="T669" s="579">
        <v>18</v>
      </c>
      <c r="U669" s="579">
        <f t="shared" si="87"/>
        <v>540</v>
      </c>
      <c r="V669" s="552"/>
      <c r="W669" s="552"/>
      <c r="X669" s="553"/>
      <c r="Y669" s="526"/>
      <c r="Z669" s="539">
        <f t="shared" ref="Z669:AD678" si="90">ROUND(IFERROR(VLOOKUP($N669,SLD_MS_adulti,Z$338,0)*$U669*$P669*Attrition,0),0)</f>
        <v>0</v>
      </c>
      <c r="AA669" s="539">
        <f t="shared" si="90"/>
        <v>0</v>
      </c>
      <c r="AB669" s="539">
        <f t="shared" si="90"/>
        <v>0</v>
      </c>
      <c r="AC669" s="539">
        <f t="shared" si="90"/>
        <v>53244</v>
      </c>
      <c r="AD669" s="539">
        <f t="shared" si="90"/>
        <v>54621</v>
      </c>
      <c r="AE669" s="526"/>
      <c r="AF669" s="539">
        <f t="shared" ref="AF669:AJ678" si="91">ROUND(IFERROR(VLOOKUP($N669,SLD_MS_adulti,AF$338,0)*$U669*$P669*Attrition,0),0)</f>
        <v>26622</v>
      </c>
      <c r="AG669" s="539">
        <f t="shared" si="91"/>
        <v>52785</v>
      </c>
      <c r="AH669" s="539">
        <f t="shared" si="91"/>
        <v>53244</v>
      </c>
      <c r="AI669" s="539">
        <f t="shared" si="91"/>
        <v>0</v>
      </c>
      <c r="AJ669" s="539">
        <f t="shared" si="91"/>
        <v>0</v>
      </c>
      <c r="AK669"/>
      <c r="AL669"/>
      <c r="AM669"/>
      <c r="AN669"/>
      <c r="AQ669" s="712"/>
    </row>
    <row r="670" spans="11:43" ht="21">
      <c r="K670" s="712"/>
      <c r="L670" s="502"/>
      <c r="M670" s="502"/>
      <c r="N670" s="518" t="s">
        <v>462</v>
      </c>
      <c r="O670" s="636" t="s">
        <v>471</v>
      </c>
      <c r="P670" s="667">
        <v>0.2</v>
      </c>
      <c r="Q670" s="579"/>
      <c r="R670" s="579">
        <v>1</v>
      </c>
      <c r="S670" s="579">
        <v>30</v>
      </c>
      <c r="T670" s="579">
        <v>18</v>
      </c>
      <c r="U670" s="579">
        <f t="shared" si="87"/>
        <v>540</v>
      </c>
      <c r="V670" s="552"/>
      <c r="W670" s="552"/>
      <c r="X670" s="553"/>
      <c r="Y670" s="526"/>
      <c r="Z670" s="539">
        <f t="shared" si="90"/>
        <v>0</v>
      </c>
      <c r="AA670" s="539">
        <f t="shared" si="90"/>
        <v>0</v>
      </c>
      <c r="AB670" s="539">
        <f t="shared" si="90"/>
        <v>0</v>
      </c>
      <c r="AC670" s="539">
        <f t="shared" si="90"/>
        <v>10649</v>
      </c>
      <c r="AD670" s="539">
        <f t="shared" si="90"/>
        <v>10924</v>
      </c>
      <c r="AE670" s="526"/>
      <c r="AF670" s="539">
        <f t="shared" si="91"/>
        <v>5324</v>
      </c>
      <c r="AG670" s="539">
        <f t="shared" si="91"/>
        <v>10557</v>
      </c>
      <c r="AH670" s="539">
        <f t="shared" si="91"/>
        <v>10649</v>
      </c>
      <c r="AI670" s="539">
        <f t="shared" si="91"/>
        <v>0</v>
      </c>
      <c r="AJ670" s="539">
        <f t="shared" si="91"/>
        <v>0</v>
      </c>
      <c r="AK670"/>
      <c r="AL670"/>
      <c r="AM670"/>
      <c r="AN670"/>
      <c r="AQ670" s="712"/>
    </row>
    <row r="671" spans="11:43" ht="21">
      <c r="K671" s="712"/>
      <c r="L671" s="502"/>
      <c r="M671" s="502"/>
      <c r="N671" s="518" t="s">
        <v>462</v>
      </c>
      <c r="O671" s="636" t="s">
        <v>472</v>
      </c>
      <c r="P671" s="667">
        <v>0.1</v>
      </c>
      <c r="Q671" s="579"/>
      <c r="R671" s="579">
        <v>2</v>
      </c>
      <c r="S671" s="579">
        <v>30</v>
      </c>
      <c r="T671" s="579">
        <v>18</v>
      </c>
      <c r="U671" s="579">
        <f t="shared" si="87"/>
        <v>1080</v>
      </c>
      <c r="V671" s="552"/>
      <c r="W671" s="552"/>
      <c r="X671" s="553"/>
      <c r="Y671" s="526"/>
      <c r="Z671" s="539">
        <f t="shared" si="90"/>
        <v>0</v>
      </c>
      <c r="AA671" s="539">
        <f t="shared" si="90"/>
        <v>0</v>
      </c>
      <c r="AB671" s="539">
        <f t="shared" si="90"/>
        <v>0</v>
      </c>
      <c r="AC671" s="539">
        <f t="shared" si="90"/>
        <v>10649</v>
      </c>
      <c r="AD671" s="539">
        <f t="shared" si="90"/>
        <v>10924</v>
      </c>
      <c r="AE671" s="526"/>
      <c r="AF671" s="539">
        <f t="shared" si="91"/>
        <v>5324</v>
      </c>
      <c r="AG671" s="539">
        <f t="shared" si="91"/>
        <v>10557</v>
      </c>
      <c r="AH671" s="539">
        <f t="shared" si="91"/>
        <v>10649</v>
      </c>
      <c r="AI671" s="539">
        <f t="shared" si="91"/>
        <v>0</v>
      </c>
      <c r="AJ671" s="539">
        <f t="shared" si="91"/>
        <v>0</v>
      </c>
      <c r="AK671"/>
      <c r="AL671"/>
      <c r="AM671"/>
      <c r="AN671"/>
      <c r="AQ671" s="712"/>
    </row>
    <row r="672" spans="11:43" ht="21">
      <c r="K672" s="712"/>
      <c r="L672" s="502"/>
      <c r="M672" s="502"/>
      <c r="N672" s="518" t="s">
        <v>462</v>
      </c>
      <c r="O672" s="636" t="s">
        <v>314</v>
      </c>
      <c r="P672" s="667">
        <v>0.2</v>
      </c>
      <c r="Q672" s="579"/>
      <c r="R672" s="579">
        <v>5</v>
      </c>
      <c r="S672" s="579">
        <v>30</v>
      </c>
      <c r="T672" s="579">
        <v>18</v>
      </c>
      <c r="U672" s="579">
        <f t="shared" si="87"/>
        <v>2700</v>
      </c>
      <c r="V672" s="552"/>
      <c r="W672" s="552"/>
      <c r="X672" s="553"/>
      <c r="Y672" s="526"/>
      <c r="Z672" s="539">
        <f t="shared" si="90"/>
        <v>0</v>
      </c>
      <c r="AA672" s="539">
        <f t="shared" si="90"/>
        <v>0</v>
      </c>
      <c r="AB672" s="539">
        <f t="shared" si="90"/>
        <v>0</v>
      </c>
      <c r="AC672" s="539">
        <f t="shared" si="90"/>
        <v>53244</v>
      </c>
      <c r="AD672" s="539">
        <f t="shared" si="90"/>
        <v>54621</v>
      </c>
      <c r="AE672" s="526"/>
      <c r="AF672" s="539">
        <f t="shared" si="91"/>
        <v>26622</v>
      </c>
      <c r="AG672" s="539">
        <f t="shared" si="91"/>
        <v>52785</v>
      </c>
      <c r="AH672" s="539">
        <f t="shared" si="91"/>
        <v>53244</v>
      </c>
      <c r="AI672" s="539">
        <f t="shared" si="91"/>
        <v>0</v>
      </c>
      <c r="AJ672" s="539">
        <f t="shared" si="91"/>
        <v>0</v>
      </c>
      <c r="AK672"/>
      <c r="AL672"/>
      <c r="AM672"/>
      <c r="AN672"/>
      <c r="AQ672" s="712"/>
    </row>
    <row r="673" spans="11:43" ht="21">
      <c r="K673" s="712"/>
      <c r="L673" s="502"/>
      <c r="M673" s="502"/>
      <c r="N673" s="522"/>
      <c r="O673" s="674"/>
      <c r="P673" s="675"/>
      <c r="Q673" s="676"/>
      <c r="R673" s="676">
        <v>0</v>
      </c>
      <c r="S673" s="676">
        <v>30</v>
      </c>
      <c r="T673" s="676"/>
      <c r="U673" s="676">
        <f t="shared" si="87"/>
        <v>0</v>
      </c>
      <c r="V673" s="677"/>
      <c r="W673" s="677"/>
      <c r="X673" s="678"/>
      <c r="Y673" s="526"/>
      <c r="Z673" s="539">
        <f t="shared" si="90"/>
        <v>0</v>
      </c>
      <c r="AA673" s="539">
        <f t="shared" si="90"/>
        <v>0</v>
      </c>
      <c r="AB673" s="539">
        <f t="shared" si="90"/>
        <v>0</v>
      </c>
      <c r="AC673" s="539">
        <f t="shared" si="90"/>
        <v>0</v>
      </c>
      <c r="AD673" s="539">
        <f t="shared" si="90"/>
        <v>0</v>
      </c>
      <c r="AE673" s="526"/>
      <c r="AF673" s="539">
        <f t="shared" si="91"/>
        <v>0</v>
      </c>
      <c r="AG673" s="539">
        <f t="shared" si="91"/>
        <v>0</v>
      </c>
      <c r="AH673" s="539">
        <f t="shared" si="91"/>
        <v>0</v>
      </c>
      <c r="AI673" s="539">
        <f t="shared" si="91"/>
        <v>0</v>
      </c>
      <c r="AJ673" s="539">
        <f t="shared" si="91"/>
        <v>0</v>
      </c>
      <c r="AK673"/>
      <c r="AL673"/>
      <c r="AM673"/>
      <c r="AN673"/>
      <c r="AQ673" s="712"/>
    </row>
    <row r="674" spans="11:43" ht="21">
      <c r="K674" s="712"/>
      <c r="L674" s="502"/>
      <c r="M674" s="502"/>
      <c r="N674" s="518" t="s">
        <v>473</v>
      </c>
      <c r="O674" s="552" t="s">
        <v>464</v>
      </c>
      <c r="P674" s="667">
        <v>1</v>
      </c>
      <c r="Q674" s="579"/>
      <c r="R674" s="637">
        <v>284</v>
      </c>
      <c r="S674" s="637">
        <v>1</v>
      </c>
      <c r="T674" s="672">
        <v>1</v>
      </c>
      <c r="U674" s="672">
        <f t="shared" si="87"/>
        <v>284</v>
      </c>
      <c r="V674" s="552"/>
      <c r="W674" s="552"/>
      <c r="X674" s="553"/>
      <c r="Y674" s="526"/>
      <c r="Z674" s="539">
        <f t="shared" si="90"/>
        <v>0</v>
      </c>
      <c r="AA674" s="539">
        <f t="shared" si="90"/>
        <v>0</v>
      </c>
      <c r="AB674" s="539">
        <f t="shared" si="90"/>
        <v>0</v>
      </c>
      <c r="AC674" s="539">
        <f t="shared" si="90"/>
        <v>9415</v>
      </c>
      <c r="AD674" s="539">
        <f t="shared" si="90"/>
        <v>9415</v>
      </c>
      <c r="AE674" s="526"/>
      <c r="AF674" s="539">
        <f t="shared" si="91"/>
        <v>4587</v>
      </c>
      <c r="AG674" s="539">
        <f t="shared" si="91"/>
        <v>9173</v>
      </c>
      <c r="AH674" s="539">
        <f t="shared" si="91"/>
        <v>9173</v>
      </c>
      <c r="AI674" s="539">
        <f t="shared" si="91"/>
        <v>0</v>
      </c>
      <c r="AJ674" s="539">
        <f t="shared" si="91"/>
        <v>0</v>
      </c>
      <c r="AK674"/>
      <c r="AL674"/>
      <c r="AM674"/>
      <c r="AN674"/>
      <c r="AQ674" s="712"/>
    </row>
    <row r="675" spans="11:43" ht="21">
      <c r="K675" s="712"/>
      <c r="L675" s="502"/>
      <c r="M675" s="502"/>
      <c r="N675" s="518" t="s">
        <v>473</v>
      </c>
      <c r="O675" s="552" t="s">
        <v>465</v>
      </c>
      <c r="P675" s="667">
        <v>1</v>
      </c>
      <c r="Q675" s="579"/>
      <c r="R675" s="579">
        <v>1</v>
      </c>
      <c r="S675" s="579">
        <v>30</v>
      </c>
      <c r="T675" s="579">
        <v>9</v>
      </c>
      <c r="U675" s="579">
        <f t="shared" si="87"/>
        <v>270</v>
      </c>
      <c r="V675" s="552"/>
      <c r="W675" s="552"/>
      <c r="X675" s="553"/>
      <c r="Y675" s="526"/>
      <c r="Z675" s="539">
        <f t="shared" si="90"/>
        <v>0</v>
      </c>
      <c r="AA675" s="539">
        <f t="shared" si="90"/>
        <v>0</v>
      </c>
      <c r="AB675" s="539">
        <f t="shared" si="90"/>
        <v>0</v>
      </c>
      <c r="AC675" s="539">
        <f t="shared" si="90"/>
        <v>8951</v>
      </c>
      <c r="AD675" s="539">
        <f t="shared" si="90"/>
        <v>8951</v>
      </c>
      <c r="AE675" s="526"/>
      <c r="AF675" s="539">
        <f t="shared" si="91"/>
        <v>4361</v>
      </c>
      <c r="AG675" s="539">
        <f t="shared" si="91"/>
        <v>8721</v>
      </c>
      <c r="AH675" s="539">
        <f t="shared" si="91"/>
        <v>8721</v>
      </c>
      <c r="AI675" s="539">
        <f t="shared" si="91"/>
        <v>0</v>
      </c>
      <c r="AJ675" s="539">
        <f t="shared" si="91"/>
        <v>0</v>
      </c>
      <c r="AK675"/>
      <c r="AL675"/>
      <c r="AM675"/>
      <c r="AN675"/>
      <c r="AQ675" s="712"/>
    </row>
    <row r="676" spans="11:43" ht="21">
      <c r="K676" s="712"/>
      <c r="L676" s="502"/>
      <c r="M676" s="502"/>
      <c r="N676" s="518" t="s">
        <v>473</v>
      </c>
      <c r="O676" s="552" t="s">
        <v>470</v>
      </c>
      <c r="P676" s="667">
        <v>1</v>
      </c>
      <c r="Q676" s="579"/>
      <c r="R676" s="579">
        <v>1</v>
      </c>
      <c r="S676" s="579">
        <v>30</v>
      </c>
      <c r="T676" s="579">
        <v>9</v>
      </c>
      <c r="U676" s="579">
        <f t="shared" si="87"/>
        <v>270</v>
      </c>
      <c r="V676" s="552"/>
      <c r="W676" s="552"/>
      <c r="X676" s="553"/>
      <c r="Y676" s="526"/>
      <c r="Z676" s="539">
        <f t="shared" si="90"/>
        <v>0</v>
      </c>
      <c r="AA676" s="539">
        <f t="shared" si="90"/>
        <v>0</v>
      </c>
      <c r="AB676" s="539">
        <f t="shared" si="90"/>
        <v>0</v>
      </c>
      <c r="AC676" s="539">
        <f t="shared" si="90"/>
        <v>8951</v>
      </c>
      <c r="AD676" s="539">
        <f t="shared" si="90"/>
        <v>8951</v>
      </c>
      <c r="AE676" s="526"/>
      <c r="AF676" s="539">
        <f t="shared" si="91"/>
        <v>4361</v>
      </c>
      <c r="AG676" s="539">
        <f t="shared" si="91"/>
        <v>8721</v>
      </c>
      <c r="AH676" s="539">
        <f t="shared" si="91"/>
        <v>8721</v>
      </c>
      <c r="AI676" s="539">
        <f t="shared" si="91"/>
        <v>0</v>
      </c>
      <c r="AJ676" s="539">
        <f t="shared" si="91"/>
        <v>0</v>
      </c>
      <c r="AK676"/>
      <c r="AL676"/>
      <c r="AM676"/>
      <c r="AN676"/>
      <c r="AQ676" s="712"/>
    </row>
    <row r="677" spans="11:43" ht="21">
      <c r="K677" s="712"/>
      <c r="L677" s="502"/>
      <c r="M677" s="502"/>
      <c r="N677" s="518" t="s">
        <v>473</v>
      </c>
      <c r="O677" s="552" t="s">
        <v>466</v>
      </c>
      <c r="P677" s="667">
        <v>1</v>
      </c>
      <c r="Q677" s="579"/>
      <c r="R677" s="579">
        <v>3</v>
      </c>
      <c r="S677" s="579">
        <v>30</v>
      </c>
      <c r="T677" s="579">
        <v>9</v>
      </c>
      <c r="U677" s="579">
        <f t="shared" si="87"/>
        <v>810</v>
      </c>
      <c r="V677" s="552"/>
      <c r="W677" s="552"/>
      <c r="X677" s="553"/>
      <c r="Y677" s="526"/>
      <c r="Z677" s="539">
        <f t="shared" si="90"/>
        <v>0</v>
      </c>
      <c r="AA677" s="539">
        <f t="shared" si="90"/>
        <v>0</v>
      </c>
      <c r="AB677" s="539">
        <f t="shared" si="90"/>
        <v>0</v>
      </c>
      <c r="AC677" s="539">
        <f t="shared" si="90"/>
        <v>26852</v>
      </c>
      <c r="AD677" s="539">
        <f t="shared" si="90"/>
        <v>26852</v>
      </c>
      <c r="AE677" s="526"/>
      <c r="AF677" s="539">
        <f t="shared" si="91"/>
        <v>13082</v>
      </c>
      <c r="AG677" s="539">
        <f t="shared" si="91"/>
        <v>26163</v>
      </c>
      <c r="AH677" s="539">
        <f t="shared" si="91"/>
        <v>26163</v>
      </c>
      <c r="AI677" s="539">
        <f t="shared" si="91"/>
        <v>0</v>
      </c>
      <c r="AJ677" s="539">
        <f t="shared" si="91"/>
        <v>0</v>
      </c>
      <c r="AK677"/>
      <c r="AL677"/>
      <c r="AM677"/>
      <c r="AN677"/>
      <c r="AQ677" s="712"/>
    </row>
    <row r="678" spans="11:43" ht="21">
      <c r="K678" s="712"/>
      <c r="L678" s="502"/>
      <c r="M678" s="502"/>
      <c r="N678" s="518" t="s">
        <v>473</v>
      </c>
      <c r="O678" s="552" t="s">
        <v>469</v>
      </c>
      <c r="P678" s="667">
        <v>1</v>
      </c>
      <c r="Q678" s="579"/>
      <c r="R678" s="579">
        <v>4</v>
      </c>
      <c r="S678" s="579">
        <v>30</v>
      </c>
      <c r="T678" s="579">
        <v>9</v>
      </c>
      <c r="U678" s="579">
        <f t="shared" si="87"/>
        <v>1080</v>
      </c>
      <c r="V678" s="552"/>
      <c r="W678" s="552"/>
      <c r="X678" s="553"/>
      <c r="Y678" s="526"/>
      <c r="Z678" s="539">
        <f t="shared" si="90"/>
        <v>0</v>
      </c>
      <c r="AA678" s="539">
        <f t="shared" si="90"/>
        <v>0</v>
      </c>
      <c r="AB678" s="539">
        <f t="shared" si="90"/>
        <v>0</v>
      </c>
      <c r="AC678" s="539">
        <f t="shared" si="90"/>
        <v>35802</v>
      </c>
      <c r="AD678" s="539">
        <f t="shared" si="90"/>
        <v>35802</v>
      </c>
      <c r="AE678" s="526"/>
      <c r="AF678" s="539">
        <f t="shared" si="91"/>
        <v>17442</v>
      </c>
      <c r="AG678" s="539">
        <f t="shared" si="91"/>
        <v>34884</v>
      </c>
      <c r="AH678" s="539">
        <f t="shared" si="91"/>
        <v>34884</v>
      </c>
      <c r="AI678" s="539">
        <f t="shared" si="91"/>
        <v>0</v>
      </c>
      <c r="AJ678" s="539">
        <f t="shared" si="91"/>
        <v>0</v>
      </c>
      <c r="AK678"/>
      <c r="AL678"/>
      <c r="AM678"/>
      <c r="AN678"/>
      <c r="AQ678" s="712"/>
    </row>
    <row r="679" spans="11:43" ht="21">
      <c r="K679" s="712"/>
      <c r="L679" s="502"/>
      <c r="M679" s="502"/>
      <c r="N679" s="522"/>
      <c r="O679" s="674"/>
      <c r="P679" s="675"/>
      <c r="Q679" s="676"/>
      <c r="R679" s="676">
        <v>0</v>
      </c>
      <c r="S679" s="676">
        <v>30</v>
      </c>
      <c r="T679" s="676"/>
      <c r="U679" s="676">
        <f t="shared" si="87"/>
        <v>0</v>
      </c>
      <c r="V679" s="677"/>
      <c r="W679" s="677"/>
      <c r="X679" s="678"/>
      <c r="Y679" s="526"/>
      <c r="Z679" s="539">
        <f t="shared" ref="Z679:AD688" si="92">ROUND(IFERROR(VLOOKUP($N679,SLD_MS_adulti,Z$338,0)*$U679*$P679*Attrition,0),0)</f>
        <v>0</v>
      </c>
      <c r="AA679" s="539">
        <f t="shared" si="92"/>
        <v>0</v>
      </c>
      <c r="AB679" s="539">
        <f t="shared" si="92"/>
        <v>0</v>
      </c>
      <c r="AC679" s="539">
        <f t="shared" si="92"/>
        <v>0</v>
      </c>
      <c r="AD679" s="539">
        <f t="shared" si="92"/>
        <v>0</v>
      </c>
      <c r="AE679" s="526"/>
      <c r="AF679" s="539">
        <f t="shared" ref="AF679:AJ688" si="93">ROUND(IFERROR(VLOOKUP($N679,SLD_MS_adulti,AF$338,0)*$U679*$P679*Attrition,0),0)</f>
        <v>0</v>
      </c>
      <c r="AG679" s="539">
        <f t="shared" si="93"/>
        <v>0</v>
      </c>
      <c r="AH679" s="539">
        <f t="shared" si="93"/>
        <v>0</v>
      </c>
      <c r="AI679" s="539">
        <f t="shared" si="93"/>
        <v>0</v>
      </c>
      <c r="AJ679" s="539">
        <f t="shared" si="93"/>
        <v>0</v>
      </c>
      <c r="AK679"/>
      <c r="AL679"/>
      <c r="AM679"/>
      <c r="AN679"/>
      <c r="AQ679" s="712"/>
    </row>
    <row r="680" spans="11:43" ht="21">
      <c r="K680" s="712"/>
      <c r="L680" s="502"/>
      <c r="M680" s="502"/>
      <c r="N680" s="523" t="s">
        <v>474</v>
      </c>
      <c r="O680" s="636" t="s">
        <v>464</v>
      </c>
      <c r="P680" s="667">
        <v>1</v>
      </c>
      <c r="Q680" s="579"/>
      <c r="R680" s="637">
        <v>284</v>
      </c>
      <c r="S680" s="637">
        <v>1</v>
      </c>
      <c r="T680" s="672">
        <v>1</v>
      </c>
      <c r="U680" s="672">
        <f t="shared" si="87"/>
        <v>284</v>
      </c>
      <c r="V680" s="552"/>
      <c r="W680" s="552"/>
      <c r="X680" s="553"/>
      <c r="Y680" s="526"/>
      <c r="Z680" s="539">
        <f t="shared" si="92"/>
        <v>0</v>
      </c>
      <c r="AA680" s="539">
        <f t="shared" si="92"/>
        <v>0</v>
      </c>
      <c r="AB680" s="539">
        <f t="shared" si="92"/>
        <v>0</v>
      </c>
      <c r="AC680" s="539">
        <f t="shared" si="92"/>
        <v>9415</v>
      </c>
      <c r="AD680" s="539">
        <f t="shared" si="92"/>
        <v>9415</v>
      </c>
      <c r="AE680" s="526"/>
      <c r="AF680" s="539">
        <f t="shared" si="93"/>
        <v>4587</v>
      </c>
      <c r="AG680" s="539">
        <f t="shared" si="93"/>
        <v>9173</v>
      </c>
      <c r="AH680" s="539">
        <f t="shared" si="93"/>
        <v>9173</v>
      </c>
      <c r="AI680" s="539">
        <f t="shared" si="93"/>
        <v>0</v>
      </c>
      <c r="AJ680" s="539">
        <f t="shared" si="93"/>
        <v>0</v>
      </c>
      <c r="AK680"/>
      <c r="AL680"/>
      <c r="AM680"/>
      <c r="AN680"/>
      <c r="AQ680" s="712"/>
    </row>
    <row r="681" spans="11:43" ht="21">
      <c r="K681" s="712"/>
      <c r="L681" s="502"/>
      <c r="M681" s="502"/>
      <c r="N681" s="523" t="s">
        <v>474</v>
      </c>
      <c r="O681" s="636" t="s">
        <v>465</v>
      </c>
      <c r="P681" s="667">
        <v>1</v>
      </c>
      <c r="Q681" s="579"/>
      <c r="R681" s="579">
        <v>1</v>
      </c>
      <c r="S681" s="579">
        <v>30</v>
      </c>
      <c r="T681" s="579">
        <v>9</v>
      </c>
      <c r="U681" s="579">
        <f t="shared" si="87"/>
        <v>270</v>
      </c>
      <c r="V681" s="552"/>
      <c r="W681" s="552"/>
      <c r="X681" s="553"/>
      <c r="Y681" s="526"/>
      <c r="Z681" s="539">
        <f t="shared" si="92"/>
        <v>0</v>
      </c>
      <c r="AA681" s="539">
        <f>ROUND(IFERROR(VLOOKUP($N681,SLD_MS_adulti,AA$338,0)*$U681*$P681*Attrition,0),0)</f>
        <v>0</v>
      </c>
      <c r="AB681" s="539">
        <f t="shared" si="92"/>
        <v>0</v>
      </c>
      <c r="AC681" s="539">
        <f t="shared" si="92"/>
        <v>8951</v>
      </c>
      <c r="AD681" s="539">
        <f t="shared" si="92"/>
        <v>8951</v>
      </c>
      <c r="AE681" s="526"/>
      <c r="AF681" s="539">
        <f>ROUND(IFERROR(VLOOKUP($N681,SLD_MS_adulti,AF$338,0)*$U681*$P681*Attrition,0),0)</f>
        <v>4361</v>
      </c>
      <c r="AG681" s="539">
        <f t="shared" si="93"/>
        <v>8721</v>
      </c>
      <c r="AH681" s="539">
        <f t="shared" si="93"/>
        <v>8721</v>
      </c>
      <c r="AI681" s="539">
        <f t="shared" si="93"/>
        <v>0</v>
      </c>
      <c r="AJ681" s="539">
        <f t="shared" si="93"/>
        <v>0</v>
      </c>
      <c r="AK681"/>
      <c r="AL681"/>
      <c r="AM681"/>
      <c r="AN681"/>
      <c r="AQ681" s="712"/>
    </row>
    <row r="682" spans="11:43" ht="21">
      <c r="K682" s="712"/>
      <c r="L682" s="502"/>
      <c r="M682" s="502"/>
      <c r="N682" s="523" t="s">
        <v>474</v>
      </c>
      <c r="O682" s="636" t="s">
        <v>470</v>
      </c>
      <c r="P682" s="667">
        <v>1</v>
      </c>
      <c r="Q682" s="579"/>
      <c r="R682" s="579">
        <v>1</v>
      </c>
      <c r="S682" s="579">
        <v>30</v>
      </c>
      <c r="T682" s="579">
        <v>9</v>
      </c>
      <c r="U682" s="579">
        <f t="shared" si="87"/>
        <v>270</v>
      </c>
      <c r="V682" s="552"/>
      <c r="W682" s="552"/>
      <c r="X682" s="553"/>
      <c r="Y682" s="526"/>
      <c r="Z682" s="539">
        <f t="shared" si="92"/>
        <v>0</v>
      </c>
      <c r="AA682" s="539">
        <f t="shared" si="92"/>
        <v>0</v>
      </c>
      <c r="AB682" s="539">
        <f t="shared" si="92"/>
        <v>0</v>
      </c>
      <c r="AC682" s="539">
        <f t="shared" si="92"/>
        <v>8951</v>
      </c>
      <c r="AD682" s="539">
        <f t="shared" si="92"/>
        <v>8951</v>
      </c>
      <c r="AE682" s="526"/>
      <c r="AF682" s="539">
        <f t="shared" si="93"/>
        <v>4361</v>
      </c>
      <c r="AG682" s="539">
        <f t="shared" si="93"/>
        <v>8721</v>
      </c>
      <c r="AH682" s="539">
        <f t="shared" si="93"/>
        <v>8721</v>
      </c>
      <c r="AI682" s="539">
        <f t="shared" si="93"/>
        <v>0</v>
      </c>
      <c r="AJ682" s="539">
        <f t="shared" si="93"/>
        <v>0</v>
      </c>
      <c r="AK682"/>
      <c r="AL682"/>
      <c r="AM682"/>
      <c r="AN682"/>
      <c r="AQ682" s="712"/>
    </row>
    <row r="683" spans="11:43" ht="21">
      <c r="K683" s="712"/>
      <c r="L683" s="502"/>
      <c r="M683" s="502"/>
      <c r="N683" s="523" t="s">
        <v>474</v>
      </c>
      <c r="O683" s="636" t="s">
        <v>467</v>
      </c>
      <c r="P683" s="667">
        <v>1</v>
      </c>
      <c r="Q683" s="579"/>
      <c r="R683" s="579">
        <v>4</v>
      </c>
      <c r="S683" s="579">
        <v>30</v>
      </c>
      <c r="T683" s="579">
        <v>6</v>
      </c>
      <c r="U683" s="579">
        <f t="shared" si="87"/>
        <v>720</v>
      </c>
      <c r="V683" s="552"/>
      <c r="W683" s="552"/>
      <c r="X683" s="553"/>
      <c r="Y683" s="526"/>
      <c r="Z683" s="539">
        <f t="shared" si="92"/>
        <v>0</v>
      </c>
      <c r="AA683" s="539">
        <f t="shared" si="92"/>
        <v>0</v>
      </c>
      <c r="AB683" s="539">
        <f t="shared" si="92"/>
        <v>0</v>
      </c>
      <c r="AC683" s="539">
        <f t="shared" si="92"/>
        <v>23868</v>
      </c>
      <c r="AD683" s="539">
        <f t="shared" si="92"/>
        <v>23868</v>
      </c>
      <c r="AE683" s="526"/>
      <c r="AF683" s="539">
        <f t="shared" si="93"/>
        <v>11628</v>
      </c>
      <c r="AG683" s="539">
        <f t="shared" si="93"/>
        <v>23256</v>
      </c>
      <c r="AH683" s="539">
        <f t="shared" si="93"/>
        <v>23256</v>
      </c>
      <c r="AI683" s="539">
        <f t="shared" si="93"/>
        <v>0</v>
      </c>
      <c r="AJ683" s="539">
        <f t="shared" si="93"/>
        <v>0</v>
      </c>
      <c r="AK683"/>
      <c r="AL683"/>
      <c r="AM683"/>
      <c r="AN683"/>
      <c r="AQ683" s="712"/>
    </row>
    <row r="684" spans="11:43" ht="21">
      <c r="K684" s="712"/>
      <c r="L684" s="502"/>
      <c r="M684" s="502"/>
      <c r="N684" s="523" t="s">
        <v>474</v>
      </c>
      <c r="O684" s="636" t="s">
        <v>469</v>
      </c>
      <c r="P684" s="667">
        <v>1</v>
      </c>
      <c r="Q684" s="579"/>
      <c r="R684" s="579">
        <v>4</v>
      </c>
      <c r="S684" s="579">
        <v>30</v>
      </c>
      <c r="T684" s="579">
        <v>9</v>
      </c>
      <c r="U684" s="579">
        <f t="shared" si="87"/>
        <v>1080</v>
      </c>
      <c r="V684" s="552"/>
      <c r="W684" s="552"/>
      <c r="X684" s="553"/>
      <c r="Y684" s="526"/>
      <c r="Z684" s="539">
        <f t="shared" si="92"/>
        <v>0</v>
      </c>
      <c r="AA684" s="539">
        <f t="shared" si="92"/>
        <v>0</v>
      </c>
      <c r="AB684" s="539">
        <f t="shared" si="92"/>
        <v>0</v>
      </c>
      <c r="AC684" s="539">
        <f t="shared" si="92"/>
        <v>35802</v>
      </c>
      <c r="AD684" s="539">
        <f t="shared" si="92"/>
        <v>35802</v>
      </c>
      <c r="AE684" s="526"/>
      <c r="AF684" s="539">
        <f t="shared" si="93"/>
        <v>17442</v>
      </c>
      <c r="AG684" s="539">
        <f t="shared" si="93"/>
        <v>34884</v>
      </c>
      <c r="AH684" s="539">
        <f t="shared" si="93"/>
        <v>34884</v>
      </c>
      <c r="AI684" s="539">
        <f t="shared" si="93"/>
        <v>0</v>
      </c>
      <c r="AJ684" s="539">
        <f t="shared" si="93"/>
        <v>0</v>
      </c>
      <c r="AK684"/>
      <c r="AL684"/>
      <c r="AM684"/>
      <c r="AN684"/>
      <c r="AQ684" s="712"/>
    </row>
    <row r="685" spans="11:43" ht="21">
      <c r="K685" s="712"/>
      <c r="L685" s="502"/>
      <c r="M685" s="502"/>
      <c r="N685" s="522"/>
      <c r="O685" s="674"/>
      <c r="P685" s="675"/>
      <c r="Q685" s="676"/>
      <c r="R685" s="676">
        <v>0</v>
      </c>
      <c r="S685" s="676">
        <v>30</v>
      </c>
      <c r="T685" s="676"/>
      <c r="U685" s="676">
        <f t="shared" si="87"/>
        <v>0</v>
      </c>
      <c r="V685" s="677"/>
      <c r="W685" s="677"/>
      <c r="X685" s="678"/>
      <c r="Y685" s="526"/>
      <c r="Z685" s="539">
        <f t="shared" si="92"/>
        <v>0</v>
      </c>
      <c r="AA685" s="539">
        <f t="shared" si="92"/>
        <v>0</v>
      </c>
      <c r="AB685" s="539">
        <f t="shared" si="92"/>
        <v>0</v>
      </c>
      <c r="AC685" s="539">
        <f t="shared" si="92"/>
        <v>0</v>
      </c>
      <c r="AD685" s="539">
        <f t="shared" si="92"/>
        <v>0</v>
      </c>
      <c r="AE685" s="526"/>
      <c r="AF685" s="539">
        <f t="shared" si="93"/>
        <v>0</v>
      </c>
      <c r="AG685" s="539">
        <f t="shared" si="93"/>
        <v>0</v>
      </c>
      <c r="AH685" s="539">
        <f t="shared" si="93"/>
        <v>0</v>
      </c>
      <c r="AI685" s="539">
        <f t="shared" si="93"/>
        <v>0</v>
      </c>
      <c r="AJ685" s="539">
        <f t="shared" si="93"/>
        <v>0</v>
      </c>
      <c r="AK685"/>
      <c r="AL685"/>
      <c r="AM685"/>
      <c r="AN685"/>
      <c r="AQ685" s="712"/>
    </row>
    <row r="686" spans="11:43" ht="21">
      <c r="K686" s="712"/>
      <c r="L686" s="502"/>
      <c r="M686" s="502"/>
      <c r="N686" s="423" t="s">
        <v>510</v>
      </c>
      <c r="O686" s="666" t="s">
        <v>463</v>
      </c>
      <c r="P686" s="667">
        <v>0.05</v>
      </c>
      <c r="Q686" s="579"/>
      <c r="R686" s="579">
        <v>2</v>
      </c>
      <c r="S686" s="579">
        <v>30</v>
      </c>
      <c r="T686" s="579">
        <v>8</v>
      </c>
      <c r="U686" s="579">
        <f t="shared" si="87"/>
        <v>480</v>
      </c>
      <c r="V686" s="552"/>
      <c r="W686" s="552"/>
      <c r="X686" s="553"/>
      <c r="Y686" s="526"/>
      <c r="Z686" s="539">
        <f t="shared" si="92"/>
        <v>0</v>
      </c>
      <c r="AA686" s="539">
        <f t="shared" si="92"/>
        <v>0</v>
      </c>
      <c r="AB686" s="539">
        <f t="shared" si="92"/>
        <v>0</v>
      </c>
      <c r="AC686" s="539">
        <f t="shared" si="92"/>
        <v>1918</v>
      </c>
      <c r="AD686" s="539">
        <f t="shared" si="92"/>
        <v>1958</v>
      </c>
      <c r="AE686" s="526"/>
      <c r="AF686" s="539">
        <f t="shared" si="93"/>
        <v>898</v>
      </c>
      <c r="AG686" s="539">
        <f t="shared" si="93"/>
        <v>1795</v>
      </c>
      <c r="AH686" s="539">
        <f t="shared" si="93"/>
        <v>1836</v>
      </c>
      <c r="AI686" s="539">
        <f t="shared" si="93"/>
        <v>0</v>
      </c>
      <c r="AJ686" s="539">
        <f t="shared" si="93"/>
        <v>0</v>
      </c>
      <c r="AK686"/>
      <c r="AL686"/>
      <c r="AM686"/>
      <c r="AN686"/>
      <c r="AQ686" s="712"/>
    </row>
    <row r="687" spans="11:43" ht="21">
      <c r="K687" s="712"/>
      <c r="L687" s="502"/>
      <c r="M687" s="502"/>
      <c r="N687" s="423" t="s">
        <v>510</v>
      </c>
      <c r="O687" s="432" t="s">
        <v>1808</v>
      </c>
      <c r="P687" s="667">
        <v>0.05</v>
      </c>
      <c r="Q687" s="633"/>
      <c r="R687" s="579">
        <v>4</v>
      </c>
      <c r="S687" s="579">
        <v>30</v>
      </c>
      <c r="T687" s="633">
        <v>10</v>
      </c>
      <c r="U687" s="579">
        <f t="shared" si="87"/>
        <v>1200</v>
      </c>
      <c r="V687" s="552"/>
      <c r="W687" s="552"/>
      <c r="X687" s="553"/>
      <c r="Y687" s="526"/>
      <c r="Z687" s="539">
        <f t="shared" si="92"/>
        <v>0</v>
      </c>
      <c r="AA687" s="539">
        <f t="shared" si="92"/>
        <v>0</v>
      </c>
      <c r="AB687" s="539">
        <f t="shared" si="92"/>
        <v>0</v>
      </c>
      <c r="AC687" s="539">
        <f t="shared" si="92"/>
        <v>4794</v>
      </c>
      <c r="AD687" s="539">
        <f t="shared" si="92"/>
        <v>4896</v>
      </c>
      <c r="AE687" s="526"/>
      <c r="AF687" s="539">
        <f t="shared" si="93"/>
        <v>2244</v>
      </c>
      <c r="AG687" s="539">
        <f t="shared" si="93"/>
        <v>4488</v>
      </c>
      <c r="AH687" s="539">
        <f t="shared" si="93"/>
        <v>4590</v>
      </c>
      <c r="AI687" s="539">
        <f t="shared" si="93"/>
        <v>0</v>
      </c>
      <c r="AJ687" s="539">
        <f t="shared" si="93"/>
        <v>0</v>
      </c>
      <c r="AK687"/>
      <c r="AL687"/>
      <c r="AM687"/>
      <c r="AN687"/>
      <c r="AQ687" s="712"/>
    </row>
    <row r="688" spans="11:43" ht="21">
      <c r="K688" s="712"/>
      <c r="L688" s="502"/>
      <c r="M688" s="502"/>
      <c r="N688" s="423" t="s">
        <v>510</v>
      </c>
      <c r="O688" s="432" t="s">
        <v>1809</v>
      </c>
      <c r="P688" s="667">
        <v>0.05</v>
      </c>
      <c r="Q688" s="633"/>
      <c r="R688" s="579">
        <v>2</v>
      </c>
      <c r="S688" s="579">
        <v>30</v>
      </c>
      <c r="T688" s="633">
        <v>10</v>
      </c>
      <c r="U688" s="579">
        <f t="shared" si="87"/>
        <v>600</v>
      </c>
      <c r="V688" s="552"/>
      <c r="W688" s="552"/>
      <c r="X688" s="553"/>
      <c r="Y688" s="526"/>
      <c r="Z688" s="539">
        <f t="shared" si="92"/>
        <v>0</v>
      </c>
      <c r="AA688" s="539">
        <f t="shared" si="92"/>
        <v>0</v>
      </c>
      <c r="AB688" s="539">
        <f t="shared" si="92"/>
        <v>0</v>
      </c>
      <c r="AC688" s="539">
        <f t="shared" si="92"/>
        <v>2397</v>
      </c>
      <c r="AD688" s="539">
        <f t="shared" si="92"/>
        <v>2448</v>
      </c>
      <c r="AE688" s="526"/>
      <c r="AF688" s="539">
        <f t="shared" si="93"/>
        <v>1122</v>
      </c>
      <c r="AG688" s="539">
        <f t="shared" si="93"/>
        <v>2244</v>
      </c>
      <c r="AH688" s="539">
        <f t="shared" si="93"/>
        <v>2295</v>
      </c>
      <c r="AI688" s="539">
        <f t="shared" si="93"/>
        <v>0</v>
      </c>
      <c r="AJ688" s="539">
        <f t="shared" si="93"/>
        <v>0</v>
      </c>
      <c r="AK688"/>
      <c r="AL688"/>
      <c r="AM688"/>
      <c r="AN688"/>
      <c r="AQ688" s="712"/>
    </row>
    <row r="689" spans="11:43" ht="21">
      <c r="K689" s="712"/>
      <c r="L689" s="502"/>
      <c r="M689" s="502"/>
      <c r="N689" s="423" t="s">
        <v>510</v>
      </c>
      <c r="O689" s="578" t="s">
        <v>464</v>
      </c>
      <c r="P689" s="671">
        <v>0.8</v>
      </c>
      <c r="Q689" s="579"/>
      <c r="R689" s="637">
        <v>342</v>
      </c>
      <c r="S689" s="579">
        <v>1</v>
      </c>
      <c r="T689" s="672">
        <v>1</v>
      </c>
      <c r="U689" s="579">
        <f t="shared" si="87"/>
        <v>342</v>
      </c>
      <c r="V689" s="552"/>
      <c r="W689" s="552"/>
      <c r="X689" s="553"/>
      <c r="Y689" s="526"/>
      <c r="Z689" s="539">
        <f t="shared" ref="Z689:AD702" si="94">ROUND(IFERROR(VLOOKUP($N689,SLD_MS_adulti,Z$338,0)*$U689*$P689*Attrition,0),0)</f>
        <v>0</v>
      </c>
      <c r="AA689" s="539">
        <f t="shared" si="94"/>
        <v>0</v>
      </c>
      <c r="AB689" s="539">
        <f t="shared" si="94"/>
        <v>0</v>
      </c>
      <c r="AC689" s="539">
        <f t="shared" si="94"/>
        <v>21861</v>
      </c>
      <c r="AD689" s="539">
        <f t="shared" si="94"/>
        <v>22326</v>
      </c>
      <c r="AE689" s="526"/>
      <c r="AF689" s="539">
        <f t="shared" ref="AF689:AJ702" si="95">ROUND(IFERROR(VLOOKUP($N689,SLD_MS_adulti,AF$338,0)*$U689*$P689*Attrition,0),0)</f>
        <v>10233</v>
      </c>
      <c r="AG689" s="539">
        <f t="shared" si="95"/>
        <v>20465</v>
      </c>
      <c r="AH689" s="539">
        <f t="shared" si="95"/>
        <v>20930</v>
      </c>
      <c r="AI689" s="539">
        <f t="shared" si="95"/>
        <v>0</v>
      </c>
      <c r="AJ689" s="539">
        <f t="shared" si="95"/>
        <v>0</v>
      </c>
      <c r="AK689"/>
      <c r="AL689"/>
      <c r="AM689"/>
      <c r="AN689"/>
      <c r="AQ689" s="712"/>
    </row>
    <row r="690" spans="11:43" ht="21">
      <c r="K690" s="712"/>
      <c r="L690" s="502"/>
      <c r="M690" s="502"/>
      <c r="N690" s="423" t="s">
        <v>510</v>
      </c>
      <c r="O690" s="578" t="s">
        <v>465</v>
      </c>
      <c r="P690" s="673">
        <v>0.8</v>
      </c>
      <c r="Q690" s="579"/>
      <c r="R690" s="579">
        <v>1</v>
      </c>
      <c r="S690" s="579">
        <v>30</v>
      </c>
      <c r="T690" s="579">
        <v>22</v>
      </c>
      <c r="U690" s="579">
        <f t="shared" si="87"/>
        <v>660</v>
      </c>
      <c r="V690" s="552"/>
      <c r="W690" s="552"/>
      <c r="X690" s="553"/>
      <c r="Y690" s="526"/>
      <c r="Z690" s="539">
        <f t="shared" si="94"/>
        <v>0</v>
      </c>
      <c r="AA690" s="539">
        <f t="shared" si="94"/>
        <v>0</v>
      </c>
      <c r="AB690" s="539">
        <f t="shared" si="94"/>
        <v>0</v>
      </c>
      <c r="AC690" s="539">
        <f t="shared" si="94"/>
        <v>42187</v>
      </c>
      <c r="AD690" s="539">
        <f t="shared" si="94"/>
        <v>43085</v>
      </c>
      <c r="AE690" s="526"/>
      <c r="AF690" s="539">
        <f t="shared" si="95"/>
        <v>19747</v>
      </c>
      <c r="AG690" s="539">
        <f t="shared" si="95"/>
        <v>39494</v>
      </c>
      <c r="AH690" s="539">
        <f t="shared" si="95"/>
        <v>40392</v>
      </c>
      <c r="AI690" s="539">
        <f t="shared" si="95"/>
        <v>0</v>
      </c>
      <c r="AJ690" s="539">
        <f t="shared" si="95"/>
        <v>0</v>
      </c>
      <c r="AK690"/>
      <c r="AL690"/>
      <c r="AM690"/>
      <c r="AN690"/>
      <c r="AQ690" s="712"/>
    </row>
    <row r="691" spans="11:43" ht="21">
      <c r="K691" s="712"/>
      <c r="L691" s="502"/>
      <c r="M691" s="502"/>
      <c r="N691" s="423" t="s">
        <v>510</v>
      </c>
      <c r="O691" s="578" t="s">
        <v>466</v>
      </c>
      <c r="P691" s="673">
        <v>0.8</v>
      </c>
      <c r="Q691" s="579"/>
      <c r="R691" s="579">
        <v>3</v>
      </c>
      <c r="S691" s="579">
        <v>30</v>
      </c>
      <c r="T691" s="579">
        <v>22</v>
      </c>
      <c r="U691" s="579">
        <f t="shared" si="87"/>
        <v>1980</v>
      </c>
      <c r="V691" s="552"/>
      <c r="W691" s="552"/>
      <c r="X691" s="553"/>
      <c r="Y691" s="526"/>
      <c r="Z691" s="539">
        <f t="shared" si="94"/>
        <v>0</v>
      </c>
      <c r="AA691" s="539">
        <f t="shared" si="94"/>
        <v>0</v>
      </c>
      <c r="AB691" s="539">
        <f t="shared" si="94"/>
        <v>0</v>
      </c>
      <c r="AC691" s="539">
        <f t="shared" si="94"/>
        <v>126562</v>
      </c>
      <c r="AD691" s="539">
        <f t="shared" si="94"/>
        <v>129254</v>
      </c>
      <c r="AE691" s="526"/>
      <c r="AF691" s="539">
        <f t="shared" si="95"/>
        <v>59242</v>
      </c>
      <c r="AG691" s="539">
        <f t="shared" si="95"/>
        <v>118483</v>
      </c>
      <c r="AH691" s="539">
        <f t="shared" si="95"/>
        <v>121176</v>
      </c>
      <c r="AI691" s="539">
        <f t="shared" si="95"/>
        <v>0</v>
      </c>
      <c r="AJ691" s="539">
        <f t="shared" si="95"/>
        <v>0</v>
      </c>
      <c r="AK691"/>
      <c r="AL691"/>
      <c r="AM691"/>
      <c r="AN691"/>
      <c r="AQ691" s="712"/>
    </row>
    <row r="692" spans="11:43" ht="21">
      <c r="K692" s="712"/>
      <c r="L692" s="502"/>
      <c r="M692" s="502"/>
      <c r="N692" s="423" t="s">
        <v>510</v>
      </c>
      <c r="O692" s="636" t="s">
        <v>467</v>
      </c>
      <c r="P692" s="667">
        <v>0.2</v>
      </c>
      <c r="Q692" s="579"/>
      <c r="R692" s="579">
        <v>4</v>
      </c>
      <c r="S692" s="579">
        <v>30</v>
      </c>
      <c r="T692" s="579">
        <v>6</v>
      </c>
      <c r="U692" s="579">
        <f t="shared" si="87"/>
        <v>720</v>
      </c>
      <c r="V692" s="552"/>
      <c r="W692" s="552"/>
      <c r="X692" s="553"/>
      <c r="Y692" s="526"/>
      <c r="Z692" s="539">
        <f t="shared" si="94"/>
        <v>0</v>
      </c>
      <c r="AA692" s="539">
        <f t="shared" si="94"/>
        <v>0</v>
      </c>
      <c r="AB692" s="539">
        <f t="shared" si="94"/>
        <v>0</v>
      </c>
      <c r="AC692" s="539">
        <f t="shared" si="94"/>
        <v>11506</v>
      </c>
      <c r="AD692" s="539">
        <f t="shared" si="94"/>
        <v>11750</v>
      </c>
      <c r="AE692" s="526"/>
      <c r="AF692" s="539">
        <f t="shared" si="95"/>
        <v>5386</v>
      </c>
      <c r="AG692" s="539">
        <f t="shared" si="95"/>
        <v>10771</v>
      </c>
      <c r="AH692" s="539">
        <f t="shared" si="95"/>
        <v>11016</v>
      </c>
      <c r="AI692" s="539">
        <f t="shared" si="95"/>
        <v>0</v>
      </c>
      <c r="AJ692" s="539">
        <f t="shared" si="95"/>
        <v>0</v>
      </c>
      <c r="AK692"/>
      <c r="AL692"/>
      <c r="AM692"/>
      <c r="AN692"/>
      <c r="AQ692" s="712"/>
    </row>
    <row r="693" spans="11:43" ht="21">
      <c r="K693" s="712"/>
      <c r="L693" s="502"/>
      <c r="M693" s="502"/>
      <c r="N693" s="423" t="s">
        <v>510</v>
      </c>
      <c r="O693" s="636" t="s">
        <v>313</v>
      </c>
      <c r="P693" s="667">
        <v>0.3</v>
      </c>
      <c r="Q693" s="579"/>
      <c r="R693" s="579">
        <v>3</v>
      </c>
      <c r="S693" s="579">
        <v>30</v>
      </c>
      <c r="T693" s="579">
        <v>22</v>
      </c>
      <c r="U693" s="579">
        <f t="shared" si="87"/>
        <v>1980</v>
      </c>
      <c r="V693" s="552"/>
      <c r="W693" s="552"/>
      <c r="X693" s="553"/>
      <c r="Y693" s="526"/>
      <c r="Z693" s="539">
        <f t="shared" si="94"/>
        <v>0</v>
      </c>
      <c r="AA693" s="539">
        <f t="shared" si="94"/>
        <v>0</v>
      </c>
      <c r="AB693" s="539">
        <f t="shared" si="94"/>
        <v>0</v>
      </c>
      <c r="AC693" s="539">
        <f t="shared" si="94"/>
        <v>47461</v>
      </c>
      <c r="AD693" s="539">
        <f t="shared" si="94"/>
        <v>48470</v>
      </c>
      <c r="AE693" s="526"/>
      <c r="AF693" s="539">
        <f t="shared" si="95"/>
        <v>22216</v>
      </c>
      <c r="AG693" s="539">
        <f t="shared" si="95"/>
        <v>44431</v>
      </c>
      <c r="AH693" s="539">
        <f t="shared" si="95"/>
        <v>45441</v>
      </c>
      <c r="AI693" s="539">
        <f t="shared" si="95"/>
        <v>0</v>
      </c>
      <c r="AJ693" s="539">
        <f t="shared" si="95"/>
        <v>0</v>
      </c>
      <c r="AK693"/>
      <c r="AL693"/>
      <c r="AM693"/>
      <c r="AN693"/>
      <c r="AQ693" s="712"/>
    </row>
    <row r="694" spans="11:43" ht="21">
      <c r="K694" s="712"/>
      <c r="L694" s="502"/>
      <c r="M694" s="502"/>
      <c r="N694" s="423" t="s">
        <v>510</v>
      </c>
      <c r="O694" s="636" t="s">
        <v>468</v>
      </c>
      <c r="P694" s="667">
        <v>0.15</v>
      </c>
      <c r="Q694" s="579"/>
      <c r="R694" s="579">
        <v>3</v>
      </c>
      <c r="S694" s="579">
        <v>30</v>
      </c>
      <c r="T694" s="579">
        <v>22</v>
      </c>
      <c r="U694" s="579">
        <f t="shared" si="87"/>
        <v>1980</v>
      </c>
      <c r="V694" s="552"/>
      <c r="W694" s="552"/>
      <c r="X694" s="553"/>
      <c r="Y694" s="526"/>
      <c r="Z694" s="539">
        <f t="shared" si="94"/>
        <v>0</v>
      </c>
      <c r="AA694" s="539">
        <f t="shared" si="94"/>
        <v>0</v>
      </c>
      <c r="AB694" s="539">
        <f t="shared" si="94"/>
        <v>0</v>
      </c>
      <c r="AC694" s="539">
        <f t="shared" si="94"/>
        <v>23730</v>
      </c>
      <c r="AD694" s="539">
        <f t="shared" si="94"/>
        <v>24235</v>
      </c>
      <c r="AE694" s="526"/>
      <c r="AF694" s="539">
        <f t="shared" si="95"/>
        <v>11108</v>
      </c>
      <c r="AG694" s="539">
        <f t="shared" si="95"/>
        <v>22216</v>
      </c>
      <c r="AH694" s="539">
        <f t="shared" si="95"/>
        <v>22721</v>
      </c>
      <c r="AI694" s="539">
        <f t="shared" si="95"/>
        <v>0</v>
      </c>
      <c r="AJ694" s="539">
        <f t="shared" si="95"/>
        <v>0</v>
      </c>
      <c r="AK694"/>
      <c r="AL694"/>
      <c r="AM694"/>
      <c r="AN694"/>
      <c r="AQ694" s="712"/>
    </row>
    <row r="695" spans="11:43" ht="21">
      <c r="K695" s="712"/>
      <c r="L695" s="502"/>
      <c r="M695" s="502"/>
      <c r="N695" s="423" t="s">
        <v>510</v>
      </c>
      <c r="O695" s="636" t="s">
        <v>469</v>
      </c>
      <c r="P695" s="667">
        <v>0.8</v>
      </c>
      <c r="Q695" s="579"/>
      <c r="R695" s="579">
        <v>4</v>
      </c>
      <c r="S695" s="579">
        <v>30</v>
      </c>
      <c r="T695" s="579">
        <v>22</v>
      </c>
      <c r="U695" s="579">
        <f t="shared" si="87"/>
        <v>2640</v>
      </c>
      <c r="V695" s="552"/>
      <c r="W695" s="552"/>
      <c r="X695" s="553"/>
      <c r="Y695" s="526"/>
      <c r="Z695" s="539">
        <f t="shared" si="94"/>
        <v>0</v>
      </c>
      <c r="AA695" s="539">
        <f t="shared" si="94"/>
        <v>0</v>
      </c>
      <c r="AB695" s="539">
        <f t="shared" si="94"/>
        <v>0</v>
      </c>
      <c r="AC695" s="539">
        <f t="shared" si="94"/>
        <v>168749</v>
      </c>
      <c r="AD695" s="539">
        <f t="shared" si="94"/>
        <v>172339</v>
      </c>
      <c r="AE695" s="526"/>
      <c r="AF695" s="539">
        <f t="shared" si="95"/>
        <v>78989</v>
      </c>
      <c r="AG695" s="539">
        <f t="shared" si="95"/>
        <v>157978</v>
      </c>
      <c r="AH695" s="539">
        <f t="shared" si="95"/>
        <v>161568</v>
      </c>
      <c r="AI695" s="539">
        <f t="shared" si="95"/>
        <v>0</v>
      </c>
      <c r="AJ695" s="539">
        <f t="shared" si="95"/>
        <v>0</v>
      </c>
      <c r="AK695"/>
      <c r="AL695"/>
      <c r="AM695"/>
      <c r="AN695"/>
      <c r="AQ695" s="712"/>
    </row>
    <row r="696" spans="11:43" ht="21">
      <c r="K696" s="712"/>
      <c r="L696" s="502"/>
      <c r="M696" s="502"/>
      <c r="N696" s="423" t="s">
        <v>510</v>
      </c>
      <c r="O696" s="636" t="s">
        <v>470</v>
      </c>
      <c r="P696" s="667">
        <v>1</v>
      </c>
      <c r="Q696" s="579"/>
      <c r="R696" s="579">
        <v>1</v>
      </c>
      <c r="S696" s="579">
        <v>30</v>
      </c>
      <c r="T696" s="579">
        <v>22</v>
      </c>
      <c r="U696" s="579">
        <f t="shared" si="87"/>
        <v>660</v>
      </c>
      <c r="V696" s="552"/>
      <c r="W696" s="552"/>
      <c r="X696" s="553"/>
      <c r="Y696" s="526"/>
      <c r="Z696" s="539">
        <f t="shared" si="94"/>
        <v>0</v>
      </c>
      <c r="AA696" s="539">
        <f t="shared" si="94"/>
        <v>0</v>
      </c>
      <c r="AB696" s="539">
        <f t="shared" si="94"/>
        <v>0</v>
      </c>
      <c r="AC696" s="539">
        <f t="shared" si="94"/>
        <v>52734</v>
      </c>
      <c r="AD696" s="539">
        <f t="shared" si="94"/>
        <v>53856</v>
      </c>
      <c r="AE696" s="526"/>
      <c r="AF696" s="539">
        <f t="shared" si="95"/>
        <v>24684</v>
      </c>
      <c r="AG696" s="539">
        <f t="shared" si="95"/>
        <v>49368</v>
      </c>
      <c r="AH696" s="539">
        <f t="shared" si="95"/>
        <v>50490</v>
      </c>
      <c r="AI696" s="539">
        <f t="shared" si="95"/>
        <v>0</v>
      </c>
      <c r="AJ696" s="539">
        <f t="shared" si="95"/>
        <v>0</v>
      </c>
      <c r="AK696"/>
      <c r="AL696"/>
      <c r="AM696"/>
      <c r="AN696"/>
      <c r="AQ696" s="712"/>
    </row>
    <row r="697" spans="11:43" ht="21">
      <c r="K697" s="712"/>
      <c r="L697" s="502"/>
      <c r="M697" s="502"/>
      <c r="N697" s="423" t="s">
        <v>510</v>
      </c>
      <c r="O697" s="636" t="s">
        <v>471</v>
      </c>
      <c r="P697" s="667">
        <v>0.2</v>
      </c>
      <c r="Q697" s="579"/>
      <c r="R697" s="579">
        <v>1</v>
      </c>
      <c r="S697" s="579">
        <v>30</v>
      </c>
      <c r="T697" s="579">
        <v>22</v>
      </c>
      <c r="U697" s="579">
        <f t="shared" si="87"/>
        <v>660</v>
      </c>
      <c r="V697" s="552"/>
      <c r="W697" s="552"/>
      <c r="X697" s="553"/>
      <c r="Y697" s="526"/>
      <c r="Z697" s="539">
        <f t="shared" si="94"/>
        <v>0</v>
      </c>
      <c r="AA697" s="539">
        <f t="shared" si="94"/>
        <v>0</v>
      </c>
      <c r="AB697" s="539">
        <f t="shared" si="94"/>
        <v>0</v>
      </c>
      <c r="AC697" s="539">
        <f t="shared" si="94"/>
        <v>10547</v>
      </c>
      <c r="AD697" s="539">
        <f t="shared" si="94"/>
        <v>10771</v>
      </c>
      <c r="AE697" s="526"/>
      <c r="AF697" s="539">
        <f t="shared" si="95"/>
        <v>4937</v>
      </c>
      <c r="AG697" s="539">
        <f t="shared" si="95"/>
        <v>9874</v>
      </c>
      <c r="AH697" s="539">
        <f t="shared" si="95"/>
        <v>10098</v>
      </c>
      <c r="AI697" s="539">
        <f t="shared" si="95"/>
        <v>0</v>
      </c>
      <c r="AJ697" s="539">
        <f t="shared" si="95"/>
        <v>0</v>
      </c>
      <c r="AK697"/>
      <c r="AL697"/>
      <c r="AM697"/>
      <c r="AN697"/>
      <c r="AQ697" s="712"/>
    </row>
    <row r="698" spans="11:43" ht="21">
      <c r="K698" s="712"/>
      <c r="L698" s="502"/>
      <c r="M698" s="502"/>
      <c r="N698" s="423" t="s">
        <v>510</v>
      </c>
      <c r="O698" s="636" t="s">
        <v>472</v>
      </c>
      <c r="P698" s="667">
        <v>0.1</v>
      </c>
      <c r="Q698" s="579"/>
      <c r="R698" s="579">
        <v>2</v>
      </c>
      <c r="S698" s="579">
        <v>30</v>
      </c>
      <c r="T698" s="579">
        <v>22</v>
      </c>
      <c r="U698" s="579">
        <f t="shared" si="87"/>
        <v>1320</v>
      </c>
      <c r="V698" s="552"/>
      <c r="W698" s="552"/>
      <c r="X698" s="553"/>
      <c r="Y698" s="526"/>
      <c r="Z698" s="539">
        <f t="shared" si="94"/>
        <v>0</v>
      </c>
      <c r="AA698" s="539">
        <f t="shared" si="94"/>
        <v>0</v>
      </c>
      <c r="AB698" s="539">
        <f t="shared" si="94"/>
        <v>0</v>
      </c>
      <c r="AC698" s="539">
        <f t="shared" si="94"/>
        <v>10547</v>
      </c>
      <c r="AD698" s="539">
        <f t="shared" si="94"/>
        <v>10771</v>
      </c>
      <c r="AE698" s="526"/>
      <c r="AF698" s="539">
        <f t="shared" si="95"/>
        <v>4937</v>
      </c>
      <c r="AG698" s="539">
        <f t="shared" si="95"/>
        <v>9874</v>
      </c>
      <c r="AH698" s="539">
        <f t="shared" si="95"/>
        <v>10098</v>
      </c>
      <c r="AI698" s="539">
        <f t="shared" si="95"/>
        <v>0</v>
      </c>
      <c r="AJ698" s="539">
        <f t="shared" si="95"/>
        <v>0</v>
      </c>
      <c r="AK698"/>
      <c r="AL698"/>
      <c r="AM698"/>
      <c r="AN698"/>
      <c r="AQ698" s="712"/>
    </row>
    <row r="699" spans="11:43" ht="21">
      <c r="K699" s="712"/>
      <c r="L699" s="502"/>
      <c r="M699" s="502"/>
      <c r="N699" s="423" t="s">
        <v>510</v>
      </c>
      <c r="O699" s="636" t="s">
        <v>314</v>
      </c>
      <c r="P699" s="667">
        <v>0.2</v>
      </c>
      <c r="Q699" s="579"/>
      <c r="R699" s="579">
        <v>5</v>
      </c>
      <c r="S699" s="579">
        <v>30</v>
      </c>
      <c r="T699" s="579">
        <v>22</v>
      </c>
      <c r="U699" s="579">
        <f t="shared" si="87"/>
        <v>3300</v>
      </c>
      <c r="V699" s="552"/>
      <c r="W699" s="552"/>
      <c r="X699" s="553"/>
      <c r="Y699" s="526"/>
      <c r="Z699" s="539">
        <f t="shared" si="94"/>
        <v>0</v>
      </c>
      <c r="AA699" s="539">
        <f t="shared" si="94"/>
        <v>0</v>
      </c>
      <c r="AB699" s="539">
        <f t="shared" si="94"/>
        <v>0</v>
      </c>
      <c r="AC699" s="539">
        <f t="shared" si="94"/>
        <v>52734</v>
      </c>
      <c r="AD699" s="539">
        <f t="shared" si="94"/>
        <v>53856</v>
      </c>
      <c r="AE699" s="526"/>
      <c r="AF699" s="539">
        <f t="shared" si="95"/>
        <v>24684</v>
      </c>
      <c r="AG699" s="539">
        <f t="shared" si="95"/>
        <v>49368</v>
      </c>
      <c r="AH699" s="539">
        <f t="shared" si="95"/>
        <v>50490</v>
      </c>
      <c r="AI699" s="539">
        <f t="shared" si="95"/>
        <v>0</v>
      </c>
      <c r="AJ699" s="539">
        <f t="shared" si="95"/>
        <v>0</v>
      </c>
      <c r="AK699"/>
      <c r="AL699"/>
      <c r="AM699"/>
      <c r="AN699"/>
      <c r="AQ699" s="712"/>
    </row>
    <row r="700" spans="11:43" ht="21">
      <c r="K700" s="712"/>
      <c r="L700" s="502"/>
      <c r="M700" s="502"/>
      <c r="N700" s="515"/>
      <c r="O700" s="636"/>
      <c r="P700" s="667"/>
      <c r="Q700" s="579"/>
      <c r="R700" s="579">
        <v>0</v>
      </c>
      <c r="S700" s="579">
        <v>30</v>
      </c>
      <c r="T700" s="639"/>
      <c r="U700" s="579">
        <f t="shared" si="87"/>
        <v>0</v>
      </c>
      <c r="V700" s="552"/>
      <c r="W700" s="552"/>
      <c r="X700" s="553"/>
      <c r="Y700" s="526"/>
      <c r="Z700" s="539">
        <f t="shared" si="94"/>
        <v>0</v>
      </c>
      <c r="AA700" s="539">
        <f t="shared" si="94"/>
        <v>0</v>
      </c>
      <c r="AB700" s="539">
        <f t="shared" si="94"/>
        <v>0</v>
      </c>
      <c r="AC700" s="539">
        <f t="shared" si="94"/>
        <v>0</v>
      </c>
      <c r="AD700" s="539">
        <f t="shared" si="94"/>
        <v>0</v>
      </c>
      <c r="AE700" s="526"/>
      <c r="AF700" s="539">
        <f t="shared" si="95"/>
        <v>0</v>
      </c>
      <c r="AG700" s="539">
        <f t="shared" si="95"/>
        <v>0</v>
      </c>
      <c r="AH700" s="539">
        <f t="shared" si="95"/>
        <v>0</v>
      </c>
      <c r="AI700" s="539">
        <f t="shared" si="95"/>
        <v>0</v>
      </c>
      <c r="AJ700" s="539">
        <f t="shared" si="95"/>
        <v>0</v>
      </c>
      <c r="AK700"/>
      <c r="AL700"/>
      <c r="AM700"/>
      <c r="AN700"/>
      <c r="AQ700" s="712"/>
    </row>
    <row r="701" spans="11:43" ht="21">
      <c r="K701" s="712"/>
      <c r="L701" s="502"/>
      <c r="M701" s="502"/>
      <c r="N701" s="515"/>
      <c r="O701" s="636"/>
      <c r="P701" s="667"/>
      <c r="Q701" s="579"/>
      <c r="R701" s="579">
        <v>0</v>
      </c>
      <c r="S701" s="579">
        <v>30</v>
      </c>
      <c r="T701" s="639"/>
      <c r="U701" s="579">
        <f t="shared" si="87"/>
        <v>0</v>
      </c>
      <c r="V701" s="552"/>
      <c r="W701" s="552"/>
      <c r="X701" s="553"/>
      <c r="Y701" s="526"/>
      <c r="Z701" s="539">
        <f t="shared" si="94"/>
        <v>0</v>
      </c>
      <c r="AA701" s="539">
        <f t="shared" si="94"/>
        <v>0</v>
      </c>
      <c r="AB701" s="539">
        <f t="shared" si="94"/>
        <v>0</v>
      </c>
      <c r="AC701" s="539">
        <f t="shared" si="94"/>
        <v>0</v>
      </c>
      <c r="AD701" s="539">
        <f t="shared" si="94"/>
        <v>0</v>
      </c>
      <c r="AE701" s="526"/>
      <c r="AF701" s="539">
        <f t="shared" si="95"/>
        <v>0</v>
      </c>
      <c r="AG701" s="539">
        <f t="shared" si="95"/>
        <v>0</v>
      </c>
      <c r="AH701" s="539">
        <f t="shared" si="95"/>
        <v>0</v>
      </c>
      <c r="AI701" s="539">
        <f t="shared" si="95"/>
        <v>0</v>
      </c>
      <c r="AJ701" s="539">
        <f t="shared" si="95"/>
        <v>0</v>
      </c>
      <c r="AK701"/>
      <c r="AL701"/>
      <c r="AM701"/>
      <c r="AN701"/>
      <c r="AQ701" s="712"/>
    </row>
    <row r="702" spans="11:43" ht="22" thickBot="1">
      <c r="K702" s="712"/>
      <c r="L702" s="502"/>
      <c r="M702" s="502"/>
      <c r="N702" s="516"/>
      <c r="O702" s="640"/>
      <c r="P702" s="679"/>
      <c r="Q702" s="581"/>
      <c r="R702" s="581">
        <v>0</v>
      </c>
      <c r="S702" s="581">
        <v>30</v>
      </c>
      <c r="T702" s="641"/>
      <c r="U702" s="581">
        <f t="shared" si="87"/>
        <v>0</v>
      </c>
      <c r="V702" s="556"/>
      <c r="W702" s="556"/>
      <c r="X702" s="557"/>
      <c r="Y702" s="526"/>
      <c r="Z702" s="539">
        <f t="shared" si="94"/>
        <v>0</v>
      </c>
      <c r="AA702" s="539">
        <f t="shared" si="94"/>
        <v>0</v>
      </c>
      <c r="AB702" s="539">
        <f t="shared" si="94"/>
        <v>0</v>
      </c>
      <c r="AC702" s="539">
        <f t="shared" si="94"/>
        <v>0</v>
      </c>
      <c r="AD702" s="539">
        <f t="shared" si="94"/>
        <v>0</v>
      </c>
      <c r="AE702" s="526"/>
      <c r="AF702" s="539">
        <f t="shared" si="95"/>
        <v>0</v>
      </c>
      <c r="AG702" s="539">
        <f t="shared" si="95"/>
        <v>0</v>
      </c>
      <c r="AH702" s="539">
        <f t="shared" si="95"/>
        <v>0</v>
      </c>
      <c r="AI702" s="539">
        <f t="shared" si="95"/>
        <v>0</v>
      </c>
      <c r="AJ702" s="539">
        <f t="shared" si="95"/>
        <v>0</v>
      </c>
      <c r="AK702"/>
      <c r="AL702"/>
      <c r="AM702"/>
      <c r="AN702"/>
      <c r="AQ702" s="712"/>
    </row>
    <row r="703" spans="11:43" ht="21">
      <c r="K703" s="712"/>
      <c r="L703" s="502"/>
      <c r="M703" s="1438" t="s">
        <v>2402</v>
      </c>
      <c r="N703" s="442" t="s">
        <v>462</v>
      </c>
      <c r="O703" s="1443" t="s">
        <v>2403</v>
      </c>
      <c r="P703" s="1468">
        <f>TB_HIV_LB_Co_tr</f>
        <v>0.13439999999999999</v>
      </c>
      <c r="Q703" s="526"/>
      <c r="R703" s="563">
        <v>2</v>
      </c>
      <c r="S703" s="563">
        <v>30</v>
      </c>
      <c r="T703" s="563">
        <v>18</v>
      </c>
      <c r="U703" s="563">
        <f>R703*S703*T703</f>
        <v>1080</v>
      </c>
      <c r="V703" s="526"/>
      <c r="W703" s="526"/>
      <c r="X703" s="526"/>
      <c r="Y703" s="526"/>
      <c r="Z703" s="1470">
        <f>IFERROR(ROUND(T647*$U703*$P703,0),0)</f>
        <v>16692</v>
      </c>
      <c r="AA703" s="1471">
        <f>IFERROR(U647*$U703*$P703,0)</f>
        <v>16692.48</v>
      </c>
      <c r="AB703" s="1471">
        <f>IFERROR(V647*$U703*$P703,0)</f>
        <v>16837.631999999998</v>
      </c>
      <c r="AC703" s="1471">
        <f>IFERROR(W647*$U703*$P703,0)</f>
        <v>16837.631999999998</v>
      </c>
      <c r="AD703" s="1472">
        <f>IFERROR(X647*$U703*$P703,0)</f>
        <v>17273.088</v>
      </c>
      <c r="AE703" s="526"/>
      <c r="AF703" s="526"/>
      <c r="AG703" s="526"/>
      <c r="AH703" s="526"/>
      <c r="AI703" s="526"/>
      <c r="AJ703" s="526"/>
      <c r="AK703"/>
      <c r="AL703"/>
      <c r="AM703"/>
      <c r="AN703"/>
      <c r="AQ703" s="712"/>
    </row>
    <row r="704" spans="11:43" ht="21">
      <c r="K704" s="712"/>
      <c r="L704" s="502"/>
      <c r="M704"/>
      <c r="N704" s="442" t="s">
        <v>473</v>
      </c>
      <c r="O704" s="1443" t="s">
        <v>2403</v>
      </c>
      <c r="P704" s="1468">
        <f>TB_HIV_LB_Co_tr</f>
        <v>0.13439999999999999</v>
      </c>
      <c r="Q704" s="526"/>
      <c r="R704" s="563">
        <v>2</v>
      </c>
      <c r="S704" s="563">
        <v>30</v>
      </c>
      <c r="T704" s="563">
        <v>9</v>
      </c>
      <c r="U704" s="563">
        <f t="shared" si="87"/>
        <v>540</v>
      </c>
      <c r="V704" s="526"/>
      <c r="W704" s="526"/>
      <c r="X704" s="526"/>
      <c r="Y704" s="526"/>
      <c r="Z704" s="1473">
        <f>IFERROR(T649*$U704*$P704,0)</f>
        <v>2757.8879999999999</v>
      </c>
      <c r="AA704" s="1474">
        <f>IFERROR(U649*$U704*$P704,0)</f>
        <v>2757.8879999999999</v>
      </c>
      <c r="AB704" s="1474">
        <f>IFERROR(V649*$U704*$P704,0)</f>
        <v>2757.8879999999999</v>
      </c>
      <c r="AC704" s="1474">
        <f>IFERROR(W649*$U704*$P704,0)</f>
        <v>2830.4639999999999</v>
      </c>
      <c r="AD704" s="1475">
        <f>IFERROR(X649*$U704*$P704,0)</f>
        <v>2830.4639999999999</v>
      </c>
      <c r="AE704" s="526"/>
      <c r="AF704" s="526"/>
      <c r="AG704" s="526"/>
      <c r="AH704" s="526"/>
      <c r="AI704" s="526"/>
      <c r="AJ704" s="526"/>
      <c r="AK704"/>
      <c r="AL704"/>
      <c r="AM704"/>
      <c r="AN704"/>
      <c r="AQ704" s="712"/>
    </row>
    <row r="705" spans="1:44" ht="21">
      <c r="K705" s="712"/>
      <c r="L705" s="502"/>
      <c r="M705"/>
      <c r="N705" s="442" t="s">
        <v>474</v>
      </c>
      <c r="O705" s="1443" t="s">
        <v>2403</v>
      </c>
      <c r="P705" s="1468">
        <f>TB_HIV_LB_Co_tr</f>
        <v>0.13439999999999999</v>
      </c>
      <c r="Q705" s="526"/>
      <c r="R705" s="563">
        <v>2</v>
      </c>
      <c r="S705" s="563">
        <v>30</v>
      </c>
      <c r="T705" s="563">
        <v>9</v>
      </c>
      <c r="U705" s="563">
        <f>R705*S705*T705</f>
        <v>540</v>
      </c>
      <c r="V705" s="526"/>
      <c r="W705" s="526"/>
      <c r="X705" s="526"/>
      <c r="Y705" s="526"/>
      <c r="Z705" s="1473">
        <f>IFERROR(T651*$U705*$P705,0)</f>
        <v>2757.8879999999999</v>
      </c>
      <c r="AA705" s="1474">
        <f>IFERROR(U651*$U705*$P705,0)</f>
        <v>2757.8879999999999</v>
      </c>
      <c r="AB705" s="1474">
        <f>IFERROR(V651*$U705*$P705,0)</f>
        <v>2757.8879999999999</v>
      </c>
      <c r="AC705" s="1474">
        <f>IFERROR(W651*$U705*$P705,0)</f>
        <v>2830.4639999999999</v>
      </c>
      <c r="AD705" s="1475">
        <f>IFERROR(X651*$U705*$P705,0)</f>
        <v>2830.4639999999999</v>
      </c>
      <c r="AE705" s="526"/>
      <c r="AF705" s="526"/>
      <c r="AG705" s="526"/>
      <c r="AH705" s="526"/>
      <c r="AI705" s="526"/>
      <c r="AJ705" s="526"/>
      <c r="AK705"/>
      <c r="AL705"/>
      <c r="AM705"/>
      <c r="AN705"/>
      <c r="AQ705" s="712"/>
    </row>
    <row r="706" spans="1:44" ht="22" thickBot="1">
      <c r="K706" s="712"/>
      <c r="L706" s="502"/>
      <c r="M706"/>
      <c r="N706" s="442" t="s">
        <v>510</v>
      </c>
      <c r="O706" s="1443" t="s">
        <v>2403</v>
      </c>
      <c r="P706" s="1468">
        <f>TB_HIV_LB_Co_tr</f>
        <v>0.13439999999999999</v>
      </c>
      <c r="Q706" s="526"/>
      <c r="R706" s="563">
        <v>2</v>
      </c>
      <c r="S706" s="563">
        <v>30</v>
      </c>
      <c r="T706" s="563">
        <v>22</v>
      </c>
      <c r="U706" s="563">
        <f t="shared" si="87"/>
        <v>1320</v>
      </c>
      <c r="V706" s="526"/>
      <c r="W706" s="526"/>
      <c r="X706" s="526"/>
      <c r="Y706" s="526"/>
      <c r="Z706" s="1476">
        <f>IFERROR(T653*$U706*$P706,0)</f>
        <v>15611.903999999999</v>
      </c>
      <c r="AA706" s="1477">
        <f>IFERROR(U653*$U706*$P706,0)</f>
        <v>15611.903999999999</v>
      </c>
      <c r="AB706" s="1477">
        <f>IFERROR(V653*$U706*$P706,0)</f>
        <v>15966.72</v>
      </c>
      <c r="AC706" s="1477">
        <f>IFERROR(W653*$U706*$P706,0)</f>
        <v>16676.351999999999</v>
      </c>
      <c r="AD706" s="1478">
        <f>IFERROR(X653*$U706*$P706,0)</f>
        <v>17031.167999999998</v>
      </c>
      <c r="AE706" s="526"/>
      <c r="AF706" s="526"/>
      <c r="AG706" s="526"/>
      <c r="AH706" s="526"/>
      <c r="AI706" s="526"/>
      <c r="AJ706" s="526"/>
      <c r="AK706"/>
      <c r="AL706"/>
      <c r="AM706"/>
      <c r="AN706"/>
      <c r="AQ706" s="712"/>
    </row>
    <row r="707" spans="1:44" ht="22" thickBot="1">
      <c r="K707" s="712"/>
      <c r="L707" s="502"/>
      <c r="M707" s="431"/>
      <c r="N707" s="431" t="s">
        <v>2408</v>
      </c>
      <c r="O707" s="1443" t="s">
        <v>2403</v>
      </c>
      <c r="P707" s="431"/>
      <c r="Q707" s="431"/>
      <c r="R707" s="431"/>
      <c r="S707" s="431"/>
      <c r="T707" s="431"/>
      <c r="U707" s="431"/>
      <c r="V707" s="431"/>
      <c r="W707" s="431"/>
      <c r="X707" s="431"/>
      <c r="Y707" s="431"/>
      <c r="Z707" s="1480">
        <f>ROUND(SUM(Z703:Z706),0)</f>
        <v>37820</v>
      </c>
      <c r="AA707" s="1480">
        <f>ROUND(SUM(AA703:AA706),0)</f>
        <v>37820</v>
      </c>
      <c r="AB707" s="1480">
        <f>ROUND(SUM(AB703:AB706),0)</f>
        <v>38320</v>
      </c>
      <c r="AC707" s="1480">
        <f>ROUND(SUM(AC703:AC706),0)</f>
        <v>39175</v>
      </c>
      <c r="AD707" s="1480">
        <f>ROUND(SUM(AD703:AD706),0)</f>
        <v>39965</v>
      </c>
      <c r="AE707" s="545"/>
      <c r="AF707" s="545"/>
      <c r="AG707" s="545"/>
      <c r="AH707" s="545"/>
      <c r="AI707" s="545"/>
      <c r="AJ707" s="545"/>
      <c r="AK707"/>
      <c r="AL707"/>
      <c r="AM707"/>
      <c r="AN707"/>
      <c r="AQ707" s="712"/>
    </row>
    <row r="708" spans="1:44" ht="22" thickBot="1">
      <c r="A708" s="730">
        <v>26</v>
      </c>
      <c r="B708" s="733">
        <f>Z708</f>
        <v>18910</v>
      </c>
      <c r="C708" s="733">
        <f>AA708</f>
        <v>18910</v>
      </c>
      <c r="D708" s="733">
        <f>AB708</f>
        <v>19160</v>
      </c>
      <c r="E708" s="733">
        <f>AC708</f>
        <v>19587.5</v>
      </c>
      <c r="F708" s="733">
        <f>AD708</f>
        <v>19982.5</v>
      </c>
      <c r="G708" s="733" t="s">
        <v>513</v>
      </c>
      <c r="H708" s="733" t="s">
        <v>3732</v>
      </c>
      <c r="I708" s="841"/>
      <c r="J708" s="841" t="s">
        <v>2950</v>
      </c>
      <c r="K708" s="712"/>
      <c r="L708" s="502"/>
      <c r="M708"/>
      <c r="N708" s="431" t="s">
        <v>2216</v>
      </c>
      <c r="O708" s="1469" t="s">
        <v>2403</v>
      </c>
      <c r="P708" s="545"/>
      <c r="Q708" s="545"/>
      <c r="R708" s="545"/>
      <c r="S708" s="545"/>
      <c r="T708" s="545"/>
      <c r="U708" s="545"/>
      <c r="V708" s="545"/>
      <c r="W708" s="545"/>
      <c r="X708" s="545"/>
      <c r="Y708" s="545">
        <f>VLOOKUP(O708,Preturi_medicamente!D:M,6,0)</f>
        <v>0.5</v>
      </c>
      <c r="Z708" s="1738">
        <f>$Y708*Z707</f>
        <v>18910</v>
      </c>
      <c r="AA708" s="1736">
        <f>$Y708*AA707</f>
        <v>18910</v>
      </c>
      <c r="AB708" s="1736">
        <f>$Y708*AB707</f>
        <v>19160</v>
      </c>
      <c r="AC708" s="1736">
        <f>$Y708*AC707</f>
        <v>19587.5</v>
      </c>
      <c r="AD708" s="1737">
        <f>$Y708*AD707</f>
        <v>19982.5</v>
      </c>
      <c r="AE708" s="526"/>
      <c r="AF708" s="526"/>
      <c r="AG708" s="526"/>
      <c r="AH708" s="526"/>
      <c r="AI708" s="526"/>
      <c r="AJ708" s="526"/>
      <c r="AK708"/>
      <c r="AL708"/>
      <c r="AM708"/>
      <c r="AN708"/>
      <c r="AQ708" s="712"/>
      <c r="AR708" s="1487">
        <f>SUM(Z708:AD708)</f>
        <v>96550</v>
      </c>
    </row>
    <row r="709" spans="1:44" ht="22" thickBot="1">
      <c r="K709" s="712"/>
      <c r="L709" s="502"/>
      <c r="M709" s="502"/>
      <c r="N709" s="707" t="s">
        <v>335</v>
      </c>
      <c r="O709" s="526"/>
      <c r="P709" s="526"/>
      <c r="Q709" s="526"/>
      <c r="R709" s="526"/>
      <c r="S709" s="526"/>
      <c r="T709" s="545" t="s">
        <v>114</v>
      </c>
      <c r="U709" s="545"/>
      <c r="V709" s="545"/>
      <c r="W709" s="545"/>
      <c r="X709" s="545"/>
      <c r="Y709" s="545"/>
      <c r="Z709" s="55" t="s">
        <v>513</v>
      </c>
      <c r="AA709" s="545"/>
      <c r="AB709" s="545"/>
      <c r="AC709" s="545"/>
      <c r="AD709" s="545"/>
      <c r="AE709" s="545"/>
      <c r="AF709" s="545" t="s">
        <v>351</v>
      </c>
      <c r="AG709" s="526"/>
      <c r="AH709" s="526"/>
      <c r="AI709" s="526"/>
      <c r="AJ709" s="526"/>
      <c r="AK709"/>
      <c r="AL709"/>
      <c r="AM709"/>
      <c r="AN709"/>
      <c r="AQ709" s="712"/>
    </row>
    <row r="710" spans="1:44" ht="22" thickBot="1">
      <c r="K710" s="712"/>
      <c r="L710" s="502"/>
      <c r="M710" s="502"/>
      <c r="O710" s="526"/>
      <c r="P710" s="526"/>
      <c r="Q710" s="526"/>
      <c r="R710" s="526"/>
      <c r="S710" s="526"/>
      <c r="T710" s="584">
        <v>2021</v>
      </c>
      <c r="U710" s="585">
        <v>2022</v>
      </c>
      <c r="V710" s="585">
        <v>2023</v>
      </c>
      <c r="W710" s="585">
        <v>2024</v>
      </c>
      <c r="X710" s="586">
        <v>2025</v>
      </c>
      <c r="Y710" s="526"/>
      <c r="Z710" s="584">
        <v>2021</v>
      </c>
      <c r="AA710" s="585">
        <v>2022</v>
      </c>
      <c r="AB710" s="585">
        <v>2023</v>
      </c>
      <c r="AC710" s="585">
        <v>2024</v>
      </c>
      <c r="AD710" s="586">
        <v>2025</v>
      </c>
      <c r="AE710" s="526"/>
      <c r="AF710" s="584">
        <v>2021</v>
      </c>
      <c r="AG710" s="585">
        <v>2022</v>
      </c>
      <c r="AH710" s="585">
        <v>2023</v>
      </c>
      <c r="AI710" s="585">
        <v>2024</v>
      </c>
      <c r="AJ710" s="586">
        <v>2025</v>
      </c>
      <c r="AK710"/>
      <c r="AL710"/>
      <c r="AM710"/>
      <c r="AN710"/>
      <c r="AQ710" s="712"/>
    </row>
    <row r="711" spans="1:44" ht="21">
      <c r="K711" s="712"/>
      <c r="L711" s="502"/>
      <c r="M711" s="502"/>
      <c r="O711" s="716" t="s">
        <v>463</v>
      </c>
      <c r="P711" s="528"/>
      <c r="Q711" s="528"/>
      <c r="R711" s="528"/>
      <c r="S711" s="528"/>
      <c r="T711" s="587">
        <f t="shared" ref="T711:T725" si="96">Z711+AF711</f>
        <v>2081</v>
      </c>
      <c r="U711" s="588">
        <f t="shared" ref="U711:U725" si="97">AA711+AG711</f>
        <v>4141</v>
      </c>
      <c r="V711" s="588">
        <f t="shared" ref="V711:V725" si="98">AB711+AH711</f>
        <v>4202</v>
      </c>
      <c r="W711" s="588">
        <f t="shared" ref="W711:W725" si="99">AC711+AI711</f>
        <v>4284</v>
      </c>
      <c r="X711" s="589">
        <f t="shared" ref="X711:X725" si="100">AD711+AJ711</f>
        <v>4386</v>
      </c>
      <c r="Y711" s="526"/>
      <c r="Z711" s="592">
        <f>SUMIF($O$659:$O$702,$O711,Z$659:Z$702)</f>
        <v>0</v>
      </c>
      <c r="AA711" s="593">
        <f t="shared" ref="AA711:AD725" si="101">SUMIF($O$659:$O$702,$O711,AA$659:AA$702)</f>
        <v>0</v>
      </c>
      <c r="AB711" s="593">
        <f t="shared" si="101"/>
        <v>0</v>
      </c>
      <c r="AC711" s="593">
        <f t="shared" si="101"/>
        <v>4284</v>
      </c>
      <c r="AD711" s="594">
        <f t="shared" si="101"/>
        <v>4386</v>
      </c>
      <c r="AE711" s="526"/>
      <c r="AF711" s="1127">
        <f t="shared" ref="AF711:AJ725" si="102">SUMIF($O$659:$O$702,$O711,AF$659:AF$702)</f>
        <v>2081</v>
      </c>
      <c r="AG711" s="1128">
        <f t="shared" si="102"/>
        <v>4141</v>
      </c>
      <c r="AH711" s="1128">
        <f t="shared" si="102"/>
        <v>4202</v>
      </c>
      <c r="AI711" s="1128">
        <f t="shared" si="102"/>
        <v>0</v>
      </c>
      <c r="AJ711" s="1129">
        <f t="shared" si="102"/>
        <v>0</v>
      </c>
      <c r="AK711"/>
      <c r="AL711"/>
      <c r="AM711"/>
      <c r="AN711"/>
      <c r="AQ711" s="712"/>
    </row>
    <row r="712" spans="1:44" ht="21">
      <c r="K712" s="712"/>
      <c r="L712" s="502"/>
      <c r="M712" s="502"/>
      <c r="O712" s="714" t="s">
        <v>1808</v>
      </c>
      <c r="P712" s="715"/>
      <c r="Q712" s="715"/>
      <c r="R712" s="715"/>
      <c r="S712" s="715"/>
      <c r="T712" s="592">
        <f t="shared" si="96"/>
        <v>5202</v>
      </c>
      <c r="U712" s="593">
        <f t="shared" si="97"/>
        <v>10353</v>
      </c>
      <c r="V712" s="593">
        <f t="shared" si="98"/>
        <v>10506</v>
      </c>
      <c r="W712" s="593">
        <f t="shared" si="99"/>
        <v>10710</v>
      </c>
      <c r="X712" s="594">
        <f t="shared" si="100"/>
        <v>10965</v>
      </c>
      <c r="Y712" s="526"/>
      <c r="Z712" s="592">
        <f t="shared" ref="Z712:Z725" si="103">SUMIF($O$659:$O$702,$O712,Z$659:Z$702)</f>
        <v>0</v>
      </c>
      <c r="AA712" s="593">
        <f t="shared" si="101"/>
        <v>0</v>
      </c>
      <c r="AB712" s="593">
        <f t="shared" si="101"/>
        <v>0</v>
      </c>
      <c r="AC712" s="593">
        <f t="shared" si="101"/>
        <v>10710</v>
      </c>
      <c r="AD712" s="594">
        <f t="shared" si="101"/>
        <v>10965</v>
      </c>
      <c r="AE712" s="526"/>
      <c r="AF712" s="1088">
        <f t="shared" si="102"/>
        <v>5202</v>
      </c>
      <c r="AG712" s="1089">
        <f t="shared" si="102"/>
        <v>10353</v>
      </c>
      <c r="AH712" s="1089">
        <f t="shared" si="102"/>
        <v>10506</v>
      </c>
      <c r="AI712" s="1089">
        <f t="shared" si="102"/>
        <v>0</v>
      </c>
      <c r="AJ712" s="1090">
        <f t="shared" si="102"/>
        <v>0</v>
      </c>
      <c r="AK712"/>
      <c r="AL712"/>
      <c r="AM712"/>
      <c r="AN712"/>
      <c r="AQ712" s="712"/>
    </row>
    <row r="713" spans="1:44" ht="34">
      <c r="K713" s="712"/>
      <c r="L713" s="502"/>
      <c r="M713" s="502"/>
      <c r="O713" s="714" t="s">
        <v>1809</v>
      </c>
      <c r="P713" s="715"/>
      <c r="Q713" s="715"/>
      <c r="R713" s="715"/>
      <c r="S713" s="715"/>
      <c r="T713" s="592">
        <f t="shared" si="96"/>
        <v>2601</v>
      </c>
      <c r="U713" s="593">
        <f t="shared" si="97"/>
        <v>5177</v>
      </c>
      <c r="V713" s="593">
        <f t="shared" si="98"/>
        <v>5253</v>
      </c>
      <c r="W713" s="593">
        <f t="shared" si="99"/>
        <v>5355</v>
      </c>
      <c r="X713" s="594">
        <f t="shared" si="100"/>
        <v>5483</v>
      </c>
      <c r="Y713" s="526"/>
      <c r="Z713" s="592">
        <f t="shared" si="103"/>
        <v>0</v>
      </c>
      <c r="AA713" s="593">
        <f t="shared" si="101"/>
        <v>0</v>
      </c>
      <c r="AB713" s="593">
        <f>SUMIF($O$659:$O$702,$O713,AB$659:AB$702)</f>
        <v>0</v>
      </c>
      <c r="AC713" s="593">
        <f t="shared" si="101"/>
        <v>5355</v>
      </c>
      <c r="AD713" s="594">
        <f t="shared" si="101"/>
        <v>5483</v>
      </c>
      <c r="AE713" s="526"/>
      <c r="AF713" s="1088">
        <f t="shared" si="102"/>
        <v>2601</v>
      </c>
      <c r="AG713" s="1089">
        <f t="shared" si="102"/>
        <v>5177</v>
      </c>
      <c r="AH713" s="1089">
        <f t="shared" si="102"/>
        <v>5253</v>
      </c>
      <c r="AI713" s="1089">
        <f t="shared" si="102"/>
        <v>0</v>
      </c>
      <c r="AJ713" s="1090">
        <f t="shared" si="102"/>
        <v>0</v>
      </c>
      <c r="AK713"/>
      <c r="AL713"/>
      <c r="AM713"/>
      <c r="AN713"/>
      <c r="AQ713" s="712"/>
    </row>
    <row r="714" spans="1:44" ht="21">
      <c r="K714" s="712"/>
      <c r="L714" s="502"/>
      <c r="M714" s="502"/>
      <c r="O714" s="714" t="s">
        <v>464</v>
      </c>
      <c r="P714" s="715"/>
      <c r="Q714" s="715"/>
      <c r="R714" s="715"/>
      <c r="S714" s="715"/>
      <c r="T714" s="592">
        <f t="shared" si="96"/>
        <v>26822</v>
      </c>
      <c r="U714" s="593">
        <f t="shared" si="97"/>
        <v>53513</v>
      </c>
      <c r="V714" s="593">
        <f t="shared" si="98"/>
        <v>54105</v>
      </c>
      <c r="W714" s="593">
        <f t="shared" si="99"/>
        <v>55520</v>
      </c>
      <c r="X714" s="594">
        <f t="shared" si="100"/>
        <v>56369</v>
      </c>
      <c r="Y714" s="526"/>
      <c r="Z714" s="592">
        <f t="shared" si="103"/>
        <v>0</v>
      </c>
      <c r="AA714" s="593">
        <f t="shared" si="101"/>
        <v>0</v>
      </c>
      <c r="AB714" s="593">
        <f t="shared" si="101"/>
        <v>0</v>
      </c>
      <c r="AC714" s="593">
        <f t="shared" si="101"/>
        <v>55520</v>
      </c>
      <c r="AD714" s="594">
        <f t="shared" si="101"/>
        <v>56369</v>
      </c>
      <c r="AE714" s="526"/>
      <c r="AF714" s="1088">
        <f>SUMIF($O$659:$O$702,$O714,AF$659:AF$702)</f>
        <v>26822</v>
      </c>
      <c r="AG714" s="1089">
        <f t="shared" si="102"/>
        <v>53513</v>
      </c>
      <c r="AH714" s="1089">
        <f t="shared" si="102"/>
        <v>54105</v>
      </c>
      <c r="AI714" s="1089">
        <f t="shared" si="102"/>
        <v>0</v>
      </c>
      <c r="AJ714" s="1090">
        <f t="shared" si="102"/>
        <v>0</v>
      </c>
      <c r="AK714"/>
      <c r="AL714"/>
      <c r="AM714"/>
      <c r="AN714"/>
      <c r="AQ714" s="712"/>
    </row>
    <row r="715" spans="1:44" ht="21">
      <c r="K715" s="712"/>
      <c r="L715" s="502"/>
      <c r="M715" s="502"/>
      <c r="O715" s="714" t="s">
        <v>465</v>
      </c>
      <c r="P715" s="715"/>
      <c r="Q715" s="715"/>
      <c r="R715" s="715"/>
      <c r="S715" s="715"/>
      <c r="T715" s="592">
        <f t="shared" si="96"/>
        <v>49767</v>
      </c>
      <c r="U715" s="593">
        <f t="shared" si="97"/>
        <v>99164</v>
      </c>
      <c r="V715" s="593">
        <f t="shared" si="98"/>
        <v>100429</v>
      </c>
      <c r="W715" s="593">
        <f t="shared" si="99"/>
        <v>102684</v>
      </c>
      <c r="X715" s="594">
        <f t="shared" si="100"/>
        <v>104684</v>
      </c>
      <c r="Y715" s="526"/>
      <c r="Z715" s="592">
        <f t="shared" si="103"/>
        <v>0</v>
      </c>
      <c r="AA715" s="593">
        <f t="shared" si="101"/>
        <v>0</v>
      </c>
      <c r="AB715" s="593">
        <f t="shared" si="101"/>
        <v>0</v>
      </c>
      <c r="AC715" s="593">
        <f t="shared" si="101"/>
        <v>102684</v>
      </c>
      <c r="AD715" s="594">
        <f t="shared" si="101"/>
        <v>104684</v>
      </c>
      <c r="AE715" s="526"/>
      <c r="AF715" s="1088">
        <f t="shared" si="102"/>
        <v>49767</v>
      </c>
      <c r="AG715" s="1089">
        <f t="shared" si="102"/>
        <v>99164</v>
      </c>
      <c r="AH715" s="1089">
        <f t="shared" si="102"/>
        <v>100429</v>
      </c>
      <c r="AI715" s="1089">
        <f t="shared" si="102"/>
        <v>0</v>
      </c>
      <c r="AJ715" s="1090">
        <f t="shared" si="102"/>
        <v>0</v>
      </c>
      <c r="AK715"/>
      <c r="AL715"/>
      <c r="AM715"/>
      <c r="AN715"/>
      <c r="AQ715" s="712"/>
    </row>
    <row r="716" spans="1:44" ht="21">
      <c r="K716" s="712"/>
      <c r="L716" s="502"/>
      <c r="M716" s="502"/>
      <c r="O716" s="714" t="s">
        <v>466</v>
      </c>
      <c r="P716" s="715"/>
      <c r="Q716" s="715"/>
      <c r="R716" s="715"/>
      <c r="S716" s="715"/>
      <c r="T716" s="592">
        <f t="shared" si="96"/>
        <v>136217</v>
      </c>
      <c r="U716" s="593">
        <f t="shared" si="97"/>
        <v>271330</v>
      </c>
      <c r="V716" s="593">
        <f t="shared" si="98"/>
        <v>275125</v>
      </c>
      <c r="W716" s="593">
        <f t="shared" si="99"/>
        <v>281200</v>
      </c>
      <c r="X716" s="594">
        <f t="shared" si="100"/>
        <v>287196</v>
      </c>
      <c r="Y716" s="526"/>
      <c r="Z716" s="592">
        <f>SUMIF($O$659:$O$702,$O716,Z$659:Z$702)</f>
        <v>0</v>
      </c>
      <c r="AA716" s="593">
        <f t="shared" si="101"/>
        <v>0</v>
      </c>
      <c r="AB716" s="593">
        <f t="shared" si="101"/>
        <v>0</v>
      </c>
      <c r="AC716" s="593">
        <f t="shared" si="101"/>
        <v>281200</v>
      </c>
      <c r="AD716" s="594">
        <f t="shared" si="101"/>
        <v>287196</v>
      </c>
      <c r="AE716" s="526"/>
      <c r="AF716" s="1088">
        <f>SUMIF($O$659:$O$702,$O716,AF$659:AF$702)</f>
        <v>136217</v>
      </c>
      <c r="AG716" s="1089">
        <f t="shared" si="102"/>
        <v>271330</v>
      </c>
      <c r="AH716" s="1089">
        <f t="shared" si="102"/>
        <v>275125</v>
      </c>
      <c r="AI716" s="1089">
        <f t="shared" si="102"/>
        <v>0</v>
      </c>
      <c r="AJ716" s="1090">
        <f t="shared" si="102"/>
        <v>0</v>
      </c>
      <c r="AK716"/>
      <c r="AL716"/>
      <c r="AM716"/>
      <c r="AN716"/>
      <c r="AQ716" s="712"/>
    </row>
    <row r="717" spans="1:44" ht="21">
      <c r="K717" s="712"/>
      <c r="L717" s="502"/>
      <c r="M717" s="502"/>
      <c r="O717" s="714" t="s">
        <v>467</v>
      </c>
      <c r="P717" s="715"/>
      <c r="Q717" s="715"/>
      <c r="R717" s="715"/>
      <c r="S717" s="715"/>
      <c r="T717" s="592">
        <f t="shared" si="96"/>
        <v>24113</v>
      </c>
      <c r="U717" s="593">
        <f t="shared" si="97"/>
        <v>48103</v>
      </c>
      <c r="V717" s="593">
        <f t="shared" si="98"/>
        <v>48470</v>
      </c>
      <c r="W717" s="593">
        <f t="shared" si="99"/>
        <v>49572</v>
      </c>
      <c r="X717" s="594">
        <f t="shared" si="100"/>
        <v>50184</v>
      </c>
      <c r="Y717" s="526"/>
      <c r="Z717" s="592">
        <f t="shared" si="103"/>
        <v>0</v>
      </c>
      <c r="AA717" s="593">
        <f t="shared" si="101"/>
        <v>0</v>
      </c>
      <c r="AB717" s="593">
        <f t="shared" si="101"/>
        <v>0</v>
      </c>
      <c r="AC717" s="593">
        <f t="shared" si="101"/>
        <v>49572</v>
      </c>
      <c r="AD717" s="594">
        <f t="shared" si="101"/>
        <v>50184</v>
      </c>
      <c r="AE717" s="526"/>
      <c r="AF717" s="1088">
        <f>SUMIF($O$659:$O$702,$O717,AF$659:AF$702)</f>
        <v>24113</v>
      </c>
      <c r="AG717" s="1089">
        <f>SUMIF($O$659:$O$702,$O717,AG$659:AG$702)</f>
        <v>48103</v>
      </c>
      <c r="AH717" s="1089">
        <f t="shared" si="102"/>
        <v>48470</v>
      </c>
      <c r="AI717" s="1089">
        <f t="shared" si="102"/>
        <v>0</v>
      </c>
      <c r="AJ717" s="1090">
        <f t="shared" si="102"/>
        <v>0</v>
      </c>
      <c r="AK717"/>
      <c r="AL717"/>
      <c r="AM717"/>
      <c r="AN717"/>
      <c r="AQ717" s="712"/>
    </row>
    <row r="718" spans="1:44" ht="21">
      <c r="K718" s="712"/>
      <c r="L718" s="502"/>
      <c r="M718" s="502"/>
      <c r="O718" s="714" t="s">
        <v>313</v>
      </c>
      <c r="P718" s="715"/>
      <c r="Q718" s="715"/>
      <c r="R718" s="715"/>
      <c r="S718" s="715"/>
      <c r="T718" s="592">
        <f t="shared" si="96"/>
        <v>46176</v>
      </c>
      <c r="U718" s="593">
        <f t="shared" si="97"/>
        <v>91938</v>
      </c>
      <c r="V718" s="593">
        <f t="shared" si="98"/>
        <v>93361</v>
      </c>
      <c r="W718" s="593">
        <f t="shared" si="99"/>
        <v>95381</v>
      </c>
      <c r="X718" s="594">
        <f t="shared" si="100"/>
        <v>97629</v>
      </c>
      <c r="Y718" s="526"/>
      <c r="Z718" s="592">
        <f t="shared" si="103"/>
        <v>0</v>
      </c>
      <c r="AA718" s="593">
        <f t="shared" si="101"/>
        <v>0</v>
      </c>
      <c r="AB718" s="593">
        <f t="shared" si="101"/>
        <v>0</v>
      </c>
      <c r="AC718" s="593">
        <f t="shared" si="101"/>
        <v>95381</v>
      </c>
      <c r="AD718" s="594">
        <f t="shared" si="101"/>
        <v>97629</v>
      </c>
      <c r="AE718" s="526"/>
      <c r="AF718" s="1088">
        <f t="shared" si="102"/>
        <v>46176</v>
      </c>
      <c r="AG718" s="1089">
        <f t="shared" si="102"/>
        <v>91938</v>
      </c>
      <c r="AH718" s="1089">
        <f t="shared" si="102"/>
        <v>93361</v>
      </c>
      <c r="AI718" s="1089">
        <f t="shared" si="102"/>
        <v>0</v>
      </c>
      <c r="AJ718" s="1090">
        <f t="shared" si="102"/>
        <v>0</v>
      </c>
      <c r="AK718"/>
      <c r="AL718"/>
      <c r="AM718"/>
      <c r="AN718"/>
      <c r="AQ718" s="712"/>
    </row>
    <row r="719" spans="1:44" ht="21">
      <c r="K719" s="712"/>
      <c r="L719" s="502"/>
      <c r="M719" s="502"/>
      <c r="O719" s="714" t="s">
        <v>468</v>
      </c>
      <c r="P719" s="715"/>
      <c r="Q719" s="715"/>
      <c r="R719" s="715"/>
      <c r="S719" s="715"/>
      <c r="T719" s="592">
        <f t="shared" si="96"/>
        <v>23088</v>
      </c>
      <c r="U719" s="593">
        <f t="shared" si="97"/>
        <v>45969</v>
      </c>
      <c r="V719" s="593">
        <f t="shared" si="98"/>
        <v>46681</v>
      </c>
      <c r="W719" s="593">
        <f t="shared" si="99"/>
        <v>47690</v>
      </c>
      <c r="X719" s="594">
        <f t="shared" si="100"/>
        <v>48814</v>
      </c>
      <c r="Y719" s="526"/>
      <c r="Z719" s="592">
        <f t="shared" si="103"/>
        <v>0</v>
      </c>
      <c r="AA719" s="593">
        <f t="shared" si="101"/>
        <v>0</v>
      </c>
      <c r="AB719" s="593">
        <f>SUMIF($O$659:$O$702,$O719,AB$659:AB$702)</f>
        <v>0</v>
      </c>
      <c r="AC719" s="593">
        <f>SUMIF($O$659:$O$702,$O719,AC$659:AC$702)</f>
        <v>47690</v>
      </c>
      <c r="AD719" s="594">
        <f t="shared" si="101"/>
        <v>48814</v>
      </c>
      <c r="AE719" s="526"/>
      <c r="AF719" s="1088">
        <f t="shared" si="102"/>
        <v>23088</v>
      </c>
      <c r="AG719" s="1089">
        <f t="shared" si="102"/>
        <v>45969</v>
      </c>
      <c r="AH719" s="1089">
        <f t="shared" si="102"/>
        <v>46681</v>
      </c>
      <c r="AI719" s="1089">
        <f t="shared" si="102"/>
        <v>0</v>
      </c>
      <c r="AJ719" s="1090">
        <f t="shared" si="102"/>
        <v>0</v>
      </c>
      <c r="AK719"/>
      <c r="AL719"/>
      <c r="AM719"/>
      <c r="AN719"/>
      <c r="AQ719" s="712"/>
    </row>
    <row r="720" spans="1:44" ht="21">
      <c r="K720" s="712"/>
      <c r="L720" s="502"/>
      <c r="M720" s="502"/>
      <c r="O720" s="714" t="s">
        <v>469</v>
      </c>
      <c r="P720" s="715"/>
      <c r="Q720" s="715"/>
      <c r="R720" s="715"/>
      <c r="S720" s="715"/>
      <c r="T720" s="592">
        <f t="shared" si="96"/>
        <v>199063</v>
      </c>
      <c r="U720" s="593">
        <f t="shared" si="97"/>
        <v>396658</v>
      </c>
      <c r="V720" s="593">
        <f t="shared" si="98"/>
        <v>401717</v>
      </c>
      <c r="W720" s="593">
        <f t="shared" si="99"/>
        <v>410734</v>
      </c>
      <c r="X720" s="594">
        <f t="shared" si="100"/>
        <v>418730</v>
      </c>
      <c r="Y720" s="526"/>
      <c r="Z720" s="592">
        <f t="shared" si="103"/>
        <v>0</v>
      </c>
      <c r="AA720" s="593">
        <f t="shared" si="101"/>
        <v>0</v>
      </c>
      <c r="AB720" s="593">
        <f t="shared" si="101"/>
        <v>0</v>
      </c>
      <c r="AC720" s="593">
        <f t="shared" si="101"/>
        <v>410734</v>
      </c>
      <c r="AD720" s="594">
        <f t="shared" si="101"/>
        <v>418730</v>
      </c>
      <c r="AE720" s="526"/>
      <c r="AF720" s="1088">
        <f t="shared" si="102"/>
        <v>199063</v>
      </c>
      <c r="AG720" s="1089">
        <f t="shared" si="102"/>
        <v>396658</v>
      </c>
      <c r="AH720" s="1089">
        <f t="shared" si="102"/>
        <v>401717</v>
      </c>
      <c r="AI720" s="1089">
        <f t="shared" si="102"/>
        <v>0</v>
      </c>
      <c r="AJ720" s="1090">
        <f t="shared" si="102"/>
        <v>0</v>
      </c>
      <c r="AK720"/>
      <c r="AL720"/>
      <c r="AM720"/>
      <c r="AN720"/>
      <c r="AQ720" s="712"/>
    </row>
    <row r="721" spans="1:43" ht="21">
      <c r="K721" s="712"/>
      <c r="L721" s="502"/>
      <c r="M721" s="502"/>
      <c r="O721" s="714" t="s">
        <v>470</v>
      </c>
      <c r="P721" s="715"/>
      <c r="Q721" s="715"/>
      <c r="R721" s="715"/>
      <c r="S721" s="715"/>
      <c r="T721" s="592">
        <f t="shared" si="96"/>
        <v>60028</v>
      </c>
      <c r="U721" s="593">
        <f t="shared" si="97"/>
        <v>119595</v>
      </c>
      <c r="V721" s="593">
        <f t="shared" si="98"/>
        <v>121176</v>
      </c>
      <c r="W721" s="593">
        <f t="shared" si="99"/>
        <v>123880</v>
      </c>
      <c r="X721" s="594">
        <f t="shared" si="100"/>
        <v>126379</v>
      </c>
      <c r="Y721" s="526"/>
      <c r="Z721" s="592">
        <f t="shared" si="103"/>
        <v>0</v>
      </c>
      <c r="AA721" s="593">
        <f t="shared" si="101"/>
        <v>0</v>
      </c>
      <c r="AB721" s="593">
        <f t="shared" si="101"/>
        <v>0</v>
      </c>
      <c r="AC721" s="593">
        <f t="shared" si="101"/>
        <v>123880</v>
      </c>
      <c r="AD721" s="594">
        <f t="shared" si="101"/>
        <v>126379</v>
      </c>
      <c r="AE721" s="526"/>
      <c r="AF721" s="1088">
        <f t="shared" si="102"/>
        <v>60028</v>
      </c>
      <c r="AG721" s="1089">
        <f t="shared" si="102"/>
        <v>119595</v>
      </c>
      <c r="AH721" s="1089">
        <f t="shared" si="102"/>
        <v>121176</v>
      </c>
      <c r="AI721" s="1089">
        <f t="shared" si="102"/>
        <v>0</v>
      </c>
      <c r="AJ721" s="1090">
        <f t="shared" si="102"/>
        <v>0</v>
      </c>
      <c r="AK721"/>
      <c r="AL721"/>
      <c r="AM721"/>
      <c r="AN721"/>
      <c r="AQ721" s="712"/>
    </row>
    <row r="722" spans="1:43" ht="21">
      <c r="K722" s="712"/>
      <c r="L722" s="502"/>
      <c r="M722" s="502"/>
      <c r="O722" s="714" t="s">
        <v>471</v>
      </c>
      <c r="P722" s="715"/>
      <c r="Q722" s="715"/>
      <c r="R722" s="715"/>
      <c r="S722" s="715"/>
      <c r="T722" s="592">
        <f t="shared" si="96"/>
        <v>10261</v>
      </c>
      <c r="U722" s="593">
        <f t="shared" si="97"/>
        <v>20431</v>
      </c>
      <c r="V722" s="593">
        <f t="shared" si="98"/>
        <v>20747</v>
      </c>
      <c r="W722" s="593">
        <f t="shared" si="99"/>
        <v>21196</v>
      </c>
      <c r="X722" s="594">
        <f t="shared" si="100"/>
        <v>21695</v>
      </c>
      <c r="Y722" s="526"/>
      <c r="Z722" s="592">
        <f t="shared" si="103"/>
        <v>0</v>
      </c>
      <c r="AA722" s="593">
        <f t="shared" si="101"/>
        <v>0</v>
      </c>
      <c r="AB722" s="593">
        <f t="shared" si="101"/>
        <v>0</v>
      </c>
      <c r="AC722" s="593">
        <f t="shared" si="101"/>
        <v>21196</v>
      </c>
      <c r="AD722" s="594">
        <f t="shared" si="101"/>
        <v>21695</v>
      </c>
      <c r="AE722" s="526"/>
      <c r="AF722" s="1088">
        <f t="shared" si="102"/>
        <v>10261</v>
      </c>
      <c r="AG722" s="1089">
        <f t="shared" si="102"/>
        <v>20431</v>
      </c>
      <c r="AH722" s="1089">
        <f t="shared" si="102"/>
        <v>20747</v>
      </c>
      <c r="AI722" s="1089">
        <f t="shared" si="102"/>
        <v>0</v>
      </c>
      <c r="AJ722" s="1090">
        <f t="shared" si="102"/>
        <v>0</v>
      </c>
      <c r="AK722"/>
      <c r="AL722"/>
      <c r="AM722"/>
      <c r="AN722"/>
      <c r="AQ722" s="712"/>
    </row>
    <row r="723" spans="1:43" ht="21">
      <c r="K723" s="712"/>
      <c r="L723" s="502"/>
      <c r="M723" s="502"/>
      <c r="O723" s="714" t="s">
        <v>472</v>
      </c>
      <c r="P723" s="715"/>
      <c r="Q723" s="715"/>
      <c r="R723" s="715"/>
      <c r="S723" s="715"/>
      <c r="T723" s="592">
        <f t="shared" si="96"/>
        <v>10261</v>
      </c>
      <c r="U723" s="593">
        <f t="shared" si="97"/>
        <v>20431</v>
      </c>
      <c r="V723" s="593">
        <f t="shared" si="98"/>
        <v>20747</v>
      </c>
      <c r="W723" s="593">
        <f t="shared" si="99"/>
        <v>21196</v>
      </c>
      <c r="X723" s="594">
        <f t="shared" si="100"/>
        <v>21695</v>
      </c>
      <c r="Y723" s="526"/>
      <c r="Z723" s="592">
        <f t="shared" si="103"/>
        <v>0</v>
      </c>
      <c r="AA723" s="593">
        <f t="shared" si="101"/>
        <v>0</v>
      </c>
      <c r="AB723" s="593">
        <f t="shared" si="101"/>
        <v>0</v>
      </c>
      <c r="AC723" s="593">
        <f t="shared" si="101"/>
        <v>21196</v>
      </c>
      <c r="AD723" s="594">
        <f t="shared" si="101"/>
        <v>21695</v>
      </c>
      <c r="AE723" s="526"/>
      <c r="AF723" s="1088">
        <f t="shared" si="102"/>
        <v>10261</v>
      </c>
      <c r="AG723" s="1089">
        <f t="shared" si="102"/>
        <v>20431</v>
      </c>
      <c r="AH723" s="1089">
        <f t="shared" si="102"/>
        <v>20747</v>
      </c>
      <c r="AI723" s="1089">
        <f t="shared" si="102"/>
        <v>0</v>
      </c>
      <c r="AJ723" s="1090">
        <f t="shared" si="102"/>
        <v>0</v>
      </c>
      <c r="AK723"/>
      <c r="AL723"/>
      <c r="AM723"/>
      <c r="AN723"/>
      <c r="AQ723" s="712"/>
    </row>
    <row r="724" spans="1:43" ht="21">
      <c r="K724" s="712"/>
      <c r="L724" s="502"/>
      <c r="M724" s="502"/>
      <c r="O724" s="714" t="s">
        <v>314</v>
      </c>
      <c r="P724" s="715"/>
      <c r="Q724" s="715"/>
      <c r="R724" s="715"/>
      <c r="S724" s="715"/>
      <c r="T724" s="592">
        <f t="shared" si="96"/>
        <v>51306</v>
      </c>
      <c r="U724" s="593">
        <f t="shared" si="97"/>
        <v>102153</v>
      </c>
      <c r="V724" s="593">
        <f t="shared" si="98"/>
        <v>103734</v>
      </c>
      <c r="W724" s="593">
        <f t="shared" si="99"/>
        <v>105978</v>
      </c>
      <c r="X724" s="594">
        <f t="shared" si="100"/>
        <v>108477</v>
      </c>
      <c r="Y724" s="526"/>
      <c r="Z724" s="592">
        <f t="shared" si="103"/>
        <v>0</v>
      </c>
      <c r="AA724" s="593">
        <f t="shared" si="101"/>
        <v>0</v>
      </c>
      <c r="AB724" s="593">
        <f t="shared" si="101"/>
        <v>0</v>
      </c>
      <c r="AC724" s="593">
        <f t="shared" si="101"/>
        <v>105978</v>
      </c>
      <c r="AD724" s="594">
        <f t="shared" si="101"/>
        <v>108477</v>
      </c>
      <c r="AE724" s="526"/>
      <c r="AF724" s="1088">
        <f t="shared" si="102"/>
        <v>51306</v>
      </c>
      <c r="AG724" s="1089">
        <f t="shared" si="102"/>
        <v>102153</v>
      </c>
      <c r="AH724" s="1089">
        <f t="shared" si="102"/>
        <v>103734</v>
      </c>
      <c r="AI724" s="1089">
        <f t="shared" si="102"/>
        <v>0</v>
      </c>
      <c r="AJ724" s="1090">
        <f t="shared" si="102"/>
        <v>0</v>
      </c>
      <c r="AK724"/>
      <c r="AL724"/>
      <c r="AM724"/>
      <c r="AN724"/>
      <c r="AQ724" s="712"/>
    </row>
    <row r="725" spans="1:43" ht="22" thickBot="1">
      <c r="K725" s="712"/>
      <c r="L725" s="502"/>
      <c r="M725" s="502"/>
      <c r="O725" s="595"/>
      <c r="P725" s="596"/>
      <c r="Q725" s="596"/>
      <c r="R725" s="596"/>
      <c r="S725" s="596"/>
      <c r="T725" s="597">
        <f t="shared" si="96"/>
        <v>0</v>
      </c>
      <c r="U725" s="598">
        <f t="shared" si="97"/>
        <v>0</v>
      </c>
      <c r="V725" s="598">
        <f t="shared" si="98"/>
        <v>0</v>
      </c>
      <c r="W725" s="598">
        <f t="shared" si="99"/>
        <v>0</v>
      </c>
      <c r="X725" s="599">
        <f t="shared" si="100"/>
        <v>0</v>
      </c>
      <c r="Y725" s="526"/>
      <c r="Z725" s="597">
        <f t="shared" si="103"/>
        <v>0</v>
      </c>
      <c r="AA725" s="598">
        <f t="shared" si="101"/>
        <v>0</v>
      </c>
      <c r="AB725" s="598">
        <f t="shared" si="101"/>
        <v>0</v>
      </c>
      <c r="AC725" s="598">
        <f t="shared" si="101"/>
        <v>0</v>
      </c>
      <c r="AD725" s="599">
        <f t="shared" si="101"/>
        <v>0</v>
      </c>
      <c r="AE725" s="526"/>
      <c r="AF725" s="1091">
        <f t="shared" si="102"/>
        <v>0</v>
      </c>
      <c r="AG725" s="1092">
        <f t="shared" si="102"/>
        <v>0</v>
      </c>
      <c r="AH725" s="1092">
        <f t="shared" si="102"/>
        <v>0</v>
      </c>
      <c r="AI725" s="1092">
        <f t="shared" si="102"/>
        <v>0</v>
      </c>
      <c r="AJ725" s="1093">
        <f t="shared" si="102"/>
        <v>0</v>
      </c>
      <c r="AK725"/>
      <c r="AL725"/>
      <c r="AM725"/>
      <c r="AN725"/>
      <c r="AQ725" s="712"/>
    </row>
    <row r="726" spans="1:43" ht="21">
      <c r="K726" s="712"/>
      <c r="L726" s="502"/>
      <c r="M726" s="502"/>
      <c r="O726" s="526"/>
      <c r="P726" s="526"/>
      <c r="Q726" s="526"/>
      <c r="R726" s="526"/>
      <c r="S726" s="526"/>
      <c r="T726" s="526"/>
      <c r="U726" s="526"/>
      <c r="V726" s="526"/>
      <c r="W726" s="526"/>
      <c r="X726" s="526"/>
      <c r="Y726" s="526"/>
      <c r="Z726" s="526"/>
      <c r="AA726" s="526"/>
      <c r="AB726" s="526"/>
      <c r="AC726" s="526"/>
      <c r="AD726" s="684"/>
      <c r="AE726" s="526"/>
      <c r="AF726" s="526"/>
      <c r="AG726" s="526"/>
      <c r="AH726" s="526"/>
      <c r="AI726" s="526"/>
      <c r="AJ726" s="526"/>
      <c r="AK726"/>
      <c r="AL726"/>
      <c r="AM726"/>
      <c r="AN726"/>
      <c r="AQ726" s="712"/>
    </row>
    <row r="727" spans="1:43" ht="22" thickBot="1">
      <c r="K727" s="712"/>
      <c r="L727" s="502"/>
      <c r="M727" s="502"/>
      <c r="O727" s="526"/>
      <c r="P727" s="526"/>
      <c r="Q727" s="526"/>
      <c r="R727" s="526"/>
      <c r="S727"/>
      <c r="T727"/>
      <c r="U727"/>
      <c r="V727"/>
      <c r="W727"/>
      <c r="X727"/>
      <c r="Y727" s="526" t="s">
        <v>332</v>
      </c>
      <c r="Z727" s="526"/>
      <c r="AA727" s="526"/>
      <c r="AB727" s="526"/>
      <c r="AC727" s="526"/>
      <c r="AD727" s="526"/>
      <c r="AE727" s="526" t="s">
        <v>483</v>
      </c>
      <c r="AF727" s="526"/>
      <c r="AG727" s="526"/>
      <c r="AH727" s="526"/>
      <c r="AI727" s="526"/>
      <c r="AJ727" s="526"/>
      <c r="AK727"/>
      <c r="AL727"/>
      <c r="AM727"/>
      <c r="AN727"/>
      <c r="AQ727" s="712"/>
    </row>
    <row r="728" spans="1:43" ht="22" thickBot="1">
      <c r="K728" s="712"/>
      <c r="L728" s="502"/>
      <c r="M728" s="502"/>
      <c r="O728" s="526"/>
      <c r="P728" s="526"/>
      <c r="Q728" s="526"/>
      <c r="R728" s="526"/>
      <c r="S728"/>
      <c r="T728"/>
      <c r="U728"/>
      <c r="V728"/>
      <c r="W728"/>
      <c r="X728"/>
      <c r="Y728" s="526"/>
      <c r="Z728" s="584">
        <v>2021</v>
      </c>
      <c r="AA728" s="585">
        <v>2022</v>
      </c>
      <c r="AB728" s="585">
        <v>2023</v>
      </c>
      <c r="AC728" s="585">
        <v>2024</v>
      </c>
      <c r="AD728" s="586">
        <v>2025</v>
      </c>
      <c r="AE728" s="526"/>
      <c r="AF728" s="584">
        <v>2021</v>
      </c>
      <c r="AG728" s="585">
        <v>2022</v>
      </c>
      <c r="AH728" s="585">
        <v>2023</v>
      </c>
      <c r="AI728" s="585">
        <v>2024</v>
      </c>
      <c r="AJ728" s="586">
        <v>2025</v>
      </c>
      <c r="AK728"/>
      <c r="AL728"/>
      <c r="AM728"/>
      <c r="AN728"/>
      <c r="AQ728" s="712"/>
    </row>
    <row r="729" spans="1:43" ht="21">
      <c r="K729" s="712"/>
      <c r="L729" s="502"/>
      <c r="M729" s="502"/>
      <c r="O729" s="716" t="s">
        <v>463</v>
      </c>
      <c r="P729" s="528"/>
      <c r="Q729" s="528"/>
      <c r="R729" s="528"/>
      <c r="S729" s="528"/>
      <c r="T729" s="528"/>
      <c r="U729" s="528"/>
      <c r="V729" s="528"/>
      <c r="W729" s="528"/>
      <c r="X729" s="528"/>
      <c r="Y729" s="685">
        <f>IFERROR(VLOOKUP($O729,Preturi_medicamente!$D:$M,3,0),0)</f>
        <v>11.59</v>
      </c>
      <c r="Z729" s="600">
        <f t="shared" ref="Z729:AD743" si="104">ROUND(Z711*$Y729,2)</f>
        <v>0</v>
      </c>
      <c r="AA729" s="601">
        <f t="shared" si="104"/>
        <v>0</v>
      </c>
      <c r="AB729" s="601">
        <f t="shared" si="104"/>
        <v>0</v>
      </c>
      <c r="AC729" s="601">
        <f t="shared" si="104"/>
        <v>49651.56</v>
      </c>
      <c r="AD729" s="602">
        <f t="shared" si="104"/>
        <v>50833.74</v>
      </c>
      <c r="AE729" s="686">
        <f>IFERROR(VLOOKUP($O729,Preturi_medicamente!$D:$M,10,0),0)</f>
        <v>0.68300000000000005</v>
      </c>
      <c r="AF729" s="600">
        <f t="shared" ref="AF729:AJ743" si="105">ROUND(AF711*$AE729,2)</f>
        <v>1421.32</v>
      </c>
      <c r="AG729" s="601">
        <f t="shared" si="105"/>
        <v>2828.3</v>
      </c>
      <c r="AH729" s="601">
        <f t="shared" si="105"/>
        <v>2869.97</v>
      </c>
      <c r="AI729" s="601">
        <f t="shared" si="105"/>
        <v>0</v>
      </c>
      <c r="AJ729" s="602">
        <f t="shared" si="105"/>
        <v>0</v>
      </c>
      <c r="AK729"/>
      <c r="AL729"/>
      <c r="AM729"/>
      <c r="AN729"/>
      <c r="AQ729" s="712"/>
    </row>
    <row r="730" spans="1:43" ht="21">
      <c r="K730" s="712"/>
      <c r="L730" s="502"/>
      <c r="M730" s="502"/>
      <c r="O730" s="714" t="s">
        <v>1808</v>
      </c>
      <c r="P730" s="715"/>
      <c r="Q730" s="715"/>
      <c r="R730" s="715"/>
      <c r="S730" s="715"/>
      <c r="T730" s="715"/>
      <c r="U730" s="715"/>
      <c r="V730" s="715"/>
      <c r="W730" s="715"/>
      <c r="X730" s="715"/>
      <c r="Y730" s="685">
        <f>IFERROR(VLOOKUP($O730,Preturi_medicamente!$D:$M,3,0),0)</f>
        <v>85.29</v>
      </c>
      <c r="Z730" s="603">
        <f>ROUND(Z712*$Y730,2)</f>
        <v>0</v>
      </c>
      <c r="AA730" s="604">
        <f t="shared" si="104"/>
        <v>0</v>
      </c>
      <c r="AB730" s="604">
        <f t="shared" si="104"/>
        <v>0</v>
      </c>
      <c r="AC730" s="604">
        <f t="shared" si="104"/>
        <v>913455.9</v>
      </c>
      <c r="AD730" s="605">
        <f t="shared" si="104"/>
        <v>935204.85</v>
      </c>
      <c r="AE730" s="686">
        <f>IFERROR(VLOOKUP($O730,Preturi_medicamente!$D:$M,10,0),0)</f>
        <v>3.05</v>
      </c>
      <c r="AF730" s="603">
        <f>ROUND(AF712*$AE730,2)</f>
        <v>15866.1</v>
      </c>
      <c r="AG730" s="604">
        <f t="shared" si="105"/>
        <v>31576.65</v>
      </c>
      <c r="AH730" s="604">
        <f t="shared" si="105"/>
        <v>32043.3</v>
      </c>
      <c r="AI730" s="604">
        <f t="shared" si="105"/>
        <v>0</v>
      </c>
      <c r="AJ730" s="605">
        <f t="shared" si="105"/>
        <v>0</v>
      </c>
      <c r="AK730"/>
      <c r="AL730"/>
      <c r="AM730"/>
      <c r="AN730"/>
      <c r="AQ730" s="712"/>
    </row>
    <row r="731" spans="1:43" ht="34">
      <c r="K731" s="712"/>
      <c r="L731" s="502"/>
      <c r="M731" s="502"/>
      <c r="O731" s="714" t="s">
        <v>1809</v>
      </c>
      <c r="P731" s="715"/>
      <c r="Q731" s="715"/>
      <c r="R731" s="715"/>
      <c r="S731" s="715"/>
      <c r="T731" s="715"/>
      <c r="U731" s="715"/>
      <c r="V731" s="715"/>
      <c r="W731" s="715"/>
      <c r="X731" s="715"/>
      <c r="Y731" s="685">
        <f>IFERROR(VLOOKUP($O731,Preturi_medicamente!$D:$M,3,0),0)</f>
        <v>3.03</v>
      </c>
      <c r="Z731" s="603">
        <f t="shared" si="104"/>
        <v>0</v>
      </c>
      <c r="AA731" s="604">
        <f t="shared" si="104"/>
        <v>0</v>
      </c>
      <c r="AB731" s="604">
        <f t="shared" si="104"/>
        <v>0</v>
      </c>
      <c r="AC731" s="604">
        <f t="shared" si="104"/>
        <v>16225.65</v>
      </c>
      <c r="AD731" s="605">
        <f t="shared" si="104"/>
        <v>16613.490000000002</v>
      </c>
      <c r="AE731" s="686">
        <f>IFERROR(VLOOKUP($O731,Preturi_medicamente!$D:$M,10,0),0)</f>
        <v>0.12</v>
      </c>
      <c r="AF731" s="603">
        <f t="shared" si="105"/>
        <v>312.12</v>
      </c>
      <c r="AG731" s="604">
        <f t="shared" si="105"/>
        <v>621.24</v>
      </c>
      <c r="AH731" s="604">
        <f t="shared" si="105"/>
        <v>630.36</v>
      </c>
      <c r="AI731" s="604">
        <f t="shared" si="105"/>
        <v>0</v>
      </c>
      <c r="AJ731" s="605">
        <f t="shared" si="105"/>
        <v>0</v>
      </c>
      <c r="AK731"/>
      <c r="AL731"/>
      <c r="AM731"/>
      <c r="AN731"/>
      <c r="AQ731" s="712"/>
    </row>
    <row r="732" spans="1:43" ht="21">
      <c r="K732" s="712"/>
      <c r="L732" s="502"/>
      <c r="M732" s="502"/>
      <c r="O732" s="714" t="s">
        <v>464</v>
      </c>
      <c r="P732" s="715"/>
      <c r="Q732" s="715"/>
      <c r="R732" s="715"/>
      <c r="S732" s="715"/>
      <c r="T732" s="715"/>
      <c r="U732" s="715"/>
      <c r="V732" s="715"/>
      <c r="W732" s="715"/>
      <c r="X732" s="715"/>
      <c r="Y732" s="685">
        <f>IFERROR(VLOOKUP($O732,Preturi_medicamente!$D:$M,3,0),0)</f>
        <v>37.42</v>
      </c>
      <c r="Z732" s="603">
        <f t="shared" si="104"/>
        <v>0</v>
      </c>
      <c r="AA732" s="604">
        <f t="shared" si="104"/>
        <v>0</v>
      </c>
      <c r="AB732" s="604">
        <f t="shared" si="104"/>
        <v>0</v>
      </c>
      <c r="AC732" s="604">
        <f t="shared" si="104"/>
        <v>2077558.4</v>
      </c>
      <c r="AD732" s="605">
        <f t="shared" si="104"/>
        <v>2109327.98</v>
      </c>
      <c r="AE732" s="686">
        <f>IFERROR(VLOOKUP($O732,Preturi_medicamente!$D:$M,10,0),0)</f>
        <v>2.13</v>
      </c>
      <c r="AF732" s="603">
        <f t="shared" si="105"/>
        <v>57130.86</v>
      </c>
      <c r="AG732" s="604">
        <f t="shared" si="105"/>
        <v>113982.69</v>
      </c>
      <c r="AH732" s="604">
        <f t="shared" si="105"/>
        <v>115243.65</v>
      </c>
      <c r="AI732" s="604">
        <f t="shared" si="105"/>
        <v>0</v>
      </c>
      <c r="AJ732" s="605">
        <f t="shared" si="105"/>
        <v>0</v>
      </c>
      <c r="AK732"/>
      <c r="AL732"/>
      <c r="AM732"/>
      <c r="AN732"/>
      <c r="AQ732" s="712"/>
    </row>
    <row r="733" spans="1:43" ht="21">
      <c r="K733" s="712"/>
      <c r="L733" s="502"/>
      <c r="M733" s="502"/>
      <c r="O733" s="714" t="s">
        <v>465</v>
      </c>
      <c r="P733" s="715"/>
      <c r="Q733" s="715"/>
      <c r="R733" s="715"/>
      <c r="S733" s="715"/>
      <c r="T733" s="715"/>
      <c r="U733" s="715"/>
      <c r="V733" s="715"/>
      <c r="W733" s="715"/>
      <c r="X733" s="715"/>
      <c r="Y733" s="685">
        <f>IFERROR(VLOOKUP($O733,Preturi_medicamente!$D:$M,3,0),0)</f>
        <v>25.81</v>
      </c>
      <c r="Z733" s="603">
        <f t="shared" si="104"/>
        <v>0</v>
      </c>
      <c r="AA733" s="604">
        <f t="shared" si="104"/>
        <v>0</v>
      </c>
      <c r="AB733" s="604">
        <f t="shared" si="104"/>
        <v>0</v>
      </c>
      <c r="AC733" s="604">
        <f t="shared" si="104"/>
        <v>2650274.04</v>
      </c>
      <c r="AD733" s="605">
        <f t="shared" si="104"/>
        <v>2701894.04</v>
      </c>
      <c r="AE733" s="686">
        <f>IFERROR(VLOOKUP($O733,Preturi_medicamente!$D:$M,10,0),0)</f>
        <v>0.5</v>
      </c>
      <c r="AF733" s="603">
        <f t="shared" si="105"/>
        <v>24883.5</v>
      </c>
      <c r="AG733" s="604">
        <f t="shared" si="105"/>
        <v>49582</v>
      </c>
      <c r="AH733" s="604">
        <f t="shared" si="105"/>
        <v>50214.5</v>
      </c>
      <c r="AI733" s="604">
        <f t="shared" si="105"/>
        <v>0</v>
      </c>
      <c r="AJ733" s="605">
        <f t="shared" si="105"/>
        <v>0</v>
      </c>
      <c r="AK733"/>
      <c r="AL733"/>
      <c r="AM733"/>
      <c r="AN733"/>
      <c r="AQ733" s="712"/>
    </row>
    <row r="734" spans="1:43" ht="21">
      <c r="K734" s="712"/>
      <c r="L734" s="502"/>
      <c r="M734" s="502"/>
      <c r="O734" s="714" t="s">
        <v>466</v>
      </c>
      <c r="P734" s="715"/>
      <c r="Q734" s="715"/>
      <c r="R734" s="715"/>
      <c r="S734" s="715"/>
      <c r="T734" s="715"/>
      <c r="U734" s="715"/>
      <c r="V734" s="715"/>
      <c r="W734" s="715"/>
      <c r="X734" s="715"/>
      <c r="Y734" s="685">
        <f>IFERROR(VLOOKUP($O734,Preturi_medicamente!$D:$M,3,0),0)</f>
        <v>5.55</v>
      </c>
      <c r="Z734" s="603">
        <f t="shared" si="104"/>
        <v>0</v>
      </c>
      <c r="AA734" s="604">
        <f t="shared" si="104"/>
        <v>0</v>
      </c>
      <c r="AB734" s="604">
        <f t="shared" si="104"/>
        <v>0</v>
      </c>
      <c r="AC734" s="604">
        <f t="shared" si="104"/>
        <v>1560660</v>
      </c>
      <c r="AD734" s="605">
        <f t="shared" si="104"/>
        <v>1593937.8</v>
      </c>
      <c r="AE734" s="686">
        <f>IFERROR(VLOOKUP($O734,Preturi_medicamente!$D:$M,10,0),0)</f>
        <v>0.25</v>
      </c>
      <c r="AF734" s="603">
        <f>ROUND(AF716*$AE734,2)</f>
        <v>34054.25</v>
      </c>
      <c r="AG734" s="604">
        <f t="shared" si="105"/>
        <v>67832.5</v>
      </c>
      <c r="AH734" s="604">
        <f t="shared" si="105"/>
        <v>68781.25</v>
      </c>
      <c r="AI734" s="604">
        <f t="shared" si="105"/>
        <v>0</v>
      </c>
      <c r="AJ734" s="605">
        <f t="shared" si="105"/>
        <v>0</v>
      </c>
      <c r="AK734"/>
      <c r="AL734"/>
      <c r="AM734"/>
      <c r="AN734"/>
      <c r="AQ734" s="712"/>
    </row>
    <row r="735" spans="1:43" ht="21">
      <c r="K735" s="712"/>
      <c r="L735" s="502"/>
      <c r="M735" s="502"/>
      <c r="O735" s="714" t="s">
        <v>467</v>
      </c>
      <c r="P735" s="715"/>
      <c r="Q735" s="715"/>
      <c r="R735" s="715"/>
      <c r="S735" s="715"/>
      <c r="T735" s="715"/>
      <c r="U735" s="715"/>
      <c r="V735" s="715"/>
      <c r="W735" s="715"/>
      <c r="X735" s="715"/>
      <c r="Y735" s="685">
        <f>IFERROR(VLOOKUP($O735,Preturi_medicamente!$D:$M,3,0),0)</f>
        <v>2.5299999999999998</v>
      </c>
      <c r="Z735" s="603">
        <f t="shared" si="104"/>
        <v>0</v>
      </c>
      <c r="AA735" s="604">
        <f t="shared" si="104"/>
        <v>0</v>
      </c>
      <c r="AB735" s="604">
        <f t="shared" si="104"/>
        <v>0</v>
      </c>
      <c r="AC735" s="604">
        <f t="shared" si="104"/>
        <v>125417.16</v>
      </c>
      <c r="AD735" s="605">
        <f t="shared" si="104"/>
        <v>126965.52</v>
      </c>
      <c r="AE735" s="686">
        <f>IFERROR(VLOOKUP($O735,Preturi_medicamente!$D:$M,10,0),0)</f>
        <v>2.5299999999999998</v>
      </c>
      <c r="AF735" s="603">
        <f t="shared" si="105"/>
        <v>61005.89</v>
      </c>
      <c r="AG735" s="604">
        <f t="shared" si="105"/>
        <v>121700.59</v>
      </c>
      <c r="AH735" s="604">
        <f t="shared" si="105"/>
        <v>122629.1</v>
      </c>
      <c r="AI735" s="604">
        <f t="shared" si="105"/>
        <v>0</v>
      </c>
      <c r="AJ735" s="605">
        <f t="shared" si="105"/>
        <v>0</v>
      </c>
      <c r="AK735"/>
      <c r="AL735"/>
      <c r="AM735"/>
      <c r="AN735"/>
      <c r="AQ735" s="712"/>
    </row>
    <row r="736" spans="1:43" ht="21">
      <c r="A736"/>
      <c r="B736"/>
      <c r="C736"/>
      <c r="D736"/>
      <c r="E736"/>
      <c r="F736"/>
      <c r="G736"/>
      <c r="H736"/>
      <c r="I736"/>
      <c r="J736"/>
      <c r="K736" s="712"/>
      <c r="L736" s="502"/>
      <c r="M736" s="502"/>
      <c r="O736" s="714" t="s">
        <v>313</v>
      </c>
      <c r="P736" s="715"/>
      <c r="Q736" s="715"/>
      <c r="R736" s="715"/>
      <c r="S736" s="715"/>
      <c r="T736" s="715"/>
      <c r="U736" s="715"/>
      <c r="V736" s="715"/>
      <c r="W736" s="715"/>
      <c r="X736" s="715"/>
      <c r="Y736" s="685">
        <f>IFERROR(VLOOKUP($O736,Preturi_medicamente!$D:$M,3,0),0)</f>
        <v>1</v>
      </c>
      <c r="Z736" s="603">
        <f t="shared" si="104"/>
        <v>0</v>
      </c>
      <c r="AA736" s="604">
        <f t="shared" si="104"/>
        <v>0</v>
      </c>
      <c r="AB736" s="604">
        <f t="shared" si="104"/>
        <v>0</v>
      </c>
      <c r="AC736" s="604">
        <f t="shared" si="104"/>
        <v>95381</v>
      </c>
      <c r="AD736" s="605">
        <f t="shared" si="104"/>
        <v>97629</v>
      </c>
      <c r="AE736" s="686">
        <f>IFERROR(VLOOKUP($O736,Preturi_medicamente!$D:$M,10,0),0)</f>
        <v>3.6999999999999998E-2</v>
      </c>
      <c r="AF736" s="603">
        <f t="shared" si="105"/>
        <v>1708.51</v>
      </c>
      <c r="AG736" s="604">
        <f t="shared" si="105"/>
        <v>3401.71</v>
      </c>
      <c r="AH736" s="604">
        <f t="shared" si="105"/>
        <v>3454.36</v>
      </c>
      <c r="AI736" s="604">
        <f t="shared" si="105"/>
        <v>0</v>
      </c>
      <c r="AJ736" s="605">
        <f t="shared" si="105"/>
        <v>0</v>
      </c>
      <c r="AK736"/>
      <c r="AL736"/>
      <c r="AM736"/>
      <c r="AN736"/>
      <c r="AQ736" s="712"/>
    </row>
    <row r="737" spans="1:44" ht="21">
      <c r="A737"/>
      <c r="B737"/>
      <c r="C737"/>
      <c r="D737"/>
      <c r="E737"/>
      <c r="F737"/>
      <c r="G737"/>
      <c r="H737"/>
      <c r="I737"/>
      <c r="J737"/>
      <c r="K737" s="712"/>
      <c r="L737" s="502"/>
      <c r="M737" s="502"/>
      <c r="O737" s="714" t="s">
        <v>468</v>
      </c>
      <c r="P737" s="715"/>
      <c r="Q737" s="715"/>
      <c r="R737" s="715"/>
      <c r="S737" s="715"/>
      <c r="T737" s="715"/>
      <c r="U737" s="715"/>
      <c r="V737" s="715"/>
      <c r="W737" s="715"/>
      <c r="X737" s="715"/>
      <c r="Y737" s="685">
        <f>IFERROR(VLOOKUP($O737,Preturi_medicamente!$D:$M,3,0),0)</f>
        <v>1.81</v>
      </c>
      <c r="Z737" s="603">
        <f t="shared" si="104"/>
        <v>0</v>
      </c>
      <c r="AA737" s="604">
        <f t="shared" si="104"/>
        <v>0</v>
      </c>
      <c r="AB737" s="604">
        <f t="shared" si="104"/>
        <v>0</v>
      </c>
      <c r="AC737" s="604">
        <f t="shared" si="104"/>
        <v>86318.9</v>
      </c>
      <c r="AD737" s="605">
        <f t="shared" si="104"/>
        <v>88353.34</v>
      </c>
      <c r="AE737" s="686">
        <f>IFERROR(VLOOKUP($O737,Preturi_medicamente!$D:$M,10,0),0)</f>
        <v>6.7000000000000004E-2</v>
      </c>
      <c r="AF737" s="603">
        <f t="shared" si="105"/>
        <v>1546.9</v>
      </c>
      <c r="AG737" s="604">
        <f t="shared" si="105"/>
        <v>3079.92</v>
      </c>
      <c r="AH737" s="604">
        <f t="shared" si="105"/>
        <v>3127.63</v>
      </c>
      <c r="AI737" s="604">
        <f t="shared" si="105"/>
        <v>0</v>
      </c>
      <c r="AJ737" s="605">
        <f t="shared" si="105"/>
        <v>0</v>
      </c>
      <c r="AK737"/>
      <c r="AL737"/>
      <c r="AM737"/>
      <c r="AN737"/>
      <c r="AQ737" s="712"/>
    </row>
    <row r="738" spans="1:44" ht="21">
      <c r="A738"/>
      <c r="B738"/>
      <c r="C738"/>
      <c r="D738"/>
      <c r="E738"/>
      <c r="F738"/>
      <c r="G738"/>
      <c r="H738"/>
      <c r="I738"/>
      <c r="J738"/>
      <c r="K738" s="712"/>
      <c r="L738" s="502"/>
      <c r="M738" s="502"/>
      <c r="O738" s="714" t="s">
        <v>469</v>
      </c>
      <c r="P738" s="715"/>
      <c r="Q738" s="715"/>
      <c r="R738" s="715"/>
      <c r="S738" s="715"/>
      <c r="T738" s="715"/>
      <c r="U738" s="715"/>
      <c r="V738" s="715"/>
      <c r="W738" s="715"/>
      <c r="X738" s="715"/>
      <c r="Y738" s="685">
        <f>IFERROR(VLOOKUP($O738,Preturi_medicamente!$D:$M,3,0),0)</f>
        <v>0.71</v>
      </c>
      <c r="Z738" s="603">
        <f t="shared" si="104"/>
        <v>0</v>
      </c>
      <c r="AA738" s="604">
        <f t="shared" si="104"/>
        <v>0</v>
      </c>
      <c r="AB738" s="604">
        <f t="shared" si="104"/>
        <v>0</v>
      </c>
      <c r="AC738" s="604">
        <f t="shared" si="104"/>
        <v>291621.14</v>
      </c>
      <c r="AD738" s="605">
        <f t="shared" si="104"/>
        <v>297298.3</v>
      </c>
      <c r="AE738" s="686">
        <f>IFERROR(VLOOKUP($O738,Preturi_medicamente!$D:$M,10,0),0)</f>
        <v>2.6499999999999999E-2</v>
      </c>
      <c r="AF738" s="603">
        <f t="shared" si="105"/>
        <v>5275.17</v>
      </c>
      <c r="AG738" s="604">
        <f t="shared" si="105"/>
        <v>10511.44</v>
      </c>
      <c r="AH738" s="604">
        <f t="shared" si="105"/>
        <v>10645.5</v>
      </c>
      <c r="AI738" s="604">
        <f t="shared" si="105"/>
        <v>0</v>
      </c>
      <c r="AJ738" s="605">
        <f t="shared" si="105"/>
        <v>0</v>
      </c>
      <c r="AK738"/>
      <c r="AL738"/>
      <c r="AM738"/>
      <c r="AN738"/>
      <c r="AQ738" s="712"/>
    </row>
    <row r="739" spans="1:44" ht="21">
      <c r="A739"/>
      <c r="B739"/>
      <c r="C739"/>
      <c r="D739"/>
      <c r="E739"/>
      <c r="F739"/>
      <c r="G739"/>
      <c r="H739"/>
      <c r="I739"/>
      <c r="J739"/>
      <c r="K739" s="712"/>
      <c r="L739" s="502"/>
      <c r="M739" s="502"/>
      <c r="O739" s="714" t="s">
        <v>470</v>
      </c>
      <c r="P739" s="715"/>
      <c r="Q739" s="715"/>
      <c r="R739" s="715"/>
      <c r="S739" s="715"/>
      <c r="T739" s="715"/>
      <c r="U739" s="715"/>
      <c r="V739" s="715"/>
      <c r="W739" s="715"/>
      <c r="X739" s="715"/>
      <c r="Y739" s="685">
        <f>IFERROR(VLOOKUP($O739,Preturi_medicamente!$D:$M,3,0),0)</f>
        <v>1.38</v>
      </c>
      <c r="Z739" s="603">
        <f t="shared" si="104"/>
        <v>0</v>
      </c>
      <c r="AA739" s="604">
        <f t="shared" si="104"/>
        <v>0</v>
      </c>
      <c r="AB739" s="604">
        <f t="shared" si="104"/>
        <v>0</v>
      </c>
      <c r="AC739" s="604">
        <f t="shared" si="104"/>
        <v>170954.4</v>
      </c>
      <c r="AD739" s="605">
        <f t="shared" si="104"/>
        <v>174403.02</v>
      </c>
      <c r="AE739" s="686">
        <f>IFERROR(VLOOKUP($O739,Preturi_medicamente!$D:$M,10,0),0)</f>
        <v>0.75</v>
      </c>
      <c r="AF739" s="603">
        <f t="shared" si="105"/>
        <v>45021</v>
      </c>
      <c r="AG739" s="604">
        <f t="shared" si="105"/>
        <v>89696.25</v>
      </c>
      <c r="AH739" s="604">
        <f t="shared" si="105"/>
        <v>90882</v>
      </c>
      <c r="AI739" s="604">
        <f t="shared" si="105"/>
        <v>0</v>
      </c>
      <c r="AJ739" s="605">
        <f t="shared" si="105"/>
        <v>0</v>
      </c>
      <c r="AK739"/>
      <c r="AL739"/>
      <c r="AM739"/>
      <c r="AN739"/>
      <c r="AQ739" s="712"/>
    </row>
    <row r="740" spans="1:44" ht="21">
      <c r="A740"/>
      <c r="B740"/>
      <c r="C740"/>
      <c r="D740"/>
      <c r="E740"/>
      <c r="F740"/>
      <c r="G740"/>
      <c r="H740"/>
      <c r="I740"/>
      <c r="J740"/>
      <c r="K740" s="712"/>
      <c r="L740" s="502"/>
      <c r="M740" s="502"/>
      <c r="O740" s="714" t="s">
        <v>471</v>
      </c>
      <c r="P740" s="715"/>
      <c r="Q740" s="715"/>
      <c r="R740" s="715"/>
      <c r="S740" s="715"/>
      <c r="T740" s="715"/>
      <c r="U740" s="715"/>
      <c r="V740" s="715"/>
      <c r="W740" s="715"/>
      <c r="X740" s="715"/>
      <c r="Y740" s="685">
        <f>IFERROR(VLOOKUP($O740,Preturi_medicamente!$D:$M,3,0),0)</f>
        <v>7.07</v>
      </c>
      <c r="Z740" s="603">
        <f t="shared" si="104"/>
        <v>0</v>
      </c>
      <c r="AA740" s="604">
        <f t="shared" si="104"/>
        <v>0</v>
      </c>
      <c r="AB740" s="604">
        <f t="shared" si="104"/>
        <v>0</v>
      </c>
      <c r="AC740" s="604">
        <f t="shared" si="104"/>
        <v>149855.72</v>
      </c>
      <c r="AD740" s="605">
        <f t="shared" si="104"/>
        <v>153383.65</v>
      </c>
      <c r="AE740" s="686">
        <f>IFERROR(VLOOKUP($O740,Preturi_medicamente!$D:$M,10,0),0)</f>
        <v>0.31</v>
      </c>
      <c r="AF740" s="603">
        <f t="shared" si="105"/>
        <v>3180.91</v>
      </c>
      <c r="AG740" s="604">
        <f t="shared" si="105"/>
        <v>6333.61</v>
      </c>
      <c r="AH740" s="604">
        <f t="shared" si="105"/>
        <v>6431.57</v>
      </c>
      <c r="AI740" s="604">
        <f t="shared" si="105"/>
        <v>0</v>
      </c>
      <c r="AJ740" s="605">
        <f t="shared" si="105"/>
        <v>0</v>
      </c>
      <c r="AK740"/>
      <c r="AL740"/>
      <c r="AM740"/>
      <c r="AN740"/>
      <c r="AQ740" s="712"/>
    </row>
    <row r="741" spans="1:44" ht="21">
      <c r="A741"/>
      <c r="B741"/>
      <c r="C741"/>
      <c r="D741"/>
      <c r="E741"/>
      <c r="F741"/>
      <c r="G741"/>
      <c r="H741"/>
      <c r="I741"/>
      <c r="J741"/>
      <c r="K741" s="712"/>
      <c r="L741" s="502"/>
      <c r="M741" s="502"/>
      <c r="O741" s="714" t="s">
        <v>472</v>
      </c>
      <c r="P741" s="715"/>
      <c r="Q741" s="715"/>
      <c r="R741" s="715"/>
      <c r="S741" s="715"/>
      <c r="T741" s="715"/>
      <c r="U741" s="715"/>
      <c r="V741" s="715"/>
      <c r="W741" s="715"/>
      <c r="X741" s="715"/>
      <c r="Y741" s="685">
        <f>IFERROR(VLOOKUP($O741,Preturi_medicamente!$D:$M,3,0),0)</f>
        <v>30.86</v>
      </c>
      <c r="Z741" s="603">
        <f t="shared" si="104"/>
        <v>0</v>
      </c>
      <c r="AA741" s="604">
        <f t="shared" si="104"/>
        <v>0</v>
      </c>
      <c r="AB741" s="604">
        <f t="shared" si="104"/>
        <v>0</v>
      </c>
      <c r="AC741" s="604">
        <f t="shared" si="104"/>
        <v>654108.56000000006</v>
      </c>
      <c r="AD741" s="605">
        <f t="shared" si="104"/>
        <v>669507.69999999995</v>
      </c>
      <c r="AE741" s="686">
        <f>IFERROR(VLOOKUP($O741,Preturi_medicamente!$D:$M,10,0),0)</f>
        <v>1.32</v>
      </c>
      <c r="AF741" s="603">
        <f>ROUND(AF723*$AE741,2)</f>
        <v>13544.52</v>
      </c>
      <c r="AG741" s="604">
        <f t="shared" si="105"/>
        <v>26968.92</v>
      </c>
      <c r="AH741" s="604">
        <f t="shared" si="105"/>
        <v>27386.04</v>
      </c>
      <c r="AI741" s="604">
        <f t="shared" si="105"/>
        <v>0</v>
      </c>
      <c r="AJ741" s="605">
        <f t="shared" si="105"/>
        <v>0</v>
      </c>
      <c r="AK741"/>
      <c r="AL741"/>
      <c r="AM741"/>
      <c r="AN741"/>
      <c r="AQ741" s="712"/>
    </row>
    <row r="742" spans="1:44" ht="21">
      <c r="A742"/>
      <c r="B742"/>
      <c r="C742"/>
      <c r="D742"/>
      <c r="E742"/>
      <c r="F742"/>
      <c r="G742"/>
      <c r="H742"/>
      <c r="I742"/>
      <c r="J742"/>
      <c r="K742" s="712"/>
      <c r="L742" s="502"/>
      <c r="M742" s="502"/>
      <c r="O742" s="714" t="s">
        <v>314</v>
      </c>
      <c r="P742" s="715"/>
      <c r="Q742" s="715"/>
      <c r="R742" s="715"/>
      <c r="S742" s="715"/>
      <c r="T742" s="715"/>
      <c r="U742" s="715"/>
      <c r="V742" s="715"/>
      <c r="W742" s="715"/>
      <c r="X742" s="715"/>
      <c r="Y742" s="685">
        <f>IFERROR(VLOOKUP($O742,Preturi_medicamente!$D:$M,3,0),0)</f>
        <v>0.5</v>
      </c>
      <c r="Z742" s="603">
        <f t="shared" si="104"/>
        <v>0</v>
      </c>
      <c r="AA742" s="604">
        <f t="shared" si="104"/>
        <v>0</v>
      </c>
      <c r="AB742" s="604">
        <f t="shared" si="104"/>
        <v>0</v>
      </c>
      <c r="AC742" s="604">
        <f t="shared" si="104"/>
        <v>52989</v>
      </c>
      <c r="AD742" s="605">
        <f t="shared" si="104"/>
        <v>54238.5</v>
      </c>
      <c r="AE742" s="686">
        <f>IFERROR(VLOOKUP($O742,Preturi_medicamente!$D:$M,10,0),0)</f>
        <v>0.02</v>
      </c>
      <c r="AF742" s="603">
        <f t="shared" si="105"/>
        <v>1026.1199999999999</v>
      </c>
      <c r="AG742" s="604">
        <f t="shared" si="105"/>
        <v>2043.06</v>
      </c>
      <c r="AH742" s="604">
        <f t="shared" si="105"/>
        <v>2074.6799999999998</v>
      </c>
      <c r="AI742" s="604">
        <f t="shared" si="105"/>
        <v>0</v>
      </c>
      <c r="AJ742" s="605">
        <f t="shared" si="105"/>
        <v>0</v>
      </c>
      <c r="AK742"/>
      <c r="AL742"/>
      <c r="AM742"/>
      <c r="AN742"/>
      <c r="AQ742" s="712"/>
    </row>
    <row r="743" spans="1:44" ht="22" thickBot="1">
      <c r="A743"/>
      <c r="B743"/>
      <c r="C743"/>
      <c r="D743"/>
      <c r="E743"/>
      <c r="F743"/>
      <c r="G743"/>
      <c r="H743"/>
      <c r="I743"/>
      <c r="J743"/>
      <c r="K743" s="712"/>
      <c r="L743" s="502"/>
      <c r="M743" s="502"/>
      <c r="O743" s="595"/>
      <c r="P743" s="596"/>
      <c r="Q743" s="596"/>
      <c r="R743" s="596"/>
      <c r="S743" s="596"/>
      <c r="T743" s="596"/>
      <c r="U743" s="596"/>
      <c r="V743" s="596"/>
      <c r="W743" s="596"/>
      <c r="X743" s="596"/>
      <c r="Y743" s="685">
        <f>IFERROR(VLOOKUP($O743,Preturi_medicamente!$D:$M,3,0),0)</f>
        <v>0</v>
      </c>
      <c r="Z743" s="606">
        <f t="shared" si="104"/>
        <v>0</v>
      </c>
      <c r="AA743" s="607">
        <f t="shared" si="104"/>
        <v>0</v>
      </c>
      <c r="AB743" s="607">
        <f t="shared" si="104"/>
        <v>0</v>
      </c>
      <c r="AC743" s="607">
        <f t="shared" si="104"/>
        <v>0</v>
      </c>
      <c r="AD743" s="608">
        <f t="shared" si="104"/>
        <v>0</v>
      </c>
      <c r="AE743" s="686">
        <f>IFERROR(VLOOKUP($O743,Preturi_medicamente!$D:$M,10,0),0)</f>
        <v>0</v>
      </c>
      <c r="AF743" s="606">
        <f t="shared" si="105"/>
        <v>0</v>
      </c>
      <c r="AG743" s="607">
        <f t="shared" si="105"/>
        <v>0</v>
      </c>
      <c r="AH743" s="607">
        <f t="shared" si="105"/>
        <v>0</v>
      </c>
      <c r="AI743" s="607">
        <f t="shared" si="105"/>
        <v>0</v>
      </c>
      <c r="AJ743" s="608">
        <f t="shared" si="105"/>
        <v>0</v>
      </c>
      <c r="AK743"/>
      <c r="AL743"/>
      <c r="AM743"/>
      <c r="AN743"/>
      <c r="AQ743" s="712"/>
    </row>
    <row r="744" spans="1:44" ht="22" thickBot="1">
      <c r="A744" s="730">
        <v>27</v>
      </c>
      <c r="B744" s="733">
        <f>Z744</f>
        <v>0</v>
      </c>
      <c r="C744" s="733">
        <f>AA744</f>
        <v>0</v>
      </c>
      <c r="D744" s="733">
        <f>AB744</f>
        <v>0</v>
      </c>
      <c r="E744" s="733">
        <f>AC744</f>
        <v>8894471.4299999997</v>
      </c>
      <c r="F744" s="733">
        <f>AD744</f>
        <v>9069590.9299999978</v>
      </c>
      <c r="G744" s="733" t="s">
        <v>513</v>
      </c>
      <c r="H744" s="733" t="s">
        <v>509</v>
      </c>
      <c r="I744" s="733"/>
      <c r="J744" s="841" t="s">
        <v>2935</v>
      </c>
      <c r="K744" s="712"/>
      <c r="L744" s="502"/>
      <c r="M744" s="502"/>
      <c r="O744" s="526"/>
      <c r="P744" s="526"/>
      <c r="Q744" s="526"/>
      <c r="R744" s="526"/>
      <c r="S744"/>
      <c r="T744"/>
      <c r="U744"/>
      <c r="V744"/>
      <c r="W744"/>
      <c r="X744"/>
      <c r="Y744" s="526"/>
      <c r="Z744" s="1738">
        <f>SUM(Z729:Z743)</f>
        <v>0</v>
      </c>
      <c r="AA744" s="1736">
        <f>SUM(AA729:AA743)</f>
        <v>0</v>
      </c>
      <c r="AB744" s="1736">
        <f>SUM(AB729:AB743)</f>
        <v>0</v>
      </c>
      <c r="AC744" s="1736">
        <f>SUM(AC729:AC743)</f>
        <v>8894471.4299999997</v>
      </c>
      <c r="AD744" s="1737">
        <f>SUM(AD729:AD743)</f>
        <v>9069590.9299999978</v>
      </c>
      <c r="AE744" s="526"/>
      <c r="AF744" s="687">
        <f>SUM(AF729:AF743)</f>
        <v>265977.17</v>
      </c>
      <c r="AG744" s="688">
        <f>SUM(AG729:AG743)</f>
        <v>530158.88</v>
      </c>
      <c r="AH744" s="688">
        <f>SUM(AH729:AH743)</f>
        <v>536413.91</v>
      </c>
      <c r="AI744" s="688">
        <f>SUM(AI729:AI743)</f>
        <v>0</v>
      </c>
      <c r="AJ744" s="689">
        <f>SUM(AJ729:AJ743)</f>
        <v>0</v>
      </c>
      <c r="AK744" s="2230">
        <f>SUM(AF744:AJ744)</f>
        <v>1332549.96</v>
      </c>
      <c r="AL744"/>
      <c r="AM744"/>
      <c r="AN744"/>
      <c r="AQ744" s="712"/>
      <c r="AR744" s="1489">
        <f>SUM(Z744:AD744)</f>
        <v>17964062.359999999</v>
      </c>
    </row>
    <row r="745" spans="1:44" ht="22" thickBot="1">
      <c r="K745" s="712"/>
      <c r="L745" s="502"/>
      <c r="M745" s="502"/>
      <c r="O745" s="526"/>
      <c r="P745" s="526"/>
      <c r="Q745" s="526"/>
      <c r="R745" s="526"/>
      <c r="S745"/>
      <c r="T745"/>
      <c r="U745"/>
      <c r="V745"/>
      <c r="W745"/>
      <c r="X745"/>
      <c r="Y745" s="526"/>
      <c r="Z745" s="526"/>
      <c r="AA745" s="526"/>
      <c r="AB745" s="526"/>
      <c r="AC745" s="526"/>
      <c r="AD745" s="526"/>
      <c r="AE745" s="526"/>
      <c r="AF745" s="526"/>
      <c r="AG745" s="526"/>
      <c r="AH745" s="526"/>
      <c r="AI745" s="526"/>
      <c r="AJ745" s="526"/>
      <c r="AK745"/>
      <c r="AL745"/>
      <c r="AM745"/>
      <c r="AN745"/>
      <c r="AQ745" s="712"/>
    </row>
    <row r="746" spans="1:44" ht="34">
      <c r="K746" s="712"/>
      <c r="L746" s="502"/>
      <c r="M746" s="502"/>
      <c r="O746" s="526"/>
      <c r="P746" s="526"/>
      <c r="Q746" s="526"/>
      <c r="R746" s="526"/>
      <c r="S746" s="526"/>
      <c r="T746" s="686"/>
      <c r="U746" s="690"/>
      <c r="V746" s="690"/>
      <c r="W746" s="690"/>
      <c r="X746" s="690"/>
      <c r="Y746" s="526"/>
      <c r="Z746" s="526"/>
      <c r="AA746" s="526"/>
      <c r="AB746" s="526"/>
      <c r="AC746" s="526"/>
      <c r="AD746" s="526"/>
      <c r="AE746" s="691" t="s">
        <v>485</v>
      </c>
      <c r="AF746" s="692">
        <f>AF744*AE747</f>
        <v>3191.72604</v>
      </c>
      <c r="AG746" s="693">
        <f>AG744*AE747</f>
        <v>6361.9065600000004</v>
      </c>
      <c r="AH746" s="693">
        <f>AH744*AE747</f>
        <v>6436.9669200000008</v>
      </c>
      <c r="AI746" s="693">
        <f>AI744*AE747</f>
        <v>0</v>
      </c>
      <c r="AJ746" s="694">
        <f>AJ744*AE747</f>
        <v>0</v>
      </c>
      <c r="AK746"/>
      <c r="AL746"/>
      <c r="AM746"/>
      <c r="AN746"/>
      <c r="AQ746" s="712"/>
    </row>
    <row r="747" spans="1:44" ht="21">
      <c r="K747" s="712"/>
      <c r="L747" s="502"/>
      <c r="M747" s="502"/>
      <c r="O747" s="526"/>
      <c r="P747" s="526"/>
      <c r="Q747" s="526"/>
      <c r="R747" s="526"/>
      <c r="S747" s="526"/>
      <c r="T747" s="686"/>
      <c r="U747" s="690"/>
      <c r="V747" s="690"/>
      <c r="W747" s="690"/>
      <c r="X747" s="690"/>
      <c r="Y747" s="526"/>
      <c r="Z747" s="526"/>
      <c r="AA747" s="526"/>
      <c r="AB747" s="526"/>
      <c r="AC747" s="526"/>
      <c r="AD747" s="526"/>
      <c r="AE747" s="695">
        <v>1.2E-2</v>
      </c>
      <c r="AF747" s="696"/>
      <c r="AG747" s="552"/>
      <c r="AH747" s="552"/>
      <c r="AI747" s="552"/>
      <c r="AJ747" s="553"/>
      <c r="AK747"/>
      <c r="AL747"/>
      <c r="AM747"/>
      <c r="AN747"/>
      <c r="AQ747" s="712"/>
    </row>
    <row r="748" spans="1:44" ht="21">
      <c r="K748" s="712"/>
      <c r="L748" s="502"/>
      <c r="M748" s="502"/>
      <c r="O748" s="526"/>
      <c r="P748" s="526"/>
      <c r="Q748" s="526"/>
      <c r="R748" s="526"/>
      <c r="S748" s="526"/>
      <c r="T748" s="686"/>
      <c r="U748" s="690"/>
      <c r="V748" s="690"/>
      <c r="W748" s="690"/>
      <c r="X748" s="690"/>
      <c r="Y748" s="526"/>
      <c r="Z748" s="526"/>
      <c r="AA748" s="526"/>
      <c r="AB748" s="526"/>
      <c r="AC748" s="526"/>
      <c r="AD748" s="526"/>
      <c r="AE748" s="691" t="s">
        <v>486</v>
      </c>
      <c r="AF748" s="697">
        <f>AF744*AE749</f>
        <v>13830.812839999999</v>
      </c>
      <c r="AG748" s="698">
        <f>AG744*AE749</f>
        <v>27568.261759999998</v>
      </c>
      <c r="AH748" s="698">
        <f>AH744*AE749</f>
        <v>27893.52332</v>
      </c>
      <c r="AI748" s="698">
        <f>AI744*AE749</f>
        <v>0</v>
      </c>
      <c r="AJ748" s="699">
        <f>AJ744*AE749</f>
        <v>0</v>
      </c>
      <c r="AK748"/>
      <c r="AL748"/>
      <c r="AM748"/>
      <c r="AN748"/>
      <c r="AQ748" s="712"/>
    </row>
    <row r="749" spans="1:44" ht="21">
      <c r="K749" s="712"/>
      <c r="L749" s="502"/>
      <c r="M749" s="502"/>
      <c r="O749" s="526"/>
      <c r="P749" s="526"/>
      <c r="Q749" s="526"/>
      <c r="R749" s="526"/>
      <c r="S749" s="526"/>
      <c r="T749" s="686"/>
      <c r="U749" s="690"/>
      <c r="V749" s="690"/>
      <c r="W749" s="690"/>
      <c r="X749" s="690"/>
      <c r="Y749" s="526"/>
      <c r="Z749" s="526"/>
      <c r="AA749" s="526"/>
      <c r="AB749" s="526"/>
      <c r="AC749" s="526"/>
      <c r="AD749" s="526"/>
      <c r="AE749" s="695">
        <v>5.1999999999999998E-2</v>
      </c>
      <c r="AF749" s="696"/>
      <c r="AG749" s="552"/>
      <c r="AH749" s="552"/>
      <c r="AI749" s="552"/>
      <c r="AJ749" s="553"/>
      <c r="AK749"/>
      <c r="AL749"/>
      <c r="AM749"/>
      <c r="AN749"/>
      <c r="AQ749" s="712"/>
    </row>
    <row r="750" spans="1:44" ht="21">
      <c r="K750" s="712"/>
      <c r="L750" s="502"/>
      <c r="M750" s="502"/>
      <c r="O750" s="526"/>
      <c r="P750" s="526"/>
      <c r="Q750" s="526"/>
      <c r="R750" s="526"/>
      <c r="S750" s="526"/>
      <c r="T750" s="686"/>
      <c r="U750" s="690"/>
      <c r="V750" s="690"/>
      <c r="W750" s="690"/>
      <c r="X750" s="690"/>
      <c r="Y750" s="526"/>
      <c r="Z750" s="526"/>
      <c r="AA750" s="526"/>
      <c r="AB750" s="526"/>
      <c r="AC750" s="526"/>
      <c r="AD750" s="526"/>
      <c r="AE750" s="691" t="s">
        <v>487</v>
      </c>
      <c r="AF750" s="697">
        <f>AF744*AE751</f>
        <v>11171.041139999999</v>
      </c>
      <c r="AG750" s="698">
        <f>AG744*AE751</f>
        <v>22266.67296</v>
      </c>
      <c r="AH750" s="698">
        <f>AH744*AE751</f>
        <v>22529.384220000004</v>
      </c>
      <c r="AI750" s="698">
        <f>AI744*AE751</f>
        <v>0</v>
      </c>
      <c r="AJ750" s="699">
        <f>AJ744*AE751</f>
        <v>0</v>
      </c>
      <c r="AK750"/>
      <c r="AL750"/>
      <c r="AM750"/>
      <c r="AN750"/>
      <c r="AQ750" s="712"/>
    </row>
    <row r="751" spans="1:44" ht="21">
      <c r="K751" s="712"/>
      <c r="L751" s="502"/>
      <c r="M751" s="502"/>
      <c r="O751" s="526"/>
      <c r="P751" s="526"/>
      <c r="Q751" s="526"/>
      <c r="R751" s="526"/>
      <c r="S751" s="526"/>
      <c r="T751" s="686"/>
      <c r="U751" s="690"/>
      <c r="V751" s="690"/>
      <c r="W751" s="690"/>
      <c r="X751" s="690"/>
      <c r="Y751" s="526"/>
      <c r="Z751" s="526"/>
      <c r="AA751" s="526"/>
      <c r="AB751" s="526"/>
      <c r="AC751" s="526"/>
      <c r="AD751" s="526"/>
      <c r="AE751" s="695">
        <v>4.2000000000000003E-2</v>
      </c>
      <c r="AF751" s="696"/>
      <c r="AG751" s="552"/>
      <c r="AH751" s="552"/>
      <c r="AI751" s="552"/>
      <c r="AJ751" s="553"/>
      <c r="AK751"/>
      <c r="AL751"/>
      <c r="AM751"/>
      <c r="AN751"/>
      <c r="AQ751" s="712"/>
    </row>
    <row r="752" spans="1:44" ht="22" thickBot="1">
      <c r="K752" s="712"/>
      <c r="L752" s="502"/>
      <c r="M752" s="502"/>
      <c r="O752" s="526"/>
      <c r="P752" s="526"/>
      <c r="Q752" s="526"/>
      <c r="R752" s="526"/>
      <c r="S752" s="526"/>
      <c r="T752" s="686"/>
      <c r="U752" s="690"/>
      <c r="V752" s="690"/>
      <c r="W752" s="690"/>
      <c r="X752" s="690"/>
      <c r="Y752" s="526"/>
      <c r="Z752" s="526"/>
      <c r="AA752" s="526"/>
      <c r="AB752" s="526"/>
      <c r="AC752" s="526"/>
      <c r="AD752" s="526"/>
      <c r="AE752" s="526"/>
      <c r="AF752" s="687">
        <f>SUM(AF746:AF751)</f>
        <v>28193.580020000001</v>
      </c>
      <c r="AG752" s="688">
        <f>SUM(AG746:AG751)</f>
        <v>56196.841279999993</v>
      </c>
      <c r="AH752" s="688">
        <f>SUM(AH746:AH751)</f>
        <v>56859.874460000006</v>
      </c>
      <c r="AI752" s="688">
        <f>SUM(AI746:AI751)</f>
        <v>0</v>
      </c>
      <c r="AJ752" s="689">
        <f>SUM(AJ746:AJ751)</f>
        <v>0</v>
      </c>
      <c r="AK752" s="2230">
        <f>SUM(AF752:AJ752)</f>
        <v>141250.29576000001</v>
      </c>
      <c r="AL752"/>
      <c r="AM752"/>
      <c r="AN752"/>
      <c r="AQ752" s="712"/>
    </row>
    <row r="753" spans="1:45" ht="22" thickBot="1">
      <c r="K753" s="712"/>
      <c r="L753" s="502"/>
      <c r="M753" s="502"/>
      <c r="O753" s="526"/>
      <c r="P753" s="526"/>
      <c r="Q753" s="526"/>
      <c r="R753" s="526"/>
      <c r="S753" s="526"/>
      <c r="T753" s="686"/>
      <c r="U753" s="690"/>
      <c r="V753" s="690"/>
      <c r="W753" s="690"/>
      <c r="X753" s="690"/>
      <c r="Y753" s="526"/>
      <c r="Z753" s="526"/>
      <c r="AA753" s="526"/>
      <c r="AB753" s="526"/>
      <c r="AC753" s="526"/>
      <c r="AD753" s="526"/>
      <c r="AE753" s="526"/>
      <c r="AF753" s="526"/>
      <c r="AG753" s="526"/>
      <c r="AH753" s="526"/>
      <c r="AI753" s="526"/>
      <c r="AJ753" s="526"/>
      <c r="AK753"/>
      <c r="AL753"/>
      <c r="AM753"/>
      <c r="AN753"/>
      <c r="AQ753" s="712"/>
    </row>
    <row r="754" spans="1:45" ht="22" thickBot="1">
      <c r="K754" s="712"/>
      <c r="L754" s="502"/>
      <c r="M754" s="502"/>
      <c r="O754" s="526"/>
      <c r="P754" s="526"/>
      <c r="Q754" s="526"/>
      <c r="R754" s="526"/>
      <c r="S754" s="526"/>
      <c r="T754" s="686"/>
      <c r="U754" s="690"/>
      <c r="V754" s="690"/>
      <c r="W754" s="690"/>
      <c r="X754" s="690"/>
      <c r="Y754" s="526"/>
      <c r="Z754" s="526"/>
      <c r="AA754" s="526"/>
      <c r="AB754" s="526"/>
      <c r="AC754" s="526"/>
      <c r="AD754" s="526"/>
      <c r="AE754" s="526" t="s">
        <v>488</v>
      </c>
      <c r="AF754" s="700">
        <f>AF744+AF752</f>
        <v>294170.75001999998</v>
      </c>
      <c r="AG754" s="701">
        <f>AG744+AG752</f>
        <v>586355.72127999994</v>
      </c>
      <c r="AH754" s="701">
        <f>AH744+AH752</f>
        <v>593273.78446</v>
      </c>
      <c r="AI754" s="701">
        <f>AI744+AI752</f>
        <v>0</v>
      </c>
      <c r="AJ754" s="702">
        <f>AJ744+AJ752</f>
        <v>0</v>
      </c>
      <c r="AK754" s="2230">
        <f>SUM(AF754:AJ754)</f>
        <v>1473800.2557599999</v>
      </c>
      <c r="AL754"/>
      <c r="AM754"/>
      <c r="AN754"/>
      <c r="AQ754" s="712"/>
    </row>
    <row r="755" spans="1:45" ht="22" thickBot="1">
      <c r="A755" s="730">
        <v>28</v>
      </c>
      <c r="B755" s="733">
        <f>AF755</f>
        <v>5168259.4317338774</v>
      </c>
      <c r="C755" s="733">
        <f>AG755</f>
        <v>10301630.895153403</v>
      </c>
      <c r="D755" s="733">
        <f>AH755</f>
        <v>10423173.724537138</v>
      </c>
      <c r="E755" s="733">
        <f>AI755</f>
        <v>0</v>
      </c>
      <c r="F755" s="733">
        <f>AJ755</f>
        <v>0</v>
      </c>
      <c r="G755" s="733" t="s">
        <v>351</v>
      </c>
      <c r="H755" s="733" t="s">
        <v>509</v>
      </c>
      <c r="I755" s="733"/>
      <c r="J755" s="841" t="s">
        <v>2935</v>
      </c>
      <c r="K755" s="712"/>
      <c r="L755" s="502"/>
      <c r="M755" s="502"/>
      <c r="O755" s="526"/>
      <c r="P755" s="526"/>
      <c r="Q755" s="526"/>
      <c r="R755" s="526"/>
      <c r="S755" s="526"/>
      <c r="T755" s="686"/>
      <c r="U755" s="690"/>
      <c r="V755" s="690"/>
      <c r="W755" s="690"/>
      <c r="X755" s="690"/>
      <c r="Y755" s="526"/>
      <c r="Z755" s="526"/>
      <c r="AA755" s="526"/>
      <c r="AB755" s="526"/>
      <c r="AC755" s="526"/>
      <c r="AD755" s="526"/>
      <c r="AE755" s="526" t="s">
        <v>489</v>
      </c>
      <c r="AF755" s="1738">
        <f>AF754*USD</f>
        <v>5168259.4317338774</v>
      </c>
      <c r="AG755" s="1736">
        <f>AG754*USD</f>
        <v>10301630.895153403</v>
      </c>
      <c r="AH755" s="1736">
        <f>AH754*USD</f>
        <v>10423173.724537138</v>
      </c>
      <c r="AI755" s="1736">
        <f>AI754*USD</f>
        <v>0</v>
      </c>
      <c r="AJ755" s="1737">
        <f>AJ754*USD</f>
        <v>0</v>
      </c>
      <c r="AK755" s="2231">
        <f>SUM(AF755:AJ755)</f>
        <v>25893064.051424418</v>
      </c>
      <c r="AL755"/>
      <c r="AM755"/>
      <c r="AN755"/>
      <c r="AQ755" s="712"/>
      <c r="AR755" s="1489">
        <f>SUM(AF755:AJ755)</f>
        <v>25893064.051424418</v>
      </c>
      <c r="AS755" s="2216">
        <f>AR755/EUR</f>
        <v>1319411.7664570219</v>
      </c>
    </row>
    <row r="756" spans="1:45" ht="21">
      <c r="K756" s="712"/>
      <c r="L756" s="502"/>
      <c r="M756" s="502"/>
      <c r="O756" s="526"/>
      <c r="P756" s="526"/>
      <c r="Q756" s="526"/>
      <c r="R756" s="526"/>
      <c r="S756" s="526"/>
      <c r="T756" s="686"/>
      <c r="U756" s="690"/>
      <c r="V756" s="690"/>
      <c r="W756" s="690"/>
      <c r="X756" s="690"/>
      <c r="Y756" s="526"/>
      <c r="Z756" s="526"/>
      <c r="AA756" s="526"/>
      <c r="AB756" s="526"/>
      <c r="AC756" s="526"/>
      <c r="AD756" s="526"/>
      <c r="AE756" s="526"/>
      <c r="AF756" s="703"/>
      <c r="AG756" s="704"/>
      <c r="AH756" s="704"/>
      <c r="AI756" s="704"/>
      <c r="AJ756" s="704"/>
      <c r="AK756"/>
      <c r="AL756"/>
      <c r="AM756"/>
      <c r="AN756"/>
      <c r="AQ756" s="712"/>
    </row>
    <row r="757" spans="1:45" ht="21">
      <c r="K757" s="712"/>
      <c r="L757" s="705"/>
      <c r="M757" s="705"/>
      <c r="N757" s="705"/>
      <c r="O757" s="706"/>
      <c r="P757" s="706"/>
      <c r="Q757" s="706"/>
      <c r="R757" s="706"/>
      <c r="S757" s="706"/>
      <c r="T757" s="706"/>
      <c r="U757" s="706"/>
      <c r="V757" s="706"/>
      <c r="W757" s="706"/>
      <c r="X757" s="706"/>
      <c r="Y757" s="706"/>
      <c r="Z757" s="706"/>
      <c r="AA757" s="706"/>
      <c r="AB757" s="706"/>
      <c r="AC757" s="706"/>
      <c r="AD757" s="706"/>
      <c r="AE757" s="706"/>
      <c r="AF757" s="706"/>
      <c r="AG757" s="706"/>
      <c r="AH757" s="706"/>
      <c r="AI757" s="706"/>
      <c r="AJ757" s="706"/>
      <c r="AK757" s="706"/>
      <c r="AL757" s="706"/>
      <c r="AM757" s="706"/>
      <c r="AN757" s="706"/>
      <c r="AO757" s="706"/>
      <c r="AP757" s="706"/>
      <c r="AQ757" s="712"/>
    </row>
    <row r="758" spans="1:45" ht="21">
      <c r="K758" s="712"/>
      <c r="L758" s="502"/>
      <c r="M758" s="502"/>
      <c r="O758" s="526"/>
      <c r="P758" s="526"/>
      <c r="Q758" s="526"/>
      <c r="R758" s="526"/>
      <c r="S758" s="526"/>
      <c r="T758" s="686"/>
      <c r="U758" s="690"/>
      <c r="V758" s="690"/>
      <c r="W758" s="690"/>
      <c r="X758" s="690"/>
      <c r="Y758" s="526"/>
      <c r="Z758" s="526"/>
      <c r="AA758" s="526"/>
      <c r="AB758" s="526"/>
      <c r="AC758" s="526"/>
      <c r="AD758" s="526"/>
      <c r="AE758" s="526"/>
      <c r="AF758" s="703"/>
      <c r="AG758" s="704"/>
      <c r="AH758" s="704"/>
      <c r="AI758" s="704"/>
      <c r="AJ758" s="704"/>
      <c r="AQ758" s="712"/>
    </row>
    <row r="759" spans="1:45" ht="21">
      <c r="K759" s="712"/>
      <c r="L759" s="501" t="s">
        <v>504</v>
      </c>
      <c r="M759" s="499" t="s">
        <v>508</v>
      </c>
      <c r="N759" s="502"/>
      <c r="O759" s="526"/>
      <c r="P759" s="526"/>
      <c r="Q759" s="558"/>
      <c r="R759" s="558">
        <v>1</v>
      </c>
      <c r="S759" s="558">
        <v>2</v>
      </c>
      <c r="T759" s="558">
        <v>3</v>
      </c>
      <c r="U759" s="558">
        <v>4</v>
      </c>
      <c r="V759" s="558">
        <v>5</v>
      </c>
      <c r="W759" s="558">
        <v>6</v>
      </c>
      <c r="X759" s="558">
        <v>7</v>
      </c>
      <c r="Y759" s="558">
        <v>8</v>
      </c>
      <c r="Z759" s="558">
        <v>9</v>
      </c>
      <c r="AA759" s="558">
        <v>10</v>
      </c>
      <c r="AB759" s="558">
        <v>11</v>
      </c>
      <c r="AC759" s="558">
        <v>12</v>
      </c>
      <c r="AD759" s="558">
        <v>13</v>
      </c>
      <c r="AE759" s="558">
        <v>14</v>
      </c>
      <c r="AF759" s="558">
        <v>15</v>
      </c>
      <c r="AG759" s="558">
        <v>16</v>
      </c>
      <c r="AH759" s="558">
        <v>17</v>
      </c>
      <c r="AI759" s="558">
        <v>18</v>
      </c>
      <c r="AJ759" s="558">
        <v>19</v>
      </c>
      <c r="AQ759" s="712"/>
    </row>
    <row r="760" spans="1:45" ht="22" thickBot="1">
      <c r="K760" s="712"/>
      <c r="L760" s="502"/>
      <c r="M760" s="502"/>
      <c r="N760" s="502"/>
      <c r="O760" s="513"/>
      <c r="P760" s="508"/>
      <c r="Q760" s="558"/>
      <c r="R760" s="558"/>
      <c r="S760" s="526"/>
      <c r="T760" s="545" t="s">
        <v>114</v>
      </c>
      <c r="U760" s="545"/>
      <c r="V760" s="545"/>
      <c r="W760" s="545"/>
      <c r="X760" s="545"/>
      <c r="Y760" s="545"/>
      <c r="Z760" s="642" t="s">
        <v>513</v>
      </c>
      <c r="AA760" s="545"/>
      <c r="AB760" s="545"/>
      <c r="AC760" s="545"/>
      <c r="AD760" s="545"/>
      <c r="AE760" s="545"/>
      <c r="AF760" s="545" t="s">
        <v>351</v>
      </c>
      <c r="AG760" s="545"/>
      <c r="AH760" s="545"/>
      <c r="AI760" s="545"/>
      <c r="AJ760" s="545"/>
      <c r="AQ760" s="712"/>
    </row>
    <row r="761" spans="1:45" ht="22" thickBot="1">
      <c r="K761" s="712"/>
      <c r="L761" s="502"/>
      <c r="M761" s="502"/>
      <c r="N761" s="482" t="s">
        <v>354</v>
      </c>
      <c r="O761" s="526"/>
      <c r="P761" s="526"/>
      <c r="Q761" s="558"/>
      <c r="R761" s="558"/>
      <c r="S761" s="526"/>
      <c r="T761" s="559">
        <v>2021</v>
      </c>
      <c r="U761" s="560">
        <v>2022</v>
      </c>
      <c r="V761" s="560">
        <v>2023</v>
      </c>
      <c r="W761" s="560">
        <v>2024</v>
      </c>
      <c r="X761" s="561">
        <v>2025</v>
      </c>
      <c r="Y761" s="563" t="s">
        <v>238</v>
      </c>
      <c r="Z761" s="559">
        <v>2021</v>
      </c>
      <c r="AA761" s="560">
        <v>2022</v>
      </c>
      <c r="AB761" s="560">
        <v>2023</v>
      </c>
      <c r="AC761" s="560">
        <v>2024</v>
      </c>
      <c r="AD761" s="561">
        <v>2025</v>
      </c>
      <c r="AE761" s="563" t="s">
        <v>238</v>
      </c>
      <c r="AF761" s="584">
        <v>2021</v>
      </c>
      <c r="AG761" s="585">
        <v>2022</v>
      </c>
      <c r="AH761" s="585">
        <v>2023</v>
      </c>
      <c r="AI761" s="585">
        <v>2024</v>
      </c>
      <c r="AJ761" s="586">
        <v>2025</v>
      </c>
      <c r="AQ761" s="712"/>
    </row>
    <row r="762" spans="1:45" ht="21">
      <c r="K762" s="712"/>
      <c r="L762" s="502"/>
      <c r="M762" s="502"/>
      <c r="O762" s="526" t="s">
        <v>308</v>
      </c>
      <c r="P762" s="526"/>
      <c r="Q762" s="526"/>
      <c r="R762" s="562" t="s">
        <v>93</v>
      </c>
      <c r="S762" s="643" t="s">
        <v>310</v>
      </c>
      <c r="T762" s="644">
        <f>T48</f>
        <v>3</v>
      </c>
      <c r="U762" s="645">
        <f>U48</f>
        <v>3</v>
      </c>
      <c r="V762" s="645">
        <f>V48</f>
        <v>3</v>
      </c>
      <c r="W762" s="645">
        <f>W48</f>
        <v>3</v>
      </c>
      <c r="X762" s="646">
        <f>X48</f>
        <v>3</v>
      </c>
      <c r="Y762" s="563" t="s">
        <v>238</v>
      </c>
      <c r="Z762" s="647">
        <v>0</v>
      </c>
      <c r="AA762" s="648">
        <v>0</v>
      </c>
      <c r="AB762" s="648">
        <v>0</v>
      </c>
      <c r="AC762" s="648">
        <v>1</v>
      </c>
      <c r="AD762" s="649">
        <v>1</v>
      </c>
      <c r="AE762" s="563" t="s">
        <v>238</v>
      </c>
      <c r="AF762" s="650">
        <f>100%-Z762</f>
        <v>1</v>
      </c>
      <c r="AG762" s="651">
        <f>100%-AA762</f>
        <v>1</v>
      </c>
      <c r="AH762" s="651">
        <f>100%-AB762</f>
        <v>1</v>
      </c>
      <c r="AI762" s="651">
        <f>100%-AC762</f>
        <v>0</v>
      </c>
      <c r="AJ762" s="652">
        <f>100%-AD762</f>
        <v>0</v>
      </c>
      <c r="AQ762" s="712"/>
    </row>
    <row r="763" spans="1:45" ht="21">
      <c r="K763" s="712"/>
      <c r="L763" s="502"/>
      <c r="M763" s="502"/>
      <c r="O763" s="653">
        <v>1</v>
      </c>
      <c r="P763" s="653"/>
      <c r="Q763" s="653"/>
      <c r="R763" s="578" t="s">
        <v>462</v>
      </c>
      <c r="S763" s="654" t="s">
        <v>482</v>
      </c>
      <c r="T763" s="655">
        <f>ROUND(T762*O763*T764,0)</f>
        <v>2</v>
      </c>
      <c r="U763" s="656">
        <f>U762*O763</f>
        <v>3</v>
      </c>
      <c r="V763" s="656">
        <f>V762*O763</f>
        <v>3</v>
      </c>
      <c r="W763" s="656">
        <f>W762*O763</f>
        <v>3</v>
      </c>
      <c r="X763" s="657">
        <f>X762*O763</f>
        <v>3</v>
      </c>
      <c r="Y763" s="563" t="s">
        <v>238</v>
      </c>
      <c r="Z763" s="655">
        <f>ROUND(T763*Z762,0)</f>
        <v>0</v>
      </c>
      <c r="AA763" s="656">
        <f>ROUND(U763*AA762,0)</f>
        <v>0</v>
      </c>
      <c r="AB763" s="656">
        <f>ROUND(V763*AB762,0)</f>
        <v>0</v>
      </c>
      <c r="AC763" s="656">
        <f>ROUND(W763*AC762,0)</f>
        <v>3</v>
      </c>
      <c r="AD763" s="657">
        <f>ROUND(X763*AD762,0)</f>
        <v>3</v>
      </c>
      <c r="AE763" s="563" t="s">
        <v>238</v>
      </c>
      <c r="AF763" s="658">
        <f>T763-Z763</f>
        <v>2</v>
      </c>
      <c r="AG763" s="659">
        <f>U763-AA763</f>
        <v>3</v>
      </c>
      <c r="AH763" s="659">
        <f>V763-AB763</f>
        <v>3</v>
      </c>
      <c r="AI763" s="659">
        <f>W763-AC763</f>
        <v>0</v>
      </c>
      <c r="AJ763" s="660">
        <f>X763-AD763</f>
        <v>0</v>
      </c>
      <c r="AQ763" s="712"/>
    </row>
    <row r="764" spans="1:45" ht="21">
      <c r="K764" s="712"/>
      <c r="L764" s="502"/>
      <c r="M764" s="502"/>
      <c r="O764" s="526"/>
      <c r="P764" s="526"/>
      <c r="Q764" s="526"/>
      <c r="R764" s="526"/>
      <c r="S764" s="526" t="s">
        <v>4099</v>
      </c>
      <c r="T764" s="1914">
        <v>0.5</v>
      </c>
      <c r="U764" s="526"/>
      <c r="V764" s="526"/>
      <c r="W764" s="526"/>
      <c r="X764" s="526"/>
      <c r="Y764" s="526"/>
      <c r="Z764" s="526"/>
      <c r="AA764" s="526"/>
      <c r="AB764" s="526"/>
      <c r="AC764" s="526"/>
      <c r="AD764" s="526"/>
      <c r="AE764" s="526"/>
      <c r="AF764" s="526"/>
      <c r="AG764" s="526"/>
      <c r="AH764" s="526"/>
      <c r="AI764" s="526"/>
      <c r="AJ764" s="526"/>
      <c r="AQ764" s="712"/>
    </row>
    <row r="765" spans="1:45" ht="21">
      <c r="K765" s="712"/>
      <c r="L765" s="502"/>
      <c r="M765" s="502"/>
      <c r="O765" s="526"/>
      <c r="P765" s="526"/>
      <c r="Q765" s="526"/>
      <c r="R765" s="526"/>
      <c r="S765" s="526"/>
      <c r="T765" s="571"/>
      <c r="U765" s="571"/>
      <c r="V765" s="571"/>
      <c r="W765" s="571"/>
      <c r="X765" s="571"/>
      <c r="Y765" s="526"/>
      <c r="Z765" s="526"/>
      <c r="AA765" s="526"/>
      <c r="AB765" s="526"/>
      <c r="AC765" s="526"/>
      <c r="AD765" s="526"/>
      <c r="AE765" s="526"/>
      <c r="AF765" s="526"/>
      <c r="AG765" s="526"/>
      <c r="AH765" s="526"/>
      <c r="AI765" s="526"/>
      <c r="AJ765" s="526"/>
      <c r="AQ765" s="712"/>
    </row>
    <row r="766" spans="1:45" ht="22" thickBot="1">
      <c r="K766" s="712"/>
      <c r="L766" s="502"/>
      <c r="M766" s="517"/>
      <c r="N766" s="482" t="s">
        <v>355</v>
      </c>
      <c r="O766" s="526"/>
      <c r="P766" s="526"/>
      <c r="Q766" s="526"/>
      <c r="R766" s="526"/>
      <c r="S766" s="526"/>
      <c r="T766" s="571"/>
      <c r="U766" s="571"/>
      <c r="V766" s="571"/>
      <c r="W766" s="571"/>
      <c r="X766" s="571"/>
      <c r="Y766" s="526"/>
      <c r="Z766" s="526"/>
      <c r="AA766" s="526"/>
      <c r="AB766" s="526"/>
      <c r="AC766" s="526"/>
      <c r="AD766" s="526"/>
      <c r="AE766" s="526"/>
      <c r="AF766" s="526"/>
      <c r="AG766" s="526"/>
      <c r="AH766" s="526"/>
      <c r="AI766" s="526"/>
      <c r="AJ766" s="526"/>
      <c r="AQ766" s="712"/>
    </row>
    <row r="767" spans="1:45" ht="22" thickBot="1">
      <c r="K767" s="712"/>
      <c r="L767" s="502"/>
      <c r="M767" s="502"/>
      <c r="N767" s="514" t="s">
        <v>330</v>
      </c>
      <c r="O767" s="630" t="s">
        <v>312</v>
      </c>
      <c r="P767" s="631" t="s">
        <v>477</v>
      </c>
      <c r="Q767" s="631"/>
      <c r="R767" s="631" t="s">
        <v>328</v>
      </c>
      <c r="S767" s="631" t="s">
        <v>327</v>
      </c>
      <c r="T767" s="631" t="s">
        <v>329</v>
      </c>
      <c r="U767" s="631" t="s">
        <v>97</v>
      </c>
      <c r="V767" s="631"/>
      <c r="W767" s="631"/>
      <c r="X767" s="665"/>
      <c r="Y767" s="526" t="s">
        <v>478</v>
      </c>
      <c r="Z767" s="559">
        <v>2021</v>
      </c>
      <c r="AA767" s="560">
        <v>2022</v>
      </c>
      <c r="AB767" s="560">
        <v>2023</v>
      </c>
      <c r="AC767" s="560">
        <v>2024</v>
      </c>
      <c r="AD767" s="561">
        <v>2025</v>
      </c>
      <c r="AE767" s="526" t="s">
        <v>478</v>
      </c>
      <c r="AF767" s="559">
        <v>2021</v>
      </c>
      <c r="AG767" s="560">
        <v>2022</v>
      </c>
      <c r="AH767" s="560">
        <v>2023</v>
      </c>
      <c r="AI767" s="560">
        <v>2024</v>
      </c>
      <c r="AJ767" s="561">
        <v>2025</v>
      </c>
      <c r="AQ767" s="712"/>
    </row>
    <row r="768" spans="1:45" ht="21">
      <c r="K768" s="712"/>
      <c r="L768" s="502"/>
      <c r="M768" s="502"/>
      <c r="N768" s="518" t="s">
        <v>462</v>
      </c>
      <c r="O768" s="666" t="s">
        <v>492</v>
      </c>
      <c r="P768" s="667">
        <v>0.4</v>
      </c>
      <c r="Q768" s="579"/>
      <c r="R768" s="579">
        <v>2</v>
      </c>
      <c r="S768" s="579">
        <v>30</v>
      </c>
      <c r="T768" s="579">
        <v>18</v>
      </c>
      <c r="U768" s="539">
        <f t="shared" ref="U768:U779" si="106">R768*S768*T768*P768</f>
        <v>432</v>
      </c>
      <c r="V768" s="552"/>
      <c r="W768" s="552"/>
      <c r="X768" s="553"/>
      <c r="Y768" s="526"/>
      <c r="Z768" s="668">
        <f>IFERROR(VLOOKUP(N768,SLD_MS_copii,Z759,0)*U768,0)</f>
        <v>0</v>
      </c>
      <c r="AA768" s="669">
        <f>IFERROR(VLOOKUP(N768,SLD_MS_copii,AA759,0)*U768,0)</f>
        <v>0</v>
      </c>
      <c r="AB768" s="669">
        <f>IFERROR(VLOOKUP(N768,SLD_MS_copii,AB759,0)*U768,0)</f>
        <v>0</v>
      </c>
      <c r="AC768" s="669">
        <f>IFERROR(VLOOKUP(N768,SLD_MS_copii,AC759,0)*U768,0)</f>
        <v>1296</v>
      </c>
      <c r="AD768" s="670">
        <f>IFERROR(VLOOKUP(N768,SLD_MS_copii,AD759,0)*U768,0)</f>
        <v>1296</v>
      </c>
      <c r="AE768" s="526"/>
      <c r="AF768" s="668">
        <f>IFERROR(VLOOKUP(N768,SLD_MS_copii,AF759,0)*U768,0)</f>
        <v>864</v>
      </c>
      <c r="AG768" s="669">
        <f>IFERROR(VLOOKUP(N768,SLD_MS_copii,AG759,0)*U768,0)</f>
        <v>1296</v>
      </c>
      <c r="AH768" s="669">
        <f>IFERROR(VLOOKUP(N768,SLD_MS_copii,AH759,0)*U768,0)</f>
        <v>1296</v>
      </c>
      <c r="AI768" s="669">
        <f>IFERROR(VLOOKUP(N768,SLD_MS_copii,AI759,0)*U768,0)</f>
        <v>0</v>
      </c>
      <c r="AJ768" s="670">
        <f>IFERROR(VLOOKUP(N768,SLD_MS_copii,AJ759,0)*U768,0)</f>
        <v>0</v>
      </c>
      <c r="AQ768" s="712"/>
    </row>
    <row r="769" spans="11:43" ht="21">
      <c r="K769" s="712"/>
      <c r="L769" s="502"/>
      <c r="M769" s="502"/>
      <c r="N769" s="518" t="s">
        <v>462</v>
      </c>
      <c r="O769" s="578" t="s">
        <v>493</v>
      </c>
      <c r="P769" s="671">
        <v>0.6</v>
      </c>
      <c r="Q769" s="633"/>
      <c r="R769" s="637">
        <v>4</v>
      </c>
      <c r="S769" s="637">
        <v>30</v>
      </c>
      <c r="T769" s="672">
        <v>18</v>
      </c>
      <c r="U769" s="539">
        <f t="shared" si="106"/>
        <v>1296</v>
      </c>
      <c r="V769" s="552"/>
      <c r="W769" s="552"/>
      <c r="X769" s="553"/>
      <c r="Y769" s="526"/>
      <c r="Z769" s="668">
        <f>IFERROR(VLOOKUP(N769,SLD_MS_copii,Z759,0)*U769,0)</f>
        <v>0</v>
      </c>
      <c r="AA769" s="669">
        <f>IFERROR(VLOOKUP(N769,SLD_MS_copii,AA759,0)*U769,0)</f>
        <v>0</v>
      </c>
      <c r="AB769" s="669">
        <f>IFERROR(VLOOKUP(N769,SLD_MS_copii,AB759,0)*U769,0)</f>
        <v>0</v>
      </c>
      <c r="AC769" s="669">
        <f>IFERROR(VLOOKUP(N769,SLD_MS_copii,AC759,0)*U769,0)</f>
        <v>3888</v>
      </c>
      <c r="AD769" s="670">
        <f>IFERROR(VLOOKUP(N769,SLD_MS_copii,AD759,0)*U769,0)</f>
        <v>3888</v>
      </c>
      <c r="AE769" s="526"/>
      <c r="AF769" s="668">
        <f>IFERROR(VLOOKUP(N769,SLD_MS_copii,AF759,0)*U769,0)</f>
        <v>2592</v>
      </c>
      <c r="AG769" s="669">
        <f>IFERROR(VLOOKUP(N769,SLD_MS_copii,AG759,0)*U769,0)</f>
        <v>3888</v>
      </c>
      <c r="AH769" s="669">
        <f>IFERROR(VLOOKUP(N769,SLD_MS_copii,AH759,0)*U769,0)</f>
        <v>3888</v>
      </c>
      <c r="AI769" s="669">
        <f>IFERROR(VLOOKUP(N769,SLD_MS_copii,AI759,0)*U769,0)</f>
        <v>0</v>
      </c>
      <c r="AJ769" s="670">
        <f>IFERROR(VLOOKUP(N769,SLD_MS_copii,AJ759,0)*U769,0)</f>
        <v>0</v>
      </c>
      <c r="AQ769" s="712"/>
    </row>
    <row r="770" spans="11:43" ht="21">
      <c r="K770" s="712"/>
      <c r="L770" s="502"/>
      <c r="M770" s="502"/>
      <c r="N770" s="518" t="s">
        <v>462</v>
      </c>
      <c r="O770" s="578" t="s">
        <v>494</v>
      </c>
      <c r="P770" s="673">
        <v>0.3</v>
      </c>
      <c r="Q770" s="579"/>
      <c r="R770" s="579">
        <v>6</v>
      </c>
      <c r="S770" s="579">
        <v>30</v>
      </c>
      <c r="T770" s="579">
        <v>12</v>
      </c>
      <c r="U770" s="539">
        <f t="shared" si="106"/>
        <v>648</v>
      </c>
      <c r="V770" s="552"/>
      <c r="W770" s="552"/>
      <c r="X770" s="553"/>
      <c r="Y770" s="526"/>
      <c r="Z770" s="668">
        <f>IFERROR(VLOOKUP(N770,SLD_MS_copii,Z759,0)*U770,0)</f>
        <v>0</v>
      </c>
      <c r="AA770" s="669">
        <f>IFERROR(VLOOKUP(N770,SLD_MS_copii,AA759,0)*U770,0)</f>
        <v>0</v>
      </c>
      <c r="AB770" s="669">
        <f>IFERROR(VLOOKUP(N770,SLD_MS_copii,AB759,0)*U770,0)</f>
        <v>0</v>
      </c>
      <c r="AC770" s="669">
        <f>IFERROR(VLOOKUP(N770,SLD_MS_copii,AC759,0)*U770,0)</f>
        <v>1944</v>
      </c>
      <c r="AD770" s="670">
        <f>IFERROR(VLOOKUP(N770,SLD_MS_copii,AD759,0)*U770,0)</f>
        <v>1944</v>
      </c>
      <c r="AE770" s="526"/>
      <c r="AF770" s="668">
        <f>IFERROR(VLOOKUP(N770,SLD_MS_copii,AF759,0)*U770,0)</f>
        <v>1296</v>
      </c>
      <c r="AG770" s="669">
        <f>IFERROR(VLOOKUP(N770,SLD_MS_copii,AG759,0)*U770,0)</f>
        <v>1944</v>
      </c>
      <c r="AH770" s="669">
        <f>IFERROR(VLOOKUP(N770,SLD_MS_copii,AH759,0)*U770,0)</f>
        <v>1944</v>
      </c>
      <c r="AI770" s="669">
        <f>IFERROR(VLOOKUP(N770,SLD_MS_copii,AI759,0)*U770,0)</f>
        <v>0</v>
      </c>
      <c r="AJ770" s="670">
        <f>IFERROR(VLOOKUP(N770,SLD_MS_copii,AJ759,0)*U770,0)</f>
        <v>0</v>
      </c>
      <c r="AQ770" s="712"/>
    </row>
    <row r="771" spans="11:43" ht="21">
      <c r="K771" s="712"/>
      <c r="L771" s="502"/>
      <c r="M771" s="502"/>
      <c r="N771" s="518" t="s">
        <v>462</v>
      </c>
      <c r="O771" s="578" t="s">
        <v>495</v>
      </c>
      <c r="P771" s="673">
        <v>0.3</v>
      </c>
      <c r="Q771" s="579"/>
      <c r="R771" s="579">
        <v>5</v>
      </c>
      <c r="S771" s="579">
        <v>30</v>
      </c>
      <c r="T771" s="579">
        <v>18</v>
      </c>
      <c r="U771" s="539">
        <f t="shared" si="106"/>
        <v>810</v>
      </c>
      <c r="V771" s="552"/>
      <c r="W771" s="552"/>
      <c r="X771" s="553"/>
      <c r="Y771" s="526"/>
      <c r="Z771" s="668">
        <f>IFERROR(VLOOKUP(N771,SLD_MS_copii,Z759,0)*U771,0)</f>
        <v>0</v>
      </c>
      <c r="AA771" s="669">
        <f>IFERROR(VLOOKUP(N771,SLD_MS_copii,AA759,0)*U771,0)</f>
        <v>0</v>
      </c>
      <c r="AB771" s="669">
        <f>IFERROR(VLOOKUP(N771,SLD_MS_copii,AB759,0)*U771,0)</f>
        <v>0</v>
      </c>
      <c r="AC771" s="669">
        <f>IFERROR(VLOOKUP(N771,SLD_MS_copii,AC759,0)*U771,0)</f>
        <v>2430</v>
      </c>
      <c r="AD771" s="670">
        <f>IFERROR(VLOOKUP(N771,SLD_MS_copii,AD759,0)*U771,0)</f>
        <v>2430</v>
      </c>
      <c r="AE771" s="526"/>
      <c r="AF771" s="668">
        <f>IFERROR(VLOOKUP(N771,SLD_MS_copii,AF759,0)*U771,0)</f>
        <v>1620</v>
      </c>
      <c r="AG771" s="669">
        <f>IFERROR(VLOOKUP(N771,SLD_MS_copii,AG759,0)*U771,0)</f>
        <v>2430</v>
      </c>
      <c r="AH771" s="669">
        <f>IFERROR(VLOOKUP(N771,SLD_MS_copii,AH759,0)*U771,0)</f>
        <v>2430</v>
      </c>
      <c r="AI771" s="669">
        <f>IFERROR(VLOOKUP(N771,SLD_MS_copii,AI759,0)*U771,0)</f>
        <v>0</v>
      </c>
      <c r="AJ771" s="670">
        <f>IFERROR(VLOOKUP(N771,SLD_MS_copii,AJ759,0)*U771,0)</f>
        <v>0</v>
      </c>
      <c r="AQ771" s="712"/>
    </row>
    <row r="772" spans="11:43" ht="21">
      <c r="K772" s="712"/>
      <c r="L772" s="502"/>
      <c r="M772" s="502"/>
      <c r="N772" s="518" t="s">
        <v>462</v>
      </c>
      <c r="O772" s="636" t="s">
        <v>496</v>
      </c>
      <c r="P772" s="667">
        <v>0.8</v>
      </c>
      <c r="Q772" s="579"/>
      <c r="R772" s="579">
        <v>5</v>
      </c>
      <c r="S772" s="579">
        <v>30</v>
      </c>
      <c r="T772" s="579">
        <v>18</v>
      </c>
      <c r="U772" s="539">
        <f t="shared" si="106"/>
        <v>2160</v>
      </c>
      <c r="V772" s="552"/>
      <c r="W772" s="552"/>
      <c r="X772" s="553"/>
      <c r="Y772" s="526"/>
      <c r="Z772" s="668">
        <f>IFERROR(VLOOKUP(N772,SLD_MS_copii,Z759,0)*U772,0)</f>
        <v>0</v>
      </c>
      <c r="AA772" s="669">
        <f>IFERROR(VLOOKUP(N772,SLD_MS_copii,AA759,0)*U772,0)</f>
        <v>0</v>
      </c>
      <c r="AB772" s="669">
        <f>IFERROR(VLOOKUP(N772,SLD_MS_copii,AB759,0)*U772,0)</f>
        <v>0</v>
      </c>
      <c r="AC772" s="669">
        <f>IFERROR(VLOOKUP(N772,SLD_MS_copii,AC759,0)*U772,0)</f>
        <v>6480</v>
      </c>
      <c r="AD772" s="670">
        <f>IFERROR(VLOOKUP(N772,SLD_MS_copii,AD759,0)*U772,0)</f>
        <v>6480</v>
      </c>
      <c r="AE772" s="526"/>
      <c r="AF772" s="668">
        <f>IFERROR(VLOOKUP(N772,SLD_MS_copii,AF759,0)*U772,0)</f>
        <v>4320</v>
      </c>
      <c r="AG772" s="669">
        <f>IFERROR(VLOOKUP(N772,SLD_MS_copii,AG759,0)*U772,0)</f>
        <v>6480</v>
      </c>
      <c r="AH772" s="669">
        <f>IFERROR(VLOOKUP(N772,SLD_MS_copii,AH759,0)*U772,0)</f>
        <v>6480</v>
      </c>
      <c r="AI772" s="669">
        <f>IFERROR(VLOOKUP(N772,SLD_MS_copii,AI759,0)*U772,0)</f>
        <v>0</v>
      </c>
      <c r="AJ772" s="670">
        <f>IFERROR(VLOOKUP(N772,SLD_MS_copii,AJ759,0)*U772,0)</f>
        <v>0</v>
      </c>
      <c r="AQ772" s="712"/>
    </row>
    <row r="773" spans="11:43" ht="21">
      <c r="K773" s="712"/>
      <c r="L773" s="502"/>
      <c r="M773" s="502"/>
      <c r="N773" s="518" t="s">
        <v>462</v>
      </c>
      <c r="O773" s="636" t="s">
        <v>497</v>
      </c>
      <c r="P773" s="667">
        <v>1</v>
      </c>
      <c r="Q773" s="579"/>
      <c r="R773" s="579">
        <v>1</v>
      </c>
      <c r="S773" s="579">
        <v>30</v>
      </c>
      <c r="T773" s="579">
        <v>18</v>
      </c>
      <c r="U773" s="539">
        <f t="shared" si="106"/>
        <v>540</v>
      </c>
      <c r="V773" s="552"/>
      <c r="W773" s="552"/>
      <c r="X773" s="553"/>
      <c r="Y773" s="526"/>
      <c r="Z773" s="668">
        <f>IFERROR(VLOOKUP(N773,SLD_MS_copii,Z759,0)*U773,0)</f>
        <v>0</v>
      </c>
      <c r="AA773" s="669">
        <f>IFERROR(VLOOKUP(N773,SLD_MS_copii,AA759,0)*U773,0)</f>
        <v>0</v>
      </c>
      <c r="AB773" s="669">
        <f>IFERROR(VLOOKUP(N773,SLD_MS_copii,AB759,0)*U773,0)</f>
        <v>0</v>
      </c>
      <c r="AC773" s="669">
        <f>IFERROR(VLOOKUP(N773,SLD_MS_copii,AC759,0)*U773,0)</f>
        <v>1620</v>
      </c>
      <c r="AD773" s="670">
        <f>IFERROR(VLOOKUP(N773,SLD_MS_copii,AD759,0)*U773,0)</f>
        <v>1620</v>
      </c>
      <c r="AE773" s="526"/>
      <c r="AF773" s="668">
        <f>IFERROR(VLOOKUP(N773,SLD_MS_copii,AF759,0)*U773,0)</f>
        <v>1080</v>
      </c>
      <c r="AG773" s="669">
        <f>IFERROR(VLOOKUP(N773,SLD_MS_copii,AG759,0)*U773,0)</f>
        <v>1620</v>
      </c>
      <c r="AH773" s="669">
        <f>IFERROR(VLOOKUP(N773,SLD_MS_copii,AH759,0)*U773,0)</f>
        <v>1620</v>
      </c>
      <c r="AI773" s="669">
        <f>IFERROR(VLOOKUP(N773,SLD_MS_copii,AI759,0)*U773,0)</f>
        <v>0</v>
      </c>
      <c r="AJ773" s="670">
        <f>IFERROR(VLOOKUP(N773,SLD_MS_copii,AJ759,0)*U773,0)</f>
        <v>0</v>
      </c>
      <c r="AQ773" s="712"/>
    </row>
    <row r="774" spans="11:43" ht="21">
      <c r="K774" s="712"/>
      <c r="L774" s="502"/>
      <c r="M774" s="502"/>
      <c r="N774" s="518" t="s">
        <v>462</v>
      </c>
      <c r="O774" s="636" t="s">
        <v>498</v>
      </c>
      <c r="P774" s="667">
        <v>0.2</v>
      </c>
      <c r="Q774" s="579"/>
      <c r="R774" s="579">
        <v>4</v>
      </c>
      <c r="S774" s="579">
        <v>30</v>
      </c>
      <c r="T774" s="579">
        <v>18</v>
      </c>
      <c r="U774" s="539">
        <f t="shared" si="106"/>
        <v>432</v>
      </c>
      <c r="V774" s="552"/>
      <c r="W774" s="552"/>
      <c r="X774" s="553"/>
      <c r="Y774" s="526"/>
      <c r="Z774" s="668">
        <f>IFERROR(VLOOKUP(N774,SLD_MS_copii,Z759,0)*U774,0)</f>
        <v>0</v>
      </c>
      <c r="AA774" s="669">
        <f>IFERROR(VLOOKUP(N774,SLD_MS_copii,AA759,0)*U774,0)</f>
        <v>0</v>
      </c>
      <c r="AB774" s="669">
        <f>IFERROR(VLOOKUP(N774,SLD_MS_copii,AB759,0)*U774,0)</f>
        <v>0</v>
      </c>
      <c r="AC774" s="669">
        <f>IFERROR(VLOOKUP(N774,SLD_MS_copii,AC759,0)*U774,0)</f>
        <v>1296</v>
      </c>
      <c r="AD774" s="670">
        <f>IFERROR(VLOOKUP(N774,SLD_MS_copii,AD759,0)*U774,0)</f>
        <v>1296</v>
      </c>
      <c r="AE774" s="526"/>
      <c r="AF774" s="668">
        <f>IFERROR(VLOOKUP(N774,SLD_MS_copii,AF759,0)*U774,0)</f>
        <v>864</v>
      </c>
      <c r="AG774" s="669">
        <f>IFERROR(VLOOKUP(N774,SLD_MS_copii,AG759,0)*U774,0)</f>
        <v>1296</v>
      </c>
      <c r="AH774" s="669">
        <f>IFERROR(VLOOKUP(N774,SLD_MS_copii,AH759,0)*U774,0)</f>
        <v>1296</v>
      </c>
      <c r="AI774" s="669">
        <f>IFERROR(VLOOKUP(N774,SLD_MS_copii,AI759,0)*U774,0)</f>
        <v>0</v>
      </c>
      <c r="AJ774" s="670">
        <f>IFERROR(VLOOKUP(N774,SLD_MS_copii,AJ759,0)*U774,0)</f>
        <v>0</v>
      </c>
      <c r="AQ774" s="712"/>
    </row>
    <row r="775" spans="11:43" ht="21">
      <c r="K775" s="712"/>
      <c r="L775" s="502"/>
      <c r="M775" s="502"/>
      <c r="N775" s="518" t="s">
        <v>462</v>
      </c>
      <c r="O775" s="636" t="s">
        <v>499</v>
      </c>
      <c r="P775" s="667">
        <v>0.2</v>
      </c>
      <c r="Q775" s="579"/>
      <c r="R775" s="579">
        <v>5</v>
      </c>
      <c r="S775" s="579">
        <v>30</v>
      </c>
      <c r="T775" s="579">
        <v>18</v>
      </c>
      <c r="U775" s="539">
        <f t="shared" si="106"/>
        <v>540</v>
      </c>
      <c r="V775" s="552"/>
      <c r="W775" s="552"/>
      <c r="X775" s="553"/>
      <c r="Y775" s="526"/>
      <c r="Z775" s="668">
        <f>IFERROR(VLOOKUP(N775,SLD_MS_copii,Z759,0)*U775,0)</f>
        <v>0</v>
      </c>
      <c r="AA775" s="669">
        <f>IFERROR(VLOOKUP(N775,SLD_MS_copii,AA759,0)*U775,0)</f>
        <v>0</v>
      </c>
      <c r="AB775" s="669">
        <f>IFERROR(VLOOKUP(N775,SLD_MS_copii,AB759,0)*U775,0)</f>
        <v>0</v>
      </c>
      <c r="AC775" s="669">
        <f>IFERROR(VLOOKUP(N775,SLD_MS_copii,AC759,0)*U775,0)</f>
        <v>1620</v>
      </c>
      <c r="AD775" s="670">
        <f>IFERROR(VLOOKUP(N775,SLD_MS_copii,AD759,0)*U775,0)</f>
        <v>1620</v>
      </c>
      <c r="AE775" s="526"/>
      <c r="AF775" s="668">
        <f>IFERROR(VLOOKUP(N775,SLD_MS_copii,AF759,0)*U775,0)</f>
        <v>1080</v>
      </c>
      <c r="AG775" s="669">
        <f>IFERROR(VLOOKUP(N775,SLD_MS_copii,AG759,0)*U775,0)</f>
        <v>1620</v>
      </c>
      <c r="AH775" s="669">
        <f>IFERROR(VLOOKUP(N775,SLD_MS_copii,AH759,0)*U775,0)</f>
        <v>1620</v>
      </c>
      <c r="AI775" s="669">
        <f>IFERROR(VLOOKUP(N775,SLD_MS_copii,AI759,0)*U775,0)</f>
        <v>0</v>
      </c>
      <c r="AJ775" s="670">
        <f>IFERROR(VLOOKUP(N775,SLD_MS_copii,AJ759,0)*U775,0)</f>
        <v>0</v>
      </c>
      <c r="AQ775" s="712"/>
    </row>
    <row r="776" spans="11:43" ht="21">
      <c r="K776" s="712"/>
      <c r="L776" s="502"/>
      <c r="M776" s="502"/>
      <c r="N776" s="518"/>
      <c r="O776" s="636"/>
      <c r="P776" s="667"/>
      <c r="Q776" s="579"/>
      <c r="R776" s="579"/>
      <c r="S776" s="579"/>
      <c r="T776" s="579"/>
      <c r="U776" s="539">
        <f t="shared" si="106"/>
        <v>0</v>
      </c>
      <c r="V776" s="552"/>
      <c r="W776" s="552"/>
      <c r="X776" s="553"/>
      <c r="Y776" s="526"/>
      <c r="Z776" s="668">
        <f>IFERROR(VLOOKUP(N776,SLD_MS_copii,Z759,0)*U776,0)</f>
        <v>0</v>
      </c>
      <c r="AA776" s="669">
        <f>IFERROR(VLOOKUP(N776,SLD_MS_copii,AA759,0)*U776,0)</f>
        <v>0</v>
      </c>
      <c r="AB776" s="669">
        <f>IFERROR(VLOOKUP(N776,SLD_MS_copii,AB759,0)*U776,0)</f>
        <v>0</v>
      </c>
      <c r="AC776" s="669">
        <f>IFERROR(VLOOKUP(N776,SLD_MS_copii,AC759,0)*U776,0)</f>
        <v>0</v>
      </c>
      <c r="AD776" s="670">
        <f>IFERROR(VLOOKUP(N776,SLD_MS_copii,AD759,0)*U776,0)</f>
        <v>0</v>
      </c>
      <c r="AE776" s="526"/>
      <c r="AF776" s="668">
        <f>IFERROR(VLOOKUP(N776,SLD_MS_copii,AF759,0)*U776,0)</f>
        <v>0</v>
      </c>
      <c r="AG776" s="669">
        <f>IFERROR(VLOOKUP(N776,SLD_MS_copii,AG759,0)*U776,0)</f>
        <v>0</v>
      </c>
      <c r="AH776" s="669">
        <f>IFERROR(VLOOKUP(N776,SLD_MS_copii,AH759,0)*U776,0)</f>
        <v>0</v>
      </c>
      <c r="AI776" s="669">
        <f>IFERROR(VLOOKUP(N776,SLD_MS_copii,AI759,0)*U776,0)</f>
        <v>0</v>
      </c>
      <c r="AJ776" s="670">
        <f>IFERROR(VLOOKUP(N776,SLD_MS_copii,AJ759,0)*U776,0)</f>
        <v>0</v>
      </c>
      <c r="AQ776" s="712"/>
    </row>
    <row r="777" spans="11:43" ht="21">
      <c r="K777" s="712"/>
      <c r="L777" s="502"/>
      <c r="M777" s="502"/>
      <c r="N777" s="518"/>
      <c r="O777" s="636"/>
      <c r="P777" s="667"/>
      <c r="Q777" s="579"/>
      <c r="R777" s="579"/>
      <c r="S777" s="579"/>
      <c r="T777" s="579"/>
      <c r="U777" s="539">
        <f t="shared" si="106"/>
        <v>0</v>
      </c>
      <c r="V777" s="552"/>
      <c r="W777" s="552"/>
      <c r="X777" s="553"/>
      <c r="Y777" s="526"/>
      <c r="Z777" s="668">
        <f>IFERROR(VLOOKUP(N777,SLD_MS_copii,Z759,0)*U777,0)</f>
        <v>0</v>
      </c>
      <c r="AA777" s="669">
        <f>IFERROR(VLOOKUP(N777,SLD_MS_copii,AA759,0)*U777,0)</f>
        <v>0</v>
      </c>
      <c r="AB777" s="669">
        <f>IFERROR(VLOOKUP(N777,SLD_MS_copii,AB759,0)*U777,0)</f>
        <v>0</v>
      </c>
      <c r="AC777" s="669">
        <f>IFERROR(VLOOKUP(N777,SLD_MS_copii,AC759,0)*U777,0)</f>
        <v>0</v>
      </c>
      <c r="AD777" s="670">
        <f>IFERROR(VLOOKUP(N777,SLD_MS_copii,AD759,0)*U777,0)</f>
        <v>0</v>
      </c>
      <c r="AE777" s="526"/>
      <c r="AF777" s="668">
        <f>IFERROR(VLOOKUP(N777,SLD_MS_copii,AF759,0)*U777,0)</f>
        <v>0</v>
      </c>
      <c r="AG777" s="669">
        <f>IFERROR(VLOOKUP(N777,SLD_MS_copii,AG759,0)*U777,0)</f>
        <v>0</v>
      </c>
      <c r="AH777" s="669">
        <f>IFERROR(VLOOKUP(N777,SLD_MS_copii,AH759,0)*U777,0)</f>
        <v>0</v>
      </c>
      <c r="AI777" s="669">
        <f>IFERROR(VLOOKUP(N777,SLD_MS_copii,AI759,0)*U777,0)</f>
        <v>0</v>
      </c>
      <c r="AJ777" s="670">
        <f>IFERROR(VLOOKUP(N777,SLD_MS_copii,AJ759,0)*U777,0)</f>
        <v>0</v>
      </c>
      <c r="AQ777" s="712"/>
    </row>
    <row r="778" spans="11:43" ht="21">
      <c r="K778" s="712"/>
      <c r="L778" s="502"/>
      <c r="M778" s="502"/>
      <c r="N778" s="518"/>
      <c r="O778" s="636"/>
      <c r="P778" s="667"/>
      <c r="Q778" s="579"/>
      <c r="R778" s="579"/>
      <c r="S778" s="579"/>
      <c r="T778" s="579"/>
      <c r="U778" s="539">
        <f t="shared" si="106"/>
        <v>0</v>
      </c>
      <c r="V778" s="552"/>
      <c r="W778" s="552"/>
      <c r="X778" s="553"/>
      <c r="Y778" s="526"/>
      <c r="Z778" s="668">
        <f>IFERROR(VLOOKUP(N778,SLD_MS_copii,Z759,0)*U778,0)</f>
        <v>0</v>
      </c>
      <c r="AA778" s="669">
        <f>IFERROR(VLOOKUP(N778,SLD_MS_copii,AA759,0)*U778,0)</f>
        <v>0</v>
      </c>
      <c r="AB778" s="669">
        <f>IFERROR(VLOOKUP(N778,SLD_MS_copii,AB759,0)*U778,0)</f>
        <v>0</v>
      </c>
      <c r="AC778" s="669">
        <f>IFERROR(VLOOKUP(N778,SLD_MS_copii,AC759,0)*U778,0)</f>
        <v>0</v>
      </c>
      <c r="AD778" s="670">
        <f>IFERROR(VLOOKUP(N778,SLD_MS_copii,AD759,0)*U778,0)</f>
        <v>0</v>
      </c>
      <c r="AE778" s="526"/>
      <c r="AF778" s="668">
        <f>IFERROR(VLOOKUP(N778,SLD_MS_copii,AF759,0)*U778,0)</f>
        <v>0</v>
      </c>
      <c r="AG778" s="669">
        <f>IFERROR(VLOOKUP(N778,SLD_MS_copii,AG759,0)*U778,0)</f>
        <v>0</v>
      </c>
      <c r="AH778" s="669">
        <f>IFERROR(VLOOKUP(N778,SLD_MS_copii,AH759,0)*U778,0)</f>
        <v>0</v>
      </c>
      <c r="AI778" s="669">
        <f>IFERROR(VLOOKUP(N778,SLD_MS_copii,AI759,0)*U778,0)</f>
        <v>0</v>
      </c>
      <c r="AJ778" s="670">
        <f>IFERROR(VLOOKUP(N778,SLD_MS_copii,AJ759,0)*U778,0)</f>
        <v>0</v>
      </c>
      <c r="AQ778" s="712"/>
    </row>
    <row r="779" spans="11:43" ht="22" thickBot="1">
      <c r="K779" s="712"/>
      <c r="L779" s="502"/>
      <c r="M779" s="502"/>
      <c r="N779" s="524"/>
      <c r="O779" s="640"/>
      <c r="P779" s="679"/>
      <c r="Q779" s="581"/>
      <c r="R779" s="581"/>
      <c r="S779" s="581"/>
      <c r="T779" s="581"/>
      <c r="U779" s="543">
        <f t="shared" si="106"/>
        <v>0</v>
      </c>
      <c r="V779" s="556"/>
      <c r="W779" s="556"/>
      <c r="X779" s="557"/>
      <c r="Y779" s="526"/>
      <c r="Z779" s="680">
        <f>IFERROR(VLOOKUP(N779,SLD_MS_copii,Z759,0)*U779,0)</f>
        <v>0</v>
      </c>
      <c r="AA779" s="681">
        <f>IFERROR(VLOOKUP(N779,SLD_MS_copii,AA759,0)*U779,0)</f>
        <v>0</v>
      </c>
      <c r="AB779" s="681">
        <f>IFERROR(VLOOKUP(N779,SLD_MS_copii,AB759,0)*U779,0)</f>
        <v>0</v>
      </c>
      <c r="AC779" s="681">
        <f>IFERROR(VLOOKUP(N779,SLD_MS_copii,AC759,0)*U779,0)</f>
        <v>0</v>
      </c>
      <c r="AD779" s="682">
        <f>IFERROR(VLOOKUP(N779,SLD_MS_copii,AD759,0)*U779,0)</f>
        <v>0</v>
      </c>
      <c r="AE779" s="526"/>
      <c r="AF779" s="680">
        <f>IFERROR(VLOOKUP(N779,SLD_MS_copii,AF759,0)*U779,0)</f>
        <v>0</v>
      </c>
      <c r="AG779" s="681">
        <f>IFERROR(VLOOKUP(N779,SLD_MS_copii,AG759,0)*U779,0)</f>
        <v>0</v>
      </c>
      <c r="AH779" s="681">
        <f>IFERROR(VLOOKUP(N779,SLD_MS_copii,AH759,0)*U779,0)</f>
        <v>0</v>
      </c>
      <c r="AI779" s="681">
        <f>IFERROR(VLOOKUP(N779,SLD_MS_copii,AI759,0)*U779,0)</f>
        <v>0</v>
      </c>
      <c r="AJ779" s="682">
        <f>IFERROR(VLOOKUP(N779,SLD_MS_copii,AJ759,0)*U779,0)</f>
        <v>0</v>
      </c>
      <c r="AK779" s="431"/>
      <c r="AL779" s="431"/>
      <c r="AM779" s="431"/>
      <c r="AN779" s="431"/>
      <c r="AO779" s="431"/>
      <c r="AP779" s="431"/>
      <c r="AQ779" s="713"/>
    </row>
    <row r="780" spans="11:43" ht="21">
      <c r="K780" s="712"/>
      <c r="L780" s="502"/>
      <c r="M780" s="502"/>
      <c r="O780" s="526"/>
      <c r="P780" s="526"/>
      <c r="Q780" s="526"/>
      <c r="R780" s="526"/>
      <c r="S780" s="526"/>
      <c r="T780" s="526"/>
      <c r="U780" s="526"/>
      <c r="V780" s="526"/>
      <c r="W780" s="526"/>
      <c r="X780" s="526"/>
      <c r="Y780" s="526"/>
      <c r="Z780" s="526"/>
      <c r="AA780" s="526"/>
      <c r="AB780" s="526"/>
      <c r="AC780" s="526"/>
      <c r="AD780" s="526"/>
      <c r="AE780" s="526"/>
      <c r="AF780" s="526"/>
      <c r="AG780" s="526"/>
      <c r="AH780" s="526"/>
      <c r="AI780" s="526"/>
      <c r="AJ780" s="526"/>
      <c r="AQ780" s="712"/>
    </row>
    <row r="781" spans="11:43" ht="21">
      <c r="K781" s="712"/>
      <c r="L781" s="502"/>
      <c r="M781" s="502"/>
      <c r="O781" s="526"/>
      <c r="P781" s="526"/>
      <c r="Q781" s="526"/>
      <c r="R781" s="526"/>
      <c r="S781" s="526"/>
      <c r="T781" s="526"/>
      <c r="U781" s="526"/>
      <c r="V781" s="526"/>
      <c r="W781" s="526"/>
      <c r="X781" s="526"/>
      <c r="Y781" s="526"/>
      <c r="Z781" s="526"/>
      <c r="AA781" s="526"/>
      <c r="AB781" s="526"/>
      <c r="AC781" s="526"/>
      <c r="AD781" s="683"/>
      <c r="AE781" s="526"/>
      <c r="AF781" s="526"/>
      <c r="AG781" s="526"/>
      <c r="AH781" s="526"/>
      <c r="AI781" s="526"/>
      <c r="AJ781" s="526"/>
      <c r="AQ781" s="712"/>
    </row>
    <row r="782" spans="11:43" ht="21">
      <c r="K782" s="712"/>
      <c r="L782" s="502"/>
      <c r="M782" s="502"/>
      <c r="O782" s="526"/>
      <c r="P782" s="526"/>
      <c r="Q782" s="526"/>
      <c r="R782" s="526"/>
      <c r="S782" s="526"/>
      <c r="T782" s="526"/>
      <c r="U782" s="526"/>
      <c r="V782" s="526"/>
      <c r="W782" s="526"/>
      <c r="X782" s="526"/>
      <c r="Y782" s="526"/>
      <c r="Z782" s="526"/>
      <c r="AA782" s="526"/>
      <c r="AB782" s="526"/>
      <c r="AC782" s="526"/>
      <c r="AD782" s="526"/>
      <c r="AE782" s="526"/>
      <c r="AF782" s="526"/>
      <c r="AG782" s="526"/>
      <c r="AH782" s="526"/>
      <c r="AI782" s="526"/>
      <c r="AJ782" s="526"/>
      <c r="AQ782" s="712"/>
    </row>
    <row r="783" spans="11:43" ht="21">
      <c r="K783" s="712"/>
      <c r="L783" s="502"/>
      <c r="M783" s="502"/>
      <c r="O783" s="526"/>
      <c r="P783" s="526"/>
      <c r="Q783" s="526"/>
      <c r="R783" s="526"/>
      <c r="S783" s="526"/>
      <c r="T783" s="526"/>
      <c r="U783" s="526"/>
      <c r="V783" s="526"/>
      <c r="W783" s="526"/>
      <c r="X783" s="526"/>
      <c r="Y783" s="526"/>
      <c r="Z783" s="526"/>
      <c r="AA783" s="526"/>
      <c r="AB783" s="526"/>
      <c r="AC783" s="526"/>
      <c r="AD783" s="526"/>
      <c r="AE783" s="526"/>
      <c r="AF783" s="526"/>
      <c r="AG783" s="526"/>
      <c r="AH783" s="526"/>
      <c r="AI783" s="526"/>
      <c r="AJ783" s="526"/>
      <c r="AQ783" s="712"/>
    </row>
    <row r="784" spans="11:43" ht="21">
      <c r="K784" s="712"/>
      <c r="L784" s="502"/>
      <c r="M784" s="502"/>
      <c r="O784" s="526"/>
      <c r="P784" s="526"/>
      <c r="Q784" s="526"/>
      <c r="R784" s="526"/>
      <c r="S784" s="526"/>
      <c r="T784" s="526"/>
      <c r="U784" s="526"/>
      <c r="V784" s="526"/>
      <c r="W784" s="526"/>
      <c r="X784" s="526"/>
      <c r="Y784" s="526"/>
      <c r="Z784" s="526"/>
      <c r="AA784" s="526"/>
      <c r="AB784" s="526"/>
      <c r="AC784" s="526"/>
      <c r="AD784" s="526"/>
      <c r="AE784" s="526"/>
      <c r="AF784" s="526"/>
      <c r="AG784" s="526"/>
      <c r="AH784" s="526"/>
      <c r="AI784" s="526"/>
      <c r="AJ784" s="526"/>
      <c r="AQ784" s="712"/>
    </row>
    <row r="785" spans="11:43" ht="21">
      <c r="K785" s="712"/>
      <c r="L785" s="502"/>
      <c r="M785" s="502"/>
      <c r="O785" s="526"/>
      <c r="P785" s="526"/>
      <c r="Q785" s="526"/>
      <c r="R785" s="526"/>
      <c r="S785" s="526"/>
      <c r="T785" s="526"/>
      <c r="U785" s="526"/>
      <c r="V785" s="526"/>
      <c r="W785" s="526"/>
      <c r="X785" s="526"/>
      <c r="Y785" s="526"/>
      <c r="Z785" s="526"/>
      <c r="AA785" s="526"/>
      <c r="AB785" s="526"/>
      <c r="AC785" s="526"/>
      <c r="AD785" s="526"/>
      <c r="AE785" s="526"/>
      <c r="AF785" s="526"/>
      <c r="AG785" s="526"/>
      <c r="AH785" s="526"/>
      <c r="AI785" s="526"/>
      <c r="AJ785" s="526"/>
      <c r="AQ785" s="712"/>
    </row>
    <row r="786" spans="11:43" ht="22" thickBot="1">
      <c r="K786" s="712"/>
      <c r="L786" s="502"/>
      <c r="M786" s="502"/>
      <c r="N786" s="707" t="s">
        <v>335</v>
      </c>
      <c r="O786" s="526"/>
      <c r="P786" s="526"/>
      <c r="Q786" s="526"/>
      <c r="R786" s="526"/>
      <c r="S786" s="526"/>
      <c r="T786" s="545" t="s">
        <v>114</v>
      </c>
      <c r="U786" s="545"/>
      <c r="V786" s="545"/>
      <c r="W786" s="545"/>
      <c r="X786" s="545"/>
      <c r="Y786" s="545"/>
      <c r="Z786" s="642" t="s">
        <v>513</v>
      </c>
      <c r="AA786" s="545"/>
      <c r="AB786" s="545"/>
      <c r="AC786" s="545"/>
      <c r="AD786" s="545"/>
      <c r="AE786" s="545"/>
      <c r="AF786" s="545" t="s">
        <v>351</v>
      </c>
      <c r="AG786" s="526"/>
      <c r="AH786" s="526"/>
      <c r="AI786" s="526"/>
      <c r="AJ786" s="526"/>
      <c r="AQ786" s="712"/>
    </row>
    <row r="787" spans="11:43" ht="22" thickBot="1">
      <c r="K787" s="712"/>
      <c r="L787" s="502"/>
      <c r="M787" s="502"/>
      <c r="N787" s="708"/>
      <c r="O787" s="526"/>
      <c r="P787" s="526"/>
      <c r="Q787" s="526"/>
      <c r="R787" s="526"/>
      <c r="S787" s="526"/>
      <c r="T787" s="584">
        <v>2021</v>
      </c>
      <c r="U787" s="585">
        <v>2022</v>
      </c>
      <c r="V787" s="585">
        <v>2023</v>
      </c>
      <c r="W787" s="585">
        <v>2024</v>
      </c>
      <c r="X787" s="586">
        <v>2025</v>
      </c>
      <c r="Y787" s="526"/>
      <c r="Z787" s="584">
        <v>2021</v>
      </c>
      <c r="AA787" s="585">
        <v>2022</v>
      </c>
      <c r="AB787" s="585">
        <v>2023</v>
      </c>
      <c r="AC787" s="585">
        <v>2024</v>
      </c>
      <c r="AD787" s="586">
        <v>2025</v>
      </c>
      <c r="AE787" s="526"/>
      <c r="AF787" s="584">
        <v>2021</v>
      </c>
      <c r="AG787" s="585">
        <v>2022</v>
      </c>
      <c r="AH787" s="585">
        <v>2023</v>
      </c>
      <c r="AI787" s="585">
        <v>2024</v>
      </c>
      <c r="AJ787" s="586">
        <v>2025</v>
      </c>
      <c r="AQ787" s="712"/>
    </row>
    <row r="788" spans="11:43" ht="21">
      <c r="K788" s="712"/>
      <c r="L788" s="502"/>
      <c r="M788" s="502"/>
      <c r="O788" s="716" t="s">
        <v>492</v>
      </c>
      <c r="P788" s="528"/>
      <c r="Q788" s="528"/>
      <c r="R788" s="528"/>
      <c r="S788" s="528"/>
      <c r="T788" s="587">
        <f t="shared" ref="T788:T800" si="107">Z788+AF788</f>
        <v>864</v>
      </c>
      <c r="U788" s="588">
        <f t="shared" ref="U788:U800" si="108">AA788+AG788</f>
        <v>1296</v>
      </c>
      <c r="V788" s="588">
        <f t="shared" ref="V788:V800" si="109">AB788+AH788</f>
        <v>1296</v>
      </c>
      <c r="W788" s="588">
        <f t="shared" ref="W788:W800" si="110">AC788+AI788</f>
        <v>1296</v>
      </c>
      <c r="X788" s="589">
        <f t="shared" ref="X788:X800" si="111">AD788+AJ788</f>
        <v>1296</v>
      </c>
      <c r="Y788" s="526"/>
      <c r="Z788" s="592">
        <f>SUMIF(O768:O779,O788,Z768:Z779)</f>
        <v>0</v>
      </c>
      <c r="AA788" s="593">
        <f>SUMIF(O768:O779,O788,AA768:AA779)</f>
        <v>0</v>
      </c>
      <c r="AB788" s="593">
        <f>SUMIF(O768:O779,O788,AB768:AB779)</f>
        <v>0</v>
      </c>
      <c r="AC788" s="593">
        <f>SUMIF(O768:O779,O788,AC768:AC779)</f>
        <v>1296</v>
      </c>
      <c r="AD788" s="594">
        <f>SUMIF(O768:O779,O788,AD768:AD779)</f>
        <v>1296</v>
      </c>
      <c r="AE788" s="526"/>
      <c r="AF788" s="592">
        <f>SUMIF(O768:O779,O788,AF768:AF779)</f>
        <v>864</v>
      </c>
      <c r="AG788" s="593">
        <f>SUMIF(O768:O779,O788,AG768:AG779)</f>
        <v>1296</v>
      </c>
      <c r="AH788" s="593">
        <f>SUMIF(O768:O779,O788,AH768:AH779)</f>
        <v>1296</v>
      </c>
      <c r="AI788" s="593">
        <f>SUMIF(O768:O779,O788,AI768:AI779)</f>
        <v>0</v>
      </c>
      <c r="AJ788" s="594">
        <f>SUMIF(O768:O779,O788,AJ768:AJ779)</f>
        <v>0</v>
      </c>
      <c r="AQ788" s="712"/>
    </row>
    <row r="789" spans="11:43" ht="21">
      <c r="K789" s="712"/>
      <c r="L789" s="502"/>
      <c r="M789" s="502"/>
      <c r="O789" s="714" t="s">
        <v>493</v>
      </c>
      <c r="P789" s="715"/>
      <c r="Q789" s="715"/>
      <c r="R789" s="715"/>
      <c r="S789" s="715"/>
      <c r="T789" s="592">
        <f t="shared" si="107"/>
        <v>2592</v>
      </c>
      <c r="U789" s="593">
        <f t="shared" si="108"/>
        <v>3888</v>
      </c>
      <c r="V789" s="593">
        <f t="shared" si="109"/>
        <v>3888</v>
      </c>
      <c r="W789" s="593">
        <f t="shared" si="110"/>
        <v>3888</v>
      </c>
      <c r="X789" s="594">
        <f t="shared" si="111"/>
        <v>3888</v>
      </c>
      <c r="Y789" s="526"/>
      <c r="Z789" s="592">
        <f>SUMIF(O768:O779,O789,Z768:Z779)</f>
        <v>0</v>
      </c>
      <c r="AA789" s="593">
        <f>SUMIF(O768:O779,O789,AA768:AA779)</f>
        <v>0</v>
      </c>
      <c r="AB789" s="593">
        <f>SUMIF(O768:O779,O789,AB768:AB779)</f>
        <v>0</v>
      </c>
      <c r="AC789" s="593">
        <f>SUMIF(O768:O779,O789,AC768:AC779)</f>
        <v>3888</v>
      </c>
      <c r="AD789" s="594">
        <f>SUMIF(O768:O779,O789,AD768:AD779)</f>
        <v>3888</v>
      </c>
      <c r="AE789" s="526"/>
      <c r="AF789" s="592">
        <f>SUMIF(O768:O779,O789,AF768:AF779)</f>
        <v>2592</v>
      </c>
      <c r="AG789" s="593">
        <f>SUMIF(O768:O779,O789,AG768:AG779)</f>
        <v>3888</v>
      </c>
      <c r="AH789" s="593">
        <f>SUMIF(O768:O779,O789,AH768:AH779)</f>
        <v>3888</v>
      </c>
      <c r="AI789" s="593">
        <f>SUMIF(O768:O779,O789,AI768:AI779)</f>
        <v>0</v>
      </c>
      <c r="AJ789" s="594">
        <f>SUMIF(O768:O779,O789,AJ768:AJ779)</f>
        <v>0</v>
      </c>
      <c r="AQ789" s="712"/>
    </row>
    <row r="790" spans="11:43" ht="21">
      <c r="K790" s="712"/>
      <c r="L790" s="502"/>
      <c r="M790" s="502"/>
      <c r="O790" s="714" t="s">
        <v>494</v>
      </c>
      <c r="P790" s="715"/>
      <c r="Q790" s="715"/>
      <c r="R790" s="715"/>
      <c r="S790" s="715"/>
      <c r="T790" s="592">
        <f t="shared" si="107"/>
        <v>1296</v>
      </c>
      <c r="U790" s="593">
        <f t="shared" si="108"/>
        <v>1944</v>
      </c>
      <c r="V790" s="593">
        <f t="shared" si="109"/>
        <v>1944</v>
      </c>
      <c r="W790" s="593">
        <f t="shared" si="110"/>
        <v>1944</v>
      </c>
      <c r="X790" s="594">
        <f t="shared" si="111"/>
        <v>1944</v>
      </c>
      <c r="Y790" s="526"/>
      <c r="Z790" s="592">
        <f>SUMIF(O768:O779,O790,Z768:Z779)</f>
        <v>0</v>
      </c>
      <c r="AA790" s="593">
        <f>SUMIF(O768:O779,O790,AA768:AA779)</f>
        <v>0</v>
      </c>
      <c r="AB790" s="593">
        <f>SUMIF(O768:O779,O790,AB768:AB779)</f>
        <v>0</v>
      </c>
      <c r="AC790" s="593">
        <f>SUMIF(O768:O779,O790,AC768:AC779)</f>
        <v>1944</v>
      </c>
      <c r="AD790" s="594">
        <f>SUMIF(O768:O779,O790,AD768:AD779)</f>
        <v>1944</v>
      </c>
      <c r="AE790" s="526"/>
      <c r="AF790" s="592">
        <f>SUMIF(O768:O779,O790,AF768:AF779)</f>
        <v>1296</v>
      </c>
      <c r="AG790" s="593">
        <f>SUMIF(O768:O779,O790,AG768:AG779)</f>
        <v>1944</v>
      </c>
      <c r="AH790" s="593">
        <f>SUMIF(O768:O779,O790,AH768:AH779)</f>
        <v>1944</v>
      </c>
      <c r="AI790" s="593">
        <f>SUMIF(O768:O779,O790,AI768:AI779)</f>
        <v>0</v>
      </c>
      <c r="AJ790" s="594">
        <f>SUMIF(O768:O779,O790,AJ768:AJ779)</f>
        <v>0</v>
      </c>
      <c r="AQ790" s="712"/>
    </row>
    <row r="791" spans="11:43" ht="21">
      <c r="K791" s="712"/>
      <c r="L791" s="502"/>
      <c r="M791" s="502"/>
      <c r="O791" s="714" t="s">
        <v>495</v>
      </c>
      <c r="P791" s="715"/>
      <c r="Q791" s="715"/>
      <c r="R791" s="715"/>
      <c r="S791" s="715"/>
      <c r="T791" s="592">
        <f t="shared" si="107"/>
        <v>1620</v>
      </c>
      <c r="U791" s="593">
        <f t="shared" si="108"/>
        <v>2430</v>
      </c>
      <c r="V791" s="593">
        <f t="shared" si="109"/>
        <v>2430</v>
      </c>
      <c r="W791" s="593">
        <f t="shared" si="110"/>
        <v>2430</v>
      </c>
      <c r="X791" s="594">
        <f t="shared" si="111"/>
        <v>2430</v>
      </c>
      <c r="Y791" s="526"/>
      <c r="Z791" s="592">
        <f>SUMIF(O768:O779,O791,Z768:Z779)</f>
        <v>0</v>
      </c>
      <c r="AA791" s="593">
        <f>SUMIF(O768:O779,O791,AA768:AA779)</f>
        <v>0</v>
      </c>
      <c r="AB791" s="593">
        <f>SUMIF(O768:O779,O791,AB768:AB779)</f>
        <v>0</v>
      </c>
      <c r="AC791" s="593">
        <f>SUMIF(O768:O779,O791,AC768:AC779)</f>
        <v>2430</v>
      </c>
      <c r="AD791" s="594">
        <f>SUMIF(O768:O779,O791,AD768:AD779)</f>
        <v>2430</v>
      </c>
      <c r="AE791" s="526"/>
      <c r="AF791" s="592">
        <f>SUMIF(O768:O779,O791,AF768:AF779)</f>
        <v>1620</v>
      </c>
      <c r="AG791" s="593">
        <f>SUMIF(O768:O779,O791,AG768:AG779)</f>
        <v>2430</v>
      </c>
      <c r="AH791" s="593">
        <f>SUMIF(O768:O779,O791,AH768:AH779)</f>
        <v>2430</v>
      </c>
      <c r="AI791" s="593">
        <f>SUMIF(O768:O779,O791,AI768:AI779)</f>
        <v>0</v>
      </c>
      <c r="AJ791" s="594">
        <f>SUMIF(O768:O779,O791,AJ768:AJ779)</f>
        <v>0</v>
      </c>
      <c r="AQ791" s="712"/>
    </row>
    <row r="792" spans="11:43" ht="21">
      <c r="K792" s="712"/>
      <c r="L792" s="502"/>
      <c r="M792" s="502"/>
      <c r="O792" s="714" t="s">
        <v>496</v>
      </c>
      <c r="P792" s="715"/>
      <c r="Q792" s="715"/>
      <c r="R792" s="715"/>
      <c r="S792" s="715"/>
      <c r="T792" s="592">
        <f t="shared" si="107"/>
        <v>4320</v>
      </c>
      <c r="U792" s="593">
        <f t="shared" si="108"/>
        <v>6480</v>
      </c>
      <c r="V792" s="593">
        <f t="shared" si="109"/>
        <v>6480</v>
      </c>
      <c r="W792" s="593">
        <f t="shared" si="110"/>
        <v>6480</v>
      </c>
      <c r="X792" s="594">
        <f t="shared" si="111"/>
        <v>6480</v>
      </c>
      <c r="Y792" s="526"/>
      <c r="Z792" s="592">
        <f>SUMIF(O768:O779,O792,Z768:Z779)</f>
        <v>0</v>
      </c>
      <c r="AA792" s="593">
        <f>SUMIF(O768:O779,O792,AA768:AA779)</f>
        <v>0</v>
      </c>
      <c r="AB792" s="593">
        <f>SUMIF(O768:O779,O792,AB768:AB779)</f>
        <v>0</v>
      </c>
      <c r="AC792" s="593">
        <f>SUMIF(O768:O779,O792,AC768:AC779)</f>
        <v>6480</v>
      </c>
      <c r="AD792" s="594">
        <f>SUMIF(O768:O779,O792,AD768:AD779)</f>
        <v>6480</v>
      </c>
      <c r="AE792" s="526"/>
      <c r="AF792" s="592">
        <f>SUMIF(O768:O779,O792,AF768:AF779)</f>
        <v>4320</v>
      </c>
      <c r="AG792" s="593">
        <f>SUMIF(O768:O779,O792,AG768:AG779)</f>
        <v>6480</v>
      </c>
      <c r="AH792" s="593">
        <f>SUMIF(O768:O779,O792,AH768:AH779)</f>
        <v>6480</v>
      </c>
      <c r="AI792" s="593">
        <f>SUMIF(O768:O779,O792,AI768:AI779)</f>
        <v>0</v>
      </c>
      <c r="AJ792" s="594">
        <f>SUMIF(O768:O779,O792,AJ768:AJ779)</f>
        <v>0</v>
      </c>
      <c r="AQ792" s="712"/>
    </row>
    <row r="793" spans="11:43" ht="21">
      <c r="K793" s="712"/>
      <c r="L793" s="502"/>
      <c r="M793" s="502"/>
      <c r="O793" s="714" t="s">
        <v>497</v>
      </c>
      <c r="P793" s="715"/>
      <c r="Q793" s="715"/>
      <c r="R793" s="715"/>
      <c r="S793" s="715"/>
      <c r="T793" s="592">
        <f t="shared" si="107"/>
        <v>1080</v>
      </c>
      <c r="U793" s="593">
        <f t="shared" si="108"/>
        <v>1620</v>
      </c>
      <c r="V793" s="593">
        <f t="shared" si="109"/>
        <v>1620</v>
      </c>
      <c r="W793" s="593">
        <f t="shared" si="110"/>
        <v>1620</v>
      </c>
      <c r="X793" s="594">
        <f t="shared" si="111"/>
        <v>1620</v>
      </c>
      <c r="Y793" s="526"/>
      <c r="Z793" s="592">
        <f>SUMIF(O768:O779,O793,Z768:Z779)</f>
        <v>0</v>
      </c>
      <c r="AA793" s="593">
        <f>SUMIF(O768:O779,O793,AA768:AA779)</f>
        <v>0</v>
      </c>
      <c r="AB793" s="593">
        <f>SUMIF(O768:O779,O793,AB768:AB779)</f>
        <v>0</v>
      </c>
      <c r="AC793" s="593">
        <f>SUMIF(O768:O779,O793,AC768:AC779)</f>
        <v>1620</v>
      </c>
      <c r="AD793" s="594">
        <f>SUMIF(O768:O779,O793,AD768:AD779)</f>
        <v>1620</v>
      </c>
      <c r="AE793" s="526"/>
      <c r="AF793" s="592">
        <f>SUMIF(O768:O779,O793,AF768:AF779)</f>
        <v>1080</v>
      </c>
      <c r="AG793" s="593">
        <f>SUMIF(O768:O779,O793,AG768:AG779)</f>
        <v>1620</v>
      </c>
      <c r="AH793" s="593">
        <f>SUMIF(O768:O779,O793,AH768:AH779)</f>
        <v>1620</v>
      </c>
      <c r="AI793" s="593">
        <f>SUMIF(O768:O779,O793,AI768:AI779)</f>
        <v>0</v>
      </c>
      <c r="AJ793" s="594">
        <f>SUMIF(O768:O779,O793,AJ768:AJ779)</f>
        <v>0</v>
      </c>
      <c r="AQ793" s="712"/>
    </row>
    <row r="794" spans="11:43" ht="21">
      <c r="K794" s="712"/>
      <c r="L794" s="502"/>
      <c r="M794" s="502"/>
      <c r="O794" s="714" t="s">
        <v>498</v>
      </c>
      <c r="P794" s="715"/>
      <c r="Q794" s="715"/>
      <c r="R794" s="715"/>
      <c r="S794" s="715"/>
      <c r="T794" s="592">
        <f t="shared" si="107"/>
        <v>864</v>
      </c>
      <c r="U794" s="593">
        <f t="shared" si="108"/>
        <v>1296</v>
      </c>
      <c r="V794" s="593">
        <f t="shared" si="109"/>
        <v>1296</v>
      </c>
      <c r="W794" s="593">
        <f t="shared" si="110"/>
        <v>1296</v>
      </c>
      <c r="X794" s="594">
        <f t="shared" si="111"/>
        <v>1296</v>
      </c>
      <c r="Y794" s="526"/>
      <c r="Z794" s="592">
        <f>SUMIF(O768:O779,O794,Z768:Z779)</f>
        <v>0</v>
      </c>
      <c r="AA794" s="593">
        <f>SUMIF(O768:O779,O794,AA768:AA779)</f>
        <v>0</v>
      </c>
      <c r="AB794" s="593">
        <f>SUMIF(O768:O779,O794,AB768:AB779)</f>
        <v>0</v>
      </c>
      <c r="AC794" s="593">
        <f>SUMIF(O768:O779,O794,AC768:AC779)</f>
        <v>1296</v>
      </c>
      <c r="AD794" s="594">
        <f>SUMIF(O768:O779,O794,AD768:AD779)</f>
        <v>1296</v>
      </c>
      <c r="AE794" s="526"/>
      <c r="AF794" s="592">
        <f>SUMIF(O768:O779,O794,AF768:AF779)</f>
        <v>864</v>
      </c>
      <c r="AG794" s="593">
        <f>SUMIF(O768:O779,O794,AG768:AG779)</f>
        <v>1296</v>
      </c>
      <c r="AH794" s="593">
        <f>SUMIF(O768:O779,O794,AH768:AH779)</f>
        <v>1296</v>
      </c>
      <c r="AI794" s="593">
        <f>SUMIF(O768:O779,O794,AI768:AI779)</f>
        <v>0</v>
      </c>
      <c r="AJ794" s="594">
        <f>SUMIF(O768:O779,O794,AJ768:AJ779)</f>
        <v>0</v>
      </c>
      <c r="AQ794" s="712"/>
    </row>
    <row r="795" spans="11:43" ht="21">
      <c r="K795" s="712"/>
      <c r="L795" s="502"/>
      <c r="M795" s="502"/>
      <c r="O795" s="714" t="s">
        <v>499</v>
      </c>
      <c r="P795" s="715"/>
      <c r="Q795" s="715"/>
      <c r="R795" s="715"/>
      <c r="S795" s="715"/>
      <c r="T795" s="592">
        <f t="shared" si="107"/>
        <v>1080</v>
      </c>
      <c r="U795" s="593">
        <f t="shared" si="108"/>
        <v>1620</v>
      </c>
      <c r="V795" s="593">
        <f t="shared" si="109"/>
        <v>1620</v>
      </c>
      <c r="W795" s="593">
        <f t="shared" si="110"/>
        <v>1620</v>
      </c>
      <c r="X795" s="594">
        <f t="shared" si="111"/>
        <v>1620</v>
      </c>
      <c r="Y795" s="526"/>
      <c r="Z795" s="592">
        <f>SUMIF(O768:O779,O795,Z768:Z779)</f>
        <v>0</v>
      </c>
      <c r="AA795" s="593">
        <f>SUMIF(O768:O779,O795,AA768:AA779)</f>
        <v>0</v>
      </c>
      <c r="AB795" s="593">
        <f>SUMIF(O768:O779,O795,AB768:AB779)</f>
        <v>0</v>
      </c>
      <c r="AC795" s="593">
        <f>SUMIF(O768:O779,O795,AC768:AC779)</f>
        <v>1620</v>
      </c>
      <c r="AD795" s="594">
        <f>SUMIF(O768:O779,O795,AD768:AD779)</f>
        <v>1620</v>
      </c>
      <c r="AE795" s="526"/>
      <c r="AF795" s="592">
        <f>SUMIF(O768:O779,O795,AF768:AF779)</f>
        <v>1080</v>
      </c>
      <c r="AG795" s="593">
        <f>SUMIF(O768:O779,O795,AG768:AG779)</f>
        <v>1620</v>
      </c>
      <c r="AH795" s="593">
        <f>SUMIF(O768:O779,O795,AH768:AH779)</f>
        <v>1620</v>
      </c>
      <c r="AI795" s="593">
        <f>SUMIF(O768:O779,O795,AI768:AI779)</f>
        <v>0</v>
      </c>
      <c r="AJ795" s="594">
        <f>SUMIF(O768:O779,O795,AJ768:AJ779)</f>
        <v>0</v>
      </c>
      <c r="AQ795" s="712"/>
    </row>
    <row r="796" spans="11:43" ht="21">
      <c r="K796" s="712"/>
      <c r="L796" s="502"/>
      <c r="M796" s="502"/>
      <c r="O796" s="714"/>
      <c r="P796" s="715"/>
      <c r="Q796" s="715"/>
      <c r="R796" s="715"/>
      <c r="S796" s="715"/>
      <c r="T796" s="592">
        <f t="shared" si="107"/>
        <v>0</v>
      </c>
      <c r="U796" s="593">
        <f t="shared" si="108"/>
        <v>0</v>
      </c>
      <c r="V796" s="593">
        <f t="shared" si="109"/>
        <v>0</v>
      </c>
      <c r="W796" s="593">
        <f t="shared" si="110"/>
        <v>0</v>
      </c>
      <c r="X796" s="594">
        <f t="shared" si="111"/>
        <v>0</v>
      </c>
      <c r="Y796" s="526"/>
      <c r="Z796" s="592">
        <f>SUMIF(O768:O779,O796,Z768:Z779)</f>
        <v>0</v>
      </c>
      <c r="AA796" s="593">
        <f>SUMIF(O768:O779,O796,AA768:AA779)</f>
        <v>0</v>
      </c>
      <c r="AB796" s="593">
        <f>SUMIF(O768:O779,O796,AB768:AB779)</f>
        <v>0</v>
      </c>
      <c r="AC796" s="593">
        <f>SUMIF(O768:O779,O796,AC768:AC779)</f>
        <v>0</v>
      </c>
      <c r="AD796" s="594">
        <f>SUMIF(O768:O779,O796,AD768:AD779)</f>
        <v>0</v>
      </c>
      <c r="AE796" s="526"/>
      <c r="AF796" s="592">
        <f>SUMIF(O768:O779,O796,AF768:AF779)</f>
        <v>0</v>
      </c>
      <c r="AG796" s="593">
        <f>SUMIF(O768:O779,O796,AG768:AG779)</f>
        <v>0</v>
      </c>
      <c r="AH796" s="593">
        <f>SUMIF(O768:O779,O796,AH768:AH779)</f>
        <v>0</v>
      </c>
      <c r="AI796" s="593">
        <f>SUMIF(O768:O779,O796,AI768:AI779)</f>
        <v>0</v>
      </c>
      <c r="AJ796" s="594">
        <f>SUMIF(O768:O779,O796,AJ768:AJ779)</f>
        <v>0</v>
      </c>
      <c r="AQ796" s="712"/>
    </row>
    <row r="797" spans="11:43" ht="21">
      <c r="K797" s="712"/>
      <c r="L797" s="502"/>
      <c r="M797" s="502"/>
      <c r="O797" s="714"/>
      <c r="P797" s="715"/>
      <c r="Q797" s="715"/>
      <c r="R797" s="715"/>
      <c r="S797" s="715"/>
      <c r="T797" s="592">
        <f t="shared" si="107"/>
        <v>0</v>
      </c>
      <c r="U797" s="593">
        <f t="shared" si="108"/>
        <v>0</v>
      </c>
      <c r="V797" s="593">
        <f t="shared" si="109"/>
        <v>0</v>
      </c>
      <c r="W797" s="593">
        <f t="shared" si="110"/>
        <v>0</v>
      </c>
      <c r="X797" s="594">
        <f t="shared" si="111"/>
        <v>0</v>
      </c>
      <c r="Y797" s="526"/>
      <c r="Z797" s="592">
        <f>SUMIF(O768:O779,O797,Z768:Z779)</f>
        <v>0</v>
      </c>
      <c r="AA797" s="593">
        <f>SUMIF(O768:O779,O797,AA768:AA779)</f>
        <v>0</v>
      </c>
      <c r="AB797" s="593">
        <f>SUMIF(O768:O779,O797,AB768:AB779)</f>
        <v>0</v>
      </c>
      <c r="AC797" s="593">
        <f>SUMIF(O768:O779,O797,AC768:AC779)</f>
        <v>0</v>
      </c>
      <c r="AD797" s="594">
        <f>SUMIF(O768:O779,O797,AD768:AD779)</f>
        <v>0</v>
      </c>
      <c r="AE797" s="526"/>
      <c r="AF797" s="592">
        <f>SUMIF(O768:O779,O797,AF768:AF779)</f>
        <v>0</v>
      </c>
      <c r="AG797" s="593">
        <f>SUMIF(O768:O779,O797,AG768:AG779)</f>
        <v>0</v>
      </c>
      <c r="AH797" s="593">
        <f>SUMIF(O768:O779,O797,AH768:AH779)</f>
        <v>0</v>
      </c>
      <c r="AI797" s="593">
        <f>SUMIF(O768:O779,O797,AI768:AI779)</f>
        <v>0</v>
      </c>
      <c r="AJ797" s="594">
        <f>SUMIF(O768:O779,O797,AJ768:AJ779)</f>
        <v>0</v>
      </c>
      <c r="AQ797" s="712"/>
    </row>
    <row r="798" spans="11:43" ht="21">
      <c r="K798" s="712"/>
      <c r="L798" s="502"/>
      <c r="M798" s="502"/>
      <c r="O798" s="714"/>
      <c r="P798" s="715"/>
      <c r="Q798" s="715"/>
      <c r="R798" s="715"/>
      <c r="S798" s="715"/>
      <c r="T798" s="592">
        <f t="shared" si="107"/>
        <v>0</v>
      </c>
      <c r="U798" s="593">
        <f t="shared" si="108"/>
        <v>0</v>
      </c>
      <c r="V798" s="593">
        <f t="shared" si="109"/>
        <v>0</v>
      </c>
      <c r="W798" s="593">
        <f t="shared" si="110"/>
        <v>0</v>
      </c>
      <c r="X798" s="594">
        <f t="shared" si="111"/>
        <v>0</v>
      </c>
      <c r="Y798" s="526"/>
      <c r="Z798" s="592">
        <f>SUMIF(O768:O779,O798,Z768:Z779)</f>
        <v>0</v>
      </c>
      <c r="AA798" s="593">
        <f>SUMIF(O768:O779,O798,AA768:AA779)</f>
        <v>0</v>
      </c>
      <c r="AB798" s="593">
        <f>SUMIF(O768:O779,O798,AB768:AB779)</f>
        <v>0</v>
      </c>
      <c r="AC798" s="593">
        <f>SUMIF(O768:O779,O798,AC768:AC779)</f>
        <v>0</v>
      </c>
      <c r="AD798" s="594">
        <f>SUMIF(O768:O779,O798,AD768:AD779)</f>
        <v>0</v>
      </c>
      <c r="AE798" s="526"/>
      <c r="AF798" s="592">
        <f>SUMIF(O768:O779,O798,AF768:AF779)</f>
        <v>0</v>
      </c>
      <c r="AG798" s="593">
        <f>SUMIF(O768:O779,O798,AG768:AG779)</f>
        <v>0</v>
      </c>
      <c r="AH798" s="593">
        <f>SUMIF(O768:O779,O798,AH768:AH779)</f>
        <v>0</v>
      </c>
      <c r="AI798" s="593">
        <f>SUMIF(O768:O779,O798,AI768:AI779)</f>
        <v>0</v>
      </c>
      <c r="AJ798" s="594">
        <f>SUMIF(O768:O779,O798,AJ768:AJ779)</f>
        <v>0</v>
      </c>
      <c r="AQ798" s="712"/>
    </row>
    <row r="799" spans="11:43" ht="21">
      <c r="K799" s="712"/>
      <c r="L799" s="502"/>
      <c r="M799" s="502"/>
      <c r="O799" s="714"/>
      <c r="P799" s="715"/>
      <c r="Q799" s="715"/>
      <c r="R799" s="715"/>
      <c r="S799" s="715"/>
      <c r="T799" s="592">
        <f t="shared" si="107"/>
        <v>0</v>
      </c>
      <c r="U799" s="593">
        <f t="shared" si="108"/>
        <v>0</v>
      </c>
      <c r="V799" s="593">
        <f t="shared" si="109"/>
        <v>0</v>
      </c>
      <c r="W799" s="593">
        <f t="shared" si="110"/>
        <v>0</v>
      </c>
      <c r="X799" s="594">
        <f t="shared" si="111"/>
        <v>0</v>
      </c>
      <c r="Y799" s="526"/>
      <c r="Z799" s="592">
        <f>SUMIF(O768:O779,O799,Z768:Z779)</f>
        <v>0</v>
      </c>
      <c r="AA799" s="593">
        <f>SUMIF(O768:O779,O799,AA768:AA779)</f>
        <v>0</v>
      </c>
      <c r="AB799" s="593">
        <f>SUMIF(O768:O779,O799,AB768:AB779)</f>
        <v>0</v>
      </c>
      <c r="AC799" s="593">
        <f>SUMIF(O768:O779,O799,AC768:AC779)</f>
        <v>0</v>
      </c>
      <c r="AD799" s="594">
        <f>SUMIF(O768:O779,O799,AD768:AD779)</f>
        <v>0</v>
      </c>
      <c r="AE799" s="526"/>
      <c r="AF799" s="592">
        <f>SUMIF(O768:O779,O799,AF768:AF779)</f>
        <v>0</v>
      </c>
      <c r="AG799" s="593">
        <f>SUMIF(O768:O779,O799,AG768:AG779)</f>
        <v>0</v>
      </c>
      <c r="AH799" s="593">
        <f>SUMIF(O768:O779,O799,AH768:AH779)</f>
        <v>0</v>
      </c>
      <c r="AI799" s="593">
        <f>SUMIF(O768:O779,O799,AI768:AI779)</f>
        <v>0</v>
      </c>
      <c r="AJ799" s="594">
        <f>SUMIF(O768:O779,O799,AJ768:AJ779)</f>
        <v>0</v>
      </c>
      <c r="AQ799" s="712"/>
    </row>
    <row r="800" spans="11:43" ht="22" thickBot="1">
      <c r="K800" s="712"/>
      <c r="L800" s="502"/>
      <c r="M800" s="502"/>
      <c r="O800" s="595"/>
      <c r="P800" s="596"/>
      <c r="Q800" s="596"/>
      <c r="R800" s="596"/>
      <c r="S800" s="596"/>
      <c r="T800" s="597">
        <f t="shared" si="107"/>
        <v>0</v>
      </c>
      <c r="U800" s="598">
        <f t="shared" si="108"/>
        <v>0</v>
      </c>
      <c r="V800" s="598">
        <f t="shared" si="109"/>
        <v>0</v>
      </c>
      <c r="W800" s="598">
        <f t="shared" si="110"/>
        <v>0</v>
      </c>
      <c r="X800" s="599">
        <f t="shared" si="111"/>
        <v>0</v>
      </c>
      <c r="Y800" s="526"/>
      <c r="Z800" s="597">
        <f>SUMIF(O768:O779,O800,Z768:Z779)</f>
        <v>0</v>
      </c>
      <c r="AA800" s="598">
        <f>SUMIF(O768:O779,O800,AA768:AA779)</f>
        <v>0</v>
      </c>
      <c r="AB800" s="598">
        <f>SUMIF(O768:O779,O800,AB768:AB779)</f>
        <v>0</v>
      </c>
      <c r="AC800" s="598">
        <f>SUMIF(O768:O779,O800,AC768:AC779)</f>
        <v>0</v>
      </c>
      <c r="AD800" s="599">
        <f>SUMIF(O768:O779,O800,AD768:AD779)</f>
        <v>0</v>
      </c>
      <c r="AE800" s="526"/>
      <c r="AF800" s="597">
        <f>SUMIF(O768:O779,O800,AF768:AF779)</f>
        <v>0</v>
      </c>
      <c r="AG800" s="598">
        <f>SUMIF(O768:O779,O800,AG768:AG779)</f>
        <v>0</v>
      </c>
      <c r="AH800" s="598">
        <f>SUMIF(O768:O779,O800,AH768:AH779)</f>
        <v>0</v>
      </c>
      <c r="AI800" s="598">
        <f>SUMIF(O768:O779,O800,AI768:AI779)</f>
        <v>0</v>
      </c>
      <c r="AJ800" s="599">
        <f>SUMIF(O768:O779,O800,AJ768:AJ779)</f>
        <v>0</v>
      </c>
      <c r="AQ800" s="712"/>
    </row>
    <row r="801" spans="11:43" ht="21">
      <c r="K801" s="712"/>
      <c r="L801" s="502"/>
      <c r="M801" s="502"/>
      <c r="O801" s="526"/>
      <c r="P801" s="526"/>
      <c r="Q801" s="526"/>
      <c r="R801" s="526"/>
      <c r="S801" s="526"/>
      <c r="T801" s="526"/>
      <c r="U801" s="526"/>
      <c r="V801" s="526"/>
      <c r="W801" s="526"/>
      <c r="X801" s="526"/>
      <c r="Y801" s="526"/>
      <c r="Z801" s="526"/>
      <c r="AA801" s="526"/>
      <c r="AB801" s="526"/>
      <c r="AC801" s="526"/>
      <c r="AD801" s="684"/>
      <c r="AE801" s="526"/>
      <c r="AF801" s="526"/>
      <c r="AG801" s="526"/>
      <c r="AH801" s="526"/>
      <c r="AI801" s="526"/>
      <c r="AJ801" s="526"/>
      <c r="AQ801" s="712"/>
    </row>
    <row r="802" spans="11:43" ht="22" thickBot="1">
      <c r="K802" s="712"/>
      <c r="L802" s="502"/>
      <c r="M802" s="502"/>
      <c r="O802" s="526"/>
      <c r="P802" s="526"/>
      <c r="Q802" s="526"/>
      <c r="R802" s="526"/>
      <c r="S802"/>
      <c r="T802"/>
      <c r="U802"/>
      <c r="V802"/>
      <c r="W802"/>
      <c r="X802"/>
      <c r="Y802" s="526" t="s">
        <v>332</v>
      </c>
      <c r="Z802" s="526"/>
      <c r="AA802" s="526"/>
      <c r="AB802" s="526"/>
      <c r="AC802" s="526"/>
      <c r="AD802" s="526"/>
      <c r="AE802" s="526" t="s">
        <v>483</v>
      </c>
      <c r="AF802" s="526"/>
      <c r="AG802" s="526"/>
      <c r="AH802" s="526"/>
      <c r="AI802" s="526"/>
      <c r="AJ802" s="526"/>
      <c r="AQ802" s="712"/>
    </row>
    <row r="803" spans="11:43" ht="22" thickBot="1">
      <c r="K803" s="712"/>
      <c r="L803" s="502"/>
      <c r="M803" s="502"/>
      <c r="O803" s="526"/>
      <c r="P803" s="526"/>
      <c r="Q803" s="526"/>
      <c r="R803" s="526"/>
      <c r="S803"/>
      <c r="T803"/>
      <c r="U803"/>
      <c r="V803"/>
      <c r="W803"/>
      <c r="X803"/>
      <c r="Y803" s="526"/>
      <c r="Z803" s="584">
        <v>2021</v>
      </c>
      <c r="AA803" s="585">
        <v>2022</v>
      </c>
      <c r="AB803" s="585">
        <v>2023</v>
      </c>
      <c r="AC803" s="585">
        <v>2024</v>
      </c>
      <c r="AD803" s="586">
        <v>2025</v>
      </c>
      <c r="AE803" s="526"/>
      <c r="AF803" s="584">
        <v>2021</v>
      </c>
      <c r="AG803" s="585">
        <v>2022</v>
      </c>
      <c r="AH803" s="585">
        <v>2023</v>
      </c>
      <c r="AI803" s="585">
        <v>2024</v>
      </c>
      <c r="AJ803" s="586">
        <v>2025</v>
      </c>
      <c r="AQ803" s="712"/>
    </row>
    <row r="804" spans="11:43" ht="21">
      <c r="K804" s="712"/>
      <c r="L804" s="502"/>
      <c r="M804" s="502"/>
      <c r="O804" s="716" t="s">
        <v>492</v>
      </c>
      <c r="P804" s="528"/>
      <c r="Q804" s="528"/>
      <c r="R804" s="528"/>
      <c r="S804" s="528"/>
      <c r="T804" s="528"/>
      <c r="U804" s="528"/>
      <c r="V804" s="528"/>
      <c r="W804" s="528"/>
      <c r="X804" s="528"/>
      <c r="Y804" s="685">
        <f>IFERROR(VLOOKUP(O804,Preturi_medicamente!D:M,3,0),0)</f>
        <v>6.32</v>
      </c>
      <c r="Z804" s="600">
        <f t="shared" ref="Z804:Z816" si="112">ROUND(Z788*Y804,2)</f>
        <v>0</v>
      </c>
      <c r="AA804" s="601">
        <f t="shared" ref="AA804:AA816" si="113">ROUND(AA788*Y804,2)</f>
        <v>0</v>
      </c>
      <c r="AB804" s="601">
        <f t="shared" ref="AB804:AB816" si="114">ROUND(AB788*Y804,2)</f>
        <v>0</v>
      </c>
      <c r="AC804" s="601">
        <f t="shared" ref="AC804:AC816" si="115">ROUND(AC788*Y804,2)</f>
        <v>8190.72</v>
      </c>
      <c r="AD804" s="602">
        <f t="shared" ref="AD804:AD816" si="116">ROUND(AD788*Y804,2)</f>
        <v>8190.72</v>
      </c>
      <c r="AE804" s="686">
        <f>IFERROR(VLOOKUP(O804,Preturi_medicamente!D:M,10,0),0)</f>
        <v>0.49120000000000003</v>
      </c>
      <c r="AF804" s="600">
        <f t="shared" ref="AF804:AF816" si="117">ROUND(AF788*AE804,2)</f>
        <v>424.4</v>
      </c>
      <c r="AG804" s="601">
        <f t="shared" ref="AG804:AG816" si="118">ROUND(AG788*AE804,2)</f>
        <v>636.6</v>
      </c>
      <c r="AH804" s="601">
        <f t="shared" ref="AH804:AH816" si="119">ROUND(AH788*AE804,2)</f>
        <v>636.6</v>
      </c>
      <c r="AI804" s="601">
        <f t="shared" ref="AI804:AI816" si="120">ROUND(AI788*AE804,2)</f>
        <v>0</v>
      </c>
      <c r="AJ804" s="602">
        <f t="shared" ref="AJ804:AJ816" si="121">ROUND(AJ788*AE804,2)</f>
        <v>0</v>
      </c>
      <c r="AQ804" s="712"/>
    </row>
    <row r="805" spans="11:43" ht="21">
      <c r="K805" s="712"/>
      <c r="L805" s="502"/>
      <c r="M805" s="502"/>
      <c r="O805" s="714" t="s">
        <v>493</v>
      </c>
      <c r="P805" s="715"/>
      <c r="Q805" s="715"/>
      <c r="R805" s="715"/>
      <c r="S805" s="715"/>
      <c r="T805" s="715"/>
      <c r="U805" s="715"/>
      <c r="V805" s="715"/>
      <c r="W805" s="715"/>
      <c r="X805" s="715"/>
      <c r="Y805" s="685">
        <f>IFERROR(VLOOKUP(O805,Preturi_medicamente!D:M,3,0),0)</f>
        <v>7.91</v>
      </c>
      <c r="Z805" s="603">
        <f t="shared" si="112"/>
        <v>0</v>
      </c>
      <c r="AA805" s="604">
        <f t="shared" si="113"/>
        <v>0</v>
      </c>
      <c r="AB805" s="604">
        <f t="shared" si="114"/>
        <v>0</v>
      </c>
      <c r="AC805" s="604">
        <f t="shared" si="115"/>
        <v>30754.080000000002</v>
      </c>
      <c r="AD805" s="605">
        <f t="shared" si="116"/>
        <v>30754.080000000002</v>
      </c>
      <c r="AE805" s="686">
        <f>IFERROR(VLOOKUP(O805,Preturi_medicamente!D:M,10,0),0)</f>
        <v>0.45</v>
      </c>
      <c r="AF805" s="603">
        <f t="shared" si="117"/>
        <v>1166.4000000000001</v>
      </c>
      <c r="AG805" s="604">
        <f t="shared" si="118"/>
        <v>1749.6</v>
      </c>
      <c r="AH805" s="604">
        <f t="shared" si="119"/>
        <v>1749.6</v>
      </c>
      <c r="AI805" s="604">
        <f t="shared" si="120"/>
        <v>0</v>
      </c>
      <c r="AJ805" s="605">
        <f t="shared" si="121"/>
        <v>0</v>
      </c>
      <c r="AQ805" s="712"/>
    </row>
    <row r="806" spans="11:43" ht="21">
      <c r="K806" s="712"/>
      <c r="L806" s="502"/>
      <c r="M806" s="502"/>
      <c r="O806" s="714" t="s">
        <v>494</v>
      </c>
      <c r="P806" s="715"/>
      <c r="Q806" s="715"/>
      <c r="R806" s="715"/>
      <c r="S806" s="715"/>
      <c r="T806" s="715"/>
      <c r="U806" s="715"/>
      <c r="V806" s="715"/>
      <c r="W806" s="715"/>
      <c r="X806" s="715"/>
      <c r="Y806" s="685">
        <f>IFERROR(VLOOKUP(O806,Preturi_medicamente!D:M,3,0),0)</f>
        <v>35.14</v>
      </c>
      <c r="Z806" s="603">
        <f t="shared" si="112"/>
        <v>0</v>
      </c>
      <c r="AA806" s="604">
        <f t="shared" si="113"/>
        <v>0</v>
      </c>
      <c r="AB806" s="604">
        <f t="shared" si="114"/>
        <v>0</v>
      </c>
      <c r="AC806" s="604">
        <f t="shared" si="115"/>
        <v>68312.160000000003</v>
      </c>
      <c r="AD806" s="605">
        <f t="shared" si="116"/>
        <v>68312.160000000003</v>
      </c>
      <c r="AE806" s="686">
        <f>IFERROR(VLOOKUP(O806,Preturi_medicamente!D:M,10,0),0)</f>
        <v>2.5299999999999998</v>
      </c>
      <c r="AF806" s="603">
        <f t="shared" si="117"/>
        <v>3278.88</v>
      </c>
      <c r="AG806" s="604">
        <f t="shared" si="118"/>
        <v>4918.32</v>
      </c>
      <c r="AH806" s="604">
        <f t="shared" si="119"/>
        <v>4918.32</v>
      </c>
      <c r="AI806" s="604">
        <f t="shared" si="120"/>
        <v>0</v>
      </c>
      <c r="AJ806" s="605">
        <f t="shared" si="121"/>
        <v>0</v>
      </c>
      <c r="AQ806" s="712"/>
    </row>
    <row r="807" spans="11:43" ht="21">
      <c r="K807" s="712"/>
      <c r="L807" s="502"/>
      <c r="M807" s="502"/>
      <c r="O807" s="714" t="s">
        <v>495</v>
      </c>
      <c r="P807" s="715"/>
      <c r="Q807" s="715"/>
      <c r="R807" s="715"/>
      <c r="S807" s="715"/>
      <c r="T807" s="715"/>
      <c r="U807" s="715"/>
      <c r="V807" s="715"/>
      <c r="W807" s="715"/>
      <c r="X807" s="715"/>
      <c r="Y807" s="685">
        <f>IFERROR(VLOOKUP(O807,Preturi_medicamente!D:M,3,0),0)</f>
        <v>0.7</v>
      </c>
      <c r="Z807" s="603">
        <f t="shared" si="112"/>
        <v>0</v>
      </c>
      <c r="AA807" s="604">
        <f t="shared" si="113"/>
        <v>0</v>
      </c>
      <c r="AB807" s="604">
        <f t="shared" si="114"/>
        <v>0</v>
      </c>
      <c r="AC807" s="604">
        <f t="shared" si="115"/>
        <v>1701</v>
      </c>
      <c r="AD807" s="605">
        <f t="shared" si="116"/>
        <v>1701</v>
      </c>
      <c r="AE807" s="686">
        <f>IFERROR(VLOOKUP(O807,Preturi_medicamente!D:M,10,0),0)</f>
        <v>0.22500000000000001</v>
      </c>
      <c r="AF807" s="603">
        <f t="shared" si="117"/>
        <v>364.5</v>
      </c>
      <c r="AG807" s="604">
        <f t="shared" si="118"/>
        <v>546.75</v>
      </c>
      <c r="AH807" s="604">
        <f t="shared" si="119"/>
        <v>546.75</v>
      </c>
      <c r="AI807" s="604">
        <f t="shared" si="120"/>
        <v>0</v>
      </c>
      <c r="AJ807" s="605">
        <f t="shared" si="121"/>
        <v>0</v>
      </c>
      <c r="AQ807" s="712"/>
    </row>
    <row r="808" spans="11:43" ht="21">
      <c r="K808" s="712"/>
      <c r="L808" s="502"/>
      <c r="M808" s="502"/>
      <c r="O808" s="714" t="s">
        <v>496</v>
      </c>
      <c r="P808" s="715"/>
      <c r="Q808" s="715"/>
      <c r="R808" s="715"/>
      <c r="S808" s="715"/>
      <c r="T808" s="715"/>
      <c r="U808" s="715"/>
      <c r="V808" s="715"/>
      <c r="W808" s="715"/>
      <c r="X808" s="715"/>
      <c r="Y808" s="685">
        <f>IFERROR(VLOOKUP(O808,Preturi_medicamente!D:M,3,0),0)</f>
        <v>2.2799999999999998</v>
      </c>
      <c r="Z808" s="603">
        <f t="shared" si="112"/>
        <v>0</v>
      </c>
      <c r="AA808" s="604">
        <f t="shared" si="113"/>
        <v>0</v>
      </c>
      <c r="AB808" s="604">
        <f t="shared" si="114"/>
        <v>0</v>
      </c>
      <c r="AC808" s="604">
        <f t="shared" si="115"/>
        <v>14774.4</v>
      </c>
      <c r="AD808" s="605">
        <f t="shared" si="116"/>
        <v>14774.4</v>
      </c>
      <c r="AE808" s="686">
        <f>IFERROR(VLOOKUP(O808,Preturi_medicamente!D:M,10,0),0)</f>
        <v>0.12909999999999999</v>
      </c>
      <c r="AF808" s="603">
        <f t="shared" si="117"/>
        <v>557.71</v>
      </c>
      <c r="AG808" s="604">
        <f t="shared" si="118"/>
        <v>836.57</v>
      </c>
      <c r="AH808" s="604">
        <f t="shared" si="119"/>
        <v>836.57</v>
      </c>
      <c r="AI808" s="604">
        <f t="shared" si="120"/>
        <v>0</v>
      </c>
      <c r="AJ808" s="605">
        <f t="shared" si="121"/>
        <v>0</v>
      </c>
      <c r="AQ808" s="712"/>
    </row>
    <row r="809" spans="11:43" ht="21">
      <c r="K809" s="712"/>
      <c r="L809" s="502"/>
      <c r="M809" s="502"/>
      <c r="O809" s="714" t="s">
        <v>497</v>
      </c>
      <c r="P809" s="715"/>
      <c r="Q809" s="715"/>
      <c r="R809" s="715"/>
      <c r="S809" s="715"/>
      <c r="T809" s="715"/>
      <c r="U809" s="715"/>
      <c r="V809" s="715"/>
      <c r="W809" s="715"/>
      <c r="X809" s="715"/>
      <c r="Y809" s="685">
        <f>IFERROR(VLOOKUP(O809,Preturi_medicamente!D:M,3,0),0)</f>
        <v>13.18</v>
      </c>
      <c r="Z809" s="603">
        <f t="shared" si="112"/>
        <v>0</v>
      </c>
      <c r="AA809" s="604">
        <f t="shared" si="113"/>
        <v>0</v>
      </c>
      <c r="AB809" s="604">
        <f t="shared" si="114"/>
        <v>0</v>
      </c>
      <c r="AC809" s="604">
        <f t="shared" si="115"/>
        <v>21351.599999999999</v>
      </c>
      <c r="AD809" s="605">
        <f t="shared" si="116"/>
        <v>21351.599999999999</v>
      </c>
      <c r="AE809" s="686">
        <f>IFERROR(VLOOKUP(O809,Preturi_medicamente!D:M,10,0),0)</f>
        <v>0.75</v>
      </c>
      <c r="AF809" s="603">
        <f t="shared" si="117"/>
        <v>810</v>
      </c>
      <c r="AG809" s="604">
        <f t="shared" si="118"/>
        <v>1215</v>
      </c>
      <c r="AH809" s="604">
        <f t="shared" si="119"/>
        <v>1215</v>
      </c>
      <c r="AI809" s="604">
        <f t="shared" si="120"/>
        <v>0</v>
      </c>
      <c r="AJ809" s="605">
        <f t="shared" si="121"/>
        <v>0</v>
      </c>
      <c r="AQ809" s="712"/>
    </row>
    <row r="810" spans="11:43" ht="21">
      <c r="K810" s="712"/>
      <c r="L810" s="502"/>
      <c r="M810" s="502"/>
      <c r="O810" s="714" t="s">
        <v>498</v>
      </c>
      <c r="P810" s="715"/>
      <c r="Q810" s="715"/>
      <c r="R810" s="715"/>
      <c r="S810" s="715"/>
      <c r="T810" s="715"/>
      <c r="U810" s="715"/>
      <c r="V810" s="715"/>
      <c r="W810" s="715"/>
      <c r="X810" s="715"/>
      <c r="Y810" s="685">
        <f>IFERROR(VLOOKUP(O810,Preturi_medicamente!D:M,3,0),0)</f>
        <v>3.51</v>
      </c>
      <c r="Z810" s="603">
        <f t="shared" si="112"/>
        <v>0</v>
      </c>
      <c r="AA810" s="604">
        <f t="shared" si="113"/>
        <v>0</v>
      </c>
      <c r="AB810" s="604">
        <f t="shared" si="114"/>
        <v>0</v>
      </c>
      <c r="AC810" s="604">
        <f t="shared" si="115"/>
        <v>4548.96</v>
      </c>
      <c r="AD810" s="605">
        <f t="shared" si="116"/>
        <v>4548.96</v>
      </c>
      <c r="AE810" s="686">
        <f>IFERROR(VLOOKUP(O810,Preturi_medicamente!D:M,10,0),0)</f>
        <v>0.19900000000000001</v>
      </c>
      <c r="AF810" s="603">
        <f t="shared" si="117"/>
        <v>171.94</v>
      </c>
      <c r="AG810" s="604">
        <f t="shared" si="118"/>
        <v>257.89999999999998</v>
      </c>
      <c r="AH810" s="604">
        <f t="shared" si="119"/>
        <v>257.89999999999998</v>
      </c>
      <c r="AI810" s="604">
        <f t="shared" si="120"/>
        <v>0</v>
      </c>
      <c r="AJ810" s="605">
        <f t="shared" si="121"/>
        <v>0</v>
      </c>
      <c r="AQ810" s="712"/>
    </row>
    <row r="811" spans="11:43" ht="21">
      <c r="K811" s="712"/>
      <c r="L811" s="502"/>
      <c r="M811" s="502"/>
      <c r="O811" s="714" t="s">
        <v>499</v>
      </c>
      <c r="P811" s="715"/>
      <c r="Q811" s="715"/>
      <c r="R811" s="715"/>
      <c r="S811" s="715"/>
      <c r="T811" s="715"/>
      <c r="U811" s="715"/>
      <c r="V811" s="715"/>
      <c r="W811" s="715"/>
      <c r="X811" s="715"/>
      <c r="Y811" s="685">
        <f>IFERROR(VLOOKUP(O811,Preturi_medicamente!D:M,3,0),0)</f>
        <v>1.58</v>
      </c>
      <c r="Z811" s="603">
        <f t="shared" si="112"/>
        <v>0</v>
      </c>
      <c r="AA811" s="604">
        <f t="shared" si="113"/>
        <v>0</v>
      </c>
      <c r="AB811" s="604">
        <f t="shared" si="114"/>
        <v>0</v>
      </c>
      <c r="AC811" s="604">
        <f t="shared" si="115"/>
        <v>2559.6</v>
      </c>
      <c r="AD811" s="605">
        <f t="shared" si="116"/>
        <v>2559.6</v>
      </c>
      <c r="AE811" s="686">
        <f>IFERROR(VLOOKUP(O811,Preturi_medicamente!D:M,10,0),0)</f>
        <v>9.4E-2</v>
      </c>
      <c r="AF811" s="603">
        <f t="shared" si="117"/>
        <v>101.52</v>
      </c>
      <c r="AG811" s="604">
        <f t="shared" si="118"/>
        <v>152.28</v>
      </c>
      <c r="AH811" s="604">
        <f t="shared" si="119"/>
        <v>152.28</v>
      </c>
      <c r="AI811" s="604">
        <f t="shared" si="120"/>
        <v>0</v>
      </c>
      <c r="AJ811" s="605">
        <f t="shared" si="121"/>
        <v>0</v>
      </c>
      <c r="AQ811" s="712"/>
    </row>
    <row r="812" spans="11:43" ht="21">
      <c r="K812" s="712"/>
      <c r="L812" s="502"/>
      <c r="M812" s="502"/>
      <c r="O812" s="714"/>
      <c r="P812" s="715"/>
      <c r="Q812" s="715"/>
      <c r="R812" s="715"/>
      <c r="S812" s="715"/>
      <c r="T812" s="715"/>
      <c r="U812" s="715"/>
      <c r="V812" s="715"/>
      <c r="W812" s="715"/>
      <c r="X812" s="715"/>
      <c r="Y812" s="685">
        <f>IFERROR(VLOOKUP(O812,Preturi_medicamente!D:M,3,0),0)</f>
        <v>0</v>
      </c>
      <c r="Z812" s="603">
        <f t="shared" si="112"/>
        <v>0</v>
      </c>
      <c r="AA812" s="604">
        <f t="shared" si="113"/>
        <v>0</v>
      </c>
      <c r="AB812" s="604">
        <f t="shared" si="114"/>
        <v>0</v>
      </c>
      <c r="AC812" s="604">
        <f t="shared" si="115"/>
        <v>0</v>
      </c>
      <c r="AD812" s="605">
        <f t="shared" si="116"/>
        <v>0</v>
      </c>
      <c r="AE812" s="686">
        <f>IFERROR(VLOOKUP(O812,Preturi_medicamente!D:M,10,0),0)</f>
        <v>0</v>
      </c>
      <c r="AF812" s="603">
        <f t="shared" si="117"/>
        <v>0</v>
      </c>
      <c r="AG812" s="604">
        <f t="shared" si="118"/>
        <v>0</v>
      </c>
      <c r="AH812" s="604">
        <f t="shared" si="119"/>
        <v>0</v>
      </c>
      <c r="AI812" s="604">
        <f t="shared" si="120"/>
        <v>0</v>
      </c>
      <c r="AJ812" s="605">
        <f t="shared" si="121"/>
        <v>0</v>
      </c>
      <c r="AQ812" s="712"/>
    </row>
    <row r="813" spans="11:43" ht="21">
      <c r="K813" s="712"/>
      <c r="L813" s="502"/>
      <c r="M813" s="502"/>
      <c r="O813" s="714"/>
      <c r="P813" s="715"/>
      <c r="Q813" s="715"/>
      <c r="R813" s="715"/>
      <c r="S813" s="715"/>
      <c r="T813" s="715"/>
      <c r="U813" s="715"/>
      <c r="V813" s="715"/>
      <c r="W813" s="715"/>
      <c r="X813" s="715"/>
      <c r="Y813" s="685">
        <f>IFERROR(VLOOKUP(O813,Preturi_medicamente!D:M,3,0),0)</f>
        <v>0</v>
      </c>
      <c r="Z813" s="603">
        <f t="shared" si="112"/>
        <v>0</v>
      </c>
      <c r="AA813" s="604">
        <f t="shared" si="113"/>
        <v>0</v>
      </c>
      <c r="AB813" s="604">
        <f t="shared" si="114"/>
        <v>0</v>
      </c>
      <c r="AC813" s="604">
        <f t="shared" si="115"/>
        <v>0</v>
      </c>
      <c r="AD813" s="605">
        <f t="shared" si="116"/>
        <v>0</v>
      </c>
      <c r="AE813" s="686">
        <f>IFERROR(VLOOKUP(O813,Preturi_medicamente!D:M,10,0),0)</f>
        <v>0</v>
      </c>
      <c r="AF813" s="603">
        <f t="shared" si="117"/>
        <v>0</v>
      </c>
      <c r="AG813" s="604">
        <f t="shared" si="118"/>
        <v>0</v>
      </c>
      <c r="AH813" s="604">
        <f t="shared" si="119"/>
        <v>0</v>
      </c>
      <c r="AI813" s="604">
        <f t="shared" si="120"/>
        <v>0</v>
      </c>
      <c r="AJ813" s="605">
        <f t="shared" si="121"/>
        <v>0</v>
      </c>
      <c r="AQ813" s="712"/>
    </row>
    <row r="814" spans="11:43" ht="21">
      <c r="K814" s="712"/>
      <c r="L814" s="502"/>
      <c r="M814" s="502"/>
      <c r="O814" s="714"/>
      <c r="P814" s="715"/>
      <c r="Q814" s="715"/>
      <c r="R814" s="715"/>
      <c r="S814" s="715"/>
      <c r="T814" s="715"/>
      <c r="U814" s="715"/>
      <c r="V814" s="715"/>
      <c r="W814" s="715"/>
      <c r="X814" s="715"/>
      <c r="Y814" s="685">
        <f>IFERROR(VLOOKUP(O814,Preturi_medicamente!D:M,3,0),0)</f>
        <v>0</v>
      </c>
      <c r="Z814" s="603">
        <f t="shared" si="112"/>
        <v>0</v>
      </c>
      <c r="AA814" s="604">
        <f t="shared" si="113"/>
        <v>0</v>
      </c>
      <c r="AB814" s="604">
        <f t="shared" si="114"/>
        <v>0</v>
      </c>
      <c r="AC814" s="604">
        <f t="shared" si="115"/>
        <v>0</v>
      </c>
      <c r="AD814" s="605">
        <f t="shared" si="116"/>
        <v>0</v>
      </c>
      <c r="AE814" s="686">
        <f>IFERROR(VLOOKUP(O814,Preturi_medicamente!D:M,10,0),0)</f>
        <v>0</v>
      </c>
      <c r="AF814" s="603">
        <f t="shared" si="117"/>
        <v>0</v>
      </c>
      <c r="AG814" s="604">
        <f t="shared" si="118"/>
        <v>0</v>
      </c>
      <c r="AH814" s="604">
        <f t="shared" si="119"/>
        <v>0</v>
      </c>
      <c r="AI814" s="604">
        <f t="shared" si="120"/>
        <v>0</v>
      </c>
      <c r="AJ814" s="605">
        <f t="shared" si="121"/>
        <v>0</v>
      </c>
      <c r="AQ814" s="712"/>
    </row>
    <row r="815" spans="11:43" ht="21">
      <c r="K815" s="712"/>
      <c r="L815" s="502"/>
      <c r="M815" s="502"/>
      <c r="O815" s="714"/>
      <c r="P815" s="715"/>
      <c r="Q815" s="715"/>
      <c r="R815" s="715"/>
      <c r="S815" s="715"/>
      <c r="T815" s="715"/>
      <c r="U815" s="715"/>
      <c r="V815" s="715"/>
      <c r="W815" s="715"/>
      <c r="X815" s="715"/>
      <c r="Y815" s="685">
        <f>IFERROR(VLOOKUP(O815,Preturi_medicamente!D:M,3,0),0)</f>
        <v>0</v>
      </c>
      <c r="Z815" s="603">
        <f t="shared" si="112"/>
        <v>0</v>
      </c>
      <c r="AA815" s="604">
        <f t="shared" si="113"/>
        <v>0</v>
      </c>
      <c r="AB815" s="604">
        <f t="shared" si="114"/>
        <v>0</v>
      </c>
      <c r="AC815" s="604">
        <f t="shared" si="115"/>
        <v>0</v>
      </c>
      <c r="AD815" s="605">
        <f t="shared" si="116"/>
        <v>0</v>
      </c>
      <c r="AE815" s="686">
        <f>IFERROR(VLOOKUP(O815,Preturi_medicamente!D:M,10,0),0)</f>
        <v>0</v>
      </c>
      <c r="AF815" s="603">
        <f t="shared" si="117"/>
        <v>0</v>
      </c>
      <c r="AG815" s="604">
        <f t="shared" si="118"/>
        <v>0</v>
      </c>
      <c r="AH815" s="604">
        <f t="shared" si="119"/>
        <v>0</v>
      </c>
      <c r="AI815" s="604">
        <f t="shared" si="120"/>
        <v>0</v>
      </c>
      <c r="AJ815" s="605">
        <f t="shared" si="121"/>
        <v>0</v>
      </c>
      <c r="AQ815" s="712"/>
    </row>
    <row r="816" spans="11:43" ht="22" thickBot="1">
      <c r="K816" s="712"/>
      <c r="L816" s="502"/>
      <c r="M816" s="502"/>
      <c r="O816" s="595"/>
      <c r="P816" s="596"/>
      <c r="Q816" s="596"/>
      <c r="R816" s="596"/>
      <c r="S816" s="596"/>
      <c r="T816" s="596"/>
      <c r="U816" s="596"/>
      <c r="V816" s="596"/>
      <c r="W816" s="596"/>
      <c r="X816" s="596"/>
      <c r="Y816" s="685">
        <f>IFERROR(VLOOKUP(O816,Preturi_medicamente!D:M,3,0),0)</f>
        <v>0</v>
      </c>
      <c r="Z816" s="606">
        <f t="shared" si="112"/>
        <v>0</v>
      </c>
      <c r="AA816" s="607">
        <f t="shared" si="113"/>
        <v>0</v>
      </c>
      <c r="AB816" s="607">
        <f t="shared" si="114"/>
        <v>0</v>
      </c>
      <c r="AC816" s="607">
        <f t="shared" si="115"/>
        <v>0</v>
      </c>
      <c r="AD816" s="608">
        <f t="shared" si="116"/>
        <v>0</v>
      </c>
      <c r="AE816" s="686">
        <f>IFERROR(VLOOKUP(O816,Preturi_medicamente!D:M,10,0),0)</f>
        <v>0</v>
      </c>
      <c r="AF816" s="606">
        <f t="shared" si="117"/>
        <v>0</v>
      </c>
      <c r="AG816" s="607">
        <f t="shared" si="118"/>
        <v>0</v>
      </c>
      <c r="AH816" s="607">
        <f t="shared" si="119"/>
        <v>0</v>
      </c>
      <c r="AI816" s="607">
        <f t="shared" si="120"/>
        <v>0</v>
      </c>
      <c r="AJ816" s="608">
        <f t="shared" si="121"/>
        <v>0</v>
      </c>
      <c r="AQ816" s="712"/>
    </row>
    <row r="817" spans="1:45" ht="22" thickBot="1">
      <c r="A817" s="730">
        <v>29</v>
      </c>
      <c r="B817" s="733">
        <f>Z817</f>
        <v>0</v>
      </c>
      <c r="C817" s="733">
        <f>AA817</f>
        <v>0</v>
      </c>
      <c r="D817" s="733">
        <f>AB817</f>
        <v>0</v>
      </c>
      <c r="E817" s="733">
        <f>AC817</f>
        <v>152192.51999999999</v>
      </c>
      <c r="F817" s="733">
        <f>AD817</f>
        <v>152192.51999999999</v>
      </c>
      <c r="G817" s="733" t="s">
        <v>513</v>
      </c>
      <c r="H817" s="733" t="s">
        <v>508</v>
      </c>
      <c r="I817" s="733"/>
      <c r="J817" s="841" t="s">
        <v>2936</v>
      </c>
      <c r="K817" s="712"/>
      <c r="L817" s="502"/>
      <c r="M817" s="502"/>
      <c r="O817" s="526"/>
      <c r="P817" s="526"/>
      <c r="Q817" s="526"/>
      <c r="R817" s="526"/>
      <c r="S817"/>
      <c r="T817"/>
      <c r="U817"/>
      <c r="V817"/>
      <c r="W817"/>
      <c r="X817"/>
      <c r="Y817" s="526"/>
      <c r="Z817" s="1738">
        <f>SUM(Z804:Z816)</f>
        <v>0</v>
      </c>
      <c r="AA817" s="1736">
        <f>SUM(AA804:AA816)</f>
        <v>0</v>
      </c>
      <c r="AB817" s="1736">
        <f>SUM(AB804:AB816)</f>
        <v>0</v>
      </c>
      <c r="AC817" s="1736">
        <f>SUM(AC804:AC816)</f>
        <v>152192.51999999999</v>
      </c>
      <c r="AD817" s="1737">
        <f>SUM(AD804:AD816)</f>
        <v>152192.51999999999</v>
      </c>
      <c r="AE817" s="526"/>
      <c r="AF817" s="687">
        <f>SUM(AF804:AF816)</f>
        <v>6875.35</v>
      </c>
      <c r="AG817" s="688">
        <f>SUM(AG804:AG816)</f>
        <v>10313.02</v>
      </c>
      <c r="AH817" s="688">
        <f>SUM(AH804:AH816)</f>
        <v>10313.02</v>
      </c>
      <c r="AI817" s="688">
        <f>SUM(AI804:AI816)</f>
        <v>0</v>
      </c>
      <c r="AJ817" s="689">
        <f>SUM(AJ804:AJ816)</f>
        <v>0</v>
      </c>
      <c r="AQ817" s="712"/>
      <c r="AR817" s="1489">
        <f>SUM(Z817:AD817)</f>
        <v>304385.03999999998</v>
      </c>
    </row>
    <row r="818" spans="1:45" ht="22" thickBot="1">
      <c r="K818" s="712"/>
      <c r="L818" s="502"/>
      <c r="M818" s="502"/>
      <c r="O818" s="526"/>
      <c r="P818" s="526"/>
      <c r="Q818" s="526"/>
      <c r="R818" s="526"/>
      <c r="S818" s="526"/>
      <c r="T818" s="686"/>
      <c r="U818" s="690"/>
      <c r="V818" s="690"/>
      <c r="W818" s="690"/>
      <c r="X818" s="690"/>
      <c r="Y818" s="526"/>
      <c r="Z818" s="526"/>
      <c r="AA818" s="526"/>
      <c r="AB818" s="526"/>
      <c r="AC818" s="526"/>
      <c r="AD818" s="526"/>
      <c r="AE818" s="526"/>
      <c r="AF818" s="526"/>
      <c r="AG818" s="526"/>
      <c r="AH818" s="526"/>
      <c r="AI818" s="526"/>
      <c r="AJ818" s="526"/>
      <c r="AQ818" s="712"/>
    </row>
    <row r="819" spans="1:45" ht="34">
      <c r="K819" s="712"/>
      <c r="L819" s="502"/>
      <c r="M819" s="502"/>
      <c r="O819" s="526"/>
      <c r="P819" s="526"/>
      <c r="Q819" s="526"/>
      <c r="R819" s="526"/>
      <c r="S819" s="526"/>
      <c r="T819" s="686"/>
      <c r="U819" s="690"/>
      <c r="V819" s="690"/>
      <c r="W819" s="690"/>
      <c r="X819" s="690"/>
      <c r="Y819" s="526"/>
      <c r="Z819" s="526"/>
      <c r="AA819" s="526"/>
      <c r="AB819" s="526"/>
      <c r="AC819" s="526"/>
      <c r="AD819" s="526"/>
      <c r="AE819" s="691" t="s">
        <v>485</v>
      </c>
      <c r="AF819" s="692">
        <f>AF817*AE820</f>
        <v>82.504200000000012</v>
      </c>
      <c r="AG819" s="693">
        <f>AG817*AE820</f>
        <v>123.75624000000001</v>
      </c>
      <c r="AH819" s="693">
        <f>AH817*AE820</f>
        <v>123.75624000000001</v>
      </c>
      <c r="AI819" s="693">
        <f>AI817*AE820</f>
        <v>0</v>
      </c>
      <c r="AJ819" s="694">
        <f>AJ817*AE820</f>
        <v>0</v>
      </c>
      <c r="AQ819" s="712"/>
    </row>
    <row r="820" spans="1:45" ht="21">
      <c r="K820" s="712"/>
      <c r="L820" s="502"/>
      <c r="M820" s="502"/>
      <c r="O820" s="526"/>
      <c r="P820" s="526"/>
      <c r="Q820" s="526"/>
      <c r="R820" s="526"/>
      <c r="S820" s="526"/>
      <c r="T820" s="686"/>
      <c r="U820" s="690"/>
      <c r="V820" s="690"/>
      <c r="W820" s="690"/>
      <c r="X820" s="690"/>
      <c r="Y820" s="526"/>
      <c r="Z820" s="526"/>
      <c r="AA820" s="526"/>
      <c r="AB820" s="526"/>
      <c r="AC820" s="526"/>
      <c r="AD820" s="526"/>
      <c r="AE820" s="695">
        <v>1.2E-2</v>
      </c>
      <c r="AF820" s="696"/>
      <c r="AG820" s="552"/>
      <c r="AH820" s="552"/>
      <c r="AI820" s="552"/>
      <c r="AJ820" s="553"/>
      <c r="AQ820" s="712"/>
    </row>
    <row r="821" spans="1:45" ht="21">
      <c r="K821" s="712"/>
      <c r="L821" s="502"/>
      <c r="M821" s="502"/>
      <c r="O821" s="526"/>
      <c r="P821" s="526"/>
      <c r="Q821" s="526"/>
      <c r="R821" s="526"/>
      <c r="S821" s="526"/>
      <c r="T821" s="686"/>
      <c r="U821" s="690"/>
      <c r="V821" s="690"/>
      <c r="W821" s="690"/>
      <c r="X821" s="690"/>
      <c r="Y821" s="526"/>
      <c r="Z821" s="526"/>
      <c r="AA821" s="526"/>
      <c r="AB821" s="526"/>
      <c r="AC821" s="526"/>
      <c r="AD821" s="526"/>
      <c r="AE821" s="691" t="s">
        <v>486</v>
      </c>
      <c r="AF821" s="697">
        <f>AF817*AE822</f>
        <v>357.51819999999998</v>
      </c>
      <c r="AG821" s="698">
        <f>AG817*AE822</f>
        <v>536.27703999999994</v>
      </c>
      <c r="AH821" s="698">
        <f>AH817*AE822</f>
        <v>536.27703999999994</v>
      </c>
      <c r="AI821" s="698">
        <f>AI817*AE822</f>
        <v>0</v>
      </c>
      <c r="AJ821" s="699">
        <f>AJ817*AE822</f>
        <v>0</v>
      </c>
      <c r="AQ821" s="712"/>
    </row>
    <row r="822" spans="1:45" ht="21">
      <c r="K822" s="712"/>
      <c r="L822" s="502"/>
      <c r="M822" s="502"/>
      <c r="O822" s="526"/>
      <c r="P822" s="526"/>
      <c r="Q822" s="526"/>
      <c r="R822" s="526"/>
      <c r="S822" s="526"/>
      <c r="T822" s="686"/>
      <c r="U822" s="690"/>
      <c r="V822" s="690"/>
      <c r="W822" s="690"/>
      <c r="X822" s="690"/>
      <c r="Y822" s="526"/>
      <c r="Z822" s="526"/>
      <c r="AA822" s="526"/>
      <c r="AB822" s="526"/>
      <c r="AC822" s="526"/>
      <c r="AD822" s="526"/>
      <c r="AE822" s="695">
        <v>5.1999999999999998E-2</v>
      </c>
      <c r="AF822" s="696"/>
      <c r="AG822" s="552"/>
      <c r="AH822" s="552"/>
      <c r="AI822" s="552"/>
      <c r="AJ822" s="553"/>
      <c r="AQ822" s="712"/>
    </row>
    <row r="823" spans="1:45" ht="21">
      <c r="K823" s="712"/>
      <c r="L823" s="502"/>
      <c r="M823" s="502"/>
      <c r="O823" s="526"/>
      <c r="P823" s="526"/>
      <c r="Q823" s="526"/>
      <c r="R823" s="526"/>
      <c r="S823" s="526"/>
      <c r="T823" s="686"/>
      <c r="U823" s="690"/>
      <c r="V823" s="690"/>
      <c r="W823" s="690"/>
      <c r="X823" s="690"/>
      <c r="Y823" s="526"/>
      <c r="Z823" s="526"/>
      <c r="AA823" s="526"/>
      <c r="AB823" s="526"/>
      <c r="AC823" s="526"/>
      <c r="AD823" s="526"/>
      <c r="AE823" s="691" t="s">
        <v>487</v>
      </c>
      <c r="AF823" s="697">
        <f>AF817*AE824</f>
        <v>288.7647</v>
      </c>
      <c r="AG823" s="698">
        <f>AG817*AE824</f>
        <v>433.14684000000005</v>
      </c>
      <c r="AH823" s="698">
        <f>AH817*AE824</f>
        <v>433.14684000000005</v>
      </c>
      <c r="AI823" s="698">
        <f>AI817*AE824</f>
        <v>0</v>
      </c>
      <c r="AJ823" s="699">
        <f>AJ817*AE824</f>
        <v>0</v>
      </c>
      <c r="AQ823" s="712"/>
    </row>
    <row r="824" spans="1:45" ht="21">
      <c r="K824" s="712"/>
      <c r="L824" s="502"/>
      <c r="M824" s="502"/>
      <c r="O824" s="526"/>
      <c r="P824" s="526"/>
      <c r="Q824" s="526"/>
      <c r="R824" s="526"/>
      <c r="S824" s="526"/>
      <c r="T824" s="686"/>
      <c r="U824" s="690"/>
      <c r="V824" s="690"/>
      <c r="W824" s="690"/>
      <c r="X824" s="690"/>
      <c r="Y824" s="526"/>
      <c r="Z824" s="526"/>
      <c r="AA824" s="526"/>
      <c r="AB824" s="526"/>
      <c r="AC824" s="526"/>
      <c r="AD824" s="526"/>
      <c r="AE824" s="695">
        <v>4.2000000000000003E-2</v>
      </c>
      <c r="AF824" s="696"/>
      <c r="AG824" s="552"/>
      <c r="AH824" s="552"/>
      <c r="AI824" s="552"/>
      <c r="AJ824" s="553"/>
      <c r="AQ824" s="712"/>
    </row>
    <row r="825" spans="1:45" ht="22" thickBot="1">
      <c r="K825" s="712"/>
      <c r="L825" s="502"/>
      <c r="M825" s="502"/>
      <c r="O825" s="526"/>
      <c r="P825" s="526"/>
      <c r="Q825" s="526"/>
      <c r="R825" s="526"/>
      <c r="S825" s="526"/>
      <c r="T825" s="686"/>
      <c r="U825" s="690"/>
      <c r="V825" s="690"/>
      <c r="W825" s="690"/>
      <c r="X825" s="690"/>
      <c r="Y825" s="526"/>
      <c r="Z825" s="526"/>
      <c r="AA825" s="526"/>
      <c r="AB825" s="526"/>
      <c r="AC825" s="526"/>
      <c r="AD825" s="526"/>
      <c r="AE825" s="526"/>
      <c r="AF825" s="687">
        <f>SUM(AF819:AF824)</f>
        <v>728.78710000000001</v>
      </c>
      <c r="AG825" s="688">
        <f>SUM(AG819:AG824)</f>
        <v>1093.18012</v>
      </c>
      <c r="AH825" s="688">
        <f>SUM(AH819:AH824)</f>
        <v>1093.18012</v>
      </c>
      <c r="AI825" s="688">
        <f>SUM(AI819:AI824)</f>
        <v>0</v>
      </c>
      <c r="AJ825" s="689">
        <f>SUM(AJ819:AJ824)</f>
        <v>0</v>
      </c>
      <c r="AQ825" s="712"/>
    </row>
    <row r="826" spans="1:45" ht="22" thickBot="1">
      <c r="K826" s="712"/>
      <c r="L826" s="502"/>
      <c r="M826" s="502"/>
      <c r="O826" s="526"/>
      <c r="P826" s="526"/>
      <c r="Q826" s="526"/>
      <c r="R826" s="526"/>
      <c r="S826" s="526"/>
      <c r="T826" s="686"/>
      <c r="U826" s="690"/>
      <c r="V826" s="690"/>
      <c r="W826" s="690"/>
      <c r="X826" s="690"/>
      <c r="Y826" s="526"/>
      <c r="Z826" s="526"/>
      <c r="AA826" s="526"/>
      <c r="AB826" s="526"/>
      <c r="AC826" s="526"/>
      <c r="AD826" s="526"/>
      <c r="AE826" s="526"/>
      <c r="AF826" s="526"/>
      <c r="AG826" s="526"/>
      <c r="AH826" s="526"/>
      <c r="AI826" s="526"/>
      <c r="AJ826" s="526"/>
      <c r="AQ826" s="712"/>
    </row>
    <row r="827" spans="1:45" ht="22" thickBot="1">
      <c r="K827" s="712"/>
      <c r="L827" s="502"/>
      <c r="M827" s="502"/>
      <c r="O827" s="526"/>
      <c r="P827" s="526"/>
      <c r="Q827" s="526"/>
      <c r="R827" s="526"/>
      <c r="S827" s="526"/>
      <c r="T827" s="686"/>
      <c r="U827" s="690"/>
      <c r="V827" s="690"/>
      <c r="W827" s="690"/>
      <c r="X827" s="690"/>
      <c r="Y827" s="526"/>
      <c r="Z827" s="526"/>
      <c r="AA827" s="526"/>
      <c r="AB827" s="526"/>
      <c r="AC827" s="526"/>
      <c r="AD827" s="526"/>
      <c r="AE827" s="526" t="s">
        <v>488</v>
      </c>
      <c r="AF827" s="700">
        <f>AF817+AF825</f>
        <v>7604.1370999999999</v>
      </c>
      <c r="AG827" s="701">
        <f>AG817+AG825</f>
        <v>11406.200120000001</v>
      </c>
      <c r="AH827" s="701">
        <f>AH817+AH825</f>
        <v>11406.200120000001</v>
      </c>
      <c r="AI827" s="701">
        <f>AI817+AI825</f>
        <v>0</v>
      </c>
      <c r="AJ827" s="702">
        <f>AJ817+AJ825</f>
        <v>0</v>
      </c>
      <c r="AK827" s="483">
        <f>SUM(AF827:AJ827)</f>
        <v>30416.537340000003</v>
      </c>
      <c r="AQ827" s="712"/>
    </row>
    <row r="828" spans="1:45" ht="22" thickBot="1">
      <c r="A828" s="730">
        <v>30</v>
      </c>
      <c r="B828" s="733">
        <f>AF828</f>
        <v>133596.400337561</v>
      </c>
      <c r="C828" s="733">
        <f>AG828</f>
        <v>200394.50335026922</v>
      </c>
      <c r="D828" s="733">
        <f>AH828</f>
        <v>200394.50335026922</v>
      </c>
      <c r="E828" s="733">
        <f>AI828</f>
        <v>0</v>
      </c>
      <c r="F828" s="733">
        <f>AJ828</f>
        <v>0</v>
      </c>
      <c r="G828" s="733" t="s">
        <v>351</v>
      </c>
      <c r="H828" s="733" t="s">
        <v>508</v>
      </c>
      <c r="I828" s="733"/>
      <c r="J828" s="841" t="s">
        <v>2936</v>
      </c>
      <c r="K828" s="712"/>
      <c r="L828" s="502"/>
      <c r="M828" s="502"/>
      <c r="O828" s="526"/>
      <c r="P828" s="526"/>
      <c r="Q828" s="526"/>
      <c r="R828" s="526"/>
      <c r="S828" s="526"/>
      <c r="T828" s="686"/>
      <c r="U828" s="690"/>
      <c r="V828" s="690"/>
      <c r="W828" s="690"/>
      <c r="X828" s="690"/>
      <c r="Y828" s="526"/>
      <c r="Z828" s="526"/>
      <c r="AA828" s="526"/>
      <c r="AB828" s="526"/>
      <c r="AC828" s="526"/>
      <c r="AD828" s="526"/>
      <c r="AE828" s="526" t="s">
        <v>489</v>
      </c>
      <c r="AF828" s="1738">
        <f>AF827*USD</f>
        <v>133596.400337561</v>
      </c>
      <c r="AG828" s="1736">
        <f>AG827*USD</f>
        <v>200394.50335026922</v>
      </c>
      <c r="AH828" s="1736">
        <f>AH827*USD</f>
        <v>200394.50335026922</v>
      </c>
      <c r="AI828" s="1736">
        <f>AI827*USD</f>
        <v>0</v>
      </c>
      <c r="AJ828" s="1737">
        <f>AJ827*USD</f>
        <v>0</v>
      </c>
      <c r="AK828" s="2231">
        <f>SUM(AF828:AJ828)</f>
        <v>534385.40703809937</v>
      </c>
      <c r="AQ828" s="712"/>
      <c r="AR828" s="1489">
        <f>SUM(AF828:AJ828)</f>
        <v>534385.40703809937</v>
      </c>
      <c r="AS828" s="2216">
        <f>AR828/EUR</f>
        <v>27230.241753880269</v>
      </c>
    </row>
    <row r="829" spans="1:45" ht="21">
      <c r="K829" s="712"/>
      <c r="L829" s="502"/>
      <c r="M829" s="502"/>
      <c r="O829" s="526"/>
      <c r="P829" s="526"/>
      <c r="Q829" s="526"/>
      <c r="R829" s="526"/>
      <c r="S829" s="526"/>
      <c r="T829" s="686"/>
      <c r="U829" s="690"/>
      <c r="V829" s="690"/>
      <c r="W829" s="690"/>
      <c r="X829" s="690"/>
      <c r="Y829" s="526"/>
      <c r="Z829" s="526"/>
      <c r="AA829" s="526"/>
      <c r="AB829" s="526"/>
      <c r="AC829" s="526"/>
      <c r="AD829" s="526"/>
      <c r="AE829" s="526"/>
      <c r="AF829" s="703"/>
      <c r="AG829" s="704"/>
      <c r="AH829" s="704"/>
      <c r="AI829" s="704"/>
      <c r="AJ829" s="704"/>
      <c r="AQ829" s="712"/>
    </row>
    <row r="830" spans="1:45" ht="12" customHeight="1">
      <c r="K830" s="712"/>
      <c r="L830" s="705"/>
      <c r="M830" s="705"/>
      <c r="N830" s="712"/>
      <c r="O830" s="706"/>
      <c r="P830" s="706"/>
      <c r="Q830" s="706"/>
      <c r="R830" s="706"/>
      <c r="S830" s="706"/>
      <c r="T830" s="717"/>
      <c r="U830" s="717"/>
      <c r="V830" s="717"/>
      <c r="W830" s="717"/>
      <c r="X830" s="717"/>
      <c r="Y830" s="706"/>
      <c r="Z830" s="706"/>
      <c r="AA830" s="706"/>
      <c r="AB830" s="706"/>
      <c r="AC830" s="706"/>
      <c r="AD830" s="706"/>
      <c r="AE830" s="706"/>
      <c r="AF830" s="718"/>
      <c r="AG830" s="718"/>
      <c r="AH830" s="718"/>
      <c r="AI830" s="718"/>
      <c r="AJ830" s="718"/>
      <c r="AK830" s="712"/>
      <c r="AL830" s="712"/>
      <c r="AM830" s="712"/>
      <c r="AN830" s="712"/>
      <c r="AO830" s="712"/>
      <c r="AP830" s="712"/>
      <c r="AQ830" s="712"/>
    </row>
    <row r="831" spans="1:45">
      <c r="K831" s="712"/>
      <c r="AQ831" s="712"/>
    </row>
    <row r="832" spans="1:45" ht="21">
      <c r="K832" s="712"/>
      <c r="L832" s="501" t="s">
        <v>1817</v>
      </c>
      <c r="M832" s="499" t="s">
        <v>1818</v>
      </c>
      <c r="AQ832" s="712"/>
    </row>
    <row r="833" spans="11:43" ht="21">
      <c r="K833" s="712"/>
      <c r="L833" s="501"/>
      <c r="M833" s="499"/>
      <c r="AQ833" s="712"/>
    </row>
    <row r="834" spans="11:43" ht="21">
      <c r="K834" s="712"/>
      <c r="L834" s="501" t="s">
        <v>1820</v>
      </c>
      <c r="M834" s="499" t="s">
        <v>1819</v>
      </c>
      <c r="AQ834" s="712"/>
    </row>
    <row r="835" spans="11:43" ht="22" thickBot="1">
      <c r="K835" s="712"/>
      <c r="L835" s="502"/>
      <c r="M835" s="502"/>
      <c r="O835" s="526"/>
      <c r="P835" s="526"/>
      <c r="Q835" s="526"/>
      <c r="R835" s="526"/>
      <c r="S835" s="526"/>
      <c r="T835" s="526"/>
      <c r="U835" s="526"/>
      <c r="V835" s="526"/>
      <c r="W835" s="526"/>
      <c r="X835" s="526"/>
      <c r="AQ835" s="712"/>
    </row>
    <row r="836" spans="11:43" ht="22" thickBot="1">
      <c r="K836" s="712"/>
      <c r="L836" s="502"/>
      <c r="M836" s="502"/>
      <c r="N836" s="508" t="s">
        <v>354</v>
      </c>
      <c r="O836" s="526"/>
      <c r="P836" s="526"/>
      <c r="Q836" s="558"/>
      <c r="R836" s="558"/>
      <c r="S836" s="526"/>
      <c r="T836" s="559">
        <v>2021</v>
      </c>
      <c r="U836" s="560">
        <v>2022</v>
      </c>
      <c r="V836" s="560">
        <v>2023</v>
      </c>
      <c r="W836" s="560">
        <v>2024</v>
      </c>
      <c r="X836" s="561">
        <v>2025</v>
      </c>
      <c r="AQ836" s="712"/>
    </row>
    <row r="837" spans="11:43" ht="22" thickBot="1">
      <c r="K837" s="712"/>
      <c r="L837" s="502"/>
      <c r="M837" s="502"/>
      <c r="O837" s="526" t="s">
        <v>308</v>
      </c>
      <c r="P837" s="526"/>
      <c r="Q837" s="526"/>
      <c r="R837" s="562" t="s">
        <v>93</v>
      </c>
      <c r="S837" s="562" t="s">
        <v>310</v>
      </c>
      <c r="T837" s="563">
        <f>T23</f>
        <v>166</v>
      </c>
      <c r="U837" s="563">
        <f>U23</f>
        <v>161</v>
      </c>
      <c r="V837" s="563">
        <f>V23</f>
        <v>157</v>
      </c>
      <c r="W837" s="563">
        <f>W23</f>
        <v>153</v>
      </c>
      <c r="X837" s="563">
        <f>X23</f>
        <v>149</v>
      </c>
      <c r="Y837"/>
      <c r="Z837"/>
      <c r="AA837"/>
      <c r="AB837"/>
      <c r="AC837"/>
      <c r="AD837"/>
      <c r="AQ837" s="712"/>
    </row>
    <row r="838" spans="11:43" ht="22" thickBot="1">
      <c r="K838" s="712"/>
      <c r="L838" s="502"/>
      <c r="M838" s="502"/>
      <c r="O838" s="564">
        <v>1</v>
      </c>
      <c r="P838" s="565">
        <v>1</v>
      </c>
      <c r="Q838" s="566">
        <v>1</v>
      </c>
      <c r="R838" s="567" t="s">
        <v>1821</v>
      </c>
      <c r="S838" s="567" t="s">
        <v>1822</v>
      </c>
      <c r="T838" s="569">
        <f>T$837*$O838*$P838*$Q838</f>
        <v>166</v>
      </c>
      <c r="U838" s="569">
        <f>U$837*$O838*$P838*$Q838</f>
        <v>161</v>
      </c>
      <c r="V838" s="569">
        <f>V$837*$O838*$P838*$Q838</f>
        <v>157</v>
      </c>
      <c r="W838" s="569">
        <f>W$837*$O838*$P838*$Q838</f>
        <v>153</v>
      </c>
      <c r="X838" s="569">
        <f>X$837*$O838*$P838*$Q838</f>
        <v>149</v>
      </c>
      <c r="Y838"/>
      <c r="Z838"/>
      <c r="AA838"/>
      <c r="AB838"/>
      <c r="AC838"/>
      <c r="AD838"/>
      <c r="AQ838" s="712"/>
    </row>
    <row r="839" spans="11:43" ht="22" thickBot="1">
      <c r="K839" s="712"/>
      <c r="L839" s="502"/>
      <c r="M839" s="502"/>
      <c r="O839" s="825"/>
      <c r="P839" s="826"/>
      <c r="Q839" s="826"/>
      <c r="R839" s="827"/>
      <c r="S839" s="828"/>
      <c r="T839" s="1482">
        <f>TB_HIV_RB_Co_tr</f>
        <v>6.7193523515805695E-2</v>
      </c>
      <c r="U839" s="1482">
        <f>TB_HIV_RB_Co_tr</f>
        <v>6.7193523515805695E-2</v>
      </c>
      <c r="V839" s="1482">
        <f>TB_HIV_RB_Co_tr</f>
        <v>6.7193523515805695E-2</v>
      </c>
      <c r="W839" s="1482">
        <f>TB_HIV_RB_Co_tr</f>
        <v>6.7193523515805695E-2</v>
      </c>
      <c r="X839" s="1482">
        <f>TB_HIV_RB_Co_tr</f>
        <v>6.7193523515805695E-2</v>
      </c>
      <c r="Y839"/>
      <c r="Z839"/>
      <c r="AA839"/>
      <c r="AB839"/>
      <c r="AC839"/>
      <c r="AD839"/>
      <c r="AQ839" s="712"/>
    </row>
    <row r="840" spans="11:43" ht="22" thickBot="1">
      <c r="K840" s="712"/>
      <c r="L840" s="502"/>
      <c r="M840" s="502"/>
      <c r="O840" s="526"/>
      <c r="P840" s="526"/>
      <c r="Q840" s="526"/>
      <c r="R840" s="526"/>
      <c r="S840" s="526" t="s">
        <v>94</v>
      </c>
      <c r="T840" s="1483">
        <f>ROUND(T838*T839,0)</f>
        <v>11</v>
      </c>
      <c r="U840" s="1484">
        <f>ROUND(U838*U839,0)</f>
        <v>11</v>
      </c>
      <c r="V840" s="1484">
        <f>ROUND(V838*V839,0)</f>
        <v>11</v>
      </c>
      <c r="W840" s="1484">
        <f>ROUND(W838*W839,0)</f>
        <v>10</v>
      </c>
      <c r="X840" s="1485">
        <f>ROUND(X838*X839,0)</f>
        <v>10</v>
      </c>
      <c r="Y840"/>
      <c r="Z840"/>
      <c r="AA840"/>
      <c r="AB840"/>
      <c r="AC840"/>
      <c r="AD840"/>
      <c r="AQ840" s="712"/>
    </row>
    <row r="841" spans="11:43" ht="21">
      <c r="K841" s="712"/>
      <c r="L841" s="502"/>
      <c r="M841" s="502"/>
      <c r="O841" s="526"/>
      <c r="P841" s="526"/>
      <c r="Q841" s="526"/>
      <c r="R841" s="526"/>
      <c r="S841" s="526"/>
      <c r="T841" s="526"/>
      <c r="U841" s="526"/>
      <c r="V841" s="526"/>
      <c r="W841" s="526"/>
      <c r="X841" s="526"/>
      <c r="Y841"/>
      <c r="Z841"/>
      <c r="AA841"/>
      <c r="AB841"/>
      <c r="AC841"/>
      <c r="AD841"/>
      <c r="AQ841" s="712"/>
    </row>
    <row r="842" spans="11:43" ht="22" thickBot="1">
      <c r="K842" s="712"/>
      <c r="L842" s="502"/>
      <c r="M842" s="502"/>
      <c r="N842" s="442" t="s">
        <v>355</v>
      </c>
      <c r="O842" s="526"/>
      <c r="P842" s="526"/>
      <c r="Q842" s="526"/>
      <c r="R842" s="526"/>
      <c r="S842" s="526"/>
      <c r="T842" s="571">
        <v>3</v>
      </c>
      <c r="U842" s="571">
        <v>4</v>
      </c>
      <c r="V842" s="571">
        <v>5</v>
      </c>
      <c r="W842" s="571">
        <v>6</v>
      </c>
      <c r="X842" s="571">
        <v>7</v>
      </c>
      <c r="Y842"/>
      <c r="Z842"/>
      <c r="AA842"/>
      <c r="AB842"/>
      <c r="AC842"/>
      <c r="AD842"/>
      <c r="AQ842" s="712"/>
    </row>
    <row r="843" spans="11:43" ht="35" thickBot="1">
      <c r="K843" s="712"/>
      <c r="L843" s="502"/>
      <c r="M843" s="502"/>
      <c r="N843" s="509" t="s">
        <v>330</v>
      </c>
      <c r="O843" s="572" t="s">
        <v>312</v>
      </c>
      <c r="P843" s="573" t="s">
        <v>328</v>
      </c>
      <c r="Q843" s="573" t="s">
        <v>327</v>
      </c>
      <c r="R843" s="573" t="s">
        <v>329</v>
      </c>
      <c r="S843" s="573" t="s">
        <v>97</v>
      </c>
      <c r="T843" s="559">
        <v>2021</v>
      </c>
      <c r="U843" s="560">
        <v>2022</v>
      </c>
      <c r="V843" s="560">
        <v>2023</v>
      </c>
      <c r="W843" s="560">
        <v>2024</v>
      </c>
      <c r="X843" s="561">
        <v>2025</v>
      </c>
      <c r="Y843"/>
      <c r="Z843"/>
      <c r="AA843"/>
      <c r="AB843"/>
      <c r="AC843"/>
      <c r="AD843"/>
      <c r="AQ843" s="712"/>
    </row>
    <row r="844" spans="11:43" ht="21">
      <c r="K844" s="712"/>
      <c r="L844" s="502"/>
      <c r="M844" s="502"/>
      <c r="N844" s="829" t="s">
        <v>1821</v>
      </c>
      <c r="O844" s="831" t="s">
        <v>319</v>
      </c>
      <c r="P844" s="830">
        <v>2</v>
      </c>
      <c r="Q844" s="830">
        <v>30</v>
      </c>
      <c r="R844" s="830">
        <v>9</v>
      </c>
      <c r="S844" s="830">
        <f>P844*Q844*R844</f>
        <v>540</v>
      </c>
      <c r="T844" s="534">
        <f t="shared" ref="T844:X847" si="122">VLOOKUP($N844,Poly_MD,T$842,0)*$S844</f>
        <v>89640</v>
      </c>
      <c r="U844" s="534">
        <f t="shared" si="122"/>
        <v>86940</v>
      </c>
      <c r="V844" s="534">
        <f t="shared" si="122"/>
        <v>84780</v>
      </c>
      <c r="W844" s="534">
        <f t="shared" si="122"/>
        <v>82620</v>
      </c>
      <c r="X844" s="549">
        <f t="shared" si="122"/>
        <v>80460</v>
      </c>
      <c r="Y844"/>
      <c r="Z844"/>
      <c r="AA844"/>
      <c r="AB844"/>
      <c r="AC844"/>
      <c r="AD844"/>
      <c r="AQ844" s="712"/>
    </row>
    <row r="845" spans="11:43" ht="21">
      <c r="K845" s="712"/>
      <c r="L845" s="502"/>
      <c r="M845" s="502"/>
      <c r="N845" s="510" t="s">
        <v>1821</v>
      </c>
      <c r="O845" s="636" t="s">
        <v>314</v>
      </c>
      <c r="P845" s="579">
        <v>4</v>
      </c>
      <c r="Q845" s="579">
        <v>30</v>
      </c>
      <c r="R845" s="579">
        <v>9</v>
      </c>
      <c r="S845" s="575">
        <f>P845*Q845*R845</f>
        <v>1080</v>
      </c>
      <c r="T845" s="576">
        <f>VLOOKUP($N845,Poly_MD,T$842,0)*$S845</f>
        <v>179280</v>
      </c>
      <c r="U845" s="576">
        <f t="shared" si="122"/>
        <v>173880</v>
      </c>
      <c r="V845" s="576">
        <f t="shared" si="122"/>
        <v>169560</v>
      </c>
      <c r="W845" s="576">
        <f t="shared" si="122"/>
        <v>165240</v>
      </c>
      <c r="X845" s="577">
        <f t="shared" si="122"/>
        <v>160920</v>
      </c>
      <c r="Y845"/>
      <c r="Z845"/>
      <c r="AA845"/>
      <c r="AB845"/>
      <c r="AC845"/>
      <c r="AD845"/>
      <c r="AQ845" s="712"/>
    </row>
    <row r="846" spans="11:43" ht="21">
      <c r="K846" s="712"/>
      <c r="L846" s="502"/>
      <c r="M846" s="502"/>
      <c r="N846" s="511" t="s">
        <v>1821</v>
      </c>
      <c r="O846" s="636" t="s">
        <v>313</v>
      </c>
      <c r="P846" s="579">
        <v>3</v>
      </c>
      <c r="Q846" s="579">
        <v>30</v>
      </c>
      <c r="R846" s="579">
        <v>9</v>
      </c>
      <c r="S846" s="579">
        <f>P846*Q846*R846</f>
        <v>810</v>
      </c>
      <c r="T846" s="576">
        <f t="shared" si="122"/>
        <v>134460</v>
      </c>
      <c r="U846" s="576">
        <f t="shared" si="122"/>
        <v>130410</v>
      </c>
      <c r="V846" s="576">
        <f t="shared" si="122"/>
        <v>127170</v>
      </c>
      <c r="W846" s="576">
        <f t="shared" si="122"/>
        <v>123930</v>
      </c>
      <c r="X846" s="577">
        <f t="shared" si="122"/>
        <v>120690</v>
      </c>
      <c r="Y846"/>
      <c r="Z846"/>
      <c r="AA846"/>
      <c r="AB846"/>
      <c r="AC846"/>
      <c r="AD846"/>
      <c r="AQ846" s="712"/>
    </row>
    <row r="847" spans="11:43" ht="22" thickBot="1">
      <c r="K847" s="712"/>
      <c r="L847" s="502"/>
      <c r="M847" s="502"/>
      <c r="N847" s="512" t="s">
        <v>1821</v>
      </c>
      <c r="O847" s="640" t="s">
        <v>469</v>
      </c>
      <c r="P847" s="581">
        <v>4</v>
      </c>
      <c r="Q847" s="581">
        <v>30</v>
      </c>
      <c r="R847" s="581">
        <v>9</v>
      </c>
      <c r="S847" s="581">
        <f>P847*Q847*R847</f>
        <v>1080</v>
      </c>
      <c r="T847" s="582">
        <f t="shared" si="122"/>
        <v>179280</v>
      </c>
      <c r="U847" s="582">
        <f t="shared" si="122"/>
        <v>173880</v>
      </c>
      <c r="V847" s="582">
        <f t="shared" si="122"/>
        <v>169560</v>
      </c>
      <c r="W847" s="582">
        <f t="shared" si="122"/>
        <v>165240</v>
      </c>
      <c r="X847" s="583">
        <f t="shared" si="122"/>
        <v>160920</v>
      </c>
      <c r="Y847"/>
      <c r="Z847"/>
      <c r="AA847"/>
      <c r="AB847"/>
      <c r="AC847"/>
      <c r="AD847"/>
      <c r="AQ847" s="712"/>
    </row>
    <row r="848" spans="11:43" ht="22" thickBot="1">
      <c r="K848" s="712"/>
      <c r="L848" s="502"/>
      <c r="M848" s="502"/>
      <c r="N848" s="1438" t="s">
        <v>2402</v>
      </c>
      <c r="O848" s="1443" t="s">
        <v>2403</v>
      </c>
      <c r="P848" s="1387">
        <v>2</v>
      </c>
      <c r="Q848" s="1387">
        <v>30</v>
      </c>
      <c r="R848" s="1387">
        <v>6</v>
      </c>
      <c r="S848" s="1387">
        <f>P848*Q848*R848</f>
        <v>360</v>
      </c>
      <c r="T848" s="582">
        <f>T840*$S848</f>
        <v>3960</v>
      </c>
      <c r="U848" s="582">
        <f>U840*$S848</f>
        <v>3960</v>
      </c>
      <c r="V848" s="582">
        <f>V840*$S848</f>
        <v>3960</v>
      </c>
      <c r="W848" s="582">
        <f>W840*$S848</f>
        <v>3600</v>
      </c>
      <c r="X848" s="582">
        <f>X840*$S848</f>
        <v>3600</v>
      </c>
      <c r="Y848"/>
      <c r="Z848"/>
      <c r="AA848"/>
      <c r="AB848"/>
      <c r="AC848"/>
      <c r="AD848"/>
      <c r="AQ848" s="712"/>
    </row>
    <row r="849" spans="1:44" ht="22" thickBot="1">
      <c r="A849" s="730">
        <v>31</v>
      </c>
      <c r="B849" s="733">
        <f>T849</f>
        <v>1980</v>
      </c>
      <c r="C849" s="733">
        <f>U849</f>
        <v>1980</v>
      </c>
      <c r="D849" s="733">
        <f>V849</f>
        <v>1980</v>
      </c>
      <c r="E849" s="733">
        <f>W849</f>
        <v>1800</v>
      </c>
      <c r="F849" s="733">
        <f>X849</f>
        <v>1800</v>
      </c>
      <c r="G849" s="733" t="s">
        <v>349</v>
      </c>
      <c r="H849" s="733" t="s">
        <v>2413</v>
      </c>
      <c r="I849" s="733"/>
      <c r="J849" s="841" t="s">
        <v>2950</v>
      </c>
      <c r="K849" s="712"/>
      <c r="L849" s="502"/>
      <c r="M849" s="502"/>
      <c r="N849" s="442" t="s">
        <v>2411</v>
      </c>
      <c r="O849" s="1443" t="s">
        <v>2403</v>
      </c>
      <c r="P849" s="526"/>
      <c r="Q849" s="526"/>
      <c r="R849" s="526"/>
      <c r="S849" s="591">
        <f>VLOOKUP(O849,Preturi_medicamente!D:F,3,0)</f>
        <v>0.5</v>
      </c>
      <c r="T849" s="1738">
        <f>ROUND(T848*$S849,2)</f>
        <v>1980</v>
      </c>
      <c r="U849" s="1736">
        <f>ROUND(U848*$S849,2)</f>
        <v>1980</v>
      </c>
      <c r="V849" s="1736">
        <f>ROUND(V848*$S849,2)</f>
        <v>1980</v>
      </c>
      <c r="W849" s="1736">
        <f>ROUND(W848*$S849,2)</f>
        <v>1800</v>
      </c>
      <c r="X849" s="1737">
        <f>ROUND(X848*$S849,2)</f>
        <v>1800</v>
      </c>
      <c r="Y849"/>
      <c r="Z849"/>
      <c r="AA849"/>
      <c r="AB849"/>
      <c r="AC849"/>
      <c r="AD849"/>
      <c r="AQ849" s="712"/>
      <c r="AR849" s="1487">
        <f>SUM(T849:X849)</f>
        <v>9540</v>
      </c>
    </row>
    <row r="850" spans="1:44" ht="22" thickBot="1">
      <c r="K850" s="712"/>
      <c r="L850" s="502"/>
      <c r="M850" s="502"/>
      <c r="Y850"/>
      <c r="Z850"/>
      <c r="AA850"/>
      <c r="AB850"/>
      <c r="AC850"/>
      <c r="AD850"/>
      <c r="AQ850" s="712"/>
    </row>
    <row r="851" spans="1:44" ht="22" thickBot="1">
      <c r="K851" s="712"/>
      <c r="L851" s="502"/>
      <c r="M851" s="502"/>
      <c r="N851" s="508" t="s">
        <v>335</v>
      </c>
      <c r="O851" s="526"/>
      <c r="P851" s="526"/>
      <c r="Q851" s="526"/>
      <c r="R851" s="526"/>
      <c r="S851" s="526"/>
      <c r="T851" s="530" t="s">
        <v>333</v>
      </c>
      <c r="U851" s="528"/>
      <c r="V851" s="528"/>
      <c r="W851" s="528"/>
      <c r="X851" s="529"/>
      <c r="Y851"/>
      <c r="Z851"/>
      <c r="AA851"/>
      <c r="AB851"/>
      <c r="AC851"/>
      <c r="AD851"/>
      <c r="AQ851" s="712"/>
    </row>
    <row r="852" spans="1:44" ht="22" thickBot="1">
      <c r="K852" s="712"/>
      <c r="L852" s="502"/>
      <c r="M852" s="502"/>
      <c r="O852" s="526"/>
      <c r="P852" s="526"/>
      <c r="Q852" s="526"/>
      <c r="R852" s="526"/>
      <c r="S852" s="526"/>
      <c r="T852" s="584">
        <v>2021</v>
      </c>
      <c r="U852" s="585">
        <v>2022</v>
      </c>
      <c r="V852" s="585">
        <v>2023</v>
      </c>
      <c r="W852" s="585">
        <v>2024</v>
      </c>
      <c r="X852" s="586">
        <v>2025</v>
      </c>
      <c r="Y852"/>
      <c r="Z852"/>
      <c r="AA852"/>
      <c r="AB852"/>
      <c r="AC852"/>
      <c r="AD852"/>
      <c r="AQ852" s="712"/>
    </row>
    <row r="853" spans="1:44" ht="21">
      <c r="K853" s="712"/>
      <c r="L853" s="502"/>
      <c r="M853" s="502"/>
      <c r="O853" s="530" t="s">
        <v>319</v>
      </c>
      <c r="P853" s="528"/>
      <c r="Q853" s="528"/>
      <c r="R853" s="528"/>
      <c r="S853" s="528"/>
      <c r="T853" s="587">
        <f t="shared" ref="T853:X860" si="123">SUMIF($O$844:$O$847,$O853,T$844:T$847)</f>
        <v>89640</v>
      </c>
      <c r="U853" s="588">
        <f t="shared" si="123"/>
        <v>86940</v>
      </c>
      <c r="V853" s="588">
        <f t="shared" si="123"/>
        <v>84780</v>
      </c>
      <c r="W853" s="588">
        <f t="shared" si="123"/>
        <v>82620</v>
      </c>
      <c r="X853" s="589">
        <f t="shared" si="123"/>
        <v>80460</v>
      </c>
      <c r="Y853"/>
      <c r="Z853"/>
      <c r="AA853"/>
      <c r="AB853"/>
      <c r="AC853"/>
      <c r="AD853"/>
      <c r="AQ853" s="712"/>
    </row>
    <row r="854" spans="1:44" ht="21">
      <c r="K854" s="712"/>
      <c r="L854" s="502"/>
      <c r="M854" s="502"/>
      <c r="O854" s="590" t="s">
        <v>314</v>
      </c>
      <c r="P854" s="591"/>
      <c r="Q854" s="591"/>
      <c r="R854" s="591"/>
      <c r="S854" s="591"/>
      <c r="T854" s="592">
        <f t="shared" si="123"/>
        <v>179280</v>
      </c>
      <c r="U854" s="593">
        <f t="shared" si="123"/>
        <v>173880</v>
      </c>
      <c r="V854" s="593">
        <f t="shared" si="123"/>
        <v>169560</v>
      </c>
      <c r="W854" s="593">
        <f t="shared" si="123"/>
        <v>165240</v>
      </c>
      <c r="X854" s="594">
        <f t="shared" si="123"/>
        <v>160920</v>
      </c>
      <c r="Y854"/>
      <c r="Z854"/>
      <c r="AA854"/>
      <c r="AB854"/>
      <c r="AC854"/>
      <c r="AD854"/>
      <c r="AQ854" s="712"/>
    </row>
    <row r="855" spans="1:44" ht="21">
      <c r="K855" s="712"/>
      <c r="L855" s="502"/>
      <c r="M855" s="502"/>
      <c r="O855" s="590" t="s">
        <v>313</v>
      </c>
      <c r="P855" s="591"/>
      <c r="Q855" s="591"/>
      <c r="R855" s="591"/>
      <c r="S855" s="591"/>
      <c r="T855" s="592">
        <f t="shared" si="123"/>
        <v>134460</v>
      </c>
      <c r="U855" s="593">
        <f t="shared" si="123"/>
        <v>130410</v>
      </c>
      <c r="V855" s="593">
        <f t="shared" si="123"/>
        <v>127170</v>
      </c>
      <c r="W855" s="593">
        <f t="shared" si="123"/>
        <v>123930</v>
      </c>
      <c r="X855" s="594">
        <f t="shared" si="123"/>
        <v>120690</v>
      </c>
      <c r="Y855"/>
      <c r="Z855"/>
      <c r="AA855"/>
      <c r="AB855"/>
      <c r="AC855"/>
      <c r="AD855"/>
      <c r="AQ855" s="712"/>
    </row>
    <row r="856" spans="1:44" ht="21">
      <c r="K856" s="712"/>
      <c r="L856" s="502"/>
      <c r="M856" s="502"/>
      <c r="O856" s="574" t="s">
        <v>469</v>
      </c>
      <c r="P856" s="591"/>
      <c r="Q856" s="591"/>
      <c r="R856" s="591"/>
      <c r="S856" s="591"/>
      <c r="T856" s="592">
        <f t="shared" si="123"/>
        <v>179280</v>
      </c>
      <c r="U856" s="593">
        <f t="shared" si="123"/>
        <v>173880</v>
      </c>
      <c r="V856" s="593">
        <f t="shared" si="123"/>
        <v>169560</v>
      </c>
      <c r="W856" s="593">
        <f t="shared" si="123"/>
        <v>165240</v>
      </c>
      <c r="X856" s="594">
        <f t="shared" si="123"/>
        <v>160920</v>
      </c>
      <c r="Y856"/>
      <c r="Z856"/>
      <c r="AA856"/>
      <c r="AB856"/>
      <c r="AC856"/>
      <c r="AD856"/>
      <c r="AQ856" s="712"/>
    </row>
    <row r="857" spans="1:44" ht="21">
      <c r="K857" s="712"/>
      <c r="L857" s="502"/>
      <c r="M857" s="502"/>
      <c r="O857" s="574"/>
      <c r="P857" s="591"/>
      <c r="Q857" s="591"/>
      <c r="R857" s="591"/>
      <c r="S857" s="591"/>
      <c r="T857" s="592">
        <f t="shared" si="123"/>
        <v>0</v>
      </c>
      <c r="U857" s="593">
        <f t="shared" si="123"/>
        <v>0</v>
      </c>
      <c r="V857" s="593">
        <f t="shared" si="123"/>
        <v>0</v>
      </c>
      <c r="W857" s="593">
        <f t="shared" si="123"/>
        <v>0</v>
      </c>
      <c r="X857" s="594">
        <f t="shared" si="123"/>
        <v>0</v>
      </c>
      <c r="Y857"/>
      <c r="Z857"/>
      <c r="AA857"/>
      <c r="AB857"/>
      <c r="AC857"/>
      <c r="AD857"/>
      <c r="AQ857" s="712"/>
    </row>
    <row r="858" spans="1:44" ht="21">
      <c r="K858" s="712"/>
      <c r="L858" s="502"/>
      <c r="M858" s="502"/>
      <c r="O858" s="574"/>
      <c r="P858" s="591"/>
      <c r="Q858" s="591"/>
      <c r="R858" s="591"/>
      <c r="S858" s="591"/>
      <c r="T858" s="592">
        <f t="shared" si="123"/>
        <v>0</v>
      </c>
      <c r="U858" s="593">
        <f t="shared" si="123"/>
        <v>0</v>
      </c>
      <c r="V858" s="593">
        <f t="shared" si="123"/>
        <v>0</v>
      </c>
      <c r="W858" s="593">
        <f t="shared" si="123"/>
        <v>0</v>
      </c>
      <c r="X858" s="594">
        <f t="shared" si="123"/>
        <v>0</v>
      </c>
      <c r="AQ858" s="712"/>
    </row>
    <row r="859" spans="1:44" ht="21">
      <c r="K859" s="712"/>
      <c r="L859" s="502"/>
      <c r="M859" s="502"/>
      <c r="O859" s="574"/>
      <c r="P859" s="591"/>
      <c r="Q859" s="591"/>
      <c r="R859" s="591"/>
      <c r="S859" s="591"/>
      <c r="T859" s="592">
        <f t="shared" si="123"/>
        <v>0</v>
      </c>
      <c r="U859" s="593">
        <f t="shared" si="123"/>
        <v>0</v>
      </c>
      <c r="V859" s="593">
        <f t="shared" si="123"/>
        <v>0</v>
      </c>
      <c r="W859" s="593">
        <f t="shared" si="123"/>
        <v>0</v>
      </c>
      <c r="X859" s="594">
        <f t="shared" si="123"/>
        <v>0</v>
      </c>
      <c r="AQ859" s="712"/>
    </row>
    <row r="860" spans="1:44" ht="22" thickBot="1">
      <c r="K860" s="712"/>
      <c r="L860" s="502"/>
      <c r="M860" s="502"/>
      <c r="O860" s="595"/>
      <c r="P860" s="596"/>
      <c r="Q860" s="596"/>
      <c r="R860" s="596"/>
      <c r="S860" s="596"/>
      <c r="T860" s="597">
        <f t="shared" si="123"/>
        <v>0</v>
      </c>
      <c r="U860" s="598">
        <f t="shared" si="123"/>
        <v>0</v>
      </c>
      <c r="V860" s="598">
        <f t="shared" si="123"/>
        <v>0</v>
      </c>
      <c r="W860" s="598">
        <f t="shared" si="123"/>
        <v>0</v>
      </c>
      <c r="X860" s="599">
        <f t="shared" si="123"/>
        <v>0</v>
      </c>
      <c r="AQ860" s="712"/>
    </row>
    <row r="861" spans="1:44" ht="22" thickBot="1">
      <c r="K861" s="712"/>
      <c r="L861" s="502"/>
      <c r="M861" s="502"/>
      <c r="O861" s="526"/>
      <c r="P861" s="526"/>
      <c r="Q861" s="526"/>
      <c r="R861" s="526"/>
      <c r="S861" s="526"/>
      <c r="T861" s="526"/>
      <c r="U861" s="526"/>
      <c r="V861" s="526"/>
      <c r="W861" s="526"/>
      <c r="X861" s="526"/>
      <c r="AQ861" s="712"/>
    </row>
    <row r="862" spans="1:44" ht="22" thickBot="1">
      <c r="K862" s="712"/>
      <c r="L862" s="502"/>
      <c r="M862" s="502"/>
      <c r="O862" s="526"/>
      <c r="P862" s="526"/>
      <c r="Q862" s="526"/>
      <c r="R862" s="526"/>
      <c r="S862" s="526"/>
      <c r="T862" s="530" t="s">
        <v>334</v>
      </c>
      <c r="U862" s="528"/>
      <c r="V862" s="528"/>
      <c r="W862" s="528"/>
      <c r="X862" s="529"/>
      <c r="AQ862" s="712"/>
    </row>
    <row r="863" spans="1:44" ht="22" thickBot="1">
      <c r="K863" s="712"/>
      <c r="L863" s="502"/>
      <c r="M863" s="502"/>
      <c r="O863" s="526"/>
      <c r="P863" s="526"/>
      <c r="Q863" s="526"/>
      <c r="R863" s="526"/>
      <c r="S863" s="526" t="s">
        <v>332</v>
      </c>
      <c r="T863" s="584">
        <v>2021</v>
      </c>
      <c r="U863" s="585">
        <v>2022</v>
      </c>
      <c r="V863" s="585">
        <v>2023</v>
      </c>
      <c r="W863" s="585">
        <v>2024</v>
      </c>
      <c r="X863" s="586">
        <v>2025</v>
      </c>
      <c r="AQ863" s="712"/>
    </row>
    <row r="864" spans="1:44" ht="21">
      <c r="K864" s="712"/>
      <c r="L864" s="502"/>
      <c r="M864" s="502"/>
      <c r="O864" s="530" t="s">
        <v>319</v>
      </c>
      <c r="P864" s="528"/>
      <c r="Q864" s="528"/>
      <c r="R864" s="528"/>
      <c r="S864" s="528">
        <f>IFERROR(VLOOKUP(O864,Preturi_medicamente!D:F,3,0),0)</f>
        <v>2.0499999999999998</v>
      </c>
      <c r="T864" s="600">
        <f t="shared" ref="T864:X871" si="124">ROUND(T853*$S864,2)</f>
        <v>183762</v>
      </c>
      <c r="U864" s="601">
        <f t="shared" si="124"/>
        <v>178227</v>
      </c>
      <c r="V864" s="601">
        <f t="shared" si="124"/>
        <v>173799</v>
      </c>
      <c r="W864" s="601">
        <f t="shared" si="124"/>
        <v>169371</v>
      </c>
      <c r="X864" s="602">
        <f t="shared" si="124"/>
        <v>164943</v>
      </c>
      <c r="AQ864" s="712"/>
    </row>
    <row r="865" spans="1:44" ht="21">
      <c r="K865" s="712"/>
      <c r="L865" s="502"/>
      <c r="M865" s="502"/>
      <c r="O865" s="574" t="s">
        <v>314</v>
      </c>
      <c r="P865" s="591"/>
      <c r="Q865" s="591"/>
      <c r="R865" s="591"/>
      <c r="S865" s="591">
        <f>IFERROR(VLOOKUP(O865,Preturi_medicamente!D:F,3,0),0)</f>
        <v>0.5</v>
      </c>
      <c r="T865" s="603">
        <f t="shared" si="124"/>
        <v>89640</v>
      </c>
      <c r="U865" s="604">
        <f t="shared" si="124"/>
        <v>86940</v>
      </c>
      <c r="V865" s="604">
        <f t="shared" si="124"/>
        <v>84780</v>
      </c>
      <c r="W865" s="604">
        <f t="shared" si="124"/>
        <v>82620</v>
      </c>
      <c r="X865" s="605">
        <f t="shared" si="124"/>
        <v>80460</v>
      </c>
      <c r="AQ865" s="712"/>
    </row>
    <row r="866" spans="1:44" ht="21">
      <c r="K866" s="712"/>
      <c r="L866" s="502"/>
      <c r="M866" s="502"/>
      <c r="O866" s="574" t="s">
        <v>313</v>
      </c>
      <c r="P866" s="591"/>
      <c r="Q866" s="591"/>
      <c r="R866" s="591"/>
      <c r="S866" s="591">
        <f>IFERROR(VLOOKUP(O866,Preturi_medicamente!D:F,3,0),0)</f>
        <v>1</v>
      </c>
      <c r="T866" s="603">
        <f>ROUND(T855*$S866,2)</f>
        <v>134460</v>
      </c>
      <c r="U866" s="604">
        <f t="shared" si="124"/>
        <v>130410</v>
      </c>
      <c r="V866" s="604">
        <f t="shared" si="124"/>
        <v>127170</v>
      </c>
      <c r="W866" s="604">
        <f t="shared" si="124"/>
        <v>123930</v>
      </c>
      <c r="X866" s="605">
        <f t="shared" si="124"/>
        <v>120690</v>
      </c>
      <c r="AQ866" s="712"/>
    </row>
    <row r="867" spans="1:44" ht="21">
      <c r="K867" s="712"/>
      <c r="L867" s="502"/>
      <c r="M867" s="502"/>
      <c r="O867" s="574" t="s">
        <v>469</v>
      </c>
      <c r="P867" s="591"/>
      <c r="Q867" s="591"/>
      <c r="R867" s="591"/>
      <c r="S867" s="591">
        <f>IFERROR(VLOOKUP(O867,Preturi_medicamente!D:F,3,0),0)</f>
        <v>0.71</v>
      </c>
      <c r="T867" s="603">
        <f t="shared" si="124"/>
        <v>127288.8</v>
      </c>
      <c r="U867" s="604">
        <f t="shared" si="124"/>
        <v>123454.8</v>
      </c>
      <c r="V867" s="604">
        <f t="shared" si="124"/>
        <v>120387.6</v>
      </c>
      <c r="W867" s="604">
        <f t="shared" si="124"/>
        <v>117320.4</v>
      </c>
      <c r="X867" s="605">
        <f t="shared" si="124"/>
        <v>114253.2</v>
      </c>
      <c r="AQ867" s="712"/>
    </row>
    <row r="868" spans="1:44" ht="21">
      <c r="K868" s="712"/>
      <c r="L868" s="502"/>
      <c r="M868" s="502"/>
      <c r="O868" s="574"/>
      <c r="P868" s="591"/>
      <c r="Q868" s="591"/>
      <c r="R868" s="591"/>
      <c r="S868" s="591">
        <f>IFERROR(VLOOKUP(O868,Preturi_medicamente!D:F,3,0),0)</f>
        <v>0</v>
      </c>
      <c r="T868" s="603">
        <f t="shared" si="124"/>
        <v>0</v>
      </c>
      <c r="U868" s="604">
        <f t="shared" si="124"/>
        <v>0</v>
      </c>
      <c r="V868" s="604">
        <f t="shared" si="124"/>
        <v>0</v>
      </c>
      <c r="W868" s="604">
        <f t="shared" si="124"/>
        <v>0</v>
      </c>
      <c r="X868" s="605">
        <f t="shared" si="124"/>
        <v>0</v>
      </c>
      <c r="AQ868" s="712"/>
    </row>
    <row r="869" spans="1:44" ht="21">
      <c r="K869" s="712"/>
      <c r="L869" s="502"/>
      <c r="M869" s="502"/>
      <c r="O869" s="574"/>
      <c r="P869" s="591"/>
      <c r="Q869" s="591"/>
      <c r="R869" s="591"/>
      <c r="S869" s="591">
        <f>IFERROR(VLOOKUP(O869,Preturi_medicamente!D:F,3,0),0)</f>
        <v>0</v>
      </c>
      <c r="T869" s="603">
        <f t="shared" si="124"/>
        <v>0</v>
      </c>
      <c r="U869" s="604">
        <f t="shared" si="124"/>
        <v>0</v>
      </c>
      <c r="V869" s="604">
        <f t="shared" si="124"/>
        <v>0</v>
      </c>
      <c r="W869" s="604">
        <f t="shared" si="124"/>
        <v>0</v>
      </c>
      <c r="X869" s="605">
        <f t="shared" si="124"/>
        <v>0</v>
      </c>
      <c r="AQ869" s="712"/>
    </row>
    <row r="870" spans="1:44" ht="21">
      <c r="K870" s="712"/>
      <c r="L870" s="502"/>
      <c r="M870" s="502"/>
      <c r="O870" s="574"/>
      <c r="P870" s="591"/>
      <c r="Q870" s="591"/>
      <c r="R870" s="591"/>
      <c r="S870" s="591">
        <f>IFERROR(VLOOKUP(O870,Preturi_medicamente!D:F,3,0),0)</f>
        <v>0</v>
      </c>
      <c r="T870" s="603">
        <f t="shared" si="124"/>
        <v>0</v>
      </c>
      <c r="U870" s="604">
        <f t="shared" si="124"/>
        <v>0</v>
      </c>
      <c r="V870" s="604">
        <f t="shared" si="124"/>
        <v>0</v>
      </c>
      <c r="W870" s="604">
        <f t="shared" si="124"/>
        <v>0</v>
      </c>
      <c r="X870" s="605">
        <f t="shared" si="124"/>
        <v>0</v>
      </c>
      <c r="AQ870" s="712"/>
    </row>
    <row r="871" spans="1:44" ht="22" thickBot="1">
      <c r="K871" s="712"/>
      <c r="L871" s="502"/>
      <c r="M871" s="502"/>
      <c r="O871" s="595"/>
      <c r="P871" s="596"/>
      <c r="Q871" s="596"/>
      <c r="R871" s="596"/>
      <c r="S871" s="596">
        <f>IFERROR(VLOOKUP(O871,Preturi_medicamente!D:F,3,0),0)</f>
        <v>0</v>
      </c>
      <c r="T871" s="606">
        <f t="shared" si="124"/>
        <v>0</v>
      </c>
      <c r="U871" s="607">
        <f t="shared" si="124"/>
        <v>0</v>
      </c>
      <c r="V871" s="607">
        <f t="shared" si="124"/>
        <v>0</v>
      </c>
      <c r="W871" s="607">
        <f t="shared" si="124"/>
        <v>0</v>
      </c>
      <c r="X871" s="608">
        <f t="shared" si="124"/>
        <v>0</v>
      </c>
      <c r="AQ871" s="712"/>
    </row>
    <row r="872" spans="1:44" ht="22" thickBot="1">
      <c r="A872" s="730">
        <v>32</v>
      </c>
      <c r="B872" s="733">
        <f>T872</f>
        <v>535150.80000000005</v>
      </c>
      <c r="C872" s="733">
        <f>U872</f>
        <v>519031.8</v>
      </c>
      <c r="D872" s="733">
        <f>V872</f>
        <v>506136.6</v>
      </c>
      <c r="E872" s="733">
        <f>W872</f>
        <v>493241.4</v>
      </c>
      <c r="F872" s="733">
        <f>X872</f>
        <v>480346.2</v>
      </c>
      <c r="G872" s="733" t="s">
        <v>349</v>
      </c>
      <c r="H872" s="733" t="s">
        <v>1819</v>
      </c>
      <c r="I872" s="733"/>
      <c r="J872" s="841" t="s">
        <v>2934</v>
      </c>
      <c r="K872" s="712"/>
      <c r="L872" s="502"/>
      <c r="M872" s="502"/>
      <c r="O872" s="526"/>
      <c r="P872" s="526"/>
      <c r="Q872" s="526"/>
      <c r="R872" s="526"/>
      <c r="S872" s="526"/>
      <c r="T872" s="1738">
        <f>SUM(T864:T871)</f>
        <v>535150.80000000005</v>
      </c>
      <c r="U872" s="1736">
        <f>SUM(U864:U871)</f>
        <v>519031.8</v>
      </c>
      <c r="V872" s="1736">
        <f>SUM(V864:V871)</f>
        <v>506136.6</v>
      </c>
      <c r="W872" s="1736">
        <f>SUM(W864:W871)</f>
        <v>493241.4</v>
      </c>
      <c r="X872" s="1737">
        <f>SUM(X864:X871)</f>
        <v>480346.2</v>
      </c>
      <c r="AQ872" s="712"/>
      <c r="AR872" s="1487">
        <f>SUM(T872:X872)</f>
        <v>2533906.8000000003</v>
      </c>
    </row>
    <row r="873" spans="1:44" ht="21">
      <c r="K873" s="712"/>
      <c r="L873" s="502"/>
      <c r="M873" s="502"/>
      <c r="O873" s="526"/>
      <c r="P873" s="526"/>
      <c r="Q873" s="526"/>
      <c r="R873" s="526"/>
      <c r="S873" s="526"/>
      <c r="T873" s="526"/>
      <c r="U873" s="526"/>
      <c r="V873" s="526"/>
      <c r="W873" s="526"/>
      <c r="X873" s="526"/>
      <c r="AQ873" s="712"/>
    </row>
    <row r="874" spans="1:44" ht="21">
      <c r="K874" s="712"/>
      <c r="L874" s="502"/>
      <c r="M874" s="502"/>
      <c r="O874" s="526"/>
      <c r="P874" s="526"/>
      <c r="Q874" s="526"/>
      <c r="R874" s="526"/>
      <c r="S874" s="526"/>
      <c r="T874" s="526"/>
      <c r="U874" s="526"/>
      <c r="V874" s="526"/>
      <c r="W874" s="526"/>
      <c r="X874" s="526"/>
      <c r="AQ874" s="712"/>
    </row>
    <row r="875" spans="1:44" ht="21">
      <c r="K875" s="712"/>
      <c r="L875" s="502"/>
      <c r="M875" s="502"/>
      <c r="O875" s="558"/>
      <c r="P875" s="558"/>
      <c r="Q875" s="526"/>
      <c r="R875" s="526"/>
      <c r="S875" s="526"/>
      <c r="T875" s="526"/>
      <c r="U875" s="526"/>
      <c r="V875" s="526"/>
      <c r="W875" s="526"/>
      <c r="X875" s="526"/>
      <c r="AQ875" s="712"/>
    </row>
    <row r="876" spans="1:44" ht="21">
      <c r="K876" s="712"/>
      <c r="L876" s="501" t="s">
        <v>1823</v>
      </c>
      <c r="M876" s="499" t="s">
        <v>1824</v>
      </c>
      <c r="AQ876" s="712"/>
    </row>
    <row r="877" spans="1:44" ht="22" thickBot="1">
      <c r="K877" s="712"/>
      <c r="L877" s="502"/>
      <c r="M877" s="502"/>
      <c r="O877" s="526"/>
      <c r="P877" s="526"/>
      <c r="Q877" s="526"/>
      <c r="R877" s="526"/>
      <c r="S877" s="526"/>
      <c r="T877" s="526"/>
      <c r="U877" s="526"/>
      <c r="V877" s="526"/>
      <c r="W877" s="526"/>
      <c r="X877" s="526"/>
      <c r="AQ877" s="712"/>
    </row>
    <row r="878" spans="1:44" ht="22" thickBot="1">
      <c r="K878" s="712"/>
      <c r="L878" s="502"/>
      <c r="M878" s="502"/>
      <c r="N878" s="508" t="s">
        <v>354</v>
      </c>
      <c r="O878" s="526"/>
      <c r="P878" s="526"/>
      <c r="Q878" s="558"/>
      <c r="R878" s="558"/>
      <c r="S878" s="526"/>
      <c r="T878" s="559">
        <v>2021</v>
      </c>
      <c r="U878" s="560">
        <v>2022</v>
      </c>
      <c r="V878" s="560">
        <v>2023</v>
      </c>
      <c r="W878" s="560">
        <v>2024</v>
      </c>
      <c r="X878" s="561">
        <v>2025</v>
      </c>
      <c r="AQ878" s="712"/>
    </row>
    <row r="879" spans="1:44" ht="22" thickBot="1">
      <c r="K879" s="712"/>
      <c r="L879" s="502"/>
      <c r="M879" s="502"/>
      <c r="O879" s="526" t="s">
        <v>308</v>
      </c>
      <c r="P879" s="526"/>
      <c r="Q879" s="526"/>
      <c r="R879" s="562" t="s">
        <v>93</v>
      </c>
      <c r="S879" s="562" t="s">
        <v>310</v>
      </c>
      <c r="T879" s="563">
        <f>T41</f>
        <v>34</v>
      </c>
      <c r="U879" s="563">
        <f>U41</f>
        <v>34</v>
      </c>
      <c r="V879" s="563">
        <f>V41</f>
        <v>33</v>
      </c>
      <c r="W879" s="563">
        <f>W41</f>
        <v>34</v>
      </c>
      <c r="X879" s="563">
        <f>X41</f>
        <v>34</v>
      </c>
      <c r="AQ879" s="712"/>
    </row>
    <row r="880" spans="1:44" ht="22" thickBot="1">
      <c r="K880" s="712"/>
      <c r="L880" s="502"/>
      <c r="M880" s="502"/>
      <c r="O880" s="564">
        <v>1</v>
      </c>
      <c r="P880" s="565">
        <v>1</v>
      </c>
      <c r="Q880" s="566">
        <v>1</v>
      </c>
      <c r="R880" s="567" t="s">
        <v>1821</v>
      </c>
      <c r="S880" s="567" t="s">
        <v>1822</v>
      </c>
      <c r="T880" s="569">
        <f>T$879*$O880*$P880*$Q880</f>
        <v>34</v>
      </c>
      <c r="U880" s="569">
        <f>U$879*$O880*$P880*$Q880</f>
        <v>34</v>
      </c>
      <c r="V880" s="569">
        <f>V$879*$O880*$P880*$Q880</f>
        <v>33</v>
      </c>
      <c r="W880" s="569">
        <f>W$879*$O880*$P880*$Q880</f>
        <v>34</v>
      </c>
      <c r="X880" s="569">
        <f>X$879*$O880*$P880*$Q880</f>
        <v>34</v>
      </c>
      <c r="AQ880" s="712"/>
    </row>
    <row r="881" spans="1:44" ht="22" thickBot="1">
      <c r="K881" s="712"/>
      <c r="L881" s="502"/>
      <c r="M881" s="502"/>
      <c r="O881" s="825"/>
      <c r="P881" s="826"/>
      <c r="Q881" s="826"/>
      <c r="R881" s="827"/>
      <c r="S881" s="828"/>
      <c r="T881" s="1482">
        <f>TB_HIV_RB_Co_tr</f>
        <v>6.7193523515805695E-2</v>
      </c>
      <c r="U881" s="1482">
        <f>TB_HIV_RB_Co_tr</f>
        <v>6.7193523515805695E-2</v>
      </c>
      <c r="V881" s="1482">
        <f>TB_HIV_RB_Co_tr</f>
        <v>6.7193523515805695E-2</v>
      </c>
      <c r="W881" s="1482">
        <f>TB_HIV_RB_Co_tr</f>
        <v>6.7193523515805695E-2</v>
      </c>
      <c r="X881" s="1482">
        <f>TB_HIV_RB_Co_tr</f>
        <v>6.7193523515805695E-2</v>
      </c>
      <c r="AQ881" s="712"/>
    </row>
    <row r="882" spans="1:44" ht="22" thickBot="1">
      <c r="K882" s="712"/>
      <c r="L882" s="502"/>
      <c r="M882" s="502"/>
      <c r="O882" s="526"/>
      <c r="P882" s="526"/>
      <c r="Q882" s="526"/>
      <c r="R882" s="526"/>
      <c r="S882" s="526" t="s">
        <v>94</v>
      </c>
      <c r="T882" s="1483">
        <f>ROUND(T880*T881,0)</f>
        <v>2</v>
      </c>
      <c r="U882" s="1484">
        <f>ROUND(U880*U881,0)</f>
        <v>2</v>
      </c>
      <c r="V882" s="1484">
        <f>ROUND(V880*V881,0)</f>
        <v>2</v>
      </c>
      <c r="W882" s="1484">
        <f>ROUND(W880*W881,0)</f>
        <v>2</v>
      </c>
      <c r="X882" s="1485">
        <f>ROUND(X880*X881,0)</f>
        <v>2</v>
      </c>
      <c r="AQ882" s="712"/>
    </row>
    <row r="883" spans="1:44" ht="21">
      <c r="K883" s="712"/>
      <c r="L883" s="502"/>
      <c r="M883" s="502"/>
      <c r="O883" s="526"/>
      <c r="P883" s="526"/>
      <c r="Q883" s="526"/>
      <c r="R883" s="526"/>
      <c r="S883" s="526"/>
      <c r="T883" s="526"/>
      <c r="U883" s="526"/>
      <c r="V883" s="526"/>
      <c r="W883" s="526"/>
      <c r="X883" s="526"/>
      <c r="AQ883" s="712"/>
    </row>
    <row r="884" spans="1:44" ht="22" thickBot="1">
      <c r="K884" s="712"/>
      <c r="L884" s="502"/>
      <c r="M884" s="502"/>
      <c r="N884" s="442" t="s">
        <v>355</v>
      </c>
      <c r="O884" s="526"/>
      <c r="P884" s="526"/>
      <c r="Q884" s="526"/>
      <c r="R884" s="526"/>
      <c r="S884" s="526"/>
      <c r="T884" s="571">
        <v>3</v>
      </c>
      <c r="U884" s="571">
        <v>4</v>
      </c>
      <c r="V884" s="571">
        <v>5</v>
      </c>
      <c r="W884" s="571">
        <v>6</v>
      </c>
      <c r="X884" s="571">
        <v>7</v>
      </c>
      <c r="AQ884" s="712"/>
    </row>
    <row r="885" spans="1:44" ht="35" thickBot="1">
      <c r="K885" s="712"/>
      <c r="L885" s="502"/>
      <c r="M885" s="502"/>
      <c r="N885" s="509" t="s">
        <v>330</v>
      </c>
      <c r="O885" s="572" t="s">
        <v>312</v>
      </c>
      <c r="P885" s="573" t="s">
        <v>328</v>
      </c>
      <c r="Q885" s="573" t="s">
        <v>327</v>
      </c>
      <c r="R885" s="573" t="s">
        <v>329</v>
      </c>
      <c r="S885" s="573" t="s">
        <v>97</v>
      </c>
      <c r="T885" s="559">
        <v>2021</v>
      </c>
      <c r="U885" s="560">
        <v>2022</v>
      </c>
      <c r="V885" s="560">
        <v>2023</v>
      </c>
      <c r="W885" s="560">
        <v>2024</v>
      </c>
      <c r="X885" s="561">
        <v>2025</v>
      </c>
      <c r="AQ885" s="712"/>
    </row>
    <row r="886" spans="1:44" ht="21">
      <c r="K886" s="712"/>
      <c r="L886" s="502"/>
      <c r="M886" s="502"/>
      <c r="N886" s="829" t="s">
        <v>1821</v>
      </c>
      <c r="O886" s="831" t="s">
        <v>319</v>
      </c>
      <c r="P886" s="830">
        <v>2</v>
      </c>
      <c r="Q886" s="830">
        <v>30</v>
      </c>
      <c r="R886" s="830">
        <v>9</v>
      </c>
      <c r="S886" s="830">
        <f>P886*Q886*R886</f>
        <v>540</v>
      </c>
      <c r="T886" s="534">
        <f t="shared" ref="T886:X889" si="125">VLOOKUP($N886,Poly_MS,T$842,0)*$S886</f>
        <v>18360</v>
      </c>
      <c r="U886" s="534">
        <f t="shared" si="125"/>
        <v>18360</v>
      </c>
      <c r="V886" s="534">
        <f t="shared" si="125"/>
        <v>17820</v>
      </c>
      <c r="W886" s="534">
        <f t="shared" si="125"/>
        <v>18360</v>
      </c>
      <c r="X886" s="534">
        <f t="shared" si="125"/>
        <v>18360</v>
      </c>
      <c r="AQ886" s="712"/>
    </row>
    <row r="887" spans="1:44" ht="21">
      <c r="K887" s="712"/>
      <c r="L887" s="502"/>
      <c r="M887" s="502"/>
      <c r="N887" s="510" t="s">
        <v>1821</v>
      </c>
      <c r="O887" s="636" t="s">
        <v>314</v>
      </c>
      <c r="P887" s="579">
        <v>4</v>
      </c>
      <c r="Q887" s="579">
        <v>30</v>
      </c>
      <c r="R887" s="579">
        <v>9</v>
      </c>
      <c r="S887" s="575">
        <f>P887*Q887*R887</f>
        <v>1080</v>
      </c>
      <c r="T887" s="576">
        <f t="shared" si="125"/>
        <v>36720</v>
      </c>
      <c r="U887" s="576">
        <f t="shared" si="125"/>
        <v>36720</v>
      </c>
      <c r="V887" s="576">
        <f t="shared" si="125"/>
        <v>35640</v>
      </c>
      <c r="W887" s="576">
        <f t="shared" si="125"/>
        <v>36720</v>
      </c>
      <c r="X887" s="577">
        <f t="shared" si="125"/>
        <v>36720</v>
      </c>
      <c r="AQ887" s="712"/>
    </row>
    <row r="888" spans="1:44" ht="21">
      <c r="K888" s="712"/>
      <c r="L888" s="502"/>
      <c r="M888" s="502"/>
      <c r="N888" s="511" t="s">
        <v>1821</v>
      </c>
      <c r="O888" s="636" t="s">
        <v>313</v>
      </c>
      <c r="P888" s="579">
        <v>3</v>
      </c>
      <c r="Q888" s="579">
        <v>30</v>
      </c>
      <c r="R888" s="579">
        <v>9</v>
      </c>
      <c r="S888" s="579">
        <f>P888*Q888*R888</f>
        <v>810</v>
      </c>
      <c r="T888" s="576">
        <f t="shared" si="125"/>
        <v>27540</v>
      </c>
      <c r="U888" s="576">
        <f t="shared" si="125"/>
        <v>27540</v>
      </c>
      <c r="V888" s="576">
        <f t="shared" si="125"/>
        <v>26730</v>
      </c>
      <c r="W888" s="576">
        <f t="shared" si="125"/>
        <v>27540</v>
      </c>
      <c r="X888" s="577">
        <f t="shared" si="125"/>
        <v>27540</v>
      </c>
      <c r="AQ888" s="712"/>
    </row>
    <row r="889" spans="1:44" ht="22" thickBot="1">
      <c r="K889" s="712"/>
      <c r="L889" s="502"/>
      <c r="M889" s="502"/>
      <c r="N889" s="512" t="s">
        <v>1821</v>
      </c>
      <c r="O889" s="640" t="s">
        <v>469</v>
      </c>
      <c r="P889" s="581">
        <v>4</v>
      </c>
      <c r="Q889" s="581">
        <v>30</v>
      </c>
      <c r="R889" s="581">
        <v>9</v>
      </c>
      <c r="S889" s="581">
        <f>P889*Q889*R889</f>
        <v>1080</v>
      </c>
      <c r="T889" s="582">
        <f t="shared" si="125"/>
        <v>36720</v>
      </c>
      <c r="U889" s="582">
        <f t="shared" si="125"/>
        <v>36720</v>
      </c>
      <c r="V889" s="582">
        <f t="shared" si="125"/>
        <v>35640</v>
      </c>
      <c r="W889" s="582">
        <f t="shared" si="125"/>
        <v>36720</v>
      </c>
      <c r="X889" s="583">
        <f t="shared" si="125"/>
        <v>36720</v>
      </c>
      <c r="AQ889" s="712"/>
    </row>
    <row r="890" spans="1:44" ht="22" thickBot="1">
      <c r="K890" s="712"/>
      <c r="L890" s="502"/>
      <c r="M890" s="502"/>
      <c r="N890" s="1438" t="s">
        <v>2402</v>
      </c>
      <c r="O890" s="1443" t="s">
        <v>2403</v>
      </c>
      <c r="P890" s="1387">
        <v>2</v>
      </c>
      <c r="Q890" s="1387">
        <v>30</v>
      </c>
      <c r="R890" s="1387">
        <v>6</v>
      </c>
      <c r="S890" s="1387">
        <f>P890*Q890*R890</f>
        <v>360</v>
      </c>
      <c r="T890" s="582">
        <f>T882*$S890</f>
        <v>720</v>
      </c>
      <c r="U890" s="582">
        <f>U882*$S890</f>
        <v>720</v>
      </c>
      <c r="V890" s="582">
        <f>V882*$S890</f>
        <v>720</v>
      </c>
      <c r="W890" s="582">
        <f>W882*$S890</f>
        <v>720</v>
      </c>
      <c r="X890" s="582">
        <f>X882*$S890</f>
        <v>720</v>
      </c>
      <c r="AQ890" s="712"/>
    </row>
    <row r="891" spans="1:44" ht="22" thickBot="1">
      <c r="A891" s="730">
        <v>33</v>
      </c>
      <c r="B891" s="733">
        <f>T891</f>
        <v>360</v>
      </c>
      <c r="C891" s="733">
        <f>U891</f>
        <v>360</v>
      </c>
      <c r="D891" s="733">
        <f>V891</f>
        <v>360</v>
      </c>
      <c r="E891" s="733">
        <f>W891</f>
        <v>360</v>
      </c>
      <c r="F891" s="733">
        <f>X891</f>
        <v>360</v>
      </c>
      <c r="G891" s="733" t="s">
        <v>349</v>
      </c>
      <c r="H891" s="733" t="s">
        <v>2412</v>
      </c>
      <c r="I891" s="733"/>
      <c r="J891" s="841" t="s">
        <v>2950</v>
      </c>
      <c r="K891" s="712"/>
      <c r="L891" s="502"/>
      <c r="M891" s="502"/>
      <c r="N891" s="442" t="s">
        <v>2411</v>
      </c>
      <c r="O891" s="1443" t="s">
        <v>2403</v>
      </c>
      <c r="P891" s="526"/>
      <c r="Q891" s="526"/>
      <c r="R891" s="526"/>
      <c r="S891" s="591">
        <f>VLOOKUP(O891,Preturi_medicamente!D:F,3,0)</f>
        <v>0.5</v>
      </c>
      <c r="T891" s="1738">
        <f>ROUND(T890*$S891,2)</f>
        <v>360</v>
      </c>
      <c r="U891" s="1736">
        <f>ROUND(U890*$S891,2)</f>
        <v>360</v>
      </c>
      <c r="V891" s="1736">
        <f>ROUND(V890*$S891,2)</f>
        <v>360</v>
      </c>
      <c r="W891" s="1736">
        <f>ROUND(W890*$S891,2)</f>
        <v>360</v>
      </c>
      <c r="X891" s="1737">
        <f>ROUND(X890*$S891,2)</f>
        <v>360</v>
      </c>
      <c r="AQ891" s="712"/>
      <c r="AR891" s="1487">
        <f>SUM(T891:X891)</f>
        <v>1800</v>
      </c>
    </row>
    <row r="892" spans="1:44" ht="22" thickBot="1">
      <c r="K892" s="712"/>
      <c r="L892" s="502"/>
      <c r="M892" s="502"/>
      <c r="O892" s="526"/>
      <c r="P892" s="526"/>
      <c r="Q892" s="526"/>
      <c r="R892" s="526"/>
      <c r="S892" s="526"/>
      <c r="T892" s="526"/>
      <c r="U892" s="526"/>
      <c r="V892" s="526"/>
      <c r="W892" s="526"/>
      <c r="X892" s="526"/>
      <c r="AQ892" s="712"/>
    </row>
    <row r="893" spans="1:44" ht="22" thickBot="1">
      <c r="K893" s="712"/>
      <c r="L893" s="502"/>
      <c r="M893" s="502"/>
      <c r="N893" s="508" t="s">
        <v>335</v>
      </c>
      <c r="O893" s="526"/>
      <c r="P893" s="526"/>
      <c r="Q893" s="526"/>
      <c r="R893" s="526"/>
      <c r="S893" s="526"/>
      <c r="T893" s="530" t="s">
        <v>333</v>
      </c>
      <c r="U893" s="528"/>
      <c r="V893" s="528"/>
      <c r="W893" s="528"/>
      <c r="X893" s="529"/>
      <c r="AQ893" s="712"/>
    </row>
    <row r="894" spans="1:44" ht="22" thickBot="1">
      <c r="K894" s="712"/>
      <c r="L894" s="502"/>
      <c r="M894" s="502"/>
      <c r="O894" s="526"/>
      <c r="P894" s="526"/>
      <c r="Q894" s="526"/>
      <c r="R894" s="526"/>
      <c r="S894" s="526"/>
      <c r="T894" s="584">
        <v>2021</v>
      </c>
      <c r="U894" s="585">
        <v>2022</v>
      </c>
      <c r="V894" s="585">
        <v>2023</v>
      </c>
      <c r="W894" s="585">
        <v>2024</v>
      </c>
      <c r="X894" s="586">
        <v>2025</v>
      </c>
      <c r="AQ894" s="712"/>
    </row>
    <row r="895" spans="1:44" ht="21">
      <c r="K895" s="712"/>
      <c r="L895" s="502"/>
      <c r="M895" s="502"/>
      <c r="O895" s="530" t="s">
        <v>319</v>
      </c>
      <c r="P895" s="528"/>
      <c r="Q895" s="528"/>
      <c r="R895" s="528"/>
      <c r="S895" s="528"/>
      <c r="T895" s="587">
        <f t="shared" ref="T895:X902" si="126">SUMIF($O$886:$O$889,$O895,T$886:T$889)</f>
        <v>18360</v>
      </c>
      <c r="U895" s="588">
        <f t="shared" si="126"/>
        <v>18360</v>
      </c>
      <c r="V895" s="588">
        <f t="shared" si="126"/>
        <v>17820</v>
      </c>
      <c r="W895" s="588">
        <f t="shared" si="126"/>
        <v>18360</v>
      </c>
      <c r="X895" s="589">
        <f t="shared" si="126"/>
        <v>18360</v>
      </c>
      <c r="AQ895" s="712"/>
    </row>
    <row r="896" spans="1:44" ht="21">
      <c r="K896" s="712"/>
      <c r="L896" s="502"/>
      <c r="M896" s="502"/>
      <c r="O896" s="590" t="s">
        <v>314</v>
      </c>
      <c r="P896" s="591"/>
      <c r="Q896" s="591"/>
      <c r="R896" s="591"/>
      <c r="S896" s="591"/>
      <c r="T896" s="592">
        <f t="shared" si="126"/>
        <v>36720</v>
      </c>
      <c r="U896" s="593">
        <f t="shared" si="126"/>
        <v>36720</v>
      </c>
      <c r="V896" s="593">
        <f t="shared" si="126"/>
        <v>35640</v>
      </c>
      <c r="W896" s="593">
        <f t="shared" si="126"/>
        <v>36720</v>
      </c>
      <c r="X896" s="594">
        <f t="shared" si="126"/>
        <v>36720</v>
      </c>
      <c r="AQ896" s="712"/>
    </row>
    <row r="897" spans="11:43" ht="21">
      <c r="K897" s="712"/>
      <c r="L897" s="502"/>
      <c r="M897" s="502"/>
      <c r="O897" s="590" t="s">
        <v>313</v>
      </c>
      <c r="P897" s="591"/>
      <c r="Q897" s="591"/>
      <c r="R897" s="591"/>
      <c r="S897" s="591"/>
      <c r="T897" s="592">
        <f t="shared" si="126"/>
        <v>27540</v>
      </c>
      <c r="U897" s="593">
        <f t="shared" si="126"/>
        <v>27540</v>
      </c>
      <c r="V897" s="593">
        <f t="shared" si="126"/>
        <v>26730</v>
      </c>
      <c r="W897" s="593">
        <f t="shared" si="126"/>
        <v>27540</v>
      </c>
      <c r="X897" s="594">
        <f t="shared" si="126"/>
        <v>27540</v>
      </c>
      <c r="AQ897" s="712"/>
    </row>
    <row r="898" spans="11:43" ht="21">
      <c r="K898" s="712"/>
      <c r="L898" s="502"/>
      <c r="M898" s="502"/>
      <c r="O898" s="574" t="s">
        <v>469</v>
      </c>
      <c r="P898" s="591"/>
      <c r="Q898" s="591"/>
      <c r="R898" s="591"/>
      <c r="S898" s="591"/>
      <c r="T898" s="592">
        <f t="shared" si="126"/>
        <v>36720</v>
      </c>
      <c r="U898" s="593">
        <f t="shared" si="126"/>
        <v>36720</v>
      </c>
      <c r="V898" s="593">
        <f t="shared" si="126"/>
        <v>35640</v>
      </c>
      <c r="W898" s="593">
        <f t="shared" si="126"/>
        <v>36720</v>
      </c>
      <c r="X898" s="594">
        <f t="shared" si="126"/>
        <v>36720</v>
      </c>
      <c r="AQ898" s="712"/>
    </row>
    <row r="899" spans="11:43" ht="21">
      <c r="K899" s="712"/>
      <c r="L899" s="502"/>
      <c r="M899" s="502"/>
      <c r="O899" s="574"/>
      <c r="P899" s="591"/>
      <c r="Q899" s="591"/>
      <c r="R899" s="591"/>
      <c r="S899" s="591"/>
      <c r="T899" s="592">
        <f t="shared" si="126"/>
        <v>0</v>
      </c>
      <c r="U899" s="593">
        <f t="shared" si="126"/>
        <v>0</v>
      </c>
      <c r="V899" s="593">
        <f t="shared" si="126"/>
        <v>0</v>
      </c>
      <c r="W899" s="593">
        <f t="shared" si="126"/>
        <v>0</v>
      </c>
      <c r="X899" s="594">
        <f t="shared" si="126"/>
        <v>0</v>
      </c>
      <c r="AQ899" s="712"/>
    </row>
    <row r="900" spans="11:43" ht="21">
      <c r="K900" s="712"/>
      <c r="L900" s="502"/>
      <c r="M900" s="502"/>
      <c r="O900" s="574"/>
      <c r="P900" s="591"/>
      <c r="Q900" s="591"/>
      <c r="R900" s="591"/>
      <c r="S900" s="591"/>
      <c r="T900" s="592">
        <f t="shared" si="126"/>
        <v>0</v>
      </c>
      <c r="U900" s="593">
        <f t="shared" si="126"/>
        <v>0</v>
      </c>
      <c r="V900" s="593">
        <f t="shared" si="126"/>
        <v>0</v>
      </c>
      <c r="W900" s="593">
        <f t="shared" si="126"/>
        <v>0</v>
      </c>
      <c r="X900" s="594">
        <f t="shared" si="126"/>
        <v>0</v>
      </c>
      <c r="AQ900" s="712"/>
    </row>
    <row r="901" spans="11:43" ht="21">
      <c r="K901" s="712"/>
      <c r="L901" s="502"/>
      <c r="M901" s="502"/>
      <c r="O901" s="574"/>
      <c r="P901" s="591"/>
      <c r="Q901" s="591"/>
      <c r="R901" s="591"/>
      <c r="S901" s="591"/>
      <c r="T901" s="592">
        <f t="shared" si="126"/>
        <v>0</v>
      </c>
      <c r="U901" s="593">
        <f t="shared" si="126"/>
        <v>0</v>
      </c>
      <c r="V901" s="593">
        <f t="shared" si="126"/>
        <v>0</v>
      </c>
      <c r="W901" s="593">
        <f t="shared" si="126"/>
        <v>0</v>
      </c>
      <c r="X901" s="594">
        <f t="shared" si="126"/>
        <v>0</v>
      </c>
      <c r="AQ901" s="712"/>
    </row>
    <row r="902" spans="11:43" ht="22" thickBot="1">
      <c r="K902" s="712"/>
      <c r="L902" s="502"/>
      <c r="M902" s="502"/>
      <c r="O902" s="595"/>
      <c r="P902" s="596"/>
      <c r="Q902" s="596"/>
      <c r="R902" s="596"/>
      <c r="S902" s="596"/>
      <c r="T902" s="597">
        <f t="shared" si="126"/>
        <v>0</v>
      </c>
      <c r="U902" s="598">
        <f t="shared" si="126"/>
        <v>0</v>
      </c>
      <c r="V902" s="598">
        <f t="shared" si="126"/>
        <v>0</v>
      </c>
      <c r="W902" s="598">
        <f t="shared" si="126"/>
        <v>0</v>
      </c>
      <c r="X902" s="599">
        <f t="shared" si="126"/>
        <v>0</v>
      </c>
      <c r="AQ902" s="712"/>
    </row>
    <row r="903" spans="11:43" ht="22" thickBot="1">
      <c r="K903" s="712"/>
      <c r="L903" s="502"/>
      <c r="M903" s="502"/>
      <c r="O903" s="526"/>
      <c r="P903" s="526"/>
      <c r="Q903" s="526"/>
      <c r="R903" s="526"/>
      <c r="S903" s="526"/>
      <c r="T903" s="526"/>
      <c r="U903" s="526"/>
      <c r="V903" s="526"/>
      <c r="W903" s="526"/>
      <c r="X903" s="526"/>
      <c r="AQ903" s="712"/>
    </row>
    <row r="904" spans="11:43" ht="22" thickBot="1">
      <c r="K904" s="712"/>
      <c r="L904" s="502"/>
      <c r="M904" s="502"/>
      <c r="O904" s="526"/>
      <c r="P904" s="526"/>
      <c r="Q904" s="526"/>
      <c r="R904" s="526"/>
      <c r="S904" s="526"/>
      <c r="T904" s="530" t="s">
        <v>334</v>
      </c>
      <c r="U904" s="528"/>
      <c r="V904" s="528"/>
      <c r="W904" s="528"/>
      <c r="X904" s="529"/>
      <c r="AQ904" s="712"/>
    </row>
    <row r="905" spans="11:43" ht="22" thickBot="1">
      <c r="K905" s="712"/>
      <c r="L905" s="502"/>
      <c r="M905" s="502"/>
      <c r="O905" s="526"/>
      <c r="P905" s="526"/>
      <c r="Q905" s="526"/>
      <c r="R905" s="526"/>
      <c r="S905" s="526" t="s">
        <v>332</v>
      </c>
      <c r="T905" s="584">
        <v>2021</v>
      </c>
      <c r="U905" s="585">
        <v>2022</v>
      </c>
      <c r="V905" s="585">
        <v>2023</v>
      </c>
      <c r="W905" s="585">
        <v>2024</v>
      </c>
      <c r="X905" s="586">
        <v>2025</v>
      </c>
      <c r="AQ905" s="712"/>
    </row>
    <row r="906" spans="11:43" ht="21">
      <c r="K906" s="712"/>
      <c r="L906" s="502"/>
      <c r="M906" s="502"/>
      <c r="O906" s="530" t="s">
        <v>319</v>
      </c>
      <c r="P906" s="528"/>
      <c r="Q906" s="528"/>
      <c r="R906" s="528"/>
      <c r="S906" s="528">
        <f>IFERROR(VLOOKUP(O906,Preturi_medicamente!D:F,3,0),0)</f>
        <v>2.0499999999999998</v>
      </c>
      <c r="T906" s="600">
        <f t="shared" ref="T906:X913" si="127">ROUND(T895*$S906,2)</f>
        <v>37638</v>
      </c>
      <c r="U906" s="601">
        <f t="shared" si="127"/>
        <v>37638</v>
      </c>
      <c r="V906" s="601">
        <f t="shared" si="127"/>
        <v>36531</v>
      </c>
      <c r="W906" s="601">
        <f t="shared" si="127"/>
        <v>37638</v>
      </c>
      <c r="X906" s="602">
        <f t="shared" si="127"/>
        <v>37638</v>
      </c>
      <c r="AQ906" s="712"/>
    </row>
    <row r="907" spans="11:43" ht="21">
      <c r="K907" s="712"/>
      <c r="L907" s="502"/>
      <c r="M907" s="502"/>
      <c r="O907" s="574" t="s">
        <v>314</v>
      </c>
      <c r="P907" s="591"/>
      <c r="Q907" s="591"/>
      <c r="R907" s="591"/>
      <c r="S907" s="591">
        <f>IFERROR(VLOOKUP(O907,Preturi_medicamente!D:F,3,0),0)</f>
        <v>0.5</v>
      </c>
      <c r="T907" s="603">
        <f t="shared" si="127"/>
        <v>18360</v>
      </c>
      <c r="U907" s="604">
        <f t="shared" si="127"/>
        <v>18360</v>
      </c>
      <c r="V907" s="604">
        <f t="shared" si="127"/>
        <v>17820</v>
      </c>
      <c r="W907" s="604">
        <f t="shared" si="127"/>
        <v>18360</v>
      </c>
      <c r="X907" s="605">
        <f t="shared" si="127"/>
        <v>18360</v>
      </c>
      <c r="AQ907" s="712"/>
    </row>
    <row r="908" spans="11:43" ht="21">
      <c r="K908" s="712"/>
      <c r="L908" s="502"/>
      <c r="M908" s="502"/>
      <c r="O908" s="574" t="s">
        <v>313</v>
      </c>
      <c r="P908" s="591"/>
      <c r="Q908" s="591"/>
      <c r="R908" s="591"/>
      <c r="S908" s="591">
        <f>IFERROR(VLOOKUP(O908,Preturi_medicamente!D:F,3,0),0)</f>
        <v>1</v>
      </c>
      <c r="T908" s="603">
        <f t="shared" si="127"/>
        <v>27540</v>
      </c>
      <c r="U908" s="604">
        <f t="shared" si="127"/>
        <v>27540</v>
      </c>
      <c r="V908" s="604">
        <f t="shared" si="127"/>
        <v>26730</v>
      </c>
      <c r="W908" s="604">
        <f t="shared" si="127"/>
        <v>27540</v>
      </c>
      <c r="X908" s="605">
        <f t="shared" si="127"/>
        <v>27540</v>
      </c>
      <c r="AQ908" s="712"/>
    </row>
    <row r="909" spans="11:43" ht="21">
      <c r="K909" s="712"/>
      <c r="L909" s="502"/>
      <c r="M909" s="502"/>
      <c r="O909" s="574" t="s">
        <v>469</v>
      </c>
      <c r="P909" s="591"/>
      <c r="Q909" s="591"/>
      <c r="R909" s="591"/>
      <c r="S909" s="591">
        <f>IFERROR(VLOOKUP(O909,Preturi_medicamente!D:F,3,0),0)</f>
        <v>0.71</v>
      </c>
      <c r="T909" s="603">
        <f t="shared" si="127"/>
        <v>26071.200000000001</v>
      </c>
      <c r="U909" s="604">
        <f t="shared" si="127"/>
        <v>26071.200000000001</v>
      </c>
      <c r="V909" s="604">
        <f t="shared" si="127"/>
        <v>25304.400000000001</v>
      </c>
      <c r="W909" s="604">
        <f t="shared" si="127"/>
        <v>26071.200000000001</v>
      </c>
      <c r="X909" s="605">
        <f t="shared" si="127"/>
        <v>26071.200000000001</v>
      </c>
      <c r="AQ909" s="712"/>
    </row>
    <row r="910" spans="11:43" ht="21">
      <c r="K910" s="712"/>
      <c r="L910" s="502"/>
      <c r="M910" s="502"/>
      <c r="O910" s="574"/>
      <c r="P910" s="591"/>
      <c r="Q910" s="591"/>
      <c r="R910" s="591"/>
      <c r="S910" s="591">
        <f>IFERROR(VLOOKUP(O910,Preturi_medicamente!D:F,3,0),0)</f>
        <v>0</v>
      </c>
      <c r="T910" s="603">
        <f t="shared" si="127"/>
        <v>0</v>
      </c>
      <c r="U910" s="604">
        <f t="shared" si="127"/>
        <v>0</v>
      </c>
      <c r="V910" s="604">
        <f t="shared" si="127"/>
        <v>0</v>
      </c>
      <c r="W910" s="604">
        <f t="shared" si="127"/>
        <v>0</v>
      </c>
      <c r="X910" s="605">
        <f t="shared" si="127"/>
        <v>0</v>
      </c>
      <c r="AQ910" s="712"/>
    </row>
    <row r="911" spans="11:43" ht="21">
      <c r="K911" s="712"/>
      <c r="L911" s="502"/>
      <c r="M911" s="502"/>
      <c r="O911" s="574"/>
      <c r="P911" s="591"/>
      <c r="Q911" s="591"/>
      <c r="R911" s="591"/>
      <c r="S911" s="591">
        <f>IFERROR(VLOOKUP(O911,Preturi_medicamente!D:F,3,0),0)</f>
        <v>0</v>
      </c>
      <c r="T911" s="603">
        <f t="shared" si="127"/>
        <v>0</v>
      </c>
      <c r="U911" s="604">
        <f t="shared" si="127"/>
        <v>0</v>
      </c>
      <c r="V911" s="604">
        <f t="shared" si="127"/>
        <v>0</v>
      </c>
      <c r="W911" s="604">
        <f t="shared" si="127"/>
        <v>0</v>
      </c>
      <c r="X911" s="605">
        <f t="shared" si="127"/>
        <v>0</v>
      </c>
      <c r="AQ911" s="712"/>
    </row>
    <row r="912" spans="11:43" ht="21">
      <c r="K912" s="712"/>
      <c r="L912" s="502"/>
      <c r="M912" s="502"/>
      <c r="O912" s="574"/>
      <c r="P912" s="591"/>
      <c r="Q912" s="591"/>
      <c r="R912" s="591"/>
      <c r="S912" s="591">
        <f>IFERROR(VLOOKUP(O912,Preturi_medicamente!D:F,3,0),0)</f>
        <v>0</v>
      </c>
      <c r="T912" s="603">
        <f t="shared" si="127"/>
        <v>0</v>
      </c>
      <c r="U912" s="604">
        <f t="shared" si="127"/>
        <v>0</v>
      </c>
      <c r="V912" s="604">
        <f t="shared" si="127"/>
        <v>0</v>
      </c>
      <c r="W912" s="604">
        <f t="shared" si="127"/>
        <v>0</v>
      </c>
      <c r="X912" s="605">
        <f t="shared" si="127"/>
        <v>0</v>
      </c>
      <c r="AQ912" s="712"/>
    </row>
    <row r="913" spans="1:44" ht="22" thickBot="1">
      <c r="K913" s="712"/>
      <c r="L913" s="502"/>
      <c r="M913" s="502"/>
      <c r="O913" s="595"/>
      <c r="P913" s="596"/>
      <c r="Q913" s="596"/>
      <c r="R913" s="596"/>
      <c r="S913" s="596">
        <f>IFERROR(VLOOKUP(O913,Preturi_medicamente!D:F,3,0),0)</f>
        <v>0</v>
      </c>
      <c r="T913" s="606">
        <f t="shared" si="127"/>
        <v>0</v>
      </c>
      <c r="U913" s="607">
        <f t="shared" si="127"/>
        <v>0</v>
      </c>
      <c r="V913" s="607">
        <f t="shared" si="127"/>
        <v>0</v>
      </c>
      <c r="W913" s="607">
        <f t="shared" si="127"/>
        <v>0</v>
      </c>
      <c r="X913" s="608">
        <f t="shared" si="127"/>
        <v>0</v>
      </c>
      <c r="AQ913" s="712"/>
    </row>
    <row r="914" spans="1:44" ht="22" thickBot="1">
      <c r="A914" s="730">
        <v>34</v>
      </c>
      <c r="B914" s="733">
        <f>T914</f>
        <v>109609.2</v>
      </c>
      <c r="C914" s="733">
        <f>U914</f>
        <v>109609.2</v>
      </c>
      <c r="D914" s="733">
        <f>V914</f>
        <v>106385.4</v>
      </c>
      <c r="E914" s="733">
        <f>W914</f>
        <v>109609.2</v>
      </c>
      <c r="F914" s="733">
        <f>X914</f>
        <v>109609.2</v>
      </c>
      <c r="G914" s="733" t="s">
        <v>513</v>
      </c>
      <c r="H914" s="733" t="s">
        <v>1824</v>
      </c>
      <c r="I914" s="733"/>
      <c r="J914" s="841" t="s">
        <v>2934</v>
      </c>
      <c r="K914" s="712"/>
      <c r="L914" s="502"/>
      <c r="M914" s="502"/>
      <c r="O914" s="526"/>
      <c r="P914" s="526"/>
      <c r="Q914" s="526"/>
      <c r="R914" s="526"/>
      <c r="S914" s="526"/>
      <c r="T914" s="1738">
        <f>SUM(T906:T913)</f>
        <v>109609.2</v>
      </c>
      <c r="U914" s="1736">
        <f>SUM(U906:U913)</f>
        <v>109609.2</v>
      </c>
      <c r="V914" s="1736">
        <f>SUM(V906:V913)</f>
        <v>106385.4</v>
      </c>
      <c r="W914" s="1736">
        <f>SUM(W906:W913)</f>
        <v>109609.2</v>
      </c>
      <c r="X914" s="1737">
        <f>SUM(X906:X913)</f>
        <v>109609.2</v>
      </c>
      <c r="AQ914" s="712"/>
      <c r="AR914" s="1487">
        <f>SUM(T914:X914)</f>
        <v>544822.19999999995</v>
      </c>
    </row>
    <row r="915" spans="1:44" ht="21">
      <c r="I915"/>
      <c r="J915"/>
      <c r="K915" s="712"/>
      <c r="L915" s="502"/>
      <c r="M915" s="502"/>
      <c r="O915" s="526"/>
      <c r="P915" s="526"/>
      <c r="Q915" s="526"/>
      <c r="R915" s="526"/>
      <c r="S915" s="526"/>
      <c r="T915" s="526"/>
      <c r="U915" s="526"/>
      <c r="V915" s="526"/>
      <c r="W915" s="526"/>
      <c r="X915" s="526"/>
      <c r="AQ915" s="712"/>
    </row>
    <row r="916" spans="1:44" ht="21">
      <c r="K916" s="712"/>
      <c r="L916" s="502"/>
      <c r="M916" s="502"/>
      <c r="O916" s="526"/>
      <c r="P916" s="526"/>
      <c r="Q916" s="526"/>
      <c r="R916" s="526"/>
      <c r="S916" s="526"/>
      <c r="T916" s="526"/>
      <c r="U916" s="526"/>
      <c r="V916" s="526"/>
      <c r="W916" s="526"/>
      <c r="X916" s="526"/>
      <c r="AQ916" s="712"/>
    </row>
    <row r="917" spans="1:44">
      <c r="K917" s="712"/>
    </row>
    <row r="918" spans="1:44">
      <c r="K918" s="712"/>
    </row>
    <row r="919" spans="1:44">
      <c r="K919" s="712"/>
    </row>
    <row r="920" spans="1:44">
      <c r="K920" s="712"/>
    </row>
    <row r="921" spans="1:44">
      <c r="K921" s="712"/>
    </row>
    <row r="922" spans="1:44">
      <c r="K922" s="712"/>
    </row>
    <row r="923" spans="1:44">
      <c r="K923" s="712"/>
    </row>
    <row r="924" spans="1:44">
      <c r="K924" s="712"/>
    </row>
    <row r="925" spans="1:44">
      <c r="K925" s="712"/>
    </row>
    <row r="926" spans="1:44">
      <c r="K926" s="712"/>
    </row>
    <row r="927" spans="1:44">
      <c r="K927" s="712"/>
    </row>
    <row r="928" spans="1:44">
      <c r="K928" s="712"/>
    </row>
    <row r="929" spans="11:11">
      <c r="K929" s="712"/>
    </row>
    <row r="930" spans="11:11">
      <c r="K930" s="712"/>
    </row>
    <row r="931" spans="11:11">
      <c r="K931" s="712"/>
    </row>
    <row r="932" spans="11:11">
      <c r="K932" s="712"/>
    </row>
    <row r="933" spans="11:11">
      <c r="K933" s="712"/>
    </row>
    <row r="934" spans="11:11">
      <c r="K934" s="712"/>
    </row>
    <row r="935" spans="11:11">
      <c r="K935" s="712"/>
    </row>
    <row r="936" spans="11:11">
      <c r="K936" s="712"/>
    </row>
    <row r="937" spans="11:11">
      <c r="K937" s="712"/>
    </row>
    <row r="938" spans="11:11">
      <c r="K938" s="712"/>
    </row>
    <row r="939" spans="11:11">
      <c r="K939" s="712"/>
    </row>
    <row r="940" spans="11:11">
      <c r="K940" s="712"/>
    </row>
    <row r="941" spans="11:11">
      <c r="K941" s="712"/>
    </row>
    <row r="942" spans="11:11">
      <c r="K942" s="712"/>
    </row>
    <row r="943" spans="11:11">
      <c r="K943" s="712"/>
    </row>
    <row r="944" spans="11:11">
      <c r="K944" s="712"/>
    </row>
    <row r="945" spans="11:43">
      <c r="K945" s="712"/>
    </row>
    <row r="946" spans="11:43">
      <c r="K946" s="712"/>
    </row>
    <row r="947" spans="11:43">
      <c r="K947" s="712"/>
    </row>
    <row r="948" spans="11:43">
      <c r="K948" s="712"/>
    </row>
    <row r="949" spans="11:43">
      <c r="K949" s="712"/>
    </row>
    <row r="950" spans="11:43">
      <c r="K950" s="712"/>
    </row>
    <row r="951" spans="11:43">
      <c r="K951" s="712"/>
    </row>
    <row r="952" spans="11:43">
      <c r="K952" s="712"/>
    </row>
    <row r="953" spans="11:43">
      <c r="K953" s="712"/>
    </row>
    <row r="954" spans="11:43">
      <c r="K954" s="712"/>
    </row>
    <row r="955" spans="11:43">
      <c r="K955" s="712"/>
      <c r="AN955"/>
      <c r="AO955"/>
      <c r="AP955"/>
      <c r="AQ955"/>
    </row>
    <row r="956" spans="11:43">
      <c r="K956" s="712"/>
      <c r="AN956"/>
      <c r="AO956"/>
      <c r="AP956"/>
      <c r="AQ956"/>
    </row>
    <row r="957" spans="11:43">
      <c r="K957" s="712"/>
      <c r="AN957"/>
      <c r="AO957"/>
      <c r="AP957"/>
      <c r="AQ957"/>
    </row>
    <row r="958" spans="11:43">
      <c r="K958" s="712"/>
      <c r="AN958"/>
      <c r="AO958"/>
      <c r="AP958"/>
      <c r="AQ958"/>
    </row>
    <row r="959" spans="11:43">
      <c r="K959" s="712"/>
      <c r="AN959"/>
      <c r="AO959"/>
      <c r="AP959"/>
      <c r="AQ959"/>
    </row>
    <row r="960" spans="11:43">
      <c r="K960" s="712"/>
      <c r="AN960"/>
      <c r="AO960"/>
      <c r="AP960"/>
      <c r="AQ960"/>
    </row>
    <row r="961" spans="11:43">
      <c r="K961" s="712"/>
      <c r="AN961"/>
      <c r="AO961"/>
      <c r="AP961"/>
      <c r="AQ961"/>
    </row>
    <row r="962" spans="11:43">
      <c r="K962" s="712"/>
      <c r="AN962"/>
      <c r="AO962"/>
      <c r="AP962"/>
      <c r="AQ962"/>
    </row>
    <row r="963" spans="11:43">
      <c r="K963" s="712"/>
      <c r="AN963"/>
      <c r="AO963"/>
      <c r="AP963"/>
      <c r="AQ963"/>
    </row>
    <row r="964" spans="11:43">
      <c r="K964" s="712"/>
      <c r="AN964"/>
      <c r="AO964"/>
      <c r="AP964"/>
      <c r="AQ964"/>
    </row>
    <row r="965" spans="11:43">
      <c r="K965" s="712"/>
      <c r="AN965"/>
      <c r="AO965"/>
      <c r="AP965"/>
      <c r="AQ965"/>
    </row>
    <row r="966" spans="11:43">
      <c r="K966" s="712"/>
      <c r="AN966"/>
      <c r="AO966"/>
      <c r="AP966"/>
      <c r="AQ966"/>
    </row>
    <row r="967" spans="11:43">
      <c r="K967" s="712"/>
      <c r="AN967"/>
      <c r="AO967"/>
      <c r="AP967"/>
      <c r="AQ967"/>
    </row>
    <row r="968" spans="11:43">
      <c r="K968" s="712"/>
      <c r="AN968"/>
      <c r="AO968"/>
      <c r="AP968"/>
      <c r="AQ968"/>
    </row>
    <row r="969" spans="11:43">
      <c r="K969" s="712"/>
      <c r="AN969"/>
      <c r="AO969"/>
      <c r="AP969"/>
      <c r="AQ969"/>
    </row>
    <row r="970" spans="11:43">
      <c r="K970" s="712"/>
      <c r="AN970"/>
      <c r="AO970"/>
      <c r="AP970"/>
      <c r="AQ970"/>
    </row>
    <row r="971" spans="11:43">
      <c r="K971" s="712"/>
      <c r="AN971"/>
      <c r="AO971"/>
      <c r="AP971"/>
      <c r="AQ971"/>
    </row>
    <row r="972" spans="11:43">
      <c r="K972" s="712"/>
      <c r="AN972"/>
      <c r="AO972"/>
      <c r="AP972"/>
      <c r="AQ972"/>
    </row>
    <row r="973" spans="11:43">
      <c r="K973" s="712"/>
      <c r="AN973"/>
      <c r="AO973"/>
      <c r="AP973"/>
      <c r="AQ973"/>
    </row>
    <row r="974" spans="11:43">
      <c r="K974" s="712"/>
      <c r="AN974"/>
      <c r="AO974"/>
      <c r="AP974"/>
      <c r="AQ974"/>
    </row>
    <row r="975" spans="11:43">
      <c r="K975" s="712"/>
      <c r="AN975"/>
      <c r="AO975"/>
      <c r="AP975"/>
      <c r="AQ975"/>
    </row>
    <row r="976" spans="11:43">
      <c r="K976" s="712"/>
      <c r="AN976"/>
      <c r="AO976"/>
      <c r="AP976"/>
      <c r="AQ976"/>
    </row>
    <row r="977" spans="11:43">
      <c r="K977" s="712"/>
      <c r="AN977"/>
      <c r="AO977"/>
      <c r="AP977"/>
      <c r="AQ977"/>
    </row>
    <row r="978" spans="11:43">
      <c r="K978" s="712"/>
      <c r="AN978"/>
      <c r="AO978"/>
      <c r="AP978"/>
      <c r="AQ978"/>
    </row>
    <row r="979" spans="11:43">
      <c r="K979" s="712"/>
      <c r="AN979"/>
      <c r="AO979"/>
      <c r="AP979"/>
      <c r="AQ979"/>
    </row>
    <row r="980" spans="11:43">
      <c r="K980" s="712"/>
      <c r="AN980"/>
      <c r="AO980"/>
      <c r="AP980"/>
      <c r="AQ980"/>
    </row>
    <row r="981" spans="11:43">
      <c r="K981" s="712"/>
      <c r="AN981"/>
      <c r="AO981"/>
      <c r="AP981"/>
      <c r="AQ981"/>
    </row>
    <row r="982" spans="11:43">
      <c r="K982" s="712"/>
      <c r="AN982"/>
      <c r="AO982"/>
      <c r="AP982"/>
      <c r="AQ982"/>
    </row>
    <row r="983" spans="11:43">
      <c r="K983" s="712"/>
      <c r="AN983"/>
      <c r="AO983"/>
      <c r="AP983"/>
      <c r="AQ983"/>
    </row>
    <row r="984" spans="11:43">
      <c r="K984" s="712"/>
      <c r="AN984"/>
      <c r="AO984"/>
      <c r="AP984"/>
      <c r="AQ984"/>
    </row>
    <row r="985" spans="11:43">
      <c r="K985" s="712"/>
      <c r="AN985"/>
      <c r="AO985"/>
      <c r="AP985"/>
      <c r="AQ985"/>
    </row>
    <row r="986" spans="11:43">
      <c r="K986" s="712"/>
      <c r="AN986"/>
      <c r="AO986"/>
      <c r="AP986"/>
      <c r="AQ986"/>
    </row>
    <row r="987" spans="11:43">
      <c r="K987" s="712"/>
      <c r="AN987"/>
      <c r="AO987"/>
      <c r="AP987"/>
      <c r="AQ987"/>
    </row>
    <row r="988" spans="11:43">
      <c r="K988" s="712"/>
      <c r="AN988"/>
      <c r="AO988"/>
      <c r="AP988"/>
      <c r="AQ988"/>
    </row>
    <row r="989" spans="11:43">
      <c r="K989" s="712"/>
      <c r="AN989"/>
      <c r="AO989"/>
      <c r="AP989"/>
      <c r="AQ989"/>
    </row>
    <row r="990" spans="11:43">
      <c r="K990" s="712"/>
    </row>
    <row r="991" spans="11:43">
      <c r="K991" s="712"/>
    </row>
    <row r="992" spans="11:43">
      <c r="K992" s="712"/>
    </row>
    <row r="993" spans="11:11">
      <c r="K993" s="712"/>
    </row>
    <row r="994" spans="11:11">
      <c r="K994" s="712"/>
    </row>
    <row r="995" spans="11:11">
      <c r="K995" s="712"/>
    </row>
    <row r="996" spans="11:11">
      <c r="K996" s="712"/>
    </row>
    <row r="997" spans="11:11">
      <c r="K997" s="712"/>
    </row>
    <row r="998" spans="11:11">
      <c r="K998" s="712"/>
    </row>
    <row r="999" spans="11:11">
      <c r="K999" s="712"/>
    </row>
    <row r="1000" spans="11:11">
      <c r="K1000" s="712"/>
    </row>
    <row r="1001" spans="11:11">
      <c r="K1001" s="712"/>
    </row>
    <row r="1002" spans="11:11">
      <c r="K1002" s="712"/>
    </row>
    <row r="1003" spans="11:11">
      <c r="K1003" s="712"/>
    </row>
    <row r="1004" spans="11:11">
      <c r="K1004" s="712"/>
    </row>
    <row r="1005" spans="11:11">
      <c r="K1005" s="712"/>
    </row>
    <row r="1006" spans="11:11">
      <c r="K1006" s="712"/>
    </row>
    <row r="1007" spans="11:11">
      <c r="K1007" s="712"/>
    </row>
    <row r="1008" spans="11:11">
      <c r="K1008" s="712"/>
    </row>
    <row r="1009" spans="11:11">
      <c r="K1009" s="712"/>
    </row>
    <row r="1010" spans="11:11">
      <c r="K1010" s="712"/>
    </row>
    <row r="1011" spans="11:11">
      <c r="K1011" s="712"/>
    </row>
    <row r="1012" spans="11:11">
      <c r="K1012" s="712"/>
    </row>
    <row r="1013" spans="11:11">
      <c r="K1013" s="712"/>
    </row>
    <row r="1014" spans="11:11">
      <c r="K1014" s="712"/>
    </row>
    <row r="1015" spans="11:11">
      <c r="K1015" s="712"/>
    </row>
    <row r="1016" spans="11:11">
      <c r="K1016" s="712"/>
    </row>
    <row r="1017" spans="11:11">
      <c r="K1017" s="712"/>
    </row>
    <row r="1018" spans="11:11">
      <c r="K1018" s="712"/>
    </row>
    <row r="1019" spans="11:11">
      <c r="K1019" s="712"/>
    </row>
  </sheetData>
  <autoFilter ref="A1:AS1" xr:uid="{00000000-0009-0000-0000-000010000000}"/>
  <sortState ref="N122:X140">
    <sortCondition ref="N122:N140"/>
    <sortCondition ref="O122:O140"/>
  </sortState>
  <mergeCells count="8">
    <mergeCell ref="AB8:AB9"/>
    <mergeCell ref="AC8:AC9"/>
    <mergeCell ref="AD8:AD9"/>
    <mergeCell ref="AE8:AE9"/>
    <mergeCell ref="AB10:AB11"/>
    <mergeCell ref="AC10:AC11"/>
    <mergeCell ref="AD10:AD11"/>
    <mergeCell ref="AE10:AE11"/>
  </mergeCells>
  <phoneticPr fontId="66" type="noConversion"/>
  <conditionalFormatting sqref="O355:O356">
    <cfRule type="duplicateValues" dxfId="350" priority="30"/>
  </conditionalFormatting>
  <conditionalFormatting sqref="O382:O383">
    <cfRule type="duplicateValues" dxfId="349" priority="29"/>
  </conditionalFormatting>
  <conditionalFormatting sqref="O544:O545">
    <cfRule type="duplicateValues" dxfId="348" priority="27"/>
  </conditionalFormatting>
  <conditionalFormatting sqref="O571:O572">
    <cfRule type="duplicateValues" dxfId="347" priority="26"/>
  </conditionalFormatting>
  <conditionalFormatting sqref="A563">
    <cfRule type="duplicateValues" dxfId="346" priority="25"/>
  </conditionalFormatting>
  <conditionalFormatting sqref="A569">
    <cfRule type="duplicateValues" dxfId="345" priority="24"/>
  </conditionalFormatting>
  <conditionalFormatting sqref="O660:O661">
    <cfRule type="duplicateValues" dxfId="344" priority="23"/>
  </conditionalFormatting>
  <conditionalFormatting sqref="O687:O688">
    <cfRule type="duplicateValues" dxfId="343" priority="22"/>
  </conditionalFormatting>
  <conditionalFormatting sqref="A270">
    <cfRule type="duplicateValues" dxfId="342" priority="21"/>
  </conditionalFormatting>
  <conditionalFormatting sqref="A332">
    <cfRule type="duplicateValues" dxfId="341" priority="20"/>
  </conditionalFormatting>
  <conditionalFormatting sqref="A872">
    <cfRule type="duplicateValues" dxfId="340" priority="19"/>
  </conditionalFormatting>
  <conditionalFormatting sqref="A914">
    <cfRule type="duplicateValues" dxfId="339" priority="18"/>
  </conditionalFormatting>
  <conditionalFormatting sqref="A523">
    <cfRule type="duplicateValues" dxfId="338" priority="15"/>
  </conditionalFormatting>
  <conditionalFormatting sqref="A205">
    <cfRule type="duplicateValues" dxfId="337" priority="14"/>
  </conditionalFormatting>
  <conditionalFormatting sqref="A143">
    <cfRule type="duplicateValues" dxfId="336" priority="13"/>
  </conditionalFormatting>
  <conditionalFormatting sqref="A309">
    <cfRule type="duplicateValues" dxfId="335" priority="12"/>
  </conditionalFormatting>
  <conditionalFormatting sqref="A403">
    <cfRule type="duplicateValues" dxfId="334" priority="11"/>
  </conditionalFormatting>
  <conditionalFormatting sqref="A592">
    <cfRule type="duplicateValues" dxfId="333" priority="10"/>
  </conditionalFormatting>
  <conditionalFormatting sqref="A708">
    <cfRule type="duplicateValues" dxfId="332" priority="9"/>
  </conditionalFormatting>
  <conditionalFormatting sqref="A891">
    <cfRule type="duplicateValues" dxfId="331" priority="8"/>
  </conditionalFormatting>
  <conditionalFormatting sqref="A849">
    <cfRule type="duplicateValues" dxfId="330" priority="7"/>
  </conditionalFormatting>
  <conditionalFormatting sqref="A630:A707 A628 A1:A142 A206:A219 A744 A747:A817 A819:A848 A564:A568 A570:A591 A271:A308 A333:A402 A873:A890 A915:A916 A518 A520:A522 A525:A562 A221:A269 A144:A204 A310:A331 A404:A439 A441:A512 A593:A619 A709:A735 A892:A913 A850:A871 A963:A1048576">
    <cfRule type="duplicateValues" dxfId="329" priority="521"/>
  </conditionalFormatting>
  <conditionalFormatting sqref="G1:G1048576">
    <cfRule type="containsText" dxfId="328" priority="1" operator="containsText" text="GFATM">
      <formula>NOT(ISERROR(SEARCH("GFATM",G1)))</formula>
    </cfRule>
  </conditionalFormatting>
  <dataValidations count="2">
    <dataValidation type="list" allowBlank="1" showInputMessage="1" showErrorMessage="1" sqref="G439 G166 G230 G708 G270 G332 G872 G914 G891 G849 G523 G205 G143 G309 G403 G592 G512 G639 G628 G755 G744 G828 G817 G451 G104" xr:uid="{00000000-0002-0000-1000-000000000000}">
      <formula1>TB_sursa_finant_Ro</formula1>
    </dataValidation>
    <dataValidation type="list" allowBlank="1" showInputMessage="1" showErrorMessage="1" sqref="I332 I523 I872 I512 I439 I166 I230 I270 I891 I849 I914 I205 I143 I309 I403 I592 I708 I639 I628 I755 I744 I828 I817 I451 I104" xr:uid="{00000000-0002-0000-1000-000001000000}">
      <formula1>TB_implementare</formula1>
    </dataValidation>
  </dataValidations>
  <hyperlinks>
    <hyperlink ref="O1" location="CUPRINS!A1" display="CUPRINS" xr:uid="{00000000-0004-0000-1000-000000000000}"/>
  </hyperlinks>
  <pageMargins left="0.7" right="0.7" top="0.75" bottom="0.75" header="0.3" footer="0.3"/>
  <pageSetup paperSize="9" orientation="portrait" r:id="rId1"/>
  <drawing r:id="rId2"/>
  <mc:AlternateContent xmlns:mc="http://schemas.openxmlformats.org/markup-compatibility/2006">
    <mc:Choice Requires="v">
      <legacyDrawing r:id="rId3"/>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2000000}">
          <x14:formula1>
            <xm:f>Nom_activ_2!$H$2:$H$88</xm:f>
          </x14:formula1>
          <xm:sqref>J166 J439 J451 J817 J828 J744 J755 J628 J639 J104 J592 J403 J309 J143 J205 J914 J872 J523 J849 J891 J708 J332 J270 J230 J512</xm:sqref>
        </x14:dataValidation>
      </x14:dataValidations>
    </ext>
  </extLst>
</worksheet>
</file>

<file path=xl/worksheets/sheet1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507"/>
  <sheetViews>
    <sheetView topLeftCell="K35" zoomScale="70" zoomScaleNormal="70" workbookViewId="0">
      <selection activeCell="R86" sqref="R86"/>
    </sheetView>
  </sheetViews>
  <sheetFormatPr baseColWidth="10" defaultColWidth="8.83203125" defaultRowHeight="15" outlineLevelRow="1" outlineLevelCol="1"/>
  <cols>
    <col min="1" max="1" width="4.33203125" style="960" hidden="1" customWidth="1" outlineLevel="1"/>
    <col min="2" max="6" width="13.33203125" style="960" hidden="1" customWidth="1" outlineLevel="1"/>
    <col min="7" max="7" width="7.5" style="960" hidden="1" customWidth="1" outlineLevel="1"/>
    <col min="8" max="8" width="18.1640625" style="960" hidden="1" customWidth="1" outlineLevel="1"/>
    <col min="9" max="9" width="12.6640625" style="2164" hidden="1" customWidth="1" outlineLevel="1"/>
    <col min="10" max="10" width="51.83203125" style="960" hidden="1" customWidth="1" outlineLevel="1"/>
    <col min="11" max="11" width="2" customWidth="1" collapsed="1"/>
    <col min="12" max="12" width="16.1640625" customWidth="1"/>
    <col min="13" max="13" width="88.5" bestFit="1" customWidth="1"/>
    <col min="14" max="14" width="33.1640625" customWidth="1"/>
    <col min="15" max="15" width="20.83203125" customWidth="1"/>
    <col min="16" max="16" width="15.1640625" bestFit="1" customWidth="1"/>
    <col min="17" max="17" width="20.5" customWidth="1"/>
    <col min="18" max="18" width="20.33203125" customWidth="1"/>
    <col min="19" max="19" width="15.33203125" customWidth="1"/>
    <col min="20" max="23" width="12.33203125" bestFit="1" customWidth="1"/>
    <col min="24" max="24" width="18.6640625" customWidth="1"/>
    <col min="25" max="27" width="12.33203125" bestFit="1" customWidth="1"/>
    <col min="28" max="32" width="11.6640625" customWidth="1"/>
  </cols>
  <sheetData>
    <row r="1" spans="1:39">
      <c r="A1" s="2157"/>
      <c r="B1" s="859">
        <v>2021</v>
      </c>
      <c r="C1" s="859">
        <v>2022</v>
      </c>
      <c r="D1" s="859">
        <v>2023</v>
      </c>
      <c r="E1" s="859">
        <v>2024</v>
      </c>
      <c r="F1" s="859">
        <v>2025</v>
      </c>
      <c r="G1" s="859" t="s">
        <v>484</v>
      </c>
      <c r="H1" s="859" t="s">
        <v>515</v>
      </c>
      <c r="I1" s="2186" t="s">
        <v>1834</v>
      </c>
      <c r="J1" s="859"/>
      <c r="K1" s="712" t="s">
        <v>238</v>
      </c>
      <c r="L1" s="1874">
        <f ca="1">SUM(B:F)-B1-C1-D1-E1-F1</f>
        <v>96872198.769999996</v>
      </c>
      <c r="M1" s="1309">
        <f>SUM(AR:AR)</f>
        <v>0</v>
      </c>
      <c r="N1" s="1874">
        <f ca="1">L1-M1</f>
        <v>96872198.769999996</v>
      </c>
      <c r="O1" s="1836" t="s">
        <v>356</v>
      </c>
    </row>
    <row r="2" spans="1:39">
      <c r="K2" s="712" t="s">
        <v>238</v>
      </c>
    </row>
    <row r="3" spans="1:39" s="1808" customFormat="1">
      <c r="A3" s="960"/>
      <c r="B3" s="960"/>
      <c r="C3" s="960"/>
      <c r="D3" s="960"/>
      <c r="E3" s="960"/>
      <c r="F3" s="960"/>
      <c r="G3" s="960"/>
      <c r="H3" s="960"/>
      <c r="I3" s="2164"/>
      <c r="J3" s="960"/>
      <c r="K3" s="712" t="s">
        <v>238</v>
      </c>
    </row>
    <row r="4" spans="1:39" s="1808" customFormat="1">
      <c r="A4" s="960"/>
      <c r="B4" s="960"/>
      <c r="C4" s="960"/>
      <c r="D4" s="960"/>
      <c r="E4" s="960"/>
      <c r="F4" s="960"/>
      <c r="G4" s="960"/>
      <c r="H4" s="960"/>
      <c r="I4" s="2164"/>
      <c r="J4" s="960"/>
      <c r="K4" s="712" t="s">
        <v>238</v>
      </c>
    </row>
    <row r="5" spans="1:39" s="1808" customFormat="1">
      <c r="A5" s="960"/>
      <c r="B5" s="960"/>
      <c r="C5" s="960"/>
      <c r="D5" s="960"/>
      <c r="E5" s="960"/>
      <c r="F5" s="960"/>
      <c r="G5" s="960"/>
      <c r="H5" s="960"/>
      <c r="I5" s="2164"/>
      <c r="J5" s="960"/>
      <c r="K5" s="712" t="s">
        <v>238</v>
      </c>
    </row>
    <row r="6" spans="1:39" s="1808" customFormat="1" ht="19">
      <c r="A6" s="960"/>
      <c r="B6" s="960"/>
      <c r="C6" s="960"/>
      <c r="D6" s="960"/>
      <c r="E6" s="960"/>
      <c r="F6" s="960"/>
      <c r="G6" s="960"/>
      <c r="H6" s="960"/>
      <c r="I6" s="2164"/>
      <c r="J6" s="960"/>
      <c r="K6" s="712" t="s">
        <v>238</v>
      </c>
      <c r="L6" s="1879" t="s">
        <v>3279</v>
      </c>
    </row>
    <row r="7" spans="1:39" s="1808" customFormat="1">
      <c r="A7" s="960"/>
      <c r="B7" s="960"/>
      <c r="C7" s="960"/>
      <c r="D7" s="960"/>
      <c r="E7" s="960"/>
      <c r="F7" s="960"/>
      <c r="G7" s="960"/>
      <c r="H7" s="960"/>
      <c r="I7" s="2164"/>
      <c r="J7" s="960"/>
      <c r="K7" s="712" t="s">
        <v>238</v>
      </c>
    </row>
    <row r="8" spans="1:39" s="1808" customFormat="1">
      <c r="A8" s="960"/>
      <c r="B8" s="960"/>
      <c r="C8" s="960"/>
      <c r="D8" s="960"/>
      <c r="E8" s="960"/>
      <c r="F8" s="960"/>
      <c r="G8" s="960"/>
      <c r="H8" s="960"/>
      <c r="I8" s="2164"/>
      <c r="J8" s="960"/>
      <c r="K8" s="712" t="s">
        <v>238</v>
      </c>
    </row>
    <row r="9" spans="1:39" s="1808" customFormat="1">
      <c r="A9" s="960"/>
      <c r="B9" s="960"/>
      <c r="C9" s="960"/>
      <c r="D9" s="960"/>
      <c r="E9" s="960"/>
      <c r="F9" s="960"/>
      <c r="G9" s="960"/>
      <c r="H9" s="960"/>
      <c r="I9" s="2164"/>
      <c r="J9" s="960"/>
      <c r="K9" s="712" t="s">
        <v>238</v>
      </c>
    </row>
    <row r="10" spans="1:39" s="1808" customFormat="1" ht="19">
      <c r="A10" s="960"/>
      <c r="B10" s="960"/>
      <c r="C10" s="960"/>
      <c r="D10" s="960"/>
      <c r="E10" s="960"/>
      <c r="F10" s="960"/>
      <c r="G10" s="960"/>
      <c r="H10" s="960"/>
      <c r="I10" s="2164"/>
      <c r="J10" s="960"/>
      <c r="K10" s="712" t="s">
        <v>238</v>
      </c>
      <c r="M10" s="1879" t="s">
        <v>3701</v>
      </c>
      <c r="U10" s="1081"/>
      <c r="X10" s="1879" t="s">
        <v>3702</v>
      </c>
      <c r="AA10" s="1411"/>
      <c r="AE10" s="734"/>
    </row>
    <row r="11" spans="1:39" s="1808" customFormat="1">
      <c r="A11" s="960"/>
      <c r="B11" s="960"/>
      <c r="C11" s="960"/>
      <c r="D11" s="960"/>
      <c r="E11" s="960"/>
      <c r="F11" s="960"/>
      <c r="G11" s="960"/>
      <c r="H11" s="960"/>
      <c r="I11" s="2164"/>
      <c r="J11" s="960"/>
      <c r="K11" s="712" t="s">
        <v>238</v>
      </c>
      <c r="P11" s="1411"/>
      <c r="AA11" s="1411"/>
      <c r="AE11" s="734"/>
    </row>
    <row r="12" spans="1:39" s="1808" customFormat="1" ht="17">
      <c r="A12" s="960"/>
      <c r="B12" s="960"/>
      <c r="C12" s="960"/>
      <c r="D12" s="960"/>
      <c r="E12" s="960"/>
      <c r="F12" s="960"/>
      <c r="G12" s="960"/>
      <c r="H12" s="960"/>
      <c r="I12" s="2164"/>
      <c r="J12" s="960"/>
      <c r="K12" s="712" t="s">
        <v>238</v>
      </c>
      <c r="M12" s="2154" t="s">
        <v>3629</v>
      </c>
      <c r="N12" s="2154" t="s">
        <v>3630</v>
      </c>
      <c r="O12" s="2154" t="s">
        <v>604</v>
      </c>
      <c r="P12" s="2373" t="s">
        <v>3631</v>
      </c>
      <c r="Q12" s="2154" t="s">
        <v>99</v>
      </c>
      <c r="R12" s="2154" t="s">
        <v>3632</v>
      </c>
      <c r="S12" s="2155" t="s">
        <v>3633</v>
      </c>
      <c r="T12" s="2364" t="s">
        <v>3044</v>
      </c>
      <c r="U12" s="2479" t="s">
        <v>98</v>
      </c>
      <c r="W12" s="1859"/>
      <c r="X12" s="2154" t="s">
        <v>3629</v>
      </c>
      <c r="Y12" s="2154" t="s">
        <v>3630</v>
      </c>
      <c r="Z12" s="2154" t="s">
        <v>604</v>
      </c>
      <c r="AA12" s="2373" t="s">
        <v>3631</v>
      </c>
      <c r="AB12" s="2154" t="s">
        <v>99</v>
      </c>
      <c r="AC12" s="2154" t="s">
        <v>3632</v>
      </c>
      <c r="AD12" s="2155" t="s">
        <v>3633</v>
      </c>
      <c r="AE12" s="2162" t="s">
        <v>3044</v>
      </c>
      <c r="AF12" s="2479" t="s">
        <v>98</v>
      </c>
      <c r="AG12" s="853"/>
      <c r="AH12" s="853"/>
      <c r="AI12" s="853"/>
      <c r="AJ12" s="853"/>
      <c r="AK12" s="853"/>
      <c r="AL12" s="1859"/>
      <c r="AM12" s="1859"/>
    </row>
    <row r="13" spans="1:39" s="1808" customFormat="1" ht="16">
      <c r="A13" s="960"/>
      <c r="B13" s="960"/>
      <c r="C13" s="960"/>
      <c r="D13" s="960"/>
      <c r="E13" s="960"/>
      <c r="F13" s="960"/>
      <c r="G13" s="960"/>
      <c r="H13" s="960"/>
      <c r="I13" s="2164"/>
      <c r="J13" s="960"/>
      <c r="K13" s="712" t="s">
        <v>238</v>
      </c>
      <c r="L13" s="1875"/>
      <c r="M13" s="2125" t="s">
        <v>3669</v>
      </c>
      <c r="N13" s="2126" t="str">
        <f>VLOOKUP(M13,Price[],2,0)</f>
        <v>Psychologist consultantion</v>
      </c>
      <c r="O13" s="2126" t="str">
        <f>VLOOKUP(M13,Price[],3,0)</f>
        <v>consultation/minute</v>
      </c>
      <c r="P13" s="2374">
        <f>VLOOKUP(M13,Price[],4,0)</f>
        <v>0.69</v>
      </c>
      <c r="Q13" s="2126" t="str">
        <f>VLOOKUP(M13,Price[],5,0)</f>
        <v>MDL</v>
      </c>
      <c r="R13" s="2127">
        <v>60</v>
      </c>
      <c r="S13" s="2480">
        <v>1</v>
      </c>
      <c r="T13" s="2365">
        <f>IF(R13="",P13*S13,P13*R13*S13)</f>
        <v>41.4</v>
      </c>
      <c r="U13" s="1486" t="s">
        <v>3258</v>
      </c>
      <c r="W13" s="1859"/>
      <c r="X13" s="2125" t="s">
        <v>3669</v>
      </c>
      <c r="Y13" s="2126" t="str">
        <f>VLOOKUP(X13,Price[],2,0)</f>
        <v>Psychologist consultantion</v>
      </c>
      <c r="Z13" s="2126" t="str">
        <f>VLOOKUP(X13,Price[],3,0)</f>
        <v>consultation/minute</v>
      </c>
      <c r="AA13" s="2374">
        <f>VLOOKUP(X13,Price[],4,0)</f>
        <v>0.69</v>
      </c>
      <c r="AB13" s="2126" t="str">
        <f>VLOOKUP(X13,Price[],5,0)</f>
        <v>MDL</v>
      </c>
      <c r="AC13" s="2127">
        <v>60</v>
      </c>
      <c r="AD13" s="2480">
        <v>1</v>
      </c>
      <c r="AE13" s="2128">
        <f>IF(AC13="",AA13*AD13,AA13*AC13*AD13)</f>
        <v>41.4</v>
      </c>
      <c r="AF13" s="1808" t="s">
        <v>3258</v>
      </c>
      <c r="AG13" s="853"/>
      <c r="AH13" s="853"/>
      <c r="AI13" s="853"/>
      <c r="AJ13" s="853"/>
      <c r="AK13" s="853"/>
      <c r="AL13" s="1859"/>
      <c r="AM13" s="1859"/>
    </row>
    <row r="14" spans="1:39" s="1808" customFormat="1" ht="16">
      <c r="A14" s="960"/>
      <c r="B14" s="960"/>
      <c r="C14" s="960"/>
      <c r="D14" s="960"/>
      <c r="E14" s="960"/>
      <c r="F14" s="960"/>
      <c r="G14" s="960"/>
      <c r="H14" s="960"/>
      <c r="I14" s="2164"/>
      <c r="J14" s="960"/>
      <c r="K14" s="712" t="s">
        <v>238</v>
      </c>
      <c r="L14" s="1875"/>
      <c r="M14" s="2125" t="s">
        <v>3669</v>
      </c>
      <c r="N14" s="2126" t="str">
        <f>VLOOKUP(M14,Price[],2,0)</f>
        <v>Psychologist consultantion</v>
      </c>
      <c r="O14" s="2126" t="str">
        <f>VLOOKUP(M14,Price[],3,0)</f>
        <v>consultation/minute</v>
      </c>
      <c r="P14" s="2374">
        <f>VLOOKUP(M14,Price[],4,0)</f>
        <v>0.69</v>
      </c>
      <c r="Q14" s="2126" t="str">
        <f>VLOOKUP(M14,Price[],5,0)</f>
        <v>MDL</v>
      </c>
      <c r="R14" s="2127">
        <v>60</v>
      </c>
      <c r="S14" s="2480">
        <v>3</v>
      </c>
      <c r="T14" s="2365">
        <f t="shared" ref="T14:T26" si="0">IF(R14="",P14*S14,P14*R14*S14)</f>
        <v>124.19999999999999</v>
      </c>
      <c r="U14" s="1486" t="s">
        <v>3711</v>
      </c>
      <c r="W14" s="1859"/>
      <c r="X14" s="2125" t="s">
        <v>3669</v>
      </c>
      <c r="Y14" s="2126" t="str">
        <f>VLOOKUP(X14,Price[],2,0)</f>
        <v>Psychologist consultantion</v>
      </c>
      <c r="Z14" s="2126" t="str">
        <f>VLOOKUP(X14,Price[],3,0)</f>
        <v>consultation/minute</v>
      </c>
      <c r="AA14" s="2374">
        <f>VLOOKUP(X14,Price[],4,0)</f>
        <v>0.69</v>
      </c>
      <c r="AB14" s="2126" t="str">
        <f>VLOOKUP(X14,Price[],5,0)</f>
        <v>MDL</v>
      </c>
      <c r="AC14" s="2127">
        <v>60</v>
      </c>
      <c r="AD14" s="2480">
        <v>9</v>
      </c>
      <c r="AE14" s="2128">
        <f t="shared" ref="AE14:AE26" si="1">IF(AC14="",AA14*AD14,AA14*AC14*AD14)</f>
        <v>372.59999999999997</v>
      </c>
      <c r="AF14" s="1808" t="s">
        <v>3712</v>
      </c>
      <c r="AG14" s="853"/>
      <c r="AH14" s="853"/>
      <c r="AI14" s="853"/>
      <c r="AJ14" s="853"/>
      <c r="AK14" s="853"/>
      <c r="AL14" s="1859"/>
      <c r="AM14" s="1859"/>
    </row>
    <row r="15" spans="1:39" s="1808" customFormat="1" ht="16">
      <c r="A15" s="960"/>
      <c r="B15" s="960"/>
      <c r="C15" s="960"/>
      <c r="D15" s="960"/>
      <c r="E15" s="960"/>
      <c r="F15" s="960"/>
      <c r="G15" s="960"/>
      <c r="H15" s="960"/>
      <c r="I15" s="2164"/>
      <c r="J15" s="960"/>
      <c r="K15" s="712" t="s">
        <v>238</v>
      </c>
      <c r="L15" s="1875"/>
      <c r="M15" s="2125" t="s">
        <v>3669</v>
      </c>
      <c r="N15" s="2126" t="str">
        <f>VLOOKUP(M15,Price[],2,0)</f>
        <v>Psychologist consultantion</v>
      </c>
      <c r="O15" s="2126" t="str">
        <f>VLOOKUP(M15,Price[],3,0)</f>
        <v>consultation/minute</v>
      </c>
      <c r="P15" s="2374">
        <f>VLOOKUP(M15,Price[],4,0)</f>
        <v>0.69</v>
      </c>
      <c r="Q15" s="2126" t="str">
        <f>VLOOKUP(M15,Price[],5,0)</f>
        <v>MDL</v>
      </c>
      <c r="R15" s="2127">
        <v>60</v>
      </c>
      <c r="S15" s="2480">
        <v>3</v>
      </c>
      <c r="T15" s="2365">
        <f t="shared" si="0"/>
        <v>124.19999999999999</v>
      </c>
      <c r="U15" s="1486" t="s">
        <v>3259</v>
      </c>
      <c r="W15" s="1859"/>
      <c r="X15" s="2125" t="s">
        <v>3669</v>
      </c>
      <c r="Y15" s="2126" t="str">
        <f>VLOOKUP(X15,Price[],2,0)</f>
        <v>Psychologist consultantion</v>
      </c>
      <c r="Z15" s="2126" t="str">
        <f>VLOOKUP(X15,Price[],3,0)</f>
        <v>consultation/minute</v>
      </c>
      <c r="AA15" s="2374">
        <f>VLOOKUP(X15,Price[],4,0)</f>
        <v>0.69</v>
      </c>
      <c r="AB15" s="2126" t="str">
        <f>VLOOKUP(X15,Price[],5,0)</f>
        <v>MDL</v>
      </c>
      <c r="AC15" s="2127">
        <v>60</v>
      </c>
      <c r="AD15" s="2480">
        <v>9</v>
      </c>
      <c r="AE15" s="2128">
        <f t="shared" si="1"/>
        <v>372.59999999999997</v>
      </c>
      <c r="AF15" s="1808" t="s">
        <v>3259</v>
      </c>
      <c r="AG15" s="853"/>
      <c r="AH15" s="853"/>
      <c r="AI15" s="853"/>
      <c r="AJ15" s="853"/>
      <c r="AK15" s="853"/>
      <c r="AL15" s="1859"/>
      <c r="AM15" s="1859"/>
    </row>
    <row r="16" spans="1:39" s="1808" customFormat="1" ht="16">
      <c r="A16" s="960"/>
      <c r="B16" s="960"/>
      <c r="C16" s="960"/>
      <c r="D16" s="960"/>
      <c r="E16" s="960"/>
      <c r="F16" s="960"/>
      <c r="G16" s="960"/>
      <c r="H16" s="960"/>
      <c r="I16" s="2164"/>
      <c r="J16" s="960"/>
      <c r="K16" s="712" t="s">
        <v>238</v>
      </c>
      <c r="L16" s="1875"/>
      <c r="M16" s="2125" t="s">
        <v>3669</v>
      </c>
      <c r="N16" s="2126" t="str">
        <f>VLOOKUP(M16,Price[],2,0)</f>
        <v>Psychologist consultantion</v>
      </c>
      <c r="O16" s="2126" t="str">
        <f>VLOOKUP(M16,Price[],3,0)</f>
        <v>consultation/minute</v>
      </c>
      <c r="P16" s="2374">
        <f>VLOOKUP(M16,Price[],4,0)</f>
        <v>0.69</v>
      </c>
      <c r="Q16" s="2126" t="str">
        <f>VLOOKUP(M16,Price[],5,0)</f>
        <v>MDL</v>
      </c>
      <c r="R16" s="2127">
        <v>60</v>
      </c>
      <c r="S16" s="2480">
        <v>2</v>
      </c>
      <c r="T16" s="2365">
        <f t="shared" si="0"/>
        <v>82.8</v>
      </c>
      <c r="U16" s="1486" t="s">
        <v>3260</v>
      </c>
      <c r="W16" s="1859"/>
      <c r="X16" s="2125" t="s">
        <v>3669</v>
      </c>
      <c r="Y16" s="2126" t="str">
        <f>VLOOKUP(X16,Price[],2,0)</f>
        <v>Psychologist consultantion</v>
      </c>
      <c r="Z16" s="2126" t="str">
        <f>VLOOKUP(X16,Price[],3,0)</f>
        <v>consultation/minute</v>
      </c>
      <c r="AA16" s="2374">
        <f>VLOOKUP(X16,Price[],4,0)</f>
        <v>0.69</v>
      </c>
      <c r="AB16" s="2126" t="str">
        <f>VLOOKUP(X16,Price[],5,0)</f>
        <v>MDL</v>
      </c>
      <c r="AC16" s="2127">
        <v>60</v>
      </c>
      <c r="AD16" s="2480">
        <v>3</v>
      </c>
      <c r="AE16" s="2128">
        <f t="shared" si="1"/>
        <v>124.19999999999999</v>
      </c>
      <c r="AF16" s="1808" t="s">
        <v>3260</v>
      </c>
      <c r="AG16" s="853"/>
      <c r="AH16" s="853"/>
      <c r="AI16" s="853"/>
      <c r="AJ16" s="853"/>
      <c r="AK16" s="853"/>
      <c r="AL16" s="1859"/>
      <c r="AM16" s="1859"/>
    </row>
    <row r="17" spans="1:39" s="1808" customFormat="1" ht="16">
      <c r="A17" s="960"/>
      <c r="B17" s="960"/>
      <c r="C17" s="960"/>
      <c r="D17" s="960"/>
      <c r="E17" s="960"/>
      <c r="F17" s="960"/>
      <c r="G17" s="960"/>
      <c r="H17" s="960"/>
      <c r="I17" s="2164"/>
      <c r="J17" s="960"/>
      <c r="K17" s="712" t="s">
        <v>238</v>
      </c>
      <c r="L17" s="1875"/>
      <c r="M17" s="2125" t="s">
        <v>3669</v>
      </c>
      <c r="N17" s="2126" t="str">
        <f>VLOOKUP(M17,Price[],2,0)</f>
        <v>Psychologist consultantion</v>
      </c>
      <c r="O17" s="2126" t="str">
        <f>VLOOKUP(M17,Price[],3,0)</f>
        <v>consultation/minute</v>
      </c>
      <c r="P17" s="2374">
        <f>VLOOKUP(M17,Price[],4,0)</f>
        <v>0.69</v>
      </c>
      <c r="Q17" s="2126" t="str">
        <f>VLOOKUP(M17,Price[],5,0)</f>
        <v>MDL</v>
      </c>
      <c r="R17" s="2127">
        <v>30</v>
      </c>
      <c r="S17" s="2480">
        <v>2</v>
      </c>
      <c r="T17" s="2365">
        <f t="shared" si="0"/>
        <v>41.4</v>
      </c>
      <c r="U17" s="1486" t="s">
        <v>3261</v>
      </c>
      <c r="W17" s="1859"/>
      <c r="X17" s="2125" t="s">
        <v>3669</v>
      </c>
      <c r="Y17" s="2126" t="str">
        <f>VLOOKUP(X17,Price[],2,0)</f>
        <v>Psychologist consultantion</v>
      </c>
      <c r="Z17" s="2126" t="str">
        <f>VLOOKUP(X17,Price[],3,0)</f>
        <v>consultation/minute</v>
      </c>
      <c r="AA17" s="2374">
        <f>VLOOKUP(X17,Price[],4,0)</f>
        <v>0.69</v>
      </c>
      <c r="AB17" s="2126" t="str">
        <f>VLOOKUP(X17,Price[],5,0)</f>
        <v>MDL</v>
      </c>
      <c r="AC17" s="2127">
        <v>30</v>
      </c>
      <c r="AD17" s="2480">
        <v>3</v>
      </c>
      <c r="AE17" s="2128">
        <f t="shared" si="1"/>
        <v>62.099999999999994</v>
      </c>
      <c r="AF17" s="1808" t="s">
        <v>3261</v>
      </c>
      <c r="AG17" s="853"/>
      <c r="AH17" s="853"/>
      <c r="AI17" s="853"/>
      <c r="AJ17" s="853"/>
      <c r="AK17" s="853"/>
      <c r="AL17" s="1859"/>
      <c r="AM17" s="1859"/>
    </row>
    <row r="18" spans="1:39" s="1808" customFormat="1" ht="16">
      <c r="A18" s="960"/>
      <c r="B18" s="960"/>
      <c r="C18" s="960"/>
      <c r="D18" s="960"/>
      <c r="E18" s="960"/>
      <c r="F18" s="960"/>
      <c r="G18" s="960"/>
      <c r="H18" s="960"/>
      <c r="I18" s="2164"/>
      <c r="J18" s="960"/>
      <c r="K18" s="712" t="s">
        <v>238</v>
      </c>
      <c r="L18" s="1875"/>
      <c r="M18" s="2125" t="s">
        <v>3667</v>
      </c>
      <c r="N18" s="2126" t="str">
        <f>VLOOKUP(M18,Price[],2,0)</f>
        <v>Consultation of the social worker</v>
      </c>
      <c r="O18" s="2126" t="str">
        <f>VLOOKUP(M18,Price[],3,0)</f>
        <v>consultation/minute</v>
      </c>
      <c r="P18" s="2374">
        <f>VLOOKUP(M18,Price[],4,0)</f>
        <v>0.62</v>
      </c>
      <c r="Q18" s="2126" t="str">
        <f>VLOOKUP(M18,Price[],5,0)</f>
        <v>MDL</v>
      </c>
      <c r="R18" s="2127">
        <v>120</v>
      </c>
      <c r="S18" s="2480">
        <v>1</v>
      </c>
      <c r="T18" s="2365">
        <f t="shared" si="0"/>
        <v>74.400000000000006</v>
      </c>
      <c r="U18" s="1486" t="s">
        <v>3262</v>
      </c>
      <c r="W18" s="1859"/>
      <c r="X18" s="2125" t="s">
        <v>3667</v>
      </c>
      <c r="Y18" s="2126" t="str">
        <f>VLOOKUP(X18,Price[],2,0)</f>
        <v>Consultation of the social worker</v>
      </c>
      <c r="Z18" s="2126" t="str">
        <f>VLOOKUP(X18,Price[],3,0)</f>
        <v>consultation/minute</v>
      </c>
      <c r="AA18" s="2374">
        <f>VLOOKUP(X18,Price[],4,0)</f>
        <v>0.62</v>
      </c>
      <c r="AB18" s="2126" t="str">
        <f>VLOOKUP(X18,Price[],5,0)</f>
        <v>MDL</v>
      </c>
      <c r="AC18" s="2127">
        <v>120</v>
      </c>
      <c r="AD18" s="2480">
        <v>1</v>
      </c>
      <c r="AE18" s="2128">
        <f t="shared" si="1"/>
        <v>74.400000000000006</v>
      </c>
      <c r="AF18" s="1808" t="s">
        <v>3262</v>
      </c>
      <c r="AG18" s="853"/>
      <c r="AH18" s="853"/>
      <c r="AI18" s="853"/>
      <c r="AJ18" s="853"/>
      <c r="AK18" s="853"/>
      <c r="AL18" s="1859"/>
      <c r="AM18" s="1859"/>
    </row>
    <row r="19" spans="1:39" s="1808" customFormat="1" ht="16">
      <c r="A19" s="960"/>
      <c r="B19" s="960"/>
      <c r="C19" s="960"/>
      <c r="D19" s="960"/>
      <c r="E19" s="960"/>
      <c r="F19" s="960"/>
      <c r="G19" s="960"/>
      <c r="H19" s="960"/>
      <c r="I19" s="2164"/>
      <c r="J19" s="960"/>
      <c r="K19" s="712" t="s">
        <v>238</v>
      </c>
      <c r="L19" s="1875"/>
      <c r="M19" s="2125" t="s">
        <v>3667</v>
      </c>
      <c r="N19" s="2126" t="str">
        <f>VLOOKUP(M19,Price[],2,0)</f>
        <v>Consultation of the social worker</v>
      </c>
      <c r="O19" s="2126" t="str">
        <f>VLOOKUP(M19,Price[],3,0)</f>
        <v>consultation/minute</v>
      </c>
      <c r="P19" s="2374">
        <f>VLOOKUP(M19,Price[],4,0)</f>
        <v>0.62</v>
      </c>
      <c r="Q19" s="2126" t="str">
        <f>VLOOKUP(M19,Price[],5,0)</f>
        <v>MDL</v>
      </c>
      <c r="R19" s="2127">
        <v>120</v>
      </c>
      <c r="S19" s="2480">
        <v>3</v>
      </c>
      <c r="T19" s="2365">
        <f t="shared" si="0"/>
        <v>223.20000000000002</v>
      </c>
      <c r="U19" s="1486" t="s">
        <v>3263</v>
      </c>
      <c r="W19" s="1859"/>
      <c r="X19" s="2125" t="s">
        <v>3667</v>
      </c>
      <c r="Y19" s="2126" t="str">
        <f>VLOOKUP(X19,Price[],2,0)</f>
        <v>Consultation of the social worker</v>
      </c>
      <c r="Z19" s="2126" t="str">
        <f>VLOOKUP(X19,Price[],3,0)</f>
        <v>consultation/minute</v>
      </c>
      <c r="AA19" s="2374">
        <f>VLOOKUP(X19,Price[],4,0)</f>
        <v>0.62</v>
      </c>
      <c r="AB19" s="2126" t="str">
        <f>VLOOKUP(X19,Price[],5,0)</f>
        <v>MDL</v>
      </c>
      <c r="AC19" s="2127">
        <v>120</v>
      </c>
      <c r="AD19" s="2480">
        <v>9</v>
      </c>
      <c r="AE19" s="2128">
        <f t="shared" si="1"/>
        <v>669.6</v>
      </c>
      <c r="AF19" s="1808" t="s">
        <v>3263</v>
      </c>
      <c r="AG19" s="853"/>
      <c r="AH19" s="853"/>
      <c r="AI19" s="853"/>
      <c r="AJ19" s="853"/>
      <c r="AK19" s="853"/>
      <c r="AL19" s="1859"/>
      <c r="AM19" s="1859"/>
    </row>
    <row r="20" spans="1:39" s="1808" customFormat="1" ht="16">
      <c r="A20" s="960"/>
      <c r="B20" s="960"/>
      <c r="C20" s="960"/>
      <c r="D20" s="960"/>
      <c r="E20" s="960"/>
      <c r="F20" s="960"/>
      <c r="G20" s="960"/>
      <c r="H20" s="960"/>
      <c r="I20" s="2164"/>
      <c r="J20" s="960"/>
      <c r="K20" s="712" t="s">
        <v>238</v>
      </c>
      <c r="L20" s="1875"/>
      <c r="M20" s="2166" t="s">
        <v>3709</v>
      </c>
      <c r="N20" s="2167" t="str">
        <f>VLOOKUP(M20,Price[],2,0)</f>
        <v>DOT_assistent</v>
      </c>
      <c r="O20" s="2167" t="str">
        <f>VLOOKUP(M20,Price[],3,0)</f>
        <v>per person/minute</v>
      </c>
      <c r="P20" s="2375">
        <f>VLOOKUP(M20,Price[],4,0)</f>
        <v>0.32050000000000001</v>
      </c>
      <c r="Q20" s="2167" t="str">
        <f>VLOOKUP(M20,Price[],5,0)</f>
        <v>MDL</v>
      </c>
      <c r="R20" s="2168">
        <v>60</v>
      </c>
      <c r="S20" s="2481">
        <v>60</v>
      </c>
      <c r="T20" s="2482">
        <f t="shared" si="0"/>
        <v>1153.8</v>
      </c>
      <c r="U20" s="1486" t="s">
        <v>3493</v>
      </c>
      <c r="W20" s="1859"/>
      <c r="X20" s="2166" t="s">
        <v>3709</v>
      </c>
      <c r="Y20" s="2167" t="str">
        <f>VLOOKUP(X20,Price[],2,0)</f>
        <v>DOT_assistent</v>
      </c>
      <c r="Z20" s="2167" t="str">
        <f>VLOOKUP(X20,Price[],3,0)</f>
        <v>per person/minute</v>
      </c>
      <c r="AA20" s="2375">
        <f>VLOOKUP(X20,Price[],4,0)</f>
        <v>0.32050000000000001</v>
      </c>
      <c r="AB20" s="2167" t="str">
        <f>VLOOKUP(X20,Price[],5,0)</f>
        <v>MDL</v>
      </c>
      <c r="AC20" s="2168">
        <v>60</v>
      </c>
      <c r="AD20" s="2481">
        <v>180</v>
      </c>
      <c r="AE20" s="2169">
        <f t="shared" si="1"/>
        <v>3461.4</v>
      </c>
      <c r="AF20" s="1808" t="s">
        <v>3493</v>
      </c>
      <c r="AG20" s="853"/>
      <c r="AH20" s="853"/>
      <c r="AI20" s="853"/>
      <c r="AJ20" s="853"/>
      <c r="AK20" s="853"/>
      <c r="AL20" s="1859"/>
      <c r="AM20" s="1859"/>
    </row>
    <row r="21" spans="1:39" s="1808" customFormat="1" ht="17" thickBot="1">
      <c r="A21" s="960"/>
      <c r="B21" s="960"/>
      <c r="C21" s="960"/>
      <c r="D21" s="960"/>
      <c r="E21" s="960"/>
      <c r="F21" s="960"/>
      <c r="G21" s="960"/>
      <c r="H21" s="960"/>
      <c r="I21" s="2164"/>
      <c r="J21" s="960"/>
      <c r="K21" s="712" t="s">
        <v>238</v>
      </c>
      <c r="L21" s="1875"/>
      <c r="M21" s="2483" t="s">
        <v>3675</v>
      </c>
      <c r="N21" s="2342" t="str">
        <f>VLOOKUP(M21,Price[],2,0)</f>
        <v>Informational materials</v>
      </c>
      <c r="O21" s="2342" t="str">
        <f>VLOOKUP(M21,Price[],3,0)</f>
        <v>kit</v>
      </c>
      <c r="P21" s="2375">
        <f>VLOOKUP(M21,Price[],4,0)</f>
        <v>5</v>
      </c>
      <c r="Q21" s="2167" t="str">
        <f>VLOOKUP(M21,Price[],5,0)</f>
        <v>MDL</v>
      </c>
      <c r="R21" s="2168">
        <v>1</v>
      </c>
      <c r="S21" s="2481">
        <v>1</v>
      </c>
      <c r="T21" s="2366">
        <f t="shared" si="0"/>
        <v>5</v>
      </c>
      <c r="U21" s="414"/>
      <c r="W21" s="1859"/>
      <c r="X21" s="2341" t="s">
        <v>3675</v>
      </c>
      <c r="Y21" s="2342" t="str">
        <f>VLOOKUP(X21,Price[],2,0)</f>
        <v>Informational materials</v>
      </c>
      <c r="Z21" s="2342" t="str">
        <f>VLOOKUP(X21,Price[],3,0)</f>
        <v>kit</v>
      </c>
      <c r="AA21" s="2375">
        <f>VLOOKUP(X21,Price[],4,0)</f>
        <v>5</v>
      </c>
      <c r="AB21" s="2167" t="str">
        <f>VLOOKUP(X21,Price[],5,0)</f>
        <v>MDL</v>
      </c>
      <c r="AC21" s="2168">
        <v>1</v>
      </c>
      <c r="AD21" s="2481">
        <v>1</v>
      </c>
      <c r="AE21" s="2169">
        <f t="shared" si="1"/>
        <v>5</v>
      </c>
      <c r="AF21" s="2370"/>
      <c r="AG21" s="853"/>
      <c r="AH21" s="853"/>
      <c r="AI21" s="853"/>
      <c r="AJ21" s="853"/>
      <c r="AK21" s="853"/>
      <c r="AL21" s="1859"/>
      <c r="AM21" s="1859"/>
    </row>
    <row r="22" spans="1:39" s="1808" customFormat="1" ht="16">
      <c r="A22" s="960"/>
      <c r="B22" s="960"/>
      <c r="C22" s="960"/>
      <c r="D22" s="960"/>
      <c r="E22" s="960"/>
      <c r="F22" s="960"/>
      <c r="G22" s="960"/>
      <c r="H22" s="960"/>
      <c r="I22" s="2164"/>
      <c r="J22" s="960"/>
      <c r="K22" s="712" t="s">
        <v>238</v>
      </c>
      <c r="L22" s="1875"/>
      <c r="M22" s="2170" t="s">
        <v>3637</v>
      </c>
      <c r="N22" s="2171" t="str">
        <f>VLOOKUP(M22,Price[],2,0)</f>
        <v>Project manager</v>
      </c>
      <c r="O22" s="2171" t="str">
        <f>VLOOKUP(M22,Price[],3,0)</f>
        <v>per benficiary</v>
      </c>
      <c r="P22" s="2376">
        <f>VLOOKUP(M22,Price[],4,0)</f>
        <v>42.26</v>
      </c>
      <c r="Q22" s="2171" t="str">
        <f>VLOOKUP(M22,Price[],5,0)</f>
        <v>MDL</v>
      </c>
      <c r="R22" s="2170"/>
      <c r="S22" s="2381">
        <v>1</v>
      </c>
      <c r="T22" s="2367">
        <f t="shared" si="0"/>
        <v>42.26</v>
      </c>
      <c r="W22" s="1859"/>
      <c r="X22" s="2170" t="s">
        <v>3637</v>
      </c>
      <c r="Y22" s="2171" t="str">
        <f>VLOOKUP(X22,Price[],2,0)</f>
        <v>Project manager</v>
      </c>
      <c r="Z22" s="2171" t="str">
        <f>VLOOKUP(X22,Price[],3,0)</f>
        <v>per benficiary</v>
      </c>
      <c r="AA22" s="2376">
        <f>VLOOKUP(X22,Price[],4,0)</f>
        <v>42.26</v>
      </c>
      <c r="AB22" s="2171" t="str">
        <f>VLOOKUP(X22,Price[],5,0)</f>
        <v>MDL</v>
      </c>
      <c r="AC22" s="2170"/>
      <c r="AD22" s="2381">
        <v>1.75</v>
      </c>
      <c r="AE22" s="2172">
        <f>IF(AC22="",AA22*AD22,AA22*AC22*AD22)</f>
        <v>73.954999999999998</v>
      </c>
      <c r="AF22" s="1081"/>
      <c r="AG22" s="853"/>
      <c r="AH22" s="853"/>
      <c r="AI22" s="853"/>
      <c r="AJ22" s="853"/>
      <c r="AK22" s="853"/>
      <c r="AL22" s="1859"/>
      <c r="AM22" s="1859"/>
    </row>
    <row r="23" spans="1:39" s="1808" customFormat="1" ht="16">
      <c r="A23" s="960"/>
      <c r="B23" s="960"/>
      <c r="C23" s="960"/>
      <c r="D23" s="960"/>
      <c r="E23" s="960"/>
      <c r="F23" s="960"/>
      <c r="G23" s="960"/>
      <c r="H23" s="960"/>
      <c r="I23" s="2164"/>
      <c r="J23" s="960"/>
      <c r="K23" s="712" t="s">
        <v>238</v>
      </c>
      <c r="L23" s="1875"/>
      <c r="M23" s="2125" t="s">
        <v>3638</v>
      </c>
      <c r="N23" s="2126" t="str">
        <f>VLOOKUP(M23,Price[],2,0)</f>
        <v>Accountant</v>
      </c>
      <c r="O23" s="2126" t="str">
        <f>VLOOKUP(M23,Price[],3,0)</f>
        <v>per benficiary</v>
      </c>
      <c r="P23" s="2374">
        <f>VLOOKUP(M23,Price[],4,0)</f>
        <v>30.65</v>
      </c>
      <c r="Q23" s="2126" t="str">
        <f>VLOOKUP(M23,Price[],5,0)</f>
        <v>MDL</v>
      </c>
      <c r="R23" s="2125"/>
      <c r="S23" s="2382">
        <v>1</v>
      </c>
      <c r="T23" s="2365">
        <f t="shared" si="0"/>
        <v>30.65</v>
      </c>
      <c r="W23" s="1859"/>
      <c r="X23" s="2125" t="s">
        <v>3638</v>
      </c>
      <c r="Y23" s="2126" t="str">
        <f>VLOOKUP(X23,Price[],2,0)</f>
        <v>Accountant</v>
      </c>
      <c r="Z23" s="2126" t="str">
        <f>VLOOKUP(X23,Price[],3,0)</f>
        <v>per benficiary</v>
      </c>
      <c r="AA23" s="2374">
        <f>VLOOKUP(X23,Price[],4,0)</f>
        <v>30.65</v>
      </c>
      <c r="AB23" s="2126" t="str">
        <f>VLOOKUP(X23,Price[],5,0)</f>
        <v>MDL</v>
      </c>
      <c r="AC23" s="2125"/>
      <c r="AD23" s="2382">
        <v>1.75</v>
      </c>
      <c r="AE23" s="2173">
        <f t="shared" si="1"/>
        <v>53.637499999999996</v>
      </c>
      <c r="AF23" s="1081"/>
      <c r="AG23" s="853"/>
      <c r="AH23" s="853"/>
      <c r="AI23" s="853"/>
      <c r="AJ23" s="853"/>
      <c r="AK23" s="853"/>
      <c r="AL23" s="1859"/>
      <c r="AM23" s="1859"/>
    </row>
    <row r="24" spans="1:39" s="1808" customFormat="1" ht="16">
      <c r="A24" s="960"/>
      <c r="B24" s="960"/>
      <c r="C24" s="960"/>
      <c r="D24" s="960"/>
      <c r="E24" s="960"/>
      <c r="F24" s="960"/>
      <c r="G24" s="960"/>
      <c r="H24" s="960"/>
      <c r="I24" s="2164"/>
      <c r="J24" s="960"/>
      <c r="K24" s="712" t="s">
        <v>238</v>
      </c>
      <c r="L24" s="1875"/>
      <c r="M24" s="2125" t="s">
        <v>3639</v>
      </c>
      <c r="N24" s="2126" t="str">
        <f>VLOOKUP(M24,Price[],2,0)</f>
        <v>Driver</v>
      </c>
      <c r="O24" s="2126" t="str">
        <f>VLOOKUP(M24,Price[],3,0)</f>
        <v>per benficiary</v>
      </c>
      <c r="P24" s="2374">
        <f>VLOOKUP(M24,Price[],4,0)</f>
        <v>17.03</v>
      </c>
      <c r="Q24" s="2126" t="str">
        <f>VLOOKUP(M24,Price[],5,0)</f>
        <v>MDL</v>
      </c>
      <c r="R24" s="2125"/>
      <c r="S24" s="2382">
        <v>1</v>
      </c>
      <c r="T24" s="2365">
        <f t="shared" si="0"/>
        <v>17.03</v>
      </c>
      <c r="W24" s="1859"/>
      <c r="X24" s="2125" t="s">
        <v>3639</v>
      </c>
      <c r="Y24" s="2126" t="str">
        <f>VLOOKUP(X24,Price[],2,0)</f>
        <v>Driver</v>
      </c>
      <c r="Z24" s="2126" t="str">
        <f>VLOOKUP(X24,Price[],3,0)</f>
        <v>per benficiary</v>
      </c>
      <c r="AA24" s="2374">
        <f>VLOOKUP(X24,Price[],4,0)</f>
        <v>17.03</v>
      </c>
      <c r="AB24" s="2126" t="str">
        <f>VLOOKUP(X24,Price[],5,0)</f>
        <v>MDL</v>
      </c>
      <c r="AC24" s="2125"/>
      <c r="AD24" s="2382">
        <v>1.75</v>
      </c>
      <c r="AE24" s="2173">
        <f t="shared" si="1"/>
        <v>29.802500000000002</v>
      </c>
      <c r="AF24" s="1081"/>
      <c r="AG24" s="1859"/>
      <c r="AH24" s="1859"/>
      <c r="AI24" s="1859"/>
      <c r="AJ24" s="1859"/>
      <c r="AK24" s="1859"/>
      <c r="AL24" s="1859"/>
      <c r="AM24" s="1859"/>
    </row>
    <row r="25" spans="1:39" s="1808" customFormat="1" ht="16">
      <c r="A25" s="960"/>
      <c r="B25" s="960"/>
      <c r="C25" s="960"/>
      <c r="D25" s="960"/>
      <c r="E25" s="960"/>
      <c r="F25" s="960"/>
      <c r="G25" s="960"/>
      <c r="H25" s="960"/>
      <c r="I25" s="2164"/>
      <c r="J25" s="960"/>
      <c r="K25" s="712" t="s">
        <v>238</v>
      </c>
      <c r="L25" s="1875"/>
      <c r="M25" s="2125" t="s">
        <v>3640</v>
      </c>
      <c r="N25" s="2126" t="str">
        <f>VLOOKUP(M25,Price[],2,0)</f>
        <v>Cleaner</v>
      </c>
      <c r="O25" s="2126" t="str">
        <f>VLOOKUP(M25,Price[],3,0)</f>
        <v>per benficiary</v>
      </c>
      <c r="P25" s="2374">
        <f>VLOOKUP(M25,Price[],4,0)</f>
        <v>12.94</v>
      </c>
      <c r="Q25" s="2126" t="str">
        <f>VLOOKUP(M25,Price[],5,0)</f>
        <v>MDL</v>
      </c>
      <c r="R25" s="2125"/>
      <c r="S25" s="2382">
        <v>1</v>
      </c>
      <c r="T25" s="2365">
        <f t="shared" si="0"/>
        <v>12.94</v>
      </c>
      <c r="W25" s="1859"/>
      <c r="X25" s="2125" t="s">
        <v>3640</v>
      </c>
      <c r="Y25" s="2126" t="str">
        <f>VLOOKUP(X25,Price[],2,0)</f>
        <v>Cleaner</v>
      </c>
      <c r="Z25" s="2126" t="str">
        <f>VLOOKUP(X25,Price[],3,0)</f>
        <v>per benficiary</v>
      </c>
      <c r="AA25" s="2374">
        <f>VLOOKUP(X25,Price[],4,0)</f>
        <v>12.94</v>
      </c>
      <c r="AB25" s="2126" t="str">
        <f>VLOOKUP(X25,Price[],5,0)</f>
        <v>MDL</v>
      </c>
      <c r="AC25" s="2125"/>
      <c r="AD25" s="2382">
        <v>1.75</v>
      </c>
      <c r="AE25" s="2173">
        <f t="shared" si="1"/>
        <v>22.645</v>
      </c>
      <c r="AF25" s="1081"/>
      <c r="AG25" s="1859"/>
      <c r="AH25" s="1859"/>
      <c r="AI25" s="1859"/>
      <c r="AJ25" s="1859"/>
      <c r="AK25" s="1859"/>
      <c r="AL25" s="1859"/>
      <c r="AM25" s="1859"/>
    </row>
    <row r="26" spans="1:39" s="1808" customFormat="1" ht="17" thickBot="1">
      <c r="A26" s="960"/>
      <c r="B26" s="960"/>
      <c r="C26" s="960"/>
      <c r="D26" s="960"/>
      <c r="E26" s="960"/>
      <c r="F26" s="960"/>
      <c r="G26" s="960"/>
      <c r="H26" s="960"/>
      <c r="I26" s="2164"/>
      <c r="J26" s="960"/>
      <c r="K26" s="712" t="s">
        <v>238</v>
      </c>
      <c r="L26" s="1875"/>
      <c r="M26" s="2174" t="s">
        <v>3267</v>
      </c>
      <c r="N26" s="2175" t="str">
        <f>VLOOKUP(M26,Price[],2,0)</f>
        <v>Utilities</v>
      </c>
      <c r="O26" s="2175" t="str">
        <f>VLOOKUP(M26,Price[],3,0)</f>
        <v>per benficiary</v>
      </c>
      <c r="P26" s="2377">
        <f>VLOOKUP(M26,Price[],4,0)</f>
        <v>68.739999999999995</v>
      </c>
      <c r="Q26" s="2175" t="str">
        <f>VLOOKUP(M26,Price[],5,0)</f>
        <v>MDL</v>
      </c>
      <c r="R26" s="2176"/>
      <c r="S26" s="2383">
        <v>1</v>
      </c>
      <c r="T26" s="2368">
        <f t="shared" si="0"/>
        <v>68.739999999999995</v>
      </c>
      <c r="W26" s="1859"/>
      <c r="X26" s="2174" t="s">
        <v>3267</v>
      </c>
      <c r="Y26" s="2175" t="str">
        <f>VLOOKUP(X26,Price[],2,0)</f>
        <v>Utilities</v>
      </c>
      <c r="Z26" s="2175" t="str">
        <f>VLOOKUP(X26,Price[],3,0)</f>
        <v>per benficiary</v>
      </c>
      <c r="AA26" s="2377">
        <f>VLOOKUP(X26,Price[],4,0)</f>
        <v>68.739999999999995</v>
      </c>
      <c r="AB26" s="2175" t="str">
        <f>VLOOKUP(X26,Price[],5,0)</f>
        <v>MDL</v>
      </c>
      <c r="AC26" s="2176"/>
      <c r="AD26" s="2383">
        <v>1.75</v>
      </c>
      <c r="AE26" s="2177">
        <f t="shared" si="1"/>
        <v>120.29499999999999</v>
      </c>
      <c r="AF26" s="1081"/>
      <c r="AG26" s="1859"/>
      <c r="AH26" s="1859"/>
      <c r="AI26" s="1859"/>
      <c r="AJ26" s="1859"/>
      <c r="AK26" s="1859"/>
      <c r="AL26" s="1859"/>
      <c r="AM26" s="1859"/>
    </row>
    <row r="27" spans="1:39" s="1808" customFormat="1" ht="17" thickBot="1">
      <c r="A27" s="960"/>
      <c r="B27" s="960"/>
      <c r="C27" s="960"/>
      <c r="D27" s="960"/>
      <c r="E27" s="960"/>
      <c r="F27" s="960"/>
      <c r="G27" s="960"/>
      <c r="H27" s="960"/>
      <c r="I27" s="2164"/>
      <c r="J27" s="960"/>
      <c r="K27" s="712" t="s">
        <v>238</v>
      </c>
      <c r="L27" s="1875"/>
      <c r="M27" s="431"/>
      <c r="N27" s="431"/>
      <c r="O27" s="431"/>
      <c r="P27" s="2378"/>
      <c r="Q27" s="431"/>
      <c r="R27" s="431"/>
      <c r="S27" s="431"/>
      <c r="T27" s="2484">
        <f>SUM(T13:T26)</f>
        <v>2042.0200000000002</v>
      </c>
      <c r="U27" s="431"/>
      <c r="W27" s="1859"/>
      <c r="X27" s="431"/>
      <c r="Y27" s="431"/>
      <c r="Z27" s="431"/>
      <c r="AA27" s="431"/>
      <c r="AB27" s="431"/>
      <c r="AC27" s="431"/>
      <c r="AD27" s="431"/>
      <c r="AE27" s="2372">
        <f>SUM(AE13:AE26)</f>
        <v>5483.6350000000002</v>
      </c>
      <c r="AF27" s="1561"/>
      <c r="AG27" s="1859"/>
      <c r="AH27" s="1859"/>
      <c r="AI27" s="1859"/>
      <c r="AJ27" s="1859"/>
      <c r="AK27" s="1859"/>
      <c r="AL27" s="1859"/>
      <c r="AM27" s="1859"/>
    </row>
    <row r="28" spans="1:39" s="1808" customFormat="1">
      <c r="A28" s="960"/>
      <c r="B28" s="960"/>
      <c r="C28" s="960"/>
      <c r="D28" s="960"/>
      <c r="E28" s="960"/>
      <c r="F28" s="960"/>
      <c r="G28" s="960"/>
      <c r="H28" s="960"/>
      <c r="I28" s="2164"/>
      <c r="J28" s="960"/>
      <c r="K28" s="712" t="s">
        <v>238</v>
      </c>
      <c r="L28" s="853"/>
      <c r="M28" s="853"/>
      <c r="N28" s="853"/>
      <c r="O28" s="853"/>
      <c r="P28" s="853"/>
      <c r="Q28" s="853"/>
      <c r="R28"/>
      <c r="S28" s="853"/>
      <c r="T28" s="853"/>
      <c r="U28" s="853"/>
      <c r="V28" s="853"/>
      <c r="W28" s="853"/>
      <c r="X28" s="853"/>
      <c r="Y28" s="853"/>
      <c r="Z28" s="853"/>
      <c r="AA28" s="853"/>
      <c r="AB28" s="853"/>
      <c r="AC28" s="853"/>
      <c r="AD28" s="853"/>
      <c r="AE28" s="853"/>
      <c r="AF28" s="853"/>
      <c r="AG28" s="853"/>
      <c r="AH28" s="853"/>
      <c r="AI28" s="853"/>
      <c r="AJ28" s="853"/>
      <c r="AK28" s="853"/>
      <c r="AL28" s="853"/>
      <c r="AM28" s="853"/>
    </row>
    <row r="29" spans="1:39" s="1808" customFormat="1">
      <c r="A29" s="960"/>
      <c r="B29" s="960"/>
      <c r="C29" s="960"/>
      <c r="D29" s="960"/>
      <c r="E29" s="960"/>
      <c r="F29" s="960"/>
      <c r="G29" s="960"/>
      <c r="H29" s="960"/>
      <c r="I29" s="2164"/>
      <c r="J29" s="960"/>
      <c r="K29" s="712" t="s">
        <v>238</v>
      </c>
      <c r="L29" s="853"/>
      <c r="M29" s="853"/>
      <c r="N29" s="853"/>
      <c r="O29" s="853"/>
      <c r="P29" s="853"/>
      <c r="Q29" s="853"/>
      <c r="R29" s="853"/>
      <c r="S29" s="853"/>
      <c r="T29" s="853"/>
      <c r="U29" s="853"/>
      <c r="V29" s="853"/>
      <c r="W29" s="853"/>
      <c r="X29" s="853"/>
      <c r="Y29" s="853"/>
      <c r="Z29" s="853"/>
      <c r="AA29" s="853"/>
      <c r="AB29" s="853"/>
      <c r="AC29" s="853"/>
      <c r="AD29" s="853"/>
      <c r="AE29" s="853"/>
      <c r="AF29" s="853"/>
      <c r="AG29" s="853"/>
      <c r="AH29" s="853"/>
      <c r="AI29" s="853"/>
      <c r="AJ29" s="853"/>
      <c r="AK29" s="853"/>
      <c r="AL29" s="853"/>
      <c r="AM29" s="853"/>
    </row>
    <row r="30" spans="1:39" s="1808" customFormat="1" ht="21">
      <c r="A30" s="960"/>
      <c r="B30" s="960"/>
      <c r="C30" s="960"/>
      <c r="D30" s="960"/>
      <c r="E30" s="960"/>
      <c r="F30" s="960"/>
      <c r="G30" s="960"/>
      <c r="H30" s="960"/>
      <c r="I30" s="2164"/>
      <c r="J30" s="960"/>
      <c r="K30" s="712" t="s">
        <v>238</v>
      </c>
      <c r="L30" s="498"/>
      <c r="M30" s="1879" t="s">
        <v>297</v>
      </c>
      <c r="N30" s="442"/>
      <c r="O30" s="442"/>
      <c r="P30" s="442"/>
      <c r="Q30" s="500"/>
      <c r="R30" s="442"/>
      <c r="S30" s="442"/>
      <c r="T30" s="442"/>
      <c r="U30" s="442"/>
      <c r="V30" s="442"/>
      <c r="W30" s="442"/>
      <c r="X30" s="442"/>
      <c r="Y30" s="442"/>
      <c r="Z30"/>
      <c r="AA30"/>
      <c r="AB30"/>
    </row>
    <row r="31" spans="1:39" s="1808" customFormat="1" ht="21">
      <c r="A31" s="960"/>
      <c r="B31" s="960"/>
      <c r="C31" s="960"/>
      <c r="D31" s="960"/>
      <c r="E31" s="960"/>
      <c r="F31" s="960"/>
      <c r="G31" s="960"/>
      <c r="H31" s="960"/>
      <c r="I31" s="2164"/>
      <c r="J31" s="960"/>
      <c r="K31" s="712" t="s">
        <v>238</v>
      </c>
      <c r="L31" s="498"/>
      <c r="M31" s="499"/>
      <c r="N31" s="442"/>
      <c r="O31" s="442"/>
      <c r="P31" s="442"/>
      <c r="Q31" s="500"/>
      <c r="R31" s="442"/>
      <c r="S31" s="442"/>
      <c r="T31" s="442"/>
      <c r="U31" s="442"/>
      <c r="V31" s="442"/>
      <c r="W31" s="442"/>
      <c r="X31" s="442"/>
      <c r="Y31" s="442"/>
      <c r="Z31"/>
      <c r="AA31"/>
      <c r="AB31"/>
    </row>
    <row r="32" spans="1:39" s="1808" customFormat="1" ht="21" outlineLevel="1">
      <c r="A32" s="960"/>
      <c r="B32" s="960"/>
      <c r="C32" s="960"/>
      <c r="D32" s="960"/>
      <c r="E32" s="960"/>
      <c r="F32" s="960"/>
      <c r="G32" s="960"/>
      <c r="H32" s="960"/>
      <c r="I32" s="2164"/>
      <c r="J32" s="960"/>
      <c r="K32" s="712" t="s">
        <v>238</v>
      </c>
      <c r="L32" s="501"/>
      <c r="M32" s="499" t="s">
        <v>306</v>
      </c>
      <c r="N32" s="442"/>
      <c r="O32" s="442"/>
      <c r="P32" s="442"/>
      <c r="Q32" s="500"/>
      <c r="R32" s="442"/>
      <c r="S32" s="442"/>
      <c r="T32" s="442"/>
      <c r="U32" s="442"/>
      <c r="V32" s="442"/>
      <c r="W32" s="442"/>
      <c r="X32" s="442"/>
      <c r="Y32" s="442"/>
      <c r="Z32"/>
      <c r="AA32"/>
      <c r="AB32"/>
    </row>
    <row r="33" spans="1:29" s="1808" customFormat="1" ht="22" outlineLevel="1" thickBot="1">
      <c r="A33" s="960"/>
      <c r="B33" s="960"/>
      <c r="C33" s="960"/>
      <c r="D33" s="960"/>
      <c r="E33" s="960"/>
      <c r="F33" s="960"/>
      <c r="G33" s="960"/>
      <c r="H33" s="960"/>
      <c r="I33" s="2164"/>
      <c r="J33" s="960"/>
      <c r="K33" s="712" t="s">
        <v>238</v>
      </c>
      <c r="L33" s="430"/>
      <c r="M33" s="421"/>
      <c r="N33" s="442"/>
      <c r="O33" s="526"/>
      <c r="P33" s="526"/>
      <c r="Q33" s="526"/>
      <c r="R33" s="526"/>
      <c r="S33" s="526"/>
      <c r="T33" s="526"/>
      <c r="U33" s="526"/>
      <c r="V33" s="499" t="s">
        <v>501</v>
      </c>
      <c r="W33" s="442"/>
      <c r="X33" s="526"/>
      <c r="Y33" s="526"/>
      <c r="Z33" s="526"/>
      <c r="AA33" s="526"/>
      <c r="AB33" s="526"/>
      <c r="AC33" s="526"/>
    </row>
    <row r="34" spans="1:29" s="1808" customFormat="1" ht="22" outlineLevel="1" thickBot="1">
      <c r="A34" s="960"/>
      <c r="B34" s="960"/>
      <c r="C34" s="960"/>
      <c r="D34" s="960"/>
      <c r="E34" s="960"/>
      <c r="F34" s="960"/>
      <c r="G34" s="960"/>
      <c r="H34" s="960"/>
      <c r="I34" s="2164"/>
      <c r="J34" s="960"/>
      <c r="K34" s="712" t="s">
        <v>238</v>
      </c>
      <c r="L34" s="497"/>
      <c r="M34" s="526"/>
      <c r="N34" s="527" t="s">
        <v>197</v>
      </c>
      <c r="O34" s="528"/>
      <c r="P34" s="528"/>
      <c r="Q34" s="528"/>
      <c r="R34" s="528"/>
      <c r="S34" s="528"/>
      <c r="T34" s="529"/>
      <c r="V34" s="526"/>
      <c r="W34" s="527" t="s">
        <v>200</v>
      </c>
      <c r="X34" s="528"/>
      <c r="Y34" s="528"/>
      <c r="Z34" s="528"/>
      <c r="AA34" s="528"/>
      <c r="AB34" s="528"/>
      <c r="AC34" s="529"/>
    </row>
    <row r="35" spans="1:29" s="1808" customFormat="1" ht="22" outlineLevel="1" thickBot="1">
      <c r="A35" s="960"/>
      <c r="B35" s="960"/>
      <c r="C35" s="960"/>
      <c r="D35" s="960"/>
      <c r="E35" s="960"/>
      <c r="F35" s="960"/>
      <c r="G35" s="960"/>
      <c r="H35" s="960"/>
      <c r="I35" s="2164"/>
      <c r="J35" s="960"/>
      <c r="K35" s="712" t="s">
        <v>238</v>
      </c>
      <c r="L35" s="502"/>
      <c r="M35" s="526"/>
      <c r="N35" s="530"/>
      <c r="O35" s="528"/>
      <c r="P35" s="531">
        <v>14</v>
      </c>
      <c r="Q35" s="531">
        <v>15</v>
      </c>
      <c r="R35" s="531">
        <v>16</v>
      </c>
      <c r="S35" s="531">
        <v>17</v>
      </c>
      <c r="T35" s="532">
        <v>18</v>
      </c>
      <c r="V35" s="526"/>
      <c r="W35" s="530"/>
      <c r="X35" s="528"/>
      <c r="Y35" s="531">
        <v>14</v>
      </c>
      <c r="Z35" s="531">
        <v>15</v>
      </c>
      <c r="AA35" s="531">
        <v>16</v>
      </c>
      <c r="AB35" s="531">
        <v>17</v>
      </c>
      <c r="AC35" s="532">
        <v>18</v>
      </c>
    </row>
    <row r="36" spans="1:29" s="1808" customFormat="1" ht="21" outlineLevel="1">
      <c r="A36" s="960"/>
      <c r="B36" s="960"/>
      <c r="C36" s="960"/>
      <c r="D36" s="960"/>
      <c r="E36" s="960"/>
      <c r="F36" s="960"/>
      <c r="G36" s="960"/>
      <c r="H36" s="960"/>
      <c r="I36" s="2164"/>
      <c r="J36" s="960"/>
      <c r="K36" s="712" t="s">
        <v>238</v>
      </c>
      <c r="L36" s="502"/>
      <c r="M36" s="526"/>
      <c r="N36" s="533"/>
      <c r="O36" s="534"/>
      <c r="P36" s="535">
        <v>2021</v>
      </c>
      <c r="Q36" s="535">
        <v>2022</v>
      </c>
      <c r="R36" s="535">
        <v>2023</v>
      </c>
      <c r="S36" s="535">
        <v>2024</v>
      </c>
      <c r="T36" s="536">
        <v>2025</v>
      </c>
      <c r="V36" s="526"/>
      <c r="W36" s="533"/>
      <c r="X36" s="534"/>
      <c r="Y36" s="535">
        <v>2021</v>
      </c>
      <c r="Z36" s="535">
        <v>2022</v>
      </c>
      <c r="AA36" s="535">
        <v>2023</v>
      </c>
      <c r="AB36" s="535">
        <v>2024</v>
      </c>
      <c r="AC36" s="536">
        <v>2025</v>
      </c>
    </row>
    <row r="37" spans="1:29" s="1808" customFormat="1" ht="21" outlineLevel="1">
      <c r="A37" s="960"/>
      <c r="B37" s="960"/>
      <c r="C37" s="960"/>
      <c r="D37" s="960"/>
      <c r="E37" s="960"/>
      <c r="F37" s="960"/>
      <c r="G37" s="960"/>
      <c r="H37" s="960"/>
      <c r="I37" s="2164"/>
      <c r="J37" s="960"/>
      <c r="K37" s="712" t="s">
        <v>238</v>
      </c>
      <c r="L37" s="502"/>
      <c r="M37" s="526"/>
      <c r="N37" s="537" t="s">
        <v>286</v>
      </c>
      <c r="O37" s="538" t="s">
        <v>270</v>
      </c>
      <c r="P37" s="539">
        <f>VLOOKUP(N37,estim_5years,P35,0)</f>
        <v>1771</v>
      </c>
      <c r="Q37" s="539">
        <f>VLOOKUP(N37,estim_5years,Q35,0)</f>
        <v>1717</v>
      </c>
      <c r="R37" s="539">
        <f>VLOOKUP(N37,estim_5years,R35,0)</f>
        <v>1665</v>
      </c>
      <c r="S37" s="539">
        <f>VLOOKUP(N37,estim_5years,S35,0)</f>
        <v>1617</v>
      </c>
      <c r="T37" s="540">
        <f>VLOOKUP(N37,estim_5years,T35,0)</f>
        <v>1571</v>
      </c>
      <c r="V37" s="526"/>
      <c r="W37" s="537" t="s">
        <v>292</v>
      </c>
      <c r="X37" s="538" t="s">
        <v>270</v>
      </c>
      <c r="Y37" s="539">
        <f>VLOOKUP(W37,estim_5years,Y35,0)</f>
        <v>292</v>
      </c>
      <c r="Z37" s="539">
        <f>VLOOKUP(W37,estim_5years,Z35,0)</f>
        <v>283</v>
      </c>
      <c r="AA37" s="539">
        <f>VLOOKUP(W37,estim_5years,AA35,0)</f>
        <v>278</v>
      </c>
      <c r="AB37" s="539">
        <f>VLOOKUP(W37,estim_5years,AB35,0)</f>
        <v>274</v>
      </c>
      <c r="AC37" s="540">
        <f>VLOOKUP(W37,estim_5years,AC35,0)</f>
        <v>269</v>
      </c>
    </row>
    <row r="38" spans="1:29" s="1808" customFormat="1" ht="21" outlineLevel="1">
      <c r="A38" s="960"/>
      <c r="B38" s="960"/>
      <c r="C38" s="960"/>
      <c r="D38" s="960"/>
      <c r="E38" s="960"/>
      <c r="F38" s="960"/>
      <c r="G38" s="960"/>
      <c r="H38" s="960"/>
      <c r="I38" s="2164"/>
      <c r="J38" s="960"/>
      <c r="K38" s="712" t="s">
        <v>238</v>
      </c>
      <c r="L38" s="502"/>
      <c r="M38" s="526"/>
      <c r="N38" s="537" t="s">
        <v>287</v>
      </c>
      <c r="O38" s="538" t="s">
        <v>221</v>
      </c>
      <c r="P38" s="539">
        <f>VLOOKUP(N38,estim_5years,P35,0)</f>
        <v>166</v>
      </c>
      <c r="Q38" s="539">
        <f>VLOOKUP(N38,estim_5years,Q35,0)</f>
        <v>161</v>
      </c>
      <c r="R38" s="539">
        <f>VLOOKUP(N38,estim_5years,R35,0)</f>
        <v>157</v>
      </c>
      <c r="S38" s="539">
        <f>VLOOKUP(N38,estim_5years,S35,0)</f>
        <v>153</v>
      </c>
      <c r="T38" s="540">
        <f>VLOOKUP(N38,estim_5years,T35,0)</f>
        <v>149</v>
      </c>
      <c r="V38" s="526"/>
      <c r="W38" s="537" t="s">
        <v>293</v>
      </c>
      <c r="X38" s="538" t="s">
        <v>221</v>
      </c>
      <c r="Y38" s="539">
        <f>VLOOKUP(W38,estim_5years,Y35,0)</f>
        <v>34</v>
      </c>
      <c r="Z38" s="539">
        <f>VLOOKUP(W38,estim_5years,Z35,0)</f>
        <v>34</v>
      </c>
      <c r="AA38" s="539">
        <f>VLOOKUP(W38,estim_5years,AA35,0)</f>
        <v>33</v>
      </c>
      <c r="AB38" s="539">
        <f>VLOOKUP(W38,estim_5years,AB35,0)</f>
        <v>34</v>
      </c>
      <c r="AC38" s="540">
        <f>VLOOKUP(W38,estim_5years,AC35,0)</f>
        <v>34</v>
      </c>
    </row>
    <row r="39" spans="1:29" s="1808" customFormat="1" ht="21" outlineLevel="1">
      <c r="A39" s="960"/>
      <c r="B39" s="960"/>
      <c r="C39" s="960"/>
      <c r="D39" s="960"/>
      <c r="E39" s="960"/>
      <c r="F39" s="960"/>
      <c r="G39" s="960"/>
      <c r="H39" s="960"/>
      <c r="I39" s="2164"/>
      <c r="J39" s="960"/>
      <c r="K39" s="712" t="s">
        <v>238</v>
      </c>
      <c r="L39" s="502"/>
      <c r="M39" s="526"/>
      <c r="N39" s="537" t="s">
        <v>288</v>
      </c>
      <c r="O39" s="538" t="s">
        <v>222</v>
      </c>
      <c r="P39" s="539">
        <f>VLOOKUP(N39,estim_5years,P35,0)</f>
        <v>447</v>
      </c>
      <c r="Q39" s="539">
        <f>VLOOKUP(N39,estim_5years,Q35,0)</f>
        <v>432</v>
      </c>
      <c r="R39" s="539">
        <f>VLOOKUP(N39,estim_5years,R35,0)</f>
        <v>419</v>
      </c>
      <c r="S39" s="539">
        <f>VLOOKUP(N39,estim_5years,S35,0)</f>
        <v>407</v>
      </c>
      <c r="T39" s="540">
        <f>VLOOKUP(N39,estim_5years,T35,0)</f>
        <v>395</v>
      </c>
      <c r="V39" s="526"/>
      <c r="W39" s="537" t="s">
        <v>294</v>
      </c>
      <c r="X39" s="538" t="s">
        <v>222</v>
      </c>
      <c r="Y39" s="539">
        <f>VLOOKUP(W39,estim_5years,Y35,0)</f>
        <v>194</v>
      </c>
      <c r="Z39" s="539">
        <f>VLOOKUP(W39,estim_5years,Z35,0)</f>
        <v>194</v>
      </c>
      <c r="AA39" s="539">
        <f>VLOOKUP(W39,estim_5years,AA35,0)</f>
        <v>195</v>
      </c>
      <c r="AB39" s="539">
        <f>VLOOKUP(W39,estim_5years,AB35,0)</f>
        <v>197</v>
      </c>
      <c r="AC39" s="540">
        <f>VLOOKUP(W39,estim_5years,AC35,0)</f>
        <v>200</v>
      </c>
    </row>
    <row r="40" spans="1:29" s="1808" customFormat="1" ht="22" outlineLevel="1" thickBot="1">
      <c r="A40" s="960"/>
      <c r="B40" s="960"/>
      <c r="C40" s="960"/>
      <c r="D40" s="960"/>
      <c r="E40" s="960"/>
      <c r="F40" s="960"/>
      <c r="G40" s="960"/>
      <c r="H40" s="960"/>
      <c r="I40" s="2164"/>
      <c r="J40" s="960"/>
      <c r="K40" s="712" t="s">
        <v>238</v>
      </c>
      <c r="L40" s="502"/>
      <c r="M40" s="526"/>
      <c r="N40" s="541" t="s">
        <v>289</v>
      </c>
      <c r="O40" s="542" t="s">
        <v>223</v>
      </c>
      <c r="P40" s="543">
        <f>VLOOKUP(N40,estim_5years,P35,0)</f>
        <v>143</v>
      </c>
      <c r="Q40" s="543">
        <f>VLOOKUP(N40,estim_5years,Q35,0)</f>
        <v>137</v>
      </c>
      <c r="R40" s="543">
        <f>VLOOKUP(N40,estim_5years,R35,0)</f>
        <v>132</v>
      </c>
      <c r="S40" s="543">
        <f>VLOOKUP(N40,estim_5years,S35,0)</f>
        <v>127</v>
      </c>
      <c r="T40" s="544">
        <f>VLOOKUP(N40,estim_5years,T35,0)</f>
        <v>124</v>
      </c>
      <c r="V40" s="526"/>
      <c r="W40" s="541" t="s">
        <v>295</v>
      </c>
      <c r="X40" s="542" t="s">
        <v>223</v>
      </c>
      <c r="Y40" s="543">
        <f>VLOOKUP(W40,estim_5years,Y35,0)</f>
        <v>88</v>
      </c>
      <c r="Z40" s="543">
        <f>VLOOKUP(W40,estim_5years,Z35,0)</f>
        <v>88</v>
      </c>
      <c r="AA40" s="543">
        <f>VLOOKUP(W40,estim_5years,AA35,0)</f>
        <v>90</v>
      </c>
      <c r="AB40" s="543">
        <f>VLOOKUP(W40,estim_5years,AB35,0)</f>
        <v>94</v>
      </c>
      <c r="AC40" s="544">
        <f>VLOOKUP(W40,estim_5years,AC35,0)</f>
        <v>96</v>
      </c>
    </row>
    <row r="41" spans="1:29" s="1808" customFormat="1" ht="21" outlineLevel="1">
      <c r="A41" s="960"/>
      <c r="B41" s="960"/>
      <c r="C41" s="960"/>
      <c r="D41" s="960"/>
      <c r="E41" s="960"/>
      <c r="F41" s="960"/>
      <c r="G41" s="960"/>
      <c r="H41" s="960"/>
      <c r="I41" s="2164"/>
      <c r="J41" s="960"/>
      <c r="K41" s="712" t="s">
        <v>238</v>
      </c>
      <c r="L41" s="502"/>
      <c r="M41" s="526"/>
      <c r="N41" s="526"/>
      <c r="O41" s="526"/>
      <c r="P41" s="526"/>
      <c r="Q41" s="526"/>
      <c r="R41" s="526"/>
      <c r="S41" s="526"/>
      <c r="T41" s="526"/>
      <c r="V41" s="526"/>
      <c r="W41" s="526"/>
      <c r="X41" s="526"/>
      <c r="Y41" s="526"/>
      <c r="Z41" s="526"/>
      <c r="AA41" s="526"/>
      <c r="AB41" s="526"/>
      <c r="AC41" s="526"/>
    </row>
    <row r="42" spans="1:29" s="1808" customFormat="1" ht="22" outlineLevel="1" thickBot="1">
      <c r="A42" s="960"/>
      <c r="B42" s="960"/>
      <c r="C42" s="960"/>
      <c r="D42" s="960"/>
      <c r="E42" s="960"/>
      <c r="F42" s="960"/>
      <c r="G42" s="960"/>
      <c r="H42" s="960"/>
      <c r="I42" s="2164"/>
      <c r="J42" s="960"/>
      <c r="K42" s="712" t="s">
        <v>238</v>
      </c>
      <c r="L42" s="502"/>
      <c r="M42" s="545" t="s">
        <v>299</v>
      </c>
      <c r="N42" s="546" t="s">
        <v>307</v>
      </c>
      <c r="O42" s="526"/>
      <c r="P42" s="526"/>
      <c r="Q42" s="526"/>
      <c r="R42" s="526"/>
      <c r="S42" s="526"/>
      <c r="T42" s="526"/>
      <c r="V42" s="545" t="s">
        <v>299</v>
      </c>
      <c r="W42" s="546" t="s">
        <v>307</v>
      </c>
      <c r="X42" s="526"/>
      <c r="Y42" s="526"/>
      <c r="Z42" s="526"/>
      <c r="AA42" s="526"/>
      <c r="AB42" s="526"/>
      <c r="AC42" s="526"/>
    </row>
    <row r="43" spans="1:29" s="1808" customFormat="1" ht="21" outlineLevel="1">
      <c r="A43" s="960"/>
      <c r="B43" s="960"/>
      <c r="C43" s="960"/>
      <c r="D43" s="960"/>
      <c r="E43" s="960"/>
      <c r="F43" s="960"/>
      <c r="G43" s="960"/>
      <c r="H43" s="960"/>
      <c r="I43" s="2164"/>
      <c r="J43" s="960"/>
      <c r="K43" s="712" t="s">
        <v>238</v>
      </c>
      <c r="L43" s="502"/>
      <c r="M43" s="546" t="s">
        <v>300</v>
      </c>
      <c r="N43" s="547">
        <v>3.3000000000000002E-2</v>
      </c>
      <c r="O43" s="548" t="s">
        <v>270</v>
      </c>
      <c r="P43" s="534">
        <f>ROUNDUP(P37*N43,0)</f>
        <v>59</v>
      </c>
      <c r="Q43" s="534">
        <f>ROUNDUP(Q37*N43,0)</f>
        <v>57</v>
      </c>
      <c r="R43" s="534">
        <f>ROUNDUP(R37*N43,0)</f>
        <v>55</v>
      </c>
      <c r="S43" s="534">
        <f>ROUNDUP(S37*N43,0)</f>
        <v>54</v>
      </c>
      <c r="T43" s="549">
        <f>ROUNDUP(T37*N43,0)</f>
        <v>52</v>
      </c>
      <c r="V43" s="546" t="s">
        <v>301</v>
      </c>
      <c r="W43" s="547">
        <v>0.01</v>
      </c>
      <c r="X43" s="548" t="s">
        <v>270</v>
      </c>
      <c r="Y43" s="534">
        <f>ROUNDUP(Y37*W43,0)</f>
        <v>3</v>
      </c>
      <c r="Z43" s="534">
        <f>ROUNDUP(Z37*W43,0)</f>
        <v>3</v>
      </c>
      <c r="AA43" s="534">
        <f>ROUNDUP(AA37*W43,0)</f>
        <v>3</v>
      </c>
      <c r="AB43" s="534">
        <f>ROUNDUP(AB37*W43,0)</f>
        <v>3</v>
      </c>
      <c r="AC43" s="549">
        <f>ROUNDUP(AC37*W43,0)</f>
        <v>3</v>
      </c>
    </row>
    <row r="44" spans="1:29" s="1808" customFormat="1" ht="21" outlineLevel="1">
      <c r="A44" s="960"/>
      <c r="B44" s="960"/>
      <c r="C44" s="960"/>
      <c r="D44" s="960"/>
      <c r="E44" s="960"/>
      <c r="F44" s="960"/>
      <c r="G44" s="960"/>
      <c r="H44" s="960"/>
      <c r="I44" s="2164"/>
      <c r="J44" s="960"/>
      <c r="K44" s="712" t="s">
        <v>238</v>
      </c>
      <c r="L44" s="502"/>
      <c r="M44" s="546"/>
      <c r="N44" s="550"/>
      <c r="O44" s="551" t="s">
        <v>221</v>
      </c>
      <c r="P44" s="552"/>
      <c r="Q44" s="552"/>
      <c r="R44" s="552"/>
      <c r="S44" s="552"/>
      <c r="T44" s="553"/>
      <c r="V44" s="546"/>
      <c r="W44" s="550"/>
      <c r="X44" s="551" t="s">
        <v>221</v>
      </c>
      <c r="Y44" s="552"/>
      <c r="Z44" s="552"/>
      <c r="AA44" s="552"/>
      <c r="AB44" s="552"/>
      <c r="AC44" s="553"/>
    </row>
    <row r="45" spans="1:29" s="1808" customFormat="1" ht="21" outlineLevel="1">
      <c r="A45" s="960"/>
      <c r="B45" s="960"/>
      <c r="C45" s="960"/>
      <c r="D45" s="960"/>
      <c r="E45" s="960"/>
      <c r="F45" s="960"/>
      <c r="G45" s="960"/>
      <c r="H45" s="960"/>
      <c r="I45" s="2164"/>
      <c r="J45" s="960"/>
      <c r="K45" s="712" t="s">
        <v>238</v>
      </c>
      <c r="L45" s="502"/>
      <c r="M45" s="546" t="s">
        <v>301</v>
      </c>
      <c r="N45" s="554">
        <v>4.4999999999999998E-2</v>
      </c>
      <c r="O45" s="551" t="s">
        <v>222</v>
      </c>
      <c r="P45" s="552">
        <f>ROUNDUP(P39*N45,0)</f>
        <v>21</v>
      </c>
      <c r="Q45" s="552">
        <f>ROUNDUP(Q39*N45,0)</f>
        <v>20</v>
      </c>
      <c r="R45" s="552">
        <f>ROUNDUP(R39*N45,0)</f>
        <v>19</v>
      </c>
      <c r="S45" s="552">
        <f>ROUNDUP(S39*N45,0)</f>
        <v>19</v>
      </c>
      <c r="T45" s="553">
        <f>ROUNDUP(T39*N45,0)</f>
        <v>18</v>
      </c>
      <c r="V45" s="546" t="s">
        <v>301</v>
      </c>
      <c r="W45" s="554">
        <v>1.2999999999999999E-2</v>
      </c>
      <c r="X45" s="551" t="s">
        <v>222</v>
      </c>
      <c r="Y45" s="552">
        <f>ROUNDUP(Y39*W45,0)</f>
        <v>3</v>
      </c>
      <c r="Z45" s="552">
        <f>ROUNDUP(Z39*W45,0)</f>
        <v>3</v>
      </c>
      <c r="AA45" s="552">
        <f>ROUNDUP(AA39*W45,0)</f>
        <v>3</v>
      </c>
      <c r="AB45" s="552">
        <f>ROUNDUP(AB39*W45,0)</f>
        <v>3</v>
      </c>
      <c r="AC45" s="553">
        <f>ROUNDUP(AC39*W45,0)</f>
        <v>3</v>
      </c>
    </row>
    <row r="46" spans="1:29" s="1808" customFormat="1" ht="22" outlineLevel="1" thickBot="1">
      <c r="A46" s="960"/>
      <c r="B46" s="960"/>
      <c r="C46" s="960"/>
      <c r="D46" s="960"/>
      <c r="E46" s="960"/>
      <c r="F46" s="960"/>
      <c r="G46" s="960"/>
      <c r="H46" s="960"/>
      <c r="I46" s="2164"/>
      <c r="J46" s="960"/>
      <c r="K46" s="712" t="s">
        <v>238</v>
      </c>
      <c r="L46" s="502"/>
      <c r="M46" s="526"/>
      <c r="N46" s="550"/>
      <c r="O46" s="555" t="s">
        <v>223</v>
      </c>
      <c r="P46" s="556">
        <f>ROUNDUP(P40*N46,0)</f>
        <v>0</v>
      </c>
      <c r="Q46" s="556">
        <f>ROUNDUP(Q40*N46,0)</f>
        <v>0</v>
      </c>
      <c r="R46" s="556">
        <f>ROUNDUP(R40*N46,0)</f>
        <v>0</v>
      </c>
      <c r="S46" s="556">
        <f>ROUNDUP(S40*N46,0)</f>
        <v>0</v>
      </c>
      <c r="T46" s="557">
        <f>ROUNDUP(T40*N46,0)</f>
        <v>0</v>
      </c>
      <c r="V46" s="526"/>
      <c r="W46" s="550"/>
      <c r="X46" s="555" t="s">
        <v>223</v>
      </c>
      <c r="Y46" s="556">
        <f>ROUNDUP(Y40*W46,0)</f>
        <v>0</v>
      </c>
      <c r="Z46" s="556">
        <f>ROUNDUP(Z40*W46,0)</f>
        <v>0</v>
      </c>
      <c r="AA46" s="556">
        <f>ROUNDUP(AA40*W46,0)</f>
        <v>0</v>
      </c>
      <c r="AB46" s="556">
        <f>ROUNDUP(AB40*W46,0)</f>
        <v>0</v>
      </c>
      <c r="AC46" s="557">
        <f>ROUNDUP(AC40*W46,0)</f>
        <v>0</v>
      </c>
    </row>
    <row r="47" spans="1:29" s="1808" customFormat="1" ht="21" outlineLevel="1">
      <c r="A47" s="960"/>
      <c r="B47" s="960"/>
      <c r="C47" s="960"/>
      <c r="D47" s="960"/>
      <c r="E47" s="960"/>
      <c r="F47" s="960"/>
      <c r="G47" s="960"/>
      <c r="H47" s="960"/>
      <c r="I47" s="2164"/>
      <c r="J47" s="960"/>
      <c r="K47" s="712" t="s">
        <v>238</v>
      </c>
      <c r="L47" s="502"/>
      <c r="M47" s="526"/>
      <c r="N47" s="526"/>
      <c r="O47" s="526"/>
      <c r="P47" s="526"/>
      <c r="Q47" s="526"/>
      <c r="R47" s="526"/>
      <c r="S47" s="526"/>
      <c r="T47" s="526"/>
      <c r="V47" s="526"/>
      <c r="W47" s="526"/>
      <c r="X47" s="526"/>
      <c r="Y47" s="526"/>
      <c r="Z47" s="526"/>
      <c r="AA47" s="526"/>
      <c r="AB47" s="526"/>
      <c r="AC47" s="526"/>
    </row>
    <row r="48" spans="1:29" s="1808" customFormat="1" ht="22" outlineLevel="1" thickBot="1">
      <c r="A48" s="960"/>
      <c r="B48" s="960"/>
      <c r="C48" s="960"/>
      <c r="D48" s="960"/>
      <c r="E48" s="960"/>
      <c r="F48" s="960"/>
      <c r="G48" s="960"/>
      <c r="H48" s="960"/>
      <c r="I48" s="2164"/>
      <c r="J48" s="960"/>
      <c r="K48" s="712" t="s">
        <v>238</v>
      </c>
      <c r="L48" s="502"/>
      <c r="M48" s="545" t="s">
        <v>302</v>
      </c>
      <c r="N48" s="526"/>
      <c r="O48" s="526"/>
      <c r="P48" s="526"/>
      <c r="Q48" s="526"/>
      <c r="R48" s="526"/>
      <c r="S48" s="526"/>
      <c r="T48" s="526"/>
      <c r="V48" s="545" t="s">
        <v>3269</v>
      </c>
      <c r="W48" s="526"/>
      <c r="X48" s="526"/>
      <c r="Y48" s="526"/>
      <c r="Z48" s="526"/>
      <c r="AA48" s="526"/>
      <c r="AB48" s="526"/>
      <c r="AC48" s="526"/>
    </row>
    <row r="49" spans="1:39" s="1808" customFormat="1" ht="21" outlineLevel="1">
      <c r="A49" s="960"/>
      <c r="B49" s="960"/>
      <c r="C49" s="960"/>
      <c r="D49" s="960"/>
      <c r="E49" s="960"/>
      <c r="F49" s="960"/>
      <c r="G49" s="960"/>
      <c r="H49" s="960"/>
      <c r="I49" s="2164"/>
      <c r="J49" s="960"/>
      <c r="K49" s="712" t="s">
        <v>238</v>
      </c>
      <c r="L49" s="502"/>
      <c r="M49" s="526"/>
      <c r="N49" s="526"/>
      <c r="O49" s="548" t="s">
        <v>270</v>
      </c>
      <c r="P49" s="534">
        <f t="shared" ref="P49:T52" si="2">P37-P43-P55</f>
        <v>1656</v>
      </c>
      <c r="Q49" s="534">
        <f t="shared" si="2"/>
        <v>1605</v>
      </c>
      <c r="R49" s="534">
        <f t="shared" si="2"/>
        <v>1557</v>
      </c>
      <c r="S49" s="534">
        <f t="shared" si="2"/>
        <v>1511</v>
      </c>
      <c r="T49" s="534">
        <f t="shared" si="2"/>
        <v>1469</v>
      </c>
      <c r="V49" s="526"/>
      <c r="W49" s="526"/>
      <c r="X49" s="548" t="s">
        <v>270</v>
      </c>
      <c r="Y49" s="534">
        <f t="shared" ref="Y49:AC52" si="3">Y37-Y43-Y55</f>
        <v>272</v>
      </c>
      <c r="Z49" s="534">
        <f t="shared" si="3"/>
        <v>264</v>
      </c>
      <c r="AA49" s="534">
        <f t="shared" si="3"/>
        <v>259</v>
      </c>
      <c r="AB49" s="534">
        <f t="shared" si="3"/>
        <v>255</v>
      </c>
      <c r="AC49" s="534">
        <f t="shared" si="3"/>
        <v>251</v>
      </c>
    </row>
    <row r="50" spans="1:39" s="1808" customFormat="1" ht="21" outlineLevel="1">
      <c r="A50" s="960"/>
      <c r="B50" s="960"/>
      <c r="C50" s="960"/>
      <c r="D50" s="960"/>
      <c r="E50" s="960"/>
      <c r="F50" s="960"/>
      <c r="G50" s="960"/>
      <c r="H50" s="960"/>
      <c r="I50" s="2164"/>
      <c r="J50" s="960"/>
      <c r="K50" s="712" t="s">
        <v>238</v>
      </c>
      <c r="L50" s="502"/>
      <c r="M50" s="526"/>
      <c r="N50" s="526"/>
      <c r="O50" s="551" t="s">
        <v>221</v>
      </c>
      <c r="P50" s="552">
        <f t="shared" si="2"/>
        <v>166</v>
      </c>
      <c r="Q50" s="552">
        <f t="shared" si="2"/>
        <v>161</v>
      </c>
      <c r="R50" s="552">
        <f t="shared" si="2"/>
        <v>157</v>
      </c>
      <c r="S50" s="552">
        <f t="shared" si="2"/>
        <v>153</v>
      </c>
      <c r="T50" s="553">
        <f t="shared" si="2"/>
        <v>149</v>
      </c>
      <c r="V50" s="526"/>
      <c r="W50" s="526"/>
      <c r="X50" s="551" t="s">
        <v>221</v>
      </c>
      <c r="Y50" s="552">
        <f t="shared" si="3"/>
        <v>34</v>
      </c>
      <c r="Z50" s="552">
        <f t="shared" si="3"/>
        <v>34</v>
      </c>
      <c r="AA50" s="552">
        <f t="shared" si="3"/>
        <v>33</v>
      </c>
      <c r="AB50" s="552">
        <f t="shared" si="3"/>
        <v>34</v>
      </c>
      <c r="AC50" s="553">
        <f t="shared" si="3"/>
        <v>34</v>
      </c>
    </row>
    <row r="51" spans="1:39" s="1808" customFormat="1" ht="21" outlineLevel="1">
      <c r="A51" s="960"/>
      <c r="B51" s="960"/>
      <c r="C51" s="960"/>
      <c r="D51" s="960"/>
      <c r="E51" s="960"/>
      <c r="F51" s="960"/>
      <c r="G51" s="960"/>
      <c r="H51" s="960"/>
      <c r="I51" s="2164"/>
      <c r="J51" s="960"/>
      <c r="K51" s="712" t="s">
        <v>238</v>
      </c>
      <c r="L51" s="502"/>
      <c r="M51" s="526"/>
      <c r="N51" s="526"/>
      <c r="O51" s="551" t="s">
        <v>222</v>
      </c>
      <c r="P51" s="552">
        <f t="shared" si="2"/>
        <v>406</v>
      </c>
      <c r="Q51" s="552">
        <f t="shared" si="2"/>
        <v>393</v>
      </c>
      <c r="R51" s="552">
        <f t="shared" si="2"/>
        <v>381</v>
      </c>
      <c r="S51" s="552">
        <f t="shared" si="2"/>
        <v>370</v>
      </c>
      <c r="T51" s="553">
        <f t="shared" si="2"/>
        <v>359</v>
      </c>
      <c r="V51" s="526"/>
      <c r="W51" s="526"/>
      <c r="X51" s="551" t="s">
        <v>222</v>
      </c>
      <c r="Y51" s="552">
        <f t="shared" si="3"/>
        <v>166</v>
      </c>
      <c r="Z51" s="552">
        <f t="shared" si="3"/>
        <v>166</v>
      </c>
      <c r="AA51" s="552">
        <f t="shared" si="3"/>
        <v>167</v>
      </c>
      <c r="AB51" s="552">
        <f t="shared" si="3"/>
        <v>169</v>
      </c>
      <c r="AC51" s="553">
        <f t="shared" si="3"/>
        <v>171</v>
      </c>
    </row>
    <row r="52" spans="1:39" s="1808" customFormat="1" ht="22" outlineLevel="1" thickBot="1">
      <c r="A52" s="960"/>
      <c r="B52" s="960"/>
      <c r="C52" s="960"/>
      <c r="D52" s="960"/>
      <c r="E52" s="960"/>
      <c r="F52" s="960"/>
      <c r="G52" s="960"/>
      <c r="H52" s="960"/>
      <c r="I52" s="2164"/>
      <c r="J52" s="960"/>
      <c r="K52" s="712" t="s">
        <v>238</v>
      </c>
      <c r="L52" s="502"/>
      <c r="M52" s="526"/>
      <c r="N52" s="526"/>
      <c r="O52" s="555" t="s">
        <v>223</v>
      </c>
      <c r="P52" s="556">
        <f t="shared" si="2"/>
        <v>143</v>
      </c>
      <c r="Q52" s="556">
        <f t="shared" si="2"/>
        <v>137</v>
      </c>
      <c r="R52" s="556">
        <f t="shared" si="2"/>
        <v>132</v>
      </c>
      <c r="S52" s="556">
        <f t="shared" si="2"/>
        <v>127</v>
      </c>
      <c r="T52" s="557">
        <f t="shared" si="2"/>
        <v>124</v>
      </c>
      <c r="V52" s="526"/>
      <c r="W52" s="526"/>
      <c r="X52" s="555" t="s">
        <v>223</v>
      </c>
      <c r="Y52" s="556">
        <f t="shared" si="3"/>
        <v>88</v>
      </c>
      <c r="Z52" s="556">
        <f t="shared" si="3"/>
        <v>88</v>
      </c>
      <c r="AA52" s="556">
        <f t="shared" si="3"/>
        <v>90</v>
      </c>
      <c r="AB52" s="556">
        <f t="shared" si="3"/>
        <v>94</v>
      </c>
      <c r="AC52" s="557">
        <f t="shared" si="3"/>
        <v>96</v>
      </c>
    </row>
    <row r="53" spans="1:39" s="1808" customFormat="1" ht="21" outlineLevel="1">
      <c r="A53" s="960"/>
      <c r="B53" s="960"/>
      <c r="C53" s="960"/>
      <c r="D53" s="960"/>
      <c r="E53" s="960"/>
      <c r="F53" s="960"/>
      <c r="G53" s="960"/>
      <c r="H53" s="960"/>
      <c r="I53" s="2164"/>
      <c r="J53" s="960"/>
      <c r="K53" s="712" t="s">
        <v>238</v>
      </c>
      <c r="L53" s="502"/>
      <c r="M53" s="526"/>
      <c r="N53" s="526"/>
      <c r="O53" s="526"/>
      <c r="P53" s="526"/>
      <c r="Q53" s="526"/>
      <c r="R53" s="526"/>
      <c r="S53" s="526"/>
      <c r="T53" s="526"/>
      <c r="V53" s="526"/>
      <c r="W53" s="526"/>
      <c r="X53" s="526"/>
      <c r="Y53" s="526"/>
      <c r="Z53" s="526"/>
      <c r="AA53" s="526"/>
      <c r="AB53" s="526"/>
      <c r="AC53" s="526"/>
    </row>
    <row r="54" spans="1:39" s="1808" customFormat="1" ht="22" outlineLevel="1" thickBot="1">
      <c r="A54" s="960"/>
      <c r="B54" s="960"/>
      <c r="C54" s="960"/>
      <c r="D54" s="960"/>
      <c r="E54" s="960"/>
      <c r="F54" s="960"/>
      <c r="G54" s="960"/>
      <c r="H54" s="960"/>
      <c r="I54" s="2164"/>
      <c r="J54" s="960"/>
      <c r="K54" s="712" t="s">
        <v>238</v>
      </c>
      <c r="L54" s="502"/>
      <c r="M54" s="545" t="s">
        <v>303</v>
      </c>
      <c r="N54" s="526"/>
      <c r="O54" s="526"/>
      <c r="P54" s="526"/>
      <c r="Q54" s="526"/>
      <c r="R54" s="526"/>
      <c r="S54" s="526"/>
      <c r="T54" s="526"/>
      <c r="V54" s="545" t="s">
        <v>3268</v>
      </c>
      <c r="W54" s="526"/>
      <c r="X54" s="526"/>
      <c r="Y54" s="526"/>
      <c r="Z54" s="526"/>
      <c r="AA54" s="526"/>
      <c r="AB54" s="526"/>
      <c r="AC54" s="526"/>
    </row>
    <row r="55" spans="1:39" s="1808" customFormat="1" ht="21" outlineLevel="1">
      <c r="A55" s="960"/>
      <c r="B55" s="960"/>
      <c r="C55" s="960"/>
      <c r="D55" s="960"/>
      <c r="E55" s="960"/>
      <c r="F55" s="960"/>
      <c r="G55" s="960"/>
      <c r="H55" s="960"/>
      <c r="I55" s="2164"/>
      <c r="J55" s="960"/>
      <c r="K55" s="712" t="s">
        <v>238</v>
      </c>
      <c r="L55" s="502"/>
      <c r="M55" s="546" t="s">
        <v>300</v>
      </c>
      <c r="N55" s="547">
        <v>3.3000000000000002E-2</v>
      </c>
      <c r="O55" s="548" t="s">
        <v>270</v>
      </c>
      <c r="P55" s="534">
        <f>ROUND(N55*(P37-P43),0)</f>
        <v>56</v>
      </c>
      <c r="Q55" s="534">
        <f>ROUND(N55*(Q37-Q43),0)</f>
        <v>55</v>
      </c>
      <c r="R55" s="534">
        <f>ROUND(N55*(R37-R43),0)</f>
        <v>53</v>
      </c>
      <c r="S55" s="534">
        <f>ROUND(N55*(S37-S43),0)</f>
        <v>52</v>
      </c>
      <c r="T55" s="549">
        <f>ROUND(N55*(T37-T43),0)</f>
        <v>50</v>
      </c>
      <c r="V55" s="546" t="s">
        <v>301</v>
      </c>
      <c r="W55" s="547">
        <v>5.8000000000000003E-2</v>
      </c>
      <c r="X55" s="548" t="s">
        <v>270</v>
      </c>
      <c r="Y55" s="534">
        <f>ROUND(W55*(Y37-Y43),0)</f>
        <v>17</v>
      </c>
      <c r="Z55" s="534">
        <f>ROUND(W55*(Z37-Z43),0)</f>
        <v>16</v>
      </c>
      <c r="AA55" s="534">
        <f>ROUND(W55*(AA37-AA43),0)</f>
        <v>16</v>
      </c>
      <c r="AB55" s="534">
        <f>ROUND(W55*(AB37-AB43),0)</f>
        <v>16</v>
      </c>
      <c r="AC55" s="549">
        <f>ROUND(W55*(AC37-AC43),0)</f>
        <v>15</v>
      </c>
    </row>
    <row r="56" spans="1:39" s="1808" customFormat="1" ht="21" outlineLevel="1">
      <c r="A56" s="960"/>
      <c r="B56" s="960"/>
      <c r="C56" s="960"/>
      <c r="D56" s="960"/>
      <c r="E56" s="960"/>
      <c r="F56" s="960"/>
      <c r="G56" s="960"/>
      <c r="H56" s="960"/>
      <c r="I56" s="2164"/>
      <c r="J56" s="960"/>
      <c r="K56" s="712" t="s">
        <v>238</v>
      </c>
      <c r="L56" s="502"/>
      <c r="M56" s="546"/>
      <c r="N56" s="550"/>
      <c r="O56" s="551" t="s">
        <v>221</v>
      </c>
      <c r="P56" s="552">
        <f>ROUND(N56*(P38-P44),0)</f>
        <v>0</v>
      </c>
      <c r="Q56" s="552">
        <f>ROUND(N56*(Q38-Q44),0)</f>
        <v>0</v>
      </c>
      <c r="R56" s="552">
        <f>ROUND(N56*(R38-R44),0)</f>
        <v>0</v>
      </c>
      <c r="S56" s="552">
        <f>ROUND(N56*(S38-S44),0)</f>
        <v>0</v>
      </c>
      <c r="T56" s="553">
        <f>ROUND(N56*(T38-T44),0)</f>
        <v>0</v>
      </c>
      <c r="V56" s="546"/>
      <c r="W56" s="550"/>
      <c r="X56" s="551" t="s">
        <v>221</v>
      </c>
      <c r="Y56" s="552">
        <f>ROUND(W56*(Y38-Y44),0)</f>
        <v>0</v>
      </c>
      <c r="Z56" s="552">
        <f>ROUND(W56*(Z38-Z44),0)</f>
        <v>0</v>
      </c>
      <c r="AA56" s="552">
        <f>ROUND(W56*(AA38-AA44),0)</f>
        <v>0</v>
      </c>
      <c r="AB56" s="552">
        <f>ROUND(W56*(AB38-AB44),0)</f>
        <v>0</v>
      </c>
      <c r="AC56" s="553">
        <f>ROUND(W56*(AC38-AC44),0)</f>
        <v>0</v>
      </c>
    </row>
    <row r="57" spans="1:39" s="1808" customFormat="1" ht="21" outlineLevel="1">
      <c r="A57" s="960"/>
      <c r="B57" s="960"/>
      <c r="C57" s="960"/>
      <c r="D57" s="960"/>
      <c r="E57" s="960"/>
      <c r="F57" s="960"/>
      <c r="G57" s="960"/>
      <c r="H57" s="960"/>
      <c r="I57" s="2164"/>
      <c r="J57" s="960"/>
      <c r="K57" s="712" t="s">
        <v>238</v>
      </c>
      <c r="L57" s="502"/>
      <c r="M57" s="546" t="s">
        <v>300</v>
      </c>
      <c r="N57" s="554">
        <v>4.7E-2</v>
      </c>
      <c r="O57" s="551" t="s">
        <v>222</v>
      </c>
      <c r="P57" s="552">
        <f>ROUND(N57*(P39-P45),0)</f>
        <v>20</v>
      </c>
      <c r="Q57" s="552">
        <f>ROUND(N57*(Q39-Q45),0)</f>
        <v>19</v>
      </c>
      <c r="R57" s="552">
        <f>ROUND(N57*(R39-R45),0)</f>
        <v>19</v>
      </c>
      <c r="S57" s="552">
        <f>ROUND(N57*(S39-S45),0)</f>
        <v>18</v>
      </c>
      <c r="T57" s="553">
        <f>ROUND(N57*(T39-T45),0)</f>
        <v>18</v>
      </c>
      <c r="V57" s="546" t="s">
        <v>300</v>
      </c>
      <c r="W57" s="554">
        <v>0.13</v>
      </c>
      <c r="X57" s="551" t="s">
        <v>222</v>
      </c>
      <c r="Y57" s="552">
        <f>ROUND(W57*(Y39-Y45),0)</f>
        <v>25</v>
      </c>
      <c r="Z57" s="552">
        <f>ROUND(W57*(Z39-Z45),0)</f>
        <v>25</v>
      </c>
      <c r="AA57" s="552">
        <f>ROUND(W57*(AA39-AA45),0)</f>
        <v>25</v>
      </c>
      <c r="AB57" s="552">
        <f>ROUND(W57*(AB39-AB45),0)</f>
        <v>25</v>
      </c>
      <c r="AC57" s="553">
        <f>ROUND(W57*(AC39-AC45),0)</f>
        <v>26</v>
      </c>
    </row>
    <row r="58" spans="1:39" s="1808" customFormat="1" ht="22" outlineLevel="1" thickBot="1">
      <c r="A58" s="960"/>
      <c r="B58" s="960"/>
      <c r="C58" s="960"/>
      <c r="D58" s="960"/>
      <c r="E58" s="960"/>
      <c r="F58" s="960"/>
      <c r="G58" s="960"/>
      <c r="H58" s="960"/>
      <c r="I58" s="2164"/>
      <c r="J58" s="960"/>
      <c r="K58" s="712" t="s">
        <v>238</v>
      </c>
      <c r="L58" s="502"/>
      <c r="M58" s="526"/>
      <c r="N58" s="526"/>
      <c r="O58" s="555" t="s">
        <v>223</v>
      </c>
      <c r="P58" s="556">
        <f>ROUND(N58*(P40-P46),0)</f>
        <v>0</v>
      </c>
      <c r="Q58" s="556">
        <f>ROUND(N58*(Q40-Q46),0)</f>
        <v>0</v>
      </c>
      <c r="R58" s="556">
        <f>ROUND(N58*(R40-R46),0)</f>
        <v>0</v>
      </c>
      <c r="S58" s="556">
        <f>ROUND(N58*(S40-S46),0)</f>
        <v>0</v>
      </c>
      <c r="T58" s="557">
        <f>ROUND(N58*(T40-T46),0)</f>
        <v>0</v>
      </c>
      <c r="V58" s="526"/>
      <c r="W58" s="526"/>
      <c r="X58" s="555" t="s">
        <v>223</v>
      </c>
      <c r="Y58" s="556">
        <f>ROUND(W58*(Y40-Y46),0)</f>
        <v>0</v>
      </c>
      <c r="Z58" s="556">
        <f>ROUND(W58*(Z40-Z46),0)</f>
        <v>0</v>
      </c>
      <c r="AA58" s="556">
        <f>ROUND(W58*(AA40-AA46),0)</f>
        <v>0</v>
      </c>
      <c r="AB58" s="556">
        <f>ROUND(W58*(AB40-AB46),0)</f>
        <v>0</v>
      </c>
      <c r="AC58" s="557">
        <f>ROUND(W58*(AC40-AC46),0)</f>
        <v>0</v>
      </c>
    </row>
    <row r="59" spans="1:39" s="1808" customFormat="1" ht="21" outlineLevel="1">
      <c r="A59" s="960"/>
      <c r="B59" s="960"/>
      <c r="C59" s="960"/>
      <c r="D59" s="960"/>
      <c r="E59" s="960"/>
      <c r="F59" s="960"/>
      <c r="G59" s="960"/>
      <c r="H59" s="960"/>
      <c r="I59" s="2164"/>
      <c r="J59" s="960"/>
      <c r="K59" s="712" t="s">
        <v>238</v>
      </c>
      <c r="L59" s="502"/>
      <c r="M59" s="502"/>
      <c r="N59" s="442"/>
      <c r="O59" s="526"/>
      <c r="P59" s="526"/>
      <c r="Q59" s="526"/>
      <c r="R59" s="526"/>
      <c r="S59" s="526"/>
      <c r="T59" s="526"/>
      <c r="U59" s="526"/>
      <c r="V59" s="526"/>
      <c r="W59" s="526"/>
      <c r="X59" s="526"/>
      <c r="Y59" s="526"/>
      <c r="Z59"/>
      <c r="AA59"/>
      <c r="AB59"/>
    </row>
    <row r="60" spans="1:39" s="1808" customFormat="1" ht="21">
      <c r="A60" s="960"/>
      <c r="B60" s="960"/>
      <c r="C60" s="960"/>
      <c r="D60" s="960"/>
      <c r="E60" s="960"/>
      <c r="F60" s="960"/>
      <c r="G60" s="960"/>
      <c r="H60" s="960"/>
      <c r="I60" s="2164"/>
      <c r="J60" s="960"/>
      <c r="K60" s="712" t="s">
        <v>238</v>
      </c>
      <c r="L60" s="502"/>
      <c r="M60" s="502"/>
      <c r="N60" s="442"/>
      <c r="O60" s="526"/>
      <c r="P60" s="526"/>
      <c r="Q60" s="526"/>
      <c r="R60" s="526"/>
      <c r="S60" s="1878"/>
      <c r="T60" s="591"/>
      <c r="U60" s="591"/>
      <c r="V60" s="591"/>
      <c r="W60" s="591"/>
      <c r="X60" s="591"/>
      <c r="Y60" s="526"/>
    </row>
    <row r="61" spans="1:39" s="1808" customFormat="1" ht="19">
      <c r="A61" s="960"/>
      <c r="B61" s="960"/>
      <c r="C61" s="960"/>
      <c r="D61" s="960"/>
      <c r="E61" s="960"/>
      <c r="F61" s="960"/>
      <c r="G61" s="960"/>
      <c r="H61" s="960"/>
      <c r="I61" s="2164"/>
      <c r="J61" s="960"/>
      <c r="K61" s="712" t="s">
        <v>238</v>
      </c>
      <c r="L61" s="853"/>
      <c r="M61" s="1879" t="s">
        <v>3270</v>
      </c>
      <c r="P61"/>
      <c r="Q61"/>
      <c r="R61"/>
      <c r="S61"/>
      <c r="T61"/>
      <c r="AC61" s="853"/>
      <c r="AD61" s="853"/>
      <c r="AE61" s="853"/>
      <c r="AF61" s="853"/>
      <c r="AG61" s="853"/>
      <c r="AH61" s="853"/>
      <c r="AI61" s="853"/>
      <c r="AJ61" s="853"/>
      <c r="AK61" s="853"/>
      <c r="AL61" s="853"/>
      <c r="AM61" s="853"/>
    </row>
    <row r="62" spans="1:39" s="1808" customFormat="1" ht="19">
      <c r="A62" s="960"/>
      <c r="B62" s="960"/>
      <c r="C62" s="960"/>
      <c r="D62" s="960"/>
      <c r="E62" s="960"/>
      <c r="F62" s="960"/>
      <c r="G62" s="960"/>
      <c r="H62" s="960"/>
      <c r="I62" s="2164"/>
      <c r="J62" s="960"/>
      <c r="K62" s="712" t="s">
        <v>238</v>
      </c>
      <c r="L62" s="853"/>
      <c r="M62" s="1879"/>
      <c r="AC62" s="853"/>
      <c r="AD62" s="853"/>
      <c r="AE62" s="853"/>
      <c r="AF62" s="853"/>
      <c r="AG62" s="853"/>
      <c r="AH62" s="853"/>
      <c r="AI62" s="853"/>
      <c r="AJ62" s="853"/>
      <c r="AK62" s="853"/>
      <c r="AL62" s="853"/>
      <c r="AM62" s="853"/>
    </row>
    <row r="63" spans="1:39" s="1808" customFormat="1">
      <c r="A63" s="960"/>
      <c r="B63" s="960"/>
      <c r="C63" s="960"/>
      <c r="D63" s="960"/>
      <c r="E63" s="960"/>
      <c r="F63" s="960"/>
      <c r="G63" s="960"/>
      <c r="H63" s="960"/>
      <c r="I63" s="2164"/>
      <c r="J63" s="960"/>
      <c r="K63" s="712" t="s">
        <v>238</v>
      </c>
      <c r="M63" s="431" t="s">
        <v>3275</v>
      </c>
      <c r="P63"/>
      <c r="Q63"/>
      <c r="R63"/>
      <c r="S63"/>
      <c r="T63"/>
    </row>
    <row r="64" spans="1:39" s="1808" customFormat="1">
      <c r="A64" s="960"/>
      <c r="B64" s="960"/>
      <c r="C64" s="960"/>
      <c r="D64" s="960"/>
      <c r="E64" s="960"/>
      <c r="F64" s="960"/>
      <c r="G64" s="960"/>
      <c r="H64" s="960"/>
      <c r="I64" s="2164"/>
      <c r="J64" s="960"/>
      <c r="K64" s="712" t="s">
        <v>238</v>
      </c>
      <c r="O64" s="1808" t="s">
        <v>3274</v>
      </c>
      <c r="P64" s="845">
        <v>2021</v>
      </c>
      <c r="Q64" s="845">
        <v>2022</v>
      </c>
      <c r="R64" s="845">
        <v>2023</v>
      </c>
      <c r="S64" s="845">
        <v>2024</v>
      </c>
      <c r="T64" s="845">
        <v>2025</v>
      </c>
      <c r="V64" s="1808" t="s">
        <v>513</v>
      </c>
      <c r="AB64" s="1808" t="s">
        <v>351</v>
      </c>
    </row>
    <row r="65" spans="1:32" s="1808" customFormat="1">
      <c r="A65" s="960"/>
      <c r="B65" s="960"/>
      <c r="C65" s="960"/>
      <c r="D65" s="960"/>
      <c r="E65" s="960"/>
      <c r="F65" s="960"/>
      <c r="G65" s="960"/>
      <c r="H65" s="960"/>
      <c r="I65" s="2164"/>
      <c r="J65" s="960"/>
      <c r="K65" s="712" t="s">
        <v>238</v>
      </c>
      <c r="M65" s="958"/>
      <c r="N65" s="958"/>
      <c r="O65" s="958"/>
      <c r="P65" s="946"/>
      <c r="Q65" s="946"/>
      <c r="R65" s="946"/>
      <c r="S65" s="946"/>
      <c r="T65" s="946"/>
      <c r="U65" s="734"/>
    </row>
    <row r="66" spans="1:32" s="1808" customFormat="1">
      <c r="A66" s="960"/>
      <c r="B66" s="960"/>
      <c r="C66" s="960"/>
      <c r="D66" s="960"/>
      <c r="E66" s="960"/>
      <c r="F66" s="960"/>
      <c r="G66" s="960"/>
      <c r="H66" s="960"/>
      <c r="I66" s="2164"/>
      <c r="J66" s="960"/>
      <c r="K66" s="712" t="s">
        <v>238</v>
      </c>
      <c r="M66" s="958" t="s">
        <v>3271</v>
      </c>
      <c r="N66" s="958"/>
      <c r="O66" s="1848"/>
      <c r="P66" s="946">
        <f>Y43+Y49+Y44+Y50</f>
        <v>309</v>
      </c>
      <c r="Q66" s="946">
        <f>Z43+Z49+Z44+Z50</f>
        <v>301</v>
      </c>
      <c r="R66" s="946">
        <f>AA43+AA49+AA44+AA50</f>
        <v>295</v>
      </c>
      <c r="S66" s="946">
        <f>AB43+AB49+AB44+AB50</f>
        <v>292</v>
      </c>
      <c r="T66" s="946">
        <f>AC43+AC49+AC44+AC50</f>
        <v>288</v>
      </c>
      <c r="U66" s="734"/>
    </row>
    <row r="67" spans="1:32" s="1808" customFormat="1">
      <c r="A67" s="960"/>
      <c r="B67" s="960"/>
      <c r="C67" s="960"/>
      <c r="D67" s="960"/>
      <c r="E67" s="960"/>
      <c r="F67" s="960"/>
      <c r="G67" s="960"/>
      <c r="H67" s="960"/>
      <c r="I67" s="2164"/>
      <c r="J67" s="960"/>
      <c r="K67" s="712" t="s">
        <v>238</v>
      </c>
      <c r="M67" s="958" t="s">
        <v>3272</v>
      </c>
      <c r="N67" s="958"/>
      <c r="O67" s="1848"/>
      <c r="P67" s="1881">
        <v>0.5</v>
      </c>
      <c r="Q67" s="1881">
        <v>0.5</v>
      </c>
      <c r="R67" s="1881">
        <v>0.5</v>
      </c>
      <c r="S67" s="1882">
        <v>0</v>
      </c>
      <c r="T67" s="1882">
        <v>0</v>
      </c>
      <c r="U67" s="734"/>
      <c r="V67" s="946"/>
      <c r="W67" s="946"/>
      <c r="X67" s="946"/>
      <c r="Y67" s="946"/>
      <c r="Z67" s="946"/>
      <c r="AA67" s="734"/>
      <c r="AB67" s="946"/>
      <c r="AC67" s="946"/>
      <c r="AD67" s="946"/>
      <c r="AE67" s="946"/>
      <c r="AF67" s="946"/>
    </row>
    <row r="68" spans="1:32" s="1808" customFormat="1">
      <c r="A68" s="960"/>
      <c r="B68" s="960"/>
      <c r="C68" s="960"/>
      <c r="D68" s="960"/>
      <c r="E68" s="960"/>
      <c r="F68" s="960"/>
      <c r="G68" s="960"/>
      <c r="H68" s="960"/>
      <c r="I68" s="2164"/>
      <c r="J68" s="960"/>
      <c r="K68" s="712" t="s">
        <v>238</v>
      </c>
      <c r="M68" s="958" t="s">
        <v>3273</v>
      </c>
      <c r="N68" s="958"/>
      <c r="O68" s="1848"/>
      <c r="P68" s="1848">
        <f>ROUND(P66*P67,0)</f>
        <v>155</v>
      </c>
      <c r="Q68" s="1848">
        <f>ROUND(Q66*Q67,0)</f>
        <v>151</v>
      </c>
      <c r="R68" s="1848">
        <f>ROUND(R66*R67,0)</f>
        <v>148</v>
      </c>
      <c r="S68" s="1848">
        <f>ROUND(S66*S67,0)</f>
        <v>0</v>
      </c>
      <c r="T68" s="1848">
        <f>ROUND(T66*T67,0)</f>
        <v>0</v>
      </c>
      <c r="U68" s="734"/>
      <c r="V68" s="1883">
        <f>1-AB68</f>
        <v>0</v>
      </c>
      <c r="W68" s="1883">
        <f>1-AC68</f>
        <v>0</v>
      </c>
      <c r="X68" s="1883">
        <f>1-AD68</f>
        <v>0</v>
      </c>
      <c r="Y68" s="1883">
        <f>1-AE68</f>
        <v>1</v>
      </c>
      <c r="Z68" s="1883">
        <f>1-AF68</f>
        <v>1</v>
      </c>
      <c r="AA68" s="734"/>
      <c r="AB68" s="1252">
        <v>1</v>
      </c>
      <c r="AC68" s="1252">
        <v>1</v>
      </c>
      <c r="AD68" s="1252">
        <v>1</v>
      </c>
      <c r="AE68" s="1880"/>
      <c r="AF68" s="1880"/>
    </row>
    <row r="69" spans="1:32" s="1808" customFormat="1">
      <c r="A69" s="960"/>
      <c r="B69" s="960"/>
      <c r="C69" s="960"/>
      <c r="D69" s="960"/>
      <c r="E69" s="960"/>
      <c r="F69" s="960"/>
      <c r="G69" s="960"/>
      <c r="H69" s="960"/>
      <c r="I69" s="2164"/>
      <c r="J69" s="960"/>
      <c r="K69" s="712" t="s">
        <v>238</v>
      </c>
      <c r="M69" s="1851" t="s">
        <v>2189</v>
      </c>
      <c r="N69" s="1851"/>
      <c r="O69" s="1853">
        <f>T27</f>
        <v>2042.0200000000002</v>
      </c>
      <c r="P69" s="1852">
        <f>P68*O69</f>
        <v>316513.10000000003</v>
      </c>
      <c r="Q69" s="1852">
        <f>Q68*O69</f>
        <v>308345.02</v>
      </c>
      <c r="R69" s="1852">
        <f>R68*O69</f>
        <v>302218.96000000002</v>
      </c>
      <c r="S69" s="1852">
        <f>S68*O69</f>
        <v>0</v>
      </c>
      <c r="T69" s="1852">
        <f>T68*O69</f>
        <v>0</v>
      </c>
      <c r="U69" s="734"/>
      <c r="V69" s="1840">
        <f>ROUND(P69*V68,2)</f>
        <v>0</v>
      </c>
      <c r="W69" s="1840">
        <f>ROUND(Q69*W68,2)</f>
        <v>0</v>
      </c>
      <c r="X69" s="1840">
        <f>ROUND(R69*X68,2)</f>
        <v>0</v>
      </c>
      <c r="Y69" s="1840">
        <f>ROUND(S69*Y68,2)</f>
        <v>0</v>
      </c>
      <c r="Z69" s="1840">
        <f>ROUND(T69*Z68,2)</f>
        <v>0</v>
      </c>
      <c r="AA69" s="734"/>
      <c r="AB69" s="1840">
        <f>P69-V69</f>
        <v>316513.10000000003</v>
      </c>
      <c r="AC69" s="1840">
        <f>Q69-W69</f>
        <v>308345.02</v>
      </c>
      <c r="AD69" s="1840">
        <f>R69-X69</f>
        <v>302218.96000000002</v>
      </c>
      <c r="AE69" s="1840">
        <f>S69-Y69</f>
        <v>0</v>
      </c>
      <c r="AF69" s="1840">
        <f>T69-Z69</f>
        <v>0</v>
      </c>
    </row>
    <row r="70" spans="1:32" s="1808" customFormat="1">
      <c r="A70" s="960"/>
      <c r="B70" s="960"/>
      <c r="C70" s="960"/>
      <c r="D70" s="960"/>
      <c r="E70" s="960"/>
      <c r="F70" s="960"/>
      <c r="G70" s="960"/>
      <c r="H70" s="960"/>
      <c r="I70" s="2164"/>
      <c r="J70" s="960"/>
      <c r="K70" s="712" t="s">
        <v>238</v>
      </c>
    </row>
    <row r="71" spans="1:32" s="1808" customFormat="1">
      <c r="A71" s="960"/>
      <c r="B71" s="960"/>
      <c r="C71" s="960"/>
      <c r="D71" s="960"/>
      <c r="E71" s="960"/>
      <c r="F71" s="960"/>
      <c r="G71" s="960"/>
      <c r="H71" s="960"/>
      <c r="I71" s="2164"/>
      <c r="J71" s="960"/>
      <c r="K71" s="712" t="s">
        <v>238</v>
      </c>
      <c r="M71" s="431" t="s">
        <v>3277</v>
      </c>
    </row>
    <row r="72" spans="1:32" s="1808" customFormat="1">
      <c r="A72" s="960"/>
      <c r="B72" s="960"/>
      <c r="C72" s="960"/>
      <c r="D72" s="960"/>
      <c r="E72" s="960"/>
      <c r="F72" s="960"/>
      <c r="G72" s="960"/>
      <c r="H72" s="960"/>
      <c r="I72" s="2164"/>
      <c r="J72" s="960"/>
      <c r="K72" s="712" t="s">
        <v>238</v>
      </c>
      <c r="O72" s="1808" t="s">
        <v>3274</v>
      </c>
      <c r="P72" s="845">
        <v>2021</v>
      </c>
      <c r="Q72" s="845">
        <v>2022</v>
      </c>
      <c r="R72" s="845">
        <v>2023</v>
      </c>
      <c r="S72" s="845">
        <v>2024</v>
      </c>
      <c r="T72" s="845">
        <v>2025</v>
      </c>
      <c r="V72" s="1808" t="s">
        <v>513</v>
      </c>
      <c r="AB72" s="1808" t="s">
        <v>351</v>
      </c>
    </row>
    <row r="73" spans="1:32" s="1808" customFormat="1">
      <c r="A73" s="960"/>
      <c r="B73" s="960"/>
      <c r="C73" s="960"/>
      <c r="D73" s="960"/>
      <c r="E73" s="960"/>
      <c r="F73" s="960"/>
      <c r="G73" s="960"/>
      <c r="H73" s="960"/>
      <c r="I73" s="2164"/>
      <c r="J73" s="960"/>
      <c r="K73" s="712" t="s">
        <v>238</v>
      </c>
      <c r="M73" s="958"/>
      <c r="N73" s="958"/>
      <c r="O73" s="958"/>
      <c r="P73" s="946"/>
      <c r="Q73" s="946"/>
      <c r="R73" s="946"/>
      <c r="S73" s="946"/>
      <c r="T73" s="946"/>
      <c r="U73" s="734"/>
    </row>
    <row r="74" spans="1:32" s="1808" customFormat="1">
      <c r="A74" s="960"/>
      <c r="B74" s="960"/>
      <c r="C74" s="960"/>
      <c r="D74" s="960"/>
      <c r="E74" s="960"/>
      <c r="F74" s="960"/>
      <c r="G74" s="960"/>
      <c r="H74" s="960"/>
      <c r="I74" s="2164"/>
      <c r="J74" s="960"/>
      <c r="K74" s="712" t="s">
        <v>238</v>
      </c>
      <c r="M74" s="958" t="s">
        <v>3276</v>
      </c>
      <c r="N74" s="958"/>
      <c r="O74" s="1848"/>
      <c r="P74" s="946">
        <f>Y45+Y51+Y52</f>
        <v>257</v>
      </c>
      <c r="Q74" s="946">
        <f>Z45+Z51+Z52</f>
        <v>257</v>
      </c>
      <c r="R74" s="946">
        <f>AA45+AA51+AA52</f>
        <v>260</v>
      </c>
      <c r="S74" s="946">
        <f>AB45+AB51+AB52</f>
        <v>266</v>
      </c>
      <c r="T74" s="946">
        <f>AC45+AC51+AC52</f>
        <v>270</v>
      </c>
      <c r="U74" s="734"/>
    </row>
    <row r="75" spans="1:32" s="1808" customFormat="1">
      <c r="A75" s="960"/>
      <c r="B75" s="960"/>
      <c r="C75" s="960"/>
      <c r="D75" s="960"/>
      <c r="E75" s="960"/>
      <c r="F75" s="960"/>
      <c r="G75" s="960"/>
      <c r="H75" s="960"/>
      <c r="I75" s="2164"/>
      <c r="J75" s="960"/>
      <c r="K75" s="712" t="s">
        <v>238</v>
      </c>
      <c r="M75" s="958" t="s">
        <v>3272</v>
      </c>
      <c r="N75" s="958"/>
      <c r="O75" s="1848"/>
      <c r="P75" s="1881">
        <v>0.5</v>
      </c>
      <c r="Q75" s="1881">
        <v>0.5</v>
      </c>
      <c r="R75" s="1881">
        <v>0.5</v>
      </c>
      <c r="S75" s="1882">
        <v>0</v>
      </c>
      <c r="T75" s="1882">
        <v>0</v>
      </c>
      <c r="U75" s="734"/>
      <c r="V75" s="946"/>
      <c r="W75" s="946"/>
      <c r="X75" s="946"/>
      <c r="Y75" s="946"/>
      <c r="Z75" s="946"/>
      <c r="AA75" s="734"/>
      <c r="AB75" s="946"/>
      <c r="AC75" s="946"/>
      <c r="AD75" s="946"/>
      <c r="AE75" s="946"/>
      <c r="AF75" s="946"/>
    </row>
    <row r="76" spans="1:32" s="1808" customFormat="1">
      <c r="A76" s="960"/>
      <c r="B76" s="960"/>
      <c r="C76" s="960"/>
      <c r="D76" s="960"/>
      <c r="E76" s="960"/>
      <c r="F76" s="960"/>
      <c r="G76" s="960"/>
      <c r="H76" s="960"/>
      <c r="I76" s="2164"/>
      <c r="J76" s="960"/>
      <c r="K76" s="712" t="s">
        <v>238</v>
      </c>
      <c r="M76" s="958" t="s">
        <v>3278</v>
      </c>
      <c r="N76" s="958"/>
      <c r="O76" s="1848"/>
      <c r="P76" s="1848">
        <f>ROUND(P74*P75,0)</f>
        <v>129</v>
      </c>
      <c r="Q76" s="1848">
        <f>ROUND(Q74*Q75,0)</f>
        <v>129</v>
      </c>
      <c r="R76" s="1848">
        <f>ROUND(R74*R75,0)</f>
        <v>130</v>
      </c>
      <c r="S76" s="1848">
        <f>ROUND(S74*S75,0)</f>
        <v>0</v>
      </c>
      <c r="T76" s="1848">
        <f>ROUND(T74*T75,0)</f>
        <v>0</v>
      </c>
      <c r="U76" s="734"/>
      <c r="V76" s="1880">
        <f>1-AB76</f>
        <v>0</v>
      </c>
      <c r="W76" s="1880">
        <f>1-AC76</f>
        <v>0</v>
      </c>
      <c r="X76" s="1880">
        <f>1-AD76</f>
        <v>0</v>
      </c>
      <c r="Y76" s="1880">
        <f>1-AE76</f>
        <v>1</v>
      </c>
      <c r="Z76" s="1880">
        <f>1-AF76</f>
        <v>1</v>
      </c>
      <c r="AA76" s="734"/>
      <c r="AB76" s="1252">
        <v>1</v>
      </c>
      <c r="AC76" s="1252">
        <v>1</v>
      </c>
      <c r="AD76" s="1252">
        <v>1</v>
      </c>
      <c r="AE76" s="1880"/>
      <c r="AF76" s="1880"/>
    </row>
    <row r="77" spans="1:32" s="1808" customFormat="1">
      <c r="A77" s="960"/>
      <c r="B77" s="960"/>
      <c r="C77" s="960"/>
      <c r="D77" s="960"/>
      <c r="E77" s="960"/>
      <c r="F77" s="960"/>
      <c r="G77" s="960"/>
      <c r="H77" s="960"/>
      <c r="I77" s="2164"/>
      <c r="J77" s="960"/>
      <c r="K77" s="712" t="s">
        <v>238</v>
      </c>
      <c r="M77" s="1851" t="s">
        <v>2189</v>
      </c>
      <c r="N77" s="1851"/>
      <c r="O77" s="1853">
        <f>AE27</f>
        <v>5483.6350000000002</v>
      </c>
      <c r="P77" s="1852">
        <f>P76*O77</f>
        <v>707388.91500000004</v>
      </c>
      <c r="Q77" s="1852">
        <f>Q76*O77</f>
        <v>707388.91500000004</v>
      </c>
      <c r="R77" s="1852">
        <f>R76*O77</f>
        <v>712872.55</v>
      </c>
      <c r="S77" s="1852">
        <f>S76*O77</f>
        <v>0</v>
      </c>
      <c r="T77" s="1852">
        <f>T76*O77</f>
        <v>0</v>
      </c>
      <c r="U77" s="734"/>
      <c r="V77" s="1840">
        <f>ROUND(P77*V76,2)</f>
        <v>0</v>
      </c>
      <c r="W77" s="1840">
        <f>ROUND(Q77*W76,2)</f>
        <v>0</v>
      </c>
      <c r="X77" s="1840">
        <f>ROUND(R77*X76,2)</f>
        <v>0</v>
      </c>
      <c r="Y77" s="1840">
        <f>ROUND(S77*Y76,2)</f>
        <v>0</v>
      </c>
      <c r="Z77" s="1840">
        <f>ROUND(T77*Z76,2)</f>
        <v>0</v>
      </c>
      <c r="AA77" s="734"/>
      <c r="AB77" s="1840">
        <f>P77-V77</f>
        <v>707388.91500000004</v>
      </c>
      <c r="AC77" s="1840">
        <f>Q77-W77</f>
        <v>707388.91500000004</v>
      </c>
      <c r="AD77" s="1840">
        <f>R77-X77</f>
        <v>712872.55</v>
      </c>
      <c r="AE77" s="1840">
        <f>S77-Y77</f>
        <v>0</v>
      </c>
      <c r="AF77" s="1840">
        <f>T77-Z77</f>
        <v>0</v>
      </c>
    </row>
    <row r="78" spans="1:32" s="1808" customFormat="1">
      <c r="A78" s="960"/>
      <c r="B78" s="960"/>
      <c r="C78" s="960"/>
      <c r="D78" s="960"/>
      <c r="E78" s="960"/>
      <c r="F78" s="960"/>
      <c r="G78" s="960"/>
      <c r="H78" s="960"/>
      <c r="I78" s="2164"/>
      <c r="J78" s="960"/>
      <c r="K78" s="712" t="s">
        <v>238</v>
      </c>
    </row>
    <row r="79" spans="1:32" s="1808" customFormat="1" ht="16" thickBot="1">
      <c r="A79" s="2157">
        <v>133</v>
      </c>
      <c r="B79" s="841">
        <f>AB80</f>
        <v>1023902.0150000001</v>
      </c>
      <c r="C79" s="841">
        <f>AC80</f>
        <v>1015733.9350000001</v>
      </c>
      <c r="D79" s="841">
        <f>AD80</f>
        <v>1015091.51</v>
      </c>
      <c r="E79" s="841">
        <f>AE80</f>
        <v>0</v>
      </c>
      <c r="F79" s="841">
        <f>AF80</f>
        <v>0</v>
      </c>
      <c r="G79" s="841" t="s">
        <v>351</v>
      </c>
      <c r="H79" s="841" t="s">
        <v>3279</v>
      </c>
      <c r="I79" s="2180" t="s">
        <v>3716</v>
      </c>
      <c r="J79" s="841" t="s">
        <v>2941</v>
      </c>
      <c r="K79" s="712" t="s">
        <v>238</v>
      </c>
      <c r="U79"/>
    </row>
    <row r="80" spans="1:32" s="1808" customFormat="1" ht="22" thickBot="1">
      <c r="A80" s="960"/>
      <c r="B80" s="960"/>
      <c r="C80" s="960"/>
      <c r="D80" s="960"/>
      <c r="E80" s="960"/>
      <c r="F80" s="960"/>
      <c r="G80" s="960"/>
      <c r="H80" s="960"/>
      <c r="I80" s="2164"/>
      <c r="J80" s="960"/>
      <c r="K80" s="712" t="s">
        <v>238</v>
      </c>
      <c r="L80" s="502"/>
      <c r="M80" s="1913" t="s">
        <v>1887</v>
      </c>
      <c r="N80" s="1709"/>
      <c r="O80" s="1709"/>
      <c r="P80" s="1709"/>
      <c r="Q80" s="1709"/>
      <c r="R80" s="1709"/>
      <c r="S80" s="1709"/>
      <c r="T80" s="1709"/>
      <c r="U80"/>
      <c r="V80" s="1709">
        <f>V69+V77</f>
        <v>0</v>
      </c>
      <c r="W80" s="1709">
        <f>W69+W77</f>
        <v>0</v>
      </c>
      <c r="X80" s="1709">
        <f>X69+X77</f>
        <v>0</v>
      </c>
      <c r="Y80" s="1709">
        <f>Y69+Y77</f>
        <v>0</v>
      </c>
      <c r="Z80" s="1709">
        <f>Z69+Z77</f>
        <v>0</v>
      </c>
      <c r="AA80" s="734"/>
      <c r="AB80" s="1911">
        <f>AB69+AB77</f>
        <v>1023902.0150000001</v>
      </c>
      <c r="AC80" s="1911">
        <f>AC69+AC77</f>
        <v>1015733.9350000001</v>
      </c>
      <c r="AD80" s="1911">
        <f>AD69+AD77</f>
        <v>1015091.51</v>
      </c>
      <c r="AE80" s="1911">
        <f>AE69+AE77</f>
        <v>0</v>
      </c>
      <c r="AF80" s="1911">
        <f>AF69+AF77</f>
        <v>0</v>
      </c>
    </row>
    <row r="81" spans="1:32" s="1808" customFormat="1" ht="21">
      <c r="A81" s="960"/>
      <c r="B81" s="960"/>
      <c r="C81" s="960"/>
      <c r="D81" s="960"/>
      <c r="E81" s="960"/>
      <c r="F81" s="960"/>
      <c r="G81" s="960"/>
      <c r="H81" s="960"/>
      <c r="I81" s="2164"/>
      <c r="J81" s="960"/>
      <c r="K81" s="712" t="s">
        <v>238</v>
      </c>
      <c r="L81" s="502"/>
      <c r="M81" s="502"/>
      <c r="N81" s="442"/>
      <c r="O81" s="526"/>
      <c r="P81" s="526"/>
      <c r="Q81" s="526"/>
      <c r="R81" s="526"/>
      <c r="S81" s="1878"/>
      <c r="T81" s="591"/>
      <c r="U81"/>
      <c r="V81" s="591"/>
      <c r="W81" s="591"/>
      <c r="X81" s="591"/>
      <c r="Y81" s="526"/>
    </row>
    <row r="82" spans="1:32" s="1808" customFormat="1" ht="21">
      <c r="A82" s="960"/>
      <c r="B82" s="960"/>
      <c r="C82" s="960"/>
      <c r="D82" s="960"/>
      <c r="E82" s="960"/>
      <c r="F82" s="960"/>
      <c r="G82" s="960"/>
      <c r="H82" s="960"/>
      <c r="I82" s="2164"/>
      <c r="J82" s="960"/>
      <c r="K82" s="712" t="s">
        <v>238</v>
      </c>
      <c r="L82" s="502"/>
      <c r="M82" s="502"/>
      <c r="N82" s="442"/>
      <c r="O82" s="526"/>
      <c r="P82" s="526"/>
      <c r="Q82" s="526"/>
      <c r="R82" s="526"/>
      <c r="S82" s="1878"/>
      <c r="T82" s="591"/>
      <c r="U82" s="591"/>
      <c r="V82" s="591"/>
      <c r="W82" s="591"/>
      <c r="X82" s="591"/>
      <c r="Y82" s="526"/>
    </row>
    <row r="83" spans="1:32" s="1808" customFormat="1" ht="21">
      <c r="A83" s="960"/>
      <c r="B83" s="960"/>
      <c r="C83" s="960"/>
      <c r="D83" s="960"/>
      <c r="E83" s="960"/>
      <c r="F83" s="960"/>
      <c r="G83" s="960"/>
      <c r="H83" s="960"/>
      <c r="I83" s="2164"/>
      <c r="J83" s="960"/>
      <c r="K83" s="712" t="s">
        <v>238</v>
      </c>
      <c r="L83" s="502"/>
      <c r="M83" s="502"/>
      <c r="N83" s="442"/>
      <c r="O83" s="526"/>
      <c r="P83" s="526"/>
      <c r="Q83" s="526"/>
      <c r="R83" s="526"/>
      <c r="S83" s="526"/>
      <c r="T83" s="526"/>
      <c r="U83" s="526"/>
      <c r="V83" s="526"/>
      <c r="W83" s="526"/>
      <c r="X83" s="526"/>
      <c r="Y83" s="526"/>
    </row>
    <row r="84" spans="1:32" s="1808" customFormat="1" ht="21">
      <c r="A84" s="960"/>
      <c r="B84" s="960"/>
      <c r="C84" s="960"/>
      <c r="D84" s="960"/>
      <c r="E84" s="960"/>
      <c r="F84" s="960"/>
      <c r="G84" s="960"/>
      <c r="H84" s="960"/>
      <c r="I84" s="2164"/>
      <c r="J84" s="960"/>
      <c r="K84" s="712" t="s">
        <v>238</v>
      </c>
      <c r="L84" s="502"/>
      <c r="M84" s="502"/>
      <c r="N84" s="442"/>
      <c r="O84" s="526"/>
      <c r="P84" s="526"/>
      <c r="Q84" s="526"/>
      <c r="R84" s="526"/>
      <c r="S84" s="526"/>
      <c r="T84" s="526"/>
      <c r="U84" s="526"/>
      <c r="V84" s="526"/>
      <c r="W84" s="526"/>
      <c r="X84" s="526"/>
      <c r="Y84" s="526"/>
    </row>
    <row r="85" spans="1:32">
      <c r="K85" s="712" t="s">
        <v>238</v>
      </c>
    </row>
    <row r="86" spans="1:32">
      <c r="K86" s="712" t="s">
        <v>238</v>
      </c>
      <c r="L86" s="1873" t="s">
        <v>3255</v>
      </c>
    </row>
    <row r="87" spans="1:32">
      <c r="K87" s="712" t="s">
        <v>238</v>
      </c>
    </row>
    <row r="88" spans="1:32" s="1808" customFormat="1">
      <c r="A88" s="960"/>
      <c r="B88" s="960"/>
      <c r="C88" s="960"/>
      <c r="D88" s="960"/>
      <c r="E88" s="960"/>
      <c r="F88" s="960"/>
      <c r="G88" s="960"/>
      <c r="H88" s="960"/>
      <c r="I88" s="2164"/>
      <c r="J88" s="960"/>
      <c r="K88" s="712"/>
      <c r="M88" s="958" t="s">
        <v>3569</v>
      </c>
      <c r="N88" s="946">
        <v>8</v>
      </c>
    </row>
    <row r="89" spans="1:32" s="1808" customFormat="1">
      <c r="A89" s="960"/>
      <c r="B89" s="960"/>
      <c r="C89" s="960"/>
      <c r="D89" s="960"/>
      <c r="E89" s="960"/>
      <c r="F89" s="960"/>
      <c r="G89" s="960"/>
      <c r="H89" s="960"/>
      <c r="I89" s="2164"/>
      <c r="J89" s="960"/>
      <c r="K89" s="712"/>
      <c r="M89" s="958" t="s">
        <v>3570</v>
      </c>
      <c r="N89" s="946">
        <v>12</v>
      </c>
    </row>
    <row r="90" spans="1:32" s="1808" customFormat="1">
      <c r="A90" s="960"/>
      <c r="B90" s="960"/>
      <c r="C90" s="960"/>
      <c r="D90" s="960"/>
      <c r="E90" s="960"/>
      <c r="F90" s="960"/>
      <c r="G90" s="960"/>
      <c r="H90" s="960"/>
      <c r="I90" s="2164"/>
      <c r="J90" s="960"/>
      <c r="K90" s="712"/>
      <c r="N90" s="1025"/>
      <c r="O90"/>
      <c r="P90"/>
      <c r="Q90"/>
      <c r="R90"/>
      <c r="S90"/>
      <c r="T90"/>
    </row>
    <row r="91" spans="1:32">
      <c r="K91" s="712" t="s">
        <v>238</v>
      </c>
      <c r="N91" s="845" t="s">
        <v>3568</v>
      </c>
    </row>
    <row r="92" spans="1:32" ht="29">
      <c r="K92" s="712" t="s">
        <v>238</v>
      </c>
      <c r="M92" s="1871" t="s">
        <v>3253</v>
      </c>
      <c r="N92" s="946">
        <v>770</v>
      </c>
    </row>
    <row r="93" spans="1:32">
      <c r="K93" s="712" t="s">
        <v>238</v>
      </c>
      <c r="M93" s="1871" t="s">
        <v>3254</v>
      </c>
      <c r="N93" s="946">
        <v>434</v>
      </c>
    </row>
    <row r="94" spans="1:32">
      <c r="K94" s="712" t="s">
        <v>238</v>
      </c>
      <c r="M94" s="2026" t="s">
        <v>97</v>
      </c>
      <c r="N94" s="2027">
        <f>SUM(N92:N93)</f>
        <v>1204</v>
      </c>
    </row>
    <row r="95" spans="1:32">
      <c r="K95" s="712" t="s">
        <v>238</v>
      </c>
      <c r="M95" t="s">
        <v>3571</v>
      </c>
      <c r="N95" s="845">
        <f>N94*N89*N88</f>
        <v>115584</v>
      </c>
    </row>
    <row r="96" spans="1:32">
      <c r="K96" s="712" t="s">
        <v>238</v>
      </c>
      <c r="M96" s="1808"/>
      <c r="N96" s="1808"/>
      <c r="O96" s="1808"/>
      <c r="P96" s="845">
        <v>2021</v>
      </c>
      <c r="Q96" s="845">
        <v>2022</v>
      </c>
      <c r="R96" s="845">
        <v>2023</v>
      </c>
      <c r="S96" s="845">
        <v>2024</v>
      </c>
      <c r="T96" s="845">
        <v>2025</v>
      </c>
      <c r="U96" s="1808"/>
      <c r="V96" s="1270" t="s">
        <v>513</v>
      </c>
      <c r="W96" s="1808"/>
      <c r="X96" s="1808"/>
      <c r="Y96" s="1808"/>
      <c r="Z96" s="1808"/>
      <c r="AA96" s="1808"/>
      <c r="AB96" s="1808" t="s">
        <v>351</v>
      </c>
      <c r="AC96" s="1808"/>
      <c r="AD96" s="1808"/>
      <c r="AE96" s="1808"/>
      <c r="AF96" s="1808"/>
    </row>
    <row r="97" spans="1:32">
      <c r="K97" s="712" t="s">
        <v>238</v>
      </c>
      <c r="M97" s="958"/>
      <c r="N97" s="958"/>
      <c r="O97" s="958"/>
      <c r="P97" s="958"/>
      <c r="Q97" s="946"/>
      <c r="R97" s="958"/>
      <c r="S97" s="958"/>
      <c r="T97" s="958"/>
      <c r="U97" s="1808"/>
      <c r="V97" s="958"/>
      <c r="W97" s="946"/>
      <c r="X97" s="958"/>
      <c r="Y97" s="958"/>
      <c r="Z97" s="958"/>
      <c r="AA97" s="1808"/>
      <c r="AB97" s="958"/>
      <c r="AC97" s="946"/>
      <c r="AD97" s="958"/>
      <c r="AE97" s="958"/>
      <c r="AF97" s="958"/>
    </row>
    <row r="98" spans="1:32" ht="16" thickBot="1">
      <c r="K98" s="712" t="s">
        <v>238</v>
      </c>
      <c r="M98" s="958"/>
      <c r="N98" s="958"/>
      <c r="O98" s="1848"/>
      <c r="P98" s="946">
        <v>1</v>
      </c>
      <c r="Q98" s="946">
        <v>1</v>
      </c>
      <c r="R98" s="946">
        <v>1</v>
      </c>
      <c r="S98" s="946">
        <v>1</v>
      </c>
      <c r="T98" s="946">
        <v>1</v>
      </c>
      <c r="U98" s="1808"/>
      <c r="V98" s="1850">
        <f>1-AB98</f>
        <v>0</v>
      </c>
      <c r="W98" s="1850">
        <f>1-AC98</f>
        <v>0</v>
      </c>
      <c r="X98" s="1850">
        <f>1-AD98</f>
        <v>0</v>
      </c>
      <c r="Y98" s="1850">
        <f>1-AE98</f>
        <v>1</v>
      </c>
      <c r="Z98" s="1850">
        <f>1-AF98</f>
        <v>1</v>
      </c>
      <c r="AA98" s="1808"/>
      <c r="AB98" s="1694">
        <v>1</v>
      </c>
      <c r="AC98" s="1694">
        <v>1</v>
      </c>
      <c r="AD98" s="1694">
        <v>1</v>
      </c>
      <c r="AE98" s="1850"/>
      <c r="AF98" s="1850"/>
    </row>
    <row r="99" spans="1:32" ht="16" thickBot="1">
      <c r="A99" s="2157">
        <v>134</v>
      </c>
      <c r="B99" s="841">
        <f>AB99</f>
        <v>115584</v>
      </c>
      <c r="C99" s="841">
        <f>AC99</f>
        <v>115584</v>
      </c>
      <c r="D99" s="841">
        <f>AD99</f>
        <v>115584</v>
      </c>
      <c r="E99" s="841">
        <f>AE99</f>
        <v>0</v>
      </c>
      <c r="F99" s="841">
        <f>AF99</f>
        <v>0</v>
      </c>
      <c r="G99" s="841" t="s">
        <v>351</v>
      </c>
      <c r="H99" s="841" t="s">
        <v>3255</v>
      </c>
      <c r="I99" s="2180" t="s">
        <v>3716</v>
      </c>
      <c r="J99" s="841" t="s">
        <v>2941</v>
      </c>
      <c r="K99" s="712" t="s">
        <v>238</v>
      </c>
      <c r="M99" s="1851" t="s">
        <v>2189</v>
      </c>
      <c r="N99" s="1851"/>
      <c r="O99" s="1853">
        <f>N95</f>
        <v>115584</v>
      </c>
      <c r="P99" s="1852">
        <f>P98*O99</f>
        <v>115584</v>
      </c>
      <c r="Q99" s="1852">
        <f>Q98*O99</f>
        <v>115584</v>
      </c>
      <c r="R99" s="1852">
        <f>R98*O99</f>
        <v>115584</v>
      </c>
      <c r="S99" s="1852">
        <f>S98*O99</f>
        <v>115584</v>
      </c>
      <c r="T99" s="1852">
        <f>T98*O99</f>
        <v>115584</v>
      </c>
      <c r="U99" s="1808"/>
      <c r="V99" s="1709">
        <f>ROUND(P99*V98,2)</f>
        <v>0</v>
      </c>
      <c r="W99" s="1709">
        <f>ROUND(Q99*W98,2)</f>
        <v>0</v>
      </c>
      <c r="X99" s="1709">
        <f>ROUND(R99*X98,2)</f>
        <v>0</v>
      </c>
      <c r="Y99" s="1709">
        <f>ROUND(S99*Y98,2)</f>
        <v>115584</v>
      </c>
      <c r="Z99" s="1709">
        <f>ROUND(T99*Z98,2)</f>
        <v>115584</v>
      </c>
      <c r="AA99" s="1808"/>
      <c r="AB99" s="1709">
        <f>P99-V99</f>
        <v>115584</v>
      </c>
      <c r="AC99" s="1708">
        <f>Q99-W99</f>
        <v>115584</v>
      </c>
      <c r="AD99" s="1495">
        <f>R99-X99</f>
        <v>115584</v>
      </c>
      <c r="AE99" s="1495"/>
      <c r="AF99" s="1495"/>
    </row>
    <row r="100" spans="1:32">
      <c r="K100" s="712" t="s">
        <v>238</v>
      </c>
    </row>
    <row r="101" spans="1:32">
      <c r="A101" s="2157">
        <v>215</v>
      </c>
      <c r="B101" s="841">
        <f>V99</f>
        <v>0</v>
      </c>
      <c r="C101" s="841">
        <f>W99</f>
        <v>0</v>
      </c>
      <c r="D101" s="841">
        <f>X99</f>
        <v>0</v>
      </c>
      <c r="E101" s="841">
        <f>Y99</f>
        <v>115584</v>
      </c>
      <c r="F101" s="841">
        <f>Z99</f>
        <v>115584</v>
      </c>
      <c r="G101" s="841" t="s">
        <v>513</v>
      </c>
      <c r="H101" s="841" t="s">
        <v>3255</v>
      </c>
      <c r="I101" s="2180"/>
      <c r="J101" s="841" t="s">
        <v>2941</v>
      </c>
      <c r="K101" s="712" t="s">
        <v>238</v>
      </c>
    </row>
    <row r="102" spans="1:32">
      <c r="K102" s="712" t="s">
        <v>238</v>
      </c>
    </row>
    <row r="103" spans="1:32">
      <c r="K103" s="712" t="s">
        <v>238</v>
      </c>
    </row>
    <row r="104" spans="1:32">
      <c r="K104" s="712" t="s">
        <v>238</v>
      </c>
    </row>
    <row r="105" spans="1:32">
      <c r="K105" s="712" t="s">
        <v>238</v>
      </c>
      <c r="L105" s="1886"/>
    </row>
    <row r="106" spans="1:32">
      <c r="K106" s="712" t="s">
        <v>238</v>
      </c>
      <c r="L106" s="1886" t="s">
        <v>3280</v>
      </c>
    </row>
    <row r="107" spans="1:32">
      <c r="K107" s="712" t="s">
        <v>238</v>
      </c>
    </row>
    <row r="108" spans="1:32">
      <c r="K108" s="712" t="s">
        <v>238</v>
      </c>
    </row>
    <row r="109" spans="1:32" ht="16" thickBot="1">
      <c r="K109" s="712" t="s">
        <v>238</v>
      </c>
    </row>
    <row r="110" spans="1:32" ht="32">
      <c r="K110" s="712" t="s">
        <v>238</v>
      </c>
      <c r="M110" s="1758" t="s">
        <v>2155</v>
      </c>
      <c r="N110" s="966"/>
      <c r="O110" s="966"/>
      <c r="P110" s="966"/>
      <c r="Q110" s="1759" t="s">
        <v>3060</v>
      </c>
      <c r="R110" s="966"/>
      <c r="S110" s="966"/>
      <c r="T110" s="967"/>
    </row>
    <row r="111" spans="1:32" ht="32">
      <c r="K111" s="712" t="s">
        <v>238</v>
      </c>
      <c r="M111" s="1760" t="s">
        <v>3054</v>
      </c>
      <c r="N111" s="1749"/>
      <c r="O111" s="1565"/>
      <c r="P111" s="1750">
        <v>0</v>
      </c>
      <c r="Q111" s="1383">
        <v>0</v>
      </c>
      <c r="R111" s="960"/>
      <c r="S111" s="960"/>
      <c r="T111" s="62"/>
    </row>
    <row r="112" spans="1:32" ht="32">
      <c r="K112" s="712" t="s">
        <v>238</v>
      </c>
      <c r="M112" s="1760" t="s">
        <v>3055</v>
      </c>
      <c r="N112" s="1749"/>
      <c r="O112" s="1565"/>
      <c r="P112" s="1750">
        <v>2</v>
      </c>
      <c r="Q112" s="1383">
        <v>10</v>
      </c>
      <c r="R112" s="960"/>
      <c r="S112" s="960"/>
      <c r="T112" s="62"/>
    </row>
    <row r="113" spans="11:20">
      <c r="K113" s="712" t="s">
        <v>238</v>
      </c>
      <c r="M113" s="1049"/>
      <c r="N113" s="960"/>
      <c r="O113" s="960"/>
      <c r="P113" s="960"/>
      <c r="Q113" s="960"/>
      <c r="R113" s="960"/>
      <c r="S113" s="960"/>
      <c r="T113" s="62"/>
    </row>
    <row r="114" spans="11:20">
      <c r="K114" s="712" t="s">
        <v>238</v>
      </c>
      <c r="M114" s="1049" t="s">
        <v>3059</v>
      </c>
      <c r="N114" s="960"/>
      <c r="O114" s="960"/>
      <c r="P114" s="960"/>
      <c r="Q114" s="960"/>
      <c r="R114" s="960"/>
      <c r="S114" s="960"/>
      <c r="T114" s="62"/>
    </row>
    <row r="115" spans="11:20" ht="32">
      <c r="K115" s="712" t="s">
        <v>238</v>
      </c>
      <c r="M115" s="1760" t="s">
        <v>3061</v>
      </c>
      <c r="N115" s="1749"/>
      <c r="O115" s="1565"/>
      <c r="P115" s="1750">
        <v>0</v>
      </c>
      <c r="Q115" s="1383"/>
      <c r="R115" s="960"/>
      <c r="S115" s="960"/>
      <c r="T115" s="62"/>
    </row>
    <row r="116" spans="11:20" ht="32">
      <c r="K116" s="712" t="s">
        <v>238</v>
      </c>
      <c r="M116" s="1760" t="s">
        <v>3062</v>
      </c>
      <c r="N116" s="1749"/>
      <c r="O116" s="1565"/>
      <c r="P116" s="1750">
        <v>0</v>
      </c>
      <c r="Q116" s="1383"/>
      <c r="R116" s="960"/>
      <c r="S116" s="960"/>
      <c r="T116" s="62"/>
    </row>
    <row r="117" spans="11:20">
      <c r="K117" s="712" t="s">
        <v>238</v>
      </c>
      <c r="M117" s="1049"/>
      <c r="N117" s="960"/>
      <c r="O117" s="960"/>
      <c r="P117" s="960"/>
      <c r="Q117" s="960"/>
      <c r="R117" s="960"/>
      <c r="S117" s="960"/>
      <c r="T117" s="62"/>
    </row>
    <row r="118" spans="11:20">
      <c r="K118" s="712" t="s">
        <v>238</v>
      </c>
      <c r="M118" s="1049"/>
      <c r="N118" s="960"/>
      <c r="O118" s="960"/>
      <c r="P118" s="960"/>
      <c r="Q118" s="960"/>
      <c r="R118" s="960"/>
      <c r="S118" s="960"/>
      <c r="T118" s="62"/>
    </row>
    <row r="119" spans="11:20" ht="16" thickBot="1">
      <c r="K119" s="712" t="s">
        <v>238</v>
      </c>
      <c r="M119" s="1049" t="s">
        <v>3058</v>
      </c>
      <c r="N119" s="960"/>
      <c r="O119" s="960"/>
      <c r="P119" s="960"/>
      <c r="Q119" s="960"/>
      <c r="R119" s="960"/>
      <c r="S119" s="960"/>
      <c r="T119" s="62"/>
    </row>
    <row r="120" spans="11:20" ht="32">
      <c r="K120" s="712" t="s">
        <v>238</v>
      </c>
      <c r="M120" s="1699" t="s">
        <v>3033</v>
      </c>
      <c r="N120" s="1700" t="s">
        <v>3034</v>
      </c>
      <c r="O120" s="1702" t="s">
        <v>3040</v>
      </c>
      <c r="P120" s="1702" t="s">
        <v>3041</v>
      </c>
      <c r="Q120" s="1702" t="s">
        <v>3042</v>
      </c>
      <c r="R120" s="1700" t="s">
        <v>3035</v>
      </c>
      <c r="S120" s="1702" t="s">
        <v>3067</v>
      </c>
      <c r="T120" s="1701" t="s">
        <v>2189</v>
      </c>
    </row>
    <row r="121" spans="11:20">
      <c r="K121" s="712" t="s">
        <v>238</v>
      </c>
      <c r="M121" s="1539" t="s">
        <v>3051</v>
      </c>
      <c r="N121" s="958" t="str">
        <f>IFERROR(VLOOKUP(M121,Price_list!$B$1:$H$187,2,0),"")</f>
        <v>International Consultancy fee (3.1)</v>
      </c>
      <c r="O121" s="958" t="str">
        <f>IFERROR(VLOOKUP(M121,Price_list!$B$1:$H$187,3,0),"")</f>
        <v>cost/zi</v>
      </c>
      <c r="P121" s="946">
        <f>IFERROR(VLOOKUP(M121,Price_list!$B$1:$H$187,4,0),"")</f>
        <v>350</v>
      </c>
      <c r="Q121" s="946" t="str">
        <f>IFERROR(VLOOKUP(M121,Price_list!$B$1:$H$187,5,0),"")</f>
        <v>EUR</v>
      </c>
      <c r="R121" s="958">
        <f t="shared" ref="R121:R127" ca="1" si="4">ROUND(IFERROR(IF(Q121="MDL",P121,P121*INDIRECT(Q121)),0),2)</f>
        <v>6868.65</v>
      </c>
      <c r="S121" s="946">
        <f>P111*Q111</f>
        <v>0</v>
      </c>
      <c r="T121" s="1841">
        <f t="shared" ref="T121:T127" ca="1" si="5">S121*R121</f>
        <v>0</v>
      </c>
    </row>
    <row r="122" spans="11:20">
      <c r="K122" s="712" t="s">
        <v>238</v>
      </c>
      <c r="M122" s="1539" t="s">
        <v>3050</v>
      </c>
      <c r="N122" s="958" t="str">
        <f>IFERROR(VLOOKUP(M122,Price_list!$B$1:$H$187,2,0),"")</f>
        <v>National Consultancy fee (3.1)</v>
      </c>
      <c r="O122" s="958" t="str">
        <f>IFERROR(VLOOKUP(M122,Price_list!$B$1:$H$187,3,0),"")</f>
        <v>cost/zi</v>
      </c>
      <c r="P122" s="946">
        <f>IFERROR(VLOOKUP(M122,Price_list!$B$1:$H$187,4,0),"")</f>
        <v>2000</v>
      </c>
      <c r="Q122" s="946" t="str">
        <f>IFERROR(VLOOKUP(M122,Price_list!$B$1:$H$187,5,0),"")</f>
        <v>MDL</v>
      </c>
      <c r="R122" s="958">
        <f t="shared" ca="1" si="4"/>
        <v>2000</v>
      </c>
      <c r="S122" s="946">
        <f>P112*Q112</f>
        <v>20</v>
      </c>
      <c r="T122" s="1841">
        <f t="shared" ca="1" si="5"/>
        <v>40000</v>
      </c>
    </row>
    <row r="123" spans="11:20">
      <c r="K123" s="712" t="s">
        <v>238</v>
      </c>
      <c r="M123" s="1539" t="s">
        <v>3063</v>
      </c>
      <c r="N123" s="958" t="str">
        <f>IFERROR(VLOOKUP(M123,Price_list!$B$1:$H$187,2,0),"")</f>
        <v>Translation per page</v>
      </c>
      <c r="O123" s="958" t="str">
        <f>IFERROR(VLOOKUP(M123,Price_list!$B$1:$H$187,3,0),"")</f>
        <v>pagina</v>
      </c>
      <c r="P123" s="946">
        <f>IFERROR(VLOOKUP(M123,Price_list!$B$1:$H$187,4,0),"")</f>
        <v>150</v>
      </c>
      <c r="Q123" s="946" t="str">
        <f>IFERROR(VLOOKUP(M123,Price_list!$B$1:$H$187,5,0),"")</f>
        <v>MDL</v>
      </c>
      <c r="R123" s="958">
        <f t="shared" ca="1" si="4"/>
        <v>150</v>
      </c>
      <c r="S123" s="946">
        <f>P115</f>
        <v>0</v>
      </c>
      <c r="T123" s="1841">
        <f t="shared" ca="1" si="5"/>
        <v>0</v>
      </c>
    </row>
    <row r="124" spans="11:20">
      <c r="K124" s="712" t="s">
        <v>238</v>
      </c>
      <c r="M124" s="1539" t="s">
        <v>3068</v>
      </c>
      <c r="N124" s="958" t="str">
        <f>IFERROR(VLOOKUP(M124,Price_list!$B$1:$H$187,2,0),"")</f>
        <v xml:space="preserve">Formatting, design, printing </v>
      </c>
      <c r="O124" s="958" t="str">
        <f>IFERROR(VLOOKUP(M124,Price_list!$B$1:$H$187,3,0),"")</f>
        <v>pagina</v>
      </c>
      <c r="P124" s="946">
        <f>IFERROR(VLOOKUP(M124,Price_list!$B$1:$H$187,4,0),"")</f>
        <v>2</v>
      </c>
      <c r="Q124" s="946" t="str">
        <f>IFERROR(VLOOKUP(M124,Price_list!$B$1:$H$187,5,0),"")</f>
        <v>MDL</v>
      </c>
      <c r="R124" s="958">
        <f t="shared" ca="1" si="4"/>
        <v>2</v>
      </c>
      <c r="S124" s="946">
        <f>P115*P116</f>
        <v>0</v>
      </c>
      <c r="T124" s="1841">
        <f t="shared" ca="1" si="5"/>
        <v>0</v>
      </c>
    </row>
    <row r="125" spans="11:20">
      <c r="K125" s="712" t="s">
        <v>238</v>
      </c>
      <c r="M125" s="1539"/>
      <c r="N125" s="958" t="str">
        <f>IFERROR(VLOOKUP(M125,Price_list!$B$1:$H$187,2,0),"")</f>
        <v/>
      </c>
      <c r="O125" s="958" t="str">
        <f>IFERROR(VLOOKUP(M125,Price_list!$B$1:$H$187,3,0),"")</f>
        <v/>
      </c>
      <c r="P125" s="946" t="str">
        <f>IFERROR(VLOOKUP(M125,Price_list!$B$1:$H$187,4,0),"")</f>
        <v/>
      </c>
      <c r="Q125" s="946" t="str">
        <f>IFERROR(VLOOKUP(M125,Price_list!$B$1:$H$187,5,0),"")</f>
        <v/>
      </c>
      <c r="R125" s="958">
        <f t="shared" ca="1" si="4"/>
        <v>0</v>
      </c>
      <c r="S125" s="946"/>
      <c r="T125" s="1841">
        <f t="shared" ca="1" si="5"/>
        <v>0</v>
      </c>
    </row>
    <row r="126" spans="11:20">
      <c r="K126" s="712" t="s">
        <v>238</v>
      </c>
      <c r="M126" s="1539"/>
      <c r="N126" s="958" t="str">
        <f>IFERROR(VLOOKUP(M126,Price_list!$B$1:$H$187,2,0),"")</f>
        <v/>
      </c>
      <c r="O126" s="958" t="str">
        <f>IFERROR(VLOOKUP(M126,Price_list!$B$1:$H$187,3,0),"")</f>
        <v/>
      </c>
      <c r="P126" s="946" t="str">
        <f>IFERROR(VLOOKUP(M126,Price_list!$B$1:$H$187,4,0),"")</f>
        <v/>
      </c>
      <c r="Q126" s="946" t="str">
        <f>IFERROR(VLOOKUP(M126,Price_list!$B$1:$H$187,5,0),"")</f>
        <v/>
      </c>
      <c r="R126" s="958">
        <f t="shared" ca="1" si="4"/>
        <v>0</v>
      </c>
      <c r="S126" s="946"/>
      <c r="T126" s="1841">
        <f t="shared" ca="1" si="5"/>
        <v>0</v>
      </c>
    </row>
    <row r="127" spans="11:20" ht="16" thickBot="1">
      <c r="K127" s="712" t="s">
        <v>238</v>
      </c>
      <c r="M127" s="1539"/>
      <c r="N127" s="958" t="str">
        <f>IFERROR(VLOOKUP(M127,Price_list!$B$1:$H$187,2,0),"")</f>
        <v/>
      </c>
      <c r="O127" s="958" t="str">
        <f>IFERROR(VLOOKUP(M127,Price_list!$B$1:$H$187,3,0),"")</f>
        <v/>
      </c>
      <c r="P127" s="946" t="str">
        <f>IFERROR(VLOOKUP(M127,Price_list!$B$1:$H$187,4,0),"")</f>
        <v/>
      </c>
      <c r="Q127" s="946" t="str">
        <f>IFERROR(VLOOKUP(M127,Price_list!$B$1:$H$187,5,0),"")</f>
        <v/>
      </c>
      <c r="R127" s="958">
        <f t="shared" ca="1" si="4"/>
        <v>0</v>
      </c>
      <c r="S127" s="946"/>
      <c r="T127" s="1841">
        <f t="shared" ca="1" si="5"/>
        <v>0</v>
      </c>
    </row>
    <row r="128" spans="11:20" ht="16" thickBot="1">
      <c r="K128" s="712" t="s">
        <v>238</v>
      </c>
      <c r="M128" s="1704"/>
      <c r="N128" s="1761"/>
      <c r="O128" s="1761"/>
      <c r="P128" s="1761"/>
      <c r="Q128" s="1761"/>
      <c r="R128" s="1761"/>
      <c r="S128" s="1761"/>
      <c r="T128" s="1706">
        <f ca="1">SUM(T121:T127)</f>
        <v>40000</v>
      </c>
    </row>
    <row r="129" spans="1:20">
      <c r="K129" s="712" t="s">
        <v>238</v>
      </c>
      <c r="M129" s="1049"/>
      <c r="N129" s="960"/>
      <c r="O129" s="960"/>
      <c r="P129" s="960"/>
      <c r="Q129" s="960"/>
      <c r="R129" s="960"/>
      <c r="S129" s="960"/>
      <c r="T129" s="62"/>
    </row>
    <row r="130" spans="1:20" ht="16" thickBot="1">
      <c r="K130" s="712" t="s">
        <v>238</v>
      </c>
      <c r="M130" s="1049"/>
      <c r="N130" s="960"/>
      <c r="O130" s="960"/>
      <c r="P130" s="960"/>
      <c r="Q130" s="960"/>
      <c r="R130" s="960"/>
      <c r="S130" s="960"/>
      <c r="T130" s="62"/>
    </row>
    <row r="131" spans="1:20" ht="16" thickBot="1">
      <c r="K131" s="712" t="s">
        <v>238</v>
      </c>
      <c r="M131" s="1049" t="s">
        <v>2171</v>
      </c>
      <c r="N131" s="960"/>
      <c r="O131" s="960"/>
      <c r="P131" s="1500">
        <v>2021</v>
      </c>
      <c r="Q131" s="1762">
        <v>2022</v>
      </c>
      <c r="R131" s="1762">
        <v>2023</v>
      </c>
      <c r="S131" s="1762">
        <v>2024</v>
      </c>
      <c r="T131" s="1763">
        <v>2025</v>
      </c>
    </row>
    <row r="132" spans="1:20" ht="16" thickBot="1">
      <c r="K132" s="712" t="s">
        <v>238</v>
      </c>
      <c r="M132" s="1764"/>
      <c r="N132" s="1504"/>
      <c r="O132" s="1504"/>
      <c r="P132" s="1713">
        <v>1</v>
      </c>
      <c r="Q132" s="1713">
        <v>0</v>
      </c>
      <c r="R132" s="1713">
        <v>0</v>
      </c>
      <c r="S132" s="1713">
        <v>0</v>
      </c>
      <c r="T132" s="1765">
        <v>0</v>
      </c>
    </row>
    <row r="133" spans="1:20" ht="16" thickBot="1">
      <c r="A133" s="2157">
        <v>135</v>
      </c>
      <c r="B133" s="841">
        <f ca="1">P133</f>
        <v>40000</v>
      </c>
      <c r="C133" s="841">
        <f ca="1">Q133</f>
        <v>0</v>
      </c>
      <c r="D133" s="841">
        <f ca="1">R133</f>
        <v>0</v>
      </c>
      <c r="E133" s="841">
        <f ca="1">S133</f>
        <v>0</v>
      </c>
      <c r="F133" s="841">
        <f ca="1">T133</f>
        <v>0</v>
      </c>
      <c r="G133" s="841" t="s">
        <v>351</v>
      </c>
      <c r="H133" s="841" t="s">
        <v>3280</v>
      </c>
      <c r="I133" s="2180" t="s">
        <v>3716</v>
      </c>
      <c r="J133" s="841" t="s">
        <v>2941</v>
      </c>
      <c r="K133" s="712" t="s">
        <v>238</v>
      </c>
      <c r="M133" s="1710" t="s">
        <v>3044</v>
      </c>
      <c r="N133" s="1732"/>
      <c r="O133" s="1708"/>
      <c r="P133" s="1495">
        <f ca="1">T128*P132</f>
        <v>40000</v>
      </c>
      <c r="Q133" s="1495">
        <f ca="1">T128*Q132</f>
        <v>0</v>
      </c>
      <c r="R133" s="1495">
        <f ca="1">T128*R132</f>
        <v>0</v>
      </c>
      <c r="S133" s="1495">
        <f ca="1">T128*S132</f>
        <v>0</v>
      </c>
      <c r="T133" s="1495">
        <f ca="1">T128*T132</f>
        <v>0</v>
      </c>
    </row>
    <row r="134" spans="1:20">
      <c r="K134" s="712" t="s">
        <v>238</v>
      </c>
    </row>
    <row r="135" spans="1:20">
      <c r="K135" s="712" t="s">
        <v>238</v>
      </c>
    </row>
    <row r="136" spans="1:20">
      <c r="K136" s="712" t="s">
        <v>238</v>
      </c>
    </row>
    <row r="137" spans="1:20">
      <c r="K137" s="712" t="s">
        <v>238</v>
      </c>
      <c r="L137" s="1886" t="s">
        <v>3533</v>
      </c>
    </row>
    <row r="138" spans="1:20" ht="16" thickBot="1">
      <c r="K138" s="712" t="s">
        <v>238</v>
      </c>
    </row>
    <row r="139" spans="1:20" ht="32">
      <c r="K139" s="712" t="s">
        <v>238</v>
      </c>
      <c r="M139" s="1766" t="s">
        <v>3054</v>
      </c>
      <c r="N139" s="1696"/>
      <c r="O139" s="1767"/>
      <c r="P139" s="1220"/>
      <c r="Q139" s="966"/>
      <c r="R139" s="1768"/>
      <c r="S139" s="966"/>
      <c r="T139" s="967"/>
    </row>
    <row r="140" spans="1:20" ht="32">
      <c r="K140" s="712" t="s">
        <v>238</v>
      </c>
      <c r="M140" s="1769" t="s">
        <v>3055</v>
      </c>
      <c r="N140" s="1693"/>
      <c r="O140" s="958"/>
      <c r="P140" s="1040">
        <v>1</v>
      </c>
      <c r="Q140" s="960"/>
      <c r="R140" s="960"/>
      <c r="S140" s="960"/>
      <c r="T140" s="62"/>
    </row>
    <row r="141" spans="1:20" ht="32">
      <c r="K141" s="712" t="s">
        <v>238</v>
      </c>
      <c r="M141" s="1769" t="s">
        <v>3056</v>
      </c>
      <c r="N141" s="1693"/>
      <c r="O141" s="958"/>
      <c r="P141" s="1040">
        <v>25</v>
      </c>
      <c r="Q141" s="960"/>
      <c r="R141" s="960"/>
      <c r="S141" s="960"/>
      <c r="T141" s="62"/>
    </row>
    <row r="142" spans="1:20" ht="32">
      <c r="K142" s="712" t="s">
        <v>238</v>
      </c>
      <c r="M142" s="1769" t="s">
        <v>3057</v>
      </c>
      <c r="N142" s="1693"/>
      <c r="O142" s="958"/>
      <c r="P142" s="1040">
        <v>2</v>
      </c>
      <c r="Q142" s="960"/>
      <c r="R142" s="960"/>
      <c r="S142" s="960"/>
      <c r="T142" s="62"/>
    </row>
    <row r="143" spans="1:20" ht="32">
      <c r="K143" s="712" t="s">
        <v>238</v>
      </c>
      <c r="M143" s="1769" t="s">
        <v>3052</v>
      </c>
      <c r="N143" s="1693"/>
      <c r="O143" s="1694">
        <v>0.65</v>
      </c>
      <c r="P143" s="1028">
        <f>ROUND(P141*O143,0)</f>
        <v>16</v>
      </c>
      <c r="Q143" s="960"/>
      <c r="R143" s="960"/>
      <c r="S143" s="960"/>
      <c r="T143" s="62"/>
    </row>
    <row r="144" spans="1:20" ht="32">
      <c r="K144" s="712" t="s">
        <v>238</v>
      </c>
      <c r="M144" s="1769" t="s">
        <v>3053</v>
      </c>
      <c r="N144" s="1693"/>
      <c r="O144" s="1694">
        <v>0.65</v>
      </c>
      <c r="P144" s="1028">
        <f>ROUND(P141*O144,0)</f>
        <v>16</v>
      </c>
      <c r="Q144" s="960"/>
      <c r="R144" s="960"/>
      <c r="S144" s="960"/>
      <c r="T144" s="62"/>
    </row>
    <row r="145" spans="11:20">
      <c r="K145" s="712" t="s">
        <v>238</v>
      </c>
      <c r="M145" s="1770" t="s">
        <v>3036</v>
      </c>
      <c r="N145" s="1019"/>
      <c r="O145" s="1695"/>
      <c r="P145" s="1028">
        <f>P142-1</f>
        <v>1</v>
      </c>
      <c r="Q145" s="960"/>
      <c r="R145" s="960"/>
      <c r="S145" s="960"/>
      <c r="T145" s="62"/>
    </row>
    <row r="146" spans="11:20" ht="16" thickBot="1">
      <c r="K146" s="712" t="s">
        <v>238</v>
      </c>
      <c r="M146" s="1049"/>
      <c r="N146" s="960"/>
      <c r="O146" s="960"/>
      <c r="P146" s="960"/>
      <c r="Q146" s="960"/>
      <c r="R146" s="960"/>
      <c r="S146" s="960"/>
      <c r="T146" s="62"/>
    </row>
    <row r="147" spans="11:20" ht="32">
      <c r="K147" s="712" t="s">
        <v>238</v>
      </c>
      <c r="M147" s="1699" t="s">
        <v>3033</v>
      </c>
      <c r="N147" s="1700" t="s">
        <v>3034</v>
      </c>
      <c r="O147" s="1702" t="s">
        <v>3040</v>
      </c>
      <c r="P147" s="1702" t="s">
        <v>3041</v>
      </c>
      <c r="Q147" s="1702" t="s">
        <v>3042</v>
      </c>
      <c r="R147" s="1700" t="s">
        <v>3035</v>
      </c>
      <c r="S147" s="1702" t="s">
        <v>3039</v>
      </c>
      <c r="T147" s="1701" t="s">
        <v>2189</v>
      </c>
    </row>
    <row r="148" spans="11:20">
      <c r="K148" s="712" t="s">
        <v>238</v>
      </c>
      <c r="M148" s="1539" t="s">
        <v>3051</v>
      </c>
      <c r="N148" s="958" t="str">
        <f>IFERROR(VLOOKUP(M148,Price_list!$B$1:$H$187,2,0),"")</f>
        <v>International Consultancy fee (3.1)</v>
      </c>
      <c r="O148" s="958" t="str">
        <f>IFERROR(VLOOKUP(M148,Price_list!$B$1:$H$187,3,0),"")</f>
        <v>cost/zi</v>
      </c>
      <c r="P148" s="946">
        <f>IFERROR(VLOOKUP(M148,Price_list!$B$1:$H$187,4,0),"")</f>
        <v>350</v>
      </c>
      <c r="Q148" s="946" t="str">
        <f>IFERROR(VLOOKUP(M148,Price_list!$B$1:$H$187,5,0),"")</f>
        <v>EUR</v>
      </c>
      <c r="R148" s="958">
        <f t="shared" ref="R148:R165" ca="1" si="6">ROUND(IFERROR(IF(Q148="MDL",P148,P148*INDIRECT(Q148)),0),2)</f>
        <v>6868.65</v>
      </c>
      <c r="S148" s="946">
        <f>P142</f>
        <v>2</v>
      </c>
      <c r="T148" s="1889">
        <f ca="1">IFERROR(P139*R148*S148,"")</f>
        <v>0</v>
      </c>
    </row>
    <row r="149" spans="11:20">
      <c r="K149" s="712" t="s">
        <v>238</v>
      </c>
      <c r="M149" s="1539" t="s">
        <v>3029</v>
      </c>
      <c r="N149" s="958" t="str">
        <f>IFERROR(VLOOKUP(M149,Price_list!$B$1:$H$187,2,0),"")</f>
        <v xml:space="preserve">Travel costs </v>
      </c>
      <c r="O149" s="958" t="str">
        <f>IFERROR(VLOOKUP(M149,Price_list!$B$1:$H$187,3,0),"")</f>
        <v>cost tichet o directie</v>
      </c>
      <c r="P149" s="946">
        <f>IFERROR(VLOOKUP(M149,Price_list!$B$1:$H$187,4,0),"")</f>
        <v>5000</v>
      </c>
      <c r="Q149" s="946" t="str">
        <f>IFERROR(VLOOKUP(M149,Price_list!$B$1:$H$187,5,0),"")</f>
        <v>MDL</v>
      </c>
      <c r="R149" s="958">
        <f t="shared" ca="1" si="6"/>
        <v>5000</v>
      </c>
      <c r="S149" s="1040">
        <v>2</v>
      </c>
      <c r="T149" s="1889">
        <f ca="1">P139*S149*R149</f>
        <v>0</v>
      </c>
    </row>
    <row r="150" spans="11:20">
      <c r="K150" s="712" t="s">
        <v>238</v>
      </c>
      <c r="M150" s="1539" t="s">
        <v>3020</v>
      </c>
      <c r="N150" s="958" t="str">
        <f>IFERROR(VLOOKUP(M150,Price_list!$B$1:$H$187,2,0),"")</f>
        <v xml:space="preserve">Per diem, WHO DSA, average </v>
      </c>
      <c r="O150" s="958" t="str">
        <f>IFERROR(VLOOKUP(M150,Price_list!$B$1:$H$187,3,0),"")</f>
        <v>diurna</v>
      </c>
      <c r="P150" s="946">
        <f>IFERROR(VLOOKUP(M150,Price_list!$B$1:$H$187,4,0),"")</f>
        <v>200</v>
      </c>
      <c r="Q150" s="946" t="str">
        <f>IFERROR(VLOOKUP(M150,Price_list!$B$1:$H$187,5,0),"")</f>
        <v>EUR</v>
      </c>
      <c r="R150" s="958">
        <f t="shared" ca="1" si="6"/>
        <v>3924.94</v>
      </c>
      <c r="S150" s="946">
        <f>P142+1</f>
        <v>3</v>
      </c>
      <c r="T150" s="1889">
        <f ca="1">P139*R150*S150</f>
        <v>0</v>
      </c>
    </row>
    <row r="151" spans="11:20">
      <c r="K151" s="712" t="s">
        <v>238</v>
      </c>
      <c r="M151" s="1539" t="s">
        <v>3050</v>
      </c>
      <c r="N151" s="958" t="str">
        <f>IFERROR(VLOOKUP(M151,Price_list!$B$1:$H$187,2,0),"")</f>
        <v>National Consultancy fee (3.1)</v>
      </c>
      <c r="O151" s="958" t="str">
        <f>IFERROR(VLOOKUP(M151,Price_list!$B$1:$H$187,3,0),"")</f>
        <v>cost/zi</v>
      </c>
      <c r="P151" s="946">
        <f>IFERROR(VLOOKUP(M151,Price_list!$B$1:$H$187,4,0),"")</f>
        <v>2000</v>
      </c>
      <c r="Q151" s="946" t="str">
        <f>IFERROR(VLOOKUP(M151,Price_list!$B$1:$H$187,5,0),"")</f>
        <v>MDL</v>
      </c>
      <c r="R151" s="958">
        <f t="shared" ca="1" si="6"/>
        <v>2000</v>
      </c>
      <c r="S151" s="946">
        <f>P142</f>
        <v>2</v>
      </c>
      <c r="T151" s="1889">
        <f ca="1">P140*R151*S151</f>
        <v>4000</v>
      </c>
    </row>
    <row r="152" spans="11:20">
      <c r="K152" s="712" t="s">
        <v>238</v>
      </c>
      <c r="M152" s="1539"/>
      <c r="N152" s="958" t="str">
        <f>IFERROR(VLOOKUP(M152,Price_list!$B$1:$H$187,2,0),"")</f>
        <v/>
      </c>
      <c r="O152" s="958" t="str">
        <f>IFERROR(VLOOKUP(M152,Price_list!$B$1:$H$187,3,0),"")</f>
        <v/>
      </c>
      <c r="P152" s="946" t="str">
        <f>IFERROR(VLOOKUP(M152,Price_list!$B$1:$H$187,4,0),"")</f>
        <v/>
      </c>
      <c r="Q152" s="946" t="str">
        <f>IFERROR(VLOOKUP(M152,Price_list!$B$1:$H$187,5,0),"")</f>
        <v/>
      </c>
      <c r="R152" s="958">
        <f t="shared" ca="1" si="6"/>
        <v>0</v>
      </c>
      <c r="S152" s="946" t="str">
        <f>IFERROR(VLOOKUP(AD152,M143:O148,3,0),"")</f>
        <v/>
      </c>
      <c r="T152" s="1889" t="str">
        <f>IFERROR(#REF!*S152*P152,"")</f>
        <v/>
      </c>
    </row>
    <row r="153" spans="11:20">
      <c r="K153" s="712" t="s">
        <v>238</v>
      </c>
      <c r="M153" s="1539"/>
      <c r="N153" s="958" t="str">
        <f>IFERROR(VLOOKUP(M153,Price_list!$B$1:$H$187,2,0),"")</f>
        <v/>
      </c>
      <c r="O153" s="958" t="str">
        <f>IFERROR(VLOOKUP(M153,Price_list!$B$1:$H$187,3,0),"")</f>
        <v/>
      </c>
      <c r="P153" s="946" t="str">
        <f>IFERROR(VLOOKUP(M153,Price_list!$B$1:$H$187,4,0),"")</f>
        <v/>
      </c>
      <c r="Q153" s="946" t="str">
        <f>IFERROR(VLOOKUP(M153,Price_list!$B$1:$H$187,5,0),"")</f>
        <v/>
      </c>
      <c r="R153" s="958">
        <f t="shared" ca="1" si="6"/>
        <v>0</v>
      </c>
      <c r="S153" s="946" t="str">
        <f>IFERROR(VLOOKUP(AD153,M145:O149,3,0),"")</f>
        <v/>
      </c>
      <c r="T153" s="1889" t="str">
        <f>IFERROR(#REF!*S153*P153,"")</f>
        <v/>
      </c>
    </row>
    <row r="154" spans="11:20">
      <c r="K154" s="712" t="s">
        <v>238</v>
      </c>
      <c r="M154" s="1539" t="s">
        <v>3016</v>
      </c>
      <c r="N154" s="958" t="str">
        <f>IFERROR(VLOOKUP(M154,Price_list!$B$1:$H$187,2,0),"")</f>
        <v>Coffe break</v>
      </c>
      <c r="O154" s="958" t="str">
        <f>IFERROR(VLOOKUP(M154,Price_list!$B$1:$H$187,3,0),"")</f>
        <v>unitate</v>
      </c>
      <c r="P154" s="946">
        <f>IFERROR(VLOOKUP(M154,Price_list!$B$1:$H$187,4,0),"")</f>
        <v>75</v>
      </c>
      <c r="Q154" s="946" t="str">
        <f>IFERROR(VLOOKUP(M154,Price_list!$B$1:$H$187,5,0),"")</f>
        <v>MDL</v>
      </c>
      <c r="R154" s="958">
        <f t="shared" ca="1" si="6"/>
        <v>75</v>
      </c>
      <c r="S154" s="946">
        <v>2</v>
      </c>
      <c r="T154" s="1889">
        <f ca="1">S154*R154*P141*P142</f>
        <v>7500</v>
      </c>
    </row>
    <row r="155" spans="11:20">
      <c r="K155" s="712" t="s">
        <v>238</v>
      </c>
      <c r="M155" s="1539" t="s">
        <v>3021</v>
      </c>
      <c r="N155" s="958" t="str">
        <f>IFERROR(VLOOKUP(M155,Price_list!$B$1:$H$187,2,0),"")</f>
        <v xml:space="preserve">Meal ( lunch) </v>
      </c>
      <c r="O155" s="958" t="str">
        <f>IFERROR(VLOOKUP(M155,Price_list!$B$1:$H$187,3,0),"")</f>
        <v>unitate</v>
      </c>
      <c r="P155" s="946">
        <f>IFERROR(VLOOKUP(M155,Price_list!$B$1:$H$187,4,0),"")</f>
        <v>220</v>
      </c>
      <c r="Q155" s="946" t="str">
        <f>IFERROR(VLOOKUP(M155,Price_list!$B$1:$H$187,5,0),"")</f>
        <v>MDL</v>
      </c>
      <c r="R155" s="958">
        <f t="shared" ca="1" si="6"/>
        <v>220</v>
      </c>
      <c r="S155" s="946">
        <f>P142</f>
        <v>2</v>
      </c>
      <c r="T155" s="1889">
        <f ca="1">P141*S155*R155</f>
        <v>11000</v>
      </c>
    </row>
    <row r="156" spans="11:20">
      <c r="K156" s="712" t="s">
        <v>238</v>
      </c>
      <c r="M156" s="1539" t="s">
        <v>3023</v>
      </c>
      <c r="N156" s="958" t="str">
        <f>IFERROR(VLOOKUP(M156,Price_list!$B$1:$H$187,2,0),"")</f>
        <v>Meal(dinner)</v>
      </c>
      <c r="O156" s="958" t="str">
        <f>IFERROR(VLOOKUP(M156,Price_list!$B$1:$H$187,3,0),"")</f>
        <v>unitate</v>
      </c>
      <c r="P156" s="946">
        <f>IFERROR(VLOOKUP(M156,Price_list!$B$1:$H$187,4,0),"")</f>
        <v>220</v>
      </c>
      <c r="Q156" s="946" t="str">
        <f>IFERROR(VLOOKUP(M156,Price_list!$B$1:$H$187,5,0),"")</f>
        <v>MDL</v>
      </c>
      <c r="R156" s="958">
        <f t="shared" ca="1" si="6"/>
        <v>220</v>
      </c>
      <c r="S156" s="946">
        <f>P145</f>
        <v>1</v>
      </c>
      <c r="T156" s="1889">
        <f ca="1">S156*R156*P143</f>
        <v>3520</v>
      </c>
    </row>
    <row r="157" spans="11:20">
      <c r="K157" s="712" t="s">
        <v>238</v>
      </c>
      <c r="M157" s="1539" t="s">
        <v>3024</v>
      </c>
      <c r="N157" s="958" t="str">
        <f>IFERROR(VLOOKUP(M157,Price_list!$B$1:$H$187,2,0),"")</f>
        <v xml:space="preserve">Accomodation </v>
      </c>
      <c r="O157" s="958" t="str">
        <f>IFERROR(VLOOKUP(M157,Price_list!$B$1:$H$187,3,0),"")</f>
        <v>cost/noapte</v>
      </c>
      <c r="P157" s="946">
        <f>IFERROR(VLOOKUP(M157,Price_list!$B$1:$H$187,4,0),"")</f>
        <v>750</v>
      </c>
      <c r="Q157" s="946" t="str">
        <f>IFERROR(VLOOKUP(M157,Price_list!$B$1:$H$187,5,0),"")</f>
        <v>MDL</v>
      </c>
      <c r="R157" s="958">
        <f t="shared" ca="1" si="6"/>
        <v>750</v>
      </c>
      <c r="S157" s="946">
        <f>P145</f>
        <v>1</v>
      </c>
      <c r="T157" s="1889">
        <f ca="1">S157*R157*P143</f>
        <v>12000</v>
      </c>
    </row>
    <row r="158" spans="11:20">
      <c r="K158" s="712" t="s">
        <v>238</v>
      </c>
      <c r="M158" s="1539" t="s">
        <v>3030</v>
      </c>
      <c r="N158" s="958" t="str">
        <f>IFERROR(VLOOKUP(M158,Price_list!$B$1:$H$187,2,0),"")</f>
        <v>Travel participants</v>
      </c>
      <c r="O158" s="958" t="str">
        <f>IFERROR(VLOOKUP(M158,Price_list!$B$1:$H$187,3,0),"")</f>
        <v>cost tichet o directie</v>
      </c>
      <c r="P158" s="946">
        <f>IFERROR(VLOOKUP(M158,Price_list!$B$1:$H$187,4,0),"")</f>
        <v>80</v>
      </c>
      <c r="Q158" s="946" t="str">
        <f>IFERROR(VLOOKUP(M158,Price_list!$B$1:$H$187,5,0),"")</f>
        <v>MDL</v>
      </c>
      <c r="R158" s="958">
        <f t="shared" ca="1" si="6"/>
        <v>80</v>
      </c>
      <c r="S158" s="1040">
        <v>2</v>
      </c>
      <c r="T158" s="1889">
        <f ca="1">S158*P144*R158</f>
        <v>2560</v>
      </c>
    </row>
    <row r="159" spans="11:20">
      <c r="K159" s="712" t="s">
        <v>238</v>
      </c>
      <c r="M159" s="1539"/>
      <c r="N159" s="958" t="str">
        <f>IFERROR(VLOOKUP(M159,Price_list!$B$1:$H$187,2,0),"")</f>
        <v/>
      </c>
      <c r="O159" s="958" t="str">
        <f>IFERROR(VLOOKUP(M159,Price_list!$B$1:$H$187,3,0),"")</f>
        <v/>
      </c>
      <c r="P159" s="946" t="str">
        <f>IFERROR(VLOOKUP(M159,Price_list!$B$1:$H$187,4,0),"")</f>
        <v/>
      </c>
      <c r="Q159" s="946" t="str">
        <f>IFERROR(VLOOKUP(M159,Price_list!$B$1:$H$187,5,0),"")</f>
        <v/>
      </c>
      <c r="R159" s="958">
        <f t="shared" ca="1" si="6"/>
        <v>0</v>
      </c>
      <c r="S159" s="946" t="str">
        <f>IFERROR(VLOOKUP(AD159,M149:O155,3,0),"")</f>
        <v/>
      </c>
      <c r="T159" s="1889" t="str">
        <f>IFERROR(#REF!*S159*P159,"")</f>
        <v/>
      </c>
    </row>
    <row r="160" spans="11:20">
      <c r="K160" s="712" t="s">
        <v>238</v>
      </c>
      <c r="M160" s="1539" t="s">
        <v>3025</v>
      </c>
      <c r="N160" s="958" t="str">
        <f>IFERROR(VLOOKUP(M160,Price_list!$B$1:$H$187,2,0),"")</f>
        <v>Supplies</v>
      </c>
      <c r="O160" s="958" t="str">
        <f>IFERROR(VLOOKUP(M160,Price_list!$B$1:$H$187,3,0),"")</f>
        <v>set/participant</v>
      </c>
      <c r="P160" s="946">
        <f>IFERROR(VLOOKUP(M160,Price_list!$B$1:$H$187,4,0),"")</f>
        <v>140</v>
      </c>
      <c r="Q160" s="946" t="str">
        <f>IFERROR(VLOOKUP(M160,Price_list!$B$1:$H$187,5,0),"")</f>
        <v>MDL</v>
      </c>
      <c r="R160" s="958">
        <f t="shared" ca="1" si="6"/>
        <v>140</v>
      </c>
      <c r="S160" s="946">
        <v>1</v>
      </c>
      <c r="T160" s="1889">
        <f ca="1">S160*R160*P141</f>
        <v>3500</v>
      </c>
    </row>
    <row r="161" spans="1:20">
      <c r="K161" s="712" t="s">
        <v>238</v>
      </c>
      <c r="M161" s="1539" t="s">
        <v>3022</v>
      </c>
      <c r="N161" s="958" t="str">
        <f>IFERROR(VLOOKUP(M161,Price_list!$B$1:$H$187,2,0),"")</f>
        <v>Rent of premises</v>
      </c>
      <c r="O161" s="958" t="str">
        <f>IFERROR(VLOOKUP(M161,Price_list!$B$1:$H$187,3,0),"")</f>
        <v>cost/zi</v>
      </c>
      <c r="P161" s="946">
        <f>IFERROR(VLOOKUP(M161,Price_list!$B$1:$H$187,4,0),"")</f>
        <v>1800</v>
      </c>
      <c r="Q161" s="946" t="str">
        <f>IFERROR(VLOOKUP(M161,Price_list!$B$1:$H$187,5,0),"")</f>
        <v>MDL</v>
      </c>
      <c r="R161" s="958">
        <f t="shared" ca="1" si="6"/>
        <v>1800</v>
      </c>
      <c r="S161" s="946">
        <f>P142</f>
        <v>2</v>
      </c>
      <c r="T161" s="1889">
        <f ca="1">S161*R161</f>
        <v>3600</v>
      </c>
    </row>
    <row r="162" spans="1:20">
      <c r="K162" s="712" t="s">
        <v>238</v>
      </c>
      <c r="M162" s="1539" t="s">
        <v>3031</v>
      </c>
      <c r="N162" s="958" t="str">
        <f>IFERROR(VLOOKUP(M162,Price_list!$B$1:$H$187,2,0),"")</f>
        <v>Interpreter's fee, per day</v>
      </c>
      <c r="O162" s="958" t="str">
        <f>IFERROR(VLOOKUP(M162,Price_list!$B$1:$H$187,3,0),"")</f>
        <v>cost/zi</v>
      </c>
      <c r="P162" s="946">
        <f>IFERROR(VLOOKUP(M162,Price_list!$B$1:$H$187,4,0),"")</f>
        <v>2000</v>
      </c>
      <c r="Q162" s="946" t="str">
        <f>IFERROR(VLOOKUP(M162,Price_list!$B$1:$H$187,5,0),"")</f>
        <v>MDL</v>
      </c>
      <c r="R162" s="958">
        <f t="shared" ca="1" si="6"/>
        <v>2000</v>
      </c>
      <c r="S162" s="946">
        <f>IF(P139&gt;0,P142,0)</f>
        <v>0</v>
      </c>
      <c r="T162" s="1889">
        <f ca="1">S162*R162</f>
        <v>0</v>
      </c>
    </row>
    <row r="163" spans="1:20">
      <c r="K163" s="712" t="s">
        <v>238</v>
      </c>
      <c r="M163" s="1539"/>
      <c r="N163" s="958" t="str">
        <f>IFERROR(VLOOKUP(M163,Price_list!$B$1:$H$187,2,0),"")</f>
        <v/>
      </c>
      <c r="O163" s="958" t="str">
        <f>IFERROR(VLOOKUP(M163,Price_list!$B$1:$H$187,3,0),"")</f>
        <v/>
      </c>
      <c r="P163" s="946" t="str">
        <f>IFERROR(VLOOKUP(M163,Price_list!$B$1:$H$187,4,0),"")</f>
        <v/>
      </c>
      <c r="Q163" s="946" t="str">
        <f>IFERROR(VLOOKUP(M163,Price_list!$B$1:$H$187,5,0),"")</f>
        <v/>
      </c>
      <c r="R163" s="958">
        <f t="shared" ca="1" si="6"/>
        <v>0</v>
      </c>
      <c r="S163" s="946" t="str">
        <f>IFERROR(VLOOKUP(AD163,M154:O158,3,0),"")</f>
        <v/>
      </c>
      <c r="T163" s="1889" t="str">
        <f>IFERROR(#REF!*S163*P163,"")</f>
        <v/>
      </c>
    </row>
    <row r="164" spans="1:20">
      <c r="K164" s="712" t="s">
        <v>238</v>
      </c>
      <c r="M164" s="1539"/>
      <c r="N164" s="958" t="str">
        <f>IFERROR(VLOOKUP(M164,Price_list!$B$1:$H$187,2,0),"")</f>
        <v/>
      </c>
      <c r="O164" s="958" t="str">
        <f>IFERROR(VLOOKUP(M164,Price_list!$B$1:$H$187,3,0),"")</f>
        <v/>
      </c>
      <c r="P164" s="946" t="str">
        <f>IFERROR(VLOOKUP(M164,Price_list!$B$1:$H$187,4,0),"")</f>
        <v/>
      </c>
      <c r="Q164" s="946" t="str">
        <f>IFERROR(VLOOKUP(M164,Price_list!$B$1:$H$187,5,0),"")</f>
        <v/>
      </c>
      <c r="R164" s="958">
        <f t="shared" ca="1" si="6"/>
        <v>0</v>
      </c>
      <c r="S164" s="946" t="str">
        <f>IFERROR(VLOOKUP(AD164,M155:O160,3,0),"")</f>
        <v/>
      </c>
      <c r="T164" s="1889" t="str">
        <f>IFERROR(#REF!*S164*P164,"")</f>
        <v/>
      </c>
    </row>
    <row r="165" spans="1:20">
      <c r="K165" s="712" t="s">
        <v>238</v>
      </c>
      <c r="M165" s="1539"/>
      <c r="N165" s="958" t="str">
        <f>IFERROR(VLOOKUP(M165,Price_list!$B$1:$H$187,2,0),"")</f>
        <v/>
      </c>
      <c r="O165" s="958" t="str">
        <f>IFERROR(VLOOKUP(M165,Price_list!$B$1:$H$187,3,0),"")</f>
        <v/>
      </c>
      <c r="P165" s="946" t="str">
        <f>IFERROR(VLOOKUP(M165,Price_list!$B$1:$H$187,4,0),"")</f>
        <v/>
      </c>
      <c r="Q165" s="946" t="str">
        <f>IFERROR(VLOOKUP(M165,Price_list!$B$1:$H$187,5,0),"")</f>
        <v/>
      </c>
      <c r="R165" s="958">
        <f t="shared" ca="1" si="6"/>
        <v>0</v>
      </c>
      <c r="S165" s="946" t="str">
        <f>IFERROR(VLOOKUP(AD165,M156:O161,3,0),"")</f>
        <v/>
      </c>
      <c r="T165" s="1889" t="str">
        <f>IFERROR(#REF!*S165*P165,"")</f>
        <v/>
      </c>
    </row>
    <row r="166" spans="1:20" ht="16" thickBot="1">
      <c r="K166" s="712" t="s">
        <v>238</v>
      </c>
      <c r="M166" s="1697"/>
      <c r="N166" s="1698" t="str">
        <f>IFERROR(VLOOKUP(M166,Price_list!$B$1:$H$187,2,0),"")</f>
        <v/>
      </c>
      <c r="O166" s="1698" t="str">
        <f>IFERROR(VLOOKUP(M166,Price_list!$B$1:$H$187,3,0),"")</f>
        <v/>
      </c>
      <c r="P166" s="1034" t="str">
        <f>IFERROR(VLOOKUP(M166,Price_list!$B$1:$H$187,4,0),"")</f>
        <v/>
      </c>
      <c r="Q166" s="1034" t="str">
        <f>IFERROR(VLOOKUP(M166,Price_list!$B$1:$H$187,5,0),"")</f>
        <v/>
      </c>
      <c r="R166" s="1698"/>
      <c r="S166" s="1034" t="str">
        <f>IFERROR(VLOOKUP(AD166,M157:O162,3,0),"")</f>
        <v/>
      </c>
      <c r="T166" s="1703">
        <f ca="1">SUM(T148:T165)</f>
        <v>47680</v>
      </c>
    </row>
    <row r="167" spans="1:20">
      <c r="K167" s="712" t="s">
        <v>238</v>
      </c>
      <c r="M167" s="1771" t="s">
        <v>3037</v>
      </c>
      <c r="N167" s="1742" t="s">
        <v>3006</v>
      </c>
      <c r="O167" s="1743"/>
      <c r="P167" s="1772">
        <v>7.0000000000000007E-2</v>
      </c>
      <c r="Q167" s="1773"/>
      <c r="R167" s="1773"/>
      <c r="S167" s="1773"/>
      <c r="T167" s="1774">
        <f ca="1">ROUND(T166*P167,2)</f>
        <v>3337.6</v>
      </c>
    </row>
    <row r="168" spans="1:20" ht="16" thickBot="1">
      <c r="K168" s="712" t="s">
        <v>238</v>
      </c>
      <c r="M168" s="1049"/>
      <c r="N168" s="960"/>
      <c r="O168" s="960"/>
      <c r="P168" s="960"/>
      <c r="Q168" s="960"/>
      <c r="R168" s="960"/>
      <c r="S168" s="960"/>
      <c r="T168" s="62"/>
    </row>
    <row r="169" spans="1:20" ht="16" thickBot="1">
      <c r="K169" s="712" t="s">
        <v>238</v>
      </c>
      <c r="M169" s="1704" t="s">
        <v>3038</v>
      </c>
      <c r="N169" s="1761"/>
      <c r="O169" s="1761"/>
      <c r="P169" s="1761"/>
      <c r="Q169" s="1761"/>
      <c r="R169" s="1761"/>
      <c r="S169" s="1761"/>
      <c r="T169" s="1706">
        <f ca="1">T167+T166</f>
        <v>51017.599999999999</v>
      </c>
    </row>
    <row r="170" spans="1:20">
      <c r="K170" s="712" t="s">
        <v>238</v>
      </c>
      <c r="M170" s="1049"/>
      <c r="N170" s="960"/>
      <c r="O170" s="960"/>
      <c r="P170" s="960"/>
      <c r="Q170" s="960"/>
      <c r="R170" s="960"/>
      <c r="S170" s="960"/>
      <c r="T170" s="62"/>
    </row>
    <row r="171" spans="1:20" ht="16" thickBot="1">
      <c r="K171" s="712" t="s">
        <v>238</v>
      </c>
      <c r="M171" s="1049"/>
      <c r="N171" s="960"/>
      <c r="O171" s="960"/>
      <c r="P171" s="960"/>
      <c r="Q171" s="960"/>
      <c r="R171" s="960"/>
      <c r="S171" s="960"/>
      <c r="T171" s="62"/>
    </row>
    <row r="172" spans="1:20" ht="16" thickBot="1">
      <c r="K172" s="712" t="s">
        <v>238</v>
      </c>
      <c r="M172" s="1049" t="s">
        <v>2171</v>
      </c>
      <c r="N172" s="960"/>
      <c r="O172" s="960"/>
      <c r="P172" s="1500">
        <v>2021</v>
      </c>
      <c r="Q172" s="1762">
        <v>2022</v>
      </c>
      <c r="R172" s="1762">
        <v>2023</v>
      </c>
      <c r="S172" s="1762">
        <v>2024</v>
      </c>
      <c r="T172" s="1763">
        <v>2025</v>
      </c>
    </row>
    <row r="173" spans="1:20" ht="16" thickBot="1">
      <c r="K173" s="712" t="s">
        <v>238</v>
      </c>
      <c r="M173" s="1764" t="s">
        <v>3043</v>
      </c>
      <c r="N173" s="1504"/>
      <c r="O173" s="1504"/>
      <c r="P173" s="1713">
        <v>10</v>
      </c>
      <c r="Q173" s="1713"/>
      <c r="R173" s="1713"/>
      <c r="S173" s="1713"/>
      <c r="T173" s="1765"/>
    </row>
    <row r="174" spans="1:20" ht="16" thickBot="1">
      <c r="A174" s="2157">
        <v>137</v>
      </c>
      <c r="B174" s="841">
        <f ca="1">P174</f>
        <v>510176</v>
      </c>
      <c r="C174" s="841">
        <f ca="1">Q174</f>
        <v>0</v>
      </c>
      <c r="D174" s="841">
        <f ca="1">R174</f>
        <v>0</v>
      </c>
      <c r="E174" s="841">
        <f ca="1">S174</f>
        <v>0</v>
      </c>
      <c r="F174" s="841">
        <f ca="1">T174</f>
        <v>0</v>
      </c>
      <c r="G174" s="841" t="s">
        <v>351</v>
      </c>
      <c r="H174" s="841" t="s">
        <v>3533</v>
      </c>
      <c r="I174" s="2180" t="s">
        <v>3716</v>
      </c>
      <c r="J174" s="841" t="s">
        <v>2941</v>
      </c>
      <c r="K174" s="712" t="s">
        <v>238</v>
      </c>
      <c r="M174" s="1710" t="s">
        <v>3044</v>
      </c>
      <c r="N174" s="1732"/>
      <c r="O174" s="1708"/>
      <c r="P174" s="1884">
        <f ca="1">T169*P173</f>
        <v>510176</v>
      </c>
      <c r="Q174" s="1884">
        <f ca="1">T169*Q173</f>
        <v>0</v>
      </c>
      <c r="R174" s="1884">
        <f ca="1">T169*R173</f>
        <v>0</v>
      </c>
      <c r="S174" s="1884">
        <f ca="1">T169*S173</f>
        <v>0</v>
      </c>
      <c r="T174" s="1884">
        <f ca="1">T169*T173</f>
        <v>0</v>
      </c>
    </row>
    <row r="175" spans="1:20">
      <c r="K175" s="712" t="s">
        <v>238</v>
      </c>
    </row>
    <row r="176" spans="1:20">
      <c r="K176" s="712" t="s">
        <v>238</v>
      </c>
    </row>
    <row r="177" spans="1:16">
      <c r="K177" s="712" t="s">
        <v>238</v>
      </c>
    </row>
    <row r="178" spans="1:16">
      <c r="K178" s="712" t="s">
        <v>238</v>
      </c>
    </row>
    <row r="179" spans="1:16">
      <c r="K179" s="712" t="s">
        <v>238</v>
      </c>
    </row>
    <row r="180" spans="1:16">
      <c r="K180" s="712" t="s">
        <v>238</v>
      </c>
    </row>
    <row r="181" spans="1:16">
      <c r="K181" s="712" t="s">
        <v>238</v>
      </c>
    </row>
    <row r="182" spans="1:16">
      <c r="K182" s="712" t="s">
        <v>238</v>
      </c>
    </row>
    <row r="183" spans="1:16">
      <c r="K183" s="712" t="s">
        <v>238</v>
      </c>
    </row>
    <row r="184" spans="1:16">
      <c r="K184" s="712" t="s">
        <v>238</v>
      </c>
    </row>
    <row r="185" spans="1:16">
      <c r="K185" s="712" t="s">
        <v>238</v>
      </c>
    </row>
    <row r="186" spans="1:16">
      <c r="K186" s="712" t="s">
        <v>238</v>
      </c>
    </row>
    <row r="187" spans="1:16">
      <c r="K187" s="712" t="s">
        <v>238</v>
      </c>
    </row>
    <row r="188" spans="1:16" s="1808" customFormat="1">
      <c r="A188" s="960"/>
      <c r="B188" s="960"/>
      <c r="C188" s="960"/>
      <c r="D188" s="960"/>
      <c r="E188" s="960"/>
      <c r="F188" s="960"/>
      <c r="G188" s="960"/>
      <c r="H188" s="960"/>
      <c r="I188" s="2164"/>
      <c r="J188" s="960"/>
      <c r="K188" s="712" t="s">
        <v>238</v>
      </c>
    </row>
    <row r="189" spans="1:16" s="1808" customFormat="1">
      <c r="A189" s="960"/>
      <c r="B189" s="960"/>
      <c r="C189" s="960"/>
      <c r="D189" s="960"/>
      <c r="E189" s="960"/>
      <c r="F189" s="960"/>
      <c r="G189" s="960"/>
      <c r="H189" s="960"/>
      <c r="I189" s="2164"/>
      <c r="J189" s="960"/>
      <c r="K189" s="712"/>
      <c r="L189" s="1885" t="s">
        <v>2942</v>
      </c>
    </row>
    <row r="190" spans="1:16">
      <c r="K190" s="712" t="s">
        <v>238</v>
      </c>
    </row>
    <row r="191" spans="1:16">
      <c r="K191" s="712" t="s">
        <v>238</v>
      </c>
      <c r="L191" s="1885" t="s">
        <v>3734</v>
      </c>
    </row>
    <row r="192" spans="1:16" s="431" customFormat="1">
      <c r="A192" s="1544"/>
      <c r="B192" s="1544"/>
      <c r="C192" s="1544"/>
      <c r="D192" s="1544"/>
      <c r="E192" s="1544"/>
      <c r="F192" s="1544"/>
      <c r="G192" s="1544"/>
      <c r="H192" s="1544"/>
      <c r="I192" s="2189"/>
      <c r="J192" s="1544"/>
      <c r="K192" s="712" t="s">
        <v>238</v>
      </c>
      <c r="N192" s="431" t="s">
        <v>3287</v>
      </c>
      <c r="P192" s="845" t="s">
        <v>3289</v>
      </c>
    </row>
    <row r="193" spans="1:16">
      <c r="K193" s="712" t="s">
        <v>238</v>
      </c>
      <c r="M193" s="958" t="s">
        <v>3285</v>
      </c>
      <c r="N193" s="946"/>
      <c r="O193" s="946"/>
      <c r="P193" s="946">
        <v>75</v>
      </c>
    </row>
    <row r="194" spans="1:16">
      <c r="K194" s="712" t="s">
        <v>238</v>
      </c>
      <c r="M194" s="958" t="s">
        <v>3286</v>
      </c>
      <c r="N194" s="946">
        <v>35</v>
      </c>
      <c r="O194" s="946">
        <v>28</v>
      </c>
      <c r="P194" s="946">
        <f>O194*N194</f>
        <v>980</v>
      </c>
    </row>
    <row r="195" spans="1:16">
      <c r="K195" s="712" t="s">
        <v>238</v>
      </c>
      <c r="N195" s="734"/>
      <c r="O195" s="734"/>
      <c r="P195" s="1223">
        <f>SUM(P193:P194)</f>
        <v>1055</v>
      </c>
    </row>
    <row r="196" spans="1:16" s="1808" customFormat="1">
      <c r="A196" s="960"/>
      <c r="B196" s="960"/>
      <c r="C196" s="960"/>
      <c r="D196" s="960"/>
      <c r="E196" s="960"/>
      <c r="F196" s="960"/>
      <c r="G196" s="960"/>
      <c r="H196" s="960"/>
      <c r="I196" s="2164"/>
      <c r="J196" s="960"/>
      <c r="K196" s="712" t="s">
        <v>238</v>
      </c>
      <c r="N196" s="734"/>
      <c r="O196" s="734"/>
      <c r="P196" s="734"/>
    </row>
    <row r="197" spans="1:16" s="1808" customFormat="1">
      <c r="A197" s="960"/>
      <c r="B197" s="960"/>
      <c r="C197" s="960"/>
      <c r="D197" s="960"/>
      <c r="E197" s="960"/>
      <c r="F197" s="960"/>
      <c r="G197" s="960"/>
      <c r="H197" s="960"/>
      <c r="I197" s="2164"/>
      <c r="J197" s="960"/>
      <c r="K197" s="712" t="s">
        <v>238</v>
      </c>
      <c r="M197" s="958" t="s">
        <v>3271</v>
      </c>
      <c r="N197" s="946">
        <v>6</v>
      </c>
      <c r="O197" s="946" t="s">
        <v>3238</v>
      </c>
      <c r="P197" s="734"/>
    </row>
    <row r="198" spans="1:16" s="1808" customFormat="1">
      <c r="A198" s="960"/>
      <c r="B198" s="960"/>
      <c r="C198" s="960"/>
      <c r="D198" s="960"/>
      <c r="E198" s="960"/>
      <c r="F198" s="960"/>
      <c r="G198" s="960"/>
      <c r="H198" s="960"/>
      <c r="I198" s="2164"/>
      <c r="J198" s="960"/>
      <c r="K198" s="712" t="s">
        <v>238</v>
      </c>
      <c r="M198" s="1887" t="s">
        <v>3283</v>
      </c>
      <c r="N198" s="946">
        <v>18</v>
      </c>
      <c r="O198" s="946" t="s">
        <v>3288</v>
      </c>
      <c r="P198" s="734"/>
    </row>
    <row r="199" spans="1:16" s="1808" customFormat="1">
      <c r="A199" s="960"/>
      <c r="B199" s="960"/>
      <c r="C199" s="960"/>
      <c r="D199" s="960"/>
      <c r="E199" s="960"/>
      <c r="F199" s="960"/>
      <c r="G199" s="960"/>
      <c r="H199" s="960"/>
      <c r="I199" s="2164"/>
      <c r="J199" s="960"/>
      <c r="K199" s="712" t="s">
        <v>238</v>
      </c>
      <c r="N199" s="734"/>
      <c r="O199" s="734"/>
      <c r="P199" s="734"/>
    </row>
    <row r="200" spans="1:16" s="1808" customFormat="1">
      <c r="A200" s="960"/>
      <c r="B200" s="960"/>
      <c r="C200" s="960"/>
      <c r="D200" s="960"/>
      <c r="E200" s="960"/>
      <c r="F200" s="960"/>
      <c r="G200" s="960"/>
      <c r="H200" s="960"/>
      <c r="I200" s="2164"/>
      <c r="J200" s="960"/>
      <c r="K200" s="712" t="s">
        <v>238</v>
      </c>
      <c r="M200" s="431" t="s">
        <v>3290</v>
      </c>
      <c r="N200" s="734" t="s">
        <v>3292</v>
      </c>
      <c r="O200" s="734" t="s">
        <v>3238</v>
      </c>
      <c r="P200" s="734"/>
    </row>
    <row r="201" spans="1:16" s="1808" customFormat="1">
      <c r="A201" s="960"/>
      <c r="B201" s="960"/>
      <c r="C201" s="960"/>
      <c r="D201" s="960"/>
      <c r="E201" s="960"/>
      <c r="F201" s="960"/>
      <c r="G201" s="960"/>
      <c r="H201" s="960"/>
      <c r="I201" s="2164"/>
      <c r="J201" s="960"/>
      <c r="K201" s="712" t="s">
        <v>238</v>
      </c>
      <c r="M201" s="958" t="s">
        <v>3271</v>
      </c>
      <c r="N201" s="1040">
        <f>72</f>
        <v>72</v>
      </c>
      <c r="O201" s="946">
        <f>ROUND(N201/30,2)</f>
        <v>2.4</v>
      </c>
    </row>
    <row r="202" spans="1:16" s="1808" customFormat="1">
      <c r="A202" s="960"/>
      <c r="B202" s="960"/>
      <c r="C202" s="960"/>
      <c r="D202" s="960"/>
      <c r="E202" s="960"/>
      <c r="F202" s="960"/>
      <c r="G202" s="960"/>
      <c r="H202" s="960"/>
      <c r="I202" s="2164"/>
      <c r="J202" s="960"/>
      <c r="K202" s="712" t="s">
        <v>238</v>
      </c>
      <c r="M202" s="1887" t="s">
        <v>3283</v>
      </c>
      <c r="N202" s="1040">
        <v>100</v>
      </c>
      <c r="O202" s="946">
        <f>ROUND(N202/30,2)</f>
        <v>3.33</v>
      </c>
    </row>
    <row r="203" spans="1:16" s="1808" customFormat="1">
      <c r="A203" s="960"/>
      <c r="B203" s="960"/>
      <c r="C203" s="960"/>
      <c r="D203" s="960"/>
      <c r="E203" s="960"/>
      <c r="F203" s="960"/>
      <c r="G203" s="960"/>
      <c r="H203" s="960"/>
      <c r="I203" s="2164"/>
      <c r="J203" s="960"/>
      <c r="K203" s="712" t="s">
        <v>238</v>
      </c>
    </row>
    <row r="204" spans="1:16" s="1808" customFormat="1">
      <c r="A204" s="960"/>
      <c r="B204" s="960"/>
      <c r="C204" s="960"/>
      <c r="D204" s="960"/>
      <c r="E204" s="960"/>
      <c r="F204" s="960"/>
      <c r="G204" s="960"/>
      <c r="H204" s="960"/>
      <c r="I204" s="2164"/>
      <c r="J204" s="960"/>
      <c r="K204" s="712" t="s">
        <v>238</v>
      </c>
      <c r="M204" s="1081" t="s">
        <v>3291</v>
      </c>
    </row>
    <row r="205" spans="1:16" s="1808" customFormat="1">
      <c r="A205" s="960"/>
      <c r="B205" s="960"/>
      <c r="C205" s="960"/>
      <c r="D205" s="960"/>
      <c r="E205" s="960"/>
      <c r="F205" s="960"/>
      <c r="G205" s="960"/>
      <c r="H205" s="960"/>
      <c r="I205" s="2164"/>
      <c r="J205" s="960"/>
      <c r="K205" s="712" t="s">
        <v>238</v>
      </c>
      <c r="M205" s="958" t="s">
        <v>3271</v>
      </c>
      <c r="N205" s="946">
        <v>591</v>
      </c>
      <c r="O205" s="1880">
        <f>N205/P217</f>
        <v>0.44874715261958997</v>
      </c>
    </row>
    <row r="206" spans="1:16" s="1808" customFormat="1">
      <c r="A206" s="960"/>
      <c r="B206" s="960"/>
      <c r="C206" s="960"/>
      <c r="D206" s="960"/>
      <c r="E206" s="960"/>
      <c r="F206" s="960"/>
      <c r="G206" s="960"/>
      <c r="H206" s="960"/>
      <c r="I206" s="2164"/>
      <c r="J206" s="960"/>
      <c r="K206" s="712" t="s">
        <v>238</v>
      </c>
      <c r="M206" s="1887" t="s">
        <v>3283</v>
      </c>
      <c r="N206" s="946">
        <v>42</v>
      </c>
      <c r="O206" s="1890">
        <f>N206/P231</f>
        <v>0.10526315789473684</v>
      </c>
    </row>
    <row r="207" spans="1:16" s="1808" customFormat="1">
      <c r="A207" s="960"/>
      <c r="B207" s="960"/>
      <c r="C207" s="960"/>
      <c r="D207" s="960"/>
      <c r="E207" s="960"/>
      <c r="F207" s="960"/>
      <c r="G207" s="960"/>
      <c r="H207" s="960"/>
      <c r="I207" s="2164"/>
      <c r="J207" s="960"/>
      <c r="K207" s="712" t="s">
        <v>238</v>
      </c>
    </row>
    <row r="208" spans="1:16" s="1808" customFormat="1">
      <c r="A208" s="960"/>
      <c r="B208" s="960"/>
      <c r="C208" s="960"/>
      <c r="D208" s="960"/>
      <c r="E208" s="960"/>
      <c r="F208" s="960"/>
      <c r="G208" s="960"/>
      <c r="H208" s="960"/>
      <c r="I208" s="2164"/>
      <c r="J208" s="960"/>
      <c r="K208" s="712" t="s">
        <v>238</v>
      </c>
    </row>
    <row r="209" spans="1:32" s="1808" customFormat="1">
      <c r="A209" s="960"/>
      <c r="B209" s="960"/>
      <c r="C209" s="960"/>
      <c r="D209" s="960"/>
      <c r="E209" s="960"/>
      <c r="F209" s="960"/>
      <c r="G209" s="960"/>
      <c r="H209" s="960"/>
      <c r="I209" s="2164"/>
      <c r="J209" s="960"/>
      <c r="K209" s="712" t="s">
        <v>238</v>
      </c>
    </row>
    <row r="210" spans="1:32" ht="19">
      <c r="K210" s="712" t="s">
        <v>238</v>
      </c>
      <c r="M210" s="1879" t="s">
        <v>3281</v>
      </c>
      <c r="N210" s="1808"/>
      <c r="O210" s="1808"/>
      <c r="P210" s="1808"/>
      <c r="Q210" s="1808"/>
      <c r="R210" s="1808"/>
      <c r="S210" s="1808"/>
      <c r="T210" s="1808"/>
      <c r="U210" s="1808"/>
      <c r="V210" s="1808"/>
      <c r="W210" s="1808"/>
      <c r="X210" s="1808"/>
      <c r="Y210" s="1808"/>
      <c r="Z210" s="1808"/>
      <c r="AA210" s="1808"/>
      <c r="AB210" s="1808"/>
      <c r="AC210" s="853"/>
      <c r="AD210" s="853"/>
      <c r="AE210" s="853"/>
      <c r="AF210" s="853"/>
    </row>
    <row r="211" spans="1:32" ht="19">
      <c r="K211" s="712" t="s">
        <v>238</v>
      </c>
      <c r="M211" s="1879"/>
      <c r="N211" s="1808"/>
      <c r="O211" s="1808"/>
      <c r="P211" s="1808"/>
      <c r="Q211" s="1808"/>
      <c r="R211" s="1808"/>
      <c r="S211" s="1808"/>
      <c r="T211" s="1808"/>
      <c r="U211" s="1808"/>
    </row>
    <row r="212" spans="1:32">
      <c r="K212" s="712" t="s">
        <v>238</v>
      </c>
      <c r="M212" s="431" t="s">
        <v>3282</v>
      </c>
      <c r="N212" s="1808"/>
      <c r="O212" s="1808"/>
      <c r="P212" s="1808"/>
      <c r="Q212" s="1808"/>
      <c r="R212" s="1808"/>
      <c r="S212" s="1808"/>
      <c r="T212" s="1808"/>
      <c r="U212" s="1808"/>
    </row>
    <row r="213" spans="1:32">
      <c r="K213" s="712" t="s">
        <v>238</v>
      </c>
      <c r="M213" s="1808"/>
      <c r="N213" s="1808"/>
      <c r="O213" s="1808" t="s">
        <v>3312</v>
      </c>
      <c r="P213" s="845">
        <v>2021</v>
      </c>
      <c r="Q213" s="845">
        <v>2022</v>
      </c>
      <c r="R213" s="845">
        <v>2023</v>
      </c>
      <c r="S213" s="845">
        <v>2024</v>
      </c>
      <c r="T213" s="845">
        <v>2025</v>
      </c>
      <c r="U213" s="1808"/>
      <c r="V213" s="1270" t="s">
        <v>3530</v>
      </c>
    </row>
    <row r="214" spans="1:32">
      <c r="K214" s="712" t="s">
        <v>238</v>
      </c>
      <c r="M214" s="958"/>
      <c r="N214" s="958"/>
      <c r="O214" s="958"/>
      <c r="P214" s="946"/>
      <c r="Q214" s="946"/>
      <c r="R214" s="946"/>
      <c r="S214" s="946"/>
      <c r="T214" s="946"/>
      <c r="U214" s="734"/>
      <c r="V214" s="1318">
        <f>591/1819</f>
        <v>0.32490379329301816</v>
      </c>
    </row>
    <row r="215" spans="1:32">
      <c r="K215" s="712" t="s">
        <v>238</v>
      </c>
      <c r="M215" s="958" t="s">
        <v>3271</v>
      </c>
      <c r="N215" s="958"/>
      <c r="O215" s="1848"/>
      <c r="P215" s="946">
        <f>P43+P49+P50</f>
        <v>1881</v>
      </c>
      <c r="Q215" s="946">
        <f>Q43+Q49+Q50</f>
        <v>1823</v>
      </c>
      <c r="R215" s="946">
        <f>R43+R49+R50</f>
        <v>1769</v>
      </c>
      <c r="S215" s="946">
        <f>S43+S49+S50</f>
        <v>1718</v>
      </c>
      <c r="T215" s="946">
        <f>T43+T49+T50</f>
        <v>1670</v>
      </c>
      <c r="U215" s="734"/>
    </row>
    <row r="216" spans="1:32">
      <c r="K216" s="712" t="s">
        <v>238</v>
      </c>
      <c r="M216" s="958" t="s">
        <v>3298</v>
      </c>
      <c r="N216" s="958"/>
      <c r="O216" s="1848"/>
      <c r="P216" s="1882">
        <v>0.7</v>
      </c>
      <c r="Q216" s="1882">
        <v>0.7</v>
      </c>
      <c r="R216" s="1882">
        <v>0.7</v>
      </c>
      <c r="S216" s="1882">
        <v>0.7</v>
      </c>
      <c r="T216" s="1882">
        <v>0.7</v>
      </c>
      <c r="U216" s="734"/>
    </row>
    <row r="217" spans="1:32">
      <c r="K217" s="712" t="s">
        <v>238</v>
      </c>
      <c r="M217" s="958"/>
      <c r="N217" s="958"/>
      <c r="O217" s="1848"/>
      <c r="P217" s="1848">
        <f>ROUND(P215*P216,0)</f>
        <v>1317</v>
      </c>
      <c r="Q217" s="1848">
        <f>ROUND(Q215*Q216,0)</f>
        <v>1276</v>
      </c>
      <c r="R217" s="1848">
        <f>ROUND(R215*R216,0)</f>
        <v>1238</v>
      </c>
      <c r="S217" s="1848">
        <f>ROUND(S215*S216,0)</f>
        <v>1203</v>
      </c>
      <c r="T217" s="1848">
        <f>ROUND(T215*T216,0)</f>
        <v>1169</v>
      </c>
      <c r="U217" s="734"/>
    </row>
    <row r="218" spans="1:32" s="1808" customFormat="1">
      <c r="A218" s="960"/>
      <c r="B218" s="960"/>
      <c r="C218" s="960"/>
      <c r="D218" s="960"/>
      <c r="E218" s="960"/>
      <c r="F218" s="960"/>
      <c r="G218" s="960"/>
      <c r="H218" s="960"/>
      <c r="I218" s="2164"/>
      <c r="J218" s="960"/>
      <c r="K218" s="712" t="s">
        <v>238</v>
      </c>
      <c r="M218" s="958" t="s">
        <v>3284</v>
      </c>
      <c r="N218" s="958"/>
      <c r="O218" s="1848"/>
      <c r="P218" s="1252">
        <v>0.32</v>
      </c>
      <c r="Q218" s="1252">
        <v>0.32</v>
      </c>
      <c r="R218" s="1252">
        <v>0.32</v>
      </c>
      <c r="S218" s="1252">
        <v>0.32</v>
      </c>
      <c r="T218" s="1252">
        <v>0.32</v>
      </c>
      <c r="U218" s="734"/>
    </row>
    <row r="219" spans="1:32" s="1808" customFormat="1">
      <c r="A219" s="960"/>
      <c r="B219" s="960"/>
      <c r="C219" s="960"/>
      <c r="D219" s="960"/>
      <c r="E219" s="960"/>
      <c r="F219" s="960"/>
      <c r="G219" s="960"/>
      <c r="H219" s="960"/>
      <c r="I219" s="2164"/>
      <c r="J219" s="960"/>
      <c r="K219" s="712" t="s">
        <v>238</v>
      </c>
      <c r="M219" s="958" t="s">
        <v>3293</v>
      </c>
      <c r="N219" s="958"/>
      <c r="O219" s="1848"/>
      <c r="P219" s="1848">
        <f>ROUND(P217*P218,0)</f>
        <v>421</v>
      </c>
      <c r="Q219" s="1848">
        <f>ROUND(Q217*Q218,0)</f>
        <v>408</v>
      </c>
      <c r="R219" s="1848">
        <f>ROUND(R217*R218,0)</f>
        <v>396</v>
      </c>
      <c r="S219" s="1848">
        <f>ROUND(S217*S218,0)</f>
        <v>385</v>
      </c>
      <c r="T219" s="1848">
        <f>ROUND(T217*T218,0)</f>
        <v>374</v>
      </c>
      <c r="U219" s="734"/>
    </row>
    <row r="220" spans="1:32" s="1808" customFormat="1">
      <c r="A220" s="960"/>
      <c r="B220" s="960"/>
      <c r="C220" s="960"/>
      <c r="D220" s="960"/>
      <c r="E220" s="960"/>
      <c r="F220" s="960"/>
      <c r="G220" s="960"/>
      <c r="H220" s="960"/>
      <c r="I220" s="2164"/>
      <c r="J220" s="960"/>
      <c r="K220" s="712" t="s">
        <v>238</v>
      </c>
      <c r="M220" s="958" t="s">
        <v>3295</v>
      </c>
      <c r="N220" s="958"/>
      <c r="O220" s="1848"/>
      <c r="P220" s="1848">
        <f>P217-P219</f>
        <v>896</v>
      </c>
      <c r="Q220" s="1848">
        <f>Q217-Q219</f>
        <v>868</v>
      </c>
      <c r="R220" s="1848">
        <f>R217-R219</f>
        <v>842</v>
      </c>
      <c r="S220" s="1848">
        <f>S217-S219</f>
        <v>818</v>
      </c>
      <c r="T220" s="1848">
        <f>T217-T219</f>
        <v>795</v>
      </c>
      <c r="U220" s="734"/>
    </row>
    <row r="221" spans="1:32" s="1808" customFormat="1">
      <c r="A221" s="960"/>
      <c r="B221" s="960"/>
      <c r="C221" s="960"/>
      <c r="D221" s="960"/>
      <c r="E221" s="960"/>
      <c r="F221" s="960"/>
      <c r="G221" s="960"/>
      <c r="H221" s="960"/>
      <c r="I221" s="2164"/>
      <c r="J221" s="960"/>
      <c r="K221" s="712" t="s">
        <v>238</v>
      </c>
      <c r="M221" s="958" t="s">
        <v>3296</v>
      </c>
      <c r="N221" s="958"/>
      <c r="O221" s="1848">
        <f>P195</f>
        <v>1055</v>
      </c>
      <c r="P221" s="1848">
        <f>P220*N197*O221</f>
        <v>5671680</v>
      </c>
      <c r="Q221" s="1848">
        <f>Q220*N197*O221</f>
        <v>5494440</v>
      </c>
      <c r="R221" s="1848">
        <f>R220*N197*O221</f>
        <v>5329860</v>
      </c>
      <c r="S221" s="1848">
        <f>S220*N197*O221</f>
        <v>5177940</v>
      </c>
      <c r="T221" s="1848">
        <f>T220*N197*O221</f>
        <v>5032350</v>
      </c>
      <c r="U221" s="734"/>
    </row>
    <row r="222" spans="1:32" s="1808" customFormat="1">
      <c r="A222" s="960"/>
      <c r="B222" s="960"/>
      <c r="C222" s="960"/>
      <c r="D222" s="960"/>
      <c r="E222" s="960"/>
      <c r="F222" s="960"/>
      <c r="G222" s="960"/>
      <c r="H222" s="960"/>
      <c r="I222" s="2164"/>
      <c r="J222" s="960"/>
      <c r="K222" s="712" t="s">
        <v>238</v>
      </c>
      <c r="M222" s="958" t="s">
        <v>3297</v>
      </c>
      <c r="N222" s="958"/>
      <c r="O222" s="1848">
        <f>P195</f>
        <v>1055</v>
      </c>
      <c r="P222" s="1848">
        <f>P220*(N197-O201)*O222</f>
        <v>3403008</v>
      </c>
      <c r="Q222" s="1848">
        <f>Q220*(N197-O201)*O222</f>
        <v>3296664</v>
      </c>
      <c r="R222" s="1848">
        <f>R220*(N197-O201)*O222</f>
        <v>3197916.0000000005</v>
      </c>
      <c r="S222" s="1848">
        <f>S220*(N197-O201)*O222</f>
        <v>3106764</v>
      </c>
      <c r="T222" s="1848">
        <f>T220*(N197-O201)*O222</f>
        <v>3019410</v>
      </c>
      <c r="U222" s="734"/>
    </row>
    <row r="223" spans="1:32" s="1808" customFormat="1">
      <c r="A223" s="960"/>
      <c r="B223" s="960"/>
      <c r="C223" s="960"/>
      <c r="D223" s="960"/>
      <c r="E223" s="960"/>
      <c r="F223" s="960"/>
      <c r="G223" s="960"/>
      <c r="H223" s="960"/>
      <c r="I223" s="2164"/>
      <c r="J223" s="960"/>
      <c r="K223" s="712" t="s">
        <v>238</v>
      </c>
      <c r="M223" s="1080"/>
      <c r="N223" s="1080"/>
      <c r="O223" s="1895"/>
      <c r="P223" s="1895"/>
      <c r="Q223" s="1895"/>
      <c r="R223" s="1895"/>
      <c r="S223" s="1895"/>
      <c r="T223" s="1895"/>
      <c r="U223" s="734"/>
    </row>
    <row r="224" spans="1:32">
      <c r="K224" s="712" t="s">
        <v>238</v>
      </c>
      <c r="M224" s="1896" t="s">
        <v>2189</v>
      </c>
      <c r="N224" s="1840"/>
      <c r="O224" s="1840" t="str">
        <f>P125</f>
        <v/>
      </c>
      <c r="P224" s="1897">
        <f>P221+P222</f>
        <v>9074688</v>
      </c>
      <c r="Q224" s="1897">
        <f>Q221+Q222</f>
        <v>8791104</v>
      </c>
      <c r="R224" s="1897">
        <f>R221+R222</f>
        <v>8527776</v>
      </c>
      <c r="S224" s="1897">
        <f>S221+S222</f>
        <v>8284704</v>
      </c>
      <c r="T224" s="1897">
        <f>T221+T222</f>
        <v>8051760</v>
      </c>
      <c r="U224" s="734"/>
    </row>
    <row r="225" spans="11:24">
      <c r="K225" s="712" t="s">
        <v>238</v>
      </c>
      <c r="M225" s="1808"/>
      <c r="N225" s="1808"/>
      <c r="O225" s="1808"/>
      <c r="P225" s="1808"/>
      <c r="Q225" s="1808"/>
      <c r="R225" s="1808"/>
      <c r="S225" s="1808"/>
      <c r="T225" s="1808"/>
      <c r="U225" s="1808"/>
    </row>
    <row r="226" spans="11:24">
      <c r="K226" s="712" t="s">
        <v>238</v>
      </c>
      <c r="M226" s="431" t="s">
        <v>3283</v>
      </c>
      <c r="N226" s="1808"/>
      <c r="O226" s="1808"/>
      <c r="P226" s="1808"/>
      <c r="Q226" s="1808"/>
      <c r="R226" s="1808"/>
      <c r="S226" s="1808"/>
      <c r="T226" s="1808"/>
      <c r="U226" s="1808"/>
      <c r="W226" s="1242"/>
    </row>
    <row r="227" spans="11:24">
      <c r="K227" s="712" t="s">
        <v>238</v>
      </c>
      <c r="M227" s="1808"/>
      <c r="N227" s="1808"/>
      <c r="O227" s="1808" t="s">
        <v>3312</v>
      </c>
      <c r="P227" s="845">
        <v>2021</v>
      </c>
      <c r="Q227" s="845">
        <v>2022</v>
      </c>
      <c r="R227" s="845">
        <v>2023</v>
      </c>
      <c r="S227" s="845">
        <v>2024</v>
      </c>
      <c r="T227" s="845">
        <v>2025</v>
      </c>
      <c r="U227" s="1808"/>
      <c r="V227" s="1270" t="s">
        <v>3531</v>
      </c>
    </row>
    <row r="228" spans="11:24">
      <c r="K228" s="712" t="s">
        <v>238</v>
      </c>
      <c r="M228" s="958"/>
      <c r="N228" s="958"/>
      <c r="O228" s="958"/>
      <c r="P228" s="946"/>
      <c r="Q228" s="946"/>
      <c r="R228" s="946"/>
      <c r="S228" s="946"/>
      <c r="T228" s="946"/>
      <c r="U228" s="734"/>
      <c r="V228" s="1079">
        <f>42/889</f>
        <v>4.7244094488188976E-2</v>
      </c>
    </row>
    <row r="229" spans="11:24">
      <c r="K229" s="712" t="s">
        <v>238</v>
      </c>
      <c r="M229" s="958" t="s">
        <v>3276</v>
      </c>
      <c r="N229" s="958"/>
      <c r="O229" s="1848"/>
      <c r="P229" s="1848">
        <f>P45+P51+P52</f>
        <v>570</v>
      </c>
      <c r="Q229" s="1848">
        <f>Q45+Q51+Q52</f>
        <v>550</v>
      </c>
      <c r="R229" s="1848">
        <f>R45+R51+R52</f>
        <v>532</v>
      </c>
      <c r="S229" s="1848">
        <f>S45+S51+S52</f>
        <v>516</v>
      </c>
      <c r="T229" s="1848">
        <f>T45+T51+T52</f>
        <v>501</v>
      </c>
      <c r="U229" s="734"/>
    </row>
    <row r="230" spans="11:24">
      <c r="K230" s="712" t="s">
        <v>238</v>
      </c>
      <c r="M230" s="958" t="s">
        <v>3298</v>
      </c>
      <c r="N230" s="958"/>
      <c r="O230" s="1848"/>
      <c r="P230" s="1882">
        <v>0.7</v>
      </c>
      <c r="Q230" s="1882">
        <v>0.7</v>
      </c>
      <c r="R230" s="1882">
        <v>0.7</v>
      </c>
      <c r="S230" s="1882">
        <v>0.7</v>
      </c>
      <c r="T230" s="1882">
        <v>0.7</v>
      </c>
      <c r="U230" s="734"/>
    </row>
    <row r="231" spans="11:24">
      <c r="K231" s="712" t="s">
        <v>238</v>
      </c>
      <c r="M231" s="958"/>
      <c r="N231" s="958"/>
      <c r="O231" s="1848"/>
      <c r="P231" s="1848">
        <f>ROUND(P229*P230,0)</f>
        <v>399</v>
      </c>
      <c r="Q231" s="1848">
        <f>ROUND(Q229*Q230,0)</f>
        <v>385</v>
      </c>
      <c r="R231" s="1848">
        <f>ROUND(R229*R230,0)</f>
        <v>372</v>
      </c>
      <c r="S231" s="1848">
        <f>ROUND(S229*S230,0)</f>
        <v>361</v>
      </c>
      <c r="T231" s="1848">
        <f>ROUND(T229*T230,0)</f>
        <v>351</v>
      </c>
      <c r="U231" s="734"/>
    </row>
    <row r="232" spans="11:24">
      <c r="K232" s="712" t="s">
        <v>238</v>
      </c>
      <c r="M232" s="958" t="s">
        <v>3284</v>
      </c>
      <c r="N232" s="958"/>
      <c r="O232" s="1848"/>
      <c r="P232" s="1987">
        <v>4.7E-2</v>
      </c>
      <c r="Q232" s="1987">
        <v>4.7E-2</v>
      </c>
      <c r="R232" s="1987">
        <v>4.7E-2</v>
      </c>
      <c r="S232" s="1987">
        <v>4.7E-2</v>
      </c>
      <c r="T232" s="1987">
        <v>4.7E-2</v>
      </c>
      <c r="U232" s="734"/>
    </row>
    <row r="233" spans="11:24">
      <c r="K233" s="712" t="s">
        <v>238</v>
      </c>
      <c r="M233" s="958" t="s">
        <v>3293</v>
      </c>
      <c r="N233" s="958"/>
      <c r="O233" s="1848"/>
      <c r="P233" s="1848">
        <f>ROUND(P231*P232,0)</f>
        <v>19</v>
      </c>
      <c r="Q233" s="1848">
        <f>ROUND(Q231*Q232,0)</f>
        <v>18</v>
      </c>
      <c r="R233" s="1848">
        <f>ROUND(R231*R232,0)</f>
        <v>17</v>
      </c>
      <c r="S233" s="1848">
        <f>ROUND(S231*S232,0)</f>
        <v>17</v>
      </c>
      <c r="T233" s="1848">
        <f>ROUND(T231*T232,0)</f>
        <v>16</v>
      </c>
      <c r="U233" s="1808"/>
    </row>
    <row r="234" spans="11:24">
      <c r="K234" s="712" t="s">
        <v>238</v>
      </c>
      <c r="M234" s="958" t="s">
        <v>3295</v>
      </c>
      <c r="N234" s="958"/>
      <c r="O234" s="1848"/>
      <c r="P234" s="1848">
        <f>P231-P233</f>
        <v>380</v>
      </c>
      <c r="Q234" s="1848">
        <f>Q231-Q233</f>
        <v>367</v>
      </c>
      <c r="R234" s="1848">
        <f>R231-R233</f>
        <v>355</v>
      </c>
      <c r="S234" s="1848">
        <f>S231-S233</f>
        <v>344</v>
      </c>
      <c r="T234" s="1848">
        <f>T231-T233</f>
        <v>335</v>
      </c>
      <c r="U234" s="1808"/>
    </row>
    <row r="235" spans="11:24" ht="16">
      <c r="K235" s="712" t="s">
        <v>238</v>
      </c>
      <c r="M235" s="958" t="s">
        <v>3296</v>
      </c>
      <c r="N235" s="958"/>
      <c r="O235" s="1848">
        <f>P195</f>
        <v>1055</v>
      </c>
      <c r="P235" s="1848">
        <f>P233*N198*O235</f>
        <v>360810</v>
      </c>
      <c r="Q235" s="1848">
        <f>Q233*N198*O235</f>
        <v>341820</v>
      </c>
      <c r="R235" s="1848">
        <f>R233*N198*O235</f>
        <v>322830</v>
      </c>
      <c r="S235" s="1848">
        <f>S233*N198*O235</f>
        <v>322830</v>
      </c>
      <c r="T235" s="1848">
        <f>T233*N198*O235</f>
        <v>303840</v>
      </c>
      <c r="U235" s="591"/>
    </row>
    <row r="236" spans="11:24">
      <c r="K236" s="712" t="s">
        <v>238</v>
      </c>
      <c r="M236" s="958" t="s">
        <v>3297</v>
      </c>
      <c r="N236" s="958"/>
      <c r="O236" s="1848">
        <f>P195</f>
        <v>1055</v>
      </c>
      <c r="P236" s="1848">
        <f>P234*(N198-O202)*O236</f>
        <v>5881203</v>
      </c>
      <c r="Q236" s="1848">
        <f>Q234*(N198-O202)*O236</f>
        <v>5680003.9500000002</v>
      </c>
      <c r="R236" s="1848">
        <f>R234*(N198-O202)*O236</f>
        <v>5494281.75</v>
      </c>
      <c r="S236" s="1848">
        <f>S234*(N198-O202)*O236</f>
        <v>5324036.3999999994</v>
      </c>
      <c r="T236" s="1848">
        <f>T234*(N198-O202)*O236</f>
        <v>5184744.75</v>
      </c>
    </row>
    <row r="237" spans="11:24">
      <c r="K237" s="712" t="s">
        <v>238</v>
      </c>
      <c r="M237" s="958"/>
      <c r="N237" s="958"/>
      <c r="O237" s="1848"/>
      <c r="P237" s="1848"/>
      <c r="Q237" s="1848"/>
      <c r="R237" s="1848"/>
      <c r="S237" s="1848"/>
      <c r="T237" s="1848"/>
    </row>
    <row r="238" spans="11:24">
      <c r="K238" s="712" t="s">
        <v>238</v>
      </c>
      <c r="M238" s="1896" t="s">
        <v>2189</v>
      </c>
      <c r="N238" s="1840"/>
      <c r="O238" s="1840"/>
      <c r="P238" s="1897">
        <f>P235+P236</f>
        <v>6242013</v>
      </c>
      <c r="Q238" s="1897">
        <f>Q235+Q236</f>
        <v>6021823.9500000002</v>
      </c>
      <c r="R238" s="1897">
        <f>R235+R236</f>
        <v>5817111.75</v>
      </c>
      <c r="S238" s="1897">
        <f>S235+S236</f>
        <v>5646866.3999999994</v>
      </c>
      <c r="T238" s="1897">
        <f>T235+T236</f>
        <v>5488584.75</v>
      </c>
      <c r="X238" s="1079"/>
    </row>
    <row r="239" spans="11:24">
      <c r="K239" s="712" t="s">
        <v>238</v>
      </c>
    </row>
    <row r="240" spans="11:24" ht="16" thickBot="1">
      <c r="K240" s="712" t="s">
        <v>238</v>
      </c>
    </row>
    <row r="241" spans="1:22" ht="16" thickBot="1">
      <c r="A241" s="2157">
        <v>138</v>
      </c>
      <c r="B241" s="841">
        <f>P241</f>
        <v>15316701</v>
      </c>
      <c r="C241" s="841">
        <f>Q241</f>
        <v>14812927.949999999</v>
      </c>
      <c r="D241" s="841">
        <f>R241</f>
        <v>14344887.75</v>
      </c>
      <c r="E241" s="841">
        <f>S241</f>
        <v>13931570.399999999</v>
      </c>
      <c r="F241" s="841">
        <f>T241</f>
        <v>13540344.75</v>
      </c>
      <c r="G241" s="841" t="s">
        <v>338</v>
      </c>
      <c r="H241" s="841" t="s">
        <v>3734</v>
      </c>
      <c r="I241" s="2180"/>
      <c r="J241" s="841" t="s">
        <v>2942</v>
      </c>
      <c r="K241" s="712" t="s">
        <v>238</v>
      </c>
      <c r="M241" s="1710"/>
      <c r="N241" s="1732"/>
      <c r="O241" s="1708"/>
      <c r="P241" s="1884">
        <f>P224+P238</f>
        <v>15316701</v>
      </c>
      <c r="Q241" s="1884">
        <f>Q224+Q238</f>
        <v>14812927.949999999</v>
      </c>
      <c r="R241" s="1884">
        <f>R224+R238</f>
        <v>14344887.75</v>
      </c>
      <c r="S241" s="1884">
        <f>S224+S238</f>
        <v>13931570.399999999</v>
      </c>
      <c r="T241" s="1884">
        <f>T224+T238</f>
        <v>13540344.75</v>
      </c>
    </row>
    <row r="242" spans="1:22">
      <c r="K242" s="712" t="s">
        <v>238</v>
      </c>
    </row>
    <row r="243" spans="1:22" s="1808" customFormat="1">
      <c r="A243" s="960"/>
      <c r="B243" s="960"/>
      <c r="C243" s="960"/>
      <c r="D243" s="960"/>
      <c r="E243" s="960"/>
      <c r="F243" s="960"/>
      <c r="G243" s="960"/>
      <c r="H243" s="960"/>
      <c r="I243" s="2164"/>
      <c r="J243" s="960"/>
      <c r="K243" s="712" t="s">
        <v>238</v>
      </c>
    </row>
    <row r="244" spans="1:22" s="1808" customFormat="1">
      <c r="A244" s="960"/>
      <c r="B244" s="960"/>
      <c r="C244" s="960"/>
      <c r="D244" s="960"/>
      <c r="E244" s="960"/>
      <c r="F244" s="960"/>
      <c r="G244" s="960"/>
      <c r="H244" s="960"/>
      <c r="I244" s="2164"/>
      <c r="J244" s="960"/>
      <c r="K244" s="712" t="s">
        <v>238</v>
      </c>
      <c r="L244" s="1885" t="s">
        <v>3735</v>
      </c>
    </row>
    <row r="245" spans="1:22" s="1808" customFormat="1">
      <c r="A245" s="960"/>
      <c r="B245" s="960"/>
      <c r="C245" s="960"/>
      <c r="D245" s="960"/>
      <c r="E245" s="960"/>
      <c r="F245" s="960"/>
      <c r="G245" s="960"/>
      <c r="H245" s="960"/>
      <c r="I245" s="2164"/>
      <c r="J245" s="960"/>
      <c r="K245" s="712" t="s">
        <v>238</v>
      </c>
      <c r="M245" s="431"/>
      <c r="N245" s="431" t="s">
        <v>3287</v>
      </c>
      <c r="O245" s="431"/>
      <c r="P245" s="845" t="s">
        <v>3289</v>
      </c>
      <c r="Q245" s="431"/>
      <c r="R245" s="431"/>
      <c r="S245" s="431"/>
      <c r="T245" s="431"/>
      <c r="U245" s="431"/>
      <c r="V245" s="431"/>
    </row>
    <row r="246" spans="1:22" s="1808" customFormat="1">
      <c r="A246" s="960"/>
      <c r="B246" s="960"/>
      <c r="C246" s="960"/>
      <c r="D246" s="960"/>
      <c r="E246" s="960"/>
      <c r="F246" s="960"/>
      <c r="G246" s="960"/>
      <c r="H246" s="960"/>
      <c r="I246" s="2164"/>
      <c r="J246" s="960"/>
      <c r="K246" s="712" t="s">
        <v>238</v>
      </c>
      <c r="M246" s="958" t="s">
        <v>3285</v>
      </c>
      <c r="N246" s="946"/>
      <c r="O246" s="946"/>
      <c r="P246" s="946">
        <v>75</v>
      </c>
    </row>
    <row r="247" spans="1:22" s="1808" customFormat="1">
      <c r="A247" s="960"/>
      <c r="B247" s="960"/>
      <c r="C247" s="960"/>
      <c r="D247" s="960"/>
      <c r="E247" s="960"/>
      <c r="F247" s="960"/>
      <c r="G247" s="960"/>
      <c r="H247" s="960"/>
      <c r="I247" s="2164"/>
      <c r="J247" s="960"/>
      <c r="K247" s="712" t="s">
        <v>238</v>
      </c>
      <c r="M247" s="958" t="s">
        <v>3286</v>
      </c>
      <c r="N247" s="946">
        <v>35</v>
      </c>
      <c r="O247" s="946">
        <v>28</v>
      </c>
      <c r="P247" s="946">
        <f>O247*N247</f>
        <v>980</v>
      </c>
    </row>
    <row r="248" spans="1:22" s="1808" customFormat="1">
      <c r="A248" s="960"/>
      <c r="B248" s="960"/>
      <c r="C248" s="960"/>
      <c r="D248" s="960"/>
      <c r="E248" s="960"/>
      <c r="F248" s="960"/>
      <c r="G248" s="960"/>
      <c r="H248" s="960"/>
      <c r="I248" s="2164"/>
      <c r="J248" s="960"/>
      <c r="K248" s="712" t="s">
        <v>238</v>
      </c>
      <c r="N248" s="734"/>
      <c r="O248" s="734"/>
      <c r="P248" s="1223">
        <f>SUM(P246:P247)</f>
        <v>1055</v>
      </c>
    </row>
    <row r="249" spans="1:22" s="1808" customFormat="1">
      <c r="A249" s="960"/>
      <c r="B249" s="960"/>
      <c r="C249" s="960"/>
      <c r="D249" s="960"/>
      <c r="E249" s="960"/>
      <c r="F249" s="960"/>
      <c r="G249" s="960"/>
      <c r="H249" s="960"/>
      <c r="I249" s="2164"/>
      <c r="J249" s="960"/>
      <c r="K249" s="712" t="s">
        <v>238</v>
      </c>
      <c r="N249" s="734"/>
      <c r="O249" s="734"/>
      <c r="P249" s="734"/>
    </row>
    <row r="250" spans="1:22" s="1808" customFormat="1">
      <c r="A250" s="960"/>
      <c r="B250" s="960"/>
      <c r="C250" s="960"/>
      <c r="D250" s="960"/>
      <c r="E250" s="960"/>
      <c r="F250" s="960"/>
      <c r="G250" s="960"/>
      <c r="H250" s="960"/>
      <c r="I250" s="2164"/>
      <c r="J250" s="960"/>
      <c r="K250" s="712" t="s">
        <v>238</v>
      </c>
      <c r="M250" s="958" t="s">
        <v>3271</v>
      </c>
      <c r="N250" s="946">
        <v>6</v>
      </c>
      <c r="O250" s="946" t="s">
        <v>3238</v>
      </c>
      <c r="P250" s="734"/>
    </row>
    <row r="251" spans="1:22" s="1808" customFormat="1">
      <c r="A251" s="960"/>
      <c r="B251" s="960"/>
      <c r="C251" s="960"/>
      <c r="D251" s="960"/>
      <c r="E251" s="960"/>
      <c r="F251" s="960"/>
      <c r="G251" s="960"/>
      <c r="H251" s="960"/>
      <c r="I251" s="2164"/>
      <c r="J251" s="960"/>
      <c r="K251" s="712" t="s">
        <v>238</v>
      </c>
      <c r="M251" s="1887" t="s">
        <v>3283</v>
      </c>
      <c r="N251" s="946">
        <v>18</v>
      </c>
      <c r="O251" s="946" t="s">
        <v>3288</v>
      </c>
      <c r="P251" s="734"/>
    </row>
    <row r="252" spans="1:22" s="1808" customFormat="1">
      <c r="A252" s="960"/>
      <c r="B252" s="960"/>
      <c r="C252" s="960"/>
      <c r="D252" s="960"/>
      <c r="E252" s="960"/>
      <c r="F252" s="960"/>
      <c r="G252" s="960"/>
      <c r="H252" s="960"/>
      <c r="I252" s="2164"/>
      <c r="J252" s="960"/>
      <c r="K252" s="712" t="s">
        <v>238</v>
      </c>
      <c r="N252" s="734"/>
      <c r="O252" s="734"/>
      <c r="P252" s="734"/>
    </row>
    <row r="253" spans="1:22" s="1808" customFormat="1">
      <c r="A253" s="960"/>
      <c r="B253" s="960"/>
      <c r="C253" s="960"/>
      <c r="D253" s="960"/>
      <c r="E253" s="960"/>
      <c r="F253" s="960"/>
      <c r="G253" s="960"/>
      <c r="H253" s="960"/>
      <c r="I253" s="2164"/>
      <c r="J253" s="960"/>
      <c r="K253" s="712" t="s">
        <v>238</v>
      </c>
      <c r="M253" s="431" t="s">
        <v>3290</v>
      </c>
      <c r="N253" s="734" t="s">
        <v>3292</v>
      </c>
      <c r="O253" s="734" t="s">
        <v>3238</v>
      </c>
      <c r="P253" s="734"/>
    </row>
    <row r="254" spans="1:22" s="1808" customFormat="1">
      <c r="A254" s="960"/>
      <c r="B254" s="960"/>
      <c r="C254" s="960"/>
      <c r="D254" s="960"/>
      <c r="E254" s="960"/>
      <c r="F254" s="960"/>
      <c r="G254" s="960"/>
      <c r="H254" s="960"/>
      <c r="I254" s="2164"/>
      <c r="J254" s="960"/>
      <c r="K254" s="712" t="s">
        <v>238</v>
      </c>
      <c r="M254" s="958" t="s">
        <v>3271</v>
      </c>
      <c r="N254" s="1040">
        <v>100</v>
      </c>
      <c r="O254" s="946">
        <f>ROUND(N254/30,2)</f>
        <v>3.33</v>
      </c>
    </row>
    <row r="255" spans="1:22" s="1808" customFormat="1">
      <c r="A255" s="960"/>
      <c r="B255" s="960"/>
      <c r="C255" s="960"/>
      <c r="D255" s="960"/>
      <c r="E255" s="960"/>
      <c r="F255" s="960"/>
      <c r="G255" s="960"/>
      <c r="H255" s="960"/>
      <c r="I255" s="2164"/>
      <c r="J255" s="960"/>
      <c r="K255" s="712" t="s">
        <v>238</v>
      </c>
      <c r="M255" s="1887" t="s">
        <v>3283</v>
      </c>
      <c r="N255" s="1040">
        <v>129</v>
      </c>
      <c r="O255" s="946">
        <f>ROUND(N255/30,2)</f>
        <v>4.3</v>
      </c>
    </row>
    <row r="256" spans="1:22" s="1808" customFormat="1">
      <c r="A256" s="960"/>
      <c r="B256" s="960"/>
      <c r="C256" s="960"/>
      <c r="D256" s="960"/>
      <c r="E256" s="960"/>
      <c r="F256" s="960"/>
      <c r="G256" s="960"/>
      <c r="H256" s="960"/>
      <c r="I256" s="2164"/>
      <c r="J256" s="960"/>
      <c r="K256" s="712" t="s">
        <v>238</v>
      </c>
    </row>
    <row r="257" spans="1:22" s="1808" customFormat="1">
      <c r="A257" s="960"/>
      <c r="B257" s="960"/>
      <c r="C257" s="960"/>
      <c r="D257" s="960"/>
      <c r="E257" s="960"/>
      <c r="F257" s="960"/>
      <c r="G257" s="960"/>
      <c r="H257" s="960"/>
      <c r="I257" s="2164"/>
      <c r="J257" s="960"/>
      <c r="K257" s="712" t="s">
        <v>238</v>
      </c>
      <c r="M257" s="1081" t="s">
        <v>3291</v>
      </c>
    </row>
    <row r="258" spans="1:22" s="1808" customFormat="1">
      <c r="A258" s="960"/>
      <c r="B258" s="960"/>
      <c r="C258" s="960"/>
      <c r="D258" s="960"/>
      <c r="E258" s="960"/>
      <c r="F258" s="960"/>
      <c r="G258" s="960"/>
      <c r="H258" s="960"/>
      <c r="I258" s="2164"/>
      <c r="J258" s="960"/>
      <c r="K258" s="712" t="s">
        <v>238</v>
      </c>
      <c r="M258" s="958" t="s">
        <v>3271</v>
      </c>
      <c r="N258" s="946">
        <v>591</v>
      </c>
      <c r="O258" s="1880">
        <f>N258/P270</f>
        <v>2.7361111111111112</v>
      </c>
    </row>
    <row r="259" spans="1:22" s="1808" customFormat="1">
      <c r="A259" s="960"/>
      <c r="B259" s="960"/>
      <c r="C259" s="960"/>
      <c r="D259" s="960"/>
      <c r="E259" s="960"/>
      <c r="F259" s="960"/>
      <c r="G259" s="960"/>
      <c r="H259" s="960"/>
      <c r="I259" s="2164"/>
      <c r="J259" s="960"/>
      <c r="K259" s="712" t="s">
        <v>238</v>
      </c>
      <c r="M259" s="1887" t="s">
        <v>3283</v>
      </c>
      <c r="N259" s="946">
        <v>42</v>
      </c>
      <c r="O259" s="1890">
        <f>N259/P284</f>
        <v>0.23333333333333334</v>
      </c>
    </row>
    <row r="260" spans="1:22" s="1808" customFormat="1">
      <c r="A260" s="960"/>
      <c r="B260" s="960"/>
      <c r="C260" s="960"/>
      <c r="D260" s="960"/>
      <c r="E260" s="960"/>
      <c r="F260" s="960"/>
      <c r="G260" s="960"/>
      <c r="H260" s="960"/>
      <c r="I260" s="2164"/>
      <c r="J260" s="960"/>
      <c r="K260" s="712" t="s">
        <v>238</v>
      </c>
    </row>
    <row r="261" spans="1:22" s="1808" customFormat="1">
      <c r="A261" s="960"/>
      <c r="B261" s="960"/>
      <c r="C261" s="960"/>
      <c r="D261" s="960"/>
      <c r="E261" s="960"/>
      <c r="F261" s="960"/>
      <c r="G261" s="960"/>
      <c r="H261" s="960"/>
      <c r="I261" s="2164"/>
      <c r="J261" s="960"/>
      <c r="K261" s="712" t="s">
        <v>238</v>
      </c>
    </row>
    <row r="262" spans="1:22" s="1808" customFormat="1">
      <c r="A262" s="960"/>
      <c r="B262" s="960"/>
      <c r="C262" s="960"/>
      <c r="D262" s="960"/>
      <c r="E262" s="960"/>
      <c r="F262" s="960"/>
      <c r="G262" s="960"/>
      <c r="H262" s="960"/>
      <c r="I262" s="2164"/>
      <c r="J262" s="960"/>
      <c r="K262" s="712" t="s">
        <v>238</v>
      </c>
    </row>
    <row r="263" spans="1:22" s="1808" customFormat="1" ht="19">
      <c r="A263" s="960"/>
      <c r="B263" s="960"/>
      <c r="C263" s="960"/>
      <c r="D263" s="960"/>
      <c r="E263" s="960"/>
      <c r="F263" s="960"/>
      <c r="G263" s="960"/>
      <c r="H263" s="960"/>
      <c r="I263" s="2164"/>
      <c r="J263" s="960"/>
      <c r="K263" s="712" t="s">
        <v>238</v>
      </c>
      <c r="M263" s="1879" t="s">
        <v>3281</v>
      </c>
    </row>
    <row r="264" spans="1:22" s="1808" customFormat="1" ht="19">
      <c r="A264" s="960"/>
      <c r="B264" s="960"/>
      <c r="C264" s="960"/>
      <c r="D264" s="960"/>
      <c r="E264" s="960"/>
      <c r="F264" s="960"/>
      <c r="G264" s="960"/>
      <c r="H264" s="960"/>
      <c r="I264" s="2164"/>
      <c r="J264" s="960"/>
      <c r="K264" s="712" t="s">
        <v>238</v>
      </c>
      <c r="M264" s="1879"/>
    </row>
    <row r="265" spans="1:22" s="1808" customFormat="1">
      <c r="A265" s="960"/>
      <c r="B265" s="960"/>
      <c r="C265" s="960"/>
      <c r="D265" s="960"/>
      <c r="E265" s="960"/>
      <c r="F265" s="960"/>
      <c r="G265" s="960"/>
      <c r="H265" s="960"/>
      <c r="I265" s="2164"/>
      <c r="J265" s="960"/>
      <c r="K265" s="712" t="s">
        <v>238</v>
      </c>
      <c r="M265" s="431" t="s">
        <v>3736</v>
      </c>
    </row>
    <row r="266" spans="1:22" s="1808" customFormat="1">
      <c r="A266" s="960"/>
      <c r="B266" s="960"/>
      <c r="C266" s="960"/>
      <c r="D266" s="960"/>
      <c r="E266" s="960"/>
      <c r="F266" s="960"/>
      <c r="G266" s="960"/>
      <c r="H266" s="960"/>
      <c r="I266" s="2164"/>
      <c r="J266" s="960"/>
      <c r="K266" s="712" t="s">
        <v>238</v>
      </c>
      <c r="O266" s="1808" t="s">
        <v>3312</v>
      </c>
      <c r="P266" s="845">
        <v>2021</v>
      </c>
      <c r="Q266" s="845">
        <v>2022</v>
      </c>
      <c r="R266" s="845">
        <v>2023</v>
      </c>
      <c r="S266" s="845">
        <v>2024</v>
      </c>
      <c r="T266" s="845">
        <v>2025</v>
      </c>
      <c r="V266" s="1270"/>
    </row>
    <row r="267" spans="1:22" s="1808" customFormat="1">
      <c r="A267" s="960"/>
      <c r="B267" s="960"/>
      <c r="C267" s="960"/>
      <c r="D267" s="960"/>
      <c r="E267" s="960"/>
      <c r="F267" s="960"/>
      <c r="G267" s="960"/>
      <c r="H267" s="960"/>
      <c r="I267" s="2164"/>
      <c r="J267" s="960"/>
      <c r="K267" s="712" t="s">
        <v>238</v>
      </c>
      <c r="M267" s="958"/>
      <c r="N267" s="958"/>
      <c r="O267" s="958"/>
      <c r="P267" s="946"/>
      <c r="Q267" s="946"/>
      <c r="R267" s="946"/>
      <c r="S267" s="946"/>
      <c r="T267" s="946"/>
      <c r="U267" s="734"/>
      <c r="V267" s="1318">
        <f>591/1819</f>
        <v>0.32490379329301816</v>
      </c>
    </row>
    <row r="268" spans="1:22" s="1808" customFormat="1">
      <c r="A268" s="960"/>
      <c r="B268" s="960"/>
      <c r="C268" s="960"/>
      <c r="D268" s="960"/>
      <c r="E268" s="960"/>
      <c r="F268" s="960"/>
      <c r="G268" s="960"/>
      <c r="H268" s="960"/>
      <c r="I268" s="2164"/>
      <c r="J268" s="960"/>
      <c r="K268" s="712" t="s">
        <v>238</v>
      </c>
      <c r="M268" s="958" t="s">
        <v>3271</v>
      </c>
      <c r="N268" s="958"/>
      <c r="O268" s="1848"/>
      <c r="P268" s="946">
        <f>Y43+Y49+Y50</f>
        <v>309</v>
      </c>
      <c r="Q268" s="946">
        <f t="shared" ref="Q268:T268" si="7">Z43+Z49+Z50</f>
        <v>301</v>
      </c>
      <c r="R268" s="946">
        <f t="shared" si="7"/>
        <v>295</v>
      </c>
      <c r="S268" s="946">
        <f t="shared" si="7"/>
        <v>292</v>
      </c>
      <c r="T268" s="946">
        <f t="shared" si="7"/>
        <v>288</v>
      </c>
      <c r="U268" s="734"/>
    </row>
    <row r="269" spans="1:22" s="1808" customFormat="1">
      <c r="A269" s="960"/>
      <c r="B269" s="960"/>
      <c r="C269" s="960"/>
      <c r="D269" s="960"/>
      <c r="E269" s="960"/>
      <c r="F269" s="960"/>
      <c r="G269" s="960"/>
      <c r="H269" s="960"/>
      <c r="I269" s="2164"/>
      <c r="J269" s="960"/>
      <c r="K269" s="712" t="s">
        <v>238</v>
      </c>
      <c r="M269" s="958" t="s">
        <v>3298</v>
      </c>
      <c r="N269" s="958"/>
      <c r="O269" s="1848"/>
      <c r="P269" s="1882">
        <v>0.7</v>
      </c>
      <c r="Q269" s="1882">
        <v>0.7</v>
      </c>
      <c r="R269" s="1882">
        <v>0.7</v>
      </c>
      <c r="S269" s="1882">
        <v>0.7</v>
      </c>
      <c r="T269" s="1882">
        <v>0.7</v>
      </c>
      <c r="U269" s="734"/>
    </row>
    <row r="270" spans="1:22" s="1808" customFormat="1">
      <c r="A270" s="960"/>
      <c r="B270" s="960"/>
      <c r="C270" s="960"/>
      <c r="D270" s="960"/>
      <c r="E270" s="960"/>
      <c r="F270" s="960"/>
      <c r="G270" s="960"/>
      <c r="H270" s="960"/>
      <c r="I270" s="2164"/>
      <c r="J270" s="960"/>
      <c r="K270" s="712" t="s">
        <v>238</v>
      </c>
      <c r="M270" s="958"/>
      <c r="N270" s="958"/>
      <c r="O270" s="1848"/>
      <c r="P270" s="1848">
        <f>ROUND(P268*P269,0)</f>
        <v>216</v>
      </c>
      <c r="Q270" s="1848">
        <f>ROUND(Q268*Q269,0)</f>
        <v>211</v>
      </c>
      <c r="R270" s="1848">
        <f>ROUND(R268*R269,0)</f>
        <v>207</v>
      </c>
      <c r="S270" s="1848">
        <f>ROUND(S268*S269,0)</f>
        <v>204</v>
      </c>
      <c r="T270" s="1848">
        <f>ROUND(T268*T269,0)</f>
        <v>202</v>
      </c>
      <c r="U270" s="734"/>
    </row>
    <row r="271" spans="1:22" s="1808" customFormat="1">
      <c r="A271" s="960"/>
      <c r="B271" s="960"/>
      <c r="C271" s="960"/>
      <c r="D271" s="960"/>
      <c r="E271" s="960"/>
      <c r="F271" s="960"/>
      <c r="G271" s="960"/>
      <c r="H271" s="960"/>
      <c r="I271" s="2164"/>
      <c r="J271" s="960"/>
      <c r="K271" s="712" t="s">
        <v>238</v>
      </c>
      <c r="M271" s="958" t="s">
        <v>3284</v>
      </c>
      <c r="N271" s="958"/>
      <c r="O271" s="1848"/>
      <c r="P271" s="1252">
        <v>0.32</v>
      </c>
      <c r="Q271" s="1252">
        <v>0.32</v>
      </c>
      <c r="R271" s="1252">
        <v>0.32</v>
      </c>
      <c r="S271" s="1252">
        <v>0.32</v>
      </c>
      <c r="T271" s="1252">
        <v>0.32</v>
      </c>
      <c r="U271" s="734"/>
    </row>
    <row r="272" spans="1:22" s="1808" customFormat="1">
      <c r="A272" s="960"/>
      <c r="B272" s="960"/>
      <c r="C272" s="960"/>
      <c r="D272" s="960"/>
      <c r="E272" s="960"/>
      <c r="F272" s="960"/>
      <c r="G272" s="960"/>
      <c r="H272" s="960"/>
      <c r="I272" s="2164"/>
      <c r="J272" s="960"/>
      <c r="K272" s="712" t="s">
        <v>238</v>
      </c>
      <c r="M272" s="958" t="s">
        <v>3293</v>
      </c>
      <c r="N272" s="958"/>
      <c r="O272" s="1848"/>
      <c r="P272" s="1848">
        <f>ROUND(P270*P271,0)</f>
        <v>69</v>
      </c>
      <c r="Q272" s="1848">
        <f>ROUND(Q270*Q271,0)</f>
        <v>68</v>
      </c>
      <c r="R272" s="1848">
        <f>ROUND(R270*R271,0)</f>
        <v>66</v>
      </c>
      <c r="S272" s="1848">
        <f>ROUND(S270*S271,0)</f>
        <v>65</v>
      </c>
      <c r="T272" s="1848">
        <f>ROUND(T270*T271,0)</f>
        <v>65</v>
      </c>
      <c r="U272" s="734"/>
    </row>
    <row r="273" spans="1:24" s="1808" customFormat="1">
      <c r="A273" s="960"/>
      <c r="B273" s="960"/>
      <c r="C273" s="960"/>
      <c r="D273" s="960"/>
      <c r="E273" s="960"/>
      <c r="F273" s="960"/>
      <c r="G273" s="960"/>
      <c r="H273" s="960"/>
      <c r="I273" s="2164"/>
      <c r="J273" s="960"/>
      <c r="K273" s="712" t="s">
        <v>238</v>
      </c>
      <c r="M273" s="958" t="s">
        <v>3295</v>
      </c>
      <c r="N273" s="958"/>
      <c r="O273" s="1848"/>
      <c r="P273" s="1848">
        <f>P270-P272</f>
        <v>147</v>
      </c>
      <c r="Q273" s="1848">
        <f>Q270-Q272</f>
        <v>143</v>
      </c>
      <c r="R273" s="1848">
        <f>R270-R272</f>
        <v>141</v>
      </c>
      <c r="S273" s="1848">
        <f>S270-S272</f>
        <v>139</v>
      </c>
      <c r="T273" s="1848">
        <f>T270-T272</f>
        <v>137</v>
      </c>
      <c r="U273" s="734"/>
    </row>
    <row r="274" spans="1:24" s="1808" customFormat="1">
      <c r="A274" s="960"/>
      <c r="B274" s="960"/>
      <c r="C274" s="960"/>
      <c r="D274" s="960"/>
      <c r="E274" s="960"/>
      <c r="F274" s="960"/>
      <c r="G274" s="960"/>
      <c r="H274" s="960"/>
      <c r="I274" s="2164"/>
      <c r="J274" s="960"/>
      <c r="K274" s="712" t="s">
        <v>238</v>
      </c>
      <c r="M274" s="958" t="s">
        <v>3296</v>
      </c>
      <c r="N274" s="958"/>
      <c r="O274" s="1848">
        <v>934</v>
      </c>
      <c r="P274" s="1848">
        <f>P273*N250*O274</f>
        <v>823788</v>
      </c>
      <c r="Q274" s="1848">
        <f>Q273*N250*O274</f>
        <v>801372</v>
      </c>
      <c r="R274" s="1848">
        <f>R273*N250*O274</f>
        <v>790164</v>
      </c>
      <c r="S274" s="1848">
        <f>S273*N250*O274</f>
        <v>778956</v>
      </c>
      <c r="T274" s="1848">
        <f>T273*N250*O274</f>
        <v>767748</v>
      </c>
      <c r="U274" s="734"/>
    </row>
    <row r="275" spans="1:24" s="1808" customFormat="1">
      <c r="A275" s="960"/>
      <c r="B275" s="960"/>
      <c r="C275" s="960"/>
      <c r="D275" s="960"/>
      <c r="E275" s="960"/>
      <c r="F275" s="960"/>
      <c r="G275" s="960"/>
      <c r="H275" s="960"/>
      <c r="I275" s="2164"/>
      <c r="J275" s="960"/>
      <c r="K275" s="712" t="s">
        <v>238</v>
      </c>
      <c r="M275" s="958" t="s">
        <v>3297</v>
      </c>
      <c r="N275" s="958"/>
      <c r="O275" s="1848">
        <v>934</v>
      </c>
      <c r="P275" s="1848">
        <f>P273*(N250-O254)*O275</f>
        <v>366585.66000000003</v>
      </c>
      <c r="Q275" s="1848">
        <f>Q273*(N250-O254)*O275</f>
        <v>356610.54</v>
      </c>
      <c r="R275" s="1848">
        <f>R273*(N250-O254)*O275</f>
        <v>351622.98</v>
      </c>
      <c r="S275" s="1848">
        <f>S273*(N250-O254)*O275</f>
        <v>346635.42</v>
      </c>
      <c r="T275" s="1848">
        <f>T273*(N250-O254)*O275</f>
        <v>341647.86</v>
      </c>
      <c r="U275" s="734"/>
      <c r="V275" s="1788">
        <v>47.6</v>
      </c>
      <c r="W275" s="1788" t="s">
        <v>439</v>
      </c>
      <c r="X275" s="1808" t="s">
        <v>3977</v>
      </c>
    </row>
    <row r="276" spans="1:24" s="1808" customFormat="1">
      <c r="A276" s="960"/>
      <c r="B276" s="960"/>
      <c r="C276" s="960"/>
      <c r="D276" s="960"/>
      <c r="E276" s="960"/>
      <c r="F276" s="960"/>
      <c r="G276" s="960"/>
      <c r="H276" s="960"/>
      <c r="I276" s="2164"/>
      <c r="J276" s="960"/>
      <c r="K276" s="712" t="s">
        <v>238</v>
      </c>
      <c r="M276" s="1080"/>
      <c r="N276" s="1080"/>
      <c r="O276" s="1895"/>
      <c r="P276" s="1895"/>
      <c r="Q276" s="1895"/>
      <c r="R276" s="1895"/>
      <c r="S276" s="1895"/>
      <c r="T276" s="1895"/>
      <c r="U276" s="734"/>
    </row>
    <row r="277" spans="1:24" s="1808" customFormat="1">
      <c r="A277" s="960"/>
      <c r="B277" s="960"/>
      <c r="C277" s="960"/>
      <c r="D277" s="960"/>
      <c r="E277" s="960"/>
      <c r="F277" s="960"/>
      <c r="G277" s="960"/>
      <c r="H277" s="960"/>
      <c r="I277" s="2164"/>
      <c r="J277" s="960"/>
      <c r="K277" s="712" t="s">
        <v>238</v>
      </c>
      <c r="M277" s="1896" t="s">
        <v>2189</v>
      </c>
      <c r="N277" s="1840"/>
      <c r="O277" s="1840">
        <f>P178</f>
        <v>0</v>
      </c>
      <c r="P277" s="1897">
        <f>P274+P275</f>
        <v>1190373.6600000001</v>
      </c>
      <c r="Q277" s="1897">
        <f>Q274+Q275</f>
        <v>1157982.54</v>
      </c>
      <c r="R277" s="1897">
        <f>R274+R275</f>
        <v>1141786.98</v>
      </c>
      <c r="S277" s="1897">
        <f>S274+S275</f>
        <v>1125591.42</v>
      </c>
      <c r="T277" s="1897">
        <f>T274+T275</f>
        <v>1109395.8599999999</v>
      </c>
      <c r="U277" s="734"/>
    </row>
    <row r="278" spans="1:24" s="1808" customFormat="1">
      <c r="A278" s="960"/>
      <c r="B278" s="960"/>
      <c r="C278" s="960"/>
      <c r="D278" s="960"/>
      <c r="E278" s="960"/>
      <c r="F278" s="960"/>
      <c r="G278" s="960"/>
      <c r="H278" s="960"/>
      <c r="I278" s="2164"/>
      <c r="J278" s="960"/>
      <c r="K278" s="712" t="s">
        <v>238</v>
      </c>
    </row>
    <row r="279" spans="1:24" s="1808" customFormat="1">
      <c r="A279" s="960"/>
      <c r="B279" s="960"/>
      <c r="C279" s="960"/>
      <c r="D279" s="960"/>
      <c r="E279" s="960"/>
      <c r="F279" s="960"/>
      <c r="G279" s="960"/>
      <c r="H279" s="960"/>
      <c r="I279" s="2164"/>
      <c r="J279" s="960"/>
      <c r="K279" s="712" t="s">
        <v>238</v>
      </c>
      <c r="M279" s="431" t="s">
        <v>3737</v>
      </c>
    </row>
    <row r="280" spans="1:24" s="1808" customFormat="1">
      <c r="A280" s="960"/>
      <c r="B280" s="960"/>
      <c r="C280" s="960"/>
      <c r="D280" s="960"/>
      <c r="E280" s="960"/>
      <c r="F280" s="960"/>
      <c r="G280" s="960"/>
      <c r="H280" s="960"/>
      <c r="I280" s="2164"/>
      <c r="J280" s="960"/>
      <c r="K280" s="712" t="s">
        <v>238</v>
      </c>
      <c r="O280" s="1808" t="s">
        <v>3312</v>
      </c>
      <c r="P280" s="845">
        <v>2021</v>
      </c>
      <c r="Q280" s="845">
        <v>2022</v>
      </c>
      <c r="R280" s="845">
        <v>2023</v>
      </c>
      <c r="S280" s="845">
        <v>2024</v>
      </c>
      <c r="T280" s="845">
        <v>2025</v>
      </c>
      <c r="V280" s="1270"/>
    </row>
    <row r="281" spans="1:24" s="1808" customFormat="1">
      <c r="A281" s="960"/>
      <c r="B281" s="960"/>
      <c r="C281" s="960"/>
      <c r="D281" s="960"/>
      <c r="E281" s="960"/>
      <c r="F281" s="960"/>
      <c r="G281" s="960"/>
      <c r="H281" s="960"/>
      <c r="I281" s="2164"/>
      <c r="J281" s="960"/>
      <c r="K281" s="712" t="s">
        <v>238</v>
      </c>
      <c r="M281" s="958"/>
      <c r="N281" s="958"/>
      <c r="O281" s="958"/>
      <c r="P281" s="946"/>
      <c r="Q281" s="946"/>
      <c r="R281" s="946"/>
      <c r="S281" s="946"/>
      <c r="T281" s="946"/>
      <c r="U281" s="734"/>
      <c r="V281" s="1079">
        <f>42/889</f>
        <v>4.7244094488188976E-2</v>
      </c>
    </row>
    <row r="282" spans="1:24" s="1808" customFormat="1">
      <c r="A282" s="960"/>
      <c r="B282" s="960"/>
      <c r="C282" s="960"/>
      <c r="D282" s="960"/>
      <c r="E282" s="960"/>
      <c r="F282" s="960"/>
      <c r="G282" s="960"/>
      <c r="H282" s="960"/>
      <c r="I282" s="2164"/>
      <c r="J282" s="960"/>
      <c r="K282" s="712" t="s">
        <v>238</v>
      </c>
      <c r="M282" s="958" t="s">
        <v>3276</v>
      </c>
      <c r="N282" s="958"/>
      <c r="O282" s="1848"/>
      <c r="P282" s="1848">
        <f>Y45+Y51+Y52</f>
        <v>257</v>
      </c>
      <c r="Q282" s="1848">
        <f t="shared" ref="Q282:T282" si="8">Z45+Z51+Z52</f>
        <v>257</v>
      </c>
      <c r="R282" s="1848">
        <f t="shared" si="8"/>
        <v>260</v>
      </c>
      <c r="S282" s="1848">
        <f t="shared" si="8"/>
        <v>266</v>
      </c>
      <c r="T282" s="1848">
        <f t="shared" si="8"/>
        <v>270</v>
      </c>
      <c r="U282" s="734"/>
    </row>
    <row r="283" spans="1:24" s="1808" customFormat="1">
      <c r="A283" s="960"/>
      <c r="B283" s="960"/>
      <c r="C283" s="960"/>
      <c r="D283" s="960"/>
      <c r="E283" s="960"/>
      <c r="F283" s="960"/>
      <c r="G283" s="960"/>
      <c r="H283" s="960"/>
      <c r="I283" s="2164"/>
      <c r="J283" s="960"/>
      <c r="K283" s="712" t="s">
        <v>238</v>
      </c>
      <c r="M283" s="958" t="s">
        <v>3298</v>
      </c>
      <c r="N283" s="958"/>
      <c r="O283" s="1848"/>
      <c r="P283" s="1882">
        <v>0.7</v>
      </c>
      <c r="Q283" s="1882">
        <v>0.7</v>
      </c>
      <c r="R283" s="1882">
        <v>0.7</v>
      </c>
      <c r="S283" s="1882">
        <v>0.7</v>
      </c>
      <c r="T283" s="1882">
        <v>0.7</v>
      </c>
      <c r="U283" s="734"/>
    </row>
    <row r="284" spans="1:24" s="1808" customFormat="1">
      <c r="A284" s="960"/>
      <c r="B284" s="960"/>
      <c r="C284" s="960"/>
      <c r="D284" s="960"/>
      <c r="E284" s="960"/>
      <c r="F284" s="960"/>
      <c r="G284" s="960"/>
      <c r="H284" s="960"/>
      <c r="I284" s="2164"/>
      <c r="J284" s="960"/>
      <c r="K284" s="712" t="s">
        <v>238</v>
      </c>
      <c r="M284" s="958"/>
      <c r="N284" s="958"/>
      <c r="O284" s="1848"/>
      <c r="P284" s="1848">
        <f>ROUND(P282*P283,0)</f>
        <v>180</v>
      </c>
      <c r="Q284" s="1848">
        <f>ROUND(Q282*Q283,0)</f>
        <v>180</v>
      </c>
      <c r="R284" s="1848">
        <f>ROUND(R282*R283,0)</f>
        <v>182</v>
      </c>
      <c r="S284" s="1848">
        <f>ROUND(S282*S283,0)</f>
        <v>186</v>
      </c>
      <c r="T284" s="1848">
        <f>ROUND(T282*T283,0)</f>
        <v>189</v>
      </c>
      <c r="U284" s="734"/>
    </row>
    <row r="285" spans="1:24" s="1808" customFormat="1">
      <c r="A285" s="960"/>
      <c r="B285" s="960"/>
      <c r="C285" s="960"/>
      <c r="D285" s="960"/>
      <c r="E285" s="960"/>
      <c r="F285" s="960"/>
      <c r="G285" s="960"/>
      <c r="H285" s="960"/>
      <c r="I285" s="2164"/>
      <c r="J285" s="960"/>
      <c r="K285" s="712" t="s">
        <v>238</v>
      </c>
      <c r="M285" s="958" t="s">
        <v>3284</v>
      </c>
      <c r="N285" s="958"/>
      <c r="O285" s="1848"/>
      <c r="P285" s="1987">
        <v>4.7E-2</v>
      </c>
      <c r="Q285" s="1987">
        <v>4.7E-2</v>
      </c>
      <c r="R285" s="1987">
        <v>4.7E-2</v>
      </c>
      <c r="S285" s="1987">
        <v>4.7E-2</v>
      </c>
      <c r="T285" s="1987">
        <v>4.7E-2</v>
      </c>
      <c r="U285" s="734"/>
    </row>
    <row r="286" spans="1:24" s="1808" customFormat="1">
      <c r="A286" s="960"/>
      <c r="B286" s="960"/>
      <c r="C286" s="960"/>
      <c r="D286" s="960"/>
      <c r="E286" s="960"/>
      <c r="F286" s="960"/>
      <c r="G286" s="960"/>
      <c r="H286" s="960"/>
      <c r="I286" s="2164"/>
      <c r="J286" s="960"/>
      <c r="K286" s="712" t="s">
        <v>238</v>
      </c>
      <c r="M286" s="958" t="s">
        <v>3293</v>
      </c>
      <c r="N286" s="958"/>
      <c r="O286" s="1848"/>
      <c r="P286" s="1848">
        <f>ROUND(P284*P285,0)</f>
        <v>8</v>
      </c>
      <c r="Q286" s="1848">
        <f>ROUND(Q284*Q285,0)</f>
        <v>8</v>
      </c>
      <c r="R286" s="1848">
        <f>ROUND(R284*R285,0)</f>
        <v>9</v>
      </c>
      <c r="S286" s="1848">
        <f>ROUND(S284*S285,0)</f>
        <v>9</v>
      </c>
      <c r="T286" s="1848">
        <f>ROUND(T284*T285,0)</f>
        <v>9</v>
      </c>
    </row>
    <row r="287" spans="1:24" s="1808" customFormat="1">
      <c r="A287" s="960"/>
      <c r="B287" s="960"/>
      <c r="C287" s="960"/>
      <c r="D287" s="960"/>
      <c r="E287" s="960"/>
      <c r="F287" s="960"/>
      <c r="G287" s="960"/>
      <c r="H287" s="960"/>
      <c r="I287" s="2164"/>
      <c r="J287" s="960"/>
      <c r="K287" s="712" t="s">
        <v>238</v>
      </c>
      <c r="M287" s="958" t="s">
        <v>3295</v>
      </c>
      <c r="N287" s="958"/>
      <c r="O287" s="1848"/>
      <c r="P287" s="1848">
        <f>P284-P286</f>
        <v>172</v>
      </c>
      <c r="Q287" s="1848">
        <f>Q284-Q286</f>
        <v>172</v>
      </c>
      <c r="R287" s="1848">
        <f>R284-R286</f>
        <v>173</v>
      </c>
      <c r="S287" s="1848">
        <f>S284-S286</f>
        <v>177</v>
      </c>
      <c r="T287" s="1848">
        <f>T284-T286</f>
        <v>180</v>
      </c>
    </row>
    <row r="288" spans="1:24" s="1808" customFormat="1" ht="16">
      <c r="A288" s="960"/>
      <c r="B288" s="960"/>
      <c r="C288" s="960"/>
      <c r="D288" s="960"/>
      <c r="E288" s="960"/>
      <c r="F288" s="960"/>
      <c r="G288" s="960"/>
      <c r="H288" s="960"/>
      <c r="I288" s="2164"/>
      <c r="J288" s="960"/>
      <c r="K288" s="712" t="s">
        <v>238</v>
      </c>
      <c r="M288" s="958" t="s">
        <v>3296</v>
      </c>
      <c r="N288" s="958"/>
      <c r="O288" s="1848">
        <v>934</v>
      </c>
      <c r="P288" s="1848">
        <f>P286*N251*O288</f>
        <v>134496</v>
      </c>
      <c r="Q288" s="1848">
        <f>Q286*N251*O288</f>
        <v>134496</v>
      </c>
      <c r="R288" s="1848">
        <f>R286*N251*O288</f>
        <v>151308</v>
      </c>
      <c r="S288" s="1848">
        <f>S286*N251*O288</f>
        <v>151308</v>
      </c>
      <c r="T288" s="1848">
        <f>T286*N251*O288</f>
        <v>151308</v>
      </c>
      <c r="U288" s="591"/>
    </row>
    <row r="289" spans="1:23" s="1808" customFormat="1">
      <c r="A289" s="960"/>
      <c r="B289" s="960"/>
      <c r="C289" s="960"/>
      <c r="D289" s="960"/>
      <c r="E289" s="960"/>
      <c r="F289" s="960"/>
      <c r="G289" s="960"/>
      <c r="H289" s="960"/>
      <c r="I289" s="2164"/>
      <c r="J289" s="960"/>
      <c r="K289" s="712" t="s">
        <v>238</v>
      </c>
      <c r="M289" s="958" t="s">
        <v>3297</v>
      </c>
      <c r="N289" s="958"/>
      <c r="O289" s="1848">
        <v>934</v>
      </c>
      <c r="P289" s="1848">
        <f>P287*(N251-O255)*O289</f>
        <v>2200877.6</v>
      </c>
      <c r="Q289" s="1848">
        <f>Q287*(N251-O255)*O289</f>
        <v>2200877.6</v>
      </c>
      <c r="R289" s="1848">
        <f>R287*(N251-O255)*O289</f>
        <v>2213673.4</v>
      </c>
      <c r="S289" s="1848">
        <f>S287*(N251-O255)*O289</f>
        <v>2264856.6</v>
      </c>
      <c r="T289" s="1848">
        <f>T287*(N251-O255)*O289</f>
        <v>2303244</v>
      </c>
    </row>
    <row r="290" spans="1:23" s="1808" customFormat="1">
      <c r="A290" s="960"/>
      <c r="B290" s="960"/>
      <c r="C290" s="960"/>
      <c r="D290" s="960"/>
      <c r="E290" s="960"/>
      <c r="F290" s="960"/>
      <c r="G290" s="960"/>
      <c r="H290" s="960"/>
      <c r="I290" s="2164"/>
      <c r="J290" s="960"/>
      <c r="K290" s="712" t="s">
        <v>238</v>
      </c>
      <c r="M290" s="958"/>
      <c r="N290" s="958"/>
      <c r="O290" s="1848"/>
      <c r="P290" s="1848"/>
      <c r="Q290" s="1848"/>
      <c r="R290" s="1848"/>
      <c r="S290" s="1848"/>
      <c r="T290" s="1848"/>
    </row>
    <row r="291" spans="1:23" s="1808" customFormat="1">
      <c r="A291" s="960"/>
      <c r="B291" s="960"/>
      <c r="C291" s="960"/>
      <c r="D291" s="960"/>
      <c r="E291" s="960"/>
      <c r="F291" s="960"/>
      <c r="G291" s="960"/>
      <c r="H291" s="960"/>
      <c r="I291" s="2164"/>
      <c r="J291" s="960"/>
      <c r="K291" s="712" t="s">
        <v>238</v>
      </c>
      <c r="M291" s="1896" t="s">
        <v>2189</v>
      </c>
      <c r="N291" s="1840"/>
      <c r="O291" s="1840"/>
      <c r="P291" s="1897">
        <f>P288+P289</f>
        <v>2335373.6</v>
      </c>
      <c r="Q291" s="1897">
        <f>Q288+Q289</f>
        <v>2335373.6</v>
      </c>
      <c r="R291" s="1897">
        <f>R288+R289</f>
        <v>2364981.4</v>
      </c>
      <c r="S291" s="1897">
        <f>S288+S289</f>
        <v>2416164.6</v>
      </c>
      <c r="T291" s="1897">
        <f>T288+T289</f>
        <v>2454552</v>
      </c>
    </row>
    <row r="292" spans="1:23" s="1808" customFormat="1">
      <c r="A292" s="960"/>
      <c r="B292" s="960"/>
      <c r="C292" s="960"/>
      <c r="D292" s="960"/>
      <c r="E292" s="960"/>
      <c r="F292" s="960"/>
      <c r="G292" s="960"/>
      <c r="H292" s="960"/>
      <c r="I292" s="2164"/>
      <c r="J292" s="960"/>
      <c r="K292" s="712" t="s">
        <v>238</v>
      </c>
    </row>
    <row r="293" spans="1:23" s="1808" customFormat="1" ht="16" thickBot="1">
      <c r="A293" s="960"/>
      <c r="B293" s="960"/>
      <c r="C293" s="960"/>
      <c r="D293" s="960"/>
      <c r="E293" s="960"/>
      <c r="F293" s="960"/>
      <c r="G293" s="960"/>
      <c r="H293" s="960"/>
      <c r="I293" s="2164"/>
      <c r="J293" s="960"/>
      <c r="K293" s="712" t="s">
        <v>238</v>
      </c>
    </row>
    <row r="294" spans="1:23" s="1808" customFormat="1" ht="16" thickBot="1">
      <c r="A294" s="2157">
        <v>227</v>
      </c>
      <c r="B294" s="841">
        <f>P294</f>
        <v>3525747.2600000002</v>
      </c>
      <c r="C294" s="841">
        <f>Q294</f>
        <v>3493356.14</v>
      </c>
      <c r="D294" s="841">
        <f>R294</f>
        <v>3506768.38</v>
      </c>
      <c r="E294" s="841"/>
      <c r="F294" s="841"/>
      <c r="G294" s="841" t="s">
        <v>351</v>
      </c>
      <c r="H294" s="841" t="s">
        <v>3976</v>
      </c>
      <c r="I294" s="2180" t="s">
        <v>3717</v>
      </c>
      <c r="J294" s="841" t="s">
        <v>2942</v>
      </c>
      <c r="K294" s="712" t="s">
        <v>238</v>
      </c>
      <c r="M294" s="1710"/>
      <c r="N294" s="1732"/>
      <c r="O294" s="1708"/>
      <c r="P294" s="1884">
        <f>P277+P291</f>
        <v>3525747.2600000002</v>
      </c>
      <c r="Q294" s="1884">
        <f>Q277+Q291</f>
        <v>3493356.14</v>
      </c>
      <c r="R294" s="1884">
        <f>R277+R291</f>
        <v>3506768.38</v>
      </c>
      <c r="S294" s="1884">
        <f>S277+S291</f>
        <v>3541756.02</v>
      </c>
      <c r="T294" s="1884">
        <f>T277+T291</f>
        <v>3563947.86</v>
      </c>
    </row>
    <row r="295" spans="1:23" s="1808" customFormat="1">
      <c r="A295" s="2157">
        <v>228</v>
      </c>
      <c r="B295" s="841"/>
      <c r="C295" s="841"/>
      <c r="D295" s="841"/>
      <c r="E295" s="841">
        <f>S294</f>
        <v>3541756.02</v>
      </c>
      <c r="F295" s="841">
        <f>T294</f>
        <v>3563947.86</v>
      </c>
      <c r="G295" s="841" t="s">
        <v>513</v>
      </c>
      <c r="H295" s="841" t="s">
        <v>3976</v>
      </c>
      <c r="I295" s="2180"/>
      <c r="J295" s="841" t="s">
        <v>2942</v>
      </c>
      <c r="K295" s="712" t="s">
        <v>238</v>
      </c>
      <c r="M295"/>
      <c r="N295"/>
      <c r="O295"/>
      <c r="P295"/>
      <c r="Q295"/>
      <c r="R295"/>
      <c r="S295"/>
      <c r="T295"/>
    </row>
    <row r="296" spans="1:23" s="1808" customFormat="1">
      <c r="A296" s="960"/>
      <c r="B296" s="960"/>
      <c r="C296" s="960"/>
      <c r="D296" s="960"/>
      <c r="E296" s="960"/>
      <c r="F296" s="960"/>
      <c r="G296" s="960"/>
      <c r="H296" s="960"/>
      <c r="I296" s="2164"/>
      <c r="J296" s="960"/>
      <c r="K296" s="712" t="s">
        <v>238</v>
      </c>
    </row>
    <row r="297" spans="1:23" s="1808" customFormat="1">
      <c r="A297" s="960"/>
      <c r="B297" s="960"/>
      <c r="C297" s="960"/>
      <c r="D297" s="960"/>
      <c r="E297" s="960"/>
      <c r="F297" s="960"/>
      <c r="G297" s="960"/>
      <c r="H297" s="960"/>
      <c r="I297" s="2164"/>
      <c r="J297" s="960"/>
      <c r="K297" s="712" t="s">
        <v>238</v>
      </c>
    </row>
    <row r="298" spans="1:23" s="1808" customFormat="1" ht="19">
      <c r="A298" s="960"/>
      <c r="B298" s="960"/>
      <c r="C298" s="960"/>
      <c r="D298" s="960"/>
      <c r="E298" s="960"/>
      <c r="F298" s="960"/>
      <c r="G298" s="960"/>
      <c r="H298" s="960"/>
      <c r="I298" s="2164"/>
      <c r="J298" s="960"/>
      <c r="K298" s="712" t="s">
        <v>238</v>
      </c>
      <c r="L298" s="1879" t="s">
        <v>2943</v>
      </c>
      <c r="S298" s="734"/>
      <c r="T298" s="734"/>
      <c r="U298" s="734"/>
      <c r="V298" s="734"/>
      <c r="W298" s="734"/>
    </row>
    <row r="299" spans="1:23" s="1808" customFormat="1" ht="19">
      <c r="A299" s="960"/>
      <c r="B299" s="960"/>
      <c r="C299" s="960"/>
      <c r="D299" s="960"/>
      <c r="E299" s="960"/>
      <c r="F299" s="960"/>
      <c r="G299" s="960"/>
      <c r="H299" s="960"/>
      <c r="I299" s="2164"/>
      <c r="J299" s="960"/>
      <c r="K299" s="712" t="s">
        <v>238</v>
      </c>
      <c r="L299" s="1879"/>
      <c r="S299" s="734"/>
      <c r="T299" s="734"/>
      <c r="U299" s="734"/>
      <c r="V299" s="734"/>
      <c r="W299" s="734"/>
    </row>
    <row r="300" spans="1:23" s="1808" customFormat="1" ht="19">
      <c r="A300" s="960"/>
      <c r="B300" s="960"/>
      <c r="C300" s="960"/>
      <c r="D300" s="960"/>
      <c r="E300" s="960"/>
      <c r="F300" s="960"/>
      <c r="G300" s="960"/>
      <c r="H300" s="960"/>
      <c r="I300" s="2164"/>
      <c r="J300" s="960"/>
      <c r="K300" s="712" t="s">
        <v>238</v>
      </c>
      <c r="L300" s="1879" t="s">
        <v>3302</v>
      </c>
      <c r="N300" s="1270" t="s">
        <v>3539</v>
      </c>
      <c r="S300" s="734"/>
      <c r="T300" s="734"/>
      <c r="U300" s="734"/>
      <c r="V300" s="734"/>
      <c r="W300" s="734"/>
    </row>
    <row r="301" spans="1:23" s="1808" customFormat="1">
      <c r="A301" s="960"/>
      <c r="B301" s="960"/>
      <c r="C301" s="960"/>
      <c r="D301" s="960"/>
      <c r="E301" s="960"/>
      <c r="F301" s="960"/>
      <c r="G301" s="960"/>
      <c r="H301" s="960"/>
      <c r="I301" s="2164"/>
      <c r="J301" s="960"/>
      <c r="K301" s="712" t="s">
        <v>238</v>
      </c>
      <c r="N301" s="2004" t="s">
        <v>3534</v>
      </c>
      <c r="O301" s="734" t="s">
        <v>3535</v>
      </c>
      <c r="P301" s="734"/>
      <c r="Q301" s="734"/>
      <c r="R301" s="734">
        <v>2021</v>
      </c>
      <c r="S301" s="734">
        <v>2022</v>
      </c>
      <c r="T301" s="734">
        <v>2023</v>
      </c>
      <c r="U301" s="734">
        <v>2024</v>
      </c>
      <c r="V301" s="734">
        <v>2025</v>
      </c>
    </row>
    <row r="302" spans="1:23" s="1808" customFormat="1">
      <c r="A302" s="960"/>
      <c r="B302" s="960"/>
      <c r="C302" s="960"/>
      <c r="D302" s="960"/>
      <c r="E302" s="960"/>
      <c r="F302" s="960"/>
      <c r="G302" s="960"/>
      <c r="H302" s="960"/>
      <c r="I302" s="2164"/>
      <c r="J302" s="960"/>
      <c r="K302" s="712" t="s">
        <v>238</v>
      </c>
      <c r="M302" s="1754" t="s">
        <v>3300</v>
      </c>
      <c r="N302" s="2005">
        <v>640</v>
      </c>
      <c r="O302" s="958">
        <v>1550</v>
      </c>
      <c r="P302" s="958">
        <v>1</v>
      </c>
      <c r="Q302" s="958">
        <f>N302*O302*P302</f>
        <v>992000</v>
      </c>
      <c r="R302" s="958">
        <f>Q302*0.6</f>
        <v>595200</v>
      </c>
      <c r="S302" s="958">
        <f>Q302*0.5</f>
        <v>496000</v>
      </c>
      <c r="T302" s="958">
        <f>Q302*0.4</f>
        <v>396800</v>
      </c>
      <c r="U302" s="958"/>
      <c r="V302" s="958"/>
    </row>
    <row r="303" spans="1:23" s="1808" customFormat="1" ht="16" thickBot="1">
      <c r="A303" s="960"/>
      <c r="B303" s="960"/>
      <c r="C303" s="960"/>
      <c r="D303" s="960"/>
      <c r="E303" s="960"/>
      <c r="F303" s="960"/>
      <c r="G303" s="960"/>
      <c r="H303" s="960"/>
      <c r="I303" s="2164"/>
      <c r="J303" s="960"/>
      <c r="K303" s="712" t="s">
        <v>238</v>
      </c>
      <c r="M303" s="1754" t="s">
        <v>3301</v>
      </c>
      <c r="N303" s="2006">
        <v>1140</v>
      </c>
      <c r="O303" s="958">
        <v>50</v>
      </c>
      <c r="P303" s="958">
        <v>12</v>
      </c>
      <c r="Q303" s="958">
        <f>N303*O303*P303</f>
        <v>684000</v>
      </c>
      <c r="R303" s="958">
        <f>Q303*0.6</f>
        <v>410400</v>
      </c>
      <c r="S303" s="958">
        <f>Q303*0.5</f>
        <v>342000</v>
      </c>
      <c r="T303" s="958">
        <f>Q303*0.4</f>
        <v>273600</v>
      </c>
      <c r="U303" s="958"/>
      <c r="V303" s="958"/>
    </row>
    <row r="304" spans="1:23" s="1808" customFormat="1" ht="16" thickBot="1">
      <c r="A304" s="2157">
        <v>139</v>
      </c>
      <c r="B304" s="841">
        <f>R304</f>
        <v>1005600</v>
      </c>
      <c r="C304" s="841">
        <f>S304</f>
        <v>838000</v>
      </c>
      <c r="D304" s="841">
        <f>T304</f>
        <v>670400</v>
      </c>
      <c r="E304" s="841">
        <f>U304</f>
        <v>0</v>
      </c>
      <c r="F304" s="841">
        <f>V304</f>
        <v>0</v>
      </c>
      <c r="G304" s="841" t="s">
        <v>351</v>
      </c>
      <c r="H304" s="841" t="s">
        <v>3302</v>
      </c>
      <c r="I304" s="2180" t="s">
        <v>3716</v>
      </c>
      <c r="J304" s="841" t="s">
        <v>2943</v>
      </c>
      <c r="K304" s="712" t="s">
        <v>238</v>
      </c>
      <c r="M304" s="1900" t="s">
        <v>1887</v>
      </c>
      <c r="N304" s="1709"/>
      <c r="O304" s="2474"/>
      <c r="P304" s="2474"/>
      <c r="Q304" s="2475"/>
      <c r="R304" s="1967">
        <f>SUM(R302:R303)</f>
        <v>1005600</v>
      </c>
      <c r="S304" s="1967">
        <f>SUM(S302:S303)</f>
        <v>838000</v>
      </c>
      <c r="T304" s="1967">
        <f>SUM(T302:T303)</f>
        <v>670400</v>
      </c>
      <c r="U304" s="1967">
        <f>SUM(U302:U303)</f>
        <v>0</v>
      </c>
      <c r="V304" s="1967">
        <f>SUM(V302:V303)</f>
        <v>0</v>
      </c>
    </row>
    <row r="305" spans="1:23" s="1808" customFormat="1">
      <c r="A305" s="960"/>
      <c r="B305" s="960"/>
      <c r="C305" s="960"/>
      <c r="D305" s="960"/>
      <c r="E305" s="960"/>
      <c r="F305" s="960"/>
      <c r="G305" s="960"/>
      <c r="H305" s="960"/>
      <c r="I305" s="2164"/>
      <c r="J305" s="960"/>
      <c r="K305" s="712" t="s">
        <v>238</v>
      </c>
      <c r="O305" s="708" t="s">
        <v>3552</v>
      </c>
      <c r="S305" s="734"/>
      <c r="T305" s="734"/>
      <c r="U305" s="734"/>
      <c r="V305" s="734"/>
      <c r="W305" s="734"/>
    </row>
    <row r="306" spans="1:23" s="1808" customFormat="1">
      <c r="A306" s="960"/>
      <c r="B306" s="960"/>
      <c r="C306" s="960"/>
      <c r="D306" s="960"/>
      <c r="E306" s="960"/>
      <c r="F306" s="960"/>
      <c r="G306" s="960"/>
      <c r="H306" s="960"/>
      <c r="I306" s="2164"/>
      <c r="J306" s="960"/>
      <c r="K306" s="712" t="s">
        <v>238</v>
      </c>
      <c r="S306" s="734"/>
      <c r="T306" s="734"/>
      <c r="U306" s="734"/>
      <c r="V306" s="734"/>
      <c r="W306" s="734"/>
    </row>
    <row r="307" spans="1:23" s="1808" customFormat="1" ht="19">
      <c r="A307" s="960"/>
      <c r="B307" s="960"/>
      <c r="C307" s="960"/>
      <c r="D307" s="960"/>
      <c r="E307" s="960"/>
      <c r="F307" s="960"/>
      <c r="G307" s="960"/>
      <c r="H307" s="960"/>
      <c r="I307" s="2164"/>
      <c r="J307" s="960"/>
      <c r="K307" s="712" t="s">
        <v>238</v>
      </c>
      <c r="L307" s="1879" t="s">
        <v>3303</v>
      </c>
      <c r="S307" s="734"/>
      <c r="T307" s="734"/>
      <c r="U307" s="734"/>
      <c r="V307" s="734"/>
      <c r="W307" s="734"/>
    </row>
    <row r="308" spans="1:23" s="1808" customFormat="1">
      <c r="A308" s="960"/>
      <c r="B308" s="960"/>
      <c r="C308" s="960"/>
      <c r="D308" s="960"/>
      <c r="E308" s="960"/>
      <c r="F308" s="960"/>
      <c r="G308" s="960"/>
      <c r="H308" s="960"/>
      <c r="I308" s="2164"/>
      <c r="J308" s="960"/>
      <c r="K308" s="712" t="s">
        <v>238</v>
      </c>
      <c r="N308" t="s">
        <v>3536</v>
      </c>
      <c r="O308" s="1808" t="s">
        <v>434</v>
      </c>
      <c r="P308" s="1808" t="s">
        <v>3549</v>
      </c>
      <c r="R308" s="734">
        <v>2021</v>
      </c>
      <c r="S308" s="734">
        <v>2022</v>
      </c>
      <c r="T308" s="734">
        <v>2023</v>
      </c>
      <c r="U308" s="734">
        <v>2024</v>
      </c>
      <c r="V308" s="734">
        <v>2025</v>
      </c>
    </row>
    <row r="309" spans="1:23" s="1808" customFormat="1" ht="16" thickBot="1">
      <c r="A309" s="960"/>
      <c r="B309" s="960"/>
      <c r="C309" s="960"/>
      <c r="D309" s="960"/>
      <c r="E309" s="960"/>
      <c r="F309" s="960"/>
      <c r="G309" s="960"/>
      <c r="H309" s="960"/>
      <c r="I309" s="2164"/>
      <c r="J309" s="960"/>
      <c r="K309" s="712" t="s">
        <v>238</v>
      </c>
      <c r="M309" s="1754" t="s">
        <v>3550</v>
      </c>
      <c r="N309" s="2006">
        <v>47</v>
      </c>
      <c r="O309" s="1901">
        <v>200</v>
      </c>
      <c r="P309" s="1901">
        <v>10</v>
      </c>
      <c r="Q309" s="1901">
        <f>N309*O309*P309</f>
        <v>94000</v>
      </c>
      <c r="R309" s="1901">
        <v>0</v>
      </c>
      <c r="S309" s="1901">
        <v>1</v>
      </c>
      <c r="T309" s="1901">
        <v>0</v>
      </c>
      <c r="U309" s="1901">
        <v>0</v>
      </c>
      <c r="V309" s="1901">
        <v>0</v>
      </c>
    </row>
    <row r="310" spans="1:23" s="1808" customFormat="1" ht="16" thickBot="1">
      <c r="A310" s="2157">
        <v>140</v>
      </c>
      <c r="B310" s="841">
        <f>R310</f>
        <v>0</v>
      </c>
      <c r="C310" s="841">
        <f>S310</f>
        <v>94000</v>
      </c>
      <c r="D310" s="841">
        <f>T310</f>
        <v>0</v>
      </c>
      <c r="E310" s="841">
        <f>U310</f>
        <v>0</v>
      </c>
      <c r="F310" s="841">
        <f>V310</f>
        <v>0</v>
      </c>
      <c r="G310" s="841" t="s">
        <v>351</v>
      </c>
      <c r="H310" s="841" t="s">
        <v>3303</v>
      </c>
      <c r="I310" s="2180" t="s">
        <v>3716</v>
      </c>
      <c r="J310" s="841" t="s">
        <v>2943</v>
      </c>
      <c r="K310" s="712" t="s">
        <v>238</v>
      </c>
      <c r="M310" s="1900" t="s">
        <v>1887</v>
      </c>
      <c r="N310" s="1709"/>
      <c r="O310" s="1709"/>
      <c r="P310" s="1709"/>
      <c r="Q310" s="1708"/>
      <c r="R310" s="1495">
        <f>$Q309*R309</f>
        <v>0</v>
      </c>
      <c r="S310" s="1495">
        <f t="shared" ref="S310:V310" si="9">$Q309*S309</f>
        <v>94000</v>
      </c>
      <c r="T310" s="1495">
        <f t="shared" si="9"/>
        <v>0</v>
      </c>
      <c r="U310" s="1495">
        <f t="shared" si="9"/>
        <v>0</v>
      </c>
      <c r="V310" s="1495">
        <f t="shared" si="9"/>
        <v>0</v>
      </c>
    </row>
    <row r="311" spans="1:23" s="1808" customFormat="1">
      <c r="A311" s="960"/>
      <c r="B311" s="960"/>
      <c r="C311" s="960"/>
      <c r="D311" s="960"/>
      <c r="E311" s="960"/>
      <c r="F311" s="960"/>
      <c r="G311" s="960"/>
      <c r="H311" s="960"/>
      <c r="I311" s="2164"/>
      <c r="J311" s="960"/>
      <c r="K311" s="712" t="s">
        <v>238</v>
      </c>
      <c r="S311" s="734"/>
      <c r="T311" s="734"/>
      <c r="U311" s="734"/>
      <c r="V311" s="734"/>
      <c r="W311" s="734"/>
    </row>
    <row r="312" spans="1:23" s="1808" customFormat="1">
      <c r="A312" s="960"/>
      <c r="B312" s="960"/>
      <c r="C312" s="960"/>
      <c r="D312" s="960"/>
      <c r="E312" s="960"/>
      <c r="F312" s="960"/>
      <c r="G312" s="960"/>
      <c r="H312" s="960"/>
      <c r="I312" s="2164"/>
      <c r="J312" s="960"/>
      <c r="K312" s="712" t="s">
        <v>238</v>
      </c>
      <c r="S312" s="734"/>
      <c r="T312" s="734"/>
      <c r="U312" s="734"/>
      <c r="V312" s="734"/>
      <c r="W312" s="734"/>
    </row>
    <row r="313" spans="1:23" s="1808" customFormat="1" ht="19">
      <c r="A313" s="960"/>
      <c r="B313" s="960"/>
      <c r="C313" s="960"/>
      <c r="D313" s="960"/>
      <c r="E313" s="960"/>
      <c r="F313" s="960"/>
      <c r="G313" s="960"/>
      <c r="H313" s="960"/>
      <c r="I313" s="2164"/>
      <c r="J313" s="960"/>
      <c r="K313" s="712" t="s">
        <v>238</v>
      </c>
      <c r="L313" s="1879" t="s">
        <v>3304</v>
      </c>
      <c r="S313" s="734"/>
      <c r="T313" s="734"/>
      <c r="U313" s="734"/>
      <c r="V313" s="734"/>
      <c r="W313" s="734"/>
    </row>
    <row r="314" spans="1:23" s="1808" customFormat="1">
      <c r="A314" s="960"/>
      <c r="B314" s="960"/>
      <c r="C314" s="960"/>
      <c r="D314" s="960"/>
      <c r="E314" s="960"/>
      <c r="F314" s="960"/>
      <c r="G314" s="960"/>
      <c r="H314" s="960"/>
      <c r="I314" s="2164"/>
      <c r="J314" s="960"/>
      <c r="K314" s="712" t="s">
        <v>238</v>
      </c>
      <c r="N314" s="734"/>
      <c r="O314" s="734"/>
      <c r="P314" s="734"/>
      <c r="R314" s="734"/>
      <c r="S314" s="734"/>
      <c r="T314" s="734"/>
      <c r="U314" s="734"/>
      <c r="V314" s="734"/>
    </row>
    <row r="315" spans="1:23" s="1808" customFormat="1">
      <c r="A315" s="960"/>
      <c r="B315" s="960"/>
      <c r="C315" s="960"/>
      <c r="D315" s="960"/>
      <c r="E315" s="960"/>
      <c r="F315" s="960"/>
      <c r="G315" s="960"/>
      <c r="H315" s="960"/>
      <c r="I315" s="2164"/>
      <c r="J315" s="960"/>
      <c r="K315" s="712" t="s">
        <v>238</v>
      </c>
      <c r="N315" s="734" t="s">
        <v>3537</v>
      </c>
      <c r="O315" s="734" t="s">
        <v>3538</v>
      </c>
      <c r="P315" s="734"/>
      <c r="R315" s="734">
        <v>2021</v>
      </c>
      <c r="S315" s="734">
        <v>2022</v>
      </c>
      <c r="T315" s="734">
        <v>2023</v>
      </c>
      <c r="U315" s="734">
        <v>2024</v>
      </c>
      <c r="V315" s="734">
        <v>2025</v>
      </c>
    </row>
    <row r="316" spans="1:23" s="1808" customFormat="1" ht="16" thickBot="1">
      <c r="A316" s="960"/>
      <c r="B316" s="960"/>
      <c r="C316" s="960"/>
      <c r="D316" s="960"/>
      <c r="E316" s="960"/>
      <c r="F316" s="960"/>
      <c r="G316" s="960"/>
      <c r="H316" s="960"/>
      <c r="I316" s="2164"/>
      <c r="J316" s="960"/>
      <c r="K316" s="712" t="s">
        <v>238</v>
      </c>
      <c r="M316" s="1754" t="s">
        <v>3305</v>
      </c>
      <c r="N316" s="2006">
        <v>3000</v>
      </c>
      <c r="O316" s="2005">
        <v>40</v>
      </c>
      <c r="P316" s="2005">
        <v>1</v>
      </c>
      <c r="Q316" s="2476">
        <f>N316*O316*P316</f>
        <v>120000</v>
      </c>
      <c r="R316" s="1901">
        <v>1</v>
      </c>
      <c r="S316" s="1901">
        <v>0</v>
      </c>
      <c r="T316" s="1901">
        <v>0</v>
      </c>
      <c r="U316" s="1901">
        <v>0</v>
      </c>
      <c r="V316" s="1901">
        <v>0</v>
      </c>
      <c r="W316"/>
    </row>
    <row r="317" spans="1:23" s="1808" customFormat="1" ht="16" thickBot="1">
      <c r="A317" s="2157">
        <v>141</v>
      </c>
      <c r="B317" s="841">
        <f>R317</f>
        <v>120000</v>
      </c>
      <c r="C317" s="841">
        <f>S317</f>
        <v>0</v>
      </c>
      <c r="D317" s="841">
        <f>T317</f>
        <v>0</v>
      </c>
      <c r="E317" s="841">
        <f>U317</f>
        <v>0</v>
      </c>
      <c r="F317" s="841">
        <f>V317</f>
        <v>0</v>
      </c>
      <c r="G317" s="841" t="s">
        <v>351</v>
      </c>
      <c r="H317" s="841" t="s">
        <v>3308</v>
      </c>
      <c r="I317" s="2180" t="s">
        <v>3716</v>
      </c>
      <c r="J317" s="841" t="s">
        <v>2943</v>
      </c>
      <c r="K317" s="712" t="s">
        <v>238</v>
      </c>
      <c r="M317" s="1900" t="s">
        <v>1887</v>
      </c>
      <c r="N317" s="1709"/>
      <c r="O317" s="1709"/>
      <c r="P317" s="1709"/>
      <c r="Q317" s="1708"/>
      <c r="R317" s="1495">
        <f>$Q316*R316</f>
        <v>120000</v>
      </c>
      <c r="S317" s="1495">
        <f t="shared" ref="S317" si="10">$Q316*S316</f>
        <v>0</v>
      </c>
      <c r="T317" s="1495">
        <f t="shared" ref="T317" si="11">$Q316*T316</f>
        <v>0</v>
      </c>
      <c r="U317" s="1495">
        <f t="shared" ref="U317" si="12">$Q316*U316</f>
        <v>0</v>
      </c>
      <c r="V317" s="1495">
        <f t="shared" ref="V317" si="13">$Q316*V316</f>
        <v>0</v>
      </c>
    </row>
    <row r="318" spans="1:23" s="1808" customFormat="1">
      <c r="A318" s="960"/>
      <c r="B318" s="960"/>
      <c r="C318" s="960"/>
      <c r="D318" s="960"/>
      <c r="E318" s="960"/>
      <c r="F318" s="960"/>
      <c r="G318" s="960"/>
      <c r="H318" s="960"/>
      <c r="I318" s="2164"/>
      <c r="J318" s="960"/>
      <c r="K318" s="712" t="s">
        <v>238</v>
      </c>
      <c r="S318" s="734"/>
      <c r="T318" s="734"/>
      <c r="U318" s="734"/>
      <c r="V318" s="734"/>
      <c r="W318" s="734"/>
    </row>
    <row r="319" spans="1:23" s="1808" customFormat="1">
      <c r="A319" s="960"/>
      <c r="B319" s="960"/>
      <c r="C319" s="960"/>
      <c r="D319" s="960"/>
      <c r="E319" s="960"/>
      <c r="F319" s="960"/>
      <c r="G319" s="960"/>
      <c r="H319" s="960"/>
      <c r="I319" s="2164"/>
      <c r="J319" s="960"/>
      <c r="K319" s="712" t="s">
        <v>238</v>
      </c>
      <c r="S319" s="734"/>
      <c r="T319" s="734"/>
      <c r="U319" s="734"/>
      <c r="V319" s="734"/>
      <c r="W319" s="734"/>
    </row>
    <row r="320" spans="1:23" ht="19">
      <c r="K320" s="712" t="s">
        <v>238</v>
      </c>
      <c r="L320" s="1879" t="s">
        <v>3306</v>
      </c>
      <c r="N320" s="1808"/>
      <c r="O320" s="1808"/>
      <c r="P320" s="1808"/>
      <c r="Q320" s="1808"/>
      <c r="R320" s="1808"/>
      <c r="S320" s="734"/>
      <c r="T320" s="734"/>
      <c r="U320" s="734"/>
      <c r="V320" s="734"/>
      <c r="W320" s="734"/>
    </row>
    <row r="321" spans="11:23" ht="16" thickBot="1">
      <c r="K321" s="712" t="s">
        <v>238</v>
      </c>
      <c r="M321" s="1808"/>
      <c r="N321" s="1808"/>
      <c r="O321" s="1808"/>
      <c r="P321" s="1808"/>
      <c r="Q321" s="1808"/>
      <c r="R321" s="1808"/>
      <c r="S321" s="734"/>
      <c r="T321" s="734"/>
      <c r="U321" s="734"/>
      <c r="V321" s="734"/>
      <c r="W321" s="734"/>
    </row>
    <row r="322" spans="11:23" ht="32">
      <c r="K322" s="712" t="s">
        <v>238</v>
      </c>
      <c r="M322" s="1766" t="s">
        <v>3054</v>
      </c>
      <c r="N322" s="1696"/>
      <c r="O322" s="1767"/>
      <c r="P322" s="1220"/>
      <c r="Q322" s="966"/>
      <c r="R322" s="1902"/>
      <c r="S322" s="1225"/>
      <c r="T322" s="1000"/>
      <c r="V322" s="734"/>
      <c r="W322" s="734"/>
    </row>
    <row r="323" spans="11:23" ht="32">
      <c r="K323" s="712" t="s">
        <v>238</v>
      </c>
      <c r="M323" s="1769" t="s">
        <v>3055</v>
      </c>
      <c r="N323" s="1693"/>
      <c r="O323" s="958"/>
      <c r="P323" s="1040">
        <v>1</v>
      </c>
      <c r="Q323" s="960"/>
      <c r="R323" s="1025"/>
      <c r="S323" s="1025"/>
      <c r="T323" s="1903"/>
      <c r="V323" s="734"/>
      <c r="W323" s="734"/>
    </row>
    <row r="324" spans="11:23" ht="32">
      <c r="K324" s="712" t="s">
        <v>238</v>
      </c>
      <c r="M324" s="1769" t="s">
        <v>3056</v>
      </c>
      <c r="N324" s="1693"/>
      <c r="O324" s="958"/>
      <c r="P324" s="1040">
        <v>25</v>
      </c>
      <c r="Q324" s="960"/>
      <c r="R324" s="1025"/>
      <c r="S324" s="1025"/>
      <c r="T324" s="1903"/>
      <c r="V324" s="734"/>
      <c r="W324" s="734"/>
    </row>
    <row r="325" spans="11:23" ht="32">
      <c r="K325" s="712" t="s">
        <v>238</v>
      </c>
      <c r="M325" s="1769" t="s">
        <v>3057</v>
      </c>
      <c r="N325" s="1693"/>
      <c r="O325" s="958"/>
      <c r="P325" s="1040">
        <v>1</v>
      </c>
      <c r="Q325" s="960"/>
      <c r="R325" s="1025"/>
      <c r="S325" s="1025"/>
      <c r="T325" s="1903"/>
      <c r="V325" s="734"/>
      <c r="W325" s="734"/>
    </row>
    <row r="326" spans="11:23" ht="32">
      <c r="K326" s="712" t="s">
        <v>238</v>
      </c>
      <c r="M326" s="1769" t="s">
        <v>3052</v>
      </c>
      <c r="N326" s="1693"/>
      <c r="O326" s="1694">
        <v>0.65</v>
      </c>
      <c r="P326" s="1028">
        <f>ROUND(P324*O326,0)</f>
        <v>16</v>
      </c>
      <c r="Q326" s="960"/>
      <c r="R326" s="1025"/>
      <c r="S326" s="1025"/>
      <c r="T326" s="1903"/>
      <c r="V326" s="734"/>
      <c r="W326" s="734"/>
    </row>
    <row r="327" spans="11:23" ht="32">
      <c r="K327" s="712" t="s">
        <v>238</v>
      </c>
      <c r="M327" s="1769" t="s">
        <v>3053</v>
      </c>
      <c r="N327" s="1693"/>
      <c r="O327" s="1694">
        <v>0.65</v>
      </c>
      <c r="P327" s="1028">
        <f>ROUND(P324*O327,0)</f>
        <v>16</v>
      </c>
      <c r="Q327" s="960"/>
      <c r="R327" s="1025"/>
      <c r="S327" s="1025"/>
      <c r="T327" s="1903"/>
      <c r="V327" s="734"/>
      <c r="W327" s="734"/>
    </row>
    <row r="328" spans="11:23">
      <c r="K328" s="712" t="s">
        <v>238</v>
      </c>
      <c r="M328" s="1770" t="s">
        <v>3036</v>
      </c>
      <c r="N328" s="1019"/>
      <c r="O328" s="1695"/>
      <c r="P328" s="1028">
        <f>P325-1</f>
        <v>0</v>
      </c>
      <c r="Q328" s="960"/>
      <c r="R328" s="1025"/>
      <c r="S328" s="1025"/>
      <c r="T328" s="1903"/>
      <c r="V328" s="734"/>
      <c r="W328" s="734"/>
    </row>
    <row r="329" spans="11:23" ht="16" thickBot="1">
      <c r="K329" s="712" t="s">
        <v>238</v>
      </c>
      <c r="M329" s="1049"/>
      <c r="N329" s="960"/>
      <c r="O329" s="960"/>
      <c r="P329" s="960"/>
      <c r="Q329" s="960"/>
      <c r="R329" s="1025"/>
      <c r="S329" s="1025"/>
      <c r="T329" s="1903"/>
      <c r="V329" s="734"/>
      <c r="W329" s="734"/>
    </row>
    <row r="330" spans="11:23" ht="32">
      <c r="K330" s="712" t="s">
        <v>238</v>
      </c>
      <c r="M330" s="1699" t="s">
        <v>3033</v>
      </c>
      <c r="N330" s="1700" t="s">
        <v>3034</v>
      </c>
      <c r="O330" s="1702" t="s">
        <v>3040</v>
      </c>
      <c r="P330" s="1702" t="s">
        <v>3041</v>
      </c>
      <c r="Q330" s="1702" t="s">
        <v>3042</v>
      </c>
      <c r="R330" s="1700" t="s">
        <v>3035</v>
      </c>
      <c r="S330" s="1702" t="s">
        <v>3039</v>
      </c>
      <c r="T330" s="1701" t="s">
        <v>2189</v>
      </c>
      <c r="V330" s="734"/>
      <c r="W330" s="734"/>
    </row>
    <row r="331" spans="11:23">
      <c r="K331" s="712" t="s">
        <v>238</v>
      </c>
      <c r="M331" s="1539" t="s">
        <v>3051</v>
      </c>
      <c r="N331" s="958" t="str">
        <f>IFERROR(VLOOKUP(M331,Price_list!$B$1:$H$187,2,0),"")</f>
        <v>International Consultancy fee (3.1)</v>
      </c>
      <c r="O331" s="958" t="str">
        <f>IFERROR(VLOOKUP(M331,Price_list!$B$1:$H$187,3,0),"")</f>
        <v>cost/zi</v>
      </c>
      <c r="P331" s="946">
        <f>IFERROR(VLOOKUP(M331,Price_list!$B$1:$H$187,4,0),"")</f>
        <v>350</v>
      </c>
      <c r="Q331" s="946" t="str">
        <f>IFERROR(VLOOKUP(M331,Price_list!$B$1:$H$187,5,0),"")</f>
        <v>EUR</v>
      </c>
      <c r="R331" s="958">
        <f t="shared" ref="R331:R348" ca="1" si="14">ROUND(IFERROR(IF(Q331="MDL",P331,P331*INDIRECT(Q331)),0),2)</f>
        <v>6868.65</v>
      </c>
      <c r="S331" s="946">
        <f>P325</f>
        <v>1</v>
      </c>
      <c r="T331" s="1889">
        <f ca="1">IFERROR(P322*R331*S331,"")</f>
        <v>0</v>
      </c>
      <c r="V331" s="734"/>
      <c r="W331" s="734"/>
    </row>
    <row r="332" spans="11:23">
      <c r="K332" s="712" t="s">
        <v>238</v>
      </c>
      <c r="M332" s="1539" t="s">
        <v>3029</v>
      </c>
      <c r="N332" s="958" t="str">
        <f>IFERROR(VLOOKUP(M332,Price_list!$B$1:$H$187,2,0),"")</f>
        <v xml:space="preserve">Travel costs </v>
      </c>
      <c r="O332" s="958" t="str">
        <f>IFERROR(VLOOKUP(M332,Price_list!$B$1:$H$187,3,0),"")</f>
        <v>cost tichet o directie</v>
      </c>
      <c r="P332" s="946">
        <f>IFERROR(VLOOKUP(M332,Price_list!$B$1:$H$187,4,0),"")</f>
        <v>5000</v>
      </c>
      <c r="Q332" s="946" t="str">
        <f>IFERROR(VLOOKUP(M332,Price_list!$B$1:$H$187,5,0),"")</f>
        <v>MDL</v>
      </c>
      <c r="R332" s="958">
        <f t="shared" ca="1" si="14"/>
        <v>5000</v>
      </c>
      <c r="S332" s="1040">
        <v>2</v>
      </c>
      <c r="T332" s="1889">
        <f ca="1">P322*S332*R332</f>
        <v>0</v>
      </c>
      <c r="V332" s="734"/>
      <c r="W332" s="734"/>
    </row>
    <row r="333" spans="11:23">
      <c r="K333" s="712" t="s">
        <v>238</v>
      </c>
      <c r="M333" s="1539" t="s">
        <v>3020</v>
      </c>
      <c r="N333" s="958" t="str">
        <f>IFERROR(VLOOKUP(M333,Price_list!$B$1:$H$187,2,0),"")</f>
        <v xml:space="preserve">Per diem, WHO DSA, average </v>
      </c>
      <c r="O333" s="958" t="str">
        <f>IFERROR(VLOOKUP(M333,Price_list!$B$1:$H$187,3,0),"")</f>
        <v>diurna</v>
      </c>
      <c r="P333" s="946">
        <f>IFERROR(VLOOKUP(M333,Price_list!$B$1:$H$187,4,0),"")</f>
        <v>200</v>
      </c>
      <c r="Q333" s="946" t="str">
        <f>IFERROR(VLOOKUP(M333,Price_list!$B$1:$H$187,5,0),"")</f>
        <v>EUR</v>
      </c>
      <c r="R333" s="958">
        <f t="shared" ca="1" si="14"/>
        <v>3924.94</v>
      </c>
      <c r="S333" s="946">
        <f>P325+1</f>
        <v>2</v>
      </c>
      <c r="T333" s="1889">
        <f ca="1">P322*R333*S333</f>
        <v>0</v>
      </c>
      <c r="V333" s="734"/>
      <c r="W333" s="734"/>
    </row>
    <row r="334" spans="11:23">
      <c r="K334" s="712" t="s">
        <v>238</v>
      </c>
      <c r="M334" s="1539" t="s">
        <v>3050</v>
      </c>
      <c r="N334" s="958" t="str">
        <f>IFERROR(VLOOKUP(M334,Price_list!$B$1:$H$187,2,0),"")</f>
        <v>National Consultancy fee (3.1)</v>
      </c>
      <c r="O334" s="958" t="str">
        <f>IFERROR(VLOOKUP(M334,Price_list!$B$1:$H$187,3,0),"")</f>
        <v>cost/zi</v>
      </c>
      <c r="P334" s="946">
        <f>IFERROR(VLOOKUP(M334,Price_list!$B$1:$H$187,4,0),"")</f>
        <v>2000</v>
      </c>
      <c r="Q334" s="946" t="str">
        <f>IFERROR(VLOOKUP(M334,Price_list!$B$1:$H$187,5,0),"")</f>
        <v>MDL</v>
      </c>
      <c r="R334" s="958">
        <f t="shared" ca="1" si="14"/>
        <v>2000</v>
      </c>
      <c r="S334" s="946">
        <f>P325</f>
        <v>1</v>
      </c>
      <c r="T334" s="1889">
        <f ca="1">P323*R334*S334</f>
        <v>2000</v>
      </c>
      <c r="V334" s="734"/>
      <c r="W334" s="734"/>
    </row>
    <row r="335" spans="11:23">
      <c r="K335" s="712" t="s">
        <v>238</v>
      </c>
      <c r="M335" s="1539"/>
      <c r="N335" s="958" t="str">
        <f>IFERROR(VLOOKUP(M335,Price_list!$B$1:$H$187,2,0),"")</f>
        <v/>
      </c>
      <c r="O335" s="958" t="str">
        <f>IFERROR(VLOOKUP(M335,Price_list!$B$1:$H$187,3,0),"")</f>
        <v/>
      </c>
      <c r="P335" s="946" t="str">
        <f>IFERROR(VLOOKUP(M335,Price_list!$B$1:$H$187,4,0),"")</f>
        <v/>
      </c>
      <c r="Q335" s="946" t="str">
        <f>IFERROR(VLOOKUP(M335,Price_list!$B$1:$H$187,5,0),"")</f>
        <v/>
      </c>
      <c r="R335" s="958">
        <f t="shared" ca="1" si="14"/>
        <v>0</v>
      </c>
      <c r="S335" s="946" t="str">
        <f>IFERROR(VLOOKUP(AD335,M326:O331,3,0),"")</f>
        <v/>
      </c>
      <c r="T335" s="1889" t="str">
        <f>IFERROR(#REF!*S335*P335,"")</f>
        <v/>
      </c>
      <c r="V335" s="734"/>
      <c r="W335" s="734"/>
    </row>
    <row r="336" spans="11:23">
      <c r="K336" s="712" t="s">
        <v>238</v>
      </c>
      <c r="M336" s="1539"/>
      <c r="N336" s="958" t="str">
        <f>IFERROR(VLOOKUP(M336,Price_list!$B$1:$H$187,2,0),"")</f>
        <v/>
      </c>
      <c r="O336" s="958" t="str">
        <f>IFERROR(VLOOKUP(M336,Price_list!$B$1:$H$187,3,0),"")</f>
        <v/>
      </c>
      <c r="P336" s="946" t="str">
        <f>IFERROR(VLOOKUP(M336,Price_list!$B$1:$H$187,4,0),"")</f>
        <v/>
      </c>
      <c r="Q336" s="946" t="str">
        <f>IFERROR(VLOOKUP(M336,Price_list!$B$1:$H$187,5,0),"")</f>
        <v/>
      </c>
      <c r="R336" s="958">
        <f t="shared" ca="1" si="14"/>
        <v>0</v>
      </c>
      <c r="S336" s="946" t="str">
        <f>IFERROR(VLOOKUP(AD336,M328:O332,3,0),"")</f>
        <v/>
      </c>
      <c r="T336" s="1889" t="str">
        <f>IFERROR(#REF!*S336*P336,"")</f>
        <v/>
      </c>
      <c r="V336" s="734"/>
      <c r="W336" s="734"/>
    </row>
    <row r="337" spans="11:23">
      <c r="K337" s="712" t="s">
        <v>238</v>
      </c>
      <c r="M337" s="1539" t="s">
        <v>3016</v>
      </c>
      <c r="N337" s="958" t="str">
        <f>IFERROR(VLOOKUP(M337,Price_list!$B$1:$H$187,2,0),"")</f>
        <v>Coffe break</v>
      </c>
      <c r="O337" s="958" t="str">
        <f>IFERROR(VLOOKUP(M337,Price_list!$B$1:$H$187,3,0),"")</f>
        <v>unitate</v>
      </c>
      <c r="P337" s="946">
        <f>IFERROR(VLOOKUP(M337,Price_list!$B$1:$H$187,4,0),"")</f>
        <v>75</v>
      </c>
      <c r="Q337" s="946" t="str">
        <f>IFERROR(VLOOKUP(M337,Price_list!$B$1:$H$187,5,0),"")</f>
        <v>MDL</v>
      </c>
      <c r="R337" s="958">
        <f t="shared" ca="1" si="14"/>
        <v>75</v>
      </c>
      <c r="S337" s="946">
        <v>2</v>
      </c>
      <c r="T337" s="1889">
        <f ca="1">S337*R337*P324*P325</f>
        <v>3750</v>
      </c>
      <c r="V337" s="734"/>
      <c r="W337" s="734"/>
    </row>
    <row r="338" spans="11:23">
      <c r="K338" s="712" t="s">
        <v>238</v>
      </c>
      <c r="M338" s="1539" t="s">
        <v>3021</v>
      </c>
      <c r="N338" s="958" t="str">
        <f>IFERROR(VLOOKUP(M338,Price_list!$B$1:$H$187,2,0),"")</f>
        <v xml:space="preserve">Meal ( lunch) </v>
      </c>
      <c r="O338" s="958" t="str">
        <f>IFERROR(VLOOKUP(M338,Price_list!$B$1:$H$187,3,0),"")</f>
        <v>unitate</v>
      </c>
      <c r="P338" s="946">
        <f>IFERROR(VLOOKUP(M338,Price_list!$B$1:$H$187,4,0),"")</f>
        <v>220</v>
      </c>
      <c r="Q338" s="946" t="str">
        <f>IFERROR(VLOOKUP(M338,Price_list!$B$1:$H$187,5,0),"")</f>
        <v>MDL</v>
      </c>
      <c r="R338" s="958">
        <f t="shared" ca="1" si="14"/>
        <v>220</v>
      </c>
      <c r="S338" s="946">
        <f>P325</f>
        <v>1</v>
      </c>
      <c r="T338" s="1889">
        <f ca="1">P324*S338*R338</f>
        <v>5500</v>
      </c>
      <c r="V338" s="734"/>
      <c r="W338" s="734"/>
    </row>
    <row r="339" spans="11:23">
      <c r="K339" s="712" t="s">
        <v>238</v>
      </c>
      <c r="M339" s="1539" t="s">
        <v>3023</v>
      </c>
      <c r="N339" s="958" t="str">
        <f>IFERROR(VLOOKUP(M339,Price_list!$B$1:$H$187,2,0),"")</f>
        <v>Meal(dinner)</v>
      </c>
      <c r="O339" s="958" t="str">
        <f>IFERROR(VLOOKUP(M339,Price_list!$B$1:$H$187,3,0),"")</f>
        <v>unitate</v>
      </c>
      <c r="P339" s="946">
        <f>IFERROR(VLOOKUP(M339,Price_list!$B$1:$H$187,4,0),"")</f>
        <v>220</v>
      </c>
      <c r="Q339" s="946" t="str">
        <f>IFERROR(VLOOKUP(M339,Price_list!$B$1:$H$187,5,0),"")</f>
        <v>MDL</v>
      </c>
      <c r="R339" s="958">
        <f t="shared" ca="1" si="14"/>
        <v>220</v>
      </c>
      <c r="S339" s="946">
        <f>P328</f>
        <v>0</v>
      </c>
      <c r="T339" s="1889">
        <f ca="1">S339*R339*P326</f>
        <v>0</v>
      </c>
      <c r="V339" s="734"/>
      <c r="W339" s="734"/>
    </row>
    <row r="340" spans="11:23">
      <c r="K340" s="712" t="s">
        <v>238</v>
      </c>
      <c r="M340" s="1539" t="s">
        <v>3024</v>
      </c>
      <c r="N340" s="958" t="str">
        <f>IFERROR(VLOOKUP(M340,Price_list!$B$1:$H$187,2,0),"")</f>
        <v xml:space="preserve">Accomodation </v>
      </c>
      <c r="O340" s="958" t="str">
        <f>IFERROR(VLOOKUP(M340,Price_list!$B$1:$H$187,3,0),"")</f>
        <v>cost/noapte</v>
      </c>
      <c r="P340" s="946">
        <f>IFERROR(VLOOKUP(M340,Price_list!$B$1:$H$187,4,0),"")</f>
        <v>750</v>
      </c>
      <c r="Q340" s="946" t="str">
        <f>IFERROR(VLOOKUP(M340,Price_list!$B$1:$H$187,5,0),"")</f>
        <v>MDL</v>
      </c>
      <c r="R340" s="958">
        <f t="shared" ca="1" si="14"/>
        <v>750</v>
      </c>
      <c r="S340" s="946">
        <f>P328</f>
        <v>0</v>
      </c>
      <c r="T340" s="1889">
        <f ca="1">S340*R340*P326</f>
        <v>0</v>
      </c>
      <c r="V340" s="734"/>
      <c r="W340" s="734"/>
    </row>
    <row r="341" spans="11:23">
      <c r="K341" s="712" t="s">
        <v>238</v>
      </c>
      <c r="M341" s="1539" t="s">
        <v>3030</v>
      </c>
      <c r="N341" s="958" t="str">
        <f>IFERROR(VLOOKUP(M341,Price_list!$B$1:$H$187,2,0),"")</f>
        <v>Travel participants</v>
      </c>
      <c r="O341" s="958" t="str">
        <f>IFERROR(VLOOKUP(M341,Price_list!$B$1:$H$187,3,0),"")</f>
        <v>cost tichet o directie</v>
      </c>
      <c r="P341" s="946">
        <f>IFERROR(VLOOKUP(M341,Price_list!$B$1:$H$187,4,0),"")</f>
        <v>80</v>
      </c>
      <c r="Q341" s="946" t="str">
        <f>IFERROR(VLOOKUP(M341,Price_list!$B$1:$H$187,5,0),"")</f>
        <v>MDL</v>
      </c>
      <c r="R341" s="958">
        <f t="shared" ca="1" si="14"/>
        <v>80</v>
      </c>
      <c r="S341" s="1040">
        <v>2</v>
      </c>
      <c r="T341" s="1889">
        <f ca="1">S341*P327*R341</f>
        <v>2560</v>
      </c>
      <c r="V341" s="734"/>
      <c r="W341" s="734"/>
    </row>
    <row r="342" spans="11:23">
      <c r="K342" s="712" t="s">
        <v>238</v>
      </c>
      <c r="M342" s="1539"/>
      <c r="N342" s="958" t="str">
        <f>IFERROR(VLOOKUP(M342,Price_list!$B$1:$H$187,2,0),"")</f>
        <v/>
      </c>
      <c r="O342" s="958" t="str">
        <f>IFERROR(VLOOKUP(M342,Price_list!$B$1:$H$187,3,0),"")</f>
        <v/>
      </c>
      <c r="P342" s="946" t="str">
        <f>IFERROR(VLOOKUP(M342,Price_list!$B$1:$H$187,4,0),"")</f>
        <v/>
      </c>
      <c r="Q342" s="946" t="str">
        <f>IFERROR(VLOOKUP(M342,Price_list!$B$1:$H$187,5,0),"")</f>
        <v/>
      </c>
      <c r="R342" s="958">
        <f t="shared" ca="1" si="14"/>
        <v>0</v>
      </c>
      <c r="S342" s="946" t="str">
        <f>IFERROR(VLOOKUP(AD342,M332:O338,3,0),"")</f>
        <v/>
      </c>
      <c r="T342" s="1889" t="str">
        <f>IFERROR(#REF!*S342*P342,"")</f>
        <v/>
      </c>
      <c r="V342" s="734"/>
      <c r="W342" s="734"/>
    </row>
    <row r="343" spans="11:23">
      <c r="K343" s="712" t="s">
        <v>238</v>
      </c>
      <c r="M343" s="1539" t="s">
        <v>3025</v>
      </c>
      <c r="N343" s="958" t="str">
        <f>IFERROR(VLOOKUP(M343,Price_list!$B$1:$H$187,2,0),"")</f>
        <v>Supplies</v>
      </c>
      <c r="O343" s="958" t="str">
        <f>IFERROR(VLOOKUP(M343,Price_list!$B$1:$H$187,3,0),"")</f>
        <v>set/participant</v>
      </c>
      <c r="P343" s="946">
        <f>IFERROR(VLOOKUP(M343,Price_list!$B$1:$H$187,4,0),"")</f>
        <v>140</v>
      </c>
      <c r="Q343" s="946" t="str">
        <f>IFERROR(VLOOKUP(M343,Price_list!$B$1:$H$187,5,0),"")</f>
        <v>MDL</v>
      </c>
      <c r="R343" s="958">
        <f t="shared" ca="1" si="14"/>
        <v>140</v>
      </c>
      <c r="S343" s="946">
        <v>1</v>
      </c>
      <c r="T343" s="1889">
        <f ca="1">S343*R343*P324</f>
        <v>3500</v>
      </c>
      <c r="V343" s="734"/>
      <c r="W343" s="734"/>
    </row>
    <row r="344" spans="11:23">
      <c r="K344" s="712" t="s">
        <v>238</v>
      </c>
      <c r="M344" s="1539" t="s">
        <v>3022</v>
      </c>
      <c r="N344" s="958" t="str">
        <f>IFERROR(VLOOKUP(M344,Price_list!$B$1:$H$187,2,0),"")</f>
        <v>Rent of premises</v>
      </c>
      <c r="O344" s="958" t="str">
        <f>IFERROR(VLOOKUP(M344,Price_list!$B$1:$H$187,3,0),"")</f>
        <v>cost/zi</v>
      </c>
      <c r="P344" s="946">
        <f>IFERROR(VLOOKUP(M344,Price_list!$B$1:$H$187,4,0),"")</f>
        <v>1800</v>
      </c>
      <c r="Q344" s="946" t="str">
        <f>IFERROR(VLOOKUP(M344,Price_list!$B$1:$H$187,5,0),"")</f>
        <v>MDL</v>
      </c>
      <c r="R344" s="958">
        <f t="shared" ca="1" si="14"/>
        <v>1800</v>
      </c>
      <c r="S344" s="946">
        <f>P325</f>
        <v>1</v>
      </c>
      <c r="T344" s="1889">
        <f ca="1">S344*R344</f>
        <v>1800</v>
      </c>
      <c r="V344" s="734"/>
      <c r="W344" s="734"/>
    </row>
    <row r="345" spans="11:23">
      <c r="K345" s="712" t="s">
        <v>238</v>
      </c>
      <c r="M345" s="1539" t="s">
        <v>3031</v>
      </c>
      <c r="N345" s="958" t="str">
        <f>IFERROR(VLOOKUP(M345,Price_list!$B$1:$H$187,2,0),"")</f>
        <v>Interpreter's fee, per day</v>
      </c>
      <c r="O345" s="958" t="str">
        <f>IFERROR(VLOOKUP(M345,Price_list!$B$1:$H$187,3,0),"")</f>
        <v>cost/zi</v>
      </c>
      <c r="P345" s="946">
        <f>IFERROR(VLOOKUP(M345,Price_list!$B$1:$H$187,4,0),"")</f>
        <v>2000</v>
      </c>
      <c r="Q345" s="946" t="str">
        <f>IFERROR(VLOOKUP(M345,Price_list!$B$1:$H$187,5,0),"")</f>
        <v>MDL</v>
      </c>
      <c r="R345" s="958">
        <f t="shared" ca="1" si="14"/>
        <v>2000</v>
      </c>
      <c r="S345" s="946">
        <f>IF(P322&gt;0,P325,0)</f>
        <v>0</v>
      </c>
      <c r="T345" s="1889">
        <f ca="1">S345*R345</f>
        <v>0</v>
      </c>
      <c r="V345" s="734"/>
      <c r="W345" s="734"/>
    </row>
    <row r="346" spans="11:23">
      <c r="K346" s="712" t="s">
        <v>238</v>
      </c>
      <c r="M346" s="1539"/>
      <c r="N346" s="958" t="str">
        <f>IFERROR(VLOOKUP(M346,Price_list!$B$1:$H$187,2,0),"")</f>
        <v/>
      </c>
      <c r="O346" s="958" t="str">
        <f>IFERROR(VLOOKUP(M346,Price_list!$B$1:$H$187,3,0),"")</f>
        <v/>
      </c>
      <c r="P346" s="946" t="str">
        <f>IFERROR(VLOOKUP(M346,Price_list!$B$1:$H$187,4,0),"")</f>
        <v/>
      </c>
      <c r="Q346" s="946" t="str">
        <f>IFERROR(VLOOKUP(M346,Price_list!$B$1:$H$187,5,0),"")</f>
        <v/>
      </c>
      <c r="R346" s="958">
        <f t="shared" ca="1" si="14"/>
        <v>0</v>
      </c>
      <c r="S346" s="946" t="str">
        <f>IFERROR(VLOOKUP(AD346,M337:O341,3,0),"")</f>
        <v/>
      </c>
      <c r="T346" s="1889" t="str">
        <f>IFERROR(#REF!*S346*P346,"")</f>
        <v/>
      </c>
      <c r="V346" s="734"/>
      <c r="W346" s="734"/>
    </row>
    <row r="347" spans="11:23">
      <c r="K347" s="712" t="s">
        <v>238</v>
      </c>
      <c r="M347" s="1539"/>
      <c r="N347" s="958" t="str">
        <f>IFERROR(VLOOKUP(M347,Price_list!$B$1:$H$187,2,0),"")</f>
        <v/>
      </c>
      <c r="O347" s="958" t="str">
        <f>IFERROR(VLOOKUP(M347,Price_list!$B$1:$H$187,3,0),"")</f>
        <v/>
      </c>
      <c r="P347" s="946" t="str">
        <f>IFERROR(VLOOKUP(M347,Price_list!$B$1:$H$187,4,0),"")</f>
        <v/>
      </c>
      <c r="Q347" s="946" t="str">
        <f>IFERROR(VLOOKUP(M347,Price_list!$B$1:$H$187,5,0),"")</f>
        <v/>
      </c>
      <c r="R347" s="958">
        <f t="shared" ca="1" si="14"/>
        <v>0</v>
      </c>
      <c r="S347" s="946" t="str">
        <f>IFERROR(VLOOKUP(AD347,M338:O343,3,0),"")</f>
        <v/>
      </c>
      <c r="T347" s="1889" t="str">
        <f>IFERROR(#REF!*S347*P347,"")</f>
        <v/>
      </c>
      <c r="V347" s="734"/>
      <c r="W347" s="734"/>
    </row>
    <row r="348" spans="11:23">
      <c r="K348" s="712" t="s">
        <v>238</v>
      </c>
      <c r="M348" s="1539"/>
      <c r="N348" s="958" t="str">
        <f>IFERROR(VLOOKUP(M348,Price_list!$B$1:$H$187,2,0),"")</f>
        <v/>
      </c>
      <c r="O348" s="958" t="str">
        <f>IFERROR(VLOOKUP(M348,Price_list!$B$1:$H$187,3,0),"")</f>
        <v/>
      </c>
      <c r="P348" s="946" t="str">
        <f>IFERROR(VLOOKUP(M348,Price_list!$B$1:$H$187,4,0),"")</f>
        <v/>
      </c>
      <c r="Q348" s="946" t="str">
        <f>IFERROR(VLOOKUP(M348,Price_list!$B$1:$H$187,5,0),"")</f>
        <v/>
      </c>
      <c r="R348" s="958">
        <f t="shared" ca="1" si="14"/>
        <v>0</v>
      </c>
      <c r="S348" s="946" t="str">
        <f>IFERROR(VLOOKUP(AD348,M339:O344,3,0),"")</f>
        <v/>
      </c>
      <c r="T348" s="1889" t="str">
        <f>IFERROR(#REF!*S348*P348,"")</f>
        <v/>
      </c>
      <c r="V348" s="734"/>
      <c r="W348" s="734"/>
    </row>
    <row r="349" spans="11:23" ht="16" thickBot="1">
      <c r="K349" s="712" t="s">
        <v>238</v>
      </c>
      <c r="M349" s="1697"/>
      <c r="N349" s="1698" t="str">
        <f>IFERROR(VLOOKUP(M349,Price_list!$B$1:$H$187,2,0),"")</f>
        <v/>
      </c>
      <c r="O349" s="1698" t="str">
        <f>IFERROR(VLOOKUP(M349,Price_list!$B$1:$H$187,3,0),"")</f>
        <v/>
      </c>
      <c r="P349" s="1034" t="str">
        <f>IFERROR(VLOOKUP(M349,Price_list!$B$1:$H$187,4,0),"")</f>
        <v/>
      </c>
      <c r="Q349" s="1034" t="str">
        <f>IFERROR(VLOOKUP(M349,Price_list!$B$1:$H$187,5,0),"")</f>
        <v/>
      </c>
      <c r="R349" s="1698"/>
      <c r="S349" s="1034" t="str">
        <f>IFERROR(VLOOKUP(AD349,M340:O345,3,0),"")</f>
        <v/>
      </c>
      <c r="T349" s="1703">
        <f ca="1">SUM(T331:T348)</f>
        <v>19110</v>
      </c>
      <c r="V349" s="734"/>
      <c r="W349" s="734"/>
    </row>
    <row r="350" spans="11:23">
      <c r="K350" s="712" t="s">
        <v>238</v>
      </c>
      <c r="M350" s="1771" t="s">
        <v>3037</v>
      </c>
      <c r="N350" s="1742" t="s">
        <v>3006</v>
      </c>
      <c r="O350" s="1743"/>
      <c r="P350" s="1772">
        <v>7.0000000000000007E-2</v>
      </c>
      <c r="Q350" s="1773"/>
      <c r="R350" s="1904"/>
      <c r="S350" s="1904"/>
      <c r="T350" s="1905">
        <f ca="1">ROUND(T349*P350,2)</f>
        <v>1337.7</v>
      </c>
      <c r="V350" s="734"/>
      <c r="W350" s="734"/>
    </row>
    <row r="351" spans="11:23" ht="16" thickBot="1">
      <c r="K351" s="712" t="s">
        <v>238</v>
      </c>
      <c r="M351" s="1049"/>
      <c r="N351" s="960"/>
      <c r="O351" s="960"/>
      <c r="P351" s="960"/>
      <c r="Q351" s="960"/>
      <c r="R351" s="1025"/>
      <c r="S351" s="1025"/>
      <c r="T351" s="1903"/>
      <c r="V351" s="734"/>
      <c r="W351" s="734"/>
    </row>
    <row r="352" spans="11:23" ht="16" thickBot="1">
      <c r="K352" s="712" t="s">
        <v>238</v>
      </c>
      <c r="M352" s="1704" t="s">
        <v>3038</v>
      </c>
      <c r="N352" s="1761"/>
      <c r="O352" s="1761"/>
      <c r="P352" s="1761"/>
      <c r="Q352" s="1761"/>
      <c r="R352" s="1906"/>
      <c r="S352" s="1906"/>
      <c r="T352" s="1907">
        <f ca="1">T350+T349</f>
        <v>20447.7</v>
      </c>
      <c r="V352" s="734"/>
      <c r="W352" s="734"/>
    </row>
    <row r="353" spans="1:28">
      <c r="K353" s="712" t="s">
        <v>238</v>
      </c>
      <c r="M353" s="1049"/>
      <c r="N353" s="960"/>
      <c r="O353" s="960"/>
      <c r="P353" s="960"/>
      <c r="Q353" s="960"/>
      <c r="R353" s="1025"/>
      <c r="S353" s="1025"/>
      <c r="T353" s="1903"/>
      <c r="V353" s="734"/>
      <c r="W353" s="734"/>
    </row>
    <row r="354" spans="1:28" ht="16" thickBot="1">
      <c r="K354" s="712" t="s">
        <v>238</v>
      </c>
      <c r="M354" s="1049"/>
      <c r="N354" s="960"/>
      <c r="O354" s="960"/>
      <c r="P354" s="960"/>
      <c r="Q354" s="960"/>
      <c r="R354" s="1025"/>
      <c r="S354" s="1025"/>
      <c r="T354" s="1903"/>
      <c r="V354" s="734"/>
      <c r="W354" s="734"/>
      <c r="AB354" s="1808"/>
    </row>
    <row r="355" spans="1:28" ht="16" thickBot="1">
      <c r="K355" s="712" t="s">
        <v>238</v>
      </c>
      <c r="M355" s="1049" t="s">
        <v>2171</v>
      </c>
      <c r="N355" s="960"/>
      <c r="O355" s="960"/>
      <c r="P355" s="1500">
        <v>2021</v>
      </c>
      <c r="Q355" s="1762">
        <v>2022</v>
      </c>
      <c r="R355" s="1762">
        <v>2023</v>
      </c>
      <c r="S355" s="1762">
        <v>2024</v>
      </c>
      <c r="T355" s="1763">
        <v>2025</v>
      </c>
      <c r="V355" s="734"/>
      <c r="W355" s="734"/>
      <c r="AB355" s="1808"/>
    </row>
    <row r="356" spans="1:28" ht="16" thickBot="1">
      <c r="K356" s="712" t="s">
        <v>238</v>
      </c>
      <c r="M356" s="1764" t="s">
        <v>3043</v>
      </c>
      <c r="N356" s="1504"/>
      <c r="O356" s="1504"/>
      <c r="P356" s="1713">
        <v>4</v>
      </c>
      <c r="Q356" s="1713">
        <v>3</v>
      </c>
      <c r="R356" s="1713">
        <v>3</v>
      </c>
      <c r="S356" s="1713">
        <v>2</v>
      </c>
      <c r="T356" s="1765">
        <v>2</v>
      </c>
      <c r="V356" s="734"/>
      <c r="W356" s="734"/>
      <c r="AB356" s="1808"/>
    </row>
    <row r="357" spans="1:28" ht="16" thickBot="1">
      <c r="K357" s="712" t="s">
        <v>238</v>
      </c>
      <c r="M357" s="1891" t="s">
        <v>3044</v>
      </c>
      <c r="N357" s="1892"/>
      <c r="O357" s="1893"/>
      <c r="P357" s="1894">
        <f ca="1">T352*P356</f>
        <v>81790.8</v>
      </c>
      <c r="Q357" s="1894">
        <f ca="1">T352*Q356</f>
        <v>61343.100000000006</v>
      </c>
      <c r="R357" s="1894">
        <f ca="1">T352*R356</f>
        <v>61343.100000000006</v>
      </c>
      <c r="S357" s="1894">
        <f ca="1">T352*S356</f>
        <v>40895.4</v>
      </c>
      <c r="T357" s="1894">
        <f ca="1">T352*T356</f>
        <v>40895.4</v>
      </c>
      <c r="V357" s="734"/>
      <c r="W357" s="734"/>
      <c r="AB357" s="1808"/>
    </row>
    <row r="358" spans="1:28">
      <c r="K358" s="712" t="s">
        <v>238</v>
      </c>
      <c r="R358" s="734"/>
      <c r="S358" s="734"/>
      <c r="T358" s="734"/>
      <c r="V358" s="734"/>
      <c r="W358" s="734"/>
    </row>
    <row r="359" spans="1:28">
      <c r="K359" s="712" t="s">
        <v>238</v>
      </c>
      <c r="P359" s="1808" t="s">
        <v>351</v>
      </c>
      <c r="Q359" s="1808"/>
      <c r="R359" s="734"/>
      <c r="S359" s="734"/>
      <c r="T359" s="734"/>
      <c r="V359" s="734"/>
      <c r="W359" s="734"/>
    </row>
    <row r="360" spans="1:28">
      <c r="K360" s="712" t="s">
        <v>238</v>
      </c>
      <c r="P360" s="958"/>
      <c r="Q360" s="946"/>
      <c r="R360" s="946"/>
      <c r="S360" s="946"/>
      <c r="T360" s="946"/>
      <c r="V360" s="734"/>
      <c r="W360" s="734"/>
    </row>
    <row r="361" spans="1:28" ht="16" thickBot="1">
      <c r="K361" s="712" t="s">
        <v>238</v>
      </c>
      <c r="P361" s="1899">
        <v>4</v>
      </c>
      <c r="Q361" s="1899">
        <v>0</v>
      </c>
      <c r="R361" s="1908">
        <v>0</v>
      </c>
      <c r="S361" s="1909"/>
      <c r="T361" s="1909"/>
      <c r="V361" s="734"/>
      <c r="W361" s="734"/>
    </row>
    <row r="362" spans="1:28" ht="16" thickBot="1">
      <c r="K362" s="712" t="s">
        <v>238</v>
      </c>
      <c r="P362" s="1709">
        <f ca="1">P361*$T352</f>
        <v>81790.8</v>
      </c>
      <c r="Q362" s="1709">
        <f ca="1">Q361*$T352</f>
        <v>0</v>
      </c>
      <c r="R362" s="1709">
        <f ca="1">R361*$T352</f>
        <v>0</v>
      </c>
      <c r="S362" s="1709">
        <f ca="1">S361*$T352</f>
        <v>0</v>
      </c>
      <c r="T362" s="1709">
        <f ca="1">T361*$T352</f>
        <v>0</v>
      </c>
      <c r="V362" s="734"/>
      <c r="W362" s="734"/>
    </row>
    <row r="363" spans="1:28">
      <c r="K363" s="712" t="s">
        <v>238</v>
      </c>
      <c r="R363" s="734"/>
      <c r="S363" s="734"/>
      <c r="T363" s="734"/>
      <c r="V363" s="734"/>
      <c r="W363" s="734"/>
    </row>
    <row r="364" spans="1:28">
      <c r="K364" s="712" t="s">
        <v>238</v>
      </c>
      <c r="P364" s="1270" t="s">
        <v>338</v>
      </c>
      <c r="Q364" s="1808"/>
      <c r="R364" s="734"/>
      <c r="S364" s="734"/>
      <c r="T364" s="734"/>
      <c r="V364" s="734"/>
      <c r="W364" s="734"/>
    </row>
    <row r="365" spans="1:28">
      <c r="K365" s="712" t="s">
        <v>238</v>
      </c>
      <c r="P365" s="958"/>
      <c r="Q365" s="946"/>
      <c r="R365" s="946"/>
      <c r="S365" s="946"/>
      <c r="T365" s="946"/>
      <c r="V365" s="734"/>
      <c r="W365" s="734"/>
    </row>
    <row r="366" spans="1:28" ht="16" thickBot="1">
      <c r="K366" s="712" t="s">
        <v>238</v>
      </c>
      <c r="P366" s="1848">
        <f>P356-P361</f>
        <v>0</v>
      </c>
      <c r="Q366" s="1848">
        <f>Q356-Q361</f>
        <v>3</v>
      </c>
      <c r="R366" s="1848">
        <f>R356-R361</f>
        <v>3</v>
      </c>
      <c r="S366" s="1848">
        <f>S356-S361</f>
        <v>2</v>
      </c>
      <c r="T366" s="1848">
        <f>T356-T361</f>
        <v>2</v>
      </c>
      <c r="V366" s="734"/>
      <c r="W366" s="734"/>
    </row>
    <row r="367" spans="1:28" ht="16" thickBot="1">
      <c r="A367" s="2157">
        <v>142</v>
      </c>
      <c r="B367" s="841">
        <f ca="1">P362</f>
        <v>81790.8</v>
      </c>
      <c r="C367" s="841">
        <f t="shared" ref="C367:F367" ca="1" si="15">Q362</f>
        <v>0</v>
      </c>
      <c r="D367" s="841">
        <f t="shared" ca="1" si="15"/>
        <v>0</v>
      </c>
      <c r="E367" s="841">
        <f t="shared" ca="1" si="15"/>
        <v>0</v>
      </c>
      <c r="F367" s="841">
        <f t="shared" ca="1" si="15"/>
        <v>0</v>
      </c>
      <c r="G367" s="841" t="s">
        <v>351</v>
      </c>
      <c r="H367" s="841" t="s">
        <v>3306</v>
      </c>
      <c r="I367" s="2180" t="s">
        <v>3716</v>
      </c>
      <c r="J367" s="841" t="s">
        <v>2943</v>
      </c>
      <c r="K367" s="712" t="s">
        <v>238</v>
      </c>
      <c r="P367" s="1709">
        <f ca="1">P366*$T352</f>
        <v>0</v>
      </c>
      <c r="Q367" s="1709">
        <f ca="1">Q366*$T352</f>
        <v>61343.100000000006</v>
      </c>
      <c r="R367" s="1709">
        <f ca="1">R366*$T352</f>
        <v>61343.100000000006</v>
      </c>
      <c r="S367" s="1709">
        <f ca="1">S366*$T352</f>
        <v>40895.4</v>
      </c>
      <c r="T367" s="1709">
        <f ca="1">T366*$T352</f>
        <v>40895.4</v>
      </c>
      <c r="V367" s="734"/>
      <c r="W367" s="734"/>
    </row>
    <row r="368" spans="1:28">
      <c r="A368" s="2215">
        <v>226</v>
      </c>
      <c r="B368" s="841">
        <f ca="1">P367</f>
        <v>0</v>
      </c>
      <c r="C368" s="841">
        <f t="shared" ref="C368:F368" ca="1" si="16">Q367</f>
        <v>61343.100000000006</v>
      </c>
      <c r="D368" s="841">
        <f t="shared" ca="1" si="16"/>
        <v>61343.100000000006</v>
      </c>
      <c r="E368" s="841">
        <f t="shared" ca="1" si="16"/>
        <v>40895.4</v>
      </c>
      <c r="F368" s="841">
        <f t="shared" ca="1" si="16"/>
        <v>40895.4</v>
      </c>
      <c r="G368" s="841" t="s">
        <v>338</v>
      </c>
      <c r="H368" s="841" t="s">
        <v>3306</v>
      </c>
      <c r="I368" s="2180"/>
      <c r="J368" s="841" t="s">
        <v>2943</v>
      </c>
      <c r="K368" s="712" t="s">
        <v>238</v>
      </c>
      <c r="S368" s="734"/>
      <c r="T368" s="734"/>
      <c r="U368" s="734"/>
      <c r="V368" s="734"/>
      <c r="W368" s="734"/>
    </row>
    <row r="369" spans="1:23">
      <c r="K369" s="712" t="s">
        <v>238</v>
      </c>
      <c r="S369" s="734"/>
      <c r="T369" s="734"/>
      <c r="U369" s="734"/>
      <c r="V369" s="734"/>
      <c r="W369" s="734"/>
    </row>
    <row r="370" spans="1:23">
      <c r="K370" s="712" t="s">
        <v>238</v>
      </c>
      <c r="S370" s="734"/>
      <c r="T370" s="734"/>
      <c r="U370" s="734"/>
      <c r="V370" s="734"/>
      <c r="W370" s="734"/>
    </row>
    <row r="371" spans="1:23">
      <c r="K371" s="712" t="s">
        <v>238</v>
      </c>
      <c r="S371" s="734"/>
      <c r="T371" s="734"/>
      <c r="U371" s="734"/>
      <c r="V371" s="734"/>
      <c r="W371" s="734"/>
    </row>
    <row r="372" spans="1:23" ht="19">
      <c r="K372" s="712" t="s">
        <v>238</v>
      </c>
      <c r="L372" s="1879" t="s">
        <v>3721</v>
      </c>
      <c r="S372" s="734"/>
      <c r="T372" s="734"/>
      <c r="U372" s="734"/>
      <c r="V372" s="734"/>
      <c r="W372" s="734"/>
    </row>
    <row r="373" spans="1:23">
      <c r="K373" s="712" t="s">
        <v>238</v>
      </c>
      <c r="S373" s="734"/>
      <c r="T373" s="734"/>
      <c r="U373" s="734"/>
      <c r="V373" s="734"/>
      <c r="W373" s="734"/>
    </row>
    <row r="374" spans="1:23">
      <c r="K374" s="712" t="s">
        <v>238</v>
      </c>
    </row>
    <row r="375" spans="1:23" ht="16" thickBot="1">
      <c r="K375" s="712" t="s">
        <v>238</v>
      </c>
      <c r="M375" s="1808" t="s">
        <v>3309</v>
      </c>
      <c r="R375" s="734"/>
      <c r="S375" s="734"/>
      <c r="T375" s="734"/>
      <c r="V375" s="734"/>
      <c r="W375" s="734"/>
    </row>
    <row r="376" spans="1:23" ht="16" thickBot="1">
      <c r="K376" s="712" t="s">
        <v>238</v>
      </c>
      <c r="M376" s="1808"/>
      <c r="N376" s="1808"/>
      <c r="O376" s="1808"/>
      <c r="P376" s="1500">
        <v>2021</v>
      </c>
      <c r="Q376" s="1762">
        <v>2022</v>
      </c>
      <c r="R376" s="1762">
        <v>2023</v>
      </c>
      <c r="S376" s="1762">
        <v>2024</v>
      </c>
      <c r="T376" s="1763">
        <v>2025</v>
      </c>
      <c r="V376" s="734"/>
      <c r="W376" s="734"/>
    </row>
    <row r="377" spans="1:23" ht="16" thickBot="1">
      <c r="K377" s="712" t="s">
        <v>238</v>
      </c>
      <c r="M377" s="1808" t="s">
        <v>3307</v>
      </c>
      <c r="N377" s="1808"/>
      <c r="O377" s="1808"/>
      <c r="P377" s="1713">
        <v>1</v>
      </c>
      <c r="Q377" s="1713"/>
      <c r="R377" s="1713"/>
      <c r="S377" s="1713"/>
      <c r="T377" s="1765"/>
      <c r="V377" s="734"/>
      <c r="W377" s="734"/>
    </row>
    <row r="378" spans="1:23" ht="16" thickBot="1">
      <c r="A378" s="2157">
        <v>144</v>
      </c>
      <c r="B378" s="841">
        <f>P378</f>
        <v>97100</v>
      </c>
      <c r="C378" s="841">
        <f>Q378</f>
        <v>0</v>
      </c>
      <c r="D378" s="841">
        <f>R378</f>
        <v>0</v>
      </c>
      <c r="E378" s="841">
        <f>S378</f>
        <v>0</v>
      </c>
      <c r="F378" s="841">
        <f>T378</f>
        <v>0</v>
      </c>
      <c r="G378" s="841" t="s">
        <v>351</v>
      </c>
      <c r="H378" s="841" t="s">
        <v>3721</v>
      </c>
      <c r="I378" s="2180" t="s">
        <v>3716</v>
      </c>
      <c r="J378" s="841" t="s">
        <v>2943</v>
      </c>
      <c r="K378" s="712" t="s">
        <v>238</v>
      </c>
      <c r="M378" s="1917" t="s">
        <v>1887</v>
      </c>
      <c r="N378" s="1709"/>
      <c r="O378" s="1709">
        <v>97100</v>
      </c>
      <c r="P378" s="1911">
        <f>O378*P377</f>
        <v>97100</v>
      </c>
      <c r="Q378" s="1911">
        <f>O378*Q377</f>
        <v>0</v>
      </c>
      <c r="R378" s="1911">
        <f>O378*R377</f>
        <v>0</v>
      </c>
      <c r="S378" s="1911">
        <f>O378*S377</f>
        <v>0</v>
      </c>
      <c r="T378" s="1911">
        <f>O378*T377</f>
        <v>0</v>
      </c>
      <c r="V378" s="734"/>
      <c r="W378" s="734"/>
    </row>
    <row r="379" spans="1:23">
      <c r="K379" s="712" t="s">
        <v>238</v>
      </c>
      <c r="O379" t="s">
        <v>3551</v>
      </c>
    </row>
    <row r="380" spans="1:23">
      <c r="K380" s="712" t="s">
        <v>238</v>
      </c>
    </row>
    <row r="381" spans="1:23">
      <c r="K381" s="712" t="s">
        <v>238</v>
      </c>
    </row>
    <row r="382" spans="1:23">
      <c r="K382" s="712" t="s">
        <v>238</v>
      </c>
    </row>
    <row r="383" spans="1:23">
      <c r="K383" s="712" t="s">
        <v>238</v>
      </c>
    </row>
    <row r="491" spans="11:11">
      <c r="K491" s="712" t="s">
        <v>238</v>
      </c>
    </row>
    <row r="492" spans="11:11">
      <c r="K492" s="712" t="s">
        <v>238</v>
      </c>
    </row>
    <row r="493" spans="11:11">
      <c r="K493" s="712" t="s">
        <v>238</v>
      </c>
    </row>
    <row r="494" spans="11:11">
      <c r="K494" s="712" t="s">
        <v>238</v>
      </c>
    </row>
    <row r="495" spans="11:11">
      <c r="K495" s="712" t="s">
        <v>238</v>
      </c>
    </row>
    <row r="496" spans="11:11">
      <c r="K496" s="712" t="s">
        <v>238</v>
      </c>
    </row>
    <row r="497" spans="11:11">
      <c r="K497" s="712" t="s">
        <v>238</v>
      </c>
    </row>
    <row r="498" spans="11:11">
      <c r="K498" s="712" t="s">
        <v>238</v>
      </c>
    </row>
    <row r="499" spans="11:11">
      <c r="K499" s="712" t="s">
        <v>238</v>
      </c>
    </row>
    <row r="500" spans="11:11">
      <c r="K500" s="712" t="s">
        <v>238</v>
      </c>
    </row>
    <row r="501" spans="11:11">
      <c r="K501" s="712" t="s">
        <v>238</v>
      </c>
    </row>
    <row r="502" spans="11:11">
      <c r="K502" s="712" t="s">
        <v>238</v>
      </c>
    </row>
    <row r="503" spans="11:11">
      <c r="K503" s="712" t="s">
        <v>238</v>
      </c>
    </row>
    <row r="504" spans="11:11">
      <c r="K504" s="712" t="s">
        <v>238</v>
      </c>
    </row>
    <row r="505" spans="11:11">
      <c r="K505" s="712" t="s">
        <v>238</v>
      </c>
    </row>
    <row r="506" spans="11:11">
      <c r="K506" s="712" t="s">
        <v>238</v>
      </c>
    </row>
    <row r="507" spans="11:11">
      <c r="K507" s="712" t="s">
        <v>238</v>
      </c>
    </row>
  </sheetData>
  <conditionalFormatting sqref="A1">
    <cfRule type="duplicateValues" dxfId="327" priority="34"/>
  </conditionalFormatting>
  <conditionalFormatting sqref="A99">
    <cfRule type="duplicateValues" dxfId="326" priority="33"/>
  </conditionalFormatting>
  <conditionalFormatting sqref="A79">
    <cfRule type="duplicateValues" dxfId="325" priority="32"/>
  </conditionalFormatting>
  <conditionalFormatting sqref="Q120">
    <cfRule type="containsText" dxfId="324" priority="30" operator="containsText" text="USD">
      <formula>NOT(ISERROR(SEARCH("USD",Q120)))</formula>
    </cfRule>
    <cfRule type="containsText" dxfId="323" priority="31" operator="containsText" text="EUR">
      <formula>NOT(ISERROR(SEARCH("EUR",Q120)))</formula>
    </cfRule>
  </conditionalFormatting>
  <conditionalFormatting sqref="A133">
    <cfRule type="duplicateValues" dxfId="322" priority="29"/>
  </conditionalFormatting>
  <conditionalFormatting sqref="A174">
    <cfRule type="duplicateValues" dxfId="321" priority="25"/>
  </conditionalFormatting>
  <conditionalFormatting sqref="A241">
    <cfRule type="duplicateValues" dxfId="320" priority="24"/>
  </conditionalFormatting>
  <conditionalFormatting sqref="A367">
    <cfRule type="duplicateValues" dxfId="319" priority="21"/>
  </conditionalFormatting>
  <conditionalFormatting sqref="A304">
    <cfRule type="duplicateValues" dxfId="318" priority="20"/>
  </conditionalFormatting>
  <conditionalFormatting sqref="A310">
    <cfRule type="duplicateValues" dxfId="317" priority="19"/>
  </conditionalFormatting>
  <conditionalFormatting sqref="A317">
    <cfRule type="duplicateValues" dxfId="316" priority="18"/>
  </conditionalFormatting>
  <conditionalFormatting sqref="A378">
    <cfRule type="duplicateValues" dxfId="315" priority="16"/>
  </conditionalFormatting>
  <conditionalFormatting sqref="Q147">
    <cfRule type="containsText" dxfId="314" priority="11" operator="containsText" text="USD">
      <formula>NOT(ISERROR(SEARCH("USD",Q147)))</formula>
    </cfRule>
    <cfRule type="containsText" dxfId="313" priority="12" operator="containsText" text="EUR">
      <formula>NOT(ISERROR(SEARCH("EUR",Q147)))</formula>
    </cfRule>
  </conditionalFormatting>
  <conditionalFormatting sqref="Q330">
    <cfRule type="containsText" dxfId="312" priority="9" operator="containsText" text="USD">
      <formula>NOT(ISERROR(SEARCH("USD",Q330)))</formula>
    </cfRule>
    <cfRule type="containsText" dxfId="311" priority="10" operator="containsText" text="EUR">
      <formula>NOT(ISERROR(SEARCH("EUR",Q330)))</formula>
    </cfRule>
  </conditionalFormatting>
  <conditionalFormatting sqref="A101">
    <cfRule type="duplicateValues" dxfId="310" priority="8"/>
  </conditionalFormatting>
  <conditionalFormatting sqref="G1:G175 G188:G293 G296:G367 G369:G1048576">
    <cfRule type="containsText" dxfId="309" priority="7" operator="containsText" text="GFATM">
      <formula>NOT(ISERROR(SEARCH("GFATM",G1)))</formula>
    </cfRule>
  </conditionalFormatting>
  <conditionalFormatting sqref="A368">
    <cfRule type="duplicateValues" dxfId="308" priority="6"/>
  </conditionalFormatting>
  <conditionalFormatting sqref="G368">
    <cfRule type="containsText" dxfId="307" priority="5" operator="containsText" text="GFATM">
      <formula>NOT(ISERROR(SEARCH("GFATM",G368)))</formula>
    </cfRule>
  </conditionalFormatting>
  <conditionalFormatting sqref="A294">
    <cfRule type="duplicateValues" dxfId="306" priority="4"/>
  </conditionalFormatting>
  <conditionalFormatting sqref="G294">
    <cfRule type="containsText" dxfId="305" priority="3" operator="containsText" text="GFATM">
      <formula>NOT(ISERROR(SEARCH("GFATM",G294)))</formula>
    </cfRule>
  </conditionalFormatting>
  <conditionalFormatting sqref="A295">
    <cfRule type="duplicateValues" dxfId="304" priority="2"/>
  </conditionalFormatting>
  <conditionalFormatting sqref="G295">
    <cfRule type="containsText" dxfId="303" priority="1" operator="containsText" text="GFATM">
      <formula>NOT(ISERROR(SEARCH("GFATM",G295)))</formula>
    </cfRule>
  </conditionalFormatting>
  <dataValidations count="3">
    <dataValidation type="list" allowBlank="1" showInputMessage="1" showErrorMessage="1" sqref="I99 I79 I133 I174 I241 I367:I368 I304 I310 I317 I378 I101 I294:I295" xr:uid="{00000000-0002-0000-1100-000000000000}">
      <formula1>TB_implementare</formula1>
    </dataValidation>
    <dataValidation type="list" allowBlank="1" showInputMessage="1" showErrorMessage="1" sqref="G99 G79 G133 G174 G241 G367:G368 G304 G310 G317 G378 G101 G294:G295" xr:uid="{00000000-0002-0000-1100-000001000000}">
      <formula1>TB_sursa_finant_Ro</formula1>
    </dataValidation>
    <dataValidation type="list" allowBlank="1" showInputMessage="1" showErrorMessage="1" sqref="M121:M127 M148:M166 M331:M349" xr:uid="{00000000-0002-0000-1100-000002000000}">
      <formula1>Denumire_produs_ro</formula1>
    </dataValidation>
  </dataValidations>
  <hyperlinks>
    <hyperlink ref="O1" location="CUPRINS!A1" display="CUPRINS" xr:uid="{00000000-0004-0000-1100-000000000000}"/>
  </hyperlinks>
  <pageMargins left="0.7" right="0.7" top="0.75" bottom="0.75" header="0.3" footer="0.3"/>
  <pageSetup paperSize="9" orientation="portrait" r:id="rId1"/>
  <drawing r:id="rId2"/>
  <mc:AlternateContent xmlns:mc="http://schemas.openxmlformats.org/markup-compatibility/2006">
    <mc:Choice Requires="v">
      <legacyDrawing r:id="rId3"/>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3000000}">
          <x14:formula1>
            <xm:f>Nom_activ_2!$H$2:$H$88</xm:f>
          </x14:formula1>
          <xm:sqref>J99 J79 J133 J174 J241 J367:J368 J304 J310 J317 J378 J101 J294:J295</xm:sqref>
        </x14:dataValidation>
        <x14:dataValidation type="list" allowBlank="1" showInputMessage="1" showErrorMessage="1" xr:uid="{00000000-0002-0000-1100-000004000000}">
          <x14:formula1>
            <xm:f>Price_list!$B:$B</xm:f>
          </x14:formula1>
          <xm:sqref>M22:M26 M13:M20 X13:X20 X22:X26</xm:sqref>
        </x14:dataValidation>
      </x14:dataValidations>
    </ext>
  </extLst>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282"/>
  <sheetViews>
    <sheetView topLeftCell="K13" zoomScale="85" zoomScaleNormal="85" workbookViewId="0">
      <selection activeCell="AG47" sqref="AG47"/>
    </sheetView>
  </sheetViews>
  <sheetFormatPr baseColWidth="10" defaultColWidth="8.83203125" defaultRowHeight="15" outlineLevelCol="1"/>
  <cols>
    <col min="1" max="1" width="8.83203125" hidden="1" customWidth="1" outlineLevel="1"/>
    <col min="2" max="3" width="10.33203125" hidden="1" customWidth="1" outlineLevel="1"/>
    <col min="4" max="4" width="10" hidden="1" customWidth="1" outlineLevel="1"/>
    <col min="5" max="8" width="8.83203125" hidden="1" customWidth="1" outlineLevel="1"/>
    <col min="9" max="9" width="8.83203125" style="2182" hidden="1" customWidth="1" outlineLevel="1"/>
    <col min="10" max="10" width="8.83203125" hidden="1" customWidth="1" outlineLevel="1"/>
    <col min="11" max="11" width="2" customWidth="1" collapsed="1"/>
    <col min="12" max="12" width="12.33203125" customWidth="1"/>
    <col min="14" max="14" width="12.1640625" customWidth="1"/>
    <col min="15" max="15" width="35.5" customWidth="1"/>
    <col min="16" max="16" width="29" customWidth="1"/>
    <col min="17" max="19" width="9.5" bestFit="1" customWidth="1"/>
    <col min="20" max="20" width="13.33203125" bestFit="1" customWidth="1"/>
    <col min="21" max="22" width="12.6640625" customWidth="1"/>
  </cols>
  <sheetData>
    <row r="1" spans="1:44" ht="16" thickBot="1">
      <c r="A1" s="730"/>
      <c r="B1" s="731">
        <v>2021</v>
      </c>
      <c r="C1" s="731">
        <v>2022</v>
      </c>
      <c r="D1" s="731">
        <v>2023</v>
      </c>
      <c r="E1" s="731">
        <v>2024</v>
      </c>
      <c r="F1" s="731">
        <v>2025</v>
      </c>
      <c r="G1" s="731" t="s">
        <v>484</v>
      </c>
      <c r="H1" s="731" t="s">
        <v>515</v>
      </c>
      <c r="I1" s="2181" t="s">
        <v>1834</v>
      </c>
      <c r="J1" s="859"/>
      <c r="K1" s="712" t="s">
        <v>238</v>
      </c>
      <c r="L1" s="836">
        <f ca="1">SUM(B:F)-B1-C1-D1-E1-F1</f>
        <v>1596901.4839999997</v>
      </c>
      <c r="M1">
        <f ca="1">SUM(AR:AR)</f>
        <v>790045.2</v>
      </c>
      <c r="N1" s="836">
        <f ca="1">L1-M1</f>
        <v>806856.28399999975</v>
      </c>
      <c r="O1" s="1836" t="s">
        <v>356</v>
      </c>
    </row>
    <row r="2" spans="1:44">
      <c r="A2" s="442"/>
      <c r="B2" s="442"/>
      <c r="C2" s="442"/>
      <c r="D2" s="442"/>
      <c r="E2" s="442"/>
      <c r="F2" s="442"/>
      <c r="G2" s="442"/>
      <c r="H2" s="442"/>
      <c r="I2" s="2197"/>
      <c r="J2" s="442"/>
      <c r="K2" s="712" t="s">
        <v>238</v>
      </c>
    </row>
    <row r="3" spans="1:44" ht="16">
      <c r="K3" s="712" t="s">
        <v>238</v>
      </c>
      <c r="AQ3" s="712"/>
      <c r="AR3" s="1486"/>
    </row>
    <row r="4" spans="1:44" ht="16">
      <c r="K4" s="712" t="s">
        <v>238</v>
      </c>
      <c r="AQ4" s="712"/>
      <c r="AR4" s="1486"/>
    </row>
    <row r="5" spans="1:44" ht="16">
      <c r="K5" s="712" t="s">
        <v>238</v>
      </c>
      <c r="L5" s="1775" t="s">
        <v>3109</v>
      </c>
      <c r="AQ5" s="712"/>
      <c r="AR5" s="1486"/>
    </row>
    <row r="6" spans="1:44" ht="16">
      <c r="K6" s="712" t="s">
        <v>238</v>
      </c>
      <c r="AQ6" s="712"/>
      <c r="AR6" s="1486"/>
    </row>
    <row r="7" spans="1:44" ht="16">
      <c r="K7" s="712" t="s">
        <v>238</v>
      </c>
      <c r="L7" s="1775" t="s">
        <v>3250</v>
      </c>
      <c r="AQ7" s="712"/>
      <c r="AR7" s="1486"/>
    </row>
    <row r="8" spans="1:44" ht="32">
      <c r="K8" s="712" t="s">
        <v>238</v>
      </c>
      <c r="M8" s="442"/>
      <c r="N8" s="442"/>
      <c r="O8" s="1746" t="s">
        <v>3054</v>
      </c>
      <c r="P8" s="1693"/>
      <c r="Q8" s="958"/>
      <c r="R8" s="1040">
        <v>0</v>
      </c>
      <c r="T8" s="1745"/>
      <c r="W8" s="442"/>
      <c r="X8" s="442"/>
      <c r="AQ8" s="712"/>
      <c r="AR8" s="1486"/>
    </row>
    <row r="9" spans="1:44" ht="32">
      <c r="K9" s="712" t="s">
        <v>238</v>
      </c>
      <c r="M9" s="442"/>
      <c r="N9" s="442"/>
      <c r="O9" s="1746" t="s">
        <v>3055</v>
      </c>
      <c r="P9" s="1693"/>
      <c r="Q9" s="958"/>
      <c r="R9" s="1040">
        <v>2</v>
      </c>
      <c r="W9" s="442"/>
      <c r="X9" s="442"/>
      <c r="AQ9" s="712"/>
      <c r="AR9" s="1486"/>
    </row>
    <row r="10" spans="1:44" ht="32">
      <c r="K10" s="712" t="s">
        <v>238</v>
      </c>
      <c r="M10" s="442"/>
      <c r="N10" s="442"/>
      <c r="O10" s="1746" t="s">
        <v>3056</v>
      </c>
      <c r="P10" s="1693"/>
      <c r="Q10" s="958"/>
      <c r="R10" s="1040">
        <v>20</v>
      </c>
      <c r="S10" t="s">
        <v>3532</v>
      </c>
      <c r="W10" s="442"/>
      <c r="X10" s="442"/>
      <c r="AQ10" s="712"/>
      <c r="AR10" s="1486"/>
    </row>
    <row r="11" spans="1:44" ht="32">
      <c r="K11" s="712" t="s">
        <v>238</v>
      </c>
      <c r="M11" s="442"/>
      <c r="N11" s="442"/>
      <c r="O11" s="1746" t="s">
        <v>3057</v>
      </c>
      <c r="P11" s="1693"/>
      <c r="Q11" s="958"/>
      <c r="R11" s="1040">
        <v>2</v>
      </c>
      <c r="W11" s="442"/>
      <c r="X11" s="442"/>
      <c r="AQ11" s="712"/>
      <c r="AR11" s="1486"/>
    </row>
    <row r="12" spans="1:44" ht="48">
      <c r="K12" s="712" t="s">
        <v>238</v>
      </c>
      <c r="M12" s="442"/>
      <c r="N12" s="442"/>
      <c r="O12" s="1746" t="s">
        <v>3052</v>
      </c>
      <c r="P12" s="1693"/>
      <c r="Q12" s="1694">
        <v>0.2</v>
      </c>
      <c r="R12" s="1028">
        <f>ROUND(R10*Q12,0)</f>
        <v>4</v>
      </c>
      <c r="W12" s="442"/>
      <c r="X12" s="442"/>
      <c r="AQ12" s="712"/>
      <c r="AR12" s="1486"/>
    </row>
    <row r="13" spans="1:44" ht="64">
      <c r="K13" s="712" t="s">
        <v>238</v>
      </c>
      <c r="M13" s="442"/>
      <c r="N13" s="442"/>
      <c r="O13" s="1746" t="s">
        <v>3053</v>
      </c>
      <c r="P13" s="1693"/>
      <c r="Q13" s="1694">
        <v>0.65</v>
      </c>
      <c r="R13" s="1028">
        <f>ROUND(R10*Q13,0)</f>
        <v>13</v>
      </c>
      <c r="W13" s="442"/>
      <c r="X13" s="442"/>
      <c r="AQ13" s="712"/>
      <c r="AR13" s="1486"/>
    </row>
    <row r="14" spans="1:44" ht="16">
      <c r="K14" s="712" t="s">
        <v>238</v>
      </c>
      <c r="M14" s="442"/>
      <c r="N14" s="442"/>
      <c r="O14" s="1019" t="s">
        <v>3036</v>
      </c>
      <c r="P14" s="1019"/>
      <c r="Q14" s="1695"/>
      <c r="R14" s="1028">
        <f>R11-1</f>
        <v>1</v>
      </c>
      <c r="W14" s="442"/>
      <c r="X14" s="442"/>
      <c r="AQ14" s="712"/>
      <c r="AR14" s="1486"/>
    </row>
    <row r="15" spans="1:44" ht="17" thickBot="1">
      <c r="K15" s="712" t="s">
        <v>238</v>
      </c>
      <c r="M15" s="442"/>
      <c r="N15" s="442"/>
      <c r="W15" s="442"/>
      <c r="X15" s="442"/>
      <c r="AQ15" s="712"/>
      <c r="AR15" s="1486"/>
    </row>
    <row r="16" spans="1:44" ht="64">
      <c r="K16" s="712" t="s">
        <v>238</v>
      </c>
      <c r="M16" s="442"/>
      <c r="N16" s="442"/>
      <c r="O16" s="1699" t="s">
        <v>3033</v>
      </c>
      <c r="P16" s="1700" t="s">
        <v>3034</v>
      </c>
      <c r="Q16" s="1702" t="s">
        <v>3040</v>
      </c>
      <c r="R16" s="1702" t="s">
        <v>3041</v>
      </c>
      <c r="S16" s="1702" t="s">
        <v>3042</v>
      </c>
      <c r="T16" s="1700" t="s">
        <v>3035</v>
      </c>
      <c r="U16" s="1702" t="s">
        <v>3039</v>
      </c>
      <c r="V16" s="1701" t="s">
        <v>2189</v>
      </c>
      <c r="W16" s="442"/>
      <c r="X16" s="442"/>
      <c r="AQ16" s="712"/>
      <c r="AR16" s="1486"/>
    </row>
    <row r="17" spans="9:44" ht="16">
      <c r="K17" s="712" t="s">
        <v>238</v>
      </c>
      <c r="M17" s="442"/>
      <c r="N17" s="442"/>
      <c r="O17" s="1539" t="s">
        <v>3051</v>
      </c>
      <c r="P17" s="958" t="str">
        <f>IFERROR(VLOOKUP(O17,Price_list!$B$1:$H$187,2,0),"")</f>
        <v>International Consultancy fee (3.1)</v>
      </c>
      <c r="Q17" s="958" t="str">
        <f>IFERROR(VLOOKUP(O17,Price_list!$B$1:$H$187,3,0),"")</f>
        <v>cost/zi</v>
      </c>
      <c r="R17" s="946">
        <f>IFERROR(VLOOKUP(O17,Price_list!$B$1:$H$187,4,0),"")</f>
        <v>350</v>
      </c>
      <c r="S17" s="946" t="str">
        <f>IFERROR(VLOOKUP(O17,Price_list!$B$1:$H$187,5,0),"")</f>
        <v>EUR</v>
      </c>
      <c r="T17" s="958">
        <f ca="1">ROUND(IFERROR(IF(S17="MDL",R17,R17*INDIRECT(S17)),0),2)</f>
        <v>6868.65</v>
      </c>
      <c r="U17" s="946">
        <f>R11</f>
        <v>2</v>
      </c>
      <c r="V17" s="1889">
        <f ca="1">IFERROR(R8*T17*U17,"")</f>
        <v>0</v>
      </c>
      <c r="W17" s="442"/>
      <c r="X17" s="442"/>
      <c r="AQ17" s="712"/>
      <c r="AR17" s="1486"/>
    </row>
    <row r="18" spans="9:44" ht="16">
      <c r="K18" s="712" t="s">
        <v>238</v>
      </c>
      <c r="M18" s="442"/>
      <c r="N18" s="442"/>
      <c r="O18" s="1539" t="s">
        <v>3029</v>
      </c>
      <c r="P18" s="958" t="str">
        <f>IFERROR(VLOOKUP(O18,Price_list!$B$1:$H$187,2,0),"")</f>
        <v xml:space="preserve">Travel costs </v>
      </c>
      <c r="Q18" s="958" t="str">
        <f>IFERROR(VLOOKUP(O18,Price_list!$B$1:$H$187,3,0),"")</f>
        <v>cost tichet o directie</v>
      </c>
      <c r="R18" s="946">
        <f>IFERROR(VLOOKUP(O18,Price_list!$B$1:$H$187,4,0),"")</f>
        <v>5000</v>
      </c>
      <c r="S18" s="946" t="str">
        <f>IFERROR(VLOOKUP(O18,Price_list!$B$1:$H$187,5,0),"")</f>
        <v>MDL</v>
      </c>
      <c r="T18" s="958">
        <f t="shared" ref="T18:T34" ca="1" si="0">ROUND(IFERROR(IF(S18="MDL",R18,R18*INDIRECT(S18)),0),2)</f>
        <v>5000</v>
      </c>
      <c r="U18" s="1040">
        <v>2</v>
      </c>
      <c r="V18" s="1889">
        <f ca="1">R8*U18*T18</f>
        <v>0</v>
      </c>
      <c r="W18" s="442"/>
      <c r="X18" s="442"/>
      <c r="AQ18" s="712"/>
      <c r="AR18" s="1486"/>
    </row>
    <row r="19" spans="9:44" ht="16">
      <c r="K19" s="712" t="s">
        <v>238</v>
      </c>
      <c r="M19" s="442"/>
      <c r="N19" s="442"/>
      <c r="O19" s="1539" t="s">
        <v>3020</v>
      </c>
      <c r="P19" s="958" t="str">
        <f>IFERROR(VLOOKUP(O19,Price_list!$B$1:$H$187,2,0),"")</f>
        <v xml:space="preserve">Per diem, WHO DSA, average </v>
      </c>
      <c r="Q19" s="958" t="str">
        <f>IFERROR(VLOOKUP(O19,Price_list!$B$1:$H$187,3,0),"")</f>
        <v>diurna</v>
      </c>
      <c r="R19" s="946">
        <f>IFERROR(VLOOKUP(O19,Price_list!$B$1:$H$187,4,0),"")</f>
        <v>200</v>
      </c>
      <c r="S19" s="946" t="str">
        <f>IFERROR(VLOOKUP(O19,Price_list!$B$1:$H$187,5,0),"")</f>
        <v>EUR</v>
      </c>
      <c r="T19" s="958">
        <f t="shared" ca="1" si="0"/>
        <v>3924.94</v>
      </c>
      <c r="U19" s="946">
        <f>R11+1</f>
        <v>3</v>
      </c>
      <c r="V19" s="1889">
        <f ca="1">R8*T19*U19</f>
        <v>0</v>
      </c>
      <c r="W19" s="442"/>
      <c r="X19" s="442"/>
      <c r="AQ19" s="712"/>
      <c r="AR19" s="1486"/>
    </row>
    <row r="20" spans="9:44" ht="16">
      <c r="K20" s="712" t="s">
        <v>238</v>
      </c>
      <c r="M20" s="442"/>
      <c r="N20" s="442"/>
      <c r="O20" s="1539" t="s">
        <v>3050</v>
      </c>
      <c r="P20" s="958" t="str">
        <f>IFERROR(VLOOKUP(O20,Price_list!$B$1:$H$187,2,0),"")</f>
        <v>National Consultancy fee (3.1)</v>
      </c>
      <c r="Q20" s="958" t="str">
        <f>IFERROR(VLOOKUP(O20,Price_list!$B$1:$H$187,3,0),"")</f>
        <v>cost/zi</v>
      </c>
      <c r="R20" s="946">
        <f>IFERROR(VLOOKUP(O20,Price_list!$B$1:$H$187,4,0),"")</f>
        <v>2000</v>
      </c>
      <c r="S20" s="946" t="str">
        <f>IFERROR(VLOOKUP(O20,Price_list!$B$1:$H$187,5,0),"")</f>
        <v>MDL</v>
      </c>
      <c r="T20" s="958">
        <f t="shared" ca="1" si="0"/>
        <v>2000</v>
      </c>
      <c r="U20" s="946">
        <f>R11</f>
        <v>2</v>
      </c>
      <c r="V20" s="1889">
        <f ca="1">R9*T20*U20</f>
        <v>8000</v>
      </c>
      <c r="W20" s="442"/>
      <c r="X20" s="442"/>
      <c r="AQ20" s="712"/>
      <c r="AR20" s="1486"/>
    </row>
    <row r="21" spans="9:44" ht="16">
      <c r="K21" s="712" t="s">
        <v>238</v>
      </c>
      <c r="M21" s="442"/>
      <c r="N21" s="442"/>
      <c r="O21" s="1539"/>
      <c r="P21" s="958" t="str">
        <f>IFERROR(VLOOKUP(O21,Price_list!$B$1:$H$187,2,0),"")</f>
        <v/>
      </c>
      <c r="Q21" s="958" t="str">
        <f>IFERROR(VLOOKUP(O21,Price_list!$B$1:$H$187,3,0),"")</f>
        <v/>
      </c>
      <c r="R21" s="946" t="str">
        <f>IFERROR(VLOOKUP(O21,Price_list!$B$1:$H$187,4,0),"")</f>
        <v/>
      </c>
      <c r="S21" s="946" t="str">
        <f>IFERROR(VLOOKUP(O21,Price_list!$B$1:$H$187,5,0),"")</f>
        <v/>
      </c>
      <c r="T21" s="958">
        <f t="shared" ca="1" si="0"/>
        <v>0</v>
      </c>
      <c r="U21" s="946" t="str">
        <f>IFERROR(VLOOKUP(AF21,O12:Q17,3,0),"")</f>
        <v/>
      </c>
      <c r="V21" s="1889" t="str">
        <f>IFERROR(#REF!*U21*R21,"")</f>
        <v/>
      </c>
      <c r="W21" s="442"/>
      <c r="X21" s="442"/>
      <c r="AQ21" s="712"/>
      <c r="AR21" s="1486"/>
    </row>
    <row r="22" spans="9:44" ht="16">
      <c r="K22" s="712" t="s">
        <v>238</v>
      </c>
      <c r="M22" s="442"/>
      <c r="N22" s="442"/>
      <c r="O22" s="1539"/>
      <c r="P22" s="958" t="str">
        <f>IFERROR(VLOOKUP(O22,Price_list!$B$1:$H$187,2,0),"")</f>
        <v/>
      </c>
      <c r="Q22" s="958" t="str">
        <f>IFERROR(VLOOKUP(O22,Price_list!$B$1:$H$187,3,0),"")</f>
        <v/>
      </c>
      <c r="R22" s="946" t="str">
        <f>IFERROR(VLOOKUP(O22,Price_list!$B$1:$H$187,4,0),"")</f>
        <v/>
      </c>
      <c r="S22" s="946" t="str">
        <f>IFERROR(VLOOKUP(O22,Price_list!$B$1:$H$187,5,0),"")</f>
        <v/>
      </c>
      <c r="T22" s="958">
        <f t="shared" ca="1" si="0"/>
        <v>0</v>
      </c>
      <c r="U22" s="946" t="str">
        <f>IFERROR(VLOOKUP(AF22,O14:Q18,3,0),"")</f>
        <v/>
      </c>
      <c r="V22" s="1889" t="str">
        <f>IFERROR(#REF!*U22*R22,"")</f>
        <v/>
      </c>
      <c r="W22" s="442"/>
      <c r="X22" s="442"/>
      <c r="AQ22" s="712"/>
      <c r="AR22" s="1486"/>
    </row>
    <row r="23" spans="9:44" ht="16">
      <c r="K23" s="712" t="s">
        <v>238</v>
      </c>
      <c r="M23" s="442"/>
      <c r="N23" s="442"/>
      <c r="O23" s="1539" t="s">
        <v>3016</v>
      </c>
      <c r="P23" s="958" t="str">
        <f>IFERROR(VLOOKUP(O23,Price_list!$B$1:$H$187,2,0),"")</f>
        <v>Coffe break</v>
      </c>
      <c r="Q23" s="958" t="str">
        <f>IFERROR(VLOOKUP(O23,Price_list!$B$1:$H$187,3,0),"")</f>
        <v>unitate</v>
      </c>
      <c r="R23" s="946">
        <f>IFERROR(VLOOKUP(O23,Price_list!$B$1:$H$187,4,0),"")</f>
        <v>75</v>
      </c>
      <c r="S23" s="946" t="str">
        <f>IFERROR(VLOOKUP(O23,Price_list!$B$1:$H$187,5,0),"")</f>
        <v>MDL</v>
      </c>
      <c r="T23" s="958">
        <f t="shared" ca="1" si="0"/>
        <v>75</v>
      </c>
      <c r="U23" s="946">
        <v>2</v>
      </c>
      <c r="V23" s="1889">
        <f ca="1">U23*T23*R10*R11</f>
        <v>6000</v>
      </c>
      <c r="W23" s="442"/>
      <c r="X23" s="442"/>
      <c r="AQ23" s="712"/>
      <c r="AR23" s="1486"/>
    </row>
    <row r="24" spans="9:44" s="442" customFormat="1" ht="16">
      <c r="I24" s="2197"/>
      <c r="K24" s="712" t="s">
        <v>238</v>
      </c>
      <c r="O24" s="1539" t="s">
        <v>3021</v>
      </c>
      <c r="P24" s="958" t="str">
        <f>IFERROR(VLOOKUP(O24,Price_list!$B$1:$H$187,2,0),"")</f>
        <v xml:space="preserve">Meal ( lunch) </v>
      </c>
      <c r="Q24" s="958" t="str">
        <f>IFERROR(VLOOKUP(O24,Price_list!$B$1:$H$187,3,0),"")</f>
        <v>unitate</v>
      </c>
      <c r="R24" s="946">
        <f>IFERROR(VLOOKUP(O24,Price_list!$B$1:$H$187,4,0),"")</f>
        <v>220</v>
      </c>
      <c r="S24" s="946" t="str">
        <f>IFERROR(VLOOKUP(O24,Price_list!$B$1:$H$187,5,0),"")</f>
        <v>MDL</v>
      </c>
      <c r="T24" s="958">
        <f t="shared" ca="1" si="0"/>
        <v>220</v>
      </c>
      <c r="U24" s="946">
        <f>R11</f>
        <v>2</v>
      </c>
      <c r="V24" s="1889">
        <f ca="1">R10*U24*T24</f>
        <v>8800</v>
      </c>
      <c r="AQ24" s="712"/>
      <c r="AR24" s="1486"/>
    </row>
    <row r="25" spans="9:44" s="442" customFormat="1" ht="16">
      <c r="I25" s="2197"/>
      <c r="K25" s="712" t="s">
        <v>238</v>
      </c>
      <c r="O25" s="1539" t="s">
        <v>3023</v>
      </c>
      <c r="P25" s="958" t="str">
        <f>IFERROR(VLOOKUP(O25,Price_list!$B$1:$H$187,2,0),"")</f>
        <v>Meal(dinner)</v>
      </c>
      <c r="Q25" s="958" t="str">
        <f>IFERROR(VLOOKUP(O25,Price_list!$B$1:$H$187,3,0),"")</f>
        <v>unitate</v>
      </c>
      <c r="R25" s="946">
        <f>IFERROR(VLOOKUP(O25,Price_list!$B$1:$H$187,4,0),"")</f>
        <v>220</v>
      </c>
      <c r="S25" s="946" t="str">
        <f>IFERROR(VLOOKUP(O25,Price_list!$B$1:$H$187,5,0),"")</f>
        <v>MDL</v>
      </c>
      <c r="T25" s="958">
        <f t="shared" ca="1" si="0"/>
        <v>220</v>
      </c>
      <c r="U25" s="946">
        <f>R14</f>
        <v>1</v>
      </c>
      <c r="V25" s="1889">
        <f ca="1">U25*T25*R12</f>
        <v>880</v>
      </c>
      <c r="AQ25" s="712"/>
      <c r="AR25" s="1486"/>
    </row>
    <row r="26" spans="9:44" s="442" customFormat="1" ht="16">
      <c r="I26" s="2197"/>
      <c r="K26" s="712" t="s">
        <v>238</v>
      </c>
      <c r="O26" s="1539" t="s">
        <v>3024</v>
      </c>
      <c r="P26" s="958" t="str">
        <f>IFERROR(VLOOKUP(O26,Price_list!$B$1:$H$187,2,0),"")</f>
        <v xml:space="preserve">Accomodation </v>
      </c>
      <c r="Q26" s="958" t="str">
        <f>IFERROR(VLOOKUP(O26,Price_list!$B$1:$H$187,3,0),"")</f>
        <v>cost/noapte</v>
      </c>
      <c r="R26" s="946">
        <f>IFERROR(VLOOKUP(O26,Price_list!$B$1:$H$187,4,0),"")</f>
        <v>750</v>
      </c>
      <c r="S26" s="946" t="str">
        <f>IFERROR(VLOOKUP(O26,Price_list!$B$1:$H$187,5,0),"")</f>
        <v>MDL</v>
      </c>
      <c r="T26" s="958">
        <f t="shared" ca="1" si="0"/>
        <v>750</v>
      </c>
      <c r="U26" s="946">
        <f>R14</f>
        <v>1</v>
      </c>
      <c r="V26" s="1889">
        <f ca="1">U26*T26*R12</f>
        <v>3000</v>
      </c>
      <c r="AQ26" s="712"/>
      <c r="AR26" s="1486"/>
    </row>
    <row r="27" spans="9:44" s="442" customFormat="1" ht="16">
      <c r="I27" s="2197"/>
      <c r="K27" s="712" t="s">
        <v>238</v>
      </c>
      <c r="O27" s="1539" t="s">
        <v>3030</v>
      </c>
      <c r="P27" s="958" t="str">
        <f>IFERROR(VLOOKUP(O27,Price_list!$B$1:$H$187,2,0),"")</f>
        <v>Travel participants</v>
      </c>
      <c r="Q27" s="958" t="str">
        <f>IFERROR(VLOOKUP(O27,Price_list!$B$1:$H$187,3,0),"")</f>
        <v>cost tichet o directie</v>
      </c>
      <c r="R27" s="946">
        <f>IFERROR(VLOOKUP(O27,Price_list!$B$1:$H$187,4,0),"")</f>
        <v>80</v>
      </c>
      <c r="S27" s="946" t="str">
        <f>IFERROR(VLOOKUP(O27,Price_list!$B$1:$H$187,5,0),"")</f>
        <v>MDL</v>
      </c>
      <c r="T27" s="958">
        <f t="shared" ca="1" si="0"/>
        <v>80</v>
      </c>
      <c r="U27" s="1040">
        <v>2</v>
      </c>
      <c r="V27" s="1889">
        <f ca="1">U27*R13*T27</f>
        <v>2080</v>
      </c>
      <c r="AQ27" s="712"/>
      <c r="AR27" s="1486"/>
    </row>
    <row r="28" spans="9:44" s="442" customFormat="1" ht="16">
      <c r="I28" s="2197"/>
      <c r="K28" s="712" t="s">
        <v>238</v>
      </c>
      <c r="O28" s="1539"/>
      <c r="P28" s="958" t="str">
        <f>IFERROR(VLOOKUP(O28,Price_list!$B$1:$H$187,2,0),"")</f>
        <v/>
      </c>
      <c r="Q28" s="958" t="str">
        <f>IFERROR(VLOOKUP(O28,Price_list!$B$1:$H$187,3,0),"")</f>
        <v/>
      </c>
      <c r="R28" s="946" t="str">
        <f>IFERROR(VLOOKUP(O28,Price_list!$B$1:$H$187,4,0),"")</f>
        <v/>
      </c>
      <c r="S28" s="946" t="str">
        <f>IFERROR(VLOOKUP(O28,Price_list!$B$1:$H$187,5,0),"")</f>
        <v/>
      </c>
      <c r="T28" s="958">
        <f t="shared" ca="1" si="0"/>
        <v>0</v>
      </c>
      <c r="U28" s="946" t="str">
        <f>IFERROR(VLOOKUP(AF28,O18:Q24,3,0),"")</f>
        <v/>
      </c>
      <c r="V28" s="1889" t="str">
        <f>IFERROR(#REF!*U28*R28,"")</f>
        <v/>
      </c>
      <c r="AQ28" s="712"/>
      <c r="AR28" s="1486"/>
    </row>
    <row r="29" spans="9:44" s="442" customFormat="1" ht="16">
      <c r="I29" s="2197"/>
      <c r="K29" s="712" t="s">
        <v>238</v>
      </c>
      <c r="O29" s="1539" t="s">
        <v>3025</v>
      </c>
      <c r="P29" s="958" t="str">
        <f>IFERROR(VLOOKUP(O29,Price_list!$B$1:$H$187,2,0),"")</f>
        <v>Supplies</v>
      </c>
      <c r="Q29" s="958" t="str">
        <f>IFERROR(VLOOKUP(O29,Price_list!$B$1:$H$187,3,0),"")</f>
        <v>set/participant</v>
      </c>
      <c r="R29" s="946">
        <f>IFERROR(VLOOKUP(O29,Price_list!$B$1:$H$187,4,0),"")</f>
        <v>140</v>
      </c>
      <c r="S29" s="946" t="str">
        <f>IFERROR(VLOOKUP(O29,Price_list!$B$1:$H$187,5,0),"")</f>
        <v>MDL</v>
      </c>
      <c r="T29" s="958">
        <f t="shared" ca="1" si="0"/>
        <v>140</v>
      </c>
      <c r="U29" s="946">
        <v>1</v>
      </c>
      <c r="V29" s="1889">
        <f ca="1">U29*T29*R10</f>
        <v>2800</v>
      </c>
      <c r="AQ29" s="712"/>
      <c r="AR29" s="1486"/>
    </row>
    <row r="30" spans="9:44" s="442" customFormat="1" ht="16">
      <c r="I30" s="2197"/>
      <c r="K30" s="712" t="s">
        <v>238</v>
      </c>
      <c r="O30" s="1539" t="s">
        <v>3022</v>
      </c>
      <c r="P30" s="958" t="str">
        <f>IFERROR(VLOOKUP(O30,Price_list!$B$1:$H$187,2,0),"")</f>
        <v>Rent of premises</v>
      </c>
      <c r="Q30" s="958" t="str">
        <f>IFERROR(VLOOKUP(O30,Price_list!$B$1:$H$187,3,0),"")</f>
        <v>cost/zi</v>
      </c>
      <c r="R30" s="946">
        <f>IFERROR(VLOOKUP(O30,Price_list!$B$1:$H$187,4,0),"")</f>
        <v>1800</v>
      </c>
      <c r="S30" s="946" t="str">
        <f>IFERROR(VLOOKUP(O30,Price_list!$B$1:$H$187,5,0),"")</f>
        <v>MDL</v>
      </c>
      <c r="T30" s="958">
        <f t="shared" ca="1" si="0"/>
        <v>1800</v>
      </c>
      <c r="U30" s="946">
        <f>R11</f>
        <v>2</v>
      </c>
      <c r="V30" s="1889">
        <f ca="1">U30*T30</f>
        <v>3600</v>
      </c>
      <c r="AQ30" s="712"/>
      <c r="AR30" s="1486"/>
    </row>
    <row r="31" spans="9:44" s="442" customFormat="1" ht="16">
      <c r="I31" s="2197"/>
      <c r="K31" s="712" t="s">
        <v>238</v>
      </c>
      <c r="O31" s="1539" t="s">
        <v>3031</v>
      </c>
      <c r="P31" s="958" t="str">
        <f>IFERROR(VLOOKUP(O31,Price_list!$B$1:$H$187,2,0),"")</f>
        <v>Interpreter's fee, per day</v>
      </c>
      <c r="Q31" s="958" t="str">
        <f>IFERROR(VLOOKUP(O31,Price_list!$B$1:$H$187,3,0),"")</f>
        <v>cost/zi</v>
      </c>
      <c r="R31" s="946">
        <f>IFERROR(VLOOKUP(O31,Price_list!$B$1:$H$187,4,0),"")</f>
        <v>2000</v>
      </c>
      <c r="S31" s="946" t="str">
        <f>IFERROR(VLOOKUP(O31,Price_list!$B$1:$H$187,5,0),"")</f>
        <v>MDL</v>
      </c>
      <c r="T31" s="958">
        <f t="shared" ca="1" si="0"/>
        <v>2000</v>
      </c>
      <c r="U31" s="946">
        <f>IF(R8&gt;0,R11,0)</f>
        <v>0</v>
      </c>
      <c r="V31" s="1889">
        <f ca="1">U31*T31</f>
        <v>0</v>
      </c>
      <c r="AQ31" s="712"/>
      <c r="AR31" s="1486"/>
    </row>
    <row r="32" spans="9:44" s="442" customFormat="1" ht="16">
      <c r="I32" s="2197"/>
      <c r="K32" s="712" t="s">
        <v>238</v>
      </c>
      <c r="O32" s="1539"/>
      <c r="P32" s="958" t="str">
        <f>IFERROR(VLOOKUP(O32,Price_list!$B$1:$H$187,2,0),"")</f>
        <v/>
      </c>
      <c r="Q32" s="958" t="str">
        <f>IFERROR(VLOOKUP(O32,Price_list!$B$1:$H$187,3,0),"")</f>
        <v/>
      </c>
      <c r="R32" s="946" t="str">
        <f>IFERROR(VLOOKUP(O32,Price_list!$B$1:$H$187,4,0),"")</f>
        <v/>
      </c>
      <c r="S32" s="946" t="str">
        <f>IFERROR(VLOOKUP(O32,Price_list!$B$1:$H$187,5,0),"")</f>
        <v/>
      </c>
      <c r="T32" s="958">
        <f t="shared" ca="1" si="0"/>
        <v>0</v>
      </c>
      <c r="U32" s="946" t="str">
        <f>IFERROR(VLOOKUP(AF32,O23:Q27,3,0),"")</f>
        <v/>
      </c>
      <c r="V32" s="1889" t="str">
        <f>IFERROR(#REF!*U32*R32,"")</f>
        <v/>
      </c>
      <c r="AQ32" s="712"/>
      <c r="AR32" s="1486"/>
    </row>
    <row r="33" spans="1:44" s="442" customFormat="1" ht="16">
      <c r="I33" s="2197"/>
      <c r="K33" s="712" t="s">
        <v>238</v>
      </c>
      <c r="O33" s="1539"/>
      <c r="P33" s="958" t="str">
        <f>IFERROR(VLOOKUP(O33,Price_list!$B$1:$H$187,2,0),"")</f>
        <v/>
      </c>
      <c r="Q33" s="958" t="str">
        <f>IFERROR(VLOOKUP(O33,Price_list!$B$1:$H$187,3,0),"")</f>
        <v/>
      </c>
      <c r="R33" s="946" t="str">
        <f>IFERROR(VLOOKUP(O33,Price_list!$B$1:$H$187,4,0),"")</f>
        <v/>
      </c>
      <c r="S33" s="946" t="str">
        <f>IFERROR(VLOOKUP(O33,Price_list!$B$1:$H$187,5,0),"")</f>
        <v/>
      </c>
      <c r="T33" s="958">
        <f t="shared" ca="1" si="0"/>
        <v>0</v>
      </c>
      <c r="U33" s="946" t="str">
        <f>IFERROR(VLOOKUP(AF33,O24:Q29,3,0),"")</f>
        <v/>
      </c>
      <c r="V33" s="1889" t="str">
        <f>IFERROR(#REF!*U33*R33,"")</f>
        <v/>
      </c>
      <c r="AQ33" s="712"/>
      <c r="AR33" s="1486"/>
    </row>
    <row r="34" spans="1:44" s="442" customFormat="1" ht="16">
      <c r="I34" s="2197"/>
      <c r="K34" s="712" t="s">
        <v>238</v>
      </c>
      <c r="O34" s="1539"/>
      <c r="P34" s="958" t="str">
        <f>IFERROR(VLOOKUP(O34,Price_list!$B$1:$H$187,2,0),"")</f>
        <v/>
      </c>
      <c r="Q34" s="958" t="str">
        <f>IFERROR(VLOOKUP(O34,Price_list!$B$1:$H$187,3,0),"")</f>
        <v/>
      </c>
      <c r="R34" s="946" t="str">
        <f>IFERROR(VLOOKUP(O34,Price_list!$B$1:$H$187,4,0),"")</f>
        <v/>
      </c>
      <c r="S34" s="946" t="str">
        <f>IFERROR(VLOOKUP(O34,Price_list!$B$1:$H$187,5,0),"")</f>
        <v/>
      </c>
      <c r="T34" s="958">
        <f t="shared" ca="1" si="0"/>
        <v>0</v>
      </c>
      <c r="U34" s="946" t="str">
        <f>IFERROR(VLOOKUP(AF34,O25:Q30,3,0),"")</f>
        <v/>
      </c>
      <c r="V34" s="1889" t="str">
        <f>IFERROR(#REF!*U34*R34,"")</f>
        <v/>
      </c>
      <c r="AQ34" s="712"/>
      <c r="AR34" s="1486"/>
    </row>
    <row r="35" spans="1:44" s="442" customFormat="1" ht="17" thickBot="1">
      <c r="I35" s="2197"/>
      <c r="K35" s="712" t="s">
        <v>238</v>
      </c>
      <c r="O35" s="1697"/>
      <c r="P35" s="1698" t="str">
        <f>IFERROR(VLOOKUP(O35,Price_list!$B$1:$H$187,2,0),"")</f>
        <v/>
      </c>
      <c r="Q35" s="1698" t="str">
        <f>IFERROR(VLOOKUP(O35,Price_list!$B$1:$H$187,3,0),"")</f>
        <v/>
      </c>
      <c r="R35" s="1034" t="str">
        <f>IFERROR(VLOOKUP(O35,Price_list!$B$1:$H$187,4,0),"")</f>
        <v/>
      </c>
      <c r="S35" s="1034" t="str">
        <f>IFERROR(VLOOKUP(O35,Price_list!$B$1:$H$187,5,0),"")</f>
        <v/>
      </c>
      <c r="T35" s="1698"/>
      <c r="U35" s="1034" t="str">
        <f>IFERROR(VLOOKUP(AF35,O26:Q31,3,0),"")</f>
        <v/>
      </c>
      <c r="V35" s="1703">
        <f ca="1">SUM(V17:V34)</f>
        <v>35160</v>
      </c>
      <c r="AQ35" s="712"/>
      <c r="AR35" s="1486"/>
    </row>
    <row r="36" spans="1:44" s="442" customFormat="1" ht="16">
      <c r="I36" s="2197"/>
      <c r="K36" s="712" t="s">
        <v>238</v>
      </c>
      <c r="O36" s="1741" t="s">
        <v>3037</v>
      </c>
      <c r="P36" s="1742" t="s">
        <v>3006</v>
      </c>
      <c r="Q36" s="1743"/>
      <c r="R36" s="1744">
        <v>7.0000000000000007E-2</v>
      </c>
      <c r="S36" s="1741"/>
      <c r="T36" s="1741"/>
      <c r="U36" s="1741"/>
      <c r="V36" s="1741">
        <f ca="1">ROUND(V35*R36,2)</f>
        <v>2461.1999999999998</v>
      </c>
      <c r="AQ36" s="712"/>
      <c r="AR36" s="1486"/>
    </row>
    <row r="37" spans="1:44" s="442" customFormat="1" ht="17" thickBot="1">
      <c r="I37" s="2197"/>
      <c r="K37" s="712" t="s">
        <v>238</v>
      </c>
      <c r="O37"/>
      <c r="P37"/>
      <c r="Q37"/>
      <c r="R37"/>
      <c r="S37"/>
      <c r="T37"/>
      <c r="U37"/>
      <c r="V37"/>
      <c r="AQ37" s="712"/>
      <c r="AR37" s="1486"/>
    </row>
    <row r="38" spans="1:44" s="442" customFormat="1" ht="17" thickBot="1">
      <c r="I38" s="2197"/>
      <c r="K38" s="712" t="s">
        <v>238</v>
      </c>
      <c r="O38" s="1704" t="s">
        <v>3038</v>
      </c>
      <c r="P38" s="1705"/>
      <c r="Q38" s="1705"/>
      <c r="R38" s="1705"/>
      <c r="S38" s="1705"/>
      <c r="T38" s="1705"/>
      <c r="U38" s="1705"/>
      <c r="V38" s="1706">
        <f ca="1">V36+V35</f>
        <v>37621.199999999997</v>
      </c>
      <c r="AQ38" s="712"/>
      <c r="AR38" s="1486"/>
    </row>
    <row r="39" spans="1:44" s="442" customFormat="1" ht="16">
      <c r="I39" s="2197"/>
      <c r="K39" s="712" t="s">
        <v>238</v>
      </c>
      <c r="O39"/>
      <c r="P39"/>
      <c r="Q39"/>
      <c r="R39"/>
      <c r="S39"/>
      <c r="T39"/>
      <c r="U39"/>
      <c r="V39"/>
      <c r="AQ39" s="712"/>
      <c r="AR39" s="1486"/>
    </row>
    <row r="40" spans="1:44" s="442" customFormat="1" ht="17" thickBot="1">
      <c r="I40" s="2197"/>
      <c r="K40" s="712" t="s">
        <v>238</v>
      </c>
      <c r="O40"/>
      <c r="P40"/>
      <c r="Q40"/>
      <c r="R40"/>
      <c r="S40"/>
      <c r="T40"/>
      <c r="U40"/>
      <c r="V40"/>
      <c r="AQ40" s="712"/>
      <c r="AR40" s="1486"/>
    </row>
    <row r="41" spans="1:44" s="442" customFormat="1" ht="17" thickBot="1">
      <c r="I41" s="2197"/>
      <c r="K41" s="712" t="s">
        <v>238</v>
      </c>
      <c r="O41" t="s">
        <v>2171</v>
      </c>
      <c r="P41"/>
      <c r="Q41"/>
      <c r="R41" s="1500">
        <v>2021</v>
      </c>
      <c r="S41" s="1501">
        <v>2022</v>
      </c>
      <c r="T41" s="1501">
        <v>2023</v>
      </c>
      <c r="U41" s="1501">
        <v>2024</v>
      </c>
      <c r="V41" s="1502">
        <v>2025</v>
      </c>
      <c r="AQ41" s="712"/>
      <c r="AR41" s="1486"/>
    </row>
    <row r="42" spans="1:44" s="442" customFormat="1" ht="17" thickBot="1">
      <c r="I42" s="2197"/>
      <c r="K42" s="712" t="s">
        <v>238</v>
      </c>
      <c r="O42" s="1503" t="s">
        <v>3110</v>
      </c>
      <c r="P42" s="1504"/>
      <c r="Q42" s="1504"/>
      <c r="R42" s="1713">
        <v>0</v>
      </c>
      <c r="S42" s="1713">
        <v>0</v>
      </c>
      <c r="T42" s="1713">
        <v>10</v>
      </c>
      <c r="U42" s="1713">
        <v>0</v>
      </c>
      <c r="V42" s="1713"/>
      <c r="AQ42" s="712"/>
      <c r="AR42" s="1486"/>
    </row>
    <row r="43" spans="1:44" s="442" customFormat="1" ht="17" thickBot="1">
      <c r="A43" s="730">
        <v>94</v>
      </c>
      <c r="B43" s="733">
        <f ca="1">R43</f>
        <v>0</v>
      </c>
      <c r="C43" s="733">
        <f ca="1">S43</f>
        <v>0</v>
      </c>
      <c r="D43" s="733">
        <f ca="1">T43</f>
        <v>376212</v>
      </c>
      <c r="E43" s="733">
        <f ca="1">U43</f>
        <v>0</v>
      </c>
      <c r="F43" s="733">
        <f ca="1">V43</f>
        <v>0</v>
      </c>
      <c r="G43" s="733" t="s">
        <v>351</v>
      </c>
      <c r="H43" s="733" t="s">
        <v>3250</v>
      </c>
      <c r="I43" s="2198" t="s">
        <v>3716</v>
      </c>
      <c r="J43" s="841" t="s">
        <v>2938</v>
      </c>
      <c r="K43" s="712" t="s">
        <v>238</v>
      </c>
      <c r="O43" s="1710" t="s">
        <v>3044</v>
      </c>
      <c r="P43" s="1709"/>
      <c r="Q43" s="1708">
        <f ca="1">V38</f>
        <v>37621.199999999997</v>
      </c>
      <c r="R43" s="1495">
        <f ca="1">$Q43*R42</f>
        <v>0</v>
      </c>
      <c r="S43" s="1495">
        <f ca="1">$Q43*S42</f>
        <v>0</v>
      </c>
      <c r="T43" s="1495">
        <f ca="1">$Q43*T42</f>
        <v>376212</v>
      </c>
      <c r="U43" s="1495">
        <f ca="1">$Q43*U42</f>
        <v>0</v>
      </c>
      <c r="V43" s="1495">
        <f ca="1">$Q43*V42</f>
        <v>0</v>
      </c>
      <c r="AQ43" s="712"/>
      <c r="AR43" s="1805">
        <f ca="1">SUM(R43:V43)</f>
        <v>376212</v>
      </c>
    </row>
    <row r="44" spans="1:44" s="442" customFormat="1" ht="16">
      <c r="I44" s="2197"/>
      <c r="K44" s="712" t="s">
        <v>238</v>
      </c>
      <c r="AQ44" s="712"/>
      <c r="AR44" s="1486"/>
    </row>
    <row r="45" spans="1:44" s="442" customFormat="1" ht="16">
      <c r="I45" s="2197"/>
      <c r="K45" s="712" t="s">
        <v>238</v>
      </c>
      <c r="AQ45" s="712"/>
      <c r="AR45" s="1486"/>
    </row>
    <row r="46" spans="1:44" s="442" customFormat="1" ht="17" thickBot="1">
      <c r="I46" s="2197"/>
      <c r="K46" s="712" t="s">
        <v>238</v>
      </c>
      <c r="O46" s="1797" t="s">
        <v>3111</v>
      </c>
      <c r="P46" s="1504"/>
      <c r="Q46" s="1504"/>
      <c r="R46" s="1713">
        <v>0</v>
      </c>
      <c r="S46" s="1713">
        <v>0</v>
      </c>
      <c r="T46" s="1713"/>
      <c r="U46" s="1713">
        <v>0</v>
      </c>
      <c r="V46" s="1713">
        <v>11</v>
      </c>
      <c r="AQ46" s="712"/>
      <c r="AR46" s="1486"/>
    </row>
    <row r="47" spans="1:44" s="442" customFormat="1" ht="17" thickBot="1">
      <c r="A47" s="730">
        <v>95</v>
      </c>
      <c r="B47" s="733">
        <f ca="1">R47</f>
        <v>0</v>
      </c>
      <c r="C47" s="733">
        <f ca="1">S47</f>
        <v>0</v>
      </c>
      <c r="D47" s="733">
        <f ca="1">T47</f>
        <v>0</v>
      </c>
      <c r="E47" s="733">
        <f ca="1">U47</f>
        <v>0</v>
      </c>
      <c r="F47" s="733">
        <f ca="1">V47</f>
        <v>413833.19999999995</v>
      </c>
      <c r="G47" s="733" t="s">
        <v>338</v>
      </c>
      <c r="H47" s="733" t="s">
        <v>3250</v>
      </c>
      <c r="I47" s="2198"/>
      <c r="J47" s="841" t="s">
        <v>2938</v>
      </c>
      <c r="K47" s="712" t="s">
        <v>238</v>
      </c>
      <c r="O47" s="1710" t="s">
        <v>3044</v>
      </c>
      <c r="P47" s="1709"/>
      <c r="Q47" s="1708">
        <f ca="1">V38</f>
        <v>37621.199999999997</v>
      </c>
      <c r="R47" s="1495">
        <f ca="1">$Q47*R46</f>
        <v>0</v>
      </c>
      <c r="S47" s="1495">
        <f ca="1">$Q47*S46</f>
        <v>0</v>
      </c>
      <c r="T47" s="1495">
        <f ca="1">$Q47*T46</f>
        <v>0</v>
      </c>
      <c r="U47" s="1495">
        <f ca="1">$Q47*U46</f>
        <v>0</v>
      </c>
      <c r="V47" s="1495">
        <f ca="1">$Q47*V46</f>
        <v>413833.19999999995</v>
      </c>
      <c r="AQ47" s="712"/>
      <c r="AR47" s="1805">
        <f ca="1">SUM(R47:V47)</f>
        <v>413833.19999999995</v>
      </c>
    </row>
    <row r="48" spans="1:44">
      <c r="K48" s="712" t="s">
        <v>238</v>
      </c>
    </row>
    <row r="49" spans="11:20">
      <c r="K49" s="712" t="s">
        <v>238</v>
      </c>
    </row>
    <row r="50" spans="11:20">
      <c r="K50" s="712" t="s">
        <v>238</v>
      </c>
    </row>
    <row r="51" spans="11:20">
      <c r="K51" s="712" t="s">
        <v>238</v>
      </c>
      <c r="L51" s="1775" t="s">
        <v>3169</v>
      </c>
    </row>
    <row r="52" spans="11:20">
      <c r="K52" s="712" t="s">
        <v>238</v>
      </c>
    </row>
    <row r="53" spans="11:20">
      <c r="K53" s="712" t="s">
        <v>238</v>
      </c>
      <c r="O53" s="1808"/>
      <c r="P53" s="1809" t="s">
        <v>3149</v>
      </c>
      <c r="Q53" s="1810">
        <v>15</v>
      </c>
      <c r="R53" s="1811"/>
      <c r="S53" s="1811"/>
      <c r="T53" s="1808"/>
    </row>
    <row r="54" spans="11:20">
      <c r="K54" s="712" t="s">
        <v>238</v>
      </c>
      <c r="O54" s="1811"/>
      <c r="P54" s="1811"/>
      <c r="Q54" s="1812"/>
      <c r="R54" s="1811"/>
      <c r="S54" s="1811"/>
      <c r="T54" s="1808"/>
    </row>
    <row r="55" spans="11:20" ht="30">
      <c r="K55" s="712" t="s">
        <v>238</v>
      </c>
      <c r="O55" s="1820"/>
      <c r="P55" s="1821" t="s">
        <v>604</v>
      </c>
      <c r="Q55" s="1821" t="s">
        <v>3150</v>
      </c>
      <c r="R55" s="1822" t="s">
        <v>3151</v>
      </c>
      <c r="S55" s="1821" t="s">
        <v>3073</v>
      </c>
      <c r="T55" s="1823" t="s">
        <v>3044</v>
      </c>
    </row>
    <row r="56" spans="11:20">
      <c r="K56" s="712" t="s">
        <v>238</v>
      </c>
      <c r="O56" s="1813" t="s">
        <v>3152</v>
      </c>
      <c r="P56" s="1813"/>
      <c r="Q56" s="1813"/>
      <c r="R56" s="1814">
        <v>0</v>
      </c>
      <c r="S56" s="1815"/>
      <c r="T56" s="1814"/>
    </row>
    <row r="57" spans="11:20">
      <c r="K57" s="712" t="s">
        <v>238</v>
      </c>
      <c r="O57" s="1816" t="s">
        <v>3153</v>
      </c>
      <c r="P57" s="1813" t="s">
        <v>3154</v>
      </c>
      <c r="Q57" s="1813">
        <v>1</v>
      </c>
      <c r="R57" s="1814">
        <v>6360</v>
      </c>
      <c r="S57" s="1815">
        <v>15</v>
      </c>
      <c r="T57" s="1814">
        <f>R57*S57*Q57</f>
        <v>95400</v>
      </c>
    </row>
    <row r="58" spans="11:20">
      <c r="K58" s="712" t="s">
        <v>238</v>
      </c>
      <c r="O58" s="1816" t="s">
        <v>3155</v>
      </c>
      <c r="P58" s="1813" t="s">
        <v>3154</v>
      </c>
      <c r="Q58" s="1813">
        <v>2</v>
      </c>
      <c r="R58" s="1814">
        <v>5830</v>
      </c>
      <c r="S58" s="1815">
        <v>15</v>
      </c>
      <c r="T58" s="1814">
        <f t="shared" ref="T58:T61" si="1">R58*S58*Q58</f>
        <v>174900</v>
      </c>
    </row>
    <row r="59" spans="11:20">
      <c r="K59" s="712" t="s">
        <v>238</v>
      </c>
      <c r="O59" s="1816" t="s">
        <v>3156</v>
      </c>
      <c r="P59" s="1813" t="s">
        <v>3154</v>
      </c>
      <c r="Q59" s="1813">
        <v>4</v>
      </c>
      <c r="R59" s="1814">
        <v>5300</v>
      </c>
      <c r="S59" s="1815">
        <v>15</v>
      </c>
      <c r="T59" s="1814">
        <f t="shared" si="1"/>
        <v>318000</v>
      </c>
    </row>
    <row r="60" spans="11:20">
      <c r="K60" s="712" t="s">
        <v>238</v>
      </c>
      <c r="O60" s="1816" t="s">
        <v>3157</v>
      </c>
      <c r="P60" s="1813" t="s">
        <v>3154</v>
      </c>
      <c r="Q60" s="1813">
        <v>5</v>
      </c>
      <c r="R60" s="1814">
        <v>4240</v>
      </c>
      <c r="S60" s="1815">
        <v>15</v>
      </c>
      <c r="T60" s="1814">
        <f t="shared" si="1"/>
        <v>318000</v>
      </c>
    </row>
    <row r="61" spans="11:20">
      <c r="K61" s="712" t="s">
        <v>238</v>
      </c>
      <c r="O61" s="1816" t="s">
        <v>3158</v>
      </c>
      <c r="P61" s="1813" t="s">
        <v>3154</v>
      </c>
      <c r="Q61" s="1813">
        <v>1</v>
      </c>
      <c r="R61" s="1814">
        <v>3200</v>
      </c>
      <c r="S61" s="1815">
        <v>15</v>
      </c>
      <c r="T61" s="1814">
        <f t="shared" si="1"/>
        <v>48000</v>
      </c>
    </row>
    <row r="62" spans="11:20">
      <c r="K62" s="712" t="s">
        <v>238</v>
      </c>
      <c r="O62" s="1816" t="s">
        <v>3159</v>
      </c>
      <c r="P62" s="1813" t="s">
        <v>3154</v>
      </c>
      <c r="Q62" s="1819">
        <v>130</v>
      </c>
      <c r="R62" s="1814">
        <v>220</v>
      </c>
      <c r="S62" s="1815">
        <v>7</v>
      </c>
      <c r="T62" s="1814">
        <f>S62*R62*Q62</f>
        <v>200200</v>
      </c>
    </row>
    <row r="63" spans="11:20">
      <c r="K63" s="712" t="s">
        <v>238</v>
      </c>
      <c r="O63" s="1813" t="s">
        <v>3160</v>
      </c>
      <c r="P63" s="1813" t="s">
        <v>3154</v>
      </c>
      <c r="Q63" s="1819">
        <v>130</v>
      </c>
      <c r="R63" s="1814">
        <v>110</v>
      </c>
      <c r="S63" s="1815">
        <v>7</v>
      </c>
      <c r="T63" s="1814">
        <f t="shared" ref="T63:T65" si="2">S63*R63*Q63</f>
        <v>100100</v>
      </c>
    </row>
    <row r="64" spans="11:20">
      <c r="K64" s="712" t="s">
        <v>238</v>
      </c>
      <c r="O64" s="1813" t="s">
        <v>3161</v>
      </c>
      <c r="P64" s="1813" t="s">
        <v>3162</v>
      </c>
      <c r="Q64" s="1819">
        <v>130</v>
      </c>
      <c r="R64" s="1814">
        <v>320</v>
      </c>
      <c r="S64" s="1815">
        <v>1</v>
      </c>
      <c r="T64" s="1814">
        <f t="shared" si="2"/>
        <v>41600</v>
      </c>
    </row>
    <row r="65" spans="1:22">
      <c r="K65" s="712" t="s">
        <v>238</v>
      </c>
      <c r="O65" s="1813" t="s">
        <v>3163</v>
      </c>
      <c r="P65" s="1813" t="s">
        <v>3162</v>
      </c>
      <c r="Q65" s="1819">
        <v>130</v>
      </c>
      <c r="R65" s="1814">
        <v>110</v>
      </c>
      <c r="S65" s="1815">
        <v>4</v>
      </c>
      <c r="T65" s="1814">
        <f t="shared" si="2"/>
        <v>57200</v>
      </c>
    </row>
    <row r="66" spans="1:22">
      <c r="K66" s="712" t="s">
        <v>238</v>
      </c>
      <c r="O66" s="1813" t="s">
        <v>3164</v>
      </c>
      <c r="P66" s="1813"/>
      <c r="Q66" s="1813"/>
      <c r="R66" s="1814"/>
      <c r="S66" s="1815"/>
      <c r="T66" s="1814"/>
    </row>
    <row r="67" spans="1:22">
      <c r="K67" s="712" t="s">
        <v>238</v>
      </c>
      <c r="O67" s="1817" t="s">
        <v>3165</v>
      </c>
      <c r="P67" s="1813"/>
      <c r="Q67" s="1813">
        <v>1</v>
      </c>
      <c r="R67" s="1814">
        <v>60</v>
      </c>
      <c r="S67" s="1815">
        <v>200</v>
      </c>
      <c r="T67" s="1814">
        <v>12000</v>
      </c>
      <c r="U67" s="1270" t="s">
        <v>3730</v>
      </c>
    </row>
    <row r="68" spans="1:22">
      <c r="K68" s="712" t="s">
        <v>238</v>
      </c>
      <c r="O68" s="1817" t="s">
        <v>3166</v>
      </c>
      <c r="P68" s="1813"/>
      <c r="Q68" s="1813">
        <v>1</v>
      </c>
      <c r="R68" s="1814">
        <v>30</v>
      </c>
      <c r="S68" s="1815">
        <v>200</v>
      </c>
      <c r="T68" s="1814">
        <v>6000</v>
      </c>
      <c r="U68" s="1270" t="s">
        <v>3730</v>
      </c>
    </row>
    <row r="69" spans="1:22">
      <c r="K69" s="712" t="s">
        <v>238</v>
      </c>
      <c r="O69" s="1813" t="s">
        <v>3167</v>
      </c>
      <c r="P69" s="1813" t="s">
        <v>3168</v>
      </c>
      <c r="Q69" s="1813">
        <v>1</v>
      </c>
      <c r="R69" s="1808">
        <v>105.86799999999999</v>
      </c>
      <c r="S69" s="1815">
        <v>13</v>
      </c>
      <c r="T69" s="1814">
        <v>1376.2839999999999</v>
      </c>
    </row>
    <row r="70" spans="1:22">
      <c r="K70" s="712" t="s">
        <v>238</v>
      </c>
      <c r="O70" s="1813"/>
      <c r="P70" s="1813"/>
      <c r="Q70" s="1813"/>
      <c r="R70" s="1814"/>
      <c r="S70" s="1814"/>
      <c r="T70" s="1818">
        <v>806856.28399999999</v>
      </c>
    </row>
    <row r="71" spans="1:22">
      <c r="K71" s="712" t="s">
        <v>238</v>
      </c>
    </row>
    <row r="72" spans="1:22" ht="16" thickBot="1">
      <c r="K72" s="712" t="s">
        <v>238</v>
      </c>
      <c r="R72" s="1242"/>
      <c r="S72" s="1242"/>
    </row>
    <row r="73" spans="1:22" ht="16" thickBot="1">
      <c r="K73" s="712" t="s">
        <v>238</v>
      </c>
      <c r="O73" s="1808" t="s">
        <v>2171</v>
      </c>
      <c r="P73" s="1808"/>
      <c r="Q73" s="1808"/>
      <c r="R73" s="1500">
        <v>2021</v>
      </c>
      <c r="S73" s="1501">
        <v>2022</v>
      </c>
      <c r="T73" s="1501">
        <v>2023</v>
      </c>
      <c r="U73" s="1501">
        <v>2024</v>
      </c>
      <c r="V73" s="1502">
        <v>2025</v>
      </c>
    </row>
    <row r="74" spans="1:22" ht="16" thickBot="1">
      <c r="K74" s="712" t="s">
        <v>238</v>
      </c>
      <c r="O74" s="1503" t="s">
        <v>3110</v>
      </c>
      <c r="P74" s="1504"/>
      <c r="Q74" s="1504"/>
      <c r="R74" s="1943">
        <v>0.7</v>
      </c>
      <c r="S74" s="1943">
        <v>0.3</v>
      </c>
      <c r="T74" s="1713"/>
      <c r="U74" s="1713"/>
      <c r="V74" s="1713"/>
    </row>
    <row r="75" spans="1:22" ht="16" thickBot="1">
      <c r="A75" s="730">
        <v>164</v>
      </c>
      <c r="B75" s="733">
        <f>R75</f>
        <v>564799.39879999997</v>
      </c>
      <c r="C75" s="733">
        <f t="shared" ref="C75:F75" si="3">S75</f>
        <v>242056.88520000002</v>
      </c>
      <c r="D75" s="733">
        <f t="shared" si="3"/>
        <v>0</v>
      </c>
      <c r="E75" s="733">
        <f t="shared" si="3"/>
        <v>0</v>
      </c>
      <c r="F75" s="733">
        <f t="shared" si="3"/>
        <v>0</v>
      </c>
      <c r="G75" s="733" t="s">
        <v>351</v>
      </c>
      <c r="H75" s="733" t="s">
        <v>3169</v>
      </c>
      <c r="I75" s="2198" t="s">
        <v>3716</v>
      </c>
      <c r="J75" s="841" t="s">
        <v>2938</v>
      </c>
      <c r="K75" s="712" t="s">
        <v>238</v>
      </c>
      <c r="O75" s="1710" t="s">
        <v>3044</v>
      </c>
      <c r="P75" s="1709"/>
      <c r="Q75" s="1708">
        <f>T70</f>
        <v>806856.28399999999</v>
      </c>
      <c r="R75" s="1495">
        <f>R74*Q75</f>
        <v>564799.39879999997</v>
      </c>
      <c r="S75" s="1495">
        <f>Q75-R75</f>
        <v>242056.88520000002</v>
      </c>
      <c r="T75" s="1495"/>
      <c r="U75" s="1495"/>
      <c r="V75" s="1495"/>
    </row>
    <row r="76" spans="1:22">
      <c r="K76" s="712" t="s">
        <v>238</v>
      </c>
    </row>
    <row r="77" spans="1:22">
      <c r="K77" s="712" t="s">
        <v>238</v>
      </c>
    </row>
    <row r="78" spans="1:22">
      <c r="K78" s="712" t="s">
        <v>238</v>
      </c>
    </row>
    <row r="79" spans="1:22">
      <c r="K79" s="712" t="s">
        <v>238</v>
      </c>
    </row>
    <row r="80" spans="1:22">
      <c r="K80" s="712" t="s">
        <v>238</v>
      </c>
    </row>
    <row r="81" spans="11:11">
      <c r="K81" s="712" t="s">
        <v>238</v>
      </c>
    </row>
    <row r="82" spans="11:11">
      <c r="K82" s="712" t="s">
        <v>238</v>
      </c>
    </row>
    <row r="83" spans="11:11">
      <c r="K83" s="712" t="s">
        <v>238</v>
      </c>
    </row>
    <row r="84" spans="11:11">
      <c r="K84" s="712" t="s">
        <v>238</v>
      </c>
    </row>
    <row r="85" spans="11:11">
      <c r="K85" s="712" t="s">
        <v>238</v>
      </c>
    </row>
    <row r="86" spans="11:11">
      <c r="K86" s="712" t="s">
        <v>238</v>
      </c>
    </row>
    <row r="87" spans="11:11">
      <c r="K87" s="712" t="s">
        <v>238</v>
      </c>
    </row>
    <row r="88" spans="11:11">
      <c r="K88" s="712" t="s">
        <v>238</v>
      </c>
    </row>
    <row r="89" spans="11:11">
      <c r="K89" s="712" t="s">
        <v>238</v>
      </c>
    </row>
    <row r="90" spans="11:11">
      <c r="K90" s="712" t="s">
        <v>238</v>
      </c>
    </row>
    <row r="91" spans="11:11">
      <c r="K91" s="712" t="s">
        <v>238</v>
      </c>
    </row>
    <row r="92" spans="11:11">
      <c r="K92" s="712" t="s">
        <v>238</v>
      </c>
    </row>
    <row r="93" spans="11:11">
      <c r="K93" s="712" t="s">
        <v>238</v>
      </c>
    </row>
    <row r="94" spans="11:11">
      <c r="K94" s="712" t="s">
        <v>238</v>
      </c>
    </row>
    <row r="95" spans="11:11">
      <c r="K95" s="712" t="s">
        <v>238</v>
      </c>
    </row>
    <row r="96" spans="11:11">
      <c r="K96" s="712" t="s">
        <v>238</v>
      </c>
    </row>
    <row r="97" spans="11:11">
      <c r="K97" s="712" t="s">
        <v>238</v>
      </c>
    </row>
    <row r="98" spans="11:11">
      <c r="K98" s="712" t="s">
        <v>238</v>
      </c>
    </row>
    <row r="99" spans="11:11">
      <c r="K99" s="712" t="s">
        <v>238</v>
      </c>
    </row>
    <row r="100" spans="11:11">
      <c r="K100" s="712" t="s">
        <v>238</v>
      </c>
    </row>
    <row r="101" spans="11:11">
      <c r="K101" s="712" t="s">
        <v>238</v>
      </c>
    </row>
    <row r="102" spans="11:11">
      <c r="K102" s="712" t="s">
        <v>238</v>
      </c>
    </row>
    <row r="103" spans="11:11">
      <c r="K103" s="712" t="s">
        <v>238</v>
      </c>
    </row>
    <row r="104" spans="11:11">
      <c r="K104" s="712" t="s">
        <v>238</v>
      </c>
    </row>
    <row r="105" spans="11:11">
      <c r="K105" s="712" t="s">
        <v>238</v>
      </c>
    </row>
    <row r="106" spans="11:11">
      <c r="K106" s="712" t="s">
        <v>238</v>
      </c>
    </row>
    <row r="107" spans="11:11">
      <c r="K107" s="712" t="s">
        <v>238</v>
      </c>
    </row>
    <row r="108" spans="11:11">
      <c r="K108" s="712" t="s">
        <v>238</v>
      </c>
    </row>
    <row r="109" spans="11:11">
      <c r="K109" s="712" t="s">
        <v>238</v>
      </c>
    </row>
    <row r="110" spans="11:11">
      <c r="K110" s="712" t="s">
        <v>238</v>
      </c>
    </row>
    <row r="111" spans="11:11">
      <c r="K111" s="712" t="s">
        <v>238</v>
      </c>
    </row>
    <row r="112" spans="11:11">
      <c r="K112" s="712" t="s">
        <v>238</v>
      </c>
    </row>
    <row r="113" spans="11:11">
      <c r="K113" s="712" t="s">
        <v>238</v>
      </c>
    </row>
    <row r="114" spans="11:11">
      <c r="K114" s="712" t="s">
        <v>238</v>
      </c>
    </row>
    <row r="115" spans="11:11">
      <c r="K115" s="712" t="s">
        <v>238</v>
      </c>
    </row>
    <row r="116" spans="11:11">
      <c r="K116" s="712" t="s">
        <v>238</v>
      </c>
    </row>
    <row r="117" spans="11:11">
      <c r="K117" s="712" t="s">
        <v>238</v>
      </c>
    </row>
    <row r="118" spans="11:11">
      <c r="K118" s="712" t="s">
        <v>238</v>
      </c>
    </row>
    <row r="119" spans="11:11">
      <c r="K119" s="712" t="s">
        <v>238</v>
      </c>
    </row>
    <row r="120" spans="11:11">
      <c r="K120" s="712" t="s">
        <v>238</v>
      </c>
    </row>
    <row r="121" spans="11:11">
      <c r="K121" s="712" t="s">
        <v>238</v>
      </c>
    </row>
    <row r="122" spans="11:11">
      <c r="K122" s="712" t="s">
        <v>238</v>
      </c>
    </row>
    <row r="123" spans="11:11">
      <c r="K123" s="712" t="s">
        <v>238</v>
      </c>
    </row>
    <row r="124" spans="11:11">
      <c r="K124" s="712" t="s">
        <v>238</v>
      </c>
    </row>
    <row r="125" spans="11:11">
      <c r="K125" s="712" t="s">
        <v>238</v>
      </c>
    </row>
    <row r="126" spans="11:11">
      <c r="K126" s="712" t="s">
        <v>238</v>
      </c>
    </row>
    <row r="127" spans="11:11">
      <c r="K127" s="712" t="s">
        <v>238</v>
      </c>
    </row>
    <row r="128" spans="11:11">
      <c r="K128" s="712" t="s">
        <v>238</v>
      </c>
    </row>
    <row r="129" spans="11:11">
      <c r="K129" s="712" t="s">
        <v>238</v>
      </c>
    </row>
    <row r="130" spans="11:11">
      <c r="K130" s="712" t="s">
        <v>238</v>
      </c>
    </row>
    <row r="131" spans="11:11">
      <c r="K131" s="712" t="s">
        <v>238</v>
      </c>
    </row>
    <row r="132" spans="11:11">
      <c r="K132" s="712" t="s">
        <v>238</v>
      </c>
    </row>
    <row r="133" spans="11:11">
      <c r="K133" s="712" t="s">
        <v>238</v>
      </c>
    </row>
    <row r="134" spans="11:11">
      <c r="K134" s="712" t="s">
        <v>238</v>
      </c>
    </row>
    <row r="135" spans="11:11">
      <c r="K135" s="712" t="s">
        <v>238</v>
      </c>
    </row>
    <row r="136" spans="11:11">
      <c r="K136" s="712" t="s">
        <v>238</v>
      </c>
    </row>
    <row r="137" spans="11:11">
      <c r="K137" s="712" t="s">
        <v>238</v>
      </c>
    </row>
    <row r="138" spans="11:11">
      <c r="K138" s="712" t="s">
        <v>238</v>
      </c>
    </row>
    <row r="139" spans="11:11">
      <c r="K139" s="712" t="s">
        <v>238</v>
      </c>
    </row>
    <row r="140" spans="11:11">
      <c r="K140" s="712" t="s">
        <v>238</v>
      </c>
    </row>
    <row r="141" spans="11:11">
      <c r="K141" s="712" t="s">
        <v>238</v>
      </c>
    </row>
    <row r="142" spans="11:11">
      <c r="K142" s="712" t="s">
        <v>238</v>
      </c>
    </row>
    <row r="143" spans="11:11">
      <c r="K143" s="712" t="s">
        <v>238</v>
      </c>
    </row>
    <row r="144" spans="11:11">
      <c r="K144" s="712" t="s">
        <v>238</v>
      </c>
    </row>
    <row r="145" spans="11:11">
      <c r="K145" s="712" t="s">
        <v>238</v>
      </c>
    </row>
    <row r="146" spans="11:11">
      <c r="K146" s="712" t="s">
        <v>238</v>
      </c>
    </row>
    <row r="147" spans="11:11">
      <c r="K147" s="712" t="s">
        <v>238</v>
      </c>
    </row>
    <row r="148" spans="11:11">
      <c r="K148" s="712" t="s">
        <v>238</v>
      </c>
    </row>
    <row r="149" spans="11:11">
      <c r="K149" s="712" t="s">
        <v>238</v>
      </c>
    </row>
    <row r="150" spans="11:11">
      <c r="K150" s="712" t="s">
        <v>238</v>
      </c>
    </row>
    <row r="151" spans="11:11">
      <c r="K151" s="712" t="s">
        <v>238</v>
      </c>
    </row>
    <row r="152" spans="11:11">
      <c r="K152" s="712" t="s">
        <v>238</v>
      </c>
    </row>
    <row r="153" spans="11:11">
      <c r="K153" s="712" t="s">
        <v>238</v>
      </c>
    </row>
    <row r="154" spans="11:11">
      <c r="K154" s="712" t="s">
        <v>238</v>
      </c>
    </row>
    <row r="155" spans="11:11">
      <c r="K155" s="712" t="s">
        <v>238</v>
      </c>
    </row>
    <row r="156" spans="11:11">
      <c r="K156" s="712" t="s">
        <v>238</v>
      </c>
    </row>
    <row r="157" spans="11:11">
      <c r="K157" s="712" t="s">
        <v>238</v>
      </c>
    </row>
    <row r="158" spans="11:11">
      <c r="K158" s="712" t="s">
        <v>238</v>
      </c>
    </row>
    <row r="159" spans="11:11">
      <c r="K159" s="712" t="s">
        <v>238</v>
      </c>
    </row>
    <row r="160" spans="11:11">
      <c r="K160" s="712" t="s">
        <v>238</v>
      </c>
    </row>
    <row r="161" spans="11:11">
      <c r="K161" s="712" t="s">
        <v>238</v>
      </c>
    </row>
    <row r="162" spans="11:11">
      <c r="K162" s="712" t="s">
        <v>238</v>
      </c>
    </row>
    <row r="163" spans="11:11">
      <c r="K163" s="712" t="s">
        <v>238</v>
      </c>
    </row>
    <row r="164" spans="11:11">
      <c r="K164" s="712" t="s">
        <v>238</v>
      </c>
    </row>
    <row r="165" spans="11:11">
      <c r="K165" s="712" t="s">
        <v>238</v>
      </c>
    </row>
    <row r="166" spans="11:11">
      <c r="K166" s="712" t="s">
        <v>238</v>
      </c>
    </row>
    <row r="167" spans="11:11">
      <c r="K167" s="712" t="s">
        <v>238</v>
      </c>
    </row>
    <row r="168" spans="11:11">
      <c r="K168" s="712" t="s">
        <v>238</v>
      </c>
    </row>
    <row r="169" spans="11:11">
      <c r="K169" s="712" t="s">
        <v>238</v>
      </c>
    </row>
    <row r="170" spans="11:11">
      <c r="K170" s="712" t="s">
        <v>238</v>
      </c>
    </row>
    <row r="171" spans="11:11">
      <c r="K171" s="712" t="s">
        <v>238</v>
      </c>
    </row>
    <row r="172" spans="11:11">
      <c r="K172" s="712" t="s">
        <v>238</v>
      </c>
    </row>
    <row r="173" spans="11:11">
      <c r="K173" s="712" t="s">
        <v>238</v>
      </c>
    </row>
    <row r="174" spans="11:11">
      <c r="K174" s="712" t="s">
        <v>238</v>
      </c>
    </row>
    <row r="175" spans="11:11">
      <c r="K175" s="712" t="s">
        <v>238</v>
      </c>
    </row>
    <row r="176" spans="11:11">
      <c r="K176" s="712" t="s">
        <v>238</v>
      </c>
    </row>
    <row r="177" spans="11:11">
      <c r="K177" s="712" t="s">
        <v>238</v>
      </c>
    </row>
    <row r="178" spans="11:11">
      <c r="K178" s="712" t="s">
        <v>238</v>
      </c>
    </row>
    <row r="179" spans="11:11">
      <c r="K179" s="712" t="s">
        <v>238</v>
      </c>
    </row>
    <row r="180" spans="11:11">
      <c r="K180" s="712" t="s">
        <v>238</v>
      </c>
    </row>
    <row r="181" spans="11:11">
      <c r="K181" s="712" t="s">
        <v>238</v>
      </c>
    </row>
    <row r="182" spans="11:11">
      <c r="K182" s="712" t="s">
        <v>238</v>
      </c>
    </row>
    <row r="183" spans="11:11">
      <c r="K183" s="712" t="s">
        <v>238</v>
      </c>
    </row>
    <row r="184" spans="11:11">
      <c r="K184" s="712" t="s">
        <v>238</v>
      </c>
    </row>
    <row r="185" spans="11:11">
      <c r="K185" s="712" t="s">
        <v>238</v>
      </c>
    </row>
    <row r="186" spans="11:11">
      <c r="K186" s="712" t="s">
        <v>238</v>
      </c>
    </row>
    <row r="187" spans="11:11">
      <c r="K187" s="712" t="s">
        <v>238</v>
      </c>
    </row>
    <row r="188" spans="11:11">
      <c r="K188" s="712" t="s">
        <v>238</v>
      </c>
    </row>
    <row r="189" spans="11:11">
      <c r="K189" s="712" t="s">
        <v>238</v>
      </c>
    </row>
    <row r="190" spans="11:11">
      <c r="K190" s="712" t="s">
        <v>238</v>
      </c>
    </row>
    <row r="191" spans="11:11">
      <c r="K191" s="712" t="s">
        <v>238</v>
      </c>
    </row>
    <row r="192" spans="11:11">
      <c r="K192" s="712" t="s">
        <v>238</v>
      </c>
    </row>
    <row r="193" spans="11:11">
      <c r="K193" s="712" t="s">
        <v>238</v>
      </c>
    </row>
    <row r="194" spans="11:11">
      <c r="K194" s="712" t="s">
        <v>238</v>
      </c>
    </row>
    <row r="195" spans="11:11">
      <c r="K195" s="712" t="s">
        <v>238</v>
      </c>
    </row>
    <row r="196" spans="11:11">
      <c r="K196" s="712" t="s">
        <v>238</v>
      </c>
    </row>
    <row r="197" spans="11:11">
      <c r="K197" s="712" t="s">
        <v>238</v>
      </c>
    </row>
    <row r="198" spans="11:11">
      <c r="K198" s="712" t="s">
        <v>238</v>
      </c>
    </row>
    <row r="199" spans="11:11">
      <c r="K199" s="712" t="s">
        <v>238</v>
      </c>
    </row>
    <row r="200" spans="11:11">
      <c r="K200" s="712" t="s">
        <v>238</v>
      </c>
    </row>
    <row r="201" spans="11:11">
      <c r="K201" s="712" t="s">
        <v>238</v>
      </c>
    </row>
    <row r="202" spans="11:11">
      <c r="K202" s="712" t="s">
        <v>238</v>
      </c>
    </row>
    <row r="203" spans="11:11">
      <c r="K203" s="712" t="s">
        <v>238</v>
      </c>
    </row>
    <row r="204" spans="11:11">
      <c r="K204" s="712" t="s">
        <v>238</v>
      </c>
    </row>
    <row r="205" spans="11:11">
      <c r="K205" s="712" t="s">
        <v>238</v>
      </c>
    </row>
    <row r="206" spans="11:11">
      <c r="K206" s="712" t="s">
        <v>238</v>
      </c>
    </row>
    <row r="207" spans="11:11">
      <c r="K207" s="712" t="s">
        <v>238</v>
      </c>
    </row>
    <row r="208" spans="11:11">
      <c r="K208" s="712" t="s">
        <v>238</v>
      </c>
    </row>
    <row r="209" spans="11:11">
      <c r="K209" s="712" t="s">
        <v>238</v>
      </c>
    </row>
    <row r="210" spans="11:11">
      <c r="K210" s="712" t="s">
        <v>238</v>
      </c>
    </row>
    <row r="211" spans="11:11">
      <c r="K211" s="712" t="s">
        <v>238</v>
      </c>
    </row>
    <row r="212" spans="11:11">
      <c r="K212" s="712" t="s">
        <v>238</v>
      </c>
    </row>
    <row r="213" spans="11:11">
      <c r="K213" s="712" t="s">
        <v>238</v>
      </c>
    </row>
    <row r="214" spans="11:11">
      <c r="K214" s="712" t="s">
        <v>238</v>
      </c>
    </row>
    <row r="215" spans="11:11">
      <c r="K215" s="712" t="s">
        <v>238</v>
      </c>
    </row>
    <row r="216" spans="11:11">
      <c r="K216" s="712" t="s">
        <v>238</v>
      </c>
    </row>
    <row r="217" spans="11:11">
      <c r="K217" s="712" t="s">
        <v>238</v>
      </c>
    </row>
    <row r="218" spans="11:11">
      <c r="K218" s="712" t="s">
        <v>238</v>
      </c>
    </row>
    <row r="219" spans="11:11">
      <c r="K219" s="712" t="s">
        <v>238</v>
      </c>
    </row>
    <row r="220" spans="11:11">
      <c r="K220" s="712" t="s">
        <v>238</v>
      </c>
    </row>
    <row r="221" spans="11:11">
      <c r="K221" s="712" t="s">
        <v>238</v>
      </c>
    </row>
    <row r="222" spans="11:11">
      <c r="K222" s="712" t="s">
        <v>238</v>
      </c>
    </row>
    <row r="223" spans="11:11">
      <c r="K223" s="712" t="s">
        <v>238</v>
      </c>
    </row>
    <row r="224" spans="11:11">
      <c r="K224" s="712" t="s">
        <v>238</v>
      </c>
    </row>
    <row r="225" spans="11:11">
      <c r="K225" s="712" t="s">
        <v>238</v>
      </c>
    </row>
    <row r="226" spans="11:11">
      <c r="K226" s="712" t="s">
        <v>238</v>
      </c>
    </row>
    <row r="227" spans="11:11">
      <c r="K227" s="712" t="s">
        <v>238</v>
      </c>
    </row>
    <row r="228" spans="11:11">
      <c r="K228" s="712" t="s">
        <v>238</v>
      </c>
    </row>
    <row r="229" spans="11:11">
      <c r="K229" s="712" t="s">
        <v>238</v>
      </c>
    </row>
    <row r="230" spans="11:11">
      <c r="K230" s="712" t="s">
        <v>238</v>
      </c>
    </row>
    <row r="231" spans="11:11">
      <c r="K231" s="712" t="s">
        <v>238</v>
      </c>
    </row>
    <row r="232" spans="11:11">
      <c r="K232" s="712" t="s">
        <v>238</v>
      </c>
    </row>
    <row r="233" spans="11:11">
      <c r="K233" s="712" t="s">
        <v>238</v>
      </c>
    </row>
    <row r="234" spans="11:11">
      <c r="K234" s="712" t="s">
        <v>238</v>
      </c>
    </row>
    <row r="235" spans="11:11">
      <c r="K235" s="712" t="s">
        <v>238</v>
      </c>
    </row>
    <row r="236" spans="11:11">
      <c r="K236" s="712" t="s">
        <v>238</v>
      </c>
    </row>
    <row r="237" spans="11:11">
      <c r="K237" s="712" t="s">
        <v>238</v>
      </c>
    </row>
    <row r="238" spans="11:11">
      <c r="K238" s="712" t="s">
        <v>238</v>
      </c>
    </row>
    <row r="239" spans="11:11">
      <c r="K239" s="712" t="s">
        <v>238</v>
      </c>
    </row>
    <row r="240" spans="11:11">
      <c r="K240" s="712" t="s">
        <v>238</v>
      </c>
    </row>
    <row r="241" spans="11:11">
      <c r="K241" s="712" t="s">
        <v>238</v>
      </c>
    </row>
    <row r="242" spans="11:11">
      <c r="K242" s="712" t="s">
        <v>238</v>
      </c>
    </row>
    <row r="243" spans="11:11">
      <c r="K243" s="712" t="s">
        <v>238</v>
      </c>
    </row>
    <row r="244" spans="11:11">
      <c r="K244" s="712" t="s">
        <v>238</v>
      </c>
    </row>
    <row r="245" spans="11:11">
      <c r="K245" s="712" t="s">
        <v>238</v>
      </c>
    </row>
    <row r="246" spans="11:11">
      <c r="K246" s="712" t="s">
        <v>238</v>
      </c>
    </row>
    <row r="247" spans="11:11">
      <c r="K247" s="712" t="s">
        <v>238</v>
      </c>
    </row>
    <row r="248" spans="11:11">
      <c r="K248" s="712" t="s">
        <v>238</v>
      </c>
    </row>
    <row r="249" spans="11:11">
      <c r="K249" s="712" t="s">
        <v>238</v>
      </c>
    </row>
    <row r="250" spans="11:11">
      <c r="K250" s="712" t="s">
        <v>238</v>
      </c>
    </row>
    <row r="251" spans="11:11">
      <c r="K251" s="712" t="s">
        <v>238</v>
      </c>
    </row>
    <row r="252" spans="11:11">
      <c r="K252" s="712" t="s">
        <v>238</v>
      </c>
    </row>
    <row r="253" spans="11:11">
      <c r="K253" s="712" t="s">
        <v>238</v>
      </c>
    </row>
    <row r="254" spans="11:11">
      <c r="K254" s="712" t="s">
        <v>238</v>
      </c>
    </row>
    <row r="255" spans="11:11">
      <c r="K255" s="712" t="s">
        <v>238</v>
      </c>
    </row>
    <row r="256" spans="11:11">
      <c r="K256" s="712" t="s">
        <v>238</v>
      </c>
    </row>
    <row r="257" spans="11:11">
      <c r="K257" s="712" t="s">
        <v>238</v>
      </c>
    </row>
    <row r="258" spans="11:11">
      <c r="K258" s="712" t="s">
        <v>238</v>
      </c>
    </row>
    <row r="259" spans="11:11">
      <c r="K259" s="712" t="s">
        <v>238</v>
      </c>
    </row>
    <row r="260" spans="11:11">
      <c r="K260" s="712" t="s">
        <v>238</v>
      </c>
    </row>
    <row r="261" spans="11:11">
      <c r="K261" s="712" t="s">
        <v>238</v>
      </c>
    </row>
    <row r="262" spans="11:11">
      <c r="K262" s="712" t="s">
        <v>238</v>
      </c>
    </row>
    <row r="263" spans="11:11">
      <c r="K263" s="712" t="s">
        <v>238</v>
      </c>
    </row>
    <row r="264" spans="11:11">
      <c r="K264" s="712" t="s">
        <v>238</v>
      </c>
    </row>
    <row r="265" spans="11:11">
      <c r="K265" s="712" t="s">
        <v>238</v>
      </c>
    </row>
    <row r="266" spans="11:11">
      <c r="K266" s="712" t="s">
        <v>238</v>
      </c>
    </row>
    <row r="267" spans="11:11">
      <c r="K267" s="712" t="s">
        <v>238</v>
      </c>
    </row>
    <row r="268" spans="11:11">
      <c r="K268" s="712" t="s">
        <v>238</v>
      </c>
    </row>
    <row r="269" spans="11:11">
      <c r="K269" s="712" t="s">
        <v>238</v>
      </c>
    </row>
    <row r="270" spans="11:11">
      <c r="K270" s="712" t="s">
        <v>238</v>
      </c>
    </row>
    <row r="271" spans="11:11">
      <c r="K271" s="712" t="s">
        <v>238</v>
      </c>
    </row>
    <row r="272" spans="11:11">
      <c r="K272" s="712" t="s">
        <v>238</v>
      </c>
    </row>
    <row r="273" spans="11:11">
      <c r="K273" s="712" t="s">
        <v>238</v>
      </c>
    </row>
    <row r="274" spans="11:11">
      <c r="K274" s="712" t="s">
        <v>238</v>
      </c>
    </row>
    <row r="275" spans="11:11">
      <c r="K275" s="712" t="s">
        <v>238</v>
      </c>
    </row>
    <row r="276" spans="11:11">
      <c r="K276" s="712" t="s">
        <v>238</v>
      </c>
    </row>
    <row r="277" spans="11:11">
      <c r="K277" s="712" t="s">
        <v>238</v>
      </c>
    </row>
    <row r="278" spans="11:11">
      <c r="K278" s="712" t="s">
        <v>238</v>
      </c>
    </row>
    <row r="279" spans="11:11">
      <c r="K279" s="712" t="s">
        <v>238</v>
      </c>
    </row>
    <row r="280" spans="11:11">
      <c r="K280" s="712" t="s">
        <v>238</v>
      </c>
    </row>
    <row r="281" spans="11:11">
      <c r="K281" s="712" t="s">
        <v>238</v>
      </c>
    </row>
    <row r="282" spans="11:11">
      <c r="K282" s="712" t="s">
        <v>238</v>
      </c>
    </row>
  </sheetData>
  <conditionalFormatting sqref="A1:A2">
    <cfRule type="duplicateValues" dxfId="302" priority="11"/>
  </conditionalFormatting>
  <conditionalFormatting sqref="A24:A42 A44:A46">
    <cfRule type="duplicateValues" dxfId="301" priority="10"/>
  </conditionalFormatting>
  <conditionalFormatting sqref="A43">
    <cfRule type="duplicateValues" dxfId="300" priority="6"/>
  </conditionalFormatting>
  <conditionalFormatting sqref="A47">
    <cfRule type="duplicateValues" dxfId="299" priority="5"/>
  </conditionalFormatting>
  <conditionalFormatting sqref="S16">
    <cfRule type="containsText" dxfId="298" priority="3" operator="containsText" text="USD">
      <formula>NOT(ISERROR(SEARCH("USD",S16)))</formula>
    </cfRule>
    <cfRule type="containsText" dxfId="297" priority="4" operator="containsText" text="EUR">
      <formula>NOT(ISERROR(SEARCH("EUR",S16)))</formula>
    </cfRule>
  </conditionalFormatting>
  <conditionalFormatting sqref="A75">
    <cfRule type="duplicateValues" dxfId="296" priority="2"/>
  </conditionalFormatting>
  <conditionalFormatting sqref="G1:G1048576">
    <cfRule type="containsText" dxfId="295" priority="1" operator="containsText" text="gfatm">
      <formula>NOT(ISERROR(SEARCH("gfatm",G1)))</formula>
    </cfRule>
  </conditionalFormatting>
  <dataValidations count="3">
    <dataValidation type="list" allowBlank="1" showInputMessage="1" showErrorMessage="1" sqref="O17:O35" xr:uid="{00000000-0002-0000-1200-000000000000}">
      <formula1>Denumire_produs_ro</formula1>
    </dataValidation>
    <dataValidation type="list" allowBlank="1" showInputMessage="1" showErrorMessage="1" sqref="I43 I47 I75" xr:uid="{00000000-0002-0000-1200-000001000000}">
      <formula1>TB_implementare</formula1>
    </dataValidation>
    <dataValidation type="list" allowBlank="1" showInputMessage="1" showErrorMessage="1" sqref="G43 G47 G75" xr:uid="{00000000-0002-0000-1200-000002000000}">
      <formula1>TB_sursa_finant_Ro</formula1>
    </dataValidation>
  </dataValidations>
  <hyperlinks>
    <hyperlink ref="O1" location="CUPRINS!A1" display="CUPRINS" xr:uid="{00000000-0004-0000-12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3000000}">
          <x14:formula1>
            <xm:f>Nom_activ_2!$H$2:$H$88</xm:f>
          </x14:formula1>
          <xm:sqref>J47 J43 J75</xm:sqref>
        </x14:dataValidation>
      </x14:dataValidations>
    </ext>
  </extLst>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J319"/>
  <sheetViews>
    <sheetView zoomScale="70" zoomScaleNormal="70" workbookViewId="0">
      <pane xSplit="2" ySplit="3" topLeftCell="D73" activePane="bottomRight" state="frozen"/>
      <selection pane="topRight" activeCell="C1" sqref="C1"/>
      <selection pane="bottomLeft" activeCell="A4" sqref="A4"/>
      <selection pane="bottomRight" activeCell="J29" sqref="J29"/>
    </sheetView>
  </sheetViews>
  <sheetFormatPr baseColWidth="10" defaultColWidth="8.83203125" defaultRowHeight="16" outlineLevelRow="1"/>
  <cols>
    <col min="1" max="1" width="29.1640625" style="1862" customWidth="1"/>
    <col min="2" max="2" width="255.6640625" style="1863" bestFit="1" customWidth="1"/>
    <col min="3" max="3" width="15.33203125" style="1862" bestFit="1" customWidth="1"/>
    <col min="4" max="5" width="14" style="1862" bestFit="1" customWidth="1"/>
    <col min="6" max="6" width="13.1640625" style="1862" bestFit="1" customWidth="1"/>
    <col min="7" max="7" width="13.1640625" style="1865" bestFit="1" customWidth="1"/>
    <col min="8" max="8" width="40.5" style="1861" bestFit="1" customWidth="1"/>
    <col min="9" max="9" width="16.33203125" style="1868" customWidth="1"/>
    <col min="10" max="10" width="56.5" style="1868" customWidth="1"/>
    <col min="11" max="16384" width="8.83203125" style="1868"/>
  </cols>
  <sheetData>
    <row r="1" spans="1:10">
      <c r="B1" s="1861" t="s">
        <v>3718</v>
      </c>
      <c r="C1" s="1861" t="s">
        <v>3716</v>
      </c>
    </row>
    <row r="2" spans="1:10">
      <c r="A2" s="2093" t="s">
        <v>356</v>
      </c>
    </row>
    <row r="3" spans="1:10" ht="17">
      <c r="A3" s="2094" t="s">
        <v>3249</v>
      </c>
      <c r="B3" s="1863" t="s">
        <v>3240</v>
      </c>
      <c r="C3" s="1862" t="s">
        <v>3243</v>
      </c>
      <c r="D3" s="1862" t="s">
        <v>3244</v>
      </c>
      <c r="E3" s="1862" t="s">
        <v>3245</v>
      </c>
      <c r="F3" s="1862" t="s">
        <v>3246</v>
      </c>
      <c r="G3" s="1862" t="s">
        <v>3247</v>
      </c>
      <c r="H3" s="1993" t="s">
        <v>3248</v>
      </c>
      <c r="I3" s="1808"/>
      <c r="J3" s="1867"/>
    </row>
    <row r="4" spans="1:10" ht="17" outlineLevel="1">
      <c r="B4" s="1864" t="s">
        <v>246</v>
      </c>
      <c r="C4" s="1866">
        <v>2988297.83</v>
      </c>
      <c r="D4" s="1866">
        <v>2315817.0699999998</v>
      </c>
      <c r="E4" s="1866">
        <v>2213820</v>
      </c>
      <c r="F4" s="1866">
        <v>0</v>
      </c>
      <c r="G4" s="1866">
        <v>0</v>
      </c>
      <c r="H4" s="2185">
        <v>7517934.8999999994</v>
      </c>
      <c r="I4" s="1808"/>
      <c r="J4" s="1867"/>
    </row>
    <row r="5" spans="1:10" ht="17" outlineLevel="1">
      <c r="A5" s="1862" t="str">
        <f ca="1">IFERROR(VLOOKUP(B5,Buget_detaliat!F:I,4,0),"")</f>
        <v/>
      </c>
      <c r="B5" s="1864" t="s">
        <v>389</v>
      </c>
      <c r="C5" s="1866">
        <v>2988297.83</v>
      </c>
      <c r="D5" s="1866">
        <v>2315817.0699999998</v>
      </c>
      <c r="E5" s="1866">
        <v>2213820</v>
      </c>
      <c r="F5" s="1866">
        <v>0</v>
      </c>
      <c r="G5" s="1866">
        <v>0</v>
      </c>
      <c r="H5" s="2101">
        <v>7517934.8999999994</v>
      </c>
      <c r="I5" s="1808"/>
      <c r="J5" s="1867"/>
    </row>
    <row r="6" spans="1:10" ht="17" outlineLevel="1">
      <c r="A6" s="1862" t="str">
        <f ca="1">IFERROR(VLOOKUP(B6,Buget_detaliat!F:I,4,0),"")</f>
        <v/>
      </c>
      <c r="B6" s="1864" t="s">
        <v>2925</v>
      </c>
      <c r="C6" s="1866">
        <v>2988297.83</v>
      </c>
      <c r="D6" s="1866">
        <v>2315817.0699999998</v>
      </c>
      <c r="E6" s="1866">
        <v>2213820</v>
      </c>
      <c r="F6" s="1866">
        <v>0</v>
      </c>
      <c r="G6" s="1866">
        <v>0</v>
      </c>
      <c r="H6" s="2101">
        <v>7517934.8999999994</v>
      </c>
      <c r="I6" s="1808"/>
      <c r="J6" s="1867"/>
    </row>
    <row r="7" spans="1:10" ht="39.75" customHeight="1" outlineLevel="1">
      <c r="A7" s="1862" t="str">
        <f ca="1">IFERROR(IF(B7="","",VLOOKUP(B7,Buget_detaliat!F:I,4,0)),"")</f>
        <v>Exam_grup_risc</v>
      </c>
      <c r="B7" s="1864" t="s">
        <v>3045</v>
      </c>
      <c r="C7" s="1866">
        <v>2846300.7600000002</v>
      </c>
      <c r="D7" s="1866">
        <v>2213820</v>
      </c>
      <c r="E7" s="1866">
        <v>2213820</v>
      </c>
      <c r="F7" s="1866">
        <v>0</v>
      </c>
      <c r="G7" s="1866">
        <v>0</v>
      </c>
      <c r="H7" s="2101">
        <v>7273940.7599999998</v>
      </c>
      <c r="I7" s="1808"/>
      <c r="J7" s="1867"/>
    </row>
    <row r="8" spans="1:10" ht="39.75" customHeight="1">
      <c r="A8" s="1862" t="str">
        <f ca="1">IFERROR(IF(B8="","",VLOOKUP(B8,Buget_detaliat!F:I,4,0)),"")</f>
        <v>Exam_grup_risc</v>
      </c>
      <c r="B8" s="1864" t="s">
        <v>3046</v>
      </c>
      <c r="C8" s="1866">
        <v>101997.07</v>
      </c>
      <c r="D8" s="1866">
        <v>101997.07</v>
      </c>
      <c r="E8" s="1866">
        <v>0</v>
      </c>
      <c r="F8" s="1866">
        <v>0</v>
      </c>
      <c r="G8" s="1866">
        <v>0</v>
      </c>
      <c r="H8" s="2101">
        <v>203994.14</v>
      </c>
      <c r="I8" s="1808"/>
      <c r="J8" s="1867"/>
    </row>
    <row r="9" spans="1:10" ht="39.75" customHeight="1">
      <c r="A9" s="1862" t="str">
        <f ca="1">IFERROR(IF(B9="","",VLOOKUP(B9,Buget_detaliat!F:I,4,0)),"")</f>
        <v>Exam_grup_risc</v>
      </c>
      <c r="B9" s="1864" t="s">
        <v>3047</v>
      </c>
      <c r="C9" s="1866">
        <v>40000</v>
      </c>
      <c r="D9" s="1866">
        <v>0</v>
      </c>
      <c r="E9" s="1866">
        <v>0</v>
      </c>
      <c r="F9" s="1866">
        <v>0</v>
      </c>
      <c r="G9" s="1866">
        <v>0</v>
      </c>
      <c r="H9" s="2101">
        <v>40000</v>
      </c>
      <c r="I9" s="1808"/>
      <c r="J9" s="1867"/>
    </row>
    <row r="10" spans="1:10">
      <c r="A10" s="1862" t="str">
        <f>IFERROR(IF(B10="","",VLOOKUP(B10,Buget_detaliat!F:I,4,0)),"")</f>
        <v/>
      </c>
      <c r="B10" s="2092"/>
      <c r="C10" s="1866"/>
      <c r="D10" s="1866"/>
      <c r="E10" s="1866"/>
      <c r="F10" s="1866"/>
      <c r="G10" s="1866"/>
      <c r="H10" s="1869"/>
      <c r="I10" s="1808"/>
      <c r="J10" s="1867"/>
    </row>
    <row r="11" spans="1:10" ht="17">
      <c r="A11" s="1862" t="str">
        <f ca="1">IFERROR(IF(B11="","",VLOOKUP(B11,Buget_detaliat!F:I,4,0)),"")</f>
        <v/>
      </c>
      <c r="B11" s="1864" t="s">
        <v>248</v>
      </c>
      <c r="C11" s="1866">
        <v>3638952.2138</v>
      </c>
      <c r="D11" s="1866">
        <v>2384527.3902000003</v>
      </c>
      <c r="E11" s="1866">
        <v>2553499.5099999998</v>
      </c>
      <c r="F11" s="1866">
        <v>0</v>
      </c>
      <c r="G11" s="1866">
        <v>0</v>
      </c>
      <c r="H11" s="2101">
        <v>8576979.1140000001</v>
      </c>
      <c r="I11" s="1808"/>
      <c r="J11" s="1867"/>
    </row>
    <row r="12" spans="1:10" ht="17">
      <c r="A12" s="1862" t="str">
        <f ca="1">IFERROR(IF(B12="","",VLOOKUP(B12,Buget_detaliat!F:I,4,0)),"")</f>
        <v/>
      </c>
      <c r="B12" s="1864" t="s">
        <v>1850</v>
      </c>
      <c r="C12" s="1866">
        <v>564799.39879999997</v>
      </c>
      <c r="D12" s="1866">
        <v>242056.88520000002</v>
      </c>
      <c r="E12" s="1866">
        <v>376212</v>
      </c>
      <c r="F12" s="1866">
        <v>0</v>
      </c>
      <c r="G12" s="1866">
        <v>0</v>
      </c>
      <c r="H12" s="2101">
        <v>1183068.284</v>
      </c>
      <c r="I12" s="1808"/>
      <c r="J12" s="1867"/>
    </row>
    <row r="13" spans="1:10" ht="17">
      <c r="A13" s="1862" t="str">
        <f ca="1">IFERROR(IF(B13="","",VLOOKUP(B13,Buget_detaliat!F:I,4,0)),"")</f>
        <v/>
      </c>
      <c r="B13" s="1864" t="s">
        <v>2938</v>
      </c>
      <c r="C13" s="1866">
        <v>564799.39879999997</v>
      </c>
      <c r="D13" s="1866">
        <v>242056.88520000002</v>
      </c>
      <c r="E13" s="1866">
        <v>376212</v>
      </c>
      <c r="F13" s="1866">
        <v>0</v>
      </c>
      <c r="G13" s="1866">
        <v>0</v>
      </c>
      <c r="H13" s="2101">
        <v>1183068.284</v>
      </c>
      <c r="I13" s="1808"/>
      <c r="J13" s="1867" t="e">
        <f>GETPIVOTDATA("Sum of Cost sumar activitate 2021-2025",$B$3,"Obiectiv_abr","2.","Direcții de acțiuni ","2.1.  Asigurarea depistării TB prin aplicarea constantă și extinderea metodelor microbiologice rapide de diagnostic ","Intervenții","2.1.1. Aplicarea metodelor molecular genetice pentru diagnosticul rapid al TB și RR/MDR TB")/EUR</f>
        <v>#REF!</v>
      </c>
    </row>
    <row r="14" spans="1:10" ht="24" customHeight="1">
      <c r="A14" s="1862" t="str">
        <f ca="1">IFERROR(IF(B14="","",VLOOKUP(B14,Buget_detaliat!F:I,4,0)),"")</f>
        <v>Tratament_Scheme_scurte</v>
      </c>
      <c r="B14" s="1864" t="s">
        <v>3250</v>
      </c>
      <c r="C14" s="1866">
        <v>0</v>
      </c>
      <c r="D14" s="1866">
        <v>0</v>
      </c>
      <c r="E14" s="1866">
        <v>376212</v>
      </c>
      <c r="F14" s="1866">
        <v>0</v>
      </c>
      <c r="G14" s="1866">
        <v>0</v>
      </c>
      <c r="H14" s="2101">
        <v>376212</v>
      </c>
      <c r="I14" s="1808"/>
      <c r="J14" s="1867"/>
    </row>
    <row r="15" spans="1:10" ht="24" customHeight="1">
      <c r="A15" s="1862" t="str">
        <f ca="1">IFERROR(IF(B15="","",VLOOKUP(B15,Buget_detaliat!F:I,4,0)),"")</f>
        <v>Tratament_Scheme_scurte</v>
      </c>
      <c r="B15" s="1864" t="s">
        <v>3169</v>
      </c>
      <c r="C15" s="1866">
        <v>564799.39879999997</v>
      </c>
      <c r="D15" s="1866">
        <v>242056.88520000002</v>
      </c>
      <c r="E15" s="1866">
        <v>0</v>
      </c>
      <c r="F15" s="1866">
        <v>0</v>
      </c>
      <c r="G15" s="1866">
        <v>0</v>
      </c>
      <c r="H15" s="2101">
        <v>806856.28399999999</v>
      </c>
      <c r="I15" s="1808"/>
      <c r="J15" s="1867"/>
    </row>
    <row r="16" spans="1:10">
      <c r="A16" s="1862" t="str">
        <f>IFERROR(IF(B16="","",VLOOKUP(B16,Buget_detaliat!F:I,4,0)),"")</f>
        <v/>
      </c>
      <c r="B16" s="2092"/>
      <c r="C16" s="1866"/>
      <c r="D16" s="1866"/>
      <c r="E16" s="1866"/>
      <c r="F16" s="1866"/>
      <c r="G16" s="1866"/>
      <c r="H16" s="1869"/>
      <c r="I16" s="1808"/>
      <c r="J16" s="1867"/>
    </row>
    <row r="17" spans="1:10" ht="17">
      <c r="A17" s="1862" t="str">
        <f ca="1">IFERROR(IF(B17="","",VLOOKUP(B17,Buget_detaliat!F:I,4,0)),"")</f>
        <v/>
      </c>
      <c r="B17" s="1864" t="s">
        <v>1851</v>
      </c>
      <c r="C17" s="1866">
        <v>80000</v>
      </c>
      <c r="D17" s="1866">
        <v>79152.570000000007</v>
      </c>
      <c r="E17" s="1866">
        <v>376212</v>
      </c>
      <c r="F17" s="1866">
        <v>0</v>
      </c>
      <c r="G17" s="1866">
        <v>0</v>
      </c>
      <c r="H17" s="2101">
        <v>535364.57000000007</v>
      </c>
      <c r="I17" s="1808"/>
      <c r="J17" s="1867"/>
    </row>
    <row r="18" spans="1:10" ht="17">
      <c r="A18" s="1862" t="str">
        <f ca="1">IFERROR(IF(B18="","",VLOOKUP(B18,Buget_detaliat!F:I,4,0)),"")</f>
        <v/>
      </c>
      <c r="B18" s="1864" t="s">
        <v>2939</v>
      </c>
      <c r="C18" s="1866">
        <v>40000</v>
      </c>
      <c r="D18" s="1866">
        <v>79152.570000000007</v>
      </c>
      <c r="E18" s="1866">
        <v>376212</v>
      </c>
      <c r="F18" s="1866">
        <v>0</v>
      </c>
      <c r="G18" s="1866">
        <v>0</v>
      </c>
      <c r="H18" s="2101">
        <v>495364.57</v>
      </c>
      <c r="I18" s="1808"/>
      <c r="J18" s="1867"/>
    </row>
    <row r="19" spans="1:10" ht="33" customHeight="1">
      <c r="A19" s="1862" t="str">
        <f ca="1">IFERROR(IF(B19="","",VLOOKUP(B19,Buget_detaliat!F:I,4,0)),"")</f>
        <v>RA_farmacovigilenta</v>
      </c>
      <c r="B19" s="1864" t="s">
        <v>3085</v>
      </c>
      <c r="C19" s="1866">
        <v>40000</v>
      </c>
      <c r="D19" s="1866">
        <v>0</v>
      </c>
      <c r="E19" s="1866">
        <v>0</v>
      </c>
      <c r="F19" s="1866">
        <v>0</v>
      </c>
      <c r="G19" s="1866">
        <v>0</v>
      </c>
      <c r="H19" s="2101">
        <v>40000</v>
      </c>
      <c r="I19" s="1808"/>
      <c r="J19" s="1867"/>
    </row>
    <row r="20" spans="1:10" ht="33" customHeight="1">
      <c r="A20" s="1862" t="str">
        <f ca="1">IFERROR(IF(B20="","",VLOOKUP(B20,Buget_detaliat!F:I,4,0)),"")</f>
        <v>RA_farmacovigilenta</v>
      </c>
      <c r="B20" s="1864" t="s">
        <v>3086</v>
      </c>
      <c r="C20" s="1866">
        <v>0</v>
      </c>
      <c r="D20" s="1866">
        <v>79152.570000000007</v>
      </c>
      <c r="E20" s="1866">
        <v>0</v>
      </c>
      <c r="F20" s="1866">
        <v>0</v>
      </c>
      <c r="G20" s="1866">
        <v>0</v>
      </c>
      <c r="H20" s="2101">
        <v>79152.570000000007</v>
      </c>
      <c r="I20" s="1808"/>
      <c r="J20" s="1867"/>
    </row>
    <row r="21" spans="1:10" ht="17">
      <c r="A21" s="1862" t="str">
        <f ca="1">IFERROR(IF(B21="","",VLOOKUP(B21,Buget_detaliat!F:I,4,0)),"")</f>
        <v>RA_farmacovigilenta</v>
      </c>
      <c r="B21" s="2113" t="s">
        <v>3087</v>
      </c>
      <c r="C21" s="1866">
        <v>0</v>
      </c>
      <c r="D21" s="1866">
        <v>0</v>
      </c>
      <c r="E21" s="1866">
        <v>376212</v>
      </c>
      <c r="F21" s="1866">
        <v>0</v>
      </c>
      <c r="G21" s="1866">
        <v>0</v>
      </c>
      <c r="H21" s="2101">
        <v>376212</v>
      </c>
      <c r="I21" s="1808"/>
      <c r="J21" s="1867"/>
    </row>
    <row r="22" spans="1:10">
      <c r="A22" s="1862" t="str">
        <f>IFERROR(IF(B22="","",VLOOKUP(B22,Buget_detaliat!F:I,4,0)),"")</f>
        <v/>
      </c>
      <c r="B22" s="2092"/>
      <c r="C22" s="1866"/>
      <c r="D22" s="1866"/>
      <c r="E22" s="1866"/>
      <c r="F22" s="1866"/>
      <c r="G22" s="1866"/>
      <c r="H22" s="1869"/>
      <c r="I22" s="1808"/>
      <c r="J22" s="1867"/>
    </row>
    <row r="23" spans="1:10" ht="17">
      <c r="A23" s="1862" t="str">
        <f ca="1">IFERROR(IF(B23="","",VLOOKUP(B23,Buget_detaliat!F:I,4,0)),"")</f>
        <v/>
      </c>
      <c r="B23" s="1864" t="s">
        <v>2940</v>
      </c>
      <c r="C23" s="1866">
        <v>40000</v>
      </c>
      <c r="D23" s="1866">
        <v>0</v>
      </c>
      <c r="E23" s="1866">
        <v>0</v>
      </c>
      <c r="F23" s="1866">
        <v>0</v>
      </c>
      <c r="G23" s="1866">
        <v>0</v>
      </c>
      <c r="H23" s="2101">
        <v>40000</v>
      </c>
      <c r="I23" s="1808"/>
      <c r="J23" s="1867"/>
    </row>
    <row r="24" spans="1:10" ht="17">
      <c r="A24" s="1862" t="str">
        <f ca="1">IFERROR(IF(B24="","",VLOOKUP(B24,Buget_detaliat!F:I,4,0)),"")</f>
        <v>RA_farmacovigilenta</v>
      </c>
      <c r="B24" s="1864" t="s">
        <v>3581</v>
      </c>
      <c r="C24" s="1866">
        <v>40000</v>
      </c>
      <c r="D24" s="1866">
        <v>0</v>
      </c>
      <c r="E24" s="1866">
        <v>0</v>
      </c>
      <c r="F24" s="1866">
        <v>0</v>
      </c>
      <c r="G24" s="1866">
        <v>0</v>
      </c>
      <c r="H24" s="2101">
        <v>40000</v>
      </c>
      <c r="I24" s="1808"/>
      <c r="J24" s="1867"/>
    </row>
    <row r="25" spans="1:10">
      <c r="A25" s="1862" t="str">
        <f>IFERROR(IF(B25="","",VLOOKUP(B25,Buget_detaliat!F:I,4,0)),"")</f>
        <v/>
      </c>
      <c r="B25" s="2092"/>
      <c r="C25" s="1866"/>
      <c r="D25" s="1866"/>
      <c r="E25" s="1866"/>
      <c r="F25" s="1866"/>
      <c r="G25" s="1866"/>
      <c r="H25" s="1869"/>
      <c r="I25" s="1808"/>
      <c r="J25" s="1867"/>
    </row>
    <row r="26" spans="1:10">
      <c r="A26" s="1862" t="str">
        <f ca="1">IFERROR(IF(B26="","",VLOOKUP(B26,Buget_detaliat!F:I,4,0)),"")</f>
        <v/>
      </c>
      <c r="B26" s="2092" t="s">
        <v>3127</v>
      </c>
      <c r="C26" s="1866">
        <v>0</v>
      </c>
      <c r="D26" s="1866">
        <v>0</v>
      </c>
      <c r="E26" s="1866">
        <v>0</v>
      </c>
      <c r="F26" s="1866">
        <v>0</v>
      </c>
      <c r="G26" s="1866">
        <v>0</v>
      </c>
      <c r="H26" s="1869">
        <v>0</v>
      </c>
      <c r="I26" s="1808"/>
      <c r="J26" s="1867"/>
    </row>
    <row r="27" spans="1:10">
      <c r="A27" s="1862" t="str">
        <f ca="1">IFERROR(IF(B27="","",VLOOKUP(B27,Buget_detaliat!F:I,4,0)),"")</f>
        <v>RA_farmacovigilenta</v>
      </c>
      <c r="B27" s="2092" t="s">
        <v>3722</v>
      </c>
      <c r="C27" s="1866">
        <v>0</v>
      </c>
      <c r="D27" s="1866">
        <v>0</v>
      </c>
      <c r="E27" s="1866">
        <v>0</v>
      </c>
      <c r="F27" s="1866">
        <v>0</v>
      </c>
      <c r="G27" s="1866">
        <v>0</v>
      </c>
      <c r="H27" s="1869">
        <v>0</v>
      </c>
      <c r="I27" s="2109"/>
      <c r="J27" s="1867"/>
    </row>
    <row r="28" spans="1:10">
      <c r="A28" s="1862" t="str">
        <f>IFERROR(IF(B28="","",VLOOKUP(B28,Buget_detaliat!F:I,4,0)),"")</f>
        <v/>
      </c>
      <c r="B28" s="2092"/>
      <c r="C28" s="1866"/>
      <c r="D28" s="1866"/>
      <c r="E28" s="1866"/>
      <c r="F28" s="1866"/>
      <c r="G28" s="1866"/>
      <c r="H28" s="1869"/>
      <c r="I28" s="1808"/>
      <c r="J28" s="1867"/>
    </row>
    <row r="29" spans="1:10" ht="17">
      <c r="A29" s="1862" t="str">
        <f ca="1">IFERROR(IF(B29="","",VLOOKUP(B29,Buget_detaliat!F:I,4,0)),"")</f>
        <v/>
      </c>
      <c r="B29" s="1864" t="s">
        <v>339</v>
      </c>
      <c r="C29" s="1866">
        <v>2994152.8149999999</v>
      </c>
      <c r="D29" s="1866">
        <v>2063317.9350000001</v>
      </c>
      <c r="E29" s="1866">
        <v>1801075.51</v>
      </c>
      <c r="F29" s="1866">
        <v>0</v>
      </c>
      <c r="G29" s="1866">
        <v>0</v>
      </c>
      <c r="H29" s="2101">
        <v>6858546.2599999998</v>
      </c>
      <c r="I29" s="1808"/>
      <c r="J29" s="1867"/>
    </row>
    <row r="30" spans="1:10" ht="17">
      <c r="A30" s="1862" t="str">
        <f ca="1">IFERROR(IF(B30="","",VLOOKUP(B30,Buget_detaliat!F:I,4,0)),"")</f>
        <v/>
      </c>
      <c r="B30" s="1864" t="s">
        <v>2941</v>
      </c>
      <c r="C30" s="1866">
        <v>1689662.0150000001</v>
      </c>
      <c r="D30" s="1866">
        <v>1131317.9350000001</v>
      </c>
      <c r="E30" s="1866">
        <v>1130675.51</v>
      </c>
      <c r="F30" s="1866">
        <v>0</v>
      </c>
      <c r="G30" s="1866">
        <v>0</v>
      </c>
      <c r="H30" s="2101">
        <v>3951655.46</v>
      </c>
      <c r="I30" s="1808"/>
      <c r="J30" s="1867"/>
    </row>
    <row r="31" spans="1:10" ht="17">
      <c r="A31" s="1862" t="str">
        <f ca="1">IFERROR(IF(B31="","",VLOOKUP(B31,Buget_detaliat!F:I,4,0)),"")</f>
        <v>Aderenta_VOT</v>
      </c>
      <c r="B31" s="1864" t="s">
        <v>3279</v>
      </c>
      <c r="C31" s="1866">
        <v>1023902.0150000001</v>
      </c>
      <c r="D31" s="1866">
        <v>1015733.9350000001</v>
      </c>
      <c r="E31" s="1866">
        <v>1015091.51</v>
      </c>
      <c r="F31" s="1866">
        <v>0</v>
      </c>
      <c r="G31" s="1866">
        <v>0</v>
      </c>
      <c r="H31" s="2101">
        <v>3054727.46</v>
      </c>
      <c r="I31" s="1808"/>
      <c r="J31" s="1867"/>
    </row>
    <row r="32" spans="1:10" ht="17">
      <c r="A32" s="1862" t="str">
        <f ca="1">IFERROR(IF(B32="","",VLOOKUP(B32,Buget_detaliat!F:I,4,0)),"")</f>
        <v>Aderenta_VOT</v>
      </c>
      <c r="B32" s="2165" t="s">
        <v>3255</v>
      </c>
      <c r="C32" s="1866">
        <v>115584</v>
      </c>
      <c r="D32" s="1866">
        <v>115584</v>
      </c>
      <c r="E32" s="1866">
        <v>115584</v>
      </c>
      <c r="F32" s="1866">
        <v>0</v>
      </c>
      <c r="G32" s="1866">
        <v>0</v>
      </c>
      <c r="H32" s="2101">
        <v>346752</v>
      </c>
      <c r="I32" s="1808"/>
      <c r="J32" s="1867"/>
    </row>
    <row r="33" spans="1:10" ht="17">
      <c r="A33" s="1862" t="str">
        <f ca="1">IFERROR(IF(B33="","",VLOOKUP(B33,Buget_detaliat!F:I,4,0)),"")</f>
        <v>Aderenta_VOT</v>
      </c>
      <c r="B33" s="1864" t="s">
        <v>3280</v>
      </c>
      <c r="C33" s="1866">
        <v>40000</v>
      </c>
      <c r="D33" s="1866">
        <v>0</v>
      </c>
      <c r="E33" s="1866">
        <v>0</v>
      </c>
      <c r="F33" s="1866">
        <v>0</v>
      </c>
      <c r="G33" s="1866">
        <v>0</v>
      </c>
      <c r="H33" s="2101">
        <v>40000</v>
      </c>
      <c r="I33" s="1808"/>
      <c r="J33" s="1867"/>
    </row>
    <row r="34" spans="1:10" ht="17">
      <c r="A34" s="1862" t="str">
        <f ca="1">IFERROR(IF(B34="","",VLOOKUP(B34,Buget_detaliat!F:I,4,0)),"")</f>
        <v>Aderenta_VOT</v>
      </c>
      <c r="B34" s="1864" t="s">
        <v>3533</v>
      </c>
      <c r="C34" s="1866">
        <v>510176</v>
      </c>
      <c r="D34" s="1866">
        <v>0</v>
      </c>
      <c r="E34" s="1866">
        <v>0</v>
      </c>
      <c r="F34" s="1866">
        <v>0</v>
      </c>
      <c r="G34" s="1866">
        <v>0</v>
      </c>
      <c r="H34" s="2101">
        <v>510176</v>
      </c>
      <c r="I34" s="1808"/>
      <c r="J34" s="1867"/>
    </row>
    <row r="35" spans="1:10">
      <c r="A35" s="1862" t="str">
        <f>IFERROR(IF(B35="","",VLOOKUP(B35,Buget_detaliat!F:I,4,0)),"")</f>
        <v/>
      </c>
      <c r="B35" s="2092"/>
      <c r="C35" s="1866"/>
      <c r="D35" s="1866"/>
      <c r="E35" s="1866"/>
      <c r="F35" s="1866"/>
      <c r="G35" s="1866"/>
      <c r="H35" s="1869"/>
      <c r="I35" s="1808"/>
      <c r="J35" s="1867"/>
    </row>
    <row r="36" spans="1:10" ht="17">
      <c r="A36" s="1862" t="str">
        <f ca="1">IFERROR(IF(B36="","",VLOOKUP(B36,Buget_detaliat!F:I,4,0)),"")</f>
        <v/>
      </c>
      <c r="B36" s="1864" t="s">
        <v>2943</v>
      </c>
      <c r="C36" s="1866">
        <v>1304490.8</v>
      </c>
      <c r="D36" s="1866">
        <v>932000</v>
      </c>
      <c r="E36" s="1866">
        <v>670400</v>
      </c>
      <c r="F36" s="1866">
        <v>0</v>
      </c>
      <c r="G36" s="1866">
        <v>0</v>
      </c>
      <c r="H36" s="2101">
        <v>2906890.8</v>
      </c>
      <c r="I36" s="1808"/>
      <c r="J36" s="1867"/>
    </row>
    <row r="37" spans="1:10" ht="17">
      <c r="A37" s="1862" t="str">
        <f ca="1">IFERROR(IF(B37="","",VLOOKUP(B37,Buget_detaliat!F:I,4,0)),"")</f>
        <v>Aderenta_VOT</v>
      </c>
      <c r="B37" s="1864" t="s">
        <v>3302</v>
      </c>
      <c r="C37" s="1866">
        <v>1005600</v>
      </c>
      <c r="D37" s="1866">
        <v>838000</v>
      </c>
      <c r="E37" s="1866">
        <v>670400</v>
      </c>
      <c r="F37" s="1866">
        <v>0</v>
      </c>
      <c r="G37" s="1866">
        <v>0</v>
      </c>
      <c r="H37" s="2101">
        <v>2514000</v>
      </c>
      <c r="I37" s="1808"/>
      <c r="J37" s="1867"/>
    </row>
    <row r="38" spans="1:10" ht="17">
      <c r="A38" s="1862" t="str">
        <f ca="1">IFERROR(IF(B38="","",VLOOKUP(B38,Buget_detaliat!F:I,4,0)),"")</f>
        <v>Aderenta_VOT</v>
      </c>
      <c r="B38" s="1864" t="s">
        <v>3303</v>
      </c>
      <c r="C38" s="1866">
        <v>0</v>
      </c>
      <c r="D38" s="1866">
        <v>94000</v>
      </c>
      <c r="E38" s="1866">
        <v>0</v>
      </c>
      <c r="F38" s="1866">
        <v>0</v>
      </c>
      <c r="G38" s="1866">
        <v>0</v>
      </c>
      <c r="H38" s="2101">
        <v>94000</v>
      </c>
      <c r="I38" s="1808"/>
      <c r="J38" s="1867"/>
    </row>
    <row r="39" spans="1:10" ht="17">
      <c r="A39" s="1862" t="str">
        <f ca="1">IFERROR(IF(B39="","",VLOOKUP(B39,Buget_detaliat!F:I,4,0)),"")</f>
        <v>Aderenta_VOT</v>
      </c>
      <c r="B39" s="1864" t="s">
        <v>3308</v>
      </c>
      <c r="C39" s="1866">
        <v>120000</v>
      </c>
      <c r="D39" s="1866">
        <v>0</v>
      </c>
      <c r="E39" s="1866">
        <v>0</v>
      </c>
      <c r="F39" s="1866">
        <v>0</v>
      </c>
      <c r="G39" s="1866">
        <v>0</v>
      </c>
      <c r="H39" s="2101">
        <v>120000</v>
      </c>
      <c r="I39" s="1808"/>
      <c r="J39" s="1867"/>
    </row>
    <row r="40" spans="1:10" ht="17">
      <c r="A40" s="1862" t="str">
        <f ca="1">IFERROR(IF(B40="","",VLOOKUP(B40,Buget_detaliat!F:I,4,0)),"")</f>
        <v>Aderenta_VOT</v>
      </c>
      <c r="B40" s="1864" t="s">
        <v>3306</v>
      </c>
      <c r="C40" s="1866">
        <v>81790.8</v>
      </c>
      <c r="D40" s="1866">
        <v>0</v>
      </c>
      <c r="E40" s="1866">
        <v>0</v>
      </c>
      <c r="F40" s="1866">
        <v>0</v>
      </c>
      <c r="G40" s="1866">
        <v>0</v>
      </c>
      <c r="H40" s="2101">
        <v>81790.8</v>
      </c>
      <c r="I40" s="1808"/>
      <c r="J40" s="1867"/>
    </row>
    <row r="41" spans="1:10">
      <c r="A41" s="1862" t="str">
        <f ca="1">IFERROR(IF(B41="","",VLOOKUP(B41,Buget_detaliat!F:I,4,0)),"")</f>
        <v>Aderenta_VOT</v>
      </c>
      <c r="B41" s="2092" t="s">
        <v>3721</v>
      </c>
      <c r="C41" s="1866">
        <v>97100</v>
      </c>
      <c r="D41" s="1866">
        <v>0</v>
      </c>
      <c r="E41" s="1866">
        <v>0</v>
      </c>
      <c r="F41" s="1866">
        <v>0</v>
      </c>
      <c r="G41" s="1866">
        <v>0</v>
      </c>
      <c r="H41" s="1869">
        <v>97100</v>
      </c>
      <c r="I41" s="1808"/>
      <c r="J41" s="1867"/>
    </row>
    <row r="42" spans="1:10">
      <c r="A42" s="1862" t="str">
        <f>IFERROR(IF(B42="","",VLOOKUP(B42,Buget_detaliat!F:I,4,0)),"")</f>
        <v/>
      </c>
      <c r="B42" s="2092"/>
      <c r="C42" s="1866"/>
      <c r="D42" s="1866"/>
      <c r="E42" s="1866"/>
      <c r="F42" s="1866"/>
      <c r="G42" s="1866"/>
      <c r="H42" s="1869"/>
      <c r="I42" s="1808"/>
      <c r="J42" s="1867"/>
    </row>
    <row r="43" spans="1:10" ht="17">
      <c r="A43" s="1862" t="str">
        <f ca="1">IFERROR(IF(B43="","",VLOOKUP(B43,Buget_detaliat!F:I,4,0)),"")</f>
        <v/>
      </c>
      <c r="B43" s="1864" t="s">
        <v>252</v>
      </c>
      <c r="C43" s="1866">
        <v>297932</v>
      </c>
      <c r="D43" s="1866">
        <v>164266.4</v>
      </c>
      <c r="E43" s="1866">
        <v>164266.4</v>
      </c>
      <c r="F43" s="1866">
        <v>0</v>
      </c>
      <c r="G43" s="1866">
        <v>0</v>
      </c>
      <c r="H43" s="2101">
        <v>626464.80000000005</v>
      </c>
      <c r="I43" s="1808"/>
      <c r="J43" s="1867"/>
    </row>
    <row r="44" spans="1:10" ht="17">
      <c r="A44" s="1862" t="str">
        <f ca="1">IFERROR(IF(B44="","",VLOOKUP(B44,Buget_detaliat!F:I,4,0)),"")</f>
        <v/>
      </c>
      <c r="B44" s="1864" t="s">
        <v>340</v>
      </c>
      <c r="C44" s="1866">
        <v>147740</v>
      </c>
      <c r="D44" s="1866">
        <v>0</v>
      </c>
      <c r="E44" s="1866">
        <v>0</v>
      </c>
      <c r="F44" s="1866">
        <v>0</v>
      </c>
      <c r="G44" s="1866">
        <v>0</v>
      </c>
      <c r="H44" s="2101">
        <v>147740</v>
      </c>
      <c r="I44" s="1808"/>
      <c r="J44" s="1867"/>
    </row>
    <row r="45" spans="1:10" ht="17">
      <c r="A45" s="1862" t="str">
        <f ca="1">IFERROR(IF(B45="","",VLOOKUP(B45,Buget_detaliat!F:I,4,0)),"")</f>
        <v/>
      </c>
      <c r="B45" s="1864" t="s">
        <v>2945</v>
      </c>
      <c r="C45" s="1866">
        <v>110192</v>
      </c>
      <c r="D45" s="1866">
        <v>0</v>
      </c>
      <c r="E45" s="1866">
        <v>0</v>
      </c>
      <c r="F45" s="1866">
        <v>0</v>
      </c>
      <c r="G45" s="1866">
        <v>0</v>
      </c>
      <c r="H45" s="2101">
        <v>110192</v>
      </c>
      <c r="I45" s="1808"/>
      <c r="J45" s="1867"/>
    </row>
    <row r="46" spans="1:10" ht="17">
      <c r="A46" s="1862" t="str">
        <f ca="1">IFERROR(IF(B46="","",VLOOKUP(B46,Buget_detaliat!F:I,4,0)),"")</f>
        <v>Activ_colaborative</v>
      </c>
      <c r="B46" s="1864" t="s">
        <v>3313</v>
      </c>
      <c r="C46" s="1866">
        <v>40000</v>
      </c>
      <c r="D46" s="1866">
        <v>0</v>
      </c>
      <c r="E46" s="1866">
        <v>0</v>
      </c>
      <c r="F46" s="1866">
        <v>0</v>
      </c>
      <c r="G46" s="1866">
        <v>0</v>
      </c>
      <c r="H46" s="2101">
        <v>40000</v>
      </c>
      <c r="I46" s="1808"/>
      <c r="J46" s="1867"/>
    </row>
    <row r="47" spans="1:10" ht="17">
      <c r="A47" s="1862" t="str">
        <f ca="1">IFERROR(IF(B47="","",VLOOKUP(B47,Buget_detaliat!F:I,4,0)),"")</f>
        <v>Activ_colaborative</v>
      </c>
      <c r="B47" s="1864" t="s">
        <v>3314</v>
      </c>
      <c r="C47" s="1866">
        <v>70192</v>
      </c>
      <c r="D47" s="1866">
        <v>0</v>
      </c>
      <c r="E47" s="1866">
        <v>0</v>
      </c>
      <c r="F47" s="1866">
        <v>0</v>
      </c>
      <c r="G47" s="1866">
        <v>0</v>
      </c>
      <c r="H47" s="2101">
        <v>70192</v>
      </c>
      <c r="I47" s="1808"/>
      <c r="J47" s="1867"/>
    </row>
    <row r="48" spans="1:10">
      <c r="A48" s="1862" t="str">
        <f>IFERROR(IF(B48="","",VLOOKUP(B48,Buget_detaliat!F:I,4,0)),"")</f>
        <v/>
      </c>
      <c r="B48" s="2092"/>
      <c r="C48" s="1866"/>
      <c r="D48" s="1866"/>
      <c r="E48" s="1866"/>
      <c r="F48" s="1866"/>
      <c r="G48" s="1866"/>
      <c r="H48" s="1869"/>
      <c r="I48" s="1808"/>
      <c r="J48" s="1867"/>
    </row>
    <row r="49" spans="1:10" ht="17">
      <c r="A49" s="1862" t="str">
        <f ca="1">IFERROR(IF(B49="","",VLOOKUP(B49,Buget_detaliat!F:I,4,0)),"")</f>
        <v/>
      </c>
      <c r="B49" s="1864" t="s">
        <v>2946</v>
      </c>
      <c r="C49" s="1866">
        <v>37548</v>
      </c>
      <c r="D49" s="1866">
        <v>0</v>
      </c>
      <c r="E49" s="1866">
        <v>0</v>
      </c>
      <c r="F49" s="1866">
        <v>0</v>
      </c>
      <c r="G49" s="1866">
        <v>0</v>
      </c>
      <c r="H49" s="2101">
        <v>37548</v>
      </c>
      <c r="I49" s="1808"/>
      <c r="J49" s="1867"/>
    </row>
    <row r="50" spans="1:10" ht="17">
      <c r="A50" s="1862" t="str">
        <f ca="1">IFERROR(IF(B50="","",VLOOKUP(B50,Buget_detaliat!F:I,4,0)),"")</f>
        <v>Activ_colaborative</v>
      </c>
      <c r="B50" s="1864" t="s">
        <v>3316</v>
      </c>
      <c r="C50" s="1866">
        <v>20000</v>
      </c>
      <c r="D50" s="1866">
        <v>0</v>
      </c>
      <c r="E50" s="1866">
        <v>0</v>
      </c>
      <c r="F50" s="1866">
        <v>0</v>
      </c>
      <c r="G50" s="1866">
        <v>0</v>
      </c>
      <c r="H50" s="2101">
        <v>20000</v>
      </c>
      <c r="I50" s="1808"/>
      <c r="J50" s="1867"/>
    </row>
    <row r="51" spans="1:10" ht="17">
      <c r="A51" s="1862" t="str">
        <f ca="1">IFERROR(IF(B51="","",VLOOKUP(B51,Buget_detaliat!F:I,4,0)),"")</f>
        <v>Activ_colaborative</v>
      </c>
      <c r="B51" s="1864" t="s">
        <v>3317</v>
      </c>
      <c r="C51" s="1866">
        <v>17548</v>
      </c>
      <c r="D51" s="1866">
        <v>0</v>
      </c>
      <c r="E51" s="1866">
        <v>0</v>
      </c>
      <c r="F51" s="1866">
        <v>0</v>
      </c>
      <c r="G51" s="1866">
        <v>0</v>
      </c>
      <c r="H51" s="2101">
        <v>17548</v>
      </c>
      <c r="I51" s="1808"/>
      <c r="J51" s="1867"/>
    </row>
    <row r="52" spans="1:10">
      <c r="A52" s="1862" t="str">
        <f>IFERROR(IF(B52="","",VLOOKUP(B52,Buget_detaliat!F:I,4,0)),"")</f>
        <v/>
      </c>
      <c r="B52" s="2092"/>
      <c r="C52" s="1866"/>
      <c r="D52" s="1866"/>
      <c r="E52" s="1866"/>
      <c r="F52" s="1866"/>
      <c r="G52" s="1866"/>
      <c r="H52" s="1869"/>
      <c r="I52" s="1808"/>
      <c r="J52" s="1867"/>
    </row>
    <row r="53" spans="1:10" ht="17">
      <c r="A53" s="1862" t="str">
        <f ca="1">IFERROR(IF(B53="","",VLOOKUP(B53,Buget_detaliat!F:I,4,0)),"")</f>
        <v/>
      </c>
      <c r="B53" s="1864" t="s">
        <v>390</v>
      </c>
      <c r="C53" s="1866">
        <v>150192</v>
      </c>
      <c r="D53" s="1866">
        <v>164266.4</v>
      </c>
      <c r="E53" s="1866">
        <v>164266.4</v>
      </c>
      <c r="F53" s="1866">
        <v>0</v>
      </c>
      <c r="G53" s="1866">
        <v>0</v>
      </c>
      <c r="H53" s="2101">
        <v>478724.8</v>
      </c>
      <c r="I53" s="1808"/>
      <c r="J53" s="1867"/>
    </row>
    <row r="54" spans="1:10" ht="17">
      <c r="A54" s="1862" t="str">
        <f ca="1">IFERROR(IF(B54="","",VLOOKUP(B54,Buget_detaliat!F:I,4,0)),"")</f>
        <v/>
      </c>
      <c r="B54" s="1864" t="s">
        <v>2953</v>
      </c>
      <c r="C54" s="1866">
        <v>150192</v>
      </c>
      <c r="D54" s="1866">
        <v>0</v>
      </c>
      <c r="E54" s="1866">
        <v>0</v>
      </c>
      <c r="F54" s="1866">
        <v>0</v>
      </c>
      <c r="G54" s="1866">
        <v>0</v>
      </c>
      <c r="H54" s="2101">
        <v>150192</v>
      </c>
      <c r="I54" s="1808"/>
      <c r="J54" s="1867"/>
    </row>
    <row r="55" spans="1:10" ht="17">
      <c r="A55" s="1862" t="str">
        <f ca="1">IFERROR(IF(B55="","",VLOOKUP(B55,Buget_detaliat!F:I,4,0)),"")</f>
        <v>Activ_colaborative</v>
      </c>
      <c r="B55" s="1864" t="s">
        <v>3319</v>
      </c>
      <c r="C55" s="1866">
        <v>80000</v>
      </c>
      <c r="D55" s="1866">
        <v>0</v>
      </c>
      <c r="E55" s="1866">
        <v>0</v>
      </c>
      <c r="F55" s="1866">
        <v>0</v>
      </c>
      <c r="G55" s="1866">
        <v>0</v>
      </c>
      <c r="H55" s="2101">
        <v>80000</v>
      </c>
      <c r="I55" s="1808"/>
      <c r="J55" s="1867"/>
    </row>
    <row r="56" spans="1:10" ht="17">
      <c r="A56" s="1862" t="str">
        <f ca="1">IFERROR(IF(B56="","",VLOOKUP(B56,Buget_detaliat!F:I,4,0)),"")</f>
        <v>Activ_colaborative</v>
      </c>
      <c r="B56" s="1864" t="s">
        <v>3320</v>
      </c>
      <c r="C56" s="1866">
        <v>70192</v>
      </c>
      <c r="D56" s="1866">
        <v>0</v>
      </c>
      <c r="E56" s="1866">
        <v>0</v>
      </c>
      <c r="F56" s="1866">
        <v>0</v>
      </c>
      <c r="G56" s="1866">
        <v>0</v>
      </c>
      <c r="H56" s="2101">
        <v>70192</v>
      </c>
      <c r="I56" s="1808"/>
      <c r="J56" s="1867"/>
    </row>
    <row r="57" spans="1:10">
      <c r="A57" s="1862" t="str">
        <f>IFERROR(IF(B57="","",VLOOKUP(B57,Buget_detaliat!F:I,4,0)),"")</f>
        <v/>
      </c>
      <c r="B57" s="2092"/>
      <c r="C57" s="1866"/>
      <c r="D57" s="1866"/>
      <c r="E57" s="1866"/>
      <c r="F57" s="1866"/>
      <c r="G57" s="1866"/>
      <c r="H57" s="1869"/>
      <c r="I57" s="1808"/>
      <c r="J57" s="1867"/>
    </row>
    <row r="58" spans="1:10" ht="17">
      <c r="A58" s="1862" t="str">
        <f ca="1">IFERROR(IF(B58="","",VLOOKUP(B58,Buget_detaliat!F:I,4,0)),"")</f>
        <v/>
      </c>
      <c r="B58" s="1864" t="s">
        <v>3372</v>
      </c>
      <c r="C58" s="1866">
        <v>0</v>
      </c>
      <c r="D58" s="1866">
        <v>164266.4</v>
      </c>
      <c r="E58" s="1866">
        <v>164266.4</v>
      </c>
      <c r="F58" s="1866">
        <v>0</v>
      </c>
      <c r="G58" s="1866">
        <v>0</v>
      </c>
      <c r="H58" s="2101">
        <v>328532.8</v>
      </c>
      <c r="I58" s="1808"/>
      <c r="J58" s="1867"/>
    </row>
    <row r="59" spans="1:10" ht="49.5" customHeight="1">
      <c r="A59" s="1862" t="str">
        <f ca="1">IFERROR(IF(B59="","",VLOOKUP(B59,Buget_detaliat!F:I,4,0)),"")</f>
        <v>Activ_colaborative</v>
      </c>
      <c r="B59" s="1864" t="s">
        <v>3325</v>
      </c>
      <c r="C59" s="1866">
        <v>0</v>
      </c>
      <c r="D59" s="1866">
        <v>4280</v>
      </c>
      <c r="E59" s="1866">
        <v>4280</v>
      </c>
      <c r="F59" s="1866">
        <v>0</v>
      </c>
      <c r="G59" s="1866">
        <v>0</v>
      </c>
      <c r="H59" s="2101">
        <v>8560</v>
      </c>
      <c r="I59" s="1808"/>
      <c r="J59" s="1867"/>
    </row>
    <row r="60" spans="1:10" ht="41.25" customHeight="1">
      <c r="A60" s="1862" t="str">
        <f ca="1">IFERROR(IF(B60="","",VLOOKUP(B60,Buget_detaliat!F:I,4,0)),"")</f>
        <v>Activ_colaborative</v>
      </c>
      <c r="B60" s="1864" t="s">
        <v>3326</v>
      </c>
      <c r="C60" s="1866">
        <v>0</v>
      </c>
      <c r="D60" s="1866">
        <v>159986.4</v>
      </c>
      <c r="E60" s="1866">
        <v>159986.4</v>
      </c>
      <c r="F60" s="1866">
        <v>0</v>
      </c>
      <c r="G60" s="1866">
        <v>0</v>
      </c>
      <c r="H60" s="2101">
        <v>319972.8</v>
      </c>
      <c r="I60" s="1808"/>
      <c r="J60" s="1867"/>
    </row>
    <row r="61" spans="1:10">
      <c r="A61" s="1862" t="str">
        <f>IFERROR(IF(B61="","",VLOOKUP(B61,Buget_detaliat!F:I,4,0)),"")</f>
        <v/>
      </c>
      <c r="B61" s="2092"/>
      <c r="C61" s="1866"/>
      <c r="D61" s="1866"/>
      <c r="E61" s="1866"/>
      <c r="F61" s="1866"/>
      <c r="G61" s="1866"/>
      <c r="H61" s="1869"/>
      <c r="I61" s="1808"/>
      <c r="J61" s="1867"/>
    </row>
    <row r="62" spans="1:10" ht="17">
      <c r="A62" s="1862" t="str">
        <f ca="1">IFERROR(IF(B62="","",VLOOKUP(B62,Buget_detaliat!F:I,4,0)),"")</f>
        <v/>
      </c>
      <c r="B62" s="1864" t="s">
        <v>2247</v>
      </c>
      <c r="C62" s="1866">
        <v>1160270.27</v>
      </c>
      <c r="D62" s="1866">
        <v>956460.6</v>
      </c>
      <c r="E62" s="1866">
        <v>875990.6</v>
      </c>
      <c r="F62" s="1866">
        <v>0</v>
      </c>
      <c r="G62" s="1866">
        <v>0</v>
      </c>
      <c r="H62" s="2101">
        <v>2992721.4699999997</v>
      </c>
      <c r="I62" s="1808"/>
      <c r="J62" s="1867"/>
    </row>
    <row r="63" spans="1:10" ht="17">
      <c r="A63" s="1862" t="str">
        <f ca="1">IFERROR(IF(B63="","",VLOOKUP(B63,Buget_detaliat!F:I,4,0)),"")</f>
        <v/>
      </c>
      <c r="B63" s="1864" t="s">
        <v>341</v>
      </c>
      <c r="C63" s="1866">
        <v>0</v>
      </c>
      <c r="D63" s="1866">
        <v>97500</v>
      </c>
      <c r="E63" s="1866">
        <v>0</v>
      </c>
      <c r="F63" s="1866">
        <v>0</v>
      </c>
      <c r="G63" s="1866">
        <v>0</v>
      </c>
      <c r="H63" s="2101">
        <v>97500</v>
      </c>
      <c r="I63" s="1808"/>
      <c r="J63" s="1867"/>
    </row>
    <row r="64" spans="1:10" ht="17">
      <c r="A64" s="1862" t="str">
        <f ca="1">IFERROR(IF(B64="","",VLOOKUP(B64,Buget_detaliat!F:I,4,0)),"")</f>
        <v/>
      </c>
      <c r="B64" s="1864" t="s">
        <v>2957</v>
      </c>
      <c r="C64" s="1866">
        <v>0</v>
      </c>
      <c r="D64" s="1866">
        <v>97500</v>
      </c>
      <c r="E64" s="1866">
        <v>0</v>
      </c>
      <c r="F64" s="1866">
        <v>0</v>
      </c>
      <c r="G64" s="1866">
        <v>0</v>
      </c>
      <c r="H64" s="2101">
        <v>97500</v>
      </c>
      <c r="I64" s="1808"/>
      <c r="J64" s="1867"/>
    </row>
    <row r="65" spans="1:10" ht="17">
      <c r="A65" s="1862" t="str">
        <f ca="1">IFERROR(IF(B65="","",VLOOKUP(B65,Buget_detaliat!F:I,4,0)),"")</f>
        <v>ITL</v>
      </c>
      <c r="B65" s="1864" t="s">
        <v>3083</v>
      </c>
      <c r="C65" s="1866">
        <v>0</v>
      </c>
      <c r="D65" s="1866">
        <v>97500</v>
      </c>
      <c r="E65" s="1866">
        <v>0</v>
      </c>
      <c r="F65" s="1866">
        <v>0</v>
      </c>
      <c r="G65" s="1866">
        <v>0</v>
      </c>
      <c r="H65" s="2101">
        <v>97500</v>
      </c>
      <c r="I65" s="1808"/>
      <c r="J65" s="1867"/>
    </row>
    <row r="66" spans="1:10" ht="17">
      <c r="A66" s="1862" t="str">
        <f ca="1">IFERROR(IF(B66="","",VLOOKUP(B66,Buget_detaliat!F:I,4,0)),"")</f>
        <v>ITL</v>
      </c>
      <c r="B66" s="1864" t="s">
        <v>3084</v>
      </c>
      <c r="C66" s="1866">
        <v>0</v>
      </c>
      <c r="D66" s="1866">
        <v>0</v>
      </c>
      <c r="E66" s="1866">
        <v>0</v>
      </c>
      <c r="F66" s="1866">
        <v>0</v>
      </c>
      <c r="G66" s="1866">
        <v>0</v>
      </c>
      <c r="H66" s="2101">
        <v>0</v>
      </c>
      <c r="I66" s="1808"/>
      <c r="J66" s="1867"/>
    </row>
    <row r="67" spans="1:10">
      <c r="A67" s="1862" t="str">
        <f>IFERROR(IF(B67="","",VLOOKUP(B67,Buget_detaliat!F:I,4,0)),"")</f>
        <v/>
      </c>
      <c r="B67" s="2092"/>
      <c r="C67" s="1866"/>
      <c r="D67" s="1866"/>
      <c r="E67" s="1866"/>
      <c r="F67" s="1866"/>
      <c r="G67" s="1866"/>
      <c r="H67" s="1869"/>
      <c r="I67" s="1808"/>
      <c r="J67" s="1867"/>
    </row>
    <row r="68" spans="1:10" ht="17">
      <c r="A68" s="1862" t="str">
        <f ca="1">IFERROR(IF(B68="","",VLOOKUP(B68,Buget_detaliat!F:I,4,0)),"")</f>
        <v/>
      </c>
      <c r="B68" s="1864" t="s">
        <v>1852</v>
      </c>
      <c r="C68" s="1866">
        <v>1160270.27</v>
      </c>
      <c r="D68" s="1866">
        <v>858960.6</v>
      </c>
      <c r="E68" s="1866">
        <v>875990.6</v>
      </c>
      <c r="F68" s="1866">
        <v>0</v>
      </c>
      <c r="G68" s="1866">
        <v>0</v>
      </c>
      <c r="H68" s="2101">
        <v>2895221.4699999997</v>
      </c>
      <c r="I68" s="1808"/>
      <c r="J68" s="1867"/>
    </row>
    <row r="69" spans="1:10" ht="17">
      <c r="A69" s="1862" t="str">
        <f ca="1">IFERROR(IF(B69="","",VLOOKUP(B69,Buget_detaliat!F:I,4,0)),"")</f>
        <v/>
      </c>
      <c r="B69" s="1864" t="s">
        <v>2962</v>
      </c>
      <c r="C69" s="1866">
        <v>493960.6</v>
      </c>
      <c r="D69" s="1866">
        <v>493960.6</v>
      </c>
      <c r="E69" s="1866">
        <v>493960.6</v>
      </c>
      <c r="F69" s="1866">
        <v>0</v>
      </c>
      <c r="G69" s="1866">
        <v>0</v>
      </c>
      <c r="H69" s="2101">
        <v>1481881.8</v>
      </c>
      <c r="I69" s="1808"/>
      <c r="J69" s="1867"/>
    </row>
    <row r="70" spans="1:10" ht="17">
      <c r="A70" s="1862" t="str">
        <f ca="1">IFERROR(IF(B70="","",VLOOKUP(B70,Buget_detaliat!F:I,4,0)),"")</f>
        <v>Informare</v>
      </c>
      <c r="B70" s="1864" t="s">
        <v>3377</v>
      </c>
      <c r="C70" s="1866">
        <v>298560</v>
      </c>
      <c r="D70" s="1866">
        <v>298560</v>
      </c>
      <c r="E70" s="1866">
        <v>298560</v>
      </c>
      <c r="F70" s="1866">
        <v>0</v>
      </c>
      <c r="G70" s="1866">
        <v>0</v>
      </c>
      <c r="H70" s="2101">
        <v>895680</v>
      </c>
      <c r="I70" s="1808"/>
      <c r="J70" s="1867"/>
    </row>
    <row r="71" spans="1:10" ht="30.5" customHeight="1">
      <c r="A71" s="1862" t="str">
        <f>IFERROR(IF(B71="","",VLOOKUP(B71,Buget_detaliat!F:I,4,0)),"")</f>
        <v/>
      </c>
      <c r="B71" s="1864" t="s">
        <v>3387</v>
      </c>
      <c r="C71" s="1866">
        <v>0</v>
      </c>
      <c r="D71" s="1866">
        <v>0</v>
      </c>
      <c r="E71" s="1866">
        <v>0</v>
      </c>
      <c r="F71" s="1866">
        <v>0</v>
      </c>
      <c r="G71" s="1866">
        <v>0</v>
      </c>
      <c r="H71" s="2101">
        <v>0</v>
      </c>
      <c r="I71" s="1808"/>
      <c r="J71" s="1867"/>
    </row>
    <row r="72" spans="1:10" ht="30.5" customHeight="1">
      <c r="A72" s="1862" t="str">
        <f ca="1">IFERROR(IF(B72="","",VLOOKUP(B72,Buget_detaliat!F:I,4,0)),"")</f>
        <v>Informare</v>
      </c>
      <c r="B72" s="1864" t="s">
        <v>3388</v>
      </c>
      <c r="C72" s="1866">
        <v>0</v>
      </c>
      <c r="D72" s="1866">
        <v>0</v>
      </c>
      <c r="E72" s="1866">
        <v>0</v>
      </c>
      <c r="F72" s="1866">
        <v>0</v>
      </c>
      <c r="G72" s="1866">
        <v>0</v>
      </c>
      <c r="H72" s="2101">
        <v>0</v>
      </c>
      <c r="I72" s="1808"/>
      <c r="J72" s="1867"/>
    </row>
    <row r="73" spans="1:10" ht="30.5" customHeight="1">
      <c r="A73" s="1862" t="str">
        <f ca="1">IFERROR(IF(B73="","",VLOOKUP(B73,Buget_detaliat!F:I,4,0)),"")</f>
        <v>Informare</v>
      </c>
      <c r="B73" s="1864" t="s">
        <v>3389</v>
      </c>
      <c r="C73" s="1866">
        <v>0</v>
      </c>
      <c r="D73" s="1866">
        <v>0</v>
      </c>
      <c r="E73" s="1866">
        <v>0</v>
      </c>
      <c r="F73" s="1866">
        <v>0</v>
      </c>
      <c r="G73" s="1866">
        <v>0</v>
      </c>
      <c r="H73" s="2101">
        <v>0</v>
      </c>
      <c r="I73" s="1808"/>
      <c r="J73" s="1867"/>
    </row>
    <row r="74" spans="1:10" ht="30.5" customHeight="1">
      <c r="A74" s="1862" t="str">
        <f ca="1">IFERROR(IF(B74="","",VLOOKUP(B74,Buget_detaliat!F:I,4,0)),"")</f>
        <v>Informare</v>
      </c>
      <c r="B74" s="1864" t="s">
        <v>3390</v>
      </c>
      <c r="C74" s="1866">
        <v>165400.6</v>
      </c>
      <c r="D74" s="1866">
        <v>165400.6</v>
      </c>
      <c r="E74" s="1866">
        <v>165400.6</v>
      </c>
      <c r="F74" s="1866">
        <v>0</v>
      </c>
      <c r="G74" s="1866">
        <v>0</v>
      </c>
      <c r="H74" s="2101">
        <v>496201.80000000005</v>
      </c>
      <c r="I74" s="1808"/>
      <c r="J74" s="1867"/>
    </row>
    <row r="75" spans="1:10" ht="30.5" customHeight="1">
      <c r="A75" s="1862" t="str">
        <f ca="1">IFERROR(IF(B75="","",VLOOKUP(B75,Buget_detaliat!F:I,4,0)),"")</f>
        <v>Informare</v>
      </c>
      <c r="B75" s="2092" t="s">
        <v>3937</v>
      </c>
      <c r="C75" s="1866">
        <v>30000</v>
      </c>
      <c r="D75" s="1866">
        <v>30000</v>
      </c>
      <c r="E75" s="1866">
        <v>30000</v>
      </c>
      <c r="F75" s="1866">
        <v>0</v>
      </c>
      <c r="G75" s="1866">
        <v>0</v>
      </c>
      <c r="H75" s="1869">
        <v>90000</v>
      </c>
      <c r="I75" s="1808"/>
      <c r="J75" s="1867"/>
    </row>
    <row r="76" spans="1:10" ht="30.5" customHeight="1">
      <c r="A76" s="1862" t="str">
        <f>IFERROR(IF(B76="","",VLOOKUP(B76,Buget_detaliat!F:I,4,0)),"")</f>
        <v/>
      </c>
      <c r="B76" s="2092"/>
      <c r="C76" s="1866"/>
      <c r="D76" s="1866"/>
      <c r="E76" s="1866"/>
      <c r="F76" s="1866"/>
      <c r="G76" s="1866"/>
      <c r="H76" s="1869"/>
      <c r="I76" s="836"/>
      <c r="J76" s="1867"/>
    </row>
    <row r="77" spans="1:10" ht="17">
      <c r="A77" s="1862" t="str">
        <f ca="1">IFERROR(IF(B77="","",VLOOKUP(B77,Buget_detaliat!F:I,4,0)),"")</f>
        <v/>
      </c>
      <c r="B77" s="1864" t="s">
        <v>2963</v>
      </c>
      <c r="C77" s="1866">
        <v>229309.66999999998</v>
      </c>
      <c r="D77" s="1866">
        <v>30000</v>
      </c>
      <c r="E77" s="1866">
        <v>47030</v>
      </c>
      <c r="F77" s="1866">
        <v>0</v>
      </c>
      <c r="G77" s="1866">
        <v>0</v>
      </c>
      <c r="H77" s="2101">
        <v>306339.67</v>
      </c>
      <c r="I77" s="1808"/>
      <c r="J77" s="1867"/>
    </row>
    <row r="78" spans="1:10" ht="17">
      <c r="A78" s="1862" t="str">
        <f ca="1">IFERROR(IF(B78="","",VLOOKUP(B78,Buget_detaliat!F:I,4,0)),"")</f>
        <v>Informare</v>
      </c>
      <c r="B78" s="1864" t="s">
        <v>3391</v>
      </c>
      <c r="C78" s="1866">
        <v>30000</v>
      </c>
      <c r="D78" s="1866">
        <v>30000</v>
      </c>
      <c r="E78" s="1866">
        <v>30000</v>
      </c>
      <c r="F78" s="1866">
        <v>0</v>
      </c>
      <c r="G78" s="1866">
        <v>0</v>
      </c>
      <c r="H78" s="2101">
        <v>90000</v>
      </c>
      <c r="I78" s="1808"/>
      <c r="J78" s="1867"/>
    </row>
    <row r="79" spans="1:10" ht="17">
      <c r="A79" s="1862" t="str">
        <f ca="1">IFERROR(IF(B79="","",VLOOKUP(B79,Buget_detaliat!F:I,4,0)),"")</f>
        <v>Informare</v>
      </c>
      <c r="B79" s="1864" t="s">
        <v>3458</v>
      </c>
      <c r="C79" s="1866">
        <v>199309.66999999998</v>
      </c>
      <c r="D79" s="1866">
        <v>0</v>
      </c>
      <c r="E79" s="1866">
        <v>17030</v>
      </c>
      <c r="F79" s="1866">
        <v>0</v>
      </c>
      <c r="G79" s="1866">
        <v>0</v>
      </c>
      <c r="H79" s="2101">
        <v>216339.66999999998</v>
      </c>
      <c r="I79" s="1808"/>
      <c r="J79" s="1867"/>
    </row>
    <row r="80" spans="1:10">
      <c r="A80" s="1862" t="str">
        <f>IFERROR(IF(B80="","",VLOOKUP(B80,Buget_detaliat!F:I,4,0)),"")</f>
        <v/>
      </c>
      <c r="B80" s="2092"/>
      <c r="C80" s="1866"/>
      <c r="D80" s="1866"/>
      <c r="E80" s="1866"/>
      <c r="F80" s="1866"/>
      <c r="G80" s="1866"/>
      <c r="H80" s="1869"/>
      <c r="I80" s="1808"/>
      <c r="J80" s="1867"/>
    </row>
    <row r="81" spans="1:10" ht="17">
      <c r="A81" s="1862" t="str">
        <f ca="1">IFERROR(IF(B81="","",VLOOKUP(B81,Buget_detaliat!F:I,4,0)),"")</f>
        <v/>
      </c>
      <c r="B81" s="1864" t="s">
        <v>2964</v>
      </c>
      <c r="C81" s="1866">
        <v>437000</v>
      </c>
      <c r="D81" s="1866">
        <v>335000</v>
      </c>
      <c r="E81" s="1866">
        <v>335000</v>
      </c>
      <c r="F81" s="1866">
        <v>0</v>
      </c>
      <c r="G81" s="1866">
        <v>0</v>
      </c>
      <c r="H81" s="2101">
        <v>1107000</v>
      </c>
      <c r="I81" s="1808"/>
      <c r="J81" s="1867"/>
    </row>
    <row r="82" spans="1:10" ht="17">
      <c r="A82" s="1862" t="str">
        <f ca="1">IFERROR(IF(B82="","",VLOOKUP(B82,Buget_detaliat!F:I,4,0)),"")</f>
        <v>Informare</v>
      </c>
      <c r="B82" s="1864" t="s">
        <v>3465</v>
      </c>
      <c r="C82" s="1866">
        <v>102000</v>
      </c>
      <c r="D82" s="1866">
        <v>0</v>
      </c>
      <c r="E82" s="1866">
        <v>0</v>
      </c>
      <c r="F82" s="1866">
        <v>0</v>
      </c>
      <c r="G82" s="1866">
        <v>0</v>
      </c>
      <c r="H82" s="2101">
        <v>102000</v>
      </c>
      <c r="I82" s="1808"/>
      <c r="J82" s="1867"/>
    </row>
    <row r="83" spans="1:10" ht="30" customHeight="1">
      <c r="A83" s="1862" t="str">
        <f ca="1">IFERROR(IF(B83="","",VLOOKUP(B83,Buget_detaliat!F:I,4,0)),"")</f>
        <v>Informare</v>
      </c>
      <c r="B83" s="1864" t="s">
        <v>3466</v>
      </c>
      <c r="C83" s="1866">
        <v>300000</v>
      </c>
      <c r="D83" s="1866">
        <v>300000</v>
      </c>
      <c r="E83" s="1866">
        <v>300000</v>
      </c>
      <c r="F83" s="1866">
        <v>0</v>
      </c>
      <c r="G83" s="1866">
        <v>0</v>
      </c>
      <c r="H83" s="2101">
        <v>900000</v>
      </c>
      <c r="I83" s="1808"/>
      <c r="J83" s="1867"/>
    </row>
    <row r="84" spans="1:10" ht="30" customHeight="1">
      <c r="A84" s="1862" t="str">
        <f ca="1">IFERROR(IF(B84="","",VLOOKUP(B84,Buget_detaliat!F:I,4,0)),"")</f>
        <v>Informare</v>
      </c>
      <c r="B84" s="2092" t="s">
        <v>3939</v>
      </c>
      <c r="C84" s="1866">
        <v>35000</v>
      </c>
      <c r="D84" s="1866">
        <v>35000</v>
      </c>
      <c r="E84" s="1866">
        <v>35000</v>
      </c>
      <c r="F84" s="1866">
        <v>0</v>
      </c>
      <c r="G84" s="1866">
        <v>0</v>
      </c>
      <c r="H84" s="1869">
        <v>105000</v>
      </c>
      <c r="I84" s="1808"/>
      <c r="J84" s="1867"/>
    </row>
    <row r="85" spans="1:10" ht="30" customHeight="1">
      <c r="A85" s="1862" t="str">
        <f>IFERROR(IF(B85="","",VLOOKUP(B85,Buget_detaliat!F:I,4,0)),"")</f>
        <v/>
      </c>
      <c r="B85" s="2092"/>
      <c r="C85" s="1866"/>
      <c r="D85" s="1866"/>
      <c r="E85" s="1866"/>
      <c r="F85" s="1866"/>
      <c r="G85" s="1866"/>
      <c r="H85" s="1869"/>
      <c r="I85" s="1808"/>
      <c r="J85" s="1867"/>
    </row>
    <row r="86" spans="1:10" ht="30" customHeight="1">
      <c r="A86" s="1862" t="str">
        <f ca="1">IFERROR(IF(B86="","",VLOOKUP(B86,Buget_detaliat!F:I,4,0)),"")</f>
        <v/>
      </c>
      <c r="B86" s="1864" t="s">
        <v>2297</v>
      </c>
      <c r="C86" s="1866">
        <v>6460521.3580814907</v>
      </c>
      <c r="D86" s="1866">
        <v>3231055.0730814901</v>
      </c>
      <c r="E86" s="1866">
        <v>1933507.0730814899</v>
      </c>
      <c r="F86" s="1866">
        <v>0</v>
      </c>
      <c r="G86" s="1866">
        <v>0</v>
      </c>
      <c r="H86" s="2101">
        <v>11625083.504244469</v>
      </c>
      <c r="I86" s="1808"/>
      <c r="J86" s="1867"/>
    </row>
    <row r="87" spans="1:10" ht="30" customHeight="1">
      <c r="A87" s="1862" t="str">
        <f ca="1">IFERROR(IF(B87="","",VLOOKUP(B87,Buget_detaliat!F:I,4,0)),"")</f>
        <v/>
      </c>
      <c r="B87" s="1864" t="s">
        <v>392</v>
      </c>
      <c r="C87" s="1866">
        <v>4135823.0249999999</v>
      </c>
      <c r="D87" s="1866">
        <v>2406494.06</v>
      </c>
      <c r="E87" s="1866">
        <v>1226494.06</v>
      </c>
      <c r="F87" s="1866">
        <v>0</v>
      </c>
      <c r="G87" s="1866">
        <v>0</v>
      </c>
      <c r="H87" s="2101">
        <v>7768811.1449999996</v>
      </c>
      <c r="I87" s="1808"/>
      <c r="J87" s="1867"/>
    </row>
    <row r="88" spans="1:10" ht="17">
      <c r="A88" s="1862" t="str">
        <f ca="1">IFERROR(IF(B88="","",VLOOKUP(B88,Buget_detaliat!F:I,4,0)),"")</f>
        <v/>
      </c>
      <c r="B88" s="1864" t="s">
        <v>2966</v>
      </c>
      <c r="C88" s="1866">
        <v>47500</v>
      </c>
      <c r="D88" s="1866">
        <v>0</v>
      </c>
      <c r="E88" s="1866">
        <v>0</v>
      </c>
      <c r="F88" s="1866">
        <v>0</v>
      </c>
      <c r="G88" s="1866">
        <v>0</v>
      </c>
      <c r="H88" s="2101">
        <v>47500</v>
      </c>
      <c r="I88" s="1808"/>
      <c r="J88" s="1867"/>
    </row>
    <row r="89" spans="1:10" ht="17">
      <c r="A89" s="1862" t="str">
        <f ca="1">IFERROR(IF(B89="","",VLOOKUP(B89,Buget_detaliat!F:I,4,0)),"")</f>
        <v>PNCT</v>
      </c>
      <c r="B89" s="1864" t="s">
        <v>3299</v>
      </c>
      <c r="C89" s="1866">
        <v>47500</v>
      </c>
      <c r="D89" s="1866">
        <v>0</v>
      </c>
      <c r="E89" s="1866">
        <v>0</v>
      </c>
      <c r="F89" s="1866">
        <v>0</v>
      </c>
      <c r="G89" s="1866">
        <v>0</v>
      </c>
      <c r="H89" s="2101">
        <v>47500</v>
      </c>
      <c r="I89" s="1808"/>
      <c r="J89" s="1867"/>
    </row>
    <row r="90" spans="1:10">
      <c r="A90" s="1862" t="str">
        <f>IFERROR(IF(B90="","",VLOOKUP(B90,Buget_detaliat!F:I,4,0)),"")</f>
        <v/>
      </c>
      <c r="B90" s="2092"/>
      <c r="C90" s="1866"/>
      <c r="D90" s="1866"/>
      <c r="E90" s="1866"/>
      <c r="F90" s="1866"/>
      <c r="G90" s="1866"/>
      <c r="H90" s="1869"/>
      <c r="I90" s="1808"/>
      <c r="J90" s="1867"/>
    </row>
    <row r="91" spans="1:10" ht="17">
      <c r="A91" s="1862" t="str">
        <f ca="1">IFERROR(IF(B91="","",VLOOKUP(B91,Buget_detaliat!F:I,4,0)),"")</f>
        <v/>
      </c>
      <c r="B91" s="1864" t="s">
        <v>3128</v>
      </c>
      <c r="C91" s="1866">
        <v>4088323.0249999999</v>
      </c>
      <c r="D91" s="1866">
        <v>2406494.06</v>
      </c>
      <c r="E91" s="1866">
        <v>1226494.06</v>
      </c>
      <c r="F91" s="1866">
        <v>0</v>
      </c>
      <c r="G91" s="1866">
        <v>0</v>
      </c>
      <c r="H91" s="2101">
        <v>7721311.1449999996</v>
      </c>
      <c r="I91" s="1808"/>
      <c r="J91" s="1867"/>
    </row>
    <row r="92" spans="1:10">
      <c r="A92" s="1862" t="str">
        <f ca="1">IFERROR(IF(B92="","",VLOOKUP(B92,Buget_detaliat!F:I,4,0)),"")</f>
        <v>PNCT</v>
      </c>
      <c r="B92" s="2092" t="s">
        <v>4096</v>
      </c>
      <c r="C92" s="1866">
        <v>3434323.0249999999</v>
      </c>
      <c r="D92" s="1866">
        <v>392494.06</v>
      </c>
      <c r="E92" s="1866">
        <v>392494.06</v>
      </c>
      <c r="F92" s="1866">
        <v>0</v>
      </c>
      <c r="G92" s="1866">
        <v>0</v>
      </c>
      <c r="H92" s="1869">
        <v>4219311.1449999996</v>
      </c>
      <c r="I92" s="1808"/>
      <c r="J92" s="1867"/>
    </row>
    <row r="93" spans="1:10">
      <c r="A93" s="1862" t="str">
        <f ca="1">IFERROR(IF(B93="","",VLOOKUP(B93,Buget_detaliat!F:I,4,0)),"")</f>
        <v>PNCT</v>
      </c>
      <c r="B93" s="2092" t="s">
        <v>4098</v>
      </c>
      <c r="C93" s="1866">
        <v>0</v>
      </c>
      <c r="D93" s="1866">
        <v>1180000</v>
      </c>
      <c r="E93" s="1866">
        <v>0</v>
      </c>
      <c r="F93" s="1866">
        <v>0</v>
      </c>
      <c r="G93" s="1866">
        <v>0</v>
      </c>
      <c r="H93" s="1869">
        <v>1180000</v>
      </c>
      <c r="I93" s="1808"/>
      <c r="J93" s="1867"/>
    </row>
    <row r="94" spans="1:10">
      <c r="A94" s="1862" t="str">
        <f ca="1">IFERROR(IF(B94="","",VLOOKUP(B94,Buget_detaliat!F:I,4,0)),"")</f>
        <v>PNCT</v>
      </c>
      <c r="B94" s="2092" t="s">
        <v>4097</v>
      </c>
      <c r="C94" s="1866">
        <v>180000</v>
      </c>
      <c r="D94" s="1866">
        <v>360000</v>
      </c>
      <c r="E94" s="1866">
        <v>360000</v>
      </c>
      <c r="F94" s="1866">
        <v>0</v>
      </c>
      <c r="G94" s="1866">
        <v>0</v>
      </c>
      <c r="H94" s="1869">
        <v>900000</v>
      </c>
      <c r="I94" s="1808"/>
      <c r="J94" s="1867"/>
    </row>
    <row r="95" spans="1:10">
      <c r="A95" s="1862" t="str">
        <f ca="1">IFERROR(IF(B95="","",VLOOKUP(B95,Buget_detaliat!F:I,4,0)),"")</f>
        <v>PNCT</v>
      </c>
      <c r="B95" s="2092" t="s">
        <v>4100</v>
      </c>
      <c r="C95" s="1866">
        <v>474000</v>
      </c>
      <c r="D95" s="1866">
        <v>474000</v>
      </c>
      <c r="E95" s="1866">
        <v>474000</v>
      </c>
      <c r="F95" s="1866">
        <v>0</v>
      </c>
      <c r="G95" s="1866">
        <v>0</v>
      </c>
      <c r="H95" s="1869">
        <v>1422000</v>
      </c>
      <c r="I95" s="1808"/>
      <c r="J95" s="1867"/>
    </row>
    <row r="96" spans="1:10">
      <c r="A96" s="1862" t="str">
        <f>IFERROR(IF(B96="","",VLOOKUP(B96,Buget_detaliat!F:I,4,0)),"")</f>
        <v/>
      </c>
      <c r="B96" s="2092"/>
      <c r="C96" s="1866"/>
      <c r="D96" s="1866"/>
      <c r="E96" s="1866"/>
      <c r="F96" s="1866"/>
      <c r="G96" s="1866"/>
      <c r="H96" s="1869"/>
      <c r="I96" s="1808"/>
      <c r="J96" s="1867"/>
    </row>
    <row r="97" spans="1:10" ht="17">
      <c r="A97" s="1862" t="str">
        <f ca="1">IFERROR(IF(B97="","",VLOOKUP(B97,Buget_detaliat!F:I,4,0)),"")</f>
        <v/>
      </c>
      <c r="B97" s="1864" t="s">
        <v>1853</v>
      </c>
      <c r="C97" s="1866">
        <v>344424.17</v>
      </c>
      <c r="D97" s="1866">
        <v>0</v>
      </c>
      <c r="E97" s="1866">
        <v>0</v>
      </c>
      <c r="F97" s="1866">
        <v>0</v>
      </c>
      <c r="G97" s="1866">
        <v>0</v>
      </c>
      <c r="H97" s="2101">
        <v>344424.17</v>
      </c>
      <c r="I97" s="1808"/>
      <c r="J97" s="1867"/>
    </row>
    <row r="98" spans="1:10" ht="17">
      <c r="A98" s="1862" t="str">
        <f ca="1">IFERROR(IF(B98="","",VLOOKUP(B98,Buget_detaliat!F:I,4,0)),"")</f>
        <v/>
      </c>
      <c r="B98" s="1864" t="s">
        <v>2967</v>
      </c>
      <c r="C98" s="1866">
        <v>161394.41999999998</v>
      </c>
      <c r="D98" s="1866">
        <v>0</v>
      </c>
      <c r="E98" s="1866">
        <v>0</v>
      </c>
      <c r="F98" s="1866">
        <v>0</v>
      </c>
      <c r="G98" s="1866">
        <v>0</v>
      </c>
      <c r="H98" s="2101">
        <v>161394.41999999998</v>
      </c>
      <c r="I98" s="1808"/>
      <c r="J98" s="1867"/>
    </row>
    <row r="99" spans="1:10" ht="17">
      <c r="A99" s="1862" t="str">
        <f ca="1">IFERROR(IF(B99="","",VLOOKUP(B99,Buget_detaliat!F:I,4,0)),"")</f>
        <v>Sisteme_de_sanatate</v>
      </c>
      <c r="B99" s="1864" t="s">
        <v>3467</v>
      </c>
      <c r="C99" s="1866">
        <v>161394.41999999998</v>
      </c>
      <c r="D99" s="1866">
        <v>0</v>
      </c>
      <c r="E99" s="1866">
        <v>0</v>
      </c>
      <c r="F99" s="1866">
        <v>0</v>
      </c>
      <c r="G99" s="1866">
        <v>0</v>
      </c>
      <c r="H99" s="2101">
        <v>161394.41999999998</v>
      </c>
      <c r="I99" s="1808"/>
      <c r="J99" s="1867"/>
    </row>
    <row r="100" spans="1:10">
      <c r="A100" s="1862" t="str">
        <f>IFERROR(IF(B100="","",VLOOKUP(B100,Buget_detaliat!F:I,4,0)),"")</f>
        <v/>
      </c>
      <c r="B100" s="2092"/>
      <c r="C100" s="1866"/>
      <c r="D100" s="1866"/>
      <c r="E100" s="1866"/>
      <c r="F100" s="1866"/>
      <c r="G100" s="1866"/>
      <c r="H100" s="1869"/>
      <c r="I100" s="1808"/>
      <c r="J100" s="1867"/>
    </row>
    <row r="101" spans="1:10" ht="17">
      <c r="A101" s="1862" t="str">
        <f ca="1">IFERROR(IF(B101="","",VLOOKUP(B101,Buget_detaliat!F:I,4,0)),"")</f>
        <v/>
      </c>
      <c r="B101" s="1864" t="s">
        <v>2969</v>
      </c>
      <c r="C101" s="1866">
        <v>40000</v>
      </c>
      <c r="D101" s="1866">
        <v>0</v>
      </c>
      <c r="E101" s="1866">
        <v>0</v>
      </c>
      <c r="F101" s="1866">
        <v>0</v>
      </c>
      <c r="G101" s="1866">
        <v>0</v>
      </c>
      <c r="H101" s="2101">
        <v>40000</v>
      </c>
      <c r="I101" s="1808"/>
      <c r="J101" s="1867"/>
    </row>
    <row r="102" spans="1:10" ht="17">
      <c r="A102" s="1862" t="str">
        <f ca="1">IFERROR(IF(B102="","",VLOOKUP(B102,Buget_detaliat!F:I,4,0)),"")</f>
        <v>Sisteme_de_sanatate</v>
      </c>
      <c r="B102" s="1864" t="s">
        <v>3469</v>
      </c>
      <c r="C102" s="1866">
        <v>40000</v>
      </c>
      <c r="D102" s="1866">
        <v>0</v>
      </c>
      <c r="E102" s="1866">
        <v>0</v>
      </c>
      <c r="F102" s="1866">
        <v>0</v>
      </c>
      <c r="G102" s="1866">
        <v>0</v>
      </c>
      <c r="H102" s="2101">
        <v>40000</v>
      </c>
      <c r="I102" s="1808"/>
      <c r="J102" s="1867"/>
    </row>
    <row r="103" spans="1:10">
      <c r="A103" s="1862" t="str">
        <f>IFERROR(IF(B103="","",VLOOKUP(B103,Buget_detaliat!F:I,4,0)),"")</f>
        <v/>
      </c>
      <c r="B103" s="2092"/>
      <c r="C103" s="1866"/>
      <c r="D103" s="1866"/>
      <c r="E103" s="1866"/>
      <c r="F103" s="1866"/>
      <c r="G103" s="1866"/>
      <c r="H103" s="1869"/>
      <c r="I103" s="1808"/>
      <c r="J103" s="1867"/>
    </row>
    <row r="104" spans="1:10" ht="17">
      <c r="A104" s="1862" t="str">
        <f ca="1">IFERROR(IF(B104="","",VLOOKUP(B104,Buget_detaliat!F:I,4,0)),"")</f>
        <v/>
      </c>
      <c r="B104" s="1864" t="s">
        <v>2971</v>
      </c>
      <c r="C104" s="1866">
        <v>0</v>
      </c>
      <c r="D104" s="1866">
        <v>0</v>
      </c>
      <c r="E104" s="1866">
        <v>0</v>
      </c>
      <c r="F104" s="1866">
        <v>0</v>
      </c>
      <c r="G104" s="1866">
        <v>0</v>
      </c>
      <c r="H104" s="2101">
        <v>0</v>
      </c>
      <c r="I104" s="1808"/>
      <c r="J104" s="1867"/>
    </row>
    <row r="105" spans="1:10" ht="17">
      <c r="A105" s="1862" t="str">
        <f ca="1">IFERROR(IF(B105="","",VLOOKUP(B105,Buget_detaliat!F:I,4,0)),"")</f>
        <v>Sisteme_de_sanatate</v>
      </c>
      <c r="B105" s="1864" t="s">
        <v>3482</v>
      </c>
      <c r="C105" s="1866">
        <v>0</v>
      </c>
      <c r="D105" s="1866">
        <v>0</v>
      </c>
      <c r="E105" s="1866">
        <v>0</v>
      </c>
      <c r="F105" s="1866">
        <v>0</v>
      </c>
      <c r="G105" s="1866">
        <v>0</v>
      </c>
      <c r="H105" s="2101">
        <v>0</v>
      </c>
      <c r="I105" s="1808"/>
      <c r="J105" s="1867"/>
    </row>
    <row r="106" spans="1:10">
      <c r="A106" s="1862" t="str">
        <f>IFERROR(IF(B106="","",VLOOKUP(B106,Buget_detaliat!F:I,4,0)),"")</f>
        <v/>
      </c>
      <c r="B106" s="2092"/>
      <c r="C106" s="1866"/>
      <c r="D106" s="1866"/>
      <c r="E106" s="1866"/>
      <c r="F106" s="1866"/>
      <c r="G106" s="1866"/>
      <c r="H106" s="1869"/>
      <c r="I106" s="1808"/>
      <c r="J106" s="1867"/>
    </row>
    <row r="107" spans="1:10" ht="17">
      <c r="A107" s="1862" t="str">
        <f ca="1">IFERROR(IF(B107="","",VLOOKUP(B107,Buget_detaliat!F:I,4,0)),"")</f>
        <v/>
      </c>
      <c r="B107" s="1864" t="s">
        <v>2972</v>
      </c>
      <c r="C107" s="1866">
        <v>143029.75</v>
      </c>
      <c r="D107" s="1866">
        <v>0</v>
      </c>
      <c r="E107" s="1866">
        <v>0</v>
      </c>
      <c r="F107" s="1866">
        <v>0</v>
      </c>
      <c r="G107" s="1866">
        <v>0</v>
      </c>
      <c r="H107" s="2101">
        <v>143029.75</v>
      </c>
      <c r="I107" s="1808"/>
      <c r="J107" s="1867"/>
    </row>
    <row r="108" spans="1:10" ht="17">
      <c r="A108" s="1862" t="str">
        <f ca="1">IFERROR(IF(B108="","",VLOOKUP(B108,Buget_detaliat!F:I,4,0)),"")</f>
        <v>Sisteme_de_sanatate</v>
      </c>
      <c r="B108" s="1864" t="s">
        <v>3484</v>
      </c>
      <c r="C108" s="1866">
        <v>143029.75</v>
      </c>
      <c r="D108" s="1866">
        <v>0</v>
      </c>
      <c r="E108" s="1866">
        <v>0</v>
      </c>
      <c r="F108" s="1866">
        <v>0</v>
      </c>
      <c r="G108" s="1866">
        <v>0</v>
      </c>
      <c r="H108" s="2101">
        <v>143029.75</v>
      </c>
      <c r="I108" s="1808"/>
      <c r="J108" s="1867"/>
    </row>
    <row r="109" spans="1:10">
      <c r="A109" s="1862" t="str">
        <f>IFERROR(IF(B109="","",VLOOKUP(B109,Buget_detaliat!F:I,4,0)),"")</f>
        <v/>
      </c>
      <c r="B109" s="2092"/>
      <c r="C109" s="1866"/>
      <c r="D109" s="1866"/>
      <c r="E109" s="1866"/>
      <c r="F109" s="1866"/>
      <c r="G109" s="1866"/>
      <c r="H109" s="1869"/>
      <c r="I109" s="1808"/>
      <c r="J109" s="1867"/>
    </row>
    <row r="110" spans="1:10" ht="17">
      <c r="A110" s="1862" t="str">
        <f ca="1">IFERROR(IF(B110="","",VLOOKUP(B110,Buget_detaliat!F:I,4,0)),"")</f>
        <v/>
      </c>
      <c r="B110" s="1864" t="s">
        <v>342</v>
      </c>
      <c r="C110" s="1866">
        <v>1305072.9630814898</v>
      </c>
      <c r="D110" s="1866">
        <v>610619.81308148999</v>
      </c>
      <c r="E110" s="1866">
        <v>570619.81308148999</v>
      </c>
      <c r="F110" s="1866">
        <v>0</v>
      </c>
      <c r="G110" s="1866">
        <v>0</v>
      </c>
      <c r="H110" s="2101">
        <v>2486312.58924447</v>
      </c>
      <c r="I110" s="1808"/>
      <c r="J110" s="1867"/>
    </row>
    <row r="111" spans="1:10" ht="17">
      <c r="A111" s="1862" t="str">
        <f ca="1">IFERROR(IF(B111="","",VLOOKUP(B111,Buget_detaliat!F:I,4,0)),"")</f>
        <v/>
      </c>
      <c r="B111" s="1864" t="s">
        <v>3131</v>
      </c>
      <c r="C111" s="1866">
        <v>714453.15</v>
      </c>
      <c r="D111" s="1866">
        <v>40000</v>
      </c>
      <c r="E111" s="1866">
        <v>0</v>
      </c>
      <c r="F111" s="1866">
        <v>0</v>
      </c>
      <c r="G111" s="1866">
        <v>0</v>
      </c>
      <c r="H111" s="2101">
        <v>754453.15</v>
      </c>
      <c r="I111" s="1808"/>
      <c r="J111" s="1867"/>
    </row>
    <row r="112" spans="1:10">
      <c r="A112" s="1862" t="str">
        <f ca="1">IFERROR(IF(B112="","",VLOOKUP(B112,Buget_detaliat!F:I,4,0)),"")</f>
        <v>Sisteme_de_sanatate</v>
      </c>
      <c r="B112" s="2092" t="s">
        <v>3707</v>
      </c>
      <c r="C112" s="1866">
        <v>0</v>
      </c>
      <c r="D112" s="1866">
        <v>40000</v>
      </c>
      <c r="E112" s="1866">
        <v>0</v>
      </c>
      <c r="F112" s="1866">
        <v>0</v>
      </c>
      <c r="G112" s="1866">
        <v>0</v>
      </c>
      <c r="H112" s="1869">
        <v>40000</v>
      </c>
      <c r="I112" s="1808"/>
      <c r="J112" s="1867"/>
    </row>
    <row r="113" spans="1:10">
      <c r="A113" s="1862" t="str">
        <f ca="1">IFERROR(IF(B113="","",VLOOKUP(B113,Buget_detaliat!F:I,4,0)),"")</f>
        <v>Sisteme_de_sanatate</v>
      </c>
      <c r="B113" s="2092" t="s">
        <v>3705</v>
      </c>
      <c r="C113" s="1866">
        <v>450000</v>
      </c>
      <c r="D113" s="1866">
        <v>0</v>
      </c>
      <c r="E113" s="1866">
        <v>0</v>
      </c>
      <c r="F113" s="1866">
        <v>0</v>
      </c>
      <c r="G113" s="1866">
        <v>0</v>
      </c>
      <c r="H113" s="1869">
        <v>450000</v>
      </c>
      <c r="I113" s="1808"/>
      <c r="J113" s="1867"/>
    </row>
    <row r="114" spans="1:10">
      <c r="A114" s="1862" t="str">
        <f ca="1">IFERROR(IF(B114="","",VLOOKUP(B114,Buget_detaliat!F:I,4,0)),"")</f>
        <v>Sisteme_de_sanatate</v>
      </c>
      <c r="B114" s="2092" t="s">
        <v>3706</v>
      </c>
      <c r="C114" s="1866">
        <v>264453.15000000002</v>
      </c>
      <c r="D114" s="1866">
        <v>0</v>
      </c>
      <c r="E114" s="1866">
        <v>0</v>
      </c>
      <c r="F114" s="1866">
        <v>0</v>
      </c>
      <c r="G114" s="1866">
        <v>0</v>
      </c>
      <c r="H114" s="1869">
        <v>264453.15000000002</v>
      </c>
      <c r="I114" s="1808"/>
      <c r="J114" s="1867"/>
    </row>
    <row r="115" spans="1:10" ht="21" customHeight="1">
      <c r="A115" s="1862" t="str">
        <f>IFERROR(IF(B115="","",VLOOKUP(B115,Buget_detaliat!F:I,4,0)),"")</f>
        <v/>
      </c>
      <c r="B115" s="2092"/>
      <c r="C115" s="1866"/>
      <c r="D115" s="1866"/>
      <c r="E115" s="1866"/>
      <c r="F115" s="1866"/>
      <c r="G115" s="1866"/>
      <c r="H115" s="1869"/>
      <c r="I115" s="1808"/>
      <c r="J115" s="1867"/>
    </row>
    <row r="116" spans="1:10" ht="21" customHeight="1">
      <c r="A116" s="1862" t="str">
        <f ca="1">IFERROR(IF(B116="","",VLOOKUP(B116,Buget_detaliat!F:I,4,0)),"")</f>
        <v/>
      </c>
      <c r="B116" s="1864" t="s">
        <v>3133</v>
      </c>
      <c r="C116" s="1866">
        <v>419440</v>
      </c>
      <c r="D116" s="1866">
        <v>419440</v>
      </c>
      <c r="E116" s="1866">
        <v>419440</v>
      </c>
      <c r="F116" s="1866">
        <v>0</v>
      </c>
      <c r="G116" s="1866">
        <v>0</v>
      </c>
      <c r="H116" s="2101">
        <v>1258320</v>
      </c>
      <c r="I116" s="1808"/>
      <c r="J116" s="1867"/>
    </row>
    <row r="117" spans="1:10" ht="41.5" customHeight="1">
      <c r="A117" s="1862" t="str">
        <f ca="1">IFERROR(IF(B117="","",VLOOKUP(B117,Buget_detaliat!F:I,4,0)),"")</f>
        <v>Sisteme_de_sanatate</v>
      </c>
      <c r="B117" s="1864" t="s">
        <v>3487</v>
      </c>
      <c r="C117" s="1866">
        <v>419440</v>
      </c>
      <c r="D117" s="1866">
        <v>419440</v>
      </c>
      <c r="E117" s="1866">
        <v>419440</v>
      </c>
      <c r="F117" s="1866">
        <v>0</v>
      </c>
      <c r="G117" s="1866">
        <v>0</v>
      </c>
      <c r="H117" s="2101">
        <v>1258320</v>
      </c>
      <c r="I117" s="1808"/>
      <c r="J117" s="1867"/>
    </row>
    <row r="118" spans="1:10">
      <c r="A118" s="1862" t="str">
        <f>IFERROR(IF(B118="","",VLOOKUP(B118,Buget_detaliat!F:I,4,0)),"")</f>
        <v/>
      </c>
      <c r="B118" s="2092"/>
      <c r="C118" s="1866"/>
      <c r="D118" s="1866"/>
      <c r="E118" s="1866"/>
      <c r="F118" s="1866"/>
      <c r="G118" s="1866"/>
      <c r="H118" s="1869"/>
      <c r="I118" s="1808"/>
      <c r="J118" s="1867"/>
    </row>
    <row r="119" spans="1:10" ht="17">
      <c r="A119" s="1862" t="str">
        <f ca="1">IFERROR(IF(B119="","",VLOOKUP(B119,Buget_detaliat!F:I,4,0)),"")</f>
        <v/>
      </c>
      <c r="B119" s="1864" t="s">
        <v>3490</v>
      </c>
      <c r="C119" s="1866">
        <v>151179.81308148999</v>
      </c>
      <c r="D119" s="1866">
        <v>151179.81308148999</v>
      </c>
      <c r="E119" s="1866">
        <v>151179.81308148999</v>
      </c>
      <c r="F119" s="1866">
        <v>0</v>
      </c>
      <c r="G119" s="1866">
        <v>0</v>
      </c>
      <c r="H119" s="2101">
        <v>453539.43924446998</v>
      </c>
      <c r="I119" s="1808"/>
      <c r="J119" s="1867"/>
    </row>
    <row r="120" spans="1:10" ht="17">
      <c r="A120" s="1862" t="str">
        <f ca="1">IFERROR(IF(B120="","",VLOOKUP(B120,Buget_detaliat!F:I,4,0)),"")</f>
        <v>Sisteme_de_sanatate</v>
      </c>
      <c r="B120" s="1864" t="s">
        <v>3488</v>
      </c>
      <c r="C120" s="1866">
        <v>70192</v>
      </c>
      <c r="D120" s="1866">
        <v>70192</v>
      </c>
      <c r="E120" s="1866">
        <v>70192</v>
      </c>
      <c r="F120" s="1866">
        <v>0</v>
      </c>
      <c r="G120" s="1866">
        <v>0</v>
      </c>
      <c r="H120" s="2101">
        <v>210576</v>
      </c>
      <c r="I120" s="1808"/>
      <c r="J120" s="1867"/>
    </row>
    <row r="121" spans="1:10" ht="17">
      <c r="A121" s="1862" t="str">
        <f ca="1">IFERROR(IF(B121="","",VLOOKUP(B121,Buget_detaliat!F:I,4,0)),"")</f>
        <v>Sisteme_de_sanatate</v>
      </c>
      <c r="B121" s="1864" t="s">
        <v>3489</v>
      </c>
      <c r="C121" s="1866">
        <v>80987.813081489992</v>
      </c>
      <c r="D121" s="1866">
        <v>80987.813081489992</v>
      </c>
      <c r="E121" s="1866">
        <v>80987.813081489992</v>
      </c>
      <c r="F121" s="1866">
        <v>0</v>
      </c>
      <c r="G121" s="1866">
        <v>0</v>
      </c>
      <c r="H121" s="2101">
        <v>242963.43924446998</v>
      </c>
      <c r="I121" s="1808"/>
      <c r="J121" s="1867"/>
    </row>
    <row r="122" spans="1:10">
      <c r="A122" s="1862" t="str">
        <f>IFERROR(IF(B122="","",VLOOKUP(B122,Buget_detaliat!F:I,4,0)),"")</f>
        <v/>
      </c>
      <c r="B122" s="2092"/>
      <c r="C122" s="1866"/>
      <c r="D122" s="1866"/>
      <c r="E122" s="1866"/>
      <c r="F122" s="1866"/>
      <c r="G122" s="1866"/>
      <c r="H122" s="1869"/>
      <c r="I122" s="1808"/>
      <c r="J122" s="2196"/>
    </row>
    <row r="123" spans="1:10" ht="39" customHeight="1">
      <c r="A123" s="1862" t="str">
        <f ca="1">IFERROR(IF(B123="","",VLOOKUP(B123,Buget_detaliat!F:I,4,0)),"")</f>
        <v/>
      </c>
      <c r="B123" s="1864" t="s">
        <v>3136</v>
      </c>
      <c r="C123" s="1866">
        <v>20000</v>
      </c>
      <c r="D123" s="1866">
        <v>0</v>
      </c>
      <c r="E123" s="1866">
        <v>0</v>
      </c>
      <c r="F123" s="1866">
        <v>0</v>
      </c>
      <c r="G123" s="1866">
        <v>0</v>
      </c>
      <c r="H123" s="2101">
        <v>20000</v>
      </c>
      <c r="I123" s="1808"/>
      <c r="J123" s="1867"/>
    </row>
    <row r="124" spans="1:10" ht="39" customHeight="1">
      <c r="A124" s="1862" t="str">
        <f ca="1">IFERROR(IF(B124="","",VLOOKUP(B124,Buget_detaliat!F:I,4,0)),"")</f>
        <v>Sisteme_de_sanatate</v>
      </c>
      <c r="B124" s="1864" t="s">
        <v>3491</v>
      </c>
      <c r="C124" s="1866">
        <v>20000</v>
      </c>
      <c r="D124" s="1866">
        <v>0</v>
      </c>
      <c r="E124" s="1866">
        <v>0</v>
      </c>
      <c r="F124" s="1866">
        <v>0</v>
      </c>
      <c r="G124" s="1866">
        <v>0</v>
      </c>
      <c r="H124" s="2101">
        <v>20000</v>
      </c>
      <c r="I124" s="1808"/>
      <c r="J124" s="1867"/>
    </row>
    <row r="125" spans="1:10">
      <c r="A125" s="1862" t="str">
        <f>IFERROR(IF(B125="","",VLOOKUP(B125,Buget_detaliat!F:I,4,0)),"")</f>
        <v/>
      </c>
      <c r="B125" s="2092"/>
      <c r="C125" s="1866"/>
      <c r="D125" s="1866"/>
      <c r="E125" s="1866"/>
      <c r="F125" s="1866"/>
      <c r="G125" s="1866"/>
      <c r="H125" s="1869"/>
      <c r="I125" s="1808"/>
      <c r="J125" s="1867"/>
    </row>
    <row r="126" spans="1:10" ht="17">
      <c r="A126" s="1862" t="str">
        <f ca="1">IFERROR(IF(B126="","",VLOOKUP(B126,Buget_detaliat!F:I,4,0)),"")</f>
        <v/>
      </c>
      <c r="B126" s="1864" t="s">
        <v>393</v>
      </c>
      <c r="C126" s="1866">
        <v>356000</v>
      </c>
      <c r="D126" s="1866">
        <v>40000</v>
      </c>
      <c r="E126" s="1866">
        <v>0</v>
      </c>
      <c r="F126" s="1866">
        <v>0</v>
      </c>
      <c r="G126" s="1866">
        <v>0</v>
      </c>
      <c r="H126" s="2101">
        <v>396000</v>
      </c>
      <c r="I126" s="1808"/>
      <c r="J126" s="1867"/>
    </row>
    <row r="127" spans="1:10" ht="17">
      <c r="A127" s="1862" t="str">
        <f ca="1">IFERROR(IF(B127="","",VLOOKUP(B127,Buget_detaliat!F:I,4,0)),"")</f>
        <v/>
      </c>
      <c r="B127" s="1864" t="s">
        <v>2975</v>
      </c>
      <c r="C127" s="1866">
        <v>0</v>
      </c>
      <c r="D127" s="1866">
        <v>40000</v>
      </c>
      <c r="E127" s="1866">
        <v>0</v>
      </c>
      <c r="F127" s="1866">
        <v>0</v>
      </c>
      <c r="G127" s="1866">
        <v>0</v>
      </c>
      <c r="H127" s="2101">
        <v>40000</v>
      </c>
      <c r="I127" s="1808"/>
      <c r="J127" s="1867"/>
    </row>
    <row r="128" spans="1:10" ht="17">
      <c r="A128" s="1862" t="str">
        <f ca="1">IFERROR(IF(B128="","",VLOOKUP(B128,Buget_detaliat!F:I,4,0)),"")</f>
        <v>Sisteme_de_sanatate</v>
      </c>
      <c r="B128" s="1864" t="s">
        <v>3492</v>
      </c>
      <c r="C128" s="1866">
        <v>0</v>
      </c>
      <c r="D128" s="1866">
        <v>40000</v>
      </c>
      <c r="E128" s="1866">
        <v>0</v>
      </c>
      <c r="F128" s="1866">
        <v>0</v>
      </c>
      <c r="G128" s="1866">
        <v>0</v>
      </c>
      <c r="H128" s="2101">
        <v>40000</v>
      </c>
      <c r="I128" s="1808"/>
      <c r="J128" s="1867"/>
    </row>
    <row r="129" spans="1:10">
      <c r="A129" s="1862" t="str">
        <f>IFERROR(IF(B129="","",VLOOKUP(B129,Buget_detaliat!F:I,4,0)),"")</f>
        <v/>
      </c>
      <c r="B129" s="2092"/>
      <c r="C129" s="1866"/>
      <c r="D129" s="1866"/>
      <c r="E129" s="1866"/>
      <c r="F129" s="1866"/>
      <c r="G129" s="1866"/>
      <c r="H129" s="1869"/>
      <c r="I129" s="1808"/>
      <c r="J129" s="1867"/>
    </row>
    <row r="130" spans="1:10" ht="17">
      <c r="A130" s="1862" t="str">
        <f ca="1">IFERROR(IF(B130="","",VLOOKUP(B130,Buget_detaliat!F:I,4,0)),"")</f>
        <v/>
      </c>
      <c r="B130" s="1864" t="s">
        <v>2977</v>
      </c>
      <c r="C130" s="1866">
        <v>356000</v>
      </c>
      <c r="D130" s="1866">
        <v>0</v>
      </c>
      <c r="E130" s="1866">
        <v>0</v>
      </c>
      <c r="F130" s="1866">
        <v>0</v>
      </c>
      <c r="G130" s="1866">
        <v>0</v>
      </c>
      <c r="H130" s="2101">
        <v>356000</v>
      </c>
      <c r="I130" s="1808"/>
      <c r="J130" s="1867"/>
    </row>
    <row r="131" spans="1:10" ht="17">
      <c r="A131" s="1862" t="str">
        <f ca="1">IFERROR(IF(B131="","",VLOOKUP(B131,Buget_detaliat!F:I,4,0)),"")</f>
        <v>Sisteme_de_sanatate</v>
      </c>
      <c r="B131" s="1864" t="s">
        <v>3514</v>
      </c>
      <c r="C131" s="1866">
        <v>256000</v>
      </c>
      <c r="D131" s="1866">
        <v>0</v>
      </c>
      <c r="E131" s="1866">
        <v>0</v>
      </c>
      <c r="F131" s="1866">
        <v>0</v>
      </c>
      <c r="G131" s="1866">
        <v>0</v>
      </c>
      <c r="H131" s="2101">
        <v>256000</v>
      </c>
      <c r="I131" s="1808"/>
      <c r="J131" s="1867"/>
    </row>
    <row r="132" spans="1:10" ht="17">
      <c r="A132" s="1862" t="str">
        <f ca="1">IFERROR(IF(B132="","",VLOOKUP(B132,Buget_detaliat!F:I,4,0)),"")</f>
        <v>Sisteme_de_sanatate</v>
      </c>
      <c r="B132" s="1864" t="s">
        <v>3515</v>
      </c>
      <c r="C132" s="1866">
        <v>0</v>
      </c>
      <c r="D132" s="1866">
        <v>0</v>
      </c>
      <c r="E132" s="1866">
        <v>0</v>
      </c>
      <c r="F132" s="1866">
        <v>0</v>
      </c>
      <c r="G132" s="1866">
        <v>0</v>
      </c>
      <c r="H132" s="2101">
        <v>0</v>
      </c>
      <c r="I132" s="1808"/>
      <c r="J132" s="1867"/>
    </row>
    <row r="133" spans="1:10" ht="17">
      <c r="A133" s="1862" t="str">
        <f ca="1">IFERROR(IF(B133="","",VLOOKUP(B133,Buget_detaliat!F:I,4,0)),"")</f>
        <v>Sisteme_de_sanatate</v>
      </c>
      <c r="B133" s="1864" t="s">
        <v>3516</v>
      </c>
      <c r="C133" s="1866">
        <v>60000</v>
      </c>
      <c r="D133" s="1866">
        <v>0</v>
      </c>
      <c r="E133" s="1866">
        <v>0</v>
      </c>
      <c r="F133" s="1866">
        <v>0</v>
      </c>
      <c r="G133" s="1866">
        <v>0</v>
      </c>
      <c r="H133" s="2101">
        <v>60000</v>
      </c>
      <c r="I133" s="1808"/>
      <c r="J133" s="1867"/>
    </row>
    <row r="134" spans="1:10" ht="28.25" customHeight="1">
      <c r="A134" s="1862" t="str">
        <f ca="1">IFERROR(IF(B134="","",VLOOKUP(B134,Buget_detaliat!F:I,4,0)),"")</f>
        <v>Sisteme_de_sanatate</v>
      </c>
      <c r="B134" s="1864" t="s">
        <v>3517</v>
      </c>
      <c r="C134" s="1866">
        <v>40000</v>
      </c>
      <c r="D134" s="1866">
        <v>0</v>
      </c>
      <c r="E134" s="1866">
        <v>0</v>
      </c>
      <c r="F134" s="1866">
        <v>0</v>
      </c>
      <c r="G134" s="1866">
        <v>0</v>
      </c>
      <c r="H134" s="2101">
        <v>40000</v>
      </c>
      <c r="I134" s="1808"/>
      <c r="J134" s="1867"/>
    </row>
    <row r="135" spans="1:10" ht="16.25" customHeight="1">
      <c r="A135" s="1862" t="str">
        <f>IFERROR(IF(B135="","",VLOOKUP(B135,Buget_detaliat!F:I,4,0)),"")</f>
        <v/>
      </c>
      <c r="B135" s="2092"/>
      <c r="C135" s="1866"/>
      <c r="D135" s="1866"/>
      <c r="E135" s="1866"/>
      <c r="F135" s="1866"/>
      <c r="G135" s="1866"/>
      <c r="H135" s="1869"/>
      <c r="I135" s="1808"/>
      <c r="J135" s="1867"/>
    </row>
    <row r="136" spans="1:10" ht="42.75" customHeight="1">
      <c r="A136" s="1862" t="str">
        <f ca="1">IFERROR(IF(B136="","",VLOOKUP(B136,Buget_detaliat!F:I,4,0)),"")</f>
        <v/>
      </c>
      <c r="B136" s="1864" t="s">
        <v>1854</v>
      </c>
      <c r="C136" s="1866">
        <v>40000</v>
      </c>
      <c r="D136" s="1866">
        <v>0</v>
      </c>
      <c r="E136" s="1866">
        <v>0</v>
      </c>
      <c r="F136" s="1866">
        <v>0</v>
      </c>
      <c r="G136" s="1866">
        <v>0</v>
      </c>
      <c r="H136" s="2101">
        <v>40000</v>
      </c>
      <c r="I136" s="1808"/>
      <c r="J136" s="1867"/>
    </row>
    <row r="137" spans="1:10" ht="42.75" customHeight="1">
      <c r="A137" s="1862" t="str">
        <f ca="1">IFERROR(IF(B137="","",VLOOKUP(B137,Buget_detaliat!F:I,4,0)),"")</f>
        <v/>
      </c>
      <c r="B137" s="1864" t="s">
        <v>2980</v>
      </c>
      <c r="C137" s="1866">
        <v>0</v>
      </c>
      <c r="D137" s="1866">
        <v>0</v>
      </c>
      <c r="E137" s="1866">
        <v>0</v>
      </c>
      <c r="F137" s="1866">
        <v>0</v>
      </c>
      <c r="G137" s="1866">
        <v>0</v>
      </c>
      <c r="H137" s="2101">
        <v>0</v>
      </c>
      <c r="I137" s="1808"/>
      <c r="J137" s="1867"/>
    </row>
    <row r="138" spans="1:10">
      <c r="A138" s="1862" t="str">
        <f ca="1">IFERROR(IF(B138="","",VLOOKUP(B138,Buget_detaliat!F:I,4,0)),"")</f>
        <v>Sisteme_de_sanatate</v>
      </c>
      <c r="B138" s="2092" t="s">
        <v>3703</v>
      </c>
      <c r="C138" s="1866">
        <v>0</v>
      </c>
      <c r="D138" s="1866">
        <v>0</v>
      </c>
      <c r="E138" s="1866">
        <v>0</v>
      </c>
      <c r="F138" s="1866">
        <v>0</v>
      </c>
      <c r="G138" s="1866">
        <v>0</v>
      </c>
      <c r="H138" s="1869">
        <v>0</v>
      </c>
      <c r="I138" s="1808"/>
      <c r="J138" s="1867"/>
    </row>
    <row r="139" spans="1:10">
      <c r="A139" s="1862" t="str">
        <f ca="1">IFERROR(IF(B139="","",VLOOKUP(B139,Buget_detaliat!F:I,4,0)),"")</f>
        <v>Sisteme_de_sanatate</v>
      </c>
      <c r="B139" s="2092" t="s">
        <v>3704</v>
      </c>
      <c r="C139" s="1866">
        <v>0</v>
      </c>
      <c r="D139" s="1866">
        <v>0</v>
      </c>
      <c r="E139" s="1866">
        <v>0</v>
      </c>
      <c r="F139" s="1866">
        <v>0</v>
      </c>
      <c r="G139" s="1866">
        <v>0</v>
      </c>
      <c r="H139" s="1869">
        <v>0</v>
      </c>
      <c r="I139" s="1808"/>
      <c r="J139" s="1867"/>
    </row>
    <row r="140" spans="1:10" ht="17">
      <c r="A140" s="1862" t="str">
        <f ca="1">IFERROR(IF(B140="","",VLOOKUP(B140,Buget_detaliat!F:I,4,0)),"")</f>
        <v>Sisteme_de_sanatate</v>
      </c>
      <c r="B140" s="1864" t="s">
        <v>3520</v>
      </c>
      <c r="C140" s="1866">
        <v>0</v>
      </c>
      <c r="D140" s="1866">
        <v>0</v>
      </c>
      <c r="E140" s="1866">
        <v>0</v>
      </c>
      <c r="F140" s="1866">
        <v>0</v>
      </c>
      <c r="G140" s="1866">
        <v>0</v>
      </c>
      <c r="H140" s="2101">
        <v>0</v>
      </c>
      <c r="I140" s="1808"/>
      <c r="J140" s="1867"/>
    </row>
    <row r="141" spans="1:10">
      <c r="A141" s="1862" t="str">
        <f>IFERROR(IF(B141="","",VLOOKUP(B141,Buget_detaliat!F:I,4,0)),"")</f>
        <v/>
      </c>
      <c r="B141" s="2092"/>
      <c r="C141" s="1866"/>
      <c r="D141" s="1866"/>
      <c r="E141" s="1866"/>
      <c r="F141" s="1866"/>
      <c r="G141" s="1866"/>
      <c r="H141" s="1869"/>
    </row>
    <row r="142" spans="1:10" ht="17">
      <c r="A142" s="1862" t="str">
        <f ca="1">IFERROR(IF(B142="","",VLOOKUP(B142,Buget_detaliat!F:I,4,0)),"")</f>
        <v/>
      </c>
      <c r="B142" s="1864" t="s">
        <v>2981</v>
      </c>
      <c r="C142" s="1866">
        <v>40000</v>
      </c>
      <c r="D142" s="1866">
        <v>0</v>
      </c>
      <c r="E142" s="1866">
        <v>0</v>
      </c>
      <c r="F142" s="1866">
        <v>0</v>
      </c>
      <c r="G142" s="1866">
        <v>0</v>
      </c>
      <c r="H142" s="2101">
        <v>40000</v>
      </c>
    </row>
    <row r="143" spans="1:10" ht="17">
      <c r="A143" s="1862" t="str">
        <f ca="1">IFERROR(IF(B143="","",VLOOKUP(B143,Buget_detaliat!F:I,4,0)),"")</f>
        <v>Sisteme_de_sanatate</v>
      </c>
      <c r="B143" s="1864" t="s">
        <v>3521</v>
      </c>
      <c r="C143" s="1866">
        <v>40000</v>
      </c>
      <c r="D143" s="1866">
        <v>0</v>
      </c>
      <c r="E143" s="1866">
        <v>0</v>
      </c>
      <c r="F143" s="1866">
        <v>0</v>
      </c>
      <c r="G143" s="1866">
        <v>0</v>
      </c>
      <c r="H143" s="2101">
        <v>40000</v>
      </c>
    </row>
    <row r="144" spans="1:10">
      <c r="A144" s="1862" t="str">
        <f>IFERROR(IF(B144="","",VLOOKUP(B144,Buget_detaliat!F:I,4,0)),"")</f>
        <v/>
      </c>
      <c r="B144" s="2092"/>
      <c r="C144" s="1866"/>
      <c r="D144" s="1866"/>
      <c r="E144" s="1866"/>
      <c r="F144" s="1866"/>
      <c r="G144" s="1866"/>
      <c r="H144" s="1869"/>
    </row>
    <row r="145" spans="1:10" ht="17">
      <c r="A145" s="1862" t="str">
        <f ca="1">IFERROR(IF(B145="","",VLOOKUP(B145,Buget_detaliat!F:I,4,0)),"")</f>
        <v/>
      </c>
      <c r="B145" s="1864" t="s">
        <v>394</v>
      </c>
      <c r="C145" s="1866">
        <v>279201.2</v>
      </c>
      <c r="D145" s="1866">
        <v>173941.2</v>
      </c>
      <c r="E145" s="1866">
        <v>136393.20000000001</v>
      </c>
      <c r="F145" s="1866">
        <v>0</v>
      </c>
      <c r="G145" s="1866">
        <v>0</v>
      </c>
      <c r="H145" s="2101">
        <v>589535.6</v>
      </c>
    </row>
    <row r="146" spans="1:10" ht="17">
      <c r="A146" s="1862" t="str">
        <f ca="1">IFERROR(IF(B146="","",VLOOKUP(B146,Buget_detaliat!F:I,4,0)),"")</f>
        <v/>
      </c>
      <c r="B146" s="1864" t="s">
        <v>2983</v>
      </c>
      <c r="C146" s="1866">
        <v>0</v>
      </c>
      <c r="D146" s="1866">
        <v>0</v>
      </c>
      <c r="E146" s="1866">
        <v>0</v>
      </c>
      <c r="F146" s="1866">
        <v>0</v>
      </c>
      <c r="G146" s="1866">
        <v>0</v>
      </c>
      <c r="H146" s="2101">
        <v>0</v>
      </c>
    </row>
    <row r="147" spans="1:10" ht="17">
      <c r="A147" s="1862" t="str">
        <f ca="1">IFERROR(IF(B147="","",VLOOKUP(B147,Buget_detaliat!F:I,4,0)),"")</f>
        <v>Sisteme_de_sanatate</v>
      </c>
      <c r="B147" s="1864" t="s">
        <v>3522</v>
      </c>
      <c r="C147" s="1866">
        <v>0</v>
      </c>
      <c r="D147" s="1866">
        <v>0</v>
      </c>
      <c r="E147" s="1866">
        <v>0</v>
      </c>
      <c r="F147" s="1866">
        <v>0</v>
      </c>
      <c r="G147" s="1866">
        <v>0</v>
      </c>
      <c r="H147" s="2101">
        <v>0</v>
      </c>
    </row>
    <row r="148" spans="1:10" ht="17">
      <c r="A148" s="1862" t="str">
        <f ca="1">IFERROR(IF(B148="","",VLOOKUP(B148,Buget_detaliat!F:I,4,0)),"")</f>
        <v>Sisteme_de_sanatate</v>
      </c>
      <c r="B148" s="1864" t="s">
        <v>3523</v>
      </c>
      <c r="C148" s="1866">
        <v>0</v>
      </c>
      <c r="D148" s="1866">
        <v>0</v>
      </c>
      <c r="E148" s="1866">
        <v>0</v>
      </c>
      <c r="F148" s="1866">
        <v>0</v>
      </c>
      <c r="G148" s="1866">
        <v>0</v>
      </c>
      <c r="H148" s="2101">
        <v>0</v>
      </c>
    </row>
    <row r="149" spans="1:10">
      <c r="A149" s="1862" t="str">
        <f>IFERROR(IF(B149="","",VLOOKUP(B149,Buget_detaliat!F:I,4,0)),"")</f>
        <v/>
      </c>
      <c r="B149" s="2092"/>
      <c r="C149" s="1866"/>
      <c r="D149" s="1866"/>
      <c r="E149" s="1866"/>
      <c r="F149" s="1866"/>
      <c r="G149" s="1866"/>
      <c r="H149" s="1869"/>
    </row>
    <row r="150" spans="1:10" ht="17">
      <c r="A150" s="1862" t="str">
        <f ca="1">IFERROR(IF(B150="","",VLOOKUP(B150,Buget_detaliat!F:I,4,0)),"")</f>
        <v/>
      </c>
      <c r="B150" s="1864" t="s">
        <v>2984</v>
      </c>
      <c r="C150" s="1866">
        <v>116508</v>
      </c>
      <c r="D150" s="1866">
        <v>0</v>
      </c>
      <c r="E150" s="1866">
        <v>0</v>
      </c>
      <c r="F150" s="1866">
        <v>0</v>
      </c>
      <c r="G150" s="1866">
        <v>0</v>
      </c>
      <c r="H150" s="2101">
        <v>116508</v>
      </c>
    </row>
    <row r="151" spans="1:10" s="1861" customFormat="1" ht="17">
      <c r="A151" s="1862" t="str">
        <f ca="1">IFERROR(IF(B151="","",VLOOKUP(B151,Buget_detaliat!F:I,4,0)),"")</f>
        <v>Sisteme_de_sanatate</v>
      </c>
      <c r="B151" s="1864" t="s">
        <v>3524</v>
      </c>
      <c r="C151" s="1866">
        <v>116508</v>
      </c>
      <c r="D151" s="1866">
        <v>0</v>
      </c>
      <c r="E151" s="1866">
        <v>0</v>
      </c>
      <c r="F151" s="1866">
        <v>0</v>
      </c>
      <c r="G151" s="1866">
        <v>0</v>
      </c>
      <c r="H151" s="2101">
        <v>116508</v>
      </c>
    </row>
    <row r="152" spans="1:10" s="1861" customFormat="1">
      <c r="A152" s="1862" t="str">
        <f>IFERROR(IF(B152="","",VLOOKUP(B152,Buget_detaliat!F:I,4,0)),"")</f>
        <v/>
      </c>
      <c r="B152" s="2092"/>
      <c r="C152" s="1866"/>
      <c r="D152" s="1866"/>
      <c r="E152" s="1866"/>
      <c r="F152" s="1866"/>
      <c r="G152" s="1866"/>
      <c r="H152" s="1869"/>
    </row>
    <row r="153" spans="1:10" s="1861" customFormat="1" ht="17">
      <c r="A153" s="1862" t="str">
        <f ca="1">IFERROR(IF(B153="","",VLOOKUP(B153,Buget_detaliat!F:I,4,0)),"")</f>
        <v/>
      </c>
      <c r="B153" s="1864" t="s">
        <v>2985</v>
      </c>
      <c r="C153" s="1866">
        <v>162693.20000000001</v>
      </c>
      <c r="D153" s="1866">
        <v>173941.2</v>
      </c>
      <c r="E153" s="1866">
        <v>136393.20000000001</v>
      </c>
      <c r="F153" s="1866">
        <v>0</v>
      </c>
      <c r="G153" s="1866">
        <v>0</v>
      </c>
      <c r="H153" s="2101">
        <v>473027.6</v>
      </c>
    </row>
    <row r="154" spans="1:10" ht="17">
      <c r="A154" s="1862" t="str">
        <f ca="1">IFERROR(IF(B154="","",VLOOKUP(B154,Buget_detaliat!F:I,4,0)),"")</f>
        <v>Sisteme_de_sanatate</v>
      </c>
      <c r="B154" s="1864" t="s">
        <v>3526</v>
      </c>
      <c r="C154" s="1866">
        <v>83845.2</v>
      </c>
      <c r="D154" s="1866">
        <v>83845.2</v>
      </c>
      <c r="E154" s="1866">
        <v>83845.2</v>
      </c>
      <c r="F154" s="1866">
        <v>0</v>
      </c>
      <c r="G154" s="1866">
        <v>0</v>
      </c>
      <c r="H154" s="2101">
        <v>251535.59999999998</v>
      </c>
    </row>
    <row r="155" spans="1:10" s="1861" customFormat="1" ht="17">
      <c r="A155" s="1862" t="str">
        <f ca="1">IFERROR(IF(B155="","",VLOOKUP(B155,Buget_detaliat!F:I,4,0)),"")</f>
        <v>Sisteme_de_sanatate</v>
      </c>
      <c r="B155" s="1864" t="s">
        <v>3527</v>
      </c>
      <c r="C155" s="1866">
        <v>35000</v>
      </c>
      <c r="D155" s="1866">
        <v>35000</v>
      </c>
      <c r="E155" s="1866">
        <v>35000</v>
      </c>
      <c r="F155" s="1866">
        <v>0</v>
      </c>
      <c r="G155" s="1866">
        <v>0</v>
      </c>
      <c r="H155" s="2101">
        <v>105000</v>
      </c>
      <c r="J155" s="2111"/>
    </row>
    <row r="156" spans="1:10" s="1861" customFormat="1" ht="34">
      <c r="A156" s="1862" t="str">
        <f ca="1">IFERROR(IF(B156="","",VLOOKUP(B156,Buget_detaliat!F:I,4,0)),"")</f>
        <v>Sisteme_de_sanatate</v>
      </c>
      <c r="B156" s="1864" t="s">
        <v>3529</v>
      </c>
      <c r="C156" s="1866">
        <v>0</v>
      </c>
      <c r="D156" s="1866">
        <v>20000</v>
      </c>
      <c r="E156" s="1866">
        <v>0</v>
      </c>
      <c r="F156" s="1866">
        <v>0</v>
      </c>
      <c r="G156" s="1866">
        <v>0</v>
      </c>
      <c r="H156" s="2101">
        <v>20000</v>
      </c>
    </row>
    <row r="157" spans="1:10" s="1861" customFormat="1" ht="17">
      <c r="A157" s="1862" t="str">
        <f ca="1">IFERROR(IF(B157="","",VLOOKUP(B157,Buget_detaliat!F:I,4,0)),"")</f>
        <v>Sisteme_de_sanatate</v>
      </c>
      <c r="B157" s="1864" t="s">
        <v>3528</v>
      </c>
      <c r="C157" s="1866">
        <v>17548</v>
      </c>
      <c r="D157" s="1866">
        <v>17548</v>
      </c>
      <c r="E157" s="1866">
        <v>17548</v>
      </c>
      <c r="F157" s="1866">
        <v>0</v>
      </c>
      <c r="G157" s="1866">
        <v>0</v>
      </c>
      <c r="H157" s="2101">
        <v>52644</v>
      </c>
    </row>
    <row r="158" spans="1:10">
      <c r="A158" s="1862" t="str">
        <f ca="1">IFERROR(IF(B158="","",VLOOKUP(B158,Buget_detaliat!F:I,4,0)),"")</f>
        <v>Sisteme_de_sanatate</v>
      </c>
      <c r="B158" s="2092" t="s">
        <v>3725</v>
      </c>
      <c r="C158" s="1866">
        <v>26300</v>
      </c>
      <c r="D158" s="1866">
        <v>0</v>
      </c>
      <c r="E158" s="1866">
        <v>0</v>
      </c>
      <c r="F158" s="1866">
        <v>0</v>
      </c>
      <c r="G158" s="1866">
        <v>0</v>
      </c>
      <c r="H158" s="1869">
        <v>26300</v>
      </c>
    </row>
    <row r="159" spans="1:10">
      <c r="A159" s="1862" t="str">
        <f ca="1">IFERROR(IF(B159="","",VLOOKUP(B159,Buget_detaliat!F:I,4,0)),"")</f>
        <v>Sisteme_de_sanatate</v>
      </c>
      <c r="B159" s="2092" t="s">
        <v>3724</v>
      </c>
      <c r="C159" s="1866">
        <v>0</v>
      </c>
      <c r="D159" s="1866">
        <v>17548</v>
      </c>
      <c r="E159" s="1866">
        <v>0</v>
      </c>
      <c r="F159" s="1866">
        <v>0</v>
      </c>
      <c r="G159" s="1866">
        <v>0</v>
      </c>
      <c r="H159" s="1869">
        <v>17548</v>
      </c>
    </row>
    <row r="160" spans="1:10">
      <c r="A160" s="1862" t="str">
        <f>IFERROR(IF(B160="","",VLOOKUP(B160,Buget_detaliat!F:I,4,0)),"")</f>
        <v/>
      </c>
      <c r="B160" s="2092"/>
      <c r="C160" s="1866"/>
      <c r="D160" s="1866"/>
      <c r="E160" s="1866"/>
      <c r="F160" s="1866"/>
      <c r="G160" s="1866"/>
      <c r="H160" s="1869"/>
    </row>
    <row r="161" spans="1:8" ht="17">
      <c r="A161" s="1862" t="str">
        <f ca="1">IFERROR(IF(B161="","",VLOOKUP(B161,Buget_detaliat!F:I,4,0)),"")</f>
        <v/>
      </c>
      <c r="B161" s="1864" t="s">
        <v>3079</v>
      </c>
      <c r="C161" s="1866">
        <v>558750</v>
      </c>
      <c r="D161" s="1866">
        <v>256000</v>
      </c>
      <c r="E161" s="1866">
        <v>256000</v>
      </c>
      <c r="F161" s="1866">
        <v>0</v>
      </c>
      <c r="G161" s="1866">
        <v>0</v>
      </c>
      <c r="H161" s="2101">
        <v>1070750</v>
      </c>
    </row>
    <row r="162" spans="1:8" ht="17">
      <c r="A162" s="1862" t="str">
        <f ca="1">IFERROR(IF(B162="","",VLOOKUP(B162,Buget_detaliat!F:I,4,0)),"")</f>
        <v/>
      </c>
      <c r="B162" s="1864" t="s">
        <v>1856</v>
      </c>
      <c r="C162" s="1866">
        <v>558750</v>
      </c>
      <c r="D162" s="1866">
        <v>256000</v>
      </c>
      <c r="E162" s="1866">
        <v>256000</v>
      </c>
      <c r="F162" s="1866">
        <v>0</v>
      </c>
      <c r="G162" s="1866">
        <v>0</v>
      </c>
      <c r="H162" s="2101">
        <v>1070750</v>
      </c>
    </row>
    <row r="163" spans="1:8" ht="17">
      <c r="A163" s="1862" t="str">
        <f ca="1">IFERROR(IF(B163="","",VLOOKUP(B163,Buget_detaliat!F:I,4,0)),"")</f>
        <v/>
      </c>
      <c r="B163" s="1864" t="s">
        <v>2991</v>
      </c>
      <c r="C163" s="1866">
        <v>558750</v>
      </c>
      <c r="D163" s="1866">
        <v>256000</v>
      </c>
      <c r="E163" s="1866">
        <v>256000</v>
      </c>
      <c r="F163" s="1866">
        <v>0</v>
      </c>
      <c r="G163" s="1866">
        <v>0</v>
      </c>
      <c r="H163" s="2101">
        <v>1070750</v>
      </c>
    </row>
    <row r="164" spans="1:8">
      <c r="A164" s="1862" t="str">
        <f ca="1">IFERROR(IF(B164="","",VLOOKUP(B164,Buget_detaliat!F:I,4,0)),"")</f>
        <v>Sisteme_de_sanatate</v>
      </c>
      <c r="B164" s="2092" t="s">
        <v>3726</v>
      </c>
      <c r="C164" s="1866">
        <v>0</v>
      </c>
      <c r="D164" s="1866">
        <v>0</v>
      </c>
      <c r="E164" s="1866">
        <v>256000</v>
      </c>
      <c r="F164" s="1866">
        <v>0</v>
      </c>
      <c r="G164" s="1866">
        <v>0</v>
      </c>
      <c r="H164" s="1869">
        <v>256000</v>
      </c>
    </row>
    <row r="165" spans="1:8">
      <c r="A165" s="1862" t="str">
        <f ca="1">IFERROR(IF(B165="","",VLOOKUP(B165,Buget_detaliat!F:I,4,0)),"")</f>
        <v>Sisteme_de_sanatate</v>
      </c>
      <c r="B165" s="2092" t="s">
        <v>3727</v>
      </c>
      <c r="C165" s="1866">
        <v>256000</v>
      </c>
      <c r="D165" s="1866">
        <v>0</v>
      </c>
      <c r="E165" s="1866">
        <v>0</v>
      </c>
      <c r="F165" s="1866">
        <v>0</v>
      </c>
      <c r="G165" s="1866">
        <v>0</v>
      </c>
      <c r="H165" s="1869">
        <v>256000</v>
      </c>
    </row>
    <row r="166" spans="1:8">
      <c r="A166" s="1862" t="str">
        <f ca="1">IFERROR(IF(B166="","",VLOOKUP(B166,Buget_detaliat!F:I,4,0)),"")</f>
        <v>Sisteme_de_sanatate</v>
      </c>
      <c r="B166" s="2092" t="s">
        <v>3728</v>
      </c>
      <c r="C166" s="1866">
        <v>302750</v>
      </c>
      <c r="D166" s="1866">
        <v>0</v>
      </c>
      <c r="E166" s="1866">
        <v>0</v>
      </c>
      <c r="F166" s="1866">
        <v>0</v>
      </c>
      <c r="G166" s="1866">
        <v>0</v>
      </c>
      <c r="H166" s="1869">
        <v>302750</v>
      </c>
    </row>
    <row r="167" spans="1:8">
      <c r="A167" s="1862" t="str">
        <f ca="1">IFERROR(IF(B167="","",VLOOKUP(B167,Buget_detaliat!F:I,4,0)),"")</f>
        <v>Sisteme_de_sanatate</v>
      </c>
      <c r="B167" s="2092" t="s">
        <v>3729</v>
      </c>
      <c r="C167" s="1866">
        <v>0</v>
      </c>
      <c r="D167" s="1866">
        <v>256000</v>
      </c>
      <c r="E167" s="1866">
        <v>0</v>
      </c>
      <c r="F167" s="1866">
        <v>0</v>
      </c>
      <c r="G167" s="1866">
        <v>0</v>
      </c>
      <c r="H167" s="1869">
        <v>256000</v>
      </c>
    </row>
    <row r="168" spans="1:8">
      <c r="A168" s="1862" t="str">
        <f>IFERROR(IF(B168="","",VLOOKUP(B168,Buget_detaliat!F:I,4,0)),"")</f>
        <v/>
      </c>
      <c r="B168" s="2092"/>
      <c r="C168" s="1866"/>
      <c r="D168" s="1866"/>
      <c r="E168" s="1866"/>
      <c r="F168" s="1866"/>
      <c r="G168" s="1866"/>
      <c r="H168" s="1869"/>
    </row>
    <row r="169" spans="1:8" ht="17">
      <c r="A169" s="1862" t="str">
        <f ca="1">IFERROR(IF(B169="","",VLOOKUP(B169,Buget_detaliat!F:I,4,0)),"")</f>
        <v/>
      </c>
      <c r="B169" s="1864" t="s">
        <v>1883</v>
      </c>
      <c r="C169" s="1866">
        <v>15104723.671881489</v>
      </c>
      <c r="D169" s="1866">
        <v>9308126.5332814883</v>
      </c>
      <c r="E169" s="1866">
        <v>7997083.5830814894</v>
      </c>
      <c r="F169" s="1866">
        <v>0</v>
      </c>
      <c r="G169" s="1866">
        <v>0</v>
      </c>
      <c r="H169" s="2102">
        <v>32409933.788244478</v>
      </c>
    </row>
    <row r="170" spans="1:8">
      <c r="A170" s="1862" t="str">
        <f>IFERROR(IF(B170="","",VLOOKUP(B170,Buget_detaliat!F:I,4,0)),"")</f>
        <v/>
      </c>
      <c r="B170"/>
      <c r="C170"/>
      <c r="D170"/>
      <c r="E170"/>
      <c r="F170"/>
      <c r="G170"/>
      <c r="H170"/>
    </row>
    <row r="171" spans="1:8">
      <c r="A171" s="1862" t="str">
        <f>IFERROR(IF(B171="","",VLOOKUP(B171,Buget_detaliat!F:I,4,0)),"")</f>
        <v/>
      </c>
      <c r="B171"/>
      <c r="C171"/>
      <c r="D171"/>
      <c r="E171"/>
      <c r="F171"/>
      <c r="G171"/>
      <c r="H171"/>
    </row>
    <row r="172" spans="1:8">
      <c r="A172" s="1862" t="str">
        <f>IFERROR(IF(B172="","",VLOOKUP(B172,Buget_detaliat!F:I,4,0)),"")</f>
        <v/>
      </c>
      <c r="B172"/>
      <c r="C172"/>
      <c r="D172"/>
      <c r="E172"/>
      <c r="F172"/>
      <c r="G172"/>
      <c r="H172"/>
    </row>
    <row r="173" spans="1:8">
      <c r="A173" s="1862" t="str">
        <f>IFERROR(IF(B173="","",VLOOKUP(B173,Buget_detaliat!F:I,4,0)),"")</f>
        <v/>
      </c>
      <c r="B173"/>
      <c r="C173"/>
      <c r="D173"/>
      <c r="E173"/>
      <c r="F173"/>
      <c r="G173"/>
      <c r="H173"/>
    </row>
    <row r="174" spans="1:8">
      <c r="A174" s="1862" t="str">
        <f>IFERROR(IF(B174="","",VLOOKUP(B174,Buget_detaliat!F:I,4,0)),"")</f>
        <v/>
      </c>
      <c r="B174"/>
      <c r="C174"/>
      <c r="D174"/>
      <c r="E174"/>
      <c r="F174"/>
      <c r="G174"/>
      <c r="H174"/>
    </row>
    <row r="175" spans="1:8">
      <c r="A175" s="1862" t="str">
        <f>IFERROR(IF(B175="","",VLOOKUP(B175,Buget_detaliat!F:I,4,0)),"")</f>
        <v/>
      </c>
      <c r="B175"/>
      <c r="C175"/>
      <c r="D175"/>
      <c r="E175"/>
      <c r="F175"/>
      <c r="G175"/>
      <c r="H175"/>
    </row>
    <row r="176" spans="1:8">
      <c r="A176" s="1862" t="str">
        <f>IFERROR(IF(B176="","",VLOOKUP(B176,Buget_detaliat!F:I,4,0)),"")</f>
        <v/>
      </c>
      <c r="B176"/>
      <c r="C176"/>
      <c r="D176"/>
      <c r="E176"/>
      <c r="F176"/>
      <c r="G176"/>
      <c r="H176"/>
    </row>
    <row r="177" spans="1:8">
      <c r="A177" s="1862" t="str">
        <f>IFERROR(IF(B177="","",VLOOKUP(B177,Buget_detaliat!F:I,4,0)),"")</f>
        <v/>
      </c>
      <c r="B177"/>
      <c r="C177"/>
      <c r="D177"/>
      <c r="E177"/>
      <c r="F177"/>
      <c r="G177"/>
      <c r="H177"/>
    </row>
    <row r="178" spans="1:8">
      <c r="A178" s="1862" t="str">
        <f>IFERROR(IF(B178="","",VLOOKUP(B178,Buget_detaliat!F:I,4,0)),"")</f>
        <v/>
      </c>
      <c r="B178"/>
      <c r="C178"/>
      <c r="D178"/>
      <c r="E178"/>
      <c r="F178"/>
      <c r="G178"/>
      <c r="H178"/>
    </row>
    <row r="179" spans="1:8">
      <c r="A179" s="1862" t="str">
        <f>IFERROR(IF(B179="","",VLOOKUP(B179,Buget_detaliat!F:I,4,0)),"")</f>
        <v/>
      </c>
      <c r="B179"/>
      <c r="C179"/>
      <c r="D179"/>
      <c r="E179"/>
      <c r="F179"/>
      <c r="G179"/>
      <c r="H179"/>
    </row>
    <row r="180" spans="1:8">
      <c r="A180" s="1862" t="str">
        <f>IFERROR(IF(B180="","",VLOOKUP(B180,Buget_detaliat!F:I,4,0)),"")</f>
        <v/>
      </c>
      <c r="B180" s="413"/>
      <c r="C180"/>
      <c r="D180"/>
      <c r="E180"/>
      <c r="F180"/>
      <c r="G180"/>
      <c r="H180"/>
    </row>
    <row r="181" spans="1:8">
      <c r="A181" s="1862" t="str">
        <f>IFERROR(IF(B181="","",VLOOKUP(B181,Buget_detaliat!F:I,4,0)),"")</f>
        <v/>
      </c>
      <c r="B181" s="413"/>
      <c r="C181"/>
      <c r="D181"/>
      <c r="E181"/>
      <c r="F181"/>
      <c r="G181"/>
      <c r="H181"/>
    </row>
    <row r="182" spans="1:8">
      <c r="A182" s="1862" t="str">
        <f>IFERROR(IF(B182="","",VLOOKUP(B182,Buget_detaliat!F:I,4,0)),"")</f>
        <v/>
      </c>
      <c r="B182" s="413"/>
      <c r="C182"/>
      <c r="D182"/>
      <c r="E182"/>
      <c r="F182"/>
      <c r="G182"/>
      <c r="H182"/>
    </row>
    <row r="183" spans="1:8">
      <c r="A183" s="1862" t="str">
        <f>IFERROR(IF(B183="","",VLOOKUP(B183,Buget_detaliat!F:I,4,0)),"")</f>
        <v/>
      </c>
      <c r="B183" s="413"/>
      <c r="C183"/>
      <c r="D183"/>
      <c r="E183"/>
      <c r="F183"/>
      <c r="G183"/>
      <c r="H183"/>
    </row>
    <row r="184" spans="1:8">
      <c r="A184" s="1862" t="str">
        <f>IFERROR(IF(B184="","",VLOOKUP(B184,Buget_detaliat!F:I,4,0)),"")</f>
        <v/>
      </c>
      <c r="B184" s="413"/>
      <c r="C184"/>
      <c r="D184"/>
      <c r="E184"/>
      <c r="F184"/>
      <c r="G184"/>
      <c r="H184"/>
    </row>
    <row r="185" spans="1:8">
      <c r="A185" s="1862" t="str">
        <f>IFERROR(IF(B185="","",VLOOKUP(B185,Buget_detaliat!F:I,4,0)),"")</f>
        <v/>
      </c>
      <c r="B185" s="413"/>
      <c r="C185"/>
      <c r="D185"/>
      <c r="E185"/>
      <c r="F185"/>
      <c r="G185"/>
      <c r="H185"/>
    </row>
    <row r="186" spans="1:8">
      <c r="A186" s="1862" t="str">
        <f>IFERROR(IF(B186="","",VLOOKUP(B186,Buget_detaliat!F:I,4,0)),"")</f>
        <v/>
      </c>
      <c r="B186" s="413"/>
      <c r="C186"/>
      <c r="D186"/>
      <c r="E186"/>
      <c r="F186"/>
      <c r="G186"/>
      <c r="H186"/>
    </row>
    <row r="187" spans="1:8">
      <c r="A187" s="1862" t="str">
        <f>IFERROR(IF(B187="","",VLOOKUP(B187,Buget_detaliat!F:I,4,0)),"")</f>
        <v/>
      </c>
      <c r="B187" s="413"/>
      <c r="C187"/>
      <c r="D187"/>
      <c r="E187"/>
      <c r="F187"/>
      <c r="G187"/>
      <c r="H187"/>
    </row>
    <row r="188" spans="1:8">
      <c r="A188" s="1862" t="str">
        <f>IFERROR(IF(B188="","",VLOOKUP(B188,Buget_detaliat!F:I,4,0)),"")</f>
        <v/>
      </c>
      <c r="B188" s="413"/>
      <c r="C188"/>
      <c r="D188"/>
      <c r="E188"/>
      <c r="F188"/>
      <c r="G188"/>
      <c r="H188"/>
    </row>
    <row r="189" spans="1:8">
      <c r="A189" s="1862" t="str">
        <f>IFERROR(IF(B189="","",VLOOKUP(B189,Buget_detaliat!F:I,4,0)),"")</f>
        <v/>
      </c>
      <c r="B189" s="413"/>
      <c r="C189"/>
      <c r="D189"/>
      <c r="E189"/>
      <c r="F189"/>
      <c r="G189"/>
      <c r="H189"/>
    </row>
    <row r="190" spans="1:8">
      <c r="A190" s="1862" t="str">
        <f>IFERROR(IF(B190="","",VLOOKUP(B190,Buget_detaliat!F:I,4,0)),"")</f>
        <v/>
      </c>
      <c r="B190" s="413"/>
      <c r="C190"/>
      <c r="D190"/>
      <c r="E190"/>
      <c r="F190"/>
      <c r="G190"/>
      <c r="H190"/>
    </row>
    <row r="191" spans="1:8">
      <c r="A191" s="1862" t="str">
        <f>IFERROR(IF(B191="","",VLOOKUP(B191,Buget_detaliat!F:I,4,0)),"")</f>
        <v/>
      </c>
      <c r="B191" s="413"/>
      <c r="C191"/>
      <c r="D191"/>
      <c r="E191"/>
      <c r="F191"/>
      <c r="G191"/>
      <c r="H191"/>
    </row>
    <row r="192" spans="1:8">
      <c r="A192" s="1862" t="str">
        <f>IFERROR(IF(B192="","",VLOOKUP(B192,Buget_detaliat!F:I,4,0)),"")</f>
        <v/>
      </c>
      <c r="B192" s="413"/>
      <c r="C192"/>
      <c r="D192"/>
      <c r="E192"/>
      <c r="F192"/>
      <c r="G192"/>
      <c r="H192"/>
    </row>
    <row r="193" spans="1:10" s="1861" customFormat="1">
      <c r="A193" s="1862" t="str">
        <f>IFERROR(IF(B193="","",VLOOKUP(B193,Buget_detaliat!F:I,4,0)),"")</f>
        <v/>
      </c>
      <c r="B193" s="413"/>
      <c r="C193"/>
      <c r="D193"/>
      <c r="E193"/>
      <c r="F193"/>
      <c r="G193"/>
      <c r="H193"/>
      <c r="J193" s="2111"/>
    </row>
    <row r="194" spans="1:10">
      <c r="A194" s="1862" t="str">
        <f>IFERROR(IF(B194="","",VLOOKUP(B194,Buget_detaliat!F:I,4,0)),"")</f>
        <v/>
      </c>
      <c r="B194" s="413"/>
      <c r="C194"/>
      <c r="D194"/>
      <c r="E194"/>
      <c r="F194"/>
      <c r="G194"/>
      <c r="H194"/>
    </row>
    <row r="195" spans="1:10">
      <c r="A195" s="1862" t="str">
        <f>IFERROR(IF(B195="","",VLOOKUP(B195,Buget_detaliat!F:I,4,0)),"")</f>
        <v/>
      </c>
      <c r="B195" s="413"/>
      <c r="C195"/>
      <c r="D195"/>
      <c r="E195"/>
      <c r="F195"/>
      <c r="G195"/>
      <c r="H195"/>
    </row>
    <row r="196" spans="1:10">
      <c r="A196" s="1862" t="str">
        <f>IFERROR(IF(B196="","",VLOOKUP(B196,Buget_detaliat!F:I,4,0)),"")</f>
        <v/>
      </c>
      <c r="B196" s="413"/>
      <c r="C196"/>
      <c r="D196"/>
      <c r="E196"/>
      <c r="F196"/>
      <c r="G196"/>
      <c r="H196"/>
    </row>
    <row r="197" spans="1:10">
      <c r="A197" s="1862" t="str">
        <f>IFERROR(IF(B197="","",VLOOKUP(B197,Buget_detaliat!F:I,4,0)),"")</f>
        <v/>
      </c>
      <c r="B197" s="413"/>
      <c r="C197"/>
      <c r="D197"/>
      <c r="E197"/>
      <c r="F197"/>
      <c r="G197"/>
      <c r="H197"/>
    </row>
    <row r="198" spans="1:10">
      <c r="A198" s="1862" t="str">
        <f>IFERROR(IF(B198="","",VLOOKUP(B198,Buget_detaliat!F:I,4,0)),"")</f>
        <v/>
      </c>
      <c r="B198" s="413"/>
      <c r="C198"/>
      <c r="D198"/>
      <c r="E198"/>
      <c r="F198"/>
      <c r="G198"/>
      <c r="H198"/>
    </row>
    <row r="199" spans="1:10">
      <c r="A199" s="1862" t="str">
        <f>IFERROR(IF(B199="","",VLOOKUP(B199,Buget_detaliat!F:I,4,0)),"")</f>
        <v/>
      </c>
      <c r="B199" s="413"/>
      <c r="C199"/>
      <c r="D199"/>
      <c r="E199"/>
      <c r="F199"/>
      <c r="G199"/>
      <c r="H199"/>
    </row>
    <row r="200" spans="1:10">
      <c r="A200" s="1862" t="str">
        <f>IFERROR(IF(B200="","",VLOOKUP(B200,Buget_detaliat!F:I,4,0)),"")</f>
        <v/>
      </c>
      <c r="B200" s="413"/>
      <c r="C200"/>
      <c r="D200"/>
      <c r="E200"/>
      <c r="F200"/>
      <c r="G200"/>
      <c r="H200"/>
    </row>
    <row r="201" spans="1:10">
      <c r="A201" s="1862" t="str">
        <f>IFERROR(IF(B201="","",VLOOKUP(B201,Buget_detaliat!F:I,4,0)),"")</f>
        <v/>
      </c>
      <c r="B201" s="413"/>
      <c r="C201"/>
      <c r="D201"/>
      <c r="E201"/>
      <c r="F201"/>
      <c r="G201"/>
      <c r="H201"/>
    </row>
    <row r="202" spans="1:10">
      <c r="A202" s="1862" t="str">
        <f>IFERROR(IF(B202="","",VLOOKUP(B202,Buget_detaliat!F:I,4,0)),"")</f>
        <v/>
      </c>
      <c r="B202" s="413"/>
      <c r="C202"/>
      <c r="D202"/>
      <c r="E202"/>
      <c r="F202"/>
      <c r="G202"/>
      <c r="H202"/>
    </row>
    <row r="203" spans="1:10">
      <c r="A203" s="1862" t="str">
        <f>IFERROR(IF(B203="","",VLOOKUP(B203,Buget_detaliat!F:I,4,0)),"")</f>
        <v/>
      </c>
      <c r="B203" s="413"/>
      <c r="C203"/>
      <c r="D203"/>
      <c r="E203"/>
      <c r="F203"/>
      <c r="G203"/>
      <c r="H203"/>
    </row>
    <row r="204" spans="1:10">
      <c r="A204" s="1862" t="str">
        <f>IFERROR(IF(B204="","",VLOOKUP(B204,Buget_detaliat!F:I,4,0)),"")</f>
        <v/>
      </c>
      <c r="B204" s="413"/>
      <c r="C204"/>
      <c r="D204"/>
      <c r="E204"/>
      <c r="F204"/>
      <c r="G204"/>
      <c r="H204"/>
    </row>
    <row r="205" spans="1:10">
      <c r="A205" s="1862" t="str">
        <f>IFERROR(IF(B205="","",VLOOKUP(B205,Buget_detaliat!F:I,4,0)),"")</f>
        <v/>
      </c>
      <c r="B205" s="413"/>
      <c r="C205"/>
      <c r="D205"/>
      <c r="E205"/>
      <c r="F205"/>
      <c r="G205"/>
      <c r="H205"/>
    </row>
    <row r="206" spans="1:10">
      <c r="A206" s="1862" t="str">
        <f>IFERROR(IF(B206="","",VLOOKUP(B206,Buget_detaliat!F:I,4,0)),"")</f>
        <v/>
      </c>
      <c r="B206" s="413"/>
      <c r="C206"/>
      <c r="D206"/>
      <c r="E206"/>
      <c r="F206"/>
      <c r="G206"/>
      <c r="H206"/>
    </row>
    <row r="207" spans="1:10">
      <c r="A207" s="1862" t="str">
        <f>IFERROR(IF(B207="","",VLOOKUP(B207,Buget_detaliat!F:I,4,0)),"")</f>
        <v/>
      </c>
      <c r="B207" s="413"/>
      <c r="C207"/>
      <c r="D207"/>
      <c r="E207"/>
      <c r="F207"/>
      <c r="G207"/>
      <c r="H207"/>
    </row>
    <row r="208" spans="1:10">
      <c r="A208" s="1862" t="str">
        <f>IFERROR(IF(B208="","",VLOOKUP(B208,Buget_detaliat!F:I,4,0)),"")</f>
        <v/>
      </c>
      <c r="B208" s="413"/>
      <c r="C208"/>
      <c r="D208"/>
      <c r="E208"/>
      <c r="F208"/>
      <c r="G208"/>
      <c r="H208"/>
    </row>
    <row r="209" spans="1:8">
      <c r="A209" s="1862" t="str">
        <f>IFERROR(IF(B209="","",VLOOKUP(B209,Buget_detaliat!F:I,4,0)),"")</f>
        <v/>
      </c>
      <c r="B209" s="413"/>
      <c r="C209"/>
      <c r="D209"/>
      <c r="E209"/>
      <c r="F209"/>
      <c r="G209"/>
      <c r="H209"/>
    </row>
    <row r="210" spans="1:8">
      <c r="A210" s="1862" t="str">
        <f>IFERROR(IF(B210="","",VLOOKUP(B210,Buget_detaliat!F:I,4,0)),"")</f>
        <v/>
      </c>
      <c r="B210" s="413"/>
      <c r="C210"/>
      <c r="D210"/>
      <c r="E210"/>
      <c r="F210"/>
      <c r="G210"/>
      <c r="H210"/>
    </row>
    <row r="211" spans="1:8">
      <c r="A211" s="1862" t="str">
        <f>IFERROR(IF(B211="","",VLOOKUP(B211,Buget_detaliat!F:I,4,0)),"")</f>
        <v/>
      </c>
      <c r="B211" s="413"/>
      <c r="C211"/>
      <c r="D211"/>
      <c r="E211"/>
      <c r="F211"/>
      <c r="G211"/>
      <c r="H211"/>
    </row>
    <row r="212" spans="1:8">
      <c r="A212" s="1862" t="str">
        <f>IFERROR(IF(B212="","",VLOOKUP(B212,Buget_detaliat!F:I,4,0)),"")</f>
        <v/>
      </c>
      <c r="B212" s="413"/>
      <c r="C212"/>
      <c r="D212"/>
      <c r="E212"/>
      <c r="F212"/>
      <c r="G212"/>
      <c r="H212"/>
    </row>
    <row r="213" spans="1:8">
      <c r="A213" s="1862" t="str">
        <f>IFERROR(IF(B213="","",VLOOKUP(B213,Buget_detaliat!F:I,4,0)),"")</f>
        <v/>
      </c>
      <c r="B213" s="413"/>
      <c r="C213"/>
      <c r="D213"/>
      <c r="E213"/>
      <c r="F213"/>
      <c r="G213"/>
      <c r="H213"/>
    </row>
    <row r="214" spans="1:8">
      <c r="A214" s="1862" t="str">
        <f>IFERROR(IF(B214="","",VLOOKUP(B214,Buget_detaliat!F:I,4,0)),"")</f>
        <v/>
      </c>
      <c r="B214" s="413"/>
      <c r="C214"/>
      <c r="D214"/>
      <c r="E214"/>
      <c r="F214"/>
      <c r="G214"/>
      <c r="H214"/>
    </row>
    <row r="215" spans="1:8">
      <c r="A215" s="1862" t="str">
        <f>IFERROR(IF(B215="","",VLOOKUP(B215,Buget_detaliat!F:I,4,0)),"")</f>
        <v/>
      </c>
      <c r="B215" s="413"/>
      <c r="C215"/>
      <c r="D215"/>
      <c r="E215"/>
      <c r="F215"/>
      <c r="G215"/>
      <c r="H215"/>
    </row>
    <row r="216" spans="1:8">
      <c r="A216" s="1862" t="str">
        <f>IFERROR(IF(B216="","",VLOOKUP(B216,Buget_detaliat!F:I,4,0)),"")</f>
        <v/>
      </c>
      <c r="B216" s="413"/>
      <c r="C216"/>
      <c r="D216"/>
      <c r="E216"/>
      <c r="F216"/>
      <c r="G216"/>
      <c r="H216"/>
    </row>
    <row r="217" spans="1:8">
      <c r="A217" s="1862" t="str">
        <f>IFERROR(IF(B217="","",VLOOKUP(B217,Buget_detaliat!F:I,4,0)),"")</f>
        <v/>
      </c>
      <c r="B217" s="413"/>
      <c r="C217"/>
      <c r="D217"/>
      <c r="E217"/>
      <c r="F217"/>
      <c r="G217"/>
      <c r="H217"/>
    </row>
    <row r="218" spans="1:8">
      <c r="A218" s="1862" t="str">
        <f>IFERROR(IF(B218="","",VLOOKUP(B218,Buget_detaliat!F:I,4,0)),"")</f>
        <v/>
      </c>
      <c r="B218" s="413"/>
      <c r="C218"/>
      <c r="D218"/>
      <c r="E218"/>
      <c r="F218"/>
      <c r="G218"/>
      <c r="H218"/>
    </row>
    <row r="219" spans="1:8">
      <c r="A219" s="1862" t="str">
        <f>IFERROR(IF(B219="","",VLOOKUP(B219,Buget_detaliat!F:I,4,0)),"")</f>
        <v/>
      </c>
      <c r="B219" s="413"/>
      <c r="C219"/>
      <c r="D219"/>
      <c r="E219"/>
      <c r="F219"/>
      <c r="G219"/>
      <c r="H219"/>
    </row>
    <row r="220" spans="1:8">
      <c r="A220" s="1862" t="str">
        <f>IFERROR(IF(B220="","",VLOOKUP(B220,Buget_detaliat!F:I,4,0)),"")</f>
        <v/>
      </c>
      <c r="B220" s="413"/>
      <c r="C220"/>
      <c r="D220"/>
      <c r="E220"/>
      <c r="F220"/>
      <c r="G220"/>
      <c r="H220"/>
    </row>
    <row r="221" spans="1:8">
      <c r="A221" s="1862" t="str">
        <f>IFERROR(IF(B221="","",VLOOKUP(B221,Buget_detaliat!F:I,4,0)),"")</f>
        <v/>
      </c>
      <c r="B221" s="413"/>
      <c r="C221"/>
      <c r="D221"/>
      <c r="E221"/>
      <c r="F221"/>
      <c r="G221"/>
      <c r="H221"/>
    </row>
    <row r="222" spans="1:8">
      <c r="A222" s="1862" t="str">
        <f>IFERROR(IF(B222="","",VLOOKUP(B222,Buget_detaliat!F:I,4,0)),"")</f>
        <v/>
      </c>
      <c r="B222" s="413"/>
      <c r="C222"/>
      <c r="D222"/>
      <c r="E222"/>
      <c r="F222"/>
      <c r="G222"/>
      <c r="H222"/>
    </row>
    <row r="223" spans="1:8">
      <c r="A223" s="1862" t="str">
        <f>IFERROR(IF(B223="","",VLOOKUP(B223,Buget_detaliat!F:I,4,0)),"")</f>
        <v/>
      </c>
      <c r="B223" s="413"/>
      <c r="C223"/>
      <c r="D223"/>
      <c r="E223"/>
      <c r="F223"/>
      <c r="G223"/>
      <c r="H223"/>
    </row>
    <row r="224" spans="1:8">
      <c r="A224" s="1862" t="str">
        <f>IFERROR(IF(B224="","",VLOOKUP(B224,Buget_detaliat!F:I,4,0)),"")</f>
        <v/>
      </c>
      <c r="B224" s="413"/>
      <c r="C224"/>
      <c r="D224"/>
      <c r="E224"/>
      <c r="F224"/>
      <c r="G224"/>
      <c r="H224"/>
    </row>
    <row r="225" spans="1:8">
      <c r="A225" s="1862" t="str">
        <f>IFERROR(IF(B225="","",VLOOKUP(B225,Buget_detaliat!F:I,4,0)),"")</f>
        <v/>
      </c>
      <c r="B225" s="413"/>
      <c r="C225"/>
      <c r="D225"/>
      <c r="E225"/>
      <c r="F225"/>
      <c r="G225"/>
      <c r="H225"/>
    </row>
    <row r="226" spans="1:8">
      <c r="A226" s="1862" t="str">
        <f>IFERROR(IF(B226="","",VLOOKUP(B226,Buget_detaliat!F:I,4,0)),"")</f>
        <v/>
      </c>
      <c r="B226" s="413"/>
      <c r="C226"/>
      <c r="D226"/>
      <c r="E226"/>
      <c r="F226"/>
      <c r="G226"/>
      <c r="H226"/>
    </row>
    <row r="227" spans="1:8">
      <c r="A227" s="1862" t="str">
        <f>IFERROR(IF(B227="","",VLOOKUP(B227,Buget_detaliat!F:I,4,0)),"")</f>
        <v/>
      </c>
      <c r="B227" s="413"/>
      <c r="C227"/>
      <c r="D227"/>
      <c r="E227"/>
      <c r="F227"/>
      <c r="G227"/>
      <c r="H227"/>
    </row>
    <row r="228" spans="1:8">
      <c r="A228" s="1862" t="str">
        <f>IFERROR(IF(B228="","",VLOOKUP(B228,Buget_detaliat!F:I,4,0)),"")</f>
        <v/>
      </c>
      <c r="B228" s="413"/>
      <c r="C228"/>
      <c r="D228"/>
      <c r="E228"/>
      <c r="F228"/>
      <c r="G228"/>
      <c r="H228"/>
    </row>
    <row r="229" spans="1:8">
      <c r="A229" s="1862" t="str">
        <f>IFERROR(IF(B229="","",VLOOKUP(B229,Buget_detaliat!F:I,4,0)),"")</f>
        <v/>
      </c>
      <c r="B229" s="413"/>
      <c r="C229"/>
      <c r="D229"/>
      <c r="E229"/>
      <c r="F229"/>
      <c r="G229"/>
      <c r="H229"/>
    </row>
    <row r="230" spans="1:8">
      <c r="A230" s="1862" t="str">
        <f>IFERROR(IF(B230="","",VLOOKUP(B230,Buget_detaliat!F:I,4,0)),"")</f>
        <v/>
      </c>
      <c r="B230" s="413"/>
      <c r="C230"/>
      <c r="D230"/>
      <c r="E230"/>
      <c r="F230"/>
      <c r="G230"/>
      <c r="H230"/>
    </row>
    <row r="231" spans="1:8">
      <c r="A231" s="1862" t="str">
        <f>IFERROR(IF(B231="","",VLOOKUP(B231,Buget_detaliat!F:I,4,0)),"")</f>
        <v/>
      </c>
      <c r="B231" s="413"/>
      <c r="C231"/>
      <c r="D231"/>
      <c r="E231"/>
      <c r="F231"/>
      <c r="G231"/>
      <c r="H231"/>
    </row>
    <row r="232" spans="1:8">
      <c r="A232" s="1862" t="str">
        <f>IFERROR(IF(B232="","",VLOOKUP(B232,Buget_detaliat!F:I,4,0)),"")</f>
        <v/>
      </c>
      <c r="B232" s="413"/>
      <c r="C232"/>
      <c r="D232"/>
      <c r="E232"/>
      <c r="F232"/>
      <c r="G232"/>
      <c r="H232"/>
    </row>
    <row r="233" spans="1:8">
      <c r="A233" s="1862" t="str">
        <f>IFERROR(IF(B233="","",VLOOKUP(B233,Buget_detaliat!F:I,4,0)),"")</f>
        <v/>
      </c>
      <c r="B233" s="413"/>
      <c r="C233"/>
      <c r="D233"/>
      <c r="E233"/>
      <c r="F233"/>
      <c r="G233"/>
      <c r="H233"/>
    </row>
    <row r="234" spans="1:8">
      <c r="A234" s="1862" t="str">
        <f>IFERROR(IF(B234="","",VLOOKUP(B234,Buget_detaliat!F:I,4,0)),"")</f>
        <v/>
      </c>
      <c r="B234" s="413"/>
      <c r="C234"/>
      <c r="D234"/>
      <c r="E234"/>
      <c r="F234"/>
      <c r="G234"/>
      <c r="H234"/>
    </row>
    <row r="235" spans="1:8">
      <c r="A235" s="1862" t="str">
        <f>IFERROR(IF(B235="","",VLOOKUP(B235,Buget_detaliat!F:I,4,0)),"")</f>
        <v/>
      </c>
      <c r="B235" s="413"/>
      <c r="C235"/>
      <c r="D235"/>
      <c r="E235"/>
      <c r="F235"/>
      <c r="G235"/>
      <c r="H235"/>
    </row>
    <row r="236" spans="1:8">
      <c r="A236" s="1862" t="str">
        <f>IFERROR(IF(B236="","",VLOOKUP(B236,Buget_detaliat!F:I,4,0)),"")</f>
        <v/>
      </c>
      <c r="B236" s="413"/>
      <c r="C236"/>
      <c r="D236"/>
      <c r="E236"/>
      <c r="F236"/>
      <c r="G236"/>
      <c r="H236"/>
    </row>
    <row r="237" spans="1:8">
      <c r="A237" s="1862" t="str">
        <f>IFERROR(IF(B237="","",VLOOKUP(B237,Buget_detaliat!F:I,4,0)),"")</f>
        <v/>
      </c>
      <c r="B237" s="413"/>
      <c r="C237"/>
      <c r="D237"/>
      <c r="E237"/>
      <c r="F237"/>
      <c r="G237"/>
      <c r="H237"/>
    </row>
    <row r="238" spans="1:8">
      <c r="A238" s="1862" t="str">
        <f>IFERROR(IF(B238="","",VLOOKUP(B238,Buget_detaliat!F:I,4,0)),"")</f>
        <v/>
      </c>
      <c r="B238" s="413"/>
      <c r="C238"/>
      <c r="D238"/>
      <c r="E238"/>
      <c r="F238"/>
      <c r="G238"/>
      <c r="H238"/>
    </row>
    <row r="239" spans="1:8">
      <c r="A239" s="1862" t="str">
        <f>IFERROR(IF(B239="","",VLOOKUP(B239,Buget_detaliat!F:I,4,0)),"")</f>
        <v/>
      </c>
      <c r="B239" s="413"/>
      <c r="C239"/>
      <c r="D239"/>
      <c r="E239"/>
      <c r="F239"/>
      <c r="G239"/>
      <c r="H239"/>
    </row>
    <row r="240" spans="1:8">
      <c r="A240" s="1862" t="str">
        <f>IFERROR(IF(B240="","",VLOOKUP(B240,Buget_detaliat!F:I,4,0)),"")</f>
        <v/>
      </c>
      <c r="B240" s="413"/>
      <c r="C240"/>
      <c r="D240"/>
      <c r="E240"/>
      <c r="F240"/>
      <c r="G240"/>
      <c r="H240"/>
    </row>
    <row r="241" spans="1:8">
      <c r="A241" s="1862" t="str">
        <f>IFERROR(IF(B241="","",VLOOKUP(B241,Buget_detaliat!F:I,4,0)),"")</f>
        <v/>
      </c>
      <c r="B241" s="413"/>
      <c r="C241"/>
      <c r="D241"/>
      <c r="E241"/>
      <c r="F241"/>
      <c r="G241"/>
      <c r="H241"/>
    </row>
    <row r="242" spans="1:8">
      <c r="A242" s="1862" t="str">
        <f>IFERROR(IF(B242="","",VLOOKUP(B242,Buget_detaliat!F:I,4,0)),"")</f>
        <v/>
      </c>
      <c r="B242" s="413"/>
      <c r="C242"/>
      <c r="D242"/>
      <c r="E242"/>
      <c r="F242"/>
      <c r="G242"/>
      <c r="H242"/>
    </row>
    <row r="243" spans="1:8">
      <c r="A243" s="1862" t="str">
        <f>IFERROR(IF(B243="","",VLOOKUP(B243,Buget_detaliat!F:I,4,0)),"")</f>
        <v/>
      </c>
      <c r="B243" s="413"/>
      <c r="C243"/>
      <c r="D243"/>
      <c r="E243"/>
      <c r="F243"/>
      <c r="G243"/>
      <c r="H243"/>
    </row>
    <row r="244" spans="1:8">
      <c r="A244" s="1862" t="str">
        <f>IFERROR(IF(B244="","",VLOOKUP(B244,Buget_detaliat!F:I,4,0)),"")</f>
        <v/>
      </c>
      <c r="B244" s="413"/>
      <c r="C244"/>
      <c r="D244"/>
      <c r="E244"/>
      <c r="F244"/>
      <c r="G244"/>
      <c r="H244"/>
    </row>
    <row r="245" spans="1:8">
      <c r="A245" s="1862" t="str">
        <f>IFERROR(IF(B245="","",VLOOKUP(B245,Buget_detaliat!F:I,4,0)),"")</f>
        <v/>
      </c>
      <c r="B245" s="413"/>
      <c r="C245"/>
      <c r="D245"/>
      <c r="E245"/>
      <c r="F245"/>
      <c r="G245"/>
      <c r="H245"/>
    </row>
    <row r="246" spans="1:8">
      <c r="A246" s="1862" t="str">
        <f>IFERROR(IF(B246="","",VLOOKUP(B246,Buget_detaliat!F:I,4,0)),"")</f>
        <v/>
      </c>
      <c r="B246" s="413"/>
      <c r="C246"/>
      <c r="D246"/>
      <c r="E246"/>
      <c r="F246"/>
      <c r="G246"/>
      <c r="H246"/>
    </row>
    <row r="247" spans="1:8">
      <c r="A247" s="1862" t="str">
        <f>IFERROR(IF(B247="","",VLOOKUP(B247,Buget_detaliat!F:I,4,0)),"")</f>
        <v/>
      </c>
      <c r="B247" s="413"/>
      <c r="C247"/>
      <c r="D247"/>
      <c r="E247"/>
      <c r="F247"/>
      <c r="G247"/>
      <c r="H247"/>
    </row>
    <row r="248" spans="1:8">
      <c r="A248" s="1862" t="str">
        <f>IFERROR(IF(B248="","",VLOOKUP(B248,Buget_detaliat!F:I,4,0)),"")</f>
        <v/>
      </c>
      <c r="B248" s="413"/>
      <c r="C248"/>
      <c r="D248"/>
      <c r="E248"/>
      <c r="F248"/>
      <c r="G248"/>
      <c r="H248"/>
    </row>
    <row r="249" spans="1:8">
      <c r="A249" s="1862" t="str">
        <f>IFERROR(IF(B249="","",VLOOKUP(B249,Buget_detaliat!F:I,4,0)),"")</f>
        <v/>
      </c>
      <c r="B249" s="413"/>
      <c r="C249"/>
      <c r="D249"/>
      <c r="E249"/>
      <c r="F249"/>
      <c r="G249"/>
      <c r="H249"/>
    </row>
    <row r="250" spans="1:8">
      <c r="A250" s="1862" t="str">
        <f>IFERROR(IF(B250="","",VLOOKUP(B250,Buget_detaliat!F:I,4,0)),"")</f>
        <v/>
      </c>
      <c r="B250" s="413"/>
      <c r="C250"/>
      <c r="D250"/>
      <c r="E250"/>
      <c r="F250"/>
      <c r="G250"/>
      <c r="H250"/>
    </row>
    <row r="251" spans="1:8">
      <c r="A251" s="1862" t="str">
        <f>IFERROR(IF(B251="","",VLOOKUP(B251,Buget_detaliat!F:I,4,0)),"")</f>
        <v/>
      </c>
      <c r="B251" s="413"/>
      <c r="C251"/>
      <c r="D251"/>
      <c r="E251"/>
      <c r="F251"/>
      <c r="G251"/>
      <c r="H251"/>
    </row>
    <row r="252" spans="1:8">
      <c r="A252" s="1862" t="str">
        <f>IFERROR(IF(B252="","",VLOOKUP(B252,Buget_detaliat!F:I,4,0)),"")</f>
        <v/>
      </c>
      <c r="B252" s="413"/>
      <c r="C252"/>
      <c r="D252"/>
      <c r="E252"/>
      <c r="F252"/>
      <c r="G252"/>
      <c r="H252"/>
    </row>
    <row r="253" spans="1:8">
      <c r="A253" s="1862" t="str">
        <f>IFERROR(IF(B253="","",VLOOKUP(B253,Buget_detaliat!F:I,4,0)),"")</f>
        <v/>
      </c>
      <c r="B253" s="413"/>
      <c r="C253"/>
      <c r="D253"/>
      <c r="E253"/>
      <c r="F253"/>
      <c r="G253"/>
      <c r="H253"/>
    </row>
    <row r="254" spans="1:8">
      <c r="A254" s="1862" t="str">
        <f>IFERROR(IF(B254="","",VLOOKUP(B254,Buget_detaliat!F:I,4,0)),"")</f>
        <v/>
      </c>
      <c r="B254" s="413"/>
      <c r="C254"/>
      <c r="D254"/>
      <c r="E254"/>
      <c r="F254"/>
      <c r="G254"/>
      <c r="H254"/>
    </row>
    <row r="255" spans="1:8">
      <c r="A255" s="1862" t="str">
        <f>IFERROR(IF(B255="","",VLOOKUP(B255,Buget_detaliat!F:I,4,0)),"")</f>
        <v/>
      </c>
      <c r="B255" s="413"/>
      <c r="C255"/>
      <c r="D255"/>
      <c r="E255"/>
      <c r="F255"/>
      <c r="G255"/>
      <c r="H255"/>
    </row>
    <row r="256" spans="1:8">
      <c r="A256" s="1862" t="str">
        <f>IFERROR(IF(B256="","",VLOOKUP(B256,Buget_detaliat!F:I,4,0)),"")</f>
        <v/>
      </c>
      <c r="B256" s="413"/>
      <c r="C256"/>
      <c r="D256"/>
      <c r="E256"/>
      <c r="F256"/>
      <c r="G256"/>
      <c r="H256"/>
    </row>
    <row r="257" spans="1:9">
      <c r="A257" s="1862" t="str">
        <f>IFERROR(IF(B257="","",VLOOKUP(B257,Buget_detaliat!F:I,4,0)),"")</f>
        <v/>
      </c>
      <c r="B257" s="413"/>
      <c r="C257"/>
      <c r="D257"/>
      <c r="E257"/>
      <c r="F257"/>
      <c r="G257"/>
      <c r="H257"/>
    </row>
    <row r="258" spans="1:9">
      <c r="A258" s="1862" t="str">
        <f>IFERROR(IF(B258="","",VLOOKUP(B258,Buget_detaliat!F:I,4,0)),"")</f>
        <v/>
      </c>
      <c r="B258" s="413"/>
      <c r="C258"/>
      <c r="D258"/>
      <c r="E258"/>
      <c r="F258"/>
      <c r="G258"/>
      <c r="H258"/>
    </row>
    <row r="259" spans="1:9">
      <c r="A259" s="1862" t="str">
        <f>IFERROR(IF(B259="","",VLOOKUP(B259,Buget_detaliat!F:I,4,0)),"")</f>
        <v/>
      </c>
      <c r="B259" s="413"/>
      <c r="C259"/>
      <c r="D259"/>
      <c r="E259"/>
      <c r="F259"/>
      <c r="G259"/>
      <c r="H259"/>
    </row>
    <row r="260" spans="1:9">
      <c r="A260" s="1862" t="str">
        <f>IFERROR(IF(B260="","",VLOOKUP(B260,Buget_detaliat!F:I,4,0)),"")</f>
        <v/>
      </c>
      <c r="B260" s="413"/>
      <c r="C260"/>
      <c r="D260"/>
      <c r="E260"/>
      <c r="F260"/>
      <c r="G260"/>
      <c r="H260"/>
    </row>
    <row r="261" spans="1:9">
      <c r="A261" s="1862" t="str">
        <f>IFERROR(IF(B261="","",VLOOKUP(B261,Buget_detaliat!F:I,4,0)),"")</f>
        <v/>
      </c>
      <c r="B261" s="413"/>
      <c r="C261"/>
      <c r="D261"/>
      <c r="E261"/>
      <c r="F261"/>
      <c r="G261"/>
      <c r="H261"/>
    </row>
    <row r="262" spans="1:9">
      <c r="A262" s="1862" t="str">
        <f>IFERROR(IF(B262="","",VLOOKUP(B262,Buget_detaliat!F:I,4,0)),"")</f>
        <v/>
      </c>
      <c r="B262" s="413"/>
      <c r="C262"/>
      <c r="D262"/>
      <c r="E262"/>
      <c r="F262"/>
      <c r="G262"/>
      <c r="H262"/>
      <c r="I262" s="2110"/>
    </row>
    <row r="263" spans="1:9">
      <c r="A263" s="1862" t="str">
        <f>IFERROR(IF(B263="","",VLOOKUP(B263,Buget_detaliat!F:I,4,0)),"")</f>
        <v/>
      </c>
      <c r="B263" s="413"/>
      <c r="C263"/>
      <c r="D263"/>
      <c r="E263"/>
      <c r="F263"/>
      <c r="G263"/>
      <c r="H263"/>
      <c r="I263" s="2110"/>
    </row>
    <row r="264" spans="1:9">
      <c r="A264" s="1862" t="str">
        <f>IFERROR(IF(B264="","",VLOOKUP(B264,Buget_detaliat!F:I,4,0)),"")</f>
        <v/>
      </c>
      <c r="B264" s="413"/>
      <c r="C264"/>
      <c r="D264"/>
      <c r="E264"/>
      <c r="F264"/>
      <c r="G264"/>
      <c r="H264"/>
      <c r="I264" s="2110"/>
    </row>
    <row r="265" spans="1:9">
      <c r="A265" s="1862" t="str">
        <f>IFERROR(IF(B265="","",VLOOKUP(B265,Buget_detaliat!F:I,4,0)),"")</f>
        <v/>
      </c>
      <c r="B265" s="413"/>
      <c r="C265"/>
      <c r="D265"/>
      <c r="E265"/>
      <c r="F265"/>
      <c r="G265"/>
      <c r="H265"/>
    </row>
    <row r="266" spans="1:9">
      <c r="A266" s="1862" t="str">
        <f>IFERROR(IF(B266="","",VLOOKUP(B266,Buget_detaliat!F:I,4,0)),"")</f>
        <v/>
      </c>
      <c r="B266" s="413"/>
      <c r="C266"/>
      <c r="D266"/>
      <c r="E266"/>
      <c r="F266"/>
      <c r="G266"/>
      <c r="H266"/>
    </row>
    <row r="267" spans="1:9">
      <c r="A267" s="1862" t="str">
        <f>IFERROR(IF(B267="","",VLOOKUP(B267,Buget_detaliat!F:I,4,0)),"")</f>
        <v/>
      </c>
      <c r="B267" s="413"/>
      <c r="C267"/>
      <c r="D267"/>
      <c r="E267"/>
      <c r="F267"/>
      <c r="G267"/>
      <c r="H267"/>
    </row>
    <row r="268" spans="1:9">
      <c r="A268" s="1862" t="str">
        <f>IFERROR(IF(B268="","",VLOOKUP(B268,Buget_detaliat!F:I,4,0)),"")</f>
        <v/>
      </c>
      <c r="B268" s="413"/>
      <c r="C268"/>
      <c r="D268"/>
      <c r="E268"/>
      <c r="F268"/>
      <c r="G268"/>
      <c r="H268"/>
    </row>
    <row r="269" spans="1:9">
      <c r="A269" s="1862" t="str">
        <f>IFERROR(IF(B269="","",VLOOKUP(B269,Buget_detaliat!F:I,4,0)),"")</f>
        <v/>
      </c>
      <c r="B269" s="413"/>
      <c r="C269"/>
      <c r="D269"/>
      <c r="E269"/>
      <c r="F269"/>
      <c r="G269"/>
      <c r="H269"/>
    </row>
    <row r="270" spans="1:9">
      <c r="A270" s="1862" t="str">
        <f>IFERROR(IF(B270="","",VLOOKUP(B270,Buget_detaliat!F:I,4,0)),"")</f>
        <v/>
      </c>
      <c r="B270" s="413"/>
      <c r="C270"/>
      <c r="D270"/>
      <c r="E270"/>
      <c r="F270"/>
      <c r="G270"/>
      <c r="H270"/>
      <c r="I270" s="2110"/>
    </row>
    <row r="271" spans="1:9">
      <c r="A271" s="1862" t="str">
        <f>IFERROR(IF(B271="","",VLOOKUP(B271,Buget_detaliat!F:I,4,0)),"")</f>
        <v/>
      </c>
      <c r="B271" s="413"/>
      <c r="C271"/>
      <c r="D271"/>
      <c r="E271"/>
      <c r="F271"/>
      <c r="G271"/>
      <c r="H271"/>
      <c r="I271" s="2110"/>
    </row>
    <row r="272" spans="1:9">
      <c r="A272" s="1862" t="str">
        <f>IFERROR(IF(B272="","",VLOOKUP(B272,Buget_detaliat!F:I,4,0)),"")</f>
        <v/>
      </c>
      <c r="B272" s="413"/>
      <c r="C272"/>
      <c r="D272"/>
      <c r="E272"/>
      <c r="F272"/>
      <c r="G272"/>
      <c r="H272"/>
    </row>
    <row r="273" spans="1:10">
      <c r="A273" s="1862" t="str">
        <f>IFERROR(IF(B273="","",VLOOKUP(B273,Buget_detaliat!F:I,4,0)),"")</f>
        <v/>
      </c>
      <c r="B273" s="413"/>
      <c r="C273"/>
      <c r="D273"/>
      <c r="E273"/>
      <c r="F273"/>
      <c r="G273"/>
      <c r="H273"/>
      <c r="I273" s="2110"/>
    </row>
    <row r="274" spans="1:10">
      <c r="A274" s="1862" t="str">
        <f>IFERROR(IF(B274="","",VLOOKUP(B274,Buget_detaliat!F:I,4,0)),"")</f>
        <v/>
      </c>
      <c r="B274" s="413"/>
      <c r="C274"/>
      <c r="D274"/>
      <c r="E274"/>
      <c r="F274"/>
      <c r="G274"/>
      <c r="H274"/>
      <c r="I274" s="2110"/>
    </row>
    <row r="275" spans="1:10">
      <c r="A275" s="1862" t="str">
        <f>IFERROR(IF(B275="","",VLOOKUP(B275,Buget_detaliat!F:I,4,0)),"")</f>
        <v/>
      </c>
      <c r="B275" s="413"/>
      <c r="C275"/>
      <c r="D275"/>
      <c r="E275"/>
      <c r="F275"/>
      <c r="G275"/>
      <c r="H275"/>
    </row>
    <row r="276" spans="1:10">
      <c r="A276" s="1862" t="str">
        <f>IFERROR(IF(B276="","",VLOOKUP(B276,Buget_detaliat!F:I,4,0)),"")</f>
        <v/>
      </c>
      <c r="B276" s="413"/>
      <c r="C276"/>
      <c r="D276"/>
      <c r="E276"/>
      <c r="F276"/>
      <c r="G276"/>
      <c r="H276"/>
    </row>
    <row r="277" spans="1:10">
      <c r="A277" s="1862" t="str">
        <f>IFERROR(IF(B277="","",VLOOKUP(B277,Buget_detaliat!F:I,4,0)),"")</f>
        <v/>
      </c>
      <c r="B277" s="413"/>
      <c r="C277"/>
      <c r="D277"/>
      <c r="E277"/>
      <c r="F277"/>
      <c r="G277"/>
      <c r="H277"/>
    </row>
    <row r="278" spans="1:10">
      <c r="A278" s="1862" t="str">
        <f>IFERROR(IF(B278="","",VLOOKUP(B278,Buget_detaliat!F:I,4,0)),"")</f>
        <v/>
      </c>
      <c r="B278" s="413"/>
      <c r="C278"/>
      <c r="D278"/>
      <c r="E278"/>
      <c r="F278"/>
      <c r="G278"/>
      <c r="H278"/>
    </row>
    <row r="279" spans="1:10">
      <c r="A279" s="1862" t="str">
        <f>IFERROR(IF(B279="","",VLOOKUP(B279,Buget_detaliat!F:I,4,0)),"")</f>
        <v/>
      </c>
      <c r="B279" s="413"/>
      <c r="C279"/>
      <c r="D279"/>
      <c r="E279"/>
      <c r="F279"/>
      <c r="G279"/>
      <c r="H279"/>
    </row>
    <row r="280" spans="1:10">
      <c r="A280" s="1862" t="str">
        <f>IFERROR(IF(B280="","",VLOOKUP(B280,Buget_detaliat!F:I,4,0)),"")</f>
        <v/>
      </c>
      <c r="B280" s="413"/>
      <c r="C280"/>
      <c r="D280"/>
      <c r="E280"/>
      <c r="F280"/>
      <c r="G280"/>
      <c r="H280"/>
    </row>
    <row r="281" spans="1:10">
      <c r="A281" s="1862" t="str">
        <f>IFERROR(IF(B281="","",VLOOKUP(B281,Buget_detaliat!F:I,4,0)),"")</f>
        <v/>
      </c>
      <c r="B281" s="413"/>
      <c r="C281"/>
      <c r="D281"/>
      <c r="E281"/>
      <c r="F281"/>
      <c r="G281"/>
      <c r="H281"/>
      <c r="J281" s="2112"/>
    </row>
    <row r="282" spans="1:10">
      <c r="A282" s="1862" t="str">
        <f>IFERROR(IF(B282="","",VLOOKUP(B282,Buget_detaliat!F:I,4,0)),"")</f>
        <v/>
      </c>
      <c r="B282" s="413"/>
      <c r="C282"/>
      <c r="D282"/>
      <c r="E282"/>
      <c r="F282"/>
      <c r="G282"/>
      <c r="H282"/>
    </row>
    <row r="283" spans="1:10">
      <c r="A283" s="1862" t="str">
        <f>IFERROR(IF(B283="","",VLOOKUP(B283,Buget_detaliat!F:I,4,0)),"")</f>
        <v/>
      </c>
      <c r="B283" s="413"/>
      <c r="C283"/>
      <c r="D283"/>
      <c r="E283"/>
      <c r="F283"/>
      <c r="G283"/>
      <c r="H283"/>
    </row>
    <row r="284" spans="1:10">
      <c r="A284" s="1862" t="str">
        <f>IFERROR(IF(B284="","",VLOOKUP(B284,Buget_detaliat!F:I,4,0)),"")</f>
        <v/>
      </c>
      <c r="B284" s="413"/>
      <c r="C284"/>
      <c r="D284"/>
      <c r="E284"/>
      <c r="F284"/>
      <c r="G284"/>
      <c r="H284"/>
    </row>
    <row r="285" spans="1:10">
      <c r="A285" s="1862" t="str">
        <f>IFERROR(IF(B285="","",VLOOKUP(B285,Buget_detaliat!F:I,4,0)),"")</f>
        <v/>
      </c>
      <c r="B285" s="413"/>
      <c r="C285"/>
      <c r="D285"/>
      <c r="E285"/>
      <c r="F285"/>
      <c r="G285"/>
      <c r="H285"/>
    </row>
    <row r="286" spans="1:10">
      <c r="A286" s="1862" t="str">
        <f>IFERROR(IF(B286="","",VLOOKUP(B286,Buget_detaliat!F:I,4,0)),"")</f>
        <v/>
      </c>
      <c r="B286" s="413"/>
      <c r="C286"/>
      <c r="D286"/>
      <c r="E286"/>
      <c r="F286"/>
      <c r="G286"/>
      <c r="H286"/>
    </row>
    <row r="287" spans="1:10">
      <c r="A287" s="1862" t="str">
        <f>IFERROR(IF(B287="","",VLOOKUP(B287,Buget_detaliat!F:I,4,0)),"")</f>
        <v/>
      </c>
      <c r="B287" s="413"/>
      <c r="C287"/>
      <c r="D287"/>
      <c r="E287"/>
      <c r="F287"/>
      <c r="G287"/>
      <c r="H287"/>
    </row>
    <row r="288" spans="1:10">
      <c r="A288" s="1862" t="str">
        <f>IFERROR(IF(B288="","",VLOOKUP(B288,Buget_detaliat!F:I,4,0)),"")</f>
        <v/>
      </c>
      <c r="B288" s="413"/>
      <c r="C288"/>
      <c r="D288"/>
      <c r="E288"/>
      <c r="F288"/>
      <c r="G288"/>
      <c r="H288"/>
      <c r="J288" s="2112"/>
    </row>
    <row r="289" spans="1:8">
      <c r="A289" s="1862" t="str">
        <f>IFERROR(IF(B289="","",VLOOKUP(B289,Buget_detaliat!F:I,4,0)),"")</f>
        <v/>
      </c>
      <c r="B289" s="413"/>
      <c r="C289"/>
      <c r="D289"/>
      <c r="E289"/>
      <c r="F289"/>
      <c r="G289"/>
      <c r="H289"/>
    </row>
    <row r="290" spans="1:8">
      <c r="A290" s="1862" t="str">
        <f>IFERROR(IF(B290="","",VLOOKUP(B290,Buget_detaliat!F:I,4,0)),"")</f>
        <v/>
      </c>
      <c r="B290" s="413"/>
      <c r="C290"/>
      <c r="D290"/>
      <c r="E290"/>
      <c r="F290"/>
      <c r="G290"/>
      <c r="H290"/>
    </row>
    <row r="291" spans="1:8">
      <c r="A291" s="1862" t="str">
        <f>IFERROR(IF(B291="","",VLOOKUP(B291,Buget_detaliat!F:I,4,0)),"")</f>
        <v/>
      </c>
      <c r="B291" s="413"/>
      <c r="C291"/>
      <c r="D291"/>
      <c r="E291"/>
      <c r="F291"/>
      <c r="G291"/>
      <c r="H291"/>
    </row>
    <row r="292" spans="1:8">
      <c r="A292" s="1862" t="str">
        <f>IFERROR(IF(B292="","",VLOOKUP(B292,Buget_detaliat!F:I,4,0)),"")</f>
        <v/>
      </c>
      <c r="B292" s="413"/>
      <c r="C292"/>
      <c r="D292"/>
      <c r="E292"/>
      <c r="F292"/>
      <c r="G292"/>
      <c r="H292"/>
    </row>
    <row r="293" spans="1:8">
      <c r="A293" s="1862" t="str">
        <f>IFERROR(IF(B293="","",VLOOKUP(B293,Buget_detaliat!F:I,4,0)),"")</f>
        <v/>
      </c>
      <c r="B293" s="413"/>
      <c r="C293"/>
      <c r="D293"/>
      <c r="E293"/>
      <c r="F293"/>
      <c r="G293"/>
      <c r="H293"/>
    </row>
    <row r="294" spans="1:8">
      <c r="A294" s="1862" t="str">
        <f>IFERROR(IF(B294="","",VLOOKUP(B294,Buget_detaliat!F:I,4,0)),"")</f>
        <v/>
      </c>
      <c r="B294" s="413"/>
      <c r="C294"/>
      <c r="D294"/>
      <c r="E294"/>
      <c r="F294"/>
      <c r="G294"/>
      <c r="H294"/>
    </row>
    <row r="295" spans="1:8">
      <c r="A295" s="1862" t="str">
        <f>IFERROR(IF(B295="","",VLOOKUP(B295,Buget_detaliat!F:I,4,0)),"")</f>
        <v/>
      </c>
      <c r="B295" s="413"/>
      <c r="C295"/>
      <c r="D295"/>
      <c r="E295"/>
      <c r="F295"/>
      <c r="G295"/>
      <c r="H295"/>
    </row>
    <row r="296" spans="1:8">
      <c r="A296" s="1862" t="str">
        <f>IFERROR(IF(B296="","",VLOOKUP(B296,Buget_detaliat!F:I,4,0)),"")</f>
        <v/>
      </c>
      <c r="B296" s="413"/>
      <c r="C296"/>
      <c r="D296"/>
      <c r="E296"/>
      <c r="F296"/>
      <c r="G296"/>
      <c r="H296"/>
    </row>
    <row r="297" spans="1:8">
      <c r="A297" s="1862" t="str">
        <f>IFERROR(IF(B297="","",VLOOKUP(B297,Buget_detaliat!F:I,4,0)),"")</f>
        <v/>
      </c>
      <c r="B297" s="413"/>
      <c r="C297"/>
      <c r="D297"/>
      <c r="E297"/>
      <c r="F297"/>
      <c r="G297"/>
      <c r="H297"/>
    </row>
    <row r="298" spans="1:8">
      <c r="A298" s="1862" t="str">
        <f>IFERROR(IF(B298="","",VLOOKUP(B298,Buget_detaliat!F:I,4,0)),"")</f>
        <v/>
      </c>
      <c r="B298" s="413"/>
      <c r="C298"/>
      <c r="D298"/>
      <c r="E298"/>
      <c r="F298"/>
      <c r="G298"/>
      <c r="H298"/>
    </row>
    <row r="299" spans="1:8">
      <c r="A299" s="1862" t="str">
        <f>IFERROR(IF(B299="","",VLOOKUP(B299,Buget_detaliat!F:I,4,0)),"")</f>
        <v/>
      </c>
      <c r="B299" s="413"/>
      <c r="C299"/>
      <c r="D299"/>
      <c r="E299"/>
      <c r="F299"/>
      <c r="G299"/>
      <c r="H299"/>
    </row>
    <row r="300" spans="1:8">
      <c r="A300" s="1862" t="str">
        <f>IFERROR(IF(B300="","",VLOOKUP(B300,Buget_detaliat!F:I,4,0)),"")</f>
        <v/>
      </c>
      <c r="B300" s="413"/>
      <c r="C300"/>
      <c r="D300"/>
      <c r="E300"/>
      <c r="F300"/>
      <c r="G300"/>
      <c r="H300"/>
    </row>
    <row r="301" spans="1:8">
      <c r="A301" s="1862" t="str">
        <f>IFERROR(IF(B301="","",VLOOKUP(B301,Buget_detaliat!F:I,4,0)),"")</f>
        <v/>
      </c>
      <c r="B301" s="413"/>
      <c r="C301"/>
      <c r="D301"/>
      <c r="E301"/>
      <c r="F301"/>
      <c r="G301"/>
      <c r="H301"/>
    </row>
    <row r="302" spans="1:8">
      <c r="A302" s="1862" t="str">
        <f>IFERROR(IF(B302="","",VLOOKUP(B302,Buget_detaliat!F:I,4,0)),"")</f>
        <v/>
      </c>
      <c r="B302" s="413"/>
      <c r="C302"/>
      <c r="D302"/>
      <c r="E302"/>
      <c r="F302"/>
      <c r="G302"/>
      <c r="H302"/>
    </row>
    <row r="303" spans="1:8">
      <c r="A303" s="1862" t="str">
        <f>IFERROR(IF(B303="","",VLOOKUP(B303,Buget_detaliat!F:I,4,0)),"")</f>
        <v/>
      </c>
      <c r="B303" s="413"/>
      <c r="C303"/>
      <c r="D303"/>
      <c r="E303"/>
      <c r="F303"/>
      <c r="G303"/>
      <c r="H303"/>
    </row>
    <row r="304" spans="1:8">
      <c r="A304" s="1862" t="str">
        <f>IFERROR(IF(B304="","",VLOOKUP(B304,Buget_detaliat!F:I,4,0)),"")</f>
        <v/>
      </c>
      <c r="B304" s="413"/>
      <c r="C304"/>
      <c r="D304"/>
      <c r="E304"/>
      <c r="F304"/>
      <c r="G304"/>
      <c r="H304"/>
    </row>
    <row r="305" spans="1:10">
      <c r="A305" s="1862" t="str">
        <f>IFERROR(IF(B305="","",VLOOKUP(B305,Buget_detaliat!F:I,4,0)),"")</f>
        <v/>
      </c>
      <c r="B305" s="413"/>
      <c r="C305"/>
      <c r="D305"/>
      <c r="E305"/>
      <c r="F305"/>
      <c r="G305"/>
      <c r="H305"/>
    </row>
    <row r="306" spans="1:10">
      <c r="A306" s="1862" t="str">
        <f>IFERROR(IF(B306="","",VLOOKUP(B306,Buget_detaliat!F:I,4,0)),"")</f>
        <v/>
      </c>
      <c r="B306" s="413"/>
      <c r="C306"/>
      <c r="D306"/>
      <c r="E306"/>
      <c r="F306"/>
      <c r="G306"/>
      <c r="H306"/>
    </row>
    <row r="307" spans="1:10">
      <c r="A307" s="1862" t="str">
        <f>IFERROR(IF(B307="","",VLOOKUP(B307,Buget_detaliat!F:I,4,0)),"")</f>
        <v/>
      </c>
      <c r="B307" s="413"/>
      <c r="C307"/>
      <c r="D307"/>
      <c r="E307"/>
      <c r="F307"/>
      <c r="G307"/>
      <c r="H307"/>
      <c r="J307" s="2112"/>
    </row>
    <row r="308" spans="1:10">
      <c r="A308" s="1862" t="str">
        <f>IFERROR(IF(B308="","",VLOOKUP(B308,Buget_detaliat!F:I,4,0)),"")</f>
        <v/>
      </c>
      <c r="B308" s="413"/>
      <c r="C308"/>
      <c r="D308"/>
      <c r="E308"/>
      <c r="F308"/>
      <c r="G308"/>
      <c r="H308"/>
    </row>
    <row r="309" spans="1:10">
      <c r="A309" s="1862" t="str">
        <f>IFERROR(IF(B309="","",VLOOKUP(B309,Buget_detaliat!F:I,4,0)),"")</f>
        <v/>
      </c>
      <c r="B309" s="413"/>
      <c r="C309"/>
      <c r="D309"/>
      <c r="E309"/>
      <c r="F309"/>
      <c r="G309"/>
      <c r="H309"/>
    </row>
    <row r="310" spans="1:10">
      <c r="A310" s="1862" t="str">
        <f>IFERROR(IF(B310="","",VLOOKUP(B310,Buget_detaliat!F:I,4,0)),"")</f>
        <v/>
      </c>
      <c r="B310" s="413"/>
      <c r="C310"/>
      <c r="D310"/>
      <c r="E310"/>
      <c r="F310"/>
      <c r="G310"/>
      <c r="H310"/>
      <c r="J310" s="2112"/>
    </row>
    <row r="311" spans="1:10">
      <c r="A311" s="1862" t="str">
        <f>IFERROR(IF(B311="","",VLOOKUP(B311,Buget_detaliat!F:I,4,0)),"")</f>
        <v/>
      </c>
      <c r="B311" s="413"/>
      <c r="C311"/>
      <c r="D311"/>
      <c r="E311"/>
      <c r="F311"/>
      <c r="G311"/>
      <c r="H311"/>
    </row>
    <row r="312" spans="1:10">
      <c r="A312" s="1862" t="str">
        <f>IFERROR(IF(B312="","",VLOOKUP(B312,Buget_detaliat!F:I,4,0)),"")</f>
        <v/>
      </c>
      <c r="B312" s="413"/>
      <c r="C312"/>
      <c r="D312"/>
      <c r="E312"/>
      <c r="F312"/>
      <c r="G312"/>
      <c r="H312"/>
    </row>
    <row r="313" spans="1:10">
      <c r="A313" s="1862" t="str">
        <f>IFERROR(IF(B313="","",VLOOKUP(B313,Buget_detaliat!F:I,4,0)),"")</f>
        <v/>
      </c>
      <c r="B313" s="413"/>
      <c r="C313"/>
      <c r="D313"/>
      <c r="E313"/>
      <c r="F313"/>
      <c r="G313"/>
      <c r="H313"/>
    </row>
    <row r="314" spans="1:10">
      <c r="A314" s="1862" t="str">
        <f>IFERROR(IF(B314="","",VLOOKUP(B314,Buget_detaliat!F:I,4,0)),"")</f>
        <v/>
      </c>
      <c r="B314" s="413"/>
      <c r="C314"/>
      <c r="D314"/>
      <c r="E314"/>
      <c r="F314"/>
      <c r="G314"/>
      <c r="H314"/>
    </row>
    <row r="315" spans="1:10">
      <c r="A315" s="1862" t="str">
        <f>IFERROR(IF(B315="","",VLOOKUP(B315,Buget_detaliat!F:I,4,0)),"")</f>
        <v/>
      </c>
      <c r="B315" s="413"/>
      <c r="C315"/>
      <c r="D315"/>
      <c r="E315"/>
      <c r="F315"/>
      <c r="G315"/>
      <c r="H315"/>
    </row>
    <row r="316" spans="1:10">
      <c r="A316" s="1862" t="str">
        <f>IFERROR(IF(B316="","",VLOOKUP(B316,Buget_detaliat!F:I,4,0)),"")</f>
        <v/>
      </c>
      <c r="B316" s="413"/>
      <c r="C316"/>
      <c r="D316"/>
      <c r="E316"/>
      <c r="F316"/>
      <c r="G316"/>
      <c r="H316"/>
    </row>
    <row r="317" spans="1:10">
      <c r="A317" s="1862" t="str">
        <f>IFERROR(IF(B317="","",VLOOKUP(B317,Buget_detaliat!F:I,4,0)),"")</f>
        <v/>
      </c>
      <c r="B317" s="413"/>
      <c r="C317"/>
      <c r="D317"/>
      <c r="E317"/>
      <c r="F317"/>
      <c r="G317"/>
      <c r="H317"/>
    </row>
    <row r="318" spans="1:10">
      <c r="A318" s="1862" t="str">
        <f>IFERROR(IF(B318="","",VLOOKUP(B318,Buget_detaliat!F:I,4,0)),"")</f>
        <v/>
      </c>
      <c r="B318" s="413"/>
      <c r="C318"/>
      <c r="D318"/>
      <c r="E318"/>
      <c r="F318"/>
      <c r="G318"/>
      <c r="H318"/>
    </row>
    <row r="319" spans="1:10">
      <c r="B319" s="2214"/>
      <c r="C319" s="1808"/>
      <c r="D319" s="1808"/>
      <c r="E319" s="1808"/>
      <c r="F319" s="1808"/>
      <c r="G319" s="1808"/>
      <c r="H319" s="1808"/>
    </row>
  </sheetData>
  <conditionalFormatting sqref="A4:A634">
    <cfRule type="containsText" dxfId="2191" priority="1" operator="containsText" text="ONG_TB">
      <formula>NOT(ISERROR(SEARCH("ONG_TB",A4)))</formula>
    </cfRule>
  </conditionalFormatting>
  <hyperlinks>
    <hyperlink ref="A2" location="CUPRINS!A1" display="CUPRINS" xr:uid="{00000000-0004-0000-0100-000000000000}"/>
  </hyperlinks>
  <pageMargins left="0.7" right="0.7" top="0.75" bottom="0.75" header="0.3" footer="0.3"/>
  <pageSetup paperSize="9" orientation="portrait" r:id="rId2"/>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159"/>
  <sheetViews>
    <sheetView topLeftCell="K58" zoomScale="55" zoomScaleNormal="55" workbookViewId="0">
      <selection activeCell="AB110" sqref="AB110"/>
    </sheetView>
  </sheetViews>
  <sheetFormatPr baseColWidth="10" defaultColWidth="8.83203125" defaultRowHeight="15" outlineLevelCol="1"/>
  <cols>
    <col min="1" max="1" width="8.83203125" style="960" hidden="1" customWidth="1" outlineLevel="1"/>
    <col min="2" max="2" width="10" style="960" hidden="1" customWidth="1" outlineLevel="1"/>
    <col min="3" max="3" width="8.83203125" style="960" hidden="1" customWidth="1" outlineLevel="1"/>
    <col min="4" max="4" width="12.5" style="960" hidden="1" customWidth="1" outlineLevel="1"/>
    <col min="5" max="5" width="8.83203125" style="960" hidden="1" customWidth="1" outlineLevel="1"/>
    <col min="6" max="6" width="10.6640625" style="960" hidden="1" customWidth="1" outlineLevel="1"/>
    <col min="7" max="8" width="8.83203125" style="960" hidden="1" customWidth="1" outlineLevel="1"/>
    <col min="9" max="9" width="8.83203125" style="2195" hidden="1" customWidth="1" outlineLevel="1"/>
    <col min="10" max="10" width="99.6640625" style="2190" hidden="1" customWidth="1" outlineLevel="1"/>
    <col min="11" max="11" width="1.1640625" customWidth="1" collapsed="1"/>
    <col min="12" max="12" width="14.33203125" style="853" customWidth="1"/>
    <col min="13" max="13" width="24.6640625" customWidth="1"/>
    <col min="14" max="14" width="46.6640625" bestFit="1" customWidth="1"/>
    <col min="15" max="15" width="32" bestFit="1" customWidth="1"/>
    <col min="16" max="16" width="17.83203125" bestFit="1" customWidth="1"/>
    <col min="17" max="17" width="12.6640625" customWidth="1"/>
    <col min="18" max="18" width="12.5" bestFit="1" customWidth="1"/>
    <col min="19" max="19" width="9.5" bestFit="1" customWidth="1"/>
    <col min="20" max="20" width="11.1640625" bestFit="1" customWidth="1"/>
    <col min="21" max="21" width="14" bestFit="1" customWidth="1"/>
  </cols>
  <sheetData>
    <row r="1" spans="1:21">
      <c r="A1" s="2157" t="s">
        <v>345</v>
      </c>
      <c r="B1" s="859">
        <v>2021</v>
      </c>
      <c r="C1" s="859">
        <v>2022</v>
      </c>
      <c r="D1" s="859">
        <v>2023</v>
      </c>
      <c r="E1" s="859">
        <v>2024</v>
      </c>
      <c r="F1" s="859">
        <v>2025</v>
      </c>
      <c r="G1" s="859" t="s">
        <v>484</v>
      </c>
      <c r="H1" s="859" t="s">
        <v>515</v>
      </c>
      <c r="I1" s="2184" t="s">
        <v>1834</v>
      </c>
      <c r="J1" s="1804"/>
      <c r="K1" s="712" t="s">
        <v>238</v>
      </c>
      <c r="L1" s="836">
        <f ca="1">SUM(B:F)-B1-C1-D1-E1-F1</f>
        <v>949197.77</v>
      </c>
      <c r="M1">
        <f>SUM(AR:AR)</f>
        <v>0</v>
      </c>
      <c r="N1" s="836">
        <f ca="1">L1-M1</f>
        <v>949197.77</v>
      </c>
      <c r="O1" s="1836" t="s">
        <v>356</v>
      </c>
    </row>
    <row r="2" spans="1:21">
      <c r="K2" s="712"/>
      <c r="L2" s="833"/>
    </row>
    <row r="3" spans="1:21">
      <c r="K3" s="712"/>
      <c r="L3" s="833"/>
    </row>
    <row r="4" spans="1:21">
      <c r="K4" s="712" t="s">
        <v>238</v>
      </c>
      <c r="L4" s="1775" t="s">
        <v>2939</v>
      </c>
    </row>
    <row r="5" spans="1:21">
      <c r="A5" s="2191"/>
      <c r="B5" s="2191"/>
      <c r="C5" s="2191"/>
      <c r="D5" s="2191"/>
      <c r="E5" s="2191"/>
      <c r="F5" s="2191"/>
      <c r="G5" s="2191"/>
      <c r="H5" s="2191"/>
      <c r="I5" s="2184"/>
      <c r="J5" s="2192"/>
      <c r="K5" s="712" t="s">
        <v>238</v>
      </c>
      <c r="L5" s="833"/>
    </row>
    <row r="6" spans="1:21" s="1808" customFormat="1">
      <c r="A6" s="2191"/>
      <c r="B6" s="2191"/>
      <c r="C6" s="2191"/>
      <c r="D6" s="2191"/>
      <c r="E6" s="2191"/>
      <c r="F6" s="2191"/>
      <c r="G6" s="2191"/>
      <c r="H6" s="2191"/>
      <c r="I6" s="2184"/>
      <c r="J6" s="2192"/>
      <c r="K6" s="712" t="s">
        <v>238</v>
      </c>
      <c r="L6" s="833"/>
    </row>
    <row r="7" spans="1:21" s="1808" customFormat="1">
      <c r="A7" s="2191"/>
      <c r="B7" s="2191"/>
      <c r="C7" s="2191"/>
      <c r="D7" s="2191"/>
      <c r="E7" s="2191"/>
      <c r="F7" s="2191"/>
      <c r="G7" s="2191"/>
      <c r="H7" s="2191"/>
      <c r="I7" s="2184"/>
      <c r="J7" s="2192"/>
      <c r="K7" s="712" t="s">
        <v>238</v>
      </c>
      <c r="L7" s="833"/>
      <c r="M7" s="1775" t="s">
        <v>3127</v>
      </c>
    </row>
    <row r="8" spans="1:21" s="1808" customFormat="1">
      <c r="A8" s="960"/>
      <c r="B8" s="2191"/>
      <c r="C8" s="2191"/>
      <c r="D8" s="2191"/>
      <c r="E8" s="2191"/>
      <c r="F8" s="2191"/>
      <c r="G8" s="2191"/>
      <c r="H8" s="2191"/>
      <c r="I8" s="2184"/>
      <c r="J8" s="2192"/>
      <c r="K8" s="712" t="s">
        <v>238</v>
      </c>
      <c r="L8" s="833"/>
    </row>
    <row r="9" spans="1:21" s="1808" customFormat="1" ht="33">
      <c r="A9" s="2157">
        <v>222</v>
      </c>
      <c r="B9" s="841">
        <v>0</v>
      </c>
      <c r="C9" s="841">
        <v>0</v>
      </c>
      <c r="D9" s="841">
        <v>0</v>
      </c>
      <c r="E9" s="841">
        <v>0</v>
      </c>
      <c r="F9" s="841">
        <v>0</v>
      </c>
      <c r="G9" s="841" t="s">
        <v>351</v>
      </c>
      <c r="H9" s="841" t="s">
        <v>3722</v>
      </c>
      <c r="I9" s="2183" t="s">
        <v>3716</v>
      </c>
      <c r="J9" s="2160" t="s">
        <v>3127</v>
      </c>
      <c r="K9" s="712" t="s">
        <v>238</v>
      </c>
      <c r="M9" s="2199" t="s">
        <v>3723</v>
      </c>
    </row>
    <row r="10" spans="1:21">
      <c r="A10" s="2191"/>
      <c r="B10" s="2191"/>
      <c r="C10" s="2191"/>
      <c r="D10" s="2191"/>
      <c r="E10" s="2191"/>
      <c r="F10" s="2191"/>
      <c r="G10" s="2191"/>
      <c r="H10" s="2191"/>
      <c r="I10" s="2184"/>
      <c r="J10" s="2192"/>
      <c r="K10" s="712" t="s">
        <v>238</v>
      </c>
      <c r="L10" s="833"/>
      <c r="M10" s="1775" t="s">
        <v>3085</v>
      </c>
    </row>
    <row r="11" spans="1:21" ht="16" thickBot="1">
      <c r="A11" s="2191"/>
      <c r="B11" s="2191"/>
      <c r="C11" s="2191"/>
      <c r="D11" s="2191"/>
      <c r="E11" s="2191"/>
      <c r="F11" s="2191"/>
      <c r="G11" s="2191"/>
      <c r="H11" s="2191"/>
      <c r="I11" s="2184"/>
      <c r="J11" s="2192"/>
      <c r="K11" s="712" t="s">
        <v>238</v>
      </c>
      <c r="L11" s="833"/>
    </row>
    <row r="12" spans="1:21" ht="32">
      <c r="A12" s="2191"/>
      <c r="B12" s="2191"/>
      <c r="C12" s="2191"/>
      <c r="D12" s="2191"/>
      <c r="E12" s="2191"/>
      <c r="F12" s="2191"/>
      <c r="G12" s="2191"/>
      <c r="H12" s="2191"/>
      <c r="I12" s="2184"/>
      <c r="J12" s="2192"/>
      <c r="K12" s="712" t="s">
        <v>238</v>
      </c>
      <c r="L12" s="833"/>
      <c r="N12" s="1758" t="s">
        <v>2155</v>
      </c>
      <c r="O12" s="966"/>
      <c r="P12" s="966"/>
      <c r="Q12" s="966"/>
      <c r="R12" s="1759" t="s">
        <v>3060</v>
      </c>
      <c r="S12" s="966"/>
      <c r="T12" s="966"/>
      <c r="U12" s="967"/>
    </row>
    <row r="13" spans="1:21" ht="32">
      <c r="A13" s="2191"/>
      <c r="B13" s="2191"/>
      <c r="C13" s="2191"/>
      <c r="D13" s="2191"/>
      <c r="E13" s="2191"/>
      <c r="F13" s="2191"/>
      <c r="G13" s="2191"/>
      <c r="H13" s="2191"/>
      <c r="I13" s="2184"/>
      <c r="J13" s="2192"/>
      <c r="K13" s="712" t="s">
        <v>238</v>
      </c>
      <c r="L13" s="833"/>
      <c r="N13" s="1760" t="s">
        <v>3054</v>
      </c>
      <c r="O13" s="1749"/>
      <c r="P13" s="1565"/>
      <c r="Q13" s="1750">
        <v>0</v>
      </c>
      <c r="R13" s="1383">
        <v>0</v>
      </c>
      <c r="S13" s="960"/>
      <c r="T13" s="960"/>
      <c r="U13" s="62"/>
    </row>
    <row r="14" spans="1:21" ht="32">
      <c r="A14" s="2191"/>
      <c r="B14" s="2191"/>
      <c r="C14" s="2191"/>
      <c r="D14" s="2191"/>
      <c r="E14" s="2191"/>
      <c r="F14" s="2191"/>
      <c r="G14" s="2191"/>
      <c r="H14" s="2191"/>
      <c r="I14" s="2184"/>
      <c r="J14" s="2192"/>
      <c r="K14" s="712" t="s">
        <v>238</v>
      </c>
      <c r="L14" s="833"/>
      <c r="N14" s="1760" t="s">
        <v>3055</v>
      </c>
      <c r="O14" s="1749"/>
      <c r="P14" s="1565"/>
      <c r="Q14" s="1750">
        <v>2</v>
      </c>
      <c r="R14" s="1383">
        <v>10</v>
      </c>
      <c r="S14" s="960"/>
      <c r="T14" s="960"/>
      <c r="U14" s="62"/>
    </row>
    <row r="15" spans="1:21">
      <c r="A15" s="2191"/>
      <c r="B15" s="2191"/>
      <c r="C15" s="2191"/>
      <c r="D15" s="2191"/>
      <c r="E15" s="2191"/>
      <c r="F15" s="2191"/>
      <c r="G15" s="2191"/>
      <c r="H15" s="2191"/>
      <c r="I15" s="2184"/>
      <c r="J15" s="2192"/>
      <c r="K15" s="712" t="s">
        <v>238</v>
      </c>
      <c r="L15" s="833"/>
      <c r="N15" s="1049"/>
      <c r="O15" s="960"/>
      <c r="P15" s="960"/>
      <c r="Q15" s="960"/>
      <c r="R15" s="960"/>
      <c r="S15" s="960"/>
      <c r="T15" s="960"/>
      <c r="U15" s="62"/>
    </row>
    <row r="16" spans="1:21">
      <c r="A16" s="2191"/>
      <c r="B16" s="2191"/>
      <c r="C16" s="2191"/>
      <c r="D16" s="2191"/>
      <c r="E16" s="2191"/>
      <c r="F16" s="2191"/>
      <c r="G16" s="2191"/>
      <c r="H16" s="2191"/>
      <c r="I16" s="2184"/>
      <c r="J16" s="2192"/>
      <c r="K16" s="712" t="s">
        <v>238</v>
      </c>
      <c r="L16" s="833"/>
      <c r="N16" s="1049" t="s">
        <v>3059</v>
      </c>
      <c r="O16" s="960"/>
      <c r="P16" s="960"/>
      <c r="Q16" s="960"/>
      <c r="R16" s="960"/>
      <c r="S16" s="960"/>
      <c r="T16" s="960"/>
      <c r="U16" s="62"/>
    </row>
    <row r="17" spans="1:21" ht="32">
      <c r="A17" s="2191"/>
      <c r="B17" s="2191"/>
      <c r="C17" s="2191"/>
      <c r="D17" s="2191"/>
      <c r="E17" s="2191"/>
      <c r="F17" s="2191"/>
      <c r="G17" s="2191"/>
      <c r="H17" s="2191"/>
      <c r="I17" s="2184"/>
      <c r="J17" s="2192"/>
      <c r="K17" s="712" t="s">
        <v>238</v>
      </c>
      <c r="L17" s="833"/>
      <c r="N17" s="1760" t="s">
        <v>3061</v>
      </c>
      <c r="O17" s="1749"/>
      <c r="P17" s="1565"/>
      <c r="Q17" s="1750"/>
      <c r="R17" s="1383"/>
      <c r="S17" s="960"/>
      <c r="T17" s="960"/>
      <c r="U17" s="62"/>
    </row>
    <row r="18" spans="1:21" ht="32">
      <c r="A18" s="2191"/>
      <c r="B18" s="2191"/>
      <c r="C18" s="2191"/>
      <c r="D18" s="2191"/>
      <c r="E18" s="2191"/>
      <c r="F18" s="2191"/>
      <c r="G18" s="2191"/>
      <c r="H18" s="2191"/>
      <c r="I18" s="2184"/>
      <c r="J18" s="2192"/>
      <c r="K18" s="712" t="s">
        <v>238</v>
      </c>
      <c r="L18" s="833"/>
      <c r="N18" s="1760" t="s">
        <v>3062</v>
      </c>
      <c r="O18" s="1749"/>
      <c r="P18" s="1565"/>
      <c r="Q18" s="1750"/>
      <c r="R18" s="1383"/>
      <c r="S18" s="960"/>
      <c r="T18" s="960"/>
      <c r="U18" s="62"/>
    </row>
    <row r="19" spans="1:21">
      <c r="A19" s="2191"/>
      <c r="B19" s="2191"/>
      <c r="C19" s="2191"/>
      <c r="D19" s="2191"/>
      <c r="E19" s="2191"/>
      <c r="F19" s="2191"/>
      <c r="G19" s="2191"/>
      <c r="H19" s="2191"/>
      <c r="I19" s="2184"/>
      <c r="J19" s="2192"/>
      <c r="K19" s="712" t="s">
        <v>238</v>
      </c>
      <c r="L19" s="833"/>
      <c r="N19" s="1049"/>
      <c r="O19" s="960"/>
      <c r="P19" s="960"/>
      <c r="Q19" s="960"/>
      <c r="R19" s="960"/>
      <c r="S19" s="960"/>
      <c r="T19" s="960"/>
      <c r="U19" s="62"/>
    </row>
    <row r="20" spans="1:21">
      <c r="A20" s="2191"/>
      <c r="B20" s="2191"/>
      <c r="C20" s="2191"/>
      <c r="D20" s="2191"/>
      <c r="E20" s="2191"/>
      <c r="F20" s="2191"/>
      <c r="G20" s="2191"/>
      <c r="H20" s="2191"/>
      <c r="I20" s="2184"/>
      <c r="J20" s="2192"/>
      <c r="K20" s="712" t="s">
        <v>238</v>
      </c>
      <c r="L20" s="833"/>
      <c r="N20" s="1049"/>
      <c r="O20" s="960"/>
      <c r="P20" s="960"/>
      <c r="Q20" s="960"/>
      <c r="R20" s="960"/>
      <c r="S20" s="960"/>
      <c r="T20" s="960"/>
      <c r="U20" s="62"/>
    </row>
    <row r="21" spans="1:21" ht="16" thickBot="1">
      <c r="A21" s="2191"/>
      <c r="B21" s="2191"/>
      <c r="C21" s="2191"/>
      <c r="D21" s="2191"/>
      <c r="E21" s="2191"/>
      <c r="F21" s="2191"/>
      <c r="G21" s="2191"/>
      <c r="H21" s="2191"/>
      <c r="I21" s="2184"/>
      <c r="J21" s="2192"/>
      <c r="K21" s="712" t="s">
        <v>238</v>
      </c>
      <c r="L21" s="833"/>
      <c r="N21" s="1049" t="s">
        <v>3058</v>
      </c>
      <c r="O21" s="960"/>
      <c r="P21" s="960"/>
      <c r="Q21" s="960"/>
      <c r="R21" s="960"/>
      <c r="S21" s="960"/>
      <c r="T21" s="960"/>
      <c r="U21" s="62"/>
    </row>
    <row r="22" spans="1:21" ht="48">
      <c r="A22" s="2191"/>
      <c r="B22" s="2191"/>
      <c r="C22" s="2191"/>
      <c r="D22" s="2191"/>
      <c r="E22" s="2191"/>
      <c r="F22" s="2191"/>
      <c r="G22" s="2191"/>
      <c r="H22" s="2191"/>
      <c r="I22" s="2184"/>
      <c r="J22" s="2192"/>
      <c r="K22" s="712" t="s">
        <v>238</v>
      </c>
      <c r="L22" s="833"/>
      <c r="N22" s="1699" t="s">
        <v>3033</v>
      </c>
      <c r="O22" s="1700" t="s">
        <v>3034</v>
      </c>
      <c r="P22" s="1702" t="s">
        <v>3040</v>
      </c>
      <c r="Q22" s="1702" t="s">
        <v>3041</v>
      </c>
      <c r="R22" s="1702" t="s">
        <v>3042</v>
      </c>
      <c r="S22" s="1700" t="s">
        <v>3035</v>
      </c>
      <c r="T22" s="1702" t="s">
        <v>3067</v>
      </c>
      <c r="U22" s="1701" t="s">
        <v>2189</v>
      </c>
    </row>
    <row r="23" spans="1:21">
      <c r="A23" s="2191"/>
      <c r="B23" s="2191"/>
      <c r="C23" s="2191"/>
      <c r="D23" s="2191"/>
      <c r="E23" s="2191"/>
      <c r="F23" s="2191"/>
      <c r="G23" s="2191"/>
      <c r="H23" s="2191"/>
      <c r="I23" s="2184"/>
      <c r="J23" s="2192"/>
      <c r="K23" s="712" t="s">
        <v>238</v>
      </c>
      <c r="L23" s="833"/>
      <c r="N23" s="1539" t="s">
        <v>3051</v>
      </c>
      <c r="O23" s="958" t="str">
        <f>IFERROR(VLOOKUP(N23,Price_list!$B$1:$H$187,2,0),"")</f>
        <v>International Consultancy fee (3.1)</v>
      </c>
      <c r="P23" s="958" t="str">
        <f>IFERROR(VLOOKUP(N23,Price_list!$B$1:$H$187,3,0),"")</f>
        <v>cost/zi</v>
      </c>
      <c r="Q23" s="946">
        <f>IFERROR(VLOOKUP(N23,Price_list!$B$1:$H$187,4,0),"")</f>
        <v>350</v>
      </c>
      <c r="R23" s="946" t="str">
        <f>IFERROR(VLOOKUP(N23,Price_list!$B$1:$H$187,5,0),"")</f>
        <v>EUR</v>
      </c>
      <c r="S23" s="958">
        <f t="shared" ref="S23:S29" ca="1" si="0">ROUND(IFERROR(IF(R23="MDL",Q23,Q23*INDIRECT(R23)),0),2)</f>
        <v>6868.65</v>
      </c>
      <c r="T23" s="946">
        <f>Q13*R13</f>
        <v>0</v>
      </c>
      <c r="U23" s="1390">
        <f ca="1">T23*S23</f>
        <v>0</v>
      </c>
    </row>
    <row r="24" spans="1:21">
      <c r="A24" s="2191"/>
      <c r="B24" s="2191"/>
      <c r="C24" s="2191"/>
      <c r="D24" s="2191"/>
      <c r="E24" s="2191"/>
      <c r="F24" s="2191"/>
      <c r="G24" s="2191"/>
      <c r="H24" s="2191"/>
      <c r="I24" s="2184"/>
      <c r="J24" s="2192"/>
      <c r="K24" s="712" t="s">
        <v>238</v>
      </c>
      <c r="L24" s="833"/>
      <c r="N24" s="1539" t="s">
        <v>3050</v>
      </c>
      <c r="O24" s="958" t="str">
        <f>IFERROR(VLOOKUP(N24,Price_list!$B$1:$H$187,2,0),"")</f>
        <v>National Consultancy fee (3.1)</v>
      </c>
      <c r="P24" s="958" t="str">
        <f>IFERROR(VLOOKUP(N24,Price_list!$B$1:$H$187,3,0),"")</f>
        <v>cost/zi</v>
      </c>
      <c r="Q24" s="946">
        <f>IFERROR(VLOOKUP(N24,Price_list!$B$1:$H$187,4,0),"")</f>
        <v>2000</v>
      </c>
      <c r="R24" s="946" t="str">
        <f>IFERROR(VLOOKUP(N24,Price_list!$B$1:$H$187,5,0),"")</f>
        <v>MDL</v>
      </c>
      <c r="S24" s="958">
        <f t="shared" ca="1" si="0"/>
        <v>2000</v>
      </c>
      <c r="T24" s="946">
        <f>Q14*R14</f>
        <v>20</v>
      </c>
      <c r="U24" s="1390">
        <f ca="1">T24*S24</f>
        <v>40000</v>
      </c>
    </row>
    <row r="25" spans="1:21">
      <c r="A25" s="2191"/>
      <c r="B25" s="2191"/>
      <c r="C25" s="2191"/>
      <c r="D25" s="2191"/>
      <c r="E25" s="2191"/>
      <c r="F25" s="2191"/>
      <c r="G25" s="2191"/>
      <c r="H25" s="2191"/>
      <c r="I25" s="2184"/>
      <c r="J25" s="2192"/>
      <c r="K25" s="712" t="s">
        <v>238</v>
      </c>
      <c r="L25" s="833"/>
      <c r="N25" s="1539" t="s">
        <v>3063</v>
      </c>
      <c r="O25" s="958" t="str">
        <f>IFERROR(VLOOKUP(N25,Price_list!$B$1:$H$187,2,0),"")</f>
        <v>Translation per page</v>
      </c>
      <c r="P25" s="958" t="str">
        <f>IFERROR(VLOOKUP(N25,Price_list!$B$1:$H$187,3,0),"")</f>
        <v>pagina</v>
      </c>
      <c r="Q25" s="946">
        <f>IFERROR(VLOOKUP(N25,Price_list!$B$1:$H$187,4,0),"")</f>
        <v>150</v>
      </c>
      <c r="R25" s="946" t="str">
        <f>IFERROR(VLOOKUP(N25,Price_list!$B$1:$H$187,5,0),"")</f>
        <v>MDL</v>
      </c>
      <c r="S25" s="958">
        <f t="shared" ca="1" si="0"/>
        <v>150</v>
      </c>
      <c r="T25" s="946">
        <f>Q17</f>
        <v>0</v>
      </c>
      <c r="U25" s="1390">
        <f t="shared" ref="U25:U28" ca="1" si="1">T25*S25</f>
        <v>0</v>
      </c>
    </row>
    <row r="26" spans="1:21">
      <c r="A26" s="2191"/>
      <c r="B26" s="2191"/>
      <c r="C26" s="2191"/>
      <c r="D26" s="2191"/>
      <c r="E26" s="2191"/>
      <c r="F26" s="2191"/>
      <c r="G26" s="2191"/>
      <c r="H26" s="2191"/>
      <c r="I26" s="2184"/>
      <c r="J26" s="2192"/>
      <c r="K26" s="712" t="s">
        <v>238</v>
      </c>
      <c r="L26" s="833"/>
      <c r="N26" s="1539" t="s">
        <v>3068</v>
      </c>
      <c r="O26" s="958" t="str">
        <f>IFERROR(VLOOKUP(N26,Price_list!$B$1:$H$187,2,0),"")</f>
        <v xml:space="preserve">Formatting, design, printing </v>
      </c>
      <c r="P26" s="958" t="str">
        <f>IFERROR(VLOOKUP(N26,Price_list!$B$1:$H$187,3,0),"")</f>
        <v>pagina</v>
      </c>
      <c r="Q26" s="946">
        <f>IFERROR(VLOOKUP(N26,Price_list!$B$1:$H$187,4,0),"")</f>
        <v>2</v>
      </c>
      <c r="R26" s="946" t="str">
        <f>IFERROR(VLOOKUP(N26,Price_list!$B$1:$H$187,5,0),"")</f>
        <v>MDL</v>
      </c>
      <c r="S26" s="958">
        <f t="shared" ca="1" si="0"/>
        <v>2</v>
      </c>
      <c r="T26" s="946">
        <f>Q17*Q18</f>
        <v>0</v>
      </c>
      <c r="U26" s="1390">
        <f t="shared" ca="1" si="1"/>
        <v>0</v>
      </c>
    </row>
    <row r="27" spans="1:21">
      <c r="A27" s="2191"/>
      <c r="B27" s="2191"/>
      <c r="C27" s="2191"/>
      <c r="D27" s="2191"/>
      <c r="E27" s="2191"/>
      <c r="F27" s="2191"/>
      <c r="G27" s="2191"/>
      <c r="H27" s="2191"/>
      <c r="I27" s="2184"/>
      <c r="J27" s="2192"/>
      <c r="K27" s="712" t="s">
        <v>238</v>
      </c>
      <c r="L27" s="833"/>
      <c r="N27" s="1539"/>
      <c r="O27" s="958" t="str">
        <f>IFERROR(VLOOKUP(N27,Price_list!$B$1:$H$187,2,0),"")</f>
        <v/>
      </c>
      <c r="P27" s="958" t="str">
        <f>IFERROR(VLOOKUP(N27,Price_list!$B$1:$H$187,3,0),"")</f>
        <v/>
      </c>
      <c r="Q27" s="946" t="str">
        <f>IFERROR(VLOOKUP(N27,Price_list!$B$1:$H$187,4,0),"")</f>
        <v/>
      </c>
      <c r="R27" s="946" t="str">
        <f>IFERROR(VLOOKUP(N27,Price_list!$B$1:$H$187,5,0),"")</f>
        <v/>
      </c>
      <c r="S27" s="958">
        <f t="shared" ca="1" si="0"/>
        <v>0</v>
      </c>
      <c r="T27" s="946"/>
      <c r="U27" s="1390">
        <f t="shared" ca="1" si="1"/>
        <v>0</v>
      </c>
    </row>
    <row r="28" spans="1:21">
      <c r="A28" s="2191"/>
      <c r="B28" s="2191"/>
      <c r="C28" s="2191"/>
      <c r="D28" s="2191"/>
      <c r="E28" s="2191"/>
      <c r="F28" s="2191"/>
      <c r="G28" s="2191"/>
      <c r="H28" s="2191"/>
      <c r="I28" s="2184"/>
      <c r="J28" s="2192"/>
      <c r="K28" s="712" t="s">
        <v>238</v>
      </c>
      <c r="L28" s="833"/>
      <c r="N28" s="1539"/>
      <c r="O28" s="958" t="str">
        <f>IFERROR(VLOOKUP(N28,Price_list!$B$1:$H$187,2,0),"")</f>
        <v/>
      </c>
      <c r="P28" s="958" t="str">
        <f>IFERROR(VLOOKUP(N28,Price_list!$B$1:$H$187,3,0),"")</f>
        <v/>
      </c>
      <c r="Q28" s="946" t="str">
        <f>IFERROR(VLOOKUP(N28,Price_list!$B$1:$H$187,4,0),"")</f>
        <v/>
      </c>
      <c r="R28" s="946" t="str">
        <f>IFERROR(VLOOKUP(N28,Price_list!$B$1:$H$187,5,0),"")</f>
        <v/>
      </c>
      <c r="S28" s="958">
        <f t="shared" ca="1" si="0"/>
        <v>0</v>
      </c>
      <c r="T28" s="946"/>
      <c r="U28" s="1390">
        <f t="shared" ca="1" si="1"/>
        <v>0</v>
      </c>
    </row>
    <row r="29" spans="1:21" ht="16" thickBot="1">
      <c r="A29" s="2191"/>
      <c r="B29" s="2191"/>
      <c r="C29" s="2191"/>
      <c r="D29" s="2191"/>
      <c r="E29" s="2191"/>
      <c r="F29" s="2191"/>
      <c r="G29" s="2191"/>
      <c r="H29" s="2191"/>
      <c r="I29" s="2184"/>
      <c r="J29" s="2192"/>
      <c r="K29" s="712" t="s">
        <v>238</v>
      </c>
      <c r="L29" s="833"/>
      <c r="N29" s="1539"/>
      <c r="O29" s="958" t="str">
        <f>IFERROR(VLOOKUP(N29,Price_list!$B$1:$H$187,2,0),"")</f>
        <v/>
      </c>
      <c r="P29" s="958" t="str">
        <f>IFERROR(VLOOKUP(N29,Price_list!$B$1:$H$187,3,0),"")</f>
        <v/>
      </c>
      <c r="Q29" s="946" t="str">
        <f>IFERROR(VLOOKUP(N29,Price_list!$B$1:$H$187,4,0),"")</f>
        <v/>
      </c>
      <c r="R29" s="946" t="str">
        <f>IFERROR(VLOOKUP(N29,Price_list!$B$1:$H$187,5,0),"")</f>
        <v/>
      </c>
      <c r="S29" s="958">
        <f t="shared" ca="1" si="0"/>
        <v>0</v>
      </c>
      <c r="T29" s="946"/>
      <c r="U29" s="1390">
        <f ca="1">T29*S29</f>
        <v>0</v>
      </c>
    </row>
    <row r="30" spans="1:21" ht="16" thickBot="1">
      <c r="A30" s="2191"/>
      <c r="B30" s="2191"/>
      <c r="C30" s="2191"/>
      <c r="D30" s="2191"/>
      <c r="E30" s="2191"/>
      <c r="F30" s="2191"/>
      <c r="G30" s="2191"/>
      <c r="H30" s="2191"/>
      <c r="I30" s="2184"/>
      <c r="J30" s="2192"/>
      <c r="K30" s="712" t="s">
        <v>238</v>
      </c>
      <c r="L30" s="833"/>
      <c r="N30" s="1704"/>
      <c r="O30" s="1761"/>
      <c r="P30" s="1761"/>
      <c r="Q30" s="1761"/>
      <c r="R30" s="1761"/>
      <c r="S30" s="1761"/>
      <c r="T30" s="1761"/>
      <c r="U30" s="1706">
        <f ca="1">SUM(U23:U29)</f>
        <v>40000</v>
      </c>
    </row>
    <row r="31" spans="1:21">
      <c r="A31" s="2191"/>
      <c r="B31" s="2191"/>
      <c r="C31" s="2191"/>
      <c r="D31" s="2191"/>
      <c r="E31" s="2191"/>
      <c r="F31" s="2191"/>
      <c r="G31" s="2191"/>
      <c r="H31" s="2191"/>
      <c r="I31" s="2184"/>
      <c r="J31" s="2192"/>
      <c r="K31" s="712" t="s">
        <v>238</v>
      </c>
      <c r="L31" s="833"/>
      <c r="N31" s="1049"/>
      <c r="O31" s="960"/>
      <c r="P31" s="960"/>
      <c r="Q31" s="960"/>
      <c r="R31" s="960"/>
      <c r="S31" s="960"/>
      <c r="T31" s="960"/>
      <c r="U31" s="62"/>
    </row>
    <row r="32" spans="1:21" ht="16" thickBot="1">
      <c r="A32" s="2191"/>
      <c r="B32" s="2191"/>
      <c r="C32" s="2191"/>
      <c r="D32" s="2191"/>
      <c r="E32" s="2191"/>
      <c r="F32" s="2191"/>
      <c r="G32" s="2191"/>
      <c r="H32" s="2191"/>
      <c r="I32" s="2184"/>
      <c r="J32" s="2192"/>
      <c r="K32" s="712" t="s">
        <v>238</v>
      </c>
      <c r="L32" s="833"/>
      <c r="N32" s="1049"/>
      <c r="O32" s="960"/>
      <c r="P32" s="960"/>
      <c r="Q32" s="960"/>
      <c r="R32" s="960"/>
      <c r="S32" s="960"/>
      <c r="T32" s="960"/>
      <c r="U32" s="62"/>
    </row>
    <row r="33" spans="1:21" ht="16" thickBot="1">
      <c r="A33" s="2191"/>
      <c r="B33" s="2191"/>
      <c r="C33" s="2191"/>
      <c r="D33" s="2191"/>
      <c r="E33" s="2191"/>
      <c r="F33" s="2191"/>
      <c r="G33" s="2191"/>
      <c r="H33" s="2191"/>
      <c r="I33" s="2184"/>
      <c r="J33" s="2192"/>
      <c r="K33" s="712" t="s">
        <v>238</v>
      </c>
      <c r="L33" s="833"/>
      <c r="N33" s="1049" t="s">
        <v>2171</v>
      </c>
      <c r="O33" s="960"/>
      <c r="P33" s="960"/>
      <c r="Q33" s="1500">
        <v>2021</v>
      </c>
      <c r="R33" s="1762">
        <v>2022</v>
      </c>
      <c r="S33" s="1762">
        <v>2023</v>
      </c>
      <c r="T33" s="1762">
        <v>2024</v>
      </c>
      <c r="U33" s="1763">
        <v>2025</v>
      </c>
    </row>
    <row r="34" spans="1:21" ht="16" thickBot="1">
      <c r="A34" s="2191"/>
      <c r="B34" s="2191"/>
      <c r="C34" s="2191"/>
      <c r="D34" s="2191"/>
      <c r="E34" s="2191"/>
      <c r="F34" s="2191"/>
      <c r="G34" s="2191"/>
      <c r="H34" s="2191"/>
      <c r="I34" s="2184"/>
      <c r="J34" s="2192"/>
      <c r="K34" s="712" t="s">
        <v>238</v>
      </c>
      <c r="L34" s="833"/>
      <c r="N34" s="1764"/>
      <c r="O34" s="1504"/>
      <c r="P34" s="1504"/>
      <c r="Q34" s="1713">
        <v>1</v>
      </c>
      <c r="R34" s="1713">
        <v>0</v>
      </c>
      <c r="S34" s="1713">
        <v>0</v>
      </c>
      <c r="T34" s="1713">
        <v>0</v>
      </c>
      <c r="U34" s="1765">
        <v>0</v>
      </c>
    </row>
    <row r="35" spans="1:21" ht="33" thickBot="1">
      <c r="A35" s="2157">
        <v>48</v>
      </c>
      <c r="B35" s="841">
        <f ca="1">Q35</f>
        <v>40000</v>
      </c>
      <c r="C35" s="841">
        <f t="shared" ref="C35:F35" ca="1" si="2">R35</f>
        <v>0</v>
      </c>
      <c r="D35" s="841">
        <f t="shared" ca="1" si="2"/>
        <v>0</v>
      </c>
      <c r="E35" s="841">
        <f t="shared" ca="1" si="2"/>
        <v>0</v>
      </c>
      <c r="F35" s="841">
        <f t="shared" ca="1" si="2"/>
        <v>0</v>
      </c>
      <c r="G35" s="841" t="s">
        <v>351</v>
      </c>
      <c r="H35" s="841" t="s">
        <v>3085</v>
      </c>
      <c r="I35" s="2183" t="s">
        <v>3716</v>
      </c>
      <c r="J35" s="2160" t="s">
        <v>2939</v>
      </c>
      <c r="K35" s="712" t="s">
        <v>238</v>
      </c>
      <c r="L35" s="833"/>
      <c r="N35" s="1710" t="s">
        <v>3044</v>
      </c>
      <c r="O35" s="1732"/>
      <c r="P35" s="1708"/>
      <c r="Q35" s="1495">
        <f ca="1">U30*Q34</f>
        <v>40000</v>
      </c>
      <c r="R35" s="1495">
        <f ca="1">U30*R34</f>
        <v>0</v>
      </c>
      <c r="S35" s="1495">
        <f ca="1">U30*S34</f>
        <v>0</v>
      </c>
      <c r="T35" s="1495">
        <f ca="1">U30*T34</f>
        <v>0</v>
      </c>
      <c r="U35" s="1495">
        <f ca="1">U30*U34</f>
        <v>0</v>
      </c>
    </row>
    <row r="36" spans="1:21">
      <c r="K36" s="712" t="s">
        <v>238</v>
      </c>
      <c r="L36" s="833"/>
    </row>
    <row r="37" spans="1:21">
      <c r="A37" s="2191"/>
      <c r="B37" s="2191"/>
      <c r="C37" s="2191"/>
      <c r="D37" s="2191"/>
      <c r="E37" s="2191"/>
      <c r="F37" s="2191"/>
      <c r="G37" s="2191"/>
      <c r="H37" s="2191"/>
      <c r="I37" s="2184"/>
      <c r="J37" s="2192"/>
      <c r="K37" s="712" t="s">
        <v>238</v>
      </c>
      <c r="L37" s="833"/>
    </row>
    <row r="38" spans="1:21">
      <c r="A38" s="2191"/>
      <c r="B38" s="2191"/>
      <c r="C38" s="2191"/>
      <c r="D38" s="2191"/>
      <c r="E38" s="2191"/>
      <c r="F38" s="2191"/>
      <c r="G38" s="2191"/>
      <c r="H38" s="2191"/>
      <c r="I38" s="2184"/>
      <c r="J38" s="2192"/>
      <c r="K38" s="712" t="s">
        <v>238</v>
      </c>
      <c r="L38" s="833"/>
      <c r="M38" s="1775" t="s">
        <v>3086</v>
      </c>
    </row>
    <row r="39" spans="1:21">
      <c r="K39" s="712" t="s">
        <v>238</v>
      </c>
      <c r="L39" s="833"/>
    </row>
    <row r="40" spans="1:21" ht="16" thickBot="1">
      <c r="A40" s="2191"/>
      <c r="B40" s="2191"/>
      <c r="C40" s="2191"/>
      <c r="D40" s="2191"/>
      <c r="E40" s="2191"/>
      <c r="F40" s="2191"/>
      <c r="G40" s="2191"/>
      <c r="H40" s="2191"/>
      <c r="I40" s="2184"/>
      <c r="J40" s="2192"/>
      <c r="K40" s="712" t="s">
        <v>238</v>
      </c>
      <c r="L40" s="833"/>
    </row>
    <row r="41" spans="1:21" ht="32">
      <c r="A41" s="2191"/>
      <c r="B41" s="2191"/>
      <c r="C41" s="2191"/>
      <c r="D41" s="2191"/>
      <c r="E41" s="2191"/>
      <c r="F41" s="2191"/>
      <c r="G41" s="2191"/>
      <c r="H41" s="2191"/>
      <c r="I41" s="2184"/>
      <c r="J41" s="2192"/>
      <c r="K41" s="712" t="s">
        <v>238</v>
      </c>
      <c r="L41" s="833"/>
      <c r="N41" s="1766" t="s">
        <v>3054</v>
      </c>
      <c r="O41" s="1696"/>
      <c r="P41" s="1767"/>
      <c r="Q41" s="1220">
        <v>1</v>
      </c>
      <c r="R41" s="966"/>
      <c r="S41" s="1768"/>
      <c r="T41" s="966"/>
      <c r="U41" s="967"/>
    </row>
    <row r="42" spans="1:21" ht="32">
      <c r="K42" s="712" t="s">
        <v>238</v>
      </c>
      <c r="L42" s="833"/>
      <c r="N42" s="1769" t="s">
        <v>3055</v>
      </c>
      <c r="O42" s="1693"/>
      <c r="P42" s="958"/>
      <c r="Q42" s="1040"/>
      <c r="R42" s="960"/>
      <c r="S42" s="960"/>
      <c r="T42" s="960"/>
      <c r="U42" s="62"/>
    </row>
    <row r="43" spans="1:21" ht="32">
      <c r="K43" s="712" t="s">
        <v>238</v>
      </c>
      <c r="L43" s="833"/>
      <c r="N43" s="1769" t="s">
        <v>3056</v>
      </c>
      <c r="O43" s="1693"/>
      <c r="P43" s="958"/>
      <c r="Q43" s="1040">
        <v>15</v>
      </c>
      <c r="R43" s="960"/>
      <c r="S43" s="960"/>
      <c r="T43" s="960"/>
      <c r="U43" s="62"/>
    </row>
    <row r="44" spans="1:21" ht="32">
      <c r="K44" s="712" t="s">
        <v>238</v>
      </c>
      <c r="L44" s="833"/>
      <c r="N44" s="1769" t="s">
        <v>3057</v>
      </c>
      <c r="O44" s="1693"/>
      <c r="P44" s="958"/>
      <c r="Q44" s="1040">
        <v>2</v>
      </c>
      <c r="R44" s="960"/>
      <c r="S44" s="960"/>
      <c r="T44" s="960"/>
      <c r="U44" s="62"/>
    </row>
    <row r="45" spans="1:21" ht="32">
      <c r="K45" s="712" t="s">
        <v>238</v>
      </c>
      <c r="L45" s="833"/>
      <c r="N45" s="1769" t="s">
        <v>3052</v>
      </c>
      <c r="O45" s="1693"/>
      <c r="P45" s="1694"/>
      <c r="Q45" s="1028">
        <f>ROUND(Q43*P45,0)</f>
        <v>0</v>
      </c>
      <c r="R45" s="960"/>
      <c r="S45" s="960"/>
      <c r="T45" s="960"/>
      <c r="U45" s="62"/>
    </row>
    <row r="46" spans="1:21" ht="32">
      <c r="K46" s="712" t="s">
        <v>238</v>
      </c>
      <c r="L46" s="833"/>
      <c r="N46" s="1769" t="s">
        <v>3053</v>
      </c>
      <c r="O46" s="1693"/>
      <c r="P46" s="1694"/>
      <c r="Q46" s="1028">
        <f>ROUND(Q43*P46,0)</f>
        <v>0</v>
      </c>
      <c r="R46" s="960"/>
      <c r="S46" s="960"/>
      <c r="T46" s="960"/>
      <c r="U46" s="62"/>
    </row>
    <row r="47" spans="1:21">
      <c r="K47" s="712" t="s">
        <v>238</v>
      </c>
      <c r="L47" s="833"/>
      <c r="N47" s="1770" t="s">
        <v>3036</v>
      </c>
      <c r="O47" s="1019"/>
      <c r="P47" s="1695"/>
      <c r="Q47" s="1028">
        <f>Q44-1</f>
        <v>1</v>
      </c>
      <c r="R47" s="960"/>
      <c r="S47" s="960"/>
      <c r="T47" s="960"/>
      <c r="U47" s="62"/>
    </row>
    <row r="48" spans="1:21" ht="16" thickBot="1">
      <c r="K48" s="712" t="s">
        <v>238</v>
      </c>
      <c r="L48" s="833"/>
      <c r="N48" s="1049"/>
      <c r="O48" s="960"/>
      <c r="P48" s="960"/>
      <c r="Q48" s="960"/>
      <c r="R48" s="960"/>
      <c r="S48" s="960"/>
      <c r="T48" s="960"/>
      <c r="U48" s="62"/>
    </row>
    <row r="49" spans="11:22" ht="64">
      <c r="K49" s="712" t="s">
        <v>238</v>
      </c>
      <c r="L49" s="833"/>
      <c r="N49" s="1699" t="s">
        <v>3033</v>
      </c>
      <c r="O49" s="1700" t="s">
        <v>3034</v>
      </c>
      <c r="P49" s="1702" t="s">
        <v>3040</v>
      </c>
      <c r="Q49" s="1702" t="s">
        <v>3041</v>
      </c>
      <c r="R49" s="1702" t="s">
        <v>3042</v>
      </c>
      <c r="S49" s="1700" t="s">
        <v>3035</v>
      </c>
      <c r="T49" s="1702" t="s">
        <v>3039</v>
      </c>
      <c r="U49" s="1701" t="s">
        <v>2189</v>
      </c>
    </row>
    <row r="50" spans="11:22">
      <c r="K50" s="712" t="s">
        <v>238</v>
      </c>
      <c r="L50" s="833"/>
      <c r="N50" s="1539" t="s">
        <v>3051</v>
      </c>
      <c r="O50" s="958" t="str">
        <f>IFERROR(VLOOKUP(N50,Price_list!$B$1:$H$187,2,0),"")</f>
        <v>International Consultancy fee (3.1)</v>
      </c>
      <c r="P50" s="958" t="str">
        <f>IFERROR(VLOOKUP(N50,Price_list!$B$1:$H$187,3,0),"")</f>
        <v>cost/zi</v>
      </c>
      <c r="Q50" s="946">
        <f>IFERROR(VLOOKUP(N50,Price_list!$B$1:$H$187,4,0),"")</f>
        <v>350</v>
      </c>
      <c r="R50" s="946" t="str">
        <f>IFERROR(VLOOKUP(N50,Price_list!$B$1:$H$187,5,0),"")</f>
        <v>EUR</v>
      </c>
      <c r="S50" s="958">
        <f ca="1">ROUND(IFERROR(IF(R50="MDL",Q50,Q50*INDIRECT(R50)),0),2)</f>
        <v>6868.65</v>
      </c>
      <c r="T50" s="946">
        <f>Q44+V50</f>
        <v>4</v>
      </c>
      <c r="U50" s="1889">
        <f ca="1">IFERROR(Q41*S50*T50,"")</f>
        <v>27474.6</v>
      </c>
      <c r="V50">
        <v>2</v>
      </c>
    </row>
    <row r="51" spans="11:22">
      <c r="K51" s="712" t="s">
        <v>238</v>
      </c>
      <c r="L51" s="833"/>
      <c r="N51" s="1539" t="s">
        <v>3029</v>
      </c>
      <c r="O51" s="958" t="str">
        <f>IFERROR(VLOOKUP(N51,Price_list!$B$1:$H$187,2,0),"")</f>
        <v xml:space="preserve">Travel costs </v>
      </c>
      <c r="P51" s="958" t="str">
        <f>IFERROR(VLOOKUP(N51,Price_list!$B$1:$H$187,3,0),"")</f>
        <v>cost tichet o directie</v>
      </c>
      <c r="Q51" s="946">
        <f>IFERROR(VLOOKUP(N51,Price_list!$B$1:$H$187,4,0),"")</f>
        <v>5000</v>
      </c>
      <c r="R51" s="946" t="str">
        <f>IFERROR(VLOOKUP(N51,Price_list!$B$1:$H$187,5,0),"")</f>
        <v>MDL</v>
      </c>
      <c r="S51" s="958">
        <f t="shared" ref="S51:S67" ca="1" si="3">ROUND(IFERROR(IF(R51="MDL",Q51,Q51*INDIRECT(R51)),0),2)</f>
        <v>5000</v>
      </c>
      <c r="T51" s="1040">
        <v>2</v>
      </c>
      <c r="U51" s="1889">
        <f ca="1">Q41*T51*S51</f>
        <v>10000</v>
      </c>
    </row>
    <row r="52" spans="11:22">
      <c r="K52" s="712" t="s">
        <v>238</v>
      </c>
      <c r="L52" s="833"/>
      <c r="N52" s="1539" t="s">
        <v>3020</v>
      </c>
      <c r="O52" s="958" t="str">
        <f>IFERROR(VLOOKUP(N52,Price_list!$B$1:$H$187,2,0),"")</f>
        <v xml:space="preserve">Per diem, WHO DSA, average </v>
      </c>
      <c r="P52" s="958" t="str">
        <f>IFERROR(VLOOKUP(N52,Price_list!$B$1:$H$187,3,0),"")</f>
        <v>diurna</v>
      </c>
      <c r="Q52" s="946">
        <f>IFERROR(VLOOKUP(N52,Price_list!$B$1:$H$187,4,0),"")</f>
        <v>200</v>
      </c>
      <c r="R52" s="946" t="str">
        <f>IFERROR(VLOOKUP(N52,Price_list!$B$1:$H$187,5,0),"")</f>
        <v>EUR</v>
      </c>
      <c r="S52" s="958">
        <f t="shared" ca="1" si="3"/>
        <v>3924.94</v>
      </c>
      <c r="T52" s="946">
        <f>Q44+V52</f>
        <v>4</v>
      </c>
      <c r="U52" s="1889">
        <f ca="1">Q41*S52*T52</f>
        <v>15699.76</v>
      </c>
      <c r="V52">
        <v>2</v>
      </c>
    </row>
    <row r="53" spans="11:22">
      <c r="K53" s="712" t="s">
        <v>238</v>
      </c>
      <c r="L53" s="833"/>
      <c r="N53" s="1539" t="s">
        <v>3050</v>
      </c>
      <c r="O53" s="958" t="str">
        <f>IFERROR(VLOOKUP(N53,Price_list!$B$1:$H$187,2,0),"")</f>
        <v>National Consultancy fee (3.1)</v>
      </c>
      <c r="P53" s="958" t="str">
        <f>IFERROR(VLOOKUP(N53,Price_list!$B$1:$H$187,3,0),"")</f>
        <v>cost/zi</v>
      </c>
      <c r="Q53" s="946">
        <f>IFERROR(VLOOKUP(N53,Price_list!$B$1:$H$187,4,0),"")</f>
        <v>2000</v>
      </c>
      <c r="R53" s="946" t="str">
        <f>IFERROR(VLOOKUP(N53,Price_list!$B$1:$H$187,5,0),"")</f>
        <v>MDL</v>
      </c>
      <c r="S53" s="958">
        <f t="shared" ca="1" si="3"/>
        <v>2000</v>
      </c>
      <c r="T53" s="946">
        <f>Q44</f>
        <v>2</v>
      </c>
      <c r="U53" s="1889">
        <f ca="1">Q42*S53*T53</f>
        <v>0</v>
      </c>
    </row>
    <row r="54" spans="11:22">
      <c r="K54" s="712" t="s">
        <v>238</v>
      </c>
      <c r="L54" s="833"/>
      <c r="N54" s="1539"/>
      <c r="O54" s="958" t="str">
        <f>IFERROR(VLOOKUP(N54,Price_list!$B$1:$H$187,2,0),"")</f>
        <v/>
      </c>
      <c r="P54" s="958" t="str">
        <f>IFERROR(VLOOKUP(N54,Price_list!$B$1:$H$187,3,0),"")</f>
        <v/>
      </c>
      <c r="Q54" s="946" t="str">
        <f>IFERROR(VLOOKUP(N54,Price_list!$B$1:$H$187,4,0),"")</f>
        <v/>
      </c>
      <c r="R54" s="946" t="str">
        <f>IFERROR(VLOOKUP(N54,Price_list!$B$1:$H$187,5,0),"")</f>
        <v/>
      </c>
      <c r="S54" s="958">
        <f t="shared" ca="1" si="3"/>
        <v>0</v>
      </c>
      <c r="T54" s="946" t="str">
        <f>IFERROR(VLOOKUP(AE54,N45:P50,3,0),"")</f>
        <v/>
      </c>
      <c r="U54" s="1889" t="str">
        <f>IFERROR(#REF!*T54*Q54,"")</f>
        <v/>
      </c>
    </row>
    <row r="55" spans="11:22">
      <c r="K55" s="712" t="s">
        <v>238</v>
      </c>
      <c r="L55" s="833"/>
      <c r="N55" s="1539"/>
      <c r="O55" s="958" t="str">
        <f>IFERROR(VLOOKUP(N55,Price_list!$B$1:$H$187,2,0),"")</f>
        <v/>
      </c>
      <c r="P55" s="958" t="str">
        <f>IFERROR(VLOOKUP(N55,Price_list!$B$1:$H$187,3,0),"")</f>
        <v/>
      </c>
      <c r="Q55" s="946" t="str">
        <f>IFERROR(VLOOKUP(N55,Price_list!$B$1:$H$187,4,0),"")</f>
        <v/>
      </c>
      <c r="R55" s="946" t="str">
        <f>IFERROR(VLOOKUP(N55,Price_list!$B$1:$H$187,5,0),"")</f>
        <v/>
      </c>
      <c r="S55" s="958">
        <f t="shared" ca="1" si="3"/>
        <v>0</v>
      </c>
      <c r="T55" s="946" t="str">
        <f>IFERROR(VLOOKUP(AE55,N47:P51,3,0),"")</f>
        <v/>
      </c>
      <c r="U55" s="1889" t="str">
        <f>IFERROR(#REF!*T55*Q55,"")</f>
        <v/>
      </c>
    </row>
    <row r="56" spans="11:22">
      <c r="K56" s="712" t="s">
        <v>238</v>
      </c>
      <c r="L56" s="833"/>
      <c r="N56" s="1539" t="s">
        <v>3016</v>
      </c>
      <c r="O56" s="958" t="str">
        <f>IFERROR(VLOOKUP(N56,Price_list!$B$1:$H$187,2,0),"")</f>
        <v>Coffe break</v>
      </c>
      <c r="P56" s="958" t="str">
        <f>IFERROR(VLOOKUP(N56,Price_list!$B$1:$H$187,3,0),"")</f>
        <v>unitate</v>
      </c>
      <c r="Q56" s="946">
        <f>IFERROR(VLOOKUP(N56,Price_list!$B$1:$H$187,4,0),"")</f>
        <v>75</v>
      </c>
      <c r="R56" s="946" t="str">
        <f>IFERROR(VLOOKUP(N56,Price_list!$B$1:$H$187,5,0),"")</f>
        <v>MDL</v>
      </c>
      <c r="S56" s="958">
        <f t="shared" ca="1" si="3"/>
        <v>75</v>
      </c>
      <c r="T56" s="946">
        <v>2</v>
      </c>
      <c r="U56" s="1889">
        <f ca="1">T56*S56*Q43*Q44</f>
        <v>4500</v>
      </c>
    </row>
    <row r="57" spans="11:22">
      <c r="K57" s="712" t="s">
        <v>238</v>
      </c>
      <c r="L57" s="833"/>
      <c r="N57" s="1539" t="s">
        <v>3021</v>
      </c>
      <c r="O57" s="958" t="str">
        <f>IFERROR(VLOOKUP(N57,Price_list!$B$1:$H$187,2,0),"")</f>
        <v xml:space="preserve">Meal ( lunch) </v>
      </c>
      <c r="P57" s="958" t="str">
        <f>IFERROR(VLOOKUP(N57,Price_list!$B$1:$H$187,3,0),"")</f>
        <v>unitate</v>
      </c>
      <c r="Q57" s="946">
        <f>IFERROR(VLOOKUP(N57,Price_list!$B$1:$H$187,4,0),"")</f>
        <v>220</v>
      </c>
      <c r="R57" s="946" t="str">
        <f>IFERROR(VLOOKUP(N57,Price_list!$B$1:$H$187,5,0),"")</f>
        <v>MDL</v>
      </c>
      <c r="S57" s="958">
        <f t="shared" ca="1" si="3"/>
        <v>220</v>
      </c>
      <c r="T57" s="946">
        <f>Q44</f>
        <v>2</v>
      </c>
      <c r="U57" s="1889">
        <f ca="1">Q43*T57*S57</f>
        <v>6600</v>
      </c>
    </row>
    <row r="58" spans="11:22">
      <c r="K58" s="712" t="s">
        <v>238</v>
      </c>
      <c r="L58" s="833"/>
      <c r="N58" s="1539" t="s">
        <v>3023</v>
      </c>
      <c r="O58" s="958" t="str">
        <f>IFERROR(VLOOKUP(N58,Price_list!$B$1:$H$187,2,0),"")</f>
        <v>Meal(dinner)</v>
      </c>
      <c r="P58" s="958" t="str">
        <f>IFERROR(VLOOKUP(N58,Price_list!$B$1:$H$187,3,0),"")</f>
        <v>unitate</v>
      </c>
      <c r="Q58" s="946">
        <f>IFERROR(VLOOKUP(N58,Price_list!$B$1:$H$187,4,0),"")</f>
        <v>220</v>
      </c>
      <c r="R58" s="946" t="str">
        <f>IFERROR(VLOOKUP(N58,Price_list!$B$1:$H$187,5,0),"")</f>
        <v>MDL</v>
      </c>
      <c r="S58" s="958">
        <f t="shared" ca="1" si="3"/>
        <v>220</v>
      </c>
      <c r="T58" s="946">
        <f>Q47</f>
        <v>1</v>
      </c>
      <c r="U58" s="1889">
        <f ca="1">T58*S58*Q45</f>
        <v>0</v>
      </c>
    </row>
    <row r="59" spans="11:22">
      <c r="K59" s="712" t="s">
        <v>238</v>
      </c>
      <c r="L59" s="833"/>
      <c r="N59" s="1539" t="s">
        <v>3024</v>
      </c>
      <c r="O59" s="958" t="str">
        <f>IFERROR(VLOOKUP(N59,Price_list!$B$1:$H$187,2,0),"")</f>
        <v xml:space="preserve">Accomodation </v>
      </c>
      <c r="P59" s="958" t="str">
        <f>IFERROR(VLOOKUP(N59,Price_list!$B$1:$H$187,3,0),"")</f>
        <v>cost/noapte</v>
      </c>
      <c r="Q59" s="946">
        <f>IFERROR(VLOOKUP(N59,Price_list!$B$1:$H$187,4,0),"")</f>
        <v>750</v>
      </c>
      <c r="R59" s="946" t="str">
        <f>IFERROR(VLOOKUP(N59,Price_list!$B$1:$H$187,5,0),"")</f>
        <v>MDL</v>
      </c>
      <c r="S59" s="958">
        <f t="shared" ca="1" si="3"/>
        <v>750</v>
      </c>
      <c r="T59" s="946">
        <f>Q47</f>
        <v>1</v>
      </c>
      <c r="U59" s="1889">
        <f ca="1">T59*S59*Q45</f>
        <v>0</v>
      </c>
    </row>
    <row r="60" spans="11:22">
      <c r="K60" s="712" t="s">
        <v>238</v>
      </c>
      <c r="L60" s="833"/>
      <c r="N60" s="1539" t="s">
        <v>3030</v>
      </c>
      <c r="O60" s="958" t="str">
        <f>IFERROR(VLOOKUP(N60,Price_list!$B$1:$H$187,2,0),"")</f>
        <v>Travel participants</v>
      </c>
      <c r="P60" s="958" t="str">
        <f>IFERROR(VLOOKUP(N60,Price_list!$B$1:$H$187,3,0),"")</f>
        <v>cost tichet o directie</v>
      </c>
      <c r="Q60" s="946">
        <f>IFERROR(VLOOKUP(N60,Price_list!$B$1:$H$187,4,0),"")</f>
        <v>80</v>
      </c>
      <c r="R60" s="946" t="str">
        <f>IFERROR(VLOOKUP(N60,Price_list!$B$1:$H$187,5,0),"")</f>
        <v>MDL</v>
      </c>
      <c r="S60" s="958">
        <f t="shared" ca="1" si="3"/>
        <v>80</v>
      </c>
      <c r="T60" s="1040">
        <v>2</v>
      </c>
      <c r="U60" s="1889">
        <f ca="1">T60*Q46*S60</f>
        <v>0</v>
      </c>
    </row>
    <row r="61" spans="11:22">
      <c r="K61" s="712" t="s">
        <v>238</v>
      </c>
      <c r="L61" s="833"/>
      <c r="N61" s="1539"/>
      <c r="O61" s="958" t="str">
        <f>IFERROR(VLOOKUP(N61,Price_list!$B$1:$H$187,2,0),"")</f>
        <v/>
      </c>
      <c r="P61" s="958" t="str">
        <f>IFERROR(VLOOKUP(N61,Price_list!$B$1:$H$187,3,0),"")</f>
        <v/>
      </c>
      <c r="Q61" s="946" t="str">
        <f>IFERROR(VLOOKUP(N61,Price_list!$B$1:$H$187,4,0),"")</f>
        <v/>
      </c>
      <c r="R61" s="946" t="str">
        <f>IFERROR(VLOOKUP(N61,Price_list!$B$1:$H$187,5,0),"")</f>
        <v/>
      </c>
      <c r="S61" s="958">
        <f t="shared" ca="1" si="3"/>
        <v>0</v>
      </c>
      <c r="T61" s="946" t="str">
        <f>IFERROR(VLOOKUP(AE61,N51:P57,3,0),"")</f>
        <v/>
      </c>
      <c r="U61" s="1889" t="str">
        <f>IFERROR(#REF!*T61*Q61,"")</f>
        <v/>
      </c>
    </row>
    <row r="62" spans="11:22">
      <c r="K62" s="712" t="s">
        <v>238</v>
      </c>
      <c r="L62" s="833"/>
      <c r="N62" s="1539" t="s">
        <v>3025</v>
      </c>
      <c r="O62" s="958" t="str">
        <f>IFERROR(VLOOKUP(N62,Price_list!$B$1:$H$187,2,0),"")</f>
        <v>Supplies</v>
      </c>
      <c r="P62" s="958" t="str">
        <f>IFERROR(VLOOKUP(N62,Price_list!$B$1:$H$187,3,0),"")</f>
        <v>set/participant</v>
      </c>
      <c r="Q62" s="946">
        <f>IFERROR(VLOOKUP(N62,Price_list!$B$1:$H$187,4,0),"")</f>
        <v>140</v>
      </c>
      <c r="R62" s="946" t="str">
        <f>IFERROR(VLOOKUP(N62,Price_list!$B$1:$H$187,5,0),"")</f>
        <v>MDL</v>
      </c>
      <c r="S62" s="958">
        <f t="shared" ca="1" si="3"/>
        <v>140</v>
      </c>
      <c r="T62" s="946">
        <v>1</v>
      </c>
      <c r="U62" s="1889">
        <f ca="1">T62*S62*Q43</f>
        <v>2100</v>
      </c>
    </row>
    <row r="63" spans="11:22">
      <c r="K63" s="712" t="s">
        <v>238</v>
      </c>
      <c r="L63" s="833"/>
      <c r="N63" s="1539" t="s">
        <v>3022</v>
      </c>
      <c r="O63" s="958" t="str">
        <f>IFERROR(VLOOKUP(N63,Price_list!$B$1:$H$187,2,0),"")</f>
        <v>Rent of premises</v>
      </c>
      <c r="P63" s="958" t="str">
        <f>IFERROR(VLOOKUP(N63,Price_list!$B$1:$H$187,3,0),"")</f>
        <v>cost/zi</v>
      </c>
      <c r="Q63" s="946">
        <f>IFERROR(VLOOKUP(N63,Price_list!$B$1:$H$187,4,0),"")</f>
        <v>1800</v>
      </c>
      <c r="R63" s="946" t="str">
        <f>IFERROR(VLOOKUP(N63,Price_list!$B$1:$H$187,5,0),"")</f>
        <v>MDL</v>
      </c>
      <c r="S63" s="958">
        <f t="shared" ca="1" si="3"/>
        <v>1800</v>
      </c>
      <c r="T63" s="946">
        <f>Q44</f>
        <v>2</v>
      </c>
      <c r="U63" s="1889">
        <f ca="1">T63*S63</f>
        <v>3600</v>
      </c>
    </row>
    <row r="64" spans="11:22">
      <c r="K64" s="712" t="s">
        <v>238</v>
      </c>
      <c r="L64" s="833"/>
      <c r="N64" s="1539" t="s">
        <v>3031</v>
      </c>
      <c r="O64" s="958" t="str">
        <f>IFERROR(VLOOKUP(N64,Price_list!$B$1:$H$187,2,0),"")</f>
        <v>Interpreter's fee, per day</v>
      </c>
      <c r="P64" s="958" t="str">
        <f>IFERROR(VLOOKUP(N64,Price_list!$B$1:$H$187,3,0),"")</f>
        <v>cost/zi</v>
      </c>
      <c r="Q64" s="946">
        <f>IFERROR(VLOOKUP(N64,Price_list!$B$1:$H$187,4,0),"")</f>
        <v>2000</v>
      </c>
      <c r="R64" s="946" t="str">
        <f>IFERROR(VLOOKUP(N64,Price_list!$B$1:$H$187,5,0),"")</f>
        <v>MDL</v>
      </c>
      <c r="S64" s="958">
        <f t="shared" ca="1" si="3"/>
        <v>2000</v>
      </c>
      <c r="T64" s="946">
        <f>IF(Q41&gt;0,Q44,0)</f>
        <v>2</v>
      </c>
      <c r="U64" s="1889">
        <f ca="1">T64*S64</f>
        <v>4000</v>
      </c>
    </row>
    <row r="65" spans="1:21">
      <c r="K65" s="712" t="s">
        <v>238</v>
      </c>
      <c r="L65" s="833"/>
      <c r="N65" s="1539"/>
      <c r="O65" s="958" t="str">
        <f>IFERROR(VLOOKUP(N65,Price_list!$B$1:$H$187,2,0),"")</f>
        <v/>
      </c>
      <c r="P65" s="958" t="str">
        <f>IFERROR(VLOOKUP(N65,Price_list!$B$1:$H$187,3,0),"")</f>
        <v/>
      </c>
      <c r="Q65" s="946" t="str">
        <f>IFERROR(VLOOKUP(N65,Price_list!$B$1:$H$187,4,0),"")</f>
        <v/>
      </c>
      <c r="R65" s="946" t="str">
        <f>IFERROR(VLOOKUP(N65,Price_list!$B$1:$H$187,5,0),"")</f>
        <v/>
      </c>
      <c r="S65" s="958">
        <f t="shared" ca="1" si="3"/>
        <v>0</v>
      </c>
      <c r="T65" s="946" t="str">
        <f>IFERROR(VLOOKUP(AE65,N56:P60,3,0),"")</f>
        <v/>
      </c>
      <c r="U65" s="1889" t="str">
        <f>IFERROR(#REF!*T65*Q65,"")</f>
        <v/>
      </c>
    </row>
    <row r="66" spans="1:21">
      <c r="K66" s="712" t="s">
        <v>238</v>
      </c>
      <c r="L66" s="833"/>
      <c r="N66" s="1539"/>
      <c r="O66" s="958" t="str">
        <f>IFERROR(VLOOKUP(N66,Price_list!$B$1:$H$187,2,0),"")</f>
        <v/>
      </c>
      <c r="P66" s="958" t="str">
        <f>IFERROR(VLOOKUP(N66,Price_list!$B$1:$H$187,3,0),"")</f>
        <v/>
      </c>
      <c r="Q66" s="946" t="str">
        <f>IFERROR(VLOOKUP(N66,Price_list!$B$1:$H$187,4,0),"")</f>
        <v/>
      </c>
      <c r="R66" s="946" t="str">
        <f>IFERROR(VLOOKUP(N66,Price_list!$B$1:$H$187,5,0),"")</f>
        <v/>
      </c>
      <c r="S66" s="958">
        <f t="shared" ca="1" si="3"/>
        <v>0</v>
      </c>
      <c r="T66" s="946" t="str">
        <f>IFERROR(VLOOKUP(AE66,N57:P62,3,0),"")</f>
        <v/>
      </c>
      <c r="U66" s="1889" t="str">
        <f>IFERROR(#REF!*T66*Q66,"")</f>
        <v/>
      </c>
    </row>
    <row r="67" spans="1:21">
      <c r="K67" s="712" t="s">
        <v>238</v>
      </c>
      <c r="L67" s="833"/>
      <c r="N67" s="1539"/>
      <c r="O67" s="958" t="str">
        <f>IFERROR(VLOOKUP(N67,Price_list!$B$1:$H$187,2,0),"")</f>
        <v/>
      </c>
      <c r="P67" s="958" t="str">
        <f>IFERROR(VLOOKUP(N67,Price_list!$B$1:$H$187,3,0),"")</f>
        <v/>
      </c>
      <c r="Q67" s="946" t="str">
        <f>IFERROR(VLOOKUP(N67,Price_list!$B$1:$H$187,4,0),"")</f>
        <v/>
      </c>
      <c r="R67" s="946" t="str">
        <f>IFERROR(VLOOKUP(N67,Price_list!$B$1:$H$187,5,0),"")</f>
        <v/>
      </c>
      <c r="S67" s="958">
        <f t="shared" ca="1" si="3"/>
        <v>0</v>
      </c>
      <c r="T67" s="946" t="str">
        <f>IFERROR(VLOOKUP(AE67,N58:P63,3,0),"")</f>
        <v/>
      </c>
      <c r="U67" s="1889" t="str">
        <f>IFERROR(#REF!*T67*Q67,"")</f>
        <v/>
      </c>
    </row>
    <row r="68" spans="1:21" ht="16" thickBot="1">
      <c r="K68" s="712" t="s">
        <v>238</v>
      </c>
      <c r="L68" s="833"/>
      <c r="N68" s="1697"/>
      <c r="O68" s="1698" t="str">
        <f>IFERROR(VLOOKUP(N68,Price_list!$B$1:$H$187,2,0),"")</f>
        <v/>
      </c>
      <c r="P68" s="1698" t="str">
        <f>IFERROR(VLOOKUP(N68,Price_list!$B$1:$H$187,3,0),"")</f>
        <v/>
      </c>
      <c r="Q68" s="1034" t="str">
        <f>IFERROR(VLOOKUP(N68,Price_list!$B$1:$H$187,4,0),"")</f>
        <v/>
      </c>
      <c r="R68" s="1034" t="str">
        <f>IFERROR(VLOOKUP(N68,Price_list!$B$1:$H$187,5,0),"")</f>
        <v/>
      </c>
      <c r="S68" s="1698"/>
      <c r="T68" s="1034" t="str">
        <f>IFERROR(VLOOKUP(AE68,N59:P64,3,0),"")</f>
        <v/>
      </c>
      <c r="U68" s="1703">
        <f ca="1">SUM(U50:U67)</f>
        <v>73974.36</v>
      </c>
    </row>
    <row r="69" spans="1:21">
      <c r="K69" s="712" t="s">
        <v>238</v>
      </c>
      <c r="L69" s="833"/>
      <c r="N69" s="1771" t="s">
        <v>3037</v>
      </c>
      <c r="O69" s="1742" t="s">
        <v>3006</v>
      </c>
      <c r="P69" s="1743"/>
      <c r="Q69" s="1772">
        <v>7.0000000000000007E-2</v>
      </c>
      <c r="R69" s="1773"/>
      <c r="S69" s="1773"/>
      <c r="T69" s="1773"/>
      <c r="U69" s="1774">
        <f ca="1">ROUND(U68*Q69,2)</f>
        <v>5178.21</v>
      </c>
    </row>
    <row r="70" spans="1:21" ht="16" thickBot="1">
      <c r="K70" s="712" t="s">
        <v>238</v>
      </c>
      <c r="L70" s="833"/>
      <c r="N70" s="1049"/>
      <c r="O70" s="960"/>
      <c r="P70" s="960"/>
      <c r="Q70" s="960"/>
      <c r="R70" s="960"/>
      <c r="S70" s="960"/>
      <c r="T70" s="960"/>
      <c r="U70" s="62"/>
    </row>
    <row r="71" spans="1:21" ht="16" thickBot="1">
      <c r="K71" s="712" t="s">
        <v>238</v>
      </c>
      <c r="L71" s="833"/>
      <c r="N71" s="1704" t="s">
        <v>3038</v>
      </c>
      <c r="O71" s="1761"/>
      <c r="P71" s="1761"/>
      <c r="Q71" s="1761"/>
      <c r="R71" s="1761"/>
      <c r="S71" s="1761"/>
      <c r="T71" s="1761"/>
      <c r="U71" s="1706">
        <f ca="1">U69+U68</f>
        <v>79152.570000000007</v>
      </c>
    </row>
    <row r="72" spans="1:21">
      <c r="K72" s="712" t="s">
        <v>238</v>
      </c>
      <c r="L72" s="833"/>
      <c r="N72" s="1049"/>
      <c r="O72" s="960"/>
      <c r="P72" s="960"/>
      <c r="Q72" s="960"/>
      <c r="R72" s="960"/>
      <c r="S72" s="960"/>
      <c r="T72" s="960"/>
      <c r="U72" s="62"/>
    </row>
    <row r="73" spans="1:21" ht="16" thickBot="1">
      <c r="K73" s="712" t="s">
        <v>238</v>
      </c>
      <c r="L73" s="833"/>
      <c r="N73" s="1049"/>
      <c r="O73" s="960"/>
      <c r="P73" s="960"/>
      <c r="Q73" s="960"/>
      <c r="R73" s="960"/>
      <c r="S73" s="960"/>
      <c r="T73" s="960"/>
      <c r="U73" s="62"/>
    </row>
    <row r="74" spans="1:21" ht="16" thickBot="1">
      <c r="K74" s="712" t="s">
        <v>238</v>
      </c>
      <c r="L74" s="833"/>
      <c r="N74" s="1049" t="s">
        <v>2171</v>
      </c>
      <c r="O74" s="960"/>
      <c r="P74" s="960"/>
      <c r="Q74" s="1500">
        <v>2021</v>
      </c>
      <c r="R74" s="1762">
        <v>2022</v>
      </c>
      <c r="S74" s="1762">
        <v>2023</v>
      </c>
      <c r="T74" s="1762">
        <v>2024</v>
      </c>
      <c r="U74" s="1763">
        <v>2025</v>
      </c>
    </row>
    <row r="75" spans="1:21" ht="16" thickBot="1">
      <c r="K75" s="712" t="s">
        <v>238</v>
      </c>
      <c r="L75" s="833"/>
      <c r="N75" s="1764" t="s">
        <v>3043</v>
      </c>
      <c r="O75" s="1504"/>
      <c r="P75" s="1504"/>
      <c r="Q75" s="1713">
        <v>0</v>
      </c>
      <c r="R75" s="1713">
        <v>1</v>
      </c>
      <c r="S75" s="1713">
        <v>0</v>
      </c>
      <c r="T75" s="1713">
        <v>0</v>
      </c>
      <c r="U75" s="1765">
        <v>0</v>
      </c>
    </row>
    <row r="76" spans="1:21" ht="33" thickBot="1">
      <c r="A76" s="2157">
        <v>49</v>
      </c>
      <c r="B76" s="841">
        <f ca="1">Q76</f>
        <v>0</v>
      </c>
      <c r="C76" s="841">
        <f t="shared" ref="C76" ca="1" si="4">R76</f>
        <v>79152.570000000007</v>
      </c>
      <c r="D76" s="841">
        <f t="shared" ref="D76" ca="1" si="5">S76</f>
        <v>0</v>
      </c>
      <c r="E76" s="841">
        <f t="shared" ref="E76" ca="1" si="6">T76</f>
        <v>0</v>
      </c>
      <c r="F76" s="841">
        <f t="shared" ref="F76" ca="1" si="7">U76</f>
        <v>0</v>
      </c>
      <c r="G76" s="841" t="s">
        <v>351</v>
      </c>
      <c r="H76" s="841" t="s">
        <v>3086</v>
      </c>
      <c r="I76" s="2183" t="s">
        <v>3716</v>
      </c>
      <c r="J76" s="2160" t="s">
        <v>2939</v>
      </c>
      <c r="K76" s="712" t="s">
        <v>238</v>
      </c>
      <c r="L76" s="833"/>
      <c r="N76" s="1710" t="s">
        <v>3044</v>
      </c>
      <c r="O76" s="1732"/>
      <c r="P76" s="1708"/>
      <c r="Q76" s="1495">
        <f ca="1">U71*Q75</f>
        <v>0</v>
      </c>
      <c r="R76" s="1495">
        <f ca="1">U71*R75</f>
        <v>79152.570000000007</v>
      </c>
      <c r="S76" s="1495">
        <f ca="1">U71*S75</f>
        <v>0</v>
      </c>
      <c r="T76" s="1495">
        <f ca="1">U71*T75</f>
        <v>0</v>
      </c>
      <c r="U76" s="1495">
        <f ca="1">U71*U75</f>
        <v>0</v>
      </c>
    </row>
    <row r="77" spans="1:21">
      <c r="K77" s="712" t="s">
        <v>238</v>
      </c>
      <c r="L77" s="833"/>
    </row>
    <row r="78" spans="1:21">
      <c r="K78" s="712" t="s">
        <v>238</v>
      </c>
      <c r="L78" s="833"/>
    </row>
    <row r="79" spans="1:21">
      <c r="K79" s="712" t="s">
        <v>238</v>
      </c>
      <c r="L79" s="833"/>
      <c r="M79" s="1775" t="s">
        <v>3087</v>
      </c>
    </row>
    <row r="80" spans="1:21">
      <c r="K80" s="712" t="s">
        <v>238</v>
      </c>
      <c r="L80" s="833"/>
    </row>
    <row r="81" spans="11:21" ht="16" thickBot="1">
      <c r="K81" s="712" t="s">
        <v>238</v>
      </c>
      <c r="L81" s="833"/>
    </row>
    <row r="82" spans="11:21" ht="32">
      <c r="K82" s="712" t="s">
        <v>238</v>
      </c>
      <c r="L82" s="833"/>
      <c r="N82" s="1766" t="s">
        <v>3054</v>
      </c>
      <c r="O82" s="1696"/>
      <c r="P82" s="1767"/>
      <c r="Q82" s="1220">
        <v>0</v>
      </c>
      <c r="R82" s="966"/>
      <c r="S82" s="1768"/>
      <c r="T82" s="966"/>
      <c r="U82" s="967"/>
    </row>
    <row r="83" spans="11:21" ht="32">
      <c r="K83" s="712" t="s">
        <v>238</v>
      </c>
      <c r="L83" s="833"/>
      <c r="N83" s="1769" t="s">
        <v>3055</v>
      </c>
      <c r="O83" s="1693"/>
      <c r="P83" s="958"/>
      <c r="Q83" s="1040">
        <v>2</v>
      </c>
      <c r="R83" s="960"/>
      <c r="S83" s="960"/>
      <c r="T83" s="960"/>
      <c r="U83" s="62"/>
    </row>
    <row r="84" spans="11:21" ht="32">
      <c r="K84" s="712" t="s">
        <v>238</v>
      </c>
      <c r="L84" s="833"/>
      <c r="N84" s="1769" t="s">
        <v>3056</v>
      </c>
      <c r="O84" s="1693"/>
      <c r="P84" s="958"/>
      <c r="Q84" s="1040">
        <v>20</v>
      </c>
      <c r="R84" s="960"/>
      <c r="S84" s="960"/>
      <c r="T84" s="960"/>
      <c r="U84" s="62"/>
    </row>
    <row r="85" spans="11:21" ht="32">
      <c r="K85" s="712" t="s">
        <v>238</v>
      </c>
      <c r="L85" s="833"/>
      <c r="N85" s="1769" t="s">
        <v>3057</v>
      </c>
      <c r="O85" s="1693"/>
      <c r="P85" s="958"/>
      <c r="Q85" s="1040">
        <v>2</v>
      </c>
      <c r="R85" s="960"/>
      <c r="S85" s="960"/>
      <c r="T85" s="960"/>
      <c r="U85" s="62"/>
    </row>
    <row r="86" spans="11:21" ht="32">
      <c r="K86" s="712" t="s">
        <v>238</v>
      </c>
      <c r="L86" s="833"/>
      <c r="N86" s="1769" t="s">
        <v>3052</v>
      </c>
      <c r="O86" s="1693"/>
      <c r="P86" s="1694">
        <v>0.2</v>
      </c>
      <c r="Q86" s="1028">
        <f>ROUND(Q84*P86,0)</f>
        <v>4</v>
      </c>
      <c r="R86" s="960"/>
      <c r="S86" s="960"/>
      <c r="T86" s="960"/>
      <c r="U86" s="62"/>
    </row>
    <row r="87" spans="11:21" ht="32">
      <c r="K87" s="712" t="s">
        <v>238</v>
      </c>
      <c r="L87" s="833"/>
      <c r="N87" s="1769" t="s">
        <v>3053</v>
      </c>
      <c r="O87" s="1693"/>
      <c r="P87" s="1694">
        <v>0.65</v>
      </c>
      <c r="Q87" s="1028">
        <f>ROUND(Q84*P87,0)</f>
        <v>13</v>
      </c>
      <c r="R87" s="960"/>
      <c r="S87" s="960"/>
      <c r="T87" s="960"/>
      <c r="U87" s="62"/>
    </row>
    <row r="88" spans="11:21">
      <c r="K88" s="712" t="s">
        <v>238</v>
      </c>
      <c r="L88" s="833"/>
      <c r="N88" s="1770" t="s">
        <v>3036</v>
      </c>
      <c r="O88" s="1019"/>
      <c r="P88" s="1695"/>
      <c r="Q88" s="1028">
        <f>Q85-1</f>
        <v>1</v>
      </c>
      <c r="R88" s="960"/>
      <c r="S88" s="960"/>
      <c r="T88" s="960"/>
      <c r="U88" s="62"/>
    </row>
    <row r="89" spans="11:21" ht="16" thickBot="1">
      <c r="K89" s="712" t="s">
        <v>238</v>
      </c>
      <c r="L89" s="833"/>
      <c r="N89" s="1049"/>
      <c r="O89" s="960"/>
      <c r="P89" s="960"/>
      <c r="Q89" s="960"/>
      <c r="R89" s="960"/>
      <c r="S89" s="960"/>
      <c r="T89" s="960"/>
      <c r="U89" s="62"/>
    </row>
    <row r="90" spans="11:21" ht="64">
      <c r="K90" s="712" t="s">
        <v>238</v>
      </c>
      <c r="L90" s="833"/>
      <c r="N90" s="1699" t="s">
        <v>3033</v>
      </c>
      <c r="O90" s="1700" t="s">
        <v>3034</v>
      </c>
      <c r="P90" s="1702" t="s">
        <v>3040</v>
      </c>
      <c r="Q90" s="1702" t="s">
        <v>3041</v>
      </c>
      <c r="R90" s="1702" t="s">
        <v>3042</v>
      </c>
      <c r="S90" s="1700" t="s">
        <v>3035</v>
      </c>
      <c r="T90" s="1702" t="s">
        <v>3039</v>
      </c>
      <c r="U90" s="1701" t="s">
        <v>2189</v>
      </c>
    </row>
    <row r="91" spans="11:21">
      <c r="K91" s="712" t="s">
        <v>238</v>
      </c>
      <c r="L91" s="833"/>
      <c r="N91" s="1539" t="s">
        <v>3051</v>
      </c>
      <c r="O91" s="958" t="str">
        <f>IFERROR(VLOOKUP(N91,Price_list!$B$1:$H$187,2,0),"")</f>
        <v>International Consultancy fee (3.1)</v>
      </c>
      <c r="P91" s="958" t="str">
        <f>IFERROR(VLOOKUP(N91,Price_list!$B$1:$H$187,3,0),"")</f>
        <v>cost/zi</v>
      </c>
      <c r="Q91" s="946">
        <f>IFERROR(VLOOKUP(N91,Price_list!$B$1:$H$187,4,0),"")</f>
        <v>350</v>
      </c>
      <c r="R91" s="946" t="str">
        <f>IFERROR(VLOOKUP(N91,Price_list!$B$1:$H$187,5,0),"")</f>
        <v>EUR</v>
      </c>
      <c r="S91" s="958">
        <f ca="1">ROUND(IFERROR(IF(R91="MDL",Q91,Q91*INDIRECT(R91)),0),2)</f>
        <v>6868.65</v>
      </c>
      <c r="T91" s="946">
        <f>Q85</f>
        <v>2</v>
      </c>
      <c r="U91" s="1889">
        <f ca="1">IFERROR(Q82*S91*T91,"")</f>
        <v>0</v>
      </c>
    </row>
    <row r="92" spans="11:21">
      <c r="K92" s="712" t="s">
        <v>238</v>
      </c>
      <c r="L92" s="833"/>
      <c r="N92" s="1539" t="s">
        <v>3029</v>
      </c>
      <c r="O92" s="958" t="str">
        <f>IFERROR(VLOOKUP(N92,Price_list!$B$1:$H$187,2,0),"")</f>
        <v xml:space="preserve">Travel costs </v>
      </c>
      <c r="P92" s="958" t="str">
        <f>IFERROR(VLOOKUP(N92,Price_list!$B$1:$H$187,3,0),"")</f>
        <v>cost tichet o directie</v>
      </c>
      <c r="Q92" s="946">
        <f>IFERROR(VLOOKUP(N92,Price_list!$B$1:$H$187,4,0),"")</f>
        <v>5000</v>
      </c>
      <c r="R92" s="946" t="str">
        <f>IFERROR(VLOOKUP(N92,Price_list!$B$1:$H$187,5,0),"")</f>
        <v>MDL</v>
      </c>
      <c r="S92" s="958">
        <f t="shared" ref="S92:S108" ca="1" si="8">ROUND(IFERROR(IF(R92="MDL",Q92,Q92*INDIRECT(R92)),0),2)</f>
        <v>5000</v>
      </c>
      <c r="T92" s="1040">
        <v>2</v>
      </c>
      <c r="U92" s="1889">
        <f ca="1">Q82*T92*S92</f>
        <v>0</v>
      </c>
    </row>
    <row r="93" spans="11:21">
      <c r="K93" s="712" t="s">
        <v>238</v>
      </c>
      <c r="L93" s="833"/>
      <c r="N93" s="1539" t="s">
        <v>3020</v>
      </c>
      <c r="O93" s="958" t="str">
        <f>IFERROR(VLOOKUP(N93,Price_list!$B$1:$H$187,2,0),"")</f>
        <v xml:space="preserve">Per diem, WHO DSA, average </v>
      </c>
      <c r="P93" s="958" t="str">
        <f>IFERROR(VLOOKUP(N93,Price_list!$B$1:$H$187,3,0),"")</f>
        <v>diurna</v>
      </c>
      <c r="Q93" s="946">
        <f>IFERROR(VLOOKUP(N93,Price_list!$B$1:$H$187,4,0),"")</f>
        <v>200</v>
      </c>
      <c r="R93" s="946" t="str">
        <f>IFERROR(VLOOKUP(N93,Price_list!$B$1:$H$187,5,0),"")</f>
        <v>EUR</v>
      </c>
      <c r="S93" s="958">
        <f t="shared" ca="1" si="8"/>
        <v>3924.94</v>
      </c>
      <c r="T93" s="946">
        <f>Q85+1</f>
        <v>3</v>
      </c>
      <c r="U93" s="1889">
        <f ca="1">Q82*S93*T93</f>
        <v>0</v>
      </c>
    </row>
    <row r="94" spans="11:21">
      <c r="K94" s="712" t="s">
        <v>238</v>
      </c>
      <c r="L94" s="833"/>
      <c r="N94" s="1539" t="s">
        <v>3050</v>
      </c>
      <c r="O94" s="958" t="str">
        <f>IFERROR(VLOOKUP(N94,Price_list!$B$1:$H$187,2,0),"")</f>
        <v>National Consultancy fee (3.1)</v>
      </c>
      <c r="P94" s="958" t="str">
        <f>IFERROR(VLOOKUP(N94,Price_list!$B$1:$H$187,3,0),"")</f>
        <v>cost/zi</v>
      </c>
      <c r="Q94" s="946">
        <f>IFERROR(VLOOKUP(N94,Price_list!$B$1:$H$187,4,0),"")</f>
        <v>2000</v>
      </c>
      <c r="R94" s="946" t="str">
        <f>IFERROR(VLOOKUP(N94,Price_list!$B$1:$H$187,5,0),"")</f>
        <v>MDL</v>
      </c>
      <c r="S94" s="958">
        <f t="shared" ca="1" si="8"/>
        <v>2000</v>
      </c>
      <c r="T94" s="946">
        <f>Q85</f>
        <v>2</v>
      </c>
      <c r="U94" s="1889">
        <f ca="1">Q83*S94*T94</f>
        <v>8000</v>
      </c>
    </row>
    <row r="95" spans="11:21">
      <c r="K95" s="712" t="s">
        <v>238</v>
      </c>
      <c r="L95" s="833"/>
      <c r="N95" s="1539"/>
      <c r="O95" s="958" t="str">
        <f>IFERROR(VLOOKUP(N95,Price_list!$B$1:$H$187,2,0),"")</f>
        <v/>
      </c>
      <c r="P95" s="958" t="str">
        <f>IFERROR(VLOOKUP(N95,Price_list!$B$1:$H$187,3,0),"")</f>
        <v/>
      </c>
      <c r="Q95" s="946" t="str">
        <f>IFERROR(VLOOKUP(N95,Price_list!$B$1:$H$187,4,0),"")</f>
        <v/>
      </c>
      <c r="R95" s="946" t="str">
        <f>IFERROR(VLOOKUP(N95,Price_list!$B$1:$H$187,5,0),"")</f>
        <v/>
      </c>
      <c r="S95" s="958">
        <f t="shared" ca="1" si="8"/>
        <v>0</v>
      </c>
      <c r="T95" s="946" t="str">
        <f>IFERROR(VLOOKUP(AE95,N86:P91,3,0),"")</f>
        <v/>
      </c>
      <c r="U95" s="1889" t="str">
        <f>IFERROR(#REF!*T95*Q95,"")</f>
        <v/>
      </c>
    </row>
    <row r="96" spans="11:21">
      <c r="K96" s="712" t="s">
        <v>238</v>
      </c>
      <c r="L96" s="833"/>
      <c r="N96" s="1539"/>
      <c r="O96" s="958" t="str">
        <f>IFERROR(VLOOKUP(N96,Price_list!$B$1:$H$187,2,0),"")</f>
        <v/>
      </c>
      <c r="P96" s="958" t="str">
        <f>IFERROR(VLOOKUP(N96,Price_list!$B$1:$H$187,3,0),"")</f>
        <v/>
      </c>
      <c r="Q96" s="946" t="str">
        <f>IFERROR(VLOOKUP(N96,Price_list!$B$1:$H$187,4,0),"")</f>
        <v/>
      </c>
      <c r="R96" s="946" t="str">
        <f>IFERROR(VLOOKUP(N96,Price_list!$B$1:$H$187,5,0),"")</f>
        <v/>
      </c>
      <c r="S96" s="958">
        <f t="shared" ca="1" si="8"/>
        <v>0</v>
      </c>
      <c r="T96" s="946" t="str">
        <f>IFERROR(VLOOKUP(AE96,N88:P92,3,0),"")</f>
        <v/>
      </c>
      <c r="U96" s="1889" t="str">
        <f>IFERROR(#REF!*T96*Q96,"")</f>
        <v/>
      </c>
    </row>
    <row r="97" spans="11:21">
      <c r="K97" s="712" t="s">
        <v>238</v>
      </c>
      <c r="L97" s="833"/>
      <c r="N97" s="1539" t="s">
        <v>3016</v>
      </c>
      <c r="O97" s="958" t="str">
        <f>IFERROR(VLOOKUP(N97,Price_list!$B$1:$H$187,2,0),"")</f>
        <v>Coffe break</v>
      </c>
      <c r="P97" s="958" t="str">
        <f>IFERROR(VLOOKUP(N97,Price_list!$B$1:$H$187,3,0),"")</f>
        <v>unitate</v>
      </c>
      <c r="Q97" s="946">
        <f>IFERROR(VLOOKUP(N97,Price_list!$B$1:$H$187,4,0),"")</f>
        <v>75</v>
      </c>
      <c r="R97" s="946" t="str">
        <f>IFERROR(VLOOKUP(N97,Price_list!$B$1:$H$187,5,0),"")</f>
        <v>MDL</v>
      </c>
      <c r="S97" s="958">
        <f t="shared" ca="1" si="8"/>
        <v>75</v>
      </c>
      <c r="T97" s="946">
        <v>2</v>
      </c>
      <c r="U97" s="1889">
        <f ca="1">T97*S97*Q84*Q85</f>
        <v>6000</v>
      </c>
    </row>
    <row r="98" spans="11:21">
      <c r="K98" s="712" t="s">
        <v>238</v>
      </c>
      <c r="L98" s="833"/>
      <c r="N98" s="1539" t="s">
        <v>3021</v>
      </c>
      <c r="O98" s="958" t="str">
        <f>IFERROR(VLOOKUP(N98,Price_list!$B$1:$H$187,2,0),"")</f>
        <v xml:space="preserve">Meal ( lunch) </v>
      </c>
      <c r="P98" s="958" t="str">
        <f>IFERROR(VLOOKUP(N98,Price_list!$B$1:$H$187,3,0),"")</f>
        <v>unitate</v>
      </c>
      <c r="Q98" s="946">
        <f>IFERROR(VLOOKUP(N98,Price_list!$B$1:$H$187,4,0),"")</f>
        <v>220</v>
      </c>
      <c r="R98" s="946" t="str">
        <f>IFERROR(VLOOKUP(N98,Price_list!$B$1:$H$187,5,0),"")</f>
        <v>MDL</v>
      </c>
      <c r="S98" s="958">
        <f t="shared" ca="1" si="8"/>
        <v>220</v>
      </c>
      <c r="T98" s="946">
        <f>Q85</f>
        <v>2</v>
      </c>
      <c r="U98" s="1889">
        <f ca="1">Q84*T98*S98</f>
        <v>8800</v>
      </c>
    </row>
    <row r="99" spans="11:21">
      <c r="K99" s="712" t="s">
        <v>238</v>
      </c>
      <c r="L99" s="833"/>
      <c r="N99" s="1539" t="s">
        <v>3023</v>
      </c>
      <c r="O99" s="958" t="str">
        <f>IFERROR(VLOOKUP(N99,Price_list!$B$1:$H$187,2,0),"")</f>
        <v>Meal(dinner)</v>
      </c>
      <c r="P99" s="958" t="str">
        <f>IFERROR(VLOOKUP(N99,Price_list!$B$1:$H$187,3,0),"")</f>
        <v>unitate</v>
      </c>
      <c r="Q99" s="946">
        <f>IFERROR(VLOOKUP(N99,Price_list!$B$1:$H$187,4,0),"")</f>
        <v>220</v>
      </c>
      <c r="R99" s="946" t="str">
        <f>IFERROR(VLOOKUP(N99,Price_list!$B$1:$H$187,5,0),"")</f>
        <v>MDL</v>
      </c>
      <c r="S99" s="958">
        <f t="shared" ca="1" si="8"/>
        <v>220</v>
      </c>
      <c r="T99" s="946">
        <f>Q88</f>
        <v>1</v>
      </c>
      <c r="U99" s="1889">
        <f ca="1">T99*S99*Q86</f>
        <v>880</v>
      </c>
    </row>
    <row r="100" spans="11:21">
      <c r="K100" s="712" t="s">
        <v>238</v>
      </c>
      <c r="L100" s="833"/>
      <c r="N100" s="1539" t="s">
        <v>3024</v>
      </c>
      <c r="O100" s="958" t="str">
        <f>IFERROR(VLOOKUP(N100,Price_list!$B$1:$H$187,2,0),"")</f>
        <v xml:space="preserve">Accomodation </v>
      </c>
      <c r="P100" s="958" t="str">
        <f>IFERROR(VLOOKUP(N100,Price_list!$B$1:$H$187,3,0),"")</f>
        <v>cost/noapte</v>
      </c>
      <c r="Q100" s="946">
        <f>IFERROR(VLOOKUP(N100,Price_list!$B$1:$H$187,4,0),"")</f>
        <v>750</v>
      </c>
      <c r="R100" s="946" t="str">
        <f>IFERROR(VLOOKUP(N100,Price_list!$B$1:$H$187,5,0),"")</f>
        <v>MDL</v>
      </c>
      <c r="S100" s="958">
        <f t="shared" ca="1" si="8"/>
        <v>750</v>
      </c>
      <c r="T100" s="946">
        <f>Q88</f>
        <v>1</v>
      </c>
      <c r="U100" s="1889">
        <f ca="1">T100*S100*Q86</f>
        <v>3000</v>
      </c>
    </row>
    <row r="101" spans="11:21">
      <c r="K101" s="712" t="s">
        <v>238</v>
      </c>
      <c r="L101" s="833"/>
      <c r="N101" s="1539" t="s">
        <v>3030</v>
      </c>
      <c r="O101" s="958" t="str">
        <f>IFERROR(VLOOKUP(N101,Price_list!$B$1:$H$187,2,0),"")</f>
        <v>Travel participants</v>
      </c>
      <c r="P101" s="958" t="str">
        <f>IFERROR(VLOOKUP(N101,Price_list!$B$1:$H$187,3,0),"")</f>
        <v>cost tichet o directie</v>
      </c>
      <c r="Q101" s="946">
        <f>IFERROR(VLOOKUP(N101,Price_list!$B$1:$H$187,4,0),"")</f>
        <v>80</v>
      </c>
      <c r="R101" s="946" t="str">
        <f>IFERROR(VLOOKUP(N101,Price_list!$B$1:$H$187,5,0),"")</f>
        <v>MDL</v>
      </c>
      <c r="S101" s="958">
        <f t="shared" ca="1" si="8"/>
        <v>80</v>
      </c>
      <c r="T101" s="1040">
        <v>2</v>
      </c>
      <c r="U101" s="1889">
        <f ca="1">T101*Q87*S101</f>
        <v>2080</v>
      </c>
    </row>
    <row r="102" spans="11:21">
      <c r="K102" s="712" t="s">
        <v>238</v>
      </c>
      <c r="L102" s="833"/>
      <c r="N102" s="1539"/>
      <c r="O102" s="958" t="str">
        <f>IFERROR(VLOOKUP(N102,Price_list!$B$1:$H$187,2,0),"")</f>
        <v/>
      </c>
      <c r="P102" s="958" t="str">
        <f>IFERROR(VLOOKUP(N102,Price_list!$B$1:$H$187,3,0),"")</f>
        <v/>
      </c>
      <c r="Q102" s="946" t="str">
        <f>IFERROR(VLOOKUP(N102,Price_list!$B$1:$H$187,4,0),"")</f>
        <v/>
      </c>
      <c r="R102" s="946" t="str">
        <f>IFERROR(VLOOKUP(N102,Price_list!$B$1:$H$187,5,0),"")</f>
        <v/>
      </c>
      <c r="S102" s="958">
        <f t="shared" ca="1" si="8"/>
        <v>0</v>
      </c>
      <c r="T102" s="946" t="str">
        <f>IFERROR(VLOOKUP(AE102,N92:P98,3,0),"")</f>
        <v/>
      </c>
      <c r="U102" s="1889" t="str">
        <f>IFERROR(#REF!*T102*Q102,"")</f>
        <v/>
      </c>
    </row>
    <row r="103" spans="11:21">
      <c r="K103" s="712" t="s">
        <v>238</v>
      </c>
      <c r="L103" s="833"/>
      <c r="N103" s="1539" t="s">
        <v>3025</v>
      </c>
      <c r="O103" s="958" t="str">
        <f>IFERROR(VLOOKUP(N103,Price_list!$B$1:$H$187,2,0),"")</f>
        <v>Supplies</v>
      </c>
      <c r="P103" s="958" t="str">
        <f>IFERROR(VLOOKUP(N103,Price_list!$B$1:$H$187,3,0),"")</f>
        <v>set/participant</v>
      </c>
      <c r="Q103" s="946">
        <f>IFERROR(VLOOKUP(N103,Price_list!$B$1:$H$187,4,0),"")</f>
        <v>140</v>
      </c>
      <c r="R103" s="946" t="str">
        <f>IFERROR(VLOOKUP(N103,Price_list!$B$1:$H$187,5,0),"")</f>
        <v>MDL</v>
      </c>
      <c r="S103" s="958">
        <f t="shared" ca="1" si="8"/>
        <v>140</v>
      </c>
      <c r="T103" s="946">
        <v>1</v>
      </c>
      <c r="U103" s="1889">
        <f ca="1">T103*S103*Q84</f>
        <v>2800</v>
      </c>
    </row>
    <row r="104" spans="11:21">
      <c r="K104" s="712" t="s">
        <v>238</v>
      </c>
      <c r="L104" s="833"/>
      <c r="N104" s="1539" t="s">
        <v>3022</v>
      </c>
      <c r="O104" s="958" t="str">
        <f>IFERROR(VLOOKUP(N104,Price_list!$B$1:$H$187,2,0),"")</f>
        <v>Rent of premises</v>
      </c>
      <c r="P104" s="958" t="str">
        <f>IFERROR(VLOOKUP(N104,Price_list!$B$1:$H$187,3,0),"")</f>
        <v>cost/zi</v>
      </c>
      <c r="Q104" s="946">
        <f>IFERROR(VLOOKUP(N104,Price_list!$B$1:$H$187,4,0),"")</f>
        <v>1800</v>
      </c>
      <c r="R104" s="946" t="str">
        <f>IFERROR(VLOOKUP(N104,Price_list!$B$1:$H$187,5,0),"")</f>
        <v>MDL</v>
      </c>
      <c r="S104" s="958">
        <f t="shared" ca="1" si="8"/>
        <v>1800</v>
      </c>
      <c r="T104" s="946">
        <f>Q85</f>
        <v>2</v>
      </c>
      <c r="U104" s="1889">
        <f ca="1">T104*S104</f>
        <v>3600</v>
      </c>
    </row>
    <row r="105" spans="11:21">
      <c r="K105" s="712" t="s">
        <v>238</v>
      </c>
      <c r="L105" s="833"/>
      <c r="N105" s="1539" t="s">
        <v>3031</v>
      </c>
      <c r="O105" s="958" t="str">
        <f>IFERROR(VLOOKUP(N105,Price_list!$B$1:$H$187,2,0),"")</f>
        <v>Interpreter's fee, per day</v>
      </c>
      <c r="P105" s="958" t="str">
        <f>IFERROR(VLOOKUP(N105,Price_list!$B$1:$H$187,3,0),"")</f>
        <v>cost/zi</v>
      </c>
      <c r="Q105" s="946">
        <f>IFERROR(VLOOKUP(N105,Price_list!$B$1:$H$187,4,0),"")</f>
        <v>2000</v>
      </c>
      <c r="R105" s="946" t="str">
        <f>IFERROR(VLOOKUP(N105,Price_list!$B$1:$H$187,5,0),"")</f>
        <v>MDL</v>
      </c>
      <c r="S105" s="958">
        <f t="shared" ca="1" si="8"/>
        <v>2000</v>
      </c>
      <c r="T105" s="946">
        <f>IF(Q82&gt;0,Q85,0)</f>
        <v>0</v>
      </c>
      <c r="U105" s="1889">
        <f ca="1">T105*S105</f>
        <v>0</v>
      </c>
    </row>
    <row r="106" spans="11:21">
      <c r="K106" s="712" t="s">
        <v>238</v>
      </c>
      <c r="L106" s="833"/>
      <c r="N106" s="1539"/>
      <c r="O106" s="958" t="str">
        <f>IFERROR(VLOOKUP(N106,Price_list!$B$1:$H$187,2,0),"")</f>
        <v/>
      </c>
      <c r="P106" s="958" t="str">
        <f>IFERROR(VLOOKUP(N106,Price_list!$B$1:$H$187,3,0),"")</f>
        <v/>
      </c>
      <c r="Q106" s="946" t="str">
        <f>IFERROR(VLOOKUP(N106,Price_list!$B$1:$H$187,4,0),"")</f>
        <v/>
      </c>
      <c r="R106" s="946" t="str">
        <f>IFERROR(VLOOKUP(N106,Price_list!$B$1:$H$187,5,0),"")</f>
        <v/>
      </c>
      <c r="S106" s="958">
        <f t="shared" ca="1" si="8"/>
        <v>0</v>
      </c>
      <c r="T106" s="946" t="str">
        <f>IFERROR(VLOOKUP(AE106,N97:P101,3,0),"")</f>
        <v/>
      </c>
      <c r="U106" s="1889" t="str">
        <f>IFERROR(#REF!*T106*Q106,"")</f>
        <v/>
      </c>
    </row>
    <row r="107" spans="11:21">
      <c r="K107" s="712" t="s">
        <v>238</v>
      </c>
      <c r="L107" s="833"/>
      <c r="N107" s="1539"/>
      <c r="O107" s="958" t="str">
        <f>IFERROR(VLOOKUP(N107,Price_list!$B$1:$H$187,2,0),"")</f>
        <v/>
      </c>
      <c r="P107" s="958" t="str">
        <f>IFERROR(VLOOKUP(N107,Price_list!$B$1:$H$187,3,0),"")</f>
        <v/>
      </c>
      <c r="Q107" s="946" t="str">
        <f>IFERROR(VLOOKUP(N107,Price_list!$B$1:$H$187,4,0),"")</f>
        <v/>
      </c>
      <c r="R107" s="946" t="str">
        <f>IFERROR(VLOOKUP(N107,Price_list!$B$1:$H$187,5,0),"")</f>
        <v/>
      </c>
      <c r="S107" s="958">
        <f t="shared" ca="1" si="8"/>
        <v>0</v>
      </c>
      <c r="T107" s="946" t="str">
        <f>IFERROR(VLOOKUP(AE107,N98:P103,3,0),"")</f>
        <v/>
      </c>
      <c r="U107" s="1889" t="str">
        <f>IFERROR(#REF!*T107*Q107,"")</f>
        <v/>
      </c>
    </row>
    <row r="108" spans="11:21">
      <c r="K108" s="712" t="s">
        <v>238</v>
      </c>
      <c r="L108" s="833"/>
      <c r="N108" s="1539"/>
      <c r="O108" s="958" t="str">
        <f>IFERROR(VLOOKUP(N108,Price_list!$B$1:$H$187,2,0),"")</f>
        <v/>
      </c>
      <c r="P108" s="958" t="str">
        <f>IFERROR(VLOOKUP(N108,Price_list!$B$1:$H$187,3,0),"")</f>
        <v/>
      </c>
      <c r="Q108" s="946" t="str">
        <f>IFERROR(VLOOKUP(N108,Price_list!$B$1:$H$187,4,0),"")</f>
        <v/>
      </c>
      <c r="R108" s="946" t="str">
        <f>IFERROR(VLOOKUP(N108,Price_list!$B$1:$H$187,5,0),"")</f>
        <v/>
      </c>
      <c r="S108" s="958">
        <f t="shared" ca="1" si="8"/>
        <v>0</v>
      </c>
      <c r="T108" s="946" t="str">
        <f>IFERROR(VLOOKUP(AE108,N99:P104,3,0),"")</f>
        <v/>
      </c>
      <c r="U108" s="1889" t="str">
        <f>IFERROR(#REF!*T108*Q108,"")</f>
        <v/>
      </c>
    </row>
    <row r="109" spans="11:21" ht="16" thickBot="1">
      <c r="K109" s="712" t="s">
        <v>238</v>
      </c>
      <c r="L109" s="833"/>
      <c r="N109" s="1697"/>
      <c r="O109" s="1698" t="str">
        <f>IFERROR(VLOOKUP(N109,Price_list!$B$1:$H$187,2,0),"")</f>
        <v/>
      </c>
      <c r="P109" s="1698" t="str">
        <f>IFERROR(VLOOKUP(N109,Price_list!$B$1:$H$187,3,0),"")</f>
        <v/>
      </c>
      <c r="Q109" s="1034" t="str">
        <f>IFERROR(VLOOKUP(N109,Price_list!$B$1:$H$187,4,0),"")</f>
        <v/>
      </c>
      <c r="R109" s="1034" t="str">
        <f>IFERROR(VLOOKUP(N109,Price_list!$B$1:$H$187,5,0),"")</f>
        <v/>
      </c>
      <c r="S109" s="1698"/>
      <c r="T109" s="1034" t="str">
        <f>IFERROR(VLOOKUP(AE109,N100:P105,3,0),"")</f>
        <v/>
      </c>
      <c r="U109" s="1703">
        <f ca="1">SUM(U91:U108)</f>
        <v>35160</v>
      </c>
    </row>
    <row r="110" spans="11:21">
      <c r="K110" s="712" t="s">
        <v>238</v>
      </c>
      <c r="L110" s="833"/>
      <c r="N110" s="1771" t="s">
        <v>3037</v>
      </c>
      <c r="O110" s="1742" t="s">
        <v>3006</v>
      </c>
      <c r="P110" s="1743"/>
      <c r="Q110" s="1772">
        <v>7.0000000000000007E-2</v>
      </c>
      <c r="R110" s="1773"/>
      <c r="S110" s="1773"/>
      <c r="T110" s="1773"/>
      <c r="U110" s="1774">
        <f ca="1">ROUND(U109*Q110,2)</f>
        <v>2461.1999999999998</v>
      </c>
    </row>
    <row r="111" spans="11:21" ht="16" thickBot="1">
      <c r="K111" s="712" t="s">
        <v>238</v>
      </c>
      <c r="L111" s="833"/>
      <c r="N111" s="1049"/>
      <c r="O111" s="960"/>
      <c r="P111" s="960"/>
      <c r="Q111" s="960"/>
      <c r="R111" s="960"/>
      <c r="S111" s="960"/>
      <c r="T111" s="960"/>
      <c r="U111" s="62"/>
    </row>
    <row r="112" spans="11:21" ht="16" thickBot="1">
      <c r="K112" s="712" t="s">
        <v>238</v>
      </c>
      <c r="L112" s="833"/>
      <c r="N112" s="1704" t="s">
        <v>3038</v>
      </c>
      <c r="O112" s="1761"/>
      <c r="P112" s="1761"/>
      <c r="Q112" s="1761"/>
      <c r="R112" s="1761"/>
      <c r="S112" s="1761"/>
      <c r="T112" s="1761"/>
      <c r="U112" s="1706">
        <f ca="1">U110+U109</f>
        <v>37621.199999999997</v>
      </c>
    </row>
    <row r="113" spans="1:21">
      <c r="K113" s="712" t="s">
        <v>238</v>
      </c>
      <c r="L113" s="833"/>
      <c r="N113" s="1049"/>
      <c r="O113" s="960"/>
      <c r="P113" s="960"/>
      <c r="Q113" s="960"/>
      <c r="R113" s="960"/>
      <c r="S113" s="960"/>
      <c r="T113" s="960"/>
      <c r="U113" s="62"/>
    </row>
    <row r="114" spans="1:21" ht="16" thickBot="1">
      <c r="K114" s="712" t="s">
        <v>238</v>
      </c>
      <c r="L114" s="833"/>
      <c r="N114" s="1049"/>
      <c r="O114" s="960"/>
      <c r="P114" s="960"/>
      <c r="Q114" s="960"/>
      <c r="R114" s="960"/>
      <c r="S114" s="960"/>
      <c r="T114" s="960"/>
      <c r="U114" s="62"/>
    </row>
    <row r="115" spans="1:21" ht="16" thickBot="1">
      <c r="K115" s="712" t="s">
        <v>238</v>
      </c>
      <c r="L115" s="833"/>
      <c r="N115" s="1049" t="s">
        <v>2171</v>
      </c>
      <c r="O115" s="960"/>
      <c r="P115" s="960"/>
      <c r="Q115" s="1500">
        <v>2021</v>
      </c>
      <c r="R115" s="1762">
        <v>2022</v>
      </c>
      <c r="S115" s="1762">
        <v>2023</v>
      </c>
      <c r="T115" s="1762">
        <v>2024</v>
      </c>
      <c r="U115" s="1763">
        <v>2025</v>
      </c>
    </row>
    <row r="116" spans="1:21" ht="16" thickBot="1">
      <c r="K116" s="712" t="s">
        <v>238</v>
      </c>
      <c r="L116" s="833"/>
      <c r="N116" s="1764" t="s">
        <v>3043</v>
      </c>
      <c r="O116" s="1504"/>
      <c r="P116" s="1504"/>
      <c r="Q116" s="1713">
        <v>0</v>
      </c>
      <c r="R116" s="1713"/>
      <c r="S116" s="1713">
        <v>10</v>
      </c>
      <c r="T116" s="1713">
        <v>0</v>
      </c>
      <c r="U116" s="1765">
        <v>11</v>
      </c>
    </row>
    <row r="117" spans="1:21" ht="33" thickBot="1">
      <c r="A117" s="2157">
        <v>50</v>
      </c>
      <c r="B117" s="841">
        <f ca="1">Q117</f>
        <v>0</v>
      </c>
      <c r="C117" s="841">
        <f t="shared" ref="C117:D117" ca="1" si="9">R117</f>
        <v>0</v>
      </c>
      <c r="D117" s="841">
        <f t="shared" ca="1" si="9"/>
        <v>376212</v>
      </c>
      <c r="E117" s="841"/>
      <c r="F117" s="841"/>
      <c r="G117" s="2193" t="s">
        <v>351</v>
      </c>
      <c r="H117" s="841" t="s">
        <v>3087</v>
      </c>
      <c r="I117" s="2183" t="s">
        <v>3716</v>
      </c>
      <c r="J117" s="2160" t="s">
        <v>2939</v>
      </c>
      <c r="K117" s="712" t="s">
        <v>238</v>
      </c>
      <c r="L117" s="833"/>
      <c r="N117" s="1710" t="s">
        <v>3044</v>
      </c>
      <c r="O117" s="1732"/>
      <c r="P117" s="1708"/>
      <c r="Q117" s="1495">
        <f ca="1">U112*Q116</f>
        <v>0</v>
      </c>
      <c r="R117" s="1495">
        <f ca="1">U112*R116</f>
        <v>0</v>
      </c>
      <c r="S117" s="1495">
        <f ca="1">U112*S116</f>
        <v>376212</v>
      </c>
      <c r="T117" s="1495">
        <f ca="1">U112*T116</f>
        <v>0</v>
      </c>
      <c r="U117" s="1495">
        <f ca="1">U112*U116</f>
        <v>413833.19999999995</v>
      </c>
    </row>
    <row r="118" spans="1:21" ht="32">
      <c r="A118" s="2157">
        <v>225</v>
      </c>
      <c r="B118" s="841"/>
      <c r="C118" s="841"/>
      <c r="D118" s="841"/>
      <c r="E118" s="841">
        <f ca="1">T117</f>
        <v>0</v>
      </c>
      <c r="F118" s="841">
        <f ca="1">U117</f>
        <v>413833.19999999995</v>
      </c>
      <c r="G118" s="2193" t="s">
        <v>338</v>
      </c>
      <c r="H118" s="841" t="s">
        <v>3087</v>
      </c>
      <c r="I118" s="2183"/>
      <c r="J118" s="2160" t="s">
        <v>2939</v>
      </c>
      <c r="K118" s="712" t="s">
        <v>238</v>
      </c>
      <c r="L118" s="833"/>
    </row>
    <row r="119" spans="1:21">
      <c r="K119" s="712" t="s">
        <v>238</v>
      </c>
      <c r="L119" s="833"/>
    </row>
    <row r="120" spans="1:21">
      <c r="K120" s="712" t="s">
        <v>238</v>
      </c>
      <c r="L120" s="833"/>
      <c r="M120" s="1775" t="s">
        <v>2940</v>
      </c>
    </row>
    <row r="121" spans="1:21">
      <c r="K121" s="712" t="s">
        <v>238</v>
      </c>
      <c r="L121" s="833"/>
    </row>
    <row r="122" spans="1:21" s="1808" customFormat="1" ht="16" thickBot="1">
      <c r="A122" s="960"/>
      <c r="B122" s="960"/>
      <c r="C122" s="960"/>
      <c r="D122" s="960"/>
      <c r="E122" s="960"/>
      <c r="F122" s="960"/>
      <c r="G122" s="960"/>
      <c r="H122" s="960"/>
      <c r="I122" s="2195"/>
      <c r="J122" s="2190"/>
      <c r="K122" s="712"/>
      <c r="L122" s="833"/>
      <c r="M122" s="1775" t="s">
        <v>3581</v>
      </c>
    </row>
    <row r="123" spans="1:21" ht="32">
      <c r="K123" s="712" t="s">
        <v>238</v>
      </c>
      <c r="L123" s="833"/>
      <c r="N123" s="1758" t="s">
        <v>2155</v>
      </c>
      <c r="O123" s="966"/>
      <c r="P123" s="966"/>
      <c r="Q123" s="966"/>
      <c r="R123" s="1759" t="s">
        <v>3060</v>
      </c>
      <c r="S123" s="966"/>
      <c r="T123" s="966"/>
      <c r="U123" s="967"/>
    </row>
    <row r="124" spans="1:21" ht="32">
      <c r="K124" s="712" t="s">
        <v>238</v>
      </c>
      <c r="L124" s="833"/>
      <c r="N124" s="1760" t="s">
        <v>3054</v>
      </c>
      <c r="O124" s="1749"/>
      <c r="P124" s="1565"/>
      <c r="Q124" s="1750">
        <v>0</v>
      </c>
      <c r="R124" s="1383">
        <v>0</v>
      </c>
      <c r="S124" s="960"/>
      <c r="T124" s="960"/>
      <c r="U124" s="62"/>
    </row>
    <row r="125" spans="1:21" ht="32">
      <c r="K125" s="712" t="s">
        <v>238</v>
      </c>
      <c r="L125" s="833"/>
      <c r="N125" s="1760" t="s">
        <v>3055</v>
      </c>
      <c r="O125" s="1749"/>
      <c r="P125" s="1565"/>
      <c r="Q125" s="1750">
        <v>2</v>
      </c>
      <c r="R125" s="1383">
        <v>10</v>
      </c>
      <c r="S125" s="960"/>
      <c r="T125" s="960"/>
      <c r="U125" s="62"/>
    </row>
    <row r="126" spans="1:21">
      <c r="K126" s="712" t="s">
        <v>238</v>
      </c>
      <c r="L126" s="833"/>
      <c r="N126" s="1049"/>
      <c r="O126" s="960"/>
      <c r="P126" s="960"/>
      <c r="Q126" s="960"/>
      <c r="R126" s="960"/>
      <c r="S126" s="960"/>
      <c r="T126" s="960"/>
      <c r="U126" s="62"/>
    </row>
    <row r="127" spans="1:21">
      <c r="K127" s="712" t="s">
        <v>238</v>
      </c>
      <c r="L127" s="833"/>
      <c r="N127" s="1049" t="s">
        <v>3059</v>
      </c>
      <c r="O127" s="960"/>
      <c r="P127" s="960"/>
      <c r="Q127" s="960"/>
      <c r="R127" s="960"/>
      <c r="S127" s="960"/>
      <c r="T127" s="960"/>
      <c r="U127" s="62"/>
    </row>
    <row r="128" spans="1:21" ht="32">
      <c r="K128" s="712" t="s">
        <v>238</v>
      </c>
      <c r="L128" s="833"/>
      <c r="N128" s="1760" t="s">
        <v>3061</v>
      </c>
      <c r="O128" s="1749"/>
      <c r="P128" s="1565"/>
      <c r="Q128" s="1750"/>
      <c r="R128" s="1383"/>
      <c r="S128" s="960"/>
      <c r="T128" s="960"/>
      <c r="U128" s="62"/>
    </row>
    <row r="129" spans="11:21" ht="32">
      <c r="K129" s="712" t="s">
        <v>238</v>
      </c>
      <c r="L129" s="833"/>
      <c r="N129" s="1760" t="s">
        <v>3062</v>
      </c>
      <c r="O129" s="1749"/>
      <c r="P129" s="1565"/>
      <c r="Q129" s="1750"/>
      <c r="R129" s="1383"/>
      <c r="S129" s="960"/>
      <c r="T129" s="960"/>
      <c r="U129" s="62"/>
    </row>
    <row r="130" spans="11:21">
      <c r="K130" s="712" t="s">
        <v>238</v>
      </c>
      <c r="L130" s="833"/>
      <c r="N130" s="1049"/>
      <c r="O130" s="960"/>
      <c r="P130" s="960"/>
      <c r="Q130" s="960"/>
      <c r="R130" s="960"/>
      <c r="S130" s="960"/>
      <c r="T130" s="960"/>
      <c r="U130" s="62"/>
    </row>
    <row r="131" spans="11:21">
      <c r="K131" s="712" t="s">
        <v>238</v>
      </c>
      <c r="L131" s="833"/>
      <c r="N131" s="1049"/>
      <c r="O131" s="960"/>
      <c r="P131" s="960"/>
      <c r="Q131" s="960"/>
      <c r="R131" s="960"/>
      <c r="S131" s="960"/>
      <c r="T131" s="960"/>
      <c r="U131" s="62"/>
    </row>
    <row r="132" spans="11:21" ht="16" thickBot="1">
      <c r="K132" s="712" t="s">
        <v>238</v>
      </c>
      <c r="L132" s="833"/>
      <c r="N132" s="1049" t="s">
        <v>3058</v>
      </c>
      <c r="O132" s="960"/>
      <c r="P132" s="960"/>
      <c r="Q132" s="960"/>
      <c r="R132" s="960"/>
      <c r="S132" s="960"/>
      <c r="T132" s="960"/>
      <c r="U132" s="62"/>
    </row>
    <row r="133" spans="11:21" ht="48">
      <c r="K133" s="712" t="s">
        <v>238</v>
      </c>
      <c r="L133" s="833"/>
      <c r="N133" s="1699" t="s">
        <v>3033</v>
      </c>
      <c r="O133" s="1700" t="s">
        <v>3034</v>
      </c>
      <c r="P133" s="1702" t="s">
        <v>3040</v>
      </c>
      <c r="Q133" s="1702" t="s">
        <v>3041</v>
      </c>
      <c r="R133" s="1702" t="s">
        <v>3042</v>
      </c>
      <c r="S133" s="1700" t="s">
        <v>3035</v>
      </c>
      <c r="T133" s="1702" t="s">
        <v>3067</v>
      </c>
      <c r="U133" s="1701" t="s">
        <v>2189</v>
      </c>
    </row>
    <row r="134" spans="11:21">
      <c r="K134" s="712" t="s">
        <v>238</v>
      </c>
      <c r="L134" s="833"/>
      <c r="N134" s="1539" t="s">
        <v>3051</v>
      </c>
      <c r="O134" s="958" t="str">
        <f>IFERROR(VLOOKUP(N134,Price_list!$B$1:$H$187,2,0),"")</f>
        <v>International Consultancy fee (3.1)</v>
      </c>
      <c r="P134" s="958" t="str">
        <f>IFERROR(VLOOKUP(N134,Price_list!$B$1:$H$187,3,0),"")</f>
        <v>cost/zi</v>
      </c>
      <c r="Q134" s="946">
        <f>IFERROR(VLOOKUP(N134,Price_list!$B$1:$H$187,4,0),"")</f>
        <v>350</v>
      </c>
      <c r="R134" s="946" t="str">
        <f>IFERROR(VLOOKUP(N134,Price_list!$B$1:$H$187,5,0),"")</f>
        <v>EUR</v>
      </c>
      <c r="S134" s="958">
        <f t="shared" ref="S134:S140" ca="1" si="10">ROUND(IFERROR(IF(R134="MDL",Q134,Q134*INDIRECT(R134)),0),2)</f>
        <v>6868.65</v>
      </c>
      <c r="T134" s="946">
        <f>Q124*R124</f>
        <v>0</v>
      </c>
      <c r="U134" s="1390">
        <f ca="1">T134*S134</f>
        <v>0</v>
      </c>
    </row>
    <row r="135" spans="11:21">
      <c r="K135" s="712" t="s">
        <v>238</v>
      </c>
      <c r="L135" s="833"/>
      <c r="N135" s="1539" t="s">
        <v>3050</v>
      </c>
      <c r="O135" s="958" t="str">
        <f>IFERROR(VLOOKUP(N135,Price_list!$B$1:$H$187,2,0),"")</f>
        <v>National Consultancy fee (3.1)</v>
      </c>
      <c r="P135" s="958" t="str">
        <f>IFERROR(VLOOKUP(N135,Price_list!$B$1:$H$187,3,0),"")</f>
        <v>cost/zi</v>
      </c>
      <c r="Q135" s="946">
        <f>IFERROR(VLOOKUP(N135,Price_list!$B$1:$H$187,4,0),"")</f>
        <v>2000</v>
      </c>
      <c r="R135" s="946" t="str">
        <f>IFERROR(VLOOKUP(N135,Price_list!$B$1:$H$187,5,0),"")</f>
        <v>MDL</v>
      </c>
      <c r="S135" s="958">
        <f t="shared" ca="1" si="10"/>
        <v>2000</v>
      </c>
      <c r="T135" s="946">
        <f>Q125*R125</f>
        <v>20</v>
      </c>
      <c r="U135" s="1390">
        <f ca="1">T135*S135</f>
        <v>40000</v>
      </c>
    </row>
    <row r="136" spans="11:21">
      <c r="K136" s="712" t="s">
        <v>238</v>
      </c>
      <c r="L136" s="833"/>
      <c r="N136" s="1539" t="s">
        <v>3063</v>
      </c>
      <c r="O136" s="958" t="str">
        <f>IFERROR(VLOOKUP(N136,Price_list!$B$1:$H$187,2,0),"")</f>
        <v>Translation per page</v>
      </c>
      <c r="P136" s="958" t="str">
        <f>IFERROR(VLOOKUP(N136,Price_list!$B$1:$H$187,3,0),"")</f>
        <v>pagina</v>
      </c>
      <c r="Q136" s="946">
        <f>IFERROR(VLOOKUP(N136,Price_list!$B$1:$H$187,4,0),"")</f>
        <v>150</v>
      </c>
      <c r="R136" s="946" t="str">
        <f>IFERROR(VLOOKUP(N136,Price_list!$B$1:$H$187,5,0),"")</f>
        <v>MDL</v>
      </c>
      <c r="S136" s="958">
        <f t="shared" ca="1" si="10"/>
        <v>150</v>
      </c>
      <c r="T136" s="946">
        <f>Q128</f>
        <v>0</v>
      </c>
      <c r="U136" s="1390">
        <f t="shared" ref="U136:U139" ca="1" si="11">T136*S136</f>
        <v>0</v>
      </c>
    </row>
    <row r="137" spans="11:21">
      <c r="K137" s="712" t="s">
        <v>238</v>
      </c>
      <c r="L137" s="833"/>
      <c r="N137" s="1539" t="s">
        <v>3068</v>
      </c>
      <c r="O137" s="958" t="str">
        <f>IFERROR(VLOOKUP(N137,Price_list!$B$1:$H$187,2,0),"")</f>
        <v xml:space="preserve">Formatting, design, printing </v>
      </c>
      <c r="P137" s="958" t="str">
        <f>IFERROR(VLOOKUP(N137,Price_list!$B$1:$H$187,3,0),"")</f>
        <v>pagina</v>
      </c>
      <c r="Q137" s="946">
        <f>IFERROR(VLOOKUP(N137,Price_list!$B$1:$H$187,4,0),"")</f>
        <v>2</v>
      </c>
      <c r="R137" s="946" t="str">
        <f>IFERROR(VLOOKUP(N137,Price_list!$B$1:$H$187,5,0),"")</f>
        <v>MDL</v>
      </c>
      <c r="S137" s="958">
        <f t="shared" ca="1" si="10"/>
        <v>2</v>
      </c>
      <c r="T137" s="946">
        <f>Q128*Q129</f>
        <v>0</v>
      </c>
      <c r="U137" s="1390">
        <f t="shared" ca="1" si="11"/>
        <v>0</v>
      </c>
    </row>
    <row r="138" spans="11:21">
      <c r="K138" s="712" t="s">
        <v>238</v>
      </c>
      <c r="L138" s="833"/>
      <c r="N138" s="1539"/>
      <c r="O138" s="958" t="str">
        <f>IFERROR(VLOOKUP(N138,Price_list!$B$1:$H$187,2,0),"")</f>
        <v/>
      </c>
      <c r="P138" s="958" t="str">
        <f>IFERROR(VLOOKUP(N138,Price_list!$B$1:$H$187,3,0),"")</f>
        <v/>
      </c>
      <c r="Q138" s="946" t="str">
        <f>IFERROR(VLOOKUP(N138,Price_list!$B$1:$H$187,4,0),"")</f>
        <v/>
      </c>
      <c r="R138" s="946" t="str">
        <f>IFERROR(VLOOKUP(N138,Price_list!$B$1:$H$187,5,0),"")</f>
        <v/>
      </c>
      <c r="S138" s="958">
        <f t="shared" ca="1" si="10"/>
        <v>0</v>
      </c>
      <c r="T138" s="946"/>
      <c r="U138" s="1390">
        <f t="shared" ca="1" si="11"/>
        <v>0</v>
      </c>
    </row>
    <row r="139" spans="11:21">
      <c r="K139" s="712" t="s">
        <v>238</v>
      </c>
      <c r="L139" s="833"/>
      <c r="N139" s="1539"/>
      <c r="O139" s="958" t="str">
        <f>IFERROR(VLOOKUP(N139,Price_list!$B$1:$H$187,2,0),"")</f>
        <v/>
      </c>
      <c r="P139" s="958" t="str">
        <f>IFERROR(VLOOKUP(N139,Price_list!$B$1:$H$187,3,0),"")</f>
        <v/>
      </c>
      <c r="Q139" s="946" t="str">
        <f>IFERROR(VLOOKUP(N139,Price_list!$B$1:$H$187,4,0),"")</f>
        <v/>
      </c>
      <c r="R139" s="946" t="str">
        <f>IFERROR(VLOOKUP(N139,Price_list!$B$1:$H$187,5,0),"")</f>
        <v/>
      </c>
      <c r="S139" s="958">
        <f t="shared" ca="1" si="10"/>
        <v>0</v>
      </c>
      <c r="T139" s="946"/>
      <c r="U139" s="1390">
        <f t="shared" ca="1" si="11"/>
        <v>0</v>
      </c>
    </row>
    <row r="140" spans="11:21" ht="16" thickBot="1">
      <c r="K140" s="712" t="s">
        <v>238</v>
      </c>
      <c r="L140" s="833"/>
      <c r="N140" s="1539"/>
      <c r="O140" s="958" t="str">
        <f>IFERROR(VLOOKUP(N140,Price_list!$B$1:$H$187,2,0),"")</f>
        <v/>
      </c>
      <c r="P140" s="958" t="str">
        <f>IFERROR(VLOOKUP(N140,Price_list!$B$1:$H$187,3,0),"")</f>
        <v/>
      </c>
      <c r="Q140" s="946" t="str">
        <f>IFERROR(VLOOKUP(N140,Price_list!$B$1:$H$187,4,0),"")</f>
        <v/>
      </c>
      <c r="R140" s="946" t="str">
        <f>IFERROR(VLOOKUP(N140,Price_list!$B$1:$H$187,5,0),"")</f>
        <v/>
      </c>
      <c r="S140" s="958">
        <f t="shared" ca="1" si="10"/>
        <v>0</v>
      </c>
      <c r="T140" s="946"/>
      <c r="U140" s="1390">
        <f ca="1">T140*S140</f>
        <v>0</v>
      </c>
    </row>
    <row r="141" spans="11:21" ht="16" thickBot="1">
      <c r="K141" s="712" t="s">
        <v>238</v>
      </c>
      <c r="L141" s="833"/>
      <c r="N141" s="1704"/>
      <c r="O141" s="1761"/>
      <c r="P141" s="1761"/>
      <c r="Q141" s="1761"/>
      <c r="R141" s="1761"/>
      <c r="S141" s="1761"/>
      <c r="T141" s="1761"/>
      <c r="U141" s="1706">
        <f ca="1">SUM(U134:U140)</f>
        <v>40000</v>
      </c>
    </row>
    <row r="142" spans="11:21">
      <c r="K142" s="712" t="s">
        <v>238</v>
      </c>
      <c r="L142" s="833"/>
      <c r="N142" s="1049"/>
      <c r="O142" s="960"/>
      <c r="P142" s="960"/>
      <c r="Q142" s="960"/>
      <c r="R142" s="960"/>
      <c r="S142" s="960"/>
      <c r="T142" s="960"/>
      <c r="U142" s="62"/>
    </row>
    <row r="143" spans="11:21" ht="16" thickBot="1">
      <c r="K143" s="712" t="s">
        <v>238</v>
      </c>
      <c r="L143" s="833"/>
      <c r="N143" s="1049"/>
      <c r="O143" s="960"/>
      <c r="P143" s="960"/>
      <c r="Q143" s="960"/>
      <c r="R143" s="960"/>
      <c r="S143" s="960"/>
      <c r="T143" s="960"/>
      <c r="U143" s="62"/>
    </row>
    <row r="144" spans="11:21" ht="16" thickBot="1">
      <c r="K144" s="712" t="s">
        <v>238</v>
      </c>
      <c r="L144" s="833"/>
      <c r="N144" s="1049" t="s">
        <v>2171</v>
      </c>
      <c r="O144" s="960"/>
      <c r="P144" s="960"/>
      <c r="Q144" s="1500">
        <v>2021</v>
      </c>
      <c r="R144" s="1762">
        <v>2022</v>
      </c>
      <c r="S144" s="1762">
        <v>2023</v>
      </c>
      <c r="T144" s="1762">
        <v>2024</v>
      </c>
      <c r="U144" s="1763">
        <v>2025</v>
      </c>
    </row>
    <row r="145" spans="1:21" ht="16" thickBot="1">
      <c r="K145" s="712" t="s">
        <v>238</v>
      </c>
      <c r="L145" s="833"/>
      <c r="N145" s="1764"/>
      <c r="O145" s="1504"/>
      <c r="P145" s="1504"/>
      <c r="Q145" s="1713">
        <v>1</v>
      </c>
      <c r="R145" s="1713">
        <v>0</v>
      </c>
      <c r="S145" s="1713">
        <v>0</v>
      </c>
      <c r="T145" s="1713">
        <v>0</v>
      </c>
      <c r="U145" s="1765">
        <v>0</v>
      </c>
    </row>
    <row r="146" spans="1:21" ht="17" thickBot="1">
      <c r="A146" s="2157">
        <v>101</v>
      </c>
      <c r="B146" s="841">
        <f ca="1">Q146</f>
        <v>40000</v>
      </c>
      <c r="C146" s="841">
        <f t="shared" ref="C146" ca="1" si="12">R146</f>
        <v>0</v>
      </c>
      <c r="D146" s="841">
        <f t="shared" ref="D146" ca="1" si="13">S146</f>
        <v>0</v>
      </c>
      <c r="E146" s="841">
        <f t="shared" ref="E146" ca="1" si="14">T146</f>
        <v>0</v>
      </c>
      <c r="F146" s="841">
        <f t="shared" ref="F146" ca="1" si="15">U146</f>
        <v>0</v>
      </c>
      <c r="G146" s="2193" t="s">
        <v>351</v>
      </c>
      <c r="H146" s="841" t="s">
        <v>3581</v>
      </c>
      <c r="I146" s="2183" t="s">
        <v>3716</v>
      </c>
      <c r="J146" s="2160" t="s">
        <v>2940</v>
      </c>
      <c r="K146" s="712" t="s">
        <v>238</v>
      </c>
      <c r="L146" s="833"/>
      <c r="N146" s="1710" t="s">
        <v>3044</v>
      </c>
      <c r="O146" s="1732"/>
      <c r="P146" s="1708"/>
      <c r="Q146" s="1495">
        <f ca="1">U141*Q145</f>
        <v>40000</v>
      </c>
      <c r="R146" s="1495">
        <f ca="1">U141*R145</f>
        <v>0</v>
      </c>
      <c r="S146" s="1495">
        <f ca="1">U141*S145</f>
        <v>0</v>
      </c>
      <c r="T146" s="1495">
        <f ca="1">U141*T145</f>
        <v>0</v>
      </c>
      <c r="U146" s="1495">
        <f ca="1">U141*U145</f>
        <v>0</v>
      </c>
    </row>
    <row r="147" spans="1:21">
      <c r="K147" s="712" t="s">
        <v>238</v>
      </c>
      <c r="L147" s="833"/>
    </row>
    <row r="148" spans="1:21">
      <c r="K148" s="712" t="s">
        <v>238</v>
      </c>
      <c r="L148" s="833"/>
    </row>
    <row r="149" spans="1:21">
      <c r="K149" s="712" t="s">
        <v>238</v>
      </c>
      <c r="L149" s="833"/>
    </row>
    <row r="150" spans="1:21">
      <c r="K150" s="712" t="s">
        <v>238</v>
      </c>
      <c r="L150" s="833"/>
    </row>
    <row r="151" spans="1:21">
      <c r="K151" s="712" t="s">
        <v>238</v>
      </c>
      <c r="L151" s="833"/>
    </row>
    <row r="152" spans="1:21">
      <c r="K152" s="712" t="s">
        <v>238</v>
      </c>
      <c r="L152" s="833"/>
    </row>
    <row r="153" spans="1:21">
      <c r="K153" s="712" t="s">
        <v>238</v>
      </c>
      <c r="L153" s="833"/>
    </row>
    <row r="154" spans="1:21">
      <c r="K154" s="712" t="s">
        <v>238</v>
      </c>
      <c r="L154" s="833"/>
    </row>
    <row r="155" spans="1:21">
      <c r="K155" s="712" t="s">
        <v>238</v>
      </c>
      <c r="L155" s="833"/>
    </row>
    <row r="156" spans="1:21">
      <c r="K156" s="712" t="s">
        <v>238</v>
      </c>
      <c r="L156" s="833"/>
    </row>
    <row r="157" spans="1:21">
      <c r="K157" s="712" t="s">
        <v>238</v>
      </c>
      <c r="L157" s="833"/>
    </row>
    <row r="158" spans="1:21">
      <c r="K158" s="712" t="s">
        <v>238</v>
      </c>
      <c r="L158" s="833"/>
    </row>
    <row r="159" spans="1:21">
      <c r="K159" s="712" t="s">
        <v>238</v>
      </c>
      <c r="L159" s="833"/>
    </row>
  </sheetData>
  <conditionalFormatting sqref="A35">
    <cfRule type="duplicateValues" dxfId="294" priority="23"/>
  </conditionalFormatting>
  <conditionalFormatting sqref="A1 A37:A38 A40:A41 A5:A7 A10:A34">
    <cfRule type="duplicateValues" dxfId="293" priority="24"/>
  </conditionalFormatting>
  <conditionalFormatting sqref="R22">
    <cfRule type="containsText" dxfId="292" priority="19" operator="containsText" text="USD">
      <formula>NOT(ISERROR(SEARCH("USD",R22)))</formula>
    </cfRule>
    <cfRule type="containsText" dxfId="291" priority="20" operator="containsText" text="EUR">
      <formula>NOT(ISERROR(SEARCH("EUR",R22)))</formula>
    </cfRule>
  </conditionalFormatting>
  <conditionalFormatting sqref="A117">
    <cfRule type="duplicateValues" dxfId="290" priority="14"/>
  </conditionalFormatting>
  <conditionalFormatting sqref="A76">
    <cfRule type="duplicateValues" dxfId="289" priority="13"/>
  </conditionalFormatting>
  <conditionalFormatting sqref="R133">
    <cfRule type="containsText" dxfId="288" priority="11" operator="containsText" text="USD">
      <formula>NOT(ISERROR(SEARCH("USD",R133)))</formula>
    </cfRule>
    <cfRule type="containsText" dxfId="287" priority="12" operator="containsText" text="EUR">
      <formula>NOT(ISERROR(SEARCH("EUR",R133)))</formula>
    </cfRule>
  </conditionalFormatting>
  <conditionalFormatting sqref="A146">
    <cfRule type="duplicateValues" dxfId="286" priority="10"/>
  </conditionalFormatting>
  <conditionalFormatting sqref="R49">
    <cfRule type="containsText" dxfId="285" priority="8" operator="containsText" text="USD">
      <formula>NOT(ISERROR(SEARCH("USD",R49)))</formula>
    </cfRule>
    <cfRule type="containsText" dxfId="284" priority="9" operator="containsText" text="EUR">
      <formula>NOT(ISERROR(SEARCH("EUR",R49)))</formula>
    </cfRule>
  </conditionalFormatting>
  <conditionalFormatting sqref="R90">
    <cfRule type="containsText" dxfId="283" priority="6" operator="containsText" text="USD">
      <formula>NOT(ISERROR(SEARCH("USD",R90)))</formula>
    </cfRule>
    <cfRule type="containsText" dxfId="282" priority="7" operator="containsText" text="EUR">
      <formula>NOT(ISERROR(SEARCH("EUR",R90)))</formula>
    </cfRule>
  </conditionalFormatting>
  <conditionalFormatting sqref="A9">
    <cfRule type="duplicateValues" dxfId="281" priority="4"/>
  </conditionalFormatting>
  <conditionalFormatting sqref="G1:G117 G119:G1048576">
    <cfRule type="containsText" dxfId="280" priority="3" operator="containsText" text="gfatm">
      <formula>NOT(ISERROR(SEARCH("gfatm",G1)))</formula>
    </cfRule>
  </conditionalFormatting>
  <conditionalFormatting sqref="A118">
    <cfRule type="duplicateValues" dxfId="279" priority="2"/>
  </conditionalFormatting>
  <conditionalFormatting sqref="G118">
    <cfRule type="containsText" dxfId="278" priority="1" operator="containsText" text="gfatm">
      <formula>NOT(ISERROR(SEARCH("gfatm",G118)))</formula>
    </cfRule>
  </conditionalFormatting>
  <dataValidations count="3">
    <dataValidation type="list" allowBlank="1" showInputMessage="1" showErrorMessage="1" sqref="I35 I117:I118 I76 I146 I9" xr:uid="{00000000-0002-0000-1300-000000000000}">
      <formula1>TB_implementare</formula1>
    </dataValidation>
    <dataValidation type="list" allowBlank="1" showInputMessage="1" showErrorMessage="1" sqref="G35 G117:G118 G76 G146 G9" xr:uid="{00000000-0002-0000-1300-000001000000}">
      <formula1>TB_sursa_finant_Ro</formula1>
    </dataValidation>
    <dataValidation type="list" allowBlank="1" showInputMessage="1" showErrorMessage="1" sqref="N23:N29 N134:N140 N50:N68 N91:N109" xr:uid="{00000000-0002-0000-1300-000002000000}">
      <formula1>Denumire_produs_ro</formula1>
    </dataValidation>
  </dataValidations>
  <hyperlinks>
    <hyperlink ref="O1" location="CUPRINS!A1" display="CUPRINS" xr:uid="{00000000-0004-0000-13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5" id="{0C2552EA-BD13-4AB6-A2CE-966F83CFC7EE}">
            <xm:f>ISODD(Nom_activ_2!$B6)</xm:f>
            <x14:dxf>
              <fill>
                <patternFill>
                  <bgColor theme="0" tint="-0.14996795556505021"/>
                </patternFill>
              </fill>
            </x14:dxf>
          </x14:cfRule>
          <xm:sqref>L9:XFD9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3000000}">
          <x14:formula1>
            <xm:f>Nom_activ_2!$H$2:$H$88</xm:f>
          </x14:formula1>
          <xm:sqref>J35 J146 J76 J117:J118 J9</xm:sqref>
        </x14:dataValidation>
      </x14:dataValidations>
    </ext>
  </extLst>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dimension ref="A1:AQ622"/>
  <sheetViews>
    <sheetView topLeftCell="K52" zoomScale="70" zoomScaleNormal="70" workbookViewId="0">
      <selection activeCell="S255" sqref="S255:V255"/>
    </sheetView>
  </sheetViews>
  <sheetFormatPr baseColWidth="10" defaultColWidth="8.83203125" defaultRowHeight="15" outlineLevelCol="1"/>
  <cols>
    <col min="1" max="1" width="16" style="960" hidden="1" customWidth="1" outlineLevel="1"/>
    <col min="2" max="7" width="12.5" style="960" hidden="1" customWidth="1" outlineLevel="1"/>
    <col min="8" max="8" width="44.6640625" style="960" hidden="1" customWidth="1" outlineLevel="1"/>
    <col min="9" max="9" width="35.6640625" style="2195" hidden="1" customWidth="1" outlineLevel="1"/>
    <col min="10" max="10" width="61.83203125" style="960" hidden="1" customWidth="1" outlineLevel="1"/>
    <col min="11" max="11" width="1.1640625" style="735" customWidth="1" collapsed="1"/>
    <col min="12" max="12" width="14.6640625" style="907" customWidth="1" outlineLevel="1"/>
    <col min="13" max="13" width="39.33203125" customWidth="1" outlineLevel="1"/>
    <col min="14" max="14" width="40.33203125" customWidth="1" outlineLevel="1"/>
    <col min="15" max="16" width="13.33203125" customWidth="1" outlineLevel="1"/>
    <col min="17" max="17" width="27.83203125" customWidth="1" outlineLevel="1"/>
    <col min="18" max="19" width="13.33203125" customWidth="1" outlineLevel="1"/>
    <col min="20" max="20" width="16.6640625" customWidth="1" outlineLevel="1"/>
    <col min="21" max="23" width="12.5" customWidth="1" outlineLevel="1"/>
    <col min="24" max="24" width="14" customWidth="1" outlineLevel="1"/>
    <col min="25" max="25" width="11.83203125" customWidth="1" outlineLevel="1"/>
    <col min="26" max="26" width="16" customWidth="1" outlineLevel="1"/>
    <col min="27" max="28" width="12.33203125" customWidth="1" outlineLevel="1"/>
    <col min="29" max="29" width="21" customWidth="1" outlineLevel="1"/>
    <col min="30" max="32" width="12.83203125" bestFit="1" customWidth="1"/>
    <col min="33" max="34" width="6.83203125" bestFit="1" customWidth="1"/>
    <col min="35" max="38" width="12.33203125" customWidth="1"/>
    <col min="39" max="39" width="2" customWidth="1"/>
  </cols>
  <sheetData>
    <row r="1" spans="1:39">
      <c r="A1" s="2157" t="s">
        <v>345</v>
      </c>
      <c r="B1" s="859">
        <v>2021</v>
      </c>
      <c r="C1" s="859">
        <v>2022</v>
      </c>
      <c r="D1" s="859">
        <v>2023</v>
      </c>
      <c r="E1" s="859">
        <v>2024</v>
      </c>
      <c r="F1" s="859">
        <v>2025</v>
      </c>
      <c r="G1" s="859" t="s">
        <v>484</v>
      </c>
      <c r="H1" s="859" t="s">
        <v>515</v>
      </c>
      <c r="I1" s="2184" t="s">
        <v>1834</v>
      </c>
      <c r="J1" s="859"/>
      <c r="K1" s="712"/>
      <c r="L1" s="836">
        <f ca="1">SUM(B:F)-B1-C1-D1-E1-F1</f>
        <v>31959402.344507355</v>
      </c>
      <c r="M1" s="836">
        <f>T73+U96+Z109+X167+X210+X234+X251+X284+X320</f>
        <v>10403620.83</v>
      </c>
      <c r="O1" s="1836" t="s">
        <v>356</v>
      </c>
      <c r="AM1" s="1076"/>
    </row>
    <row r="2" spans="1:39">
      <c r="A2" s="2191"/>
      <c r="B2" s="2191"/>
      <c r="C2" s="2191"/>
      <c r="D2" s="2191"/>
      <c r="E2" s="2191"/>
      <c r="F2" s="2191"/>
      <c r="G2" s="2191"/>
      <c r="H2" s="2191"/>
      <c r="I2" s="2184"/>
      <c r="J2" s="2191"/>
      <c r="K2" s="712"/>
      <c r="L2" s="833"/>
      <c r="AM2" s="1076"/>
    </row>
    <row r="3" spans="1:39">
      <c r="A3" s="2191"/>
      <c r="B3" s="2191"/>
      <c r="C3" s="2191"/>
      <c r="D3" s="2191"/>
      <c r="E3" s="2191"/>
      <c r="F3" s="2191"/>
      <c r="G3" s="2191"/>
      <c r="H3" s="2191"/>
      <c r="I3" s="2184"/>
      <c r="J3" s="2191"/>
      <c r="K3" s="712"/>
      <c r="L3" s="833"/>
      <c r="N3" s="13"/>
      <c r="O3" s="13"/>
      <c r="P3" s="13"/>
      <c r="Q3" s="1035"/>
      <c r="R3" s="13"/>
      <c r="AM3" s="1076"/>
    </row>
    <row r="4" spans="1:39" ht="21">
      <c r="A4" s="2191"/>
      <c r="B4" s="2191"/>
      <c r="C4" s="2191"/>
      <c r="D4" s="2191"/>
      <c r="E4" s="2191"/>
      <c r="F4" s="2191"/>
      <c r="G4" s="2191"/>
      <c r="H4" s="2191"/>
      <c r="I4" s="2184"/>
      <c r="J4" s="2191"/>
      <c r="K4" s="712"/>
      <c r="L4" s="1755" t="s">
        <v>2225</v>
      </c>
      <c r="AM4" s="1076"/>
    </row>
    <row r="5" spans="1:39" ht="21">
      <c r="A5" s="2191"/>
      <c r="B5" s="2191"/>
      <c r="C5" s="2191"/>
      <c r="D5" s="2191"/>
      <c r="E5" s="2191"/>
      <c r="F5" s="2191"/>
      <c r="G5" s="2191"/>
      <c r="H5" s="2191"/>
      <c r="I5" s="2184"/>
      <c r="J5" s="2191"/>
      <c r="K5" s="712"/>
      <c r="L5" s="1755"/>
      <c r="AM5" s="1076"/>
    </row>
    <row r="6" spans="1:39" ht="21">
      <c r="A6" s="2191"/>
      <c r="B6" s="2191"/>
      <c r="C6" s="2191"/>
      <c r="D6" s="2191"/>
      <c r="E6" s="2191"/>
      <c r="F6" s="2191"/>
      <c r="G6" s="2191"/>
      <c r="H6" s="2191"/>
      <c r="I6" s="2184"/>
      <c r="J6" s="2191"/>
      <c r="K6" s="712"/>
      <c r="L6" s="1755" t="s">
        <v>3083</v>
      </c>
      <c r="AM6" s="1076"/>
    </row>
    <row r="7" spans="1:39" ht="33">
      <c r="A7" s="2191"/>
      <c r="B7" s="2191"/>
      <c r="C7" s="2191"/>
      <c r="D7" s="2191"/>
      <c r="E7" s="2191"/>
      <c r="F7" s="2191"/>
      <c r="G7" s="2191"/>
      <c r="H7" s="2191"/>
      <c r="I7" s="2184"/>
      <c r="J7" s="2191"/>
      <c r="K7" s="712"/>
      <c r="L7" s="1073"/>
      <c r="M7" t="s">
        <v>2155</v>
      </c>
      <c r="Q7" s="959" t="s">
        <v>3060</v>
      </c>
      <c r="AM7" s="1076"/>
    </row>
    <row r="8" spans="1:39" ht="33">
      <c r="A8" s="2191"/>
      <c r="B8" s="2191"/>
      <c r="C8" s="2191"/>
      <c r="D8" s="2191"/>
      <c r="E8" s="2191"/>
      <c r="F8" s="2191"/>
      <c r="G8" s="2191"/>
      <c r="H8" s="2191"/>
      <c r="I8" s="2184"/>
      <c r="J8" s="2191"/>
      <c r="K8" s="712"/>
      <c r="L8" s="1073"/>
      <c r="M8" s="1747" t="s">
        <v>3054</v>
      </c>
      <c r="N8" s="1749"/>
      <c r="O8" s="1565"/>
      <c r="P8" s="1750">
        <v>0</v>
      </c>
      <c r="Q8" s="1383">
        <v>0</v>
      </c>
      <c r="AM8" s="1076"/>
    </row>
    <row r="9" spans="1:39" ht="33">
      <c r="A9" s="2191"/>
      <c r="B9" s="2191"/>
      <c r="C9" s="2191"/>
      <c r="D9" s="2191"/>
      <c r="E9" s="2191"/>
      <c r="F9" s="2191"/>
      <c r="G9" s="2191"/>
      <c r="H9" s="2191"/>
      <c r="I9" s="2184"/>
      <c r="J9" s="2191"/>
      <c r="K9" s="712"/>
      <c r="L9" s="1073"/>
      <c r="M9" s="1747" t="s">
        <v>3055</v>
      </c>
      <c r="N9" s="1749"/>
      <c r="O9" s="1565"/>
      <c r="P9" s="1750">
        <v>2</v>
      </c>
      <c r="Q9" s="1383">
        <v>20</v>
      </c>
      <c r="AM9" s="1076"/>
    </row>
    <row r="10" spans="1:39" ht="21">
      <c r="A10" s="2191"/>
      <c r="B10" s="2191"/>
      <c r="C10" s="2191"/>
      <c r="D10" s="2191"/>
      <c r="E10" s="2191"/>
      <c r="F10" s="2191"/>
      <c r="G10" s="2191"/>
      <c r="H10" s="2191"/>
      <c r="I10" s="2184"/>
      <c r="J10" s="2191"/>
      <c r="K10" s="712"/>
      <c r="L10" s="1073"/>
      <c r="AM10" s="1076"/>
    </row>
    <row r="11" spans="1:39" ht="21">
      <c r="A11" s="2191"/>
      <c r="B11" s="2191"/>
      <c r="C11" s="2191"/>
      <c r="D11" s="2191"/>
      <c r="E11" s="2191"/>
      <c r="F11" s="2191"/>
      <c r="G11" s="2191"/>
      <c r="H11" s="2191"/>
      <c r="I11" s="2184"/>
      <c r="J11" s="2191"/>
      <c r="K11" s="712"/>
      <c r="L11" s="1073"/>
      <c r="M11" t="s">
        <v>3059</v>
      </c>
      <c r="AM11" s="1076"/>
    </row>
    <row r="12" spans="1:39" ht="33">
      <c r="A12" s="2191"/>
      <c r="B12" s="2191"/>
      <c r="C12" s="2191"/>
      <c r="D12" s="2191"/>
      <c r="E12" s="2191"/>
      <c r="F12" s="2191"/>
      <c r="G12" s="2191"/>
      <c r="H12" s="2191"/>
      <c r="I12" s="2184"/>
      <c r="J12" s="2191"/>
      <c r="K12" s="712"/>
      <c r="L12" s="1073"/>
      <c r="M12" s="1747" t="s">
        <v>3061</v>
      </c>
      <c r="N12" s="1749"/>
      <c r="O12" s="1565"/>
      <c r="P12" s="1750">
        <v>50</v>
      </c>
      <c r="Q12" s="1383"/>
      <c r="AM12" s="1076"/>
    </row>
    <row r="13" spans="1:39" ht="33">
      <c r="A13" s="2191"/>
      <c r="B13" s="2191"/>
      <c r="C13" s="2191"/>
      <c r="D13" s="2191"/>
      <c r="E13" s="2191"/>
      <c r="F13" s="2191"/>
      <c r="G13" s="2191"/>
      <c r="H13" s="2191"/>
      <c r="I13" s="2184"/>
      <c r="J13" s="2191"/>
      <c r="K13" s="712"/>
      <c r="L13" s="1073"/>
      <c r="M13" s="1747" t="s">
        <v>3062</v>
      </c>
      <c r="N13" s="1749"/>
      <c r="O13" s="1565"/>
      <c r="P13" s="1750">
        <v>100</v>
      </c>
      <c r="Q13" s="1383"/>
      <c r="AM13" s="1076"/>
    </row>
    <row r="14" spans="1:39" ht="21">
      <c r="A14" s="2191"/>
      <c r="B14" s="2191"/>
      <c r="C14" s="2191"/>
      <c r="D14" s="2191"/>
      <c r="E14" s="2191"/>
      <c r="F14" s="2191"/>
      <c r="G14" s="2191"/>
      <c r="H14" s="2191"/>
      <c r="I14" s="2184"/>
      <c r="J14" s="2191"/>
      <c r="K14" s="712"/>
      <c r="L14" s="1073"/>
      <c r="AM14" s="1076"/>
    </row>
    <row r="15" spans="1:39" ht="21">
      <c r="A15" s="2191"/>
      <c r="B15" s="2191"/>
      <c r="C15" s="2191"/>
      <c r="D15" s="2191"/>
      <c r="E15" s="2191"/>
      <c r="F15" s="2191"/>
      <c r="G15" s="2191"/>
      <c r="H15" s="2191"/>
      <c r="I15" s="2184"/>
      <c r="J15" s="2191"/>
      <c r="K15" s="712"/>
      <c r="L15" s="1073"/>
      <c r="AM15" s="1076"/>
    </row>
    <row r="16" spans="1:39" ht="22" thickBot="1">
      <c r="A16" s="2191"/>
      <c r="B16" s="2191"/>
      <c r="C16" s="2191"/>
      <c r="D16" s="2191"/>
      <c r="E16" s="2191"/>
      <c r="F16" s="2191"/>
      <c r="G16" s="2191"/>
      <c r="H16" s="2191"/>
      <c r="I16" s="2184"/>
      <c r="J16" s="2191"/>
      <c r="K16" s="712"/>
      <c r="L16" s="1073"/>
      <c r="M16" t="s">
        <v>3058</v>
      </c>
      <c r="AM16" s="1076"/>
    </row>
    <row r="17" spans="1:39" ht="49">
      <c r="A17" s="2191"/>
      <c r="B17" s="2191"/>
      <c r="C17" s="2191"/>
      <c r="D17" s="2191"/>
      <c r="E17" s="2191"/>
      <c r="F17" s="2191"/>
      <c r="G17" s="2191"/>
      <c r="H17" s="2191"/>
      <c r="I17" s="2184"/>
      <c r="J17" s="2191"/>
      <c r="K17" s="712"/>
      <c r="L17" s="1073"/>
      <c r="M17" s="1699" t="s">
        <v>3033</v>
      </c>
      <c r="N17" s="1700" t="s">
        <v>3034</v>
      </c>
      <c r="O17" s="1702" t="s">
        <v>3040</v>
      </c>
      <c r="P17" s="1702" t="s">
        <v>3041</v>
      </c>
      <c r="Q17" s="1702" t="s">
        <v>3042</v>
      </c>
      <c r="R17" s="1700" t="s">
        <v>3035</v>
      </c>
      <c r="S17" s="1702" t="s">
        <v>3067</v>
      </c>
      <c r="T17" s="1701" t="s">
        <v>2189</v>
      </c>
      <c r="AM17" s="1076"/>
    </row>
    <row r="18" spans="1:39" ht="21">
      <c r="A18" s="2191"/>
      <c r="B18" s="2191"/>
      <c r="C18" s="2191"/>
      <c r="D18" s="2191"/>
      <c r="E18" s="2191"/>
      <c r="F18" s="2191"/>
      <c r="G18" s="2191"/>
      <c r="H18" s="2191"/>
      <c r="I18" s="2184"/>
      <c r="J18" s="2191"/>
      <c r="K18" s="712"/>
      <c r="L18" s="1073"/>
      <c r="M18" s="1539" t="s">
        <v>3051</v>
      </c>
      <c r="N18" s="958" t="str">
        <f>IFERROR(VLOOKUP(M18,Price_list!$B$1:$H$187,2,0),"")</f>
        <v>International Consultancy fee (3.1)</v>
      </c>
      <c r="O18" s="958" t="str">
        <f>IFERROR(VLOOKUP(M18,Price_list!$B$1:$H$187,3,0),"")</f>
        <v>cost/zi</v>
      </c>
      <c r="P18" s="946">
        <f>IFERROR(VLOOKUP(M18,Price_list!$B$1:$H$187,4,0),"")</f>
        <v>350</v>
      </c>
      <c r="Q18" s="946" t="str">
        <f>IFERROR(VLOOKUP(M18,Price_list!$B$1:$H$187,5,0),"")</f>
        <v>EUR</v>
      </c>
      <c r="R18" s="958">
        <f t="shared" ref="R18:R24" ca="1" si="0">ROUND(IFERROR(IF(Q18="MDL",P18,P18*INDIRECT(Q18)),0),2)</f>
        <v>6868.65</v>
      </c>
      <c r="S18" s="946">
        <f>P8*Q8</f>
        <v>0</v>
      </c>
      <c r="T18" s="1390">
        <f ca="1">S18*R18</f>
        <v>0</v>
      </c>
      <c r="AM18" s="1076"/>
    </row>
    <row r="19" spans="1:39" ht="21">
      <c r="A19" s="2191"/>
      <c r="B19" s="2191"/>
      <c r="C19" s="2191"/>
      <c r="D19" s="2191"/>
      <c r="E19" s="2191"/>
      <c r="F19" s="2191"/>
      <c r="G19" s="2191"/>
      <c r="H19" s="2191"/>
      <c r="I19" s="2184"/>
      <c r="J19" s="2191"/>
      <c r="K19" s="712"/>
      <c r="L19" s="1073"/>
      <c r="M19" s="1539" t="s">
        <v>3050</v>
      </c>
      <c r="N19" s="958" t="str">
        <f>IFERROR(VLOOKUP(M19,Price_list!$B$1:$H$187,2,0),"")</f>
        <v>National Consultancy fee (3.1)</v>
      </c>
      <c r="O19" s="958" t="str">
        <f>IFERROR(VLOOKUP(M19,Price_list!$B$1:$H$187,3,0),"")</f>
        <v>cost/zi</v>
      </c>
      <c r="P19" s="946">
        <f>IFERROR(VLOOKUP(M19,Price_list!$B$1:$H$187,4,0),"")</f>
        <v>2000</v>
      </c>
      <c r="Q19" s="946" t="str">
        <f>IFERROR(VLOOKUP(M19,Price_list!$B$1:$H$187,5,0),"")</f>
        <v>MDL</v>
      </c>
      <c r="R19" s="958">
        <f t="shared" ca="1" si="0"/>
        <v>2000</v>
      </c>
      <c r="S19" s="946">
        <f>P9*Q9</f>
        <v>40</v>
      </c>
      <c r="T19" s="1390">
        <f ca="1">S19*R19</f>
        <v>80000</v>
      </c>
      <c r="AM19" s="1076"/>
    </row>
    <row r="20" spans="1:39">
      <c r="A20" s="2191"/>
      <c r="B20" s="2191"/>
      <c r="C20" s="2191"/>
      <c r="D20" s="2191"/>
      <c r="E20" s="2191"/>
      <c r="F20" s="2191"/>
      <c r="G20" s="2191"/>
      <c r="H20" s="2191"/>
      <c r="I20" s="2184"/>
      <c r="J20" s="2191"/>
      <c r="K20" s="712"/>
      <c r="L20" s="833"/>
      <c r="M20" s="1539" t="s">
        <v>3063</v>
      </c>
      <c r="N20" s="958" t="str">
        <f>IFERROR(VLOOKUP(M20,Price_list!$B$1:$H$187,2,0),"")</f>
        <v>Translation per page</v>
      </c>
      <c r="O20" s="958" t="str">
        <f>IFERROR(VLOOKUP(M20,Price_list!$B$1:$H$187,3,0),"")</f>
        <v>pagina</v>
      </c>
      <c r="P20" s="946">
        <f>IFERROR(VLOOKUP(M20,Price_list!$B$1:$H$187,4,0),"")</f>
        <v>150</v>
      </c>
      <c r="Q20" s="946" t="str">
        <f>IFERROR(VLOOKUP(M20,Price_list!$B$1:$H$187,5,0),"")</f>
        <v>MDL</v>
      </c>
      <c r="R20" s="958">
        <f t="shared" ca="1" si="0"/>
        <v>150</v>
      </c>
      <c r="S20" s="946">
        <f>P12</f>
        <v>50</v>
      </c>
      <c r="T20" s="1390">
        <f t="shared" ref="T20:T23" ca="1" si="1">S20*R20</f>
        <v>7500</v>
      </c>
      <c r="AM20" s="1076"/>
    </row>
    <row r="21" spans="1:39">
      <c r="A21" s="2191"/>
      <c r="B21" s="2191"/>
      <c r="C21" s="2191"/>
      <c r="D21" s="2191"/>
      <c r="E21" s="2191"/>
      <c r="F21" s="2191"/>
      <c r="G21" s="2191"/>
      <c r="H21" s="2191"/>
      <c r="I21" s="2184"/>
      <c r="J21" s="2191"/>
      <c r="K21" s="712"/>
      <c r="L21"/>
      <c r="M21" s="1539" t="s">
        <v>3068</v>
      </c>
      <c r="N21" s="958" t="str">
        <f>IFERROR(VLOOKUP(M21,Price_list!$B$1:$H$187,2,0),"")</f>
        <v xml:space="preserve">Formatting, design, printing </v>
      </c>
      <c r="O21" s="958" t="str">
        <f>IFERROR(VLOOKUP(M21,Price_list!$B$1:$H$187,3,0),"")</f>
        <v>pagina</v>
      </c>
      <c r="P21" s="946">
        <f>IFERROR(VLOOKUP(M21,Price_list!$B$1:$H$187,4,0),"")</f>
        <v>2</v>
      </c>
      <c r="Q21" s="946" t="str">
        <f>IFERROR(VLOOKUP(M21,Price_list!$B$1:$H$187,5,0),"")</f>
        <v>MDL</v>
      </c>
      <c r="R21" s="958">
        <f t="shared" ca="1" si="0"/>
        <v>2</v>
      </c>
      <c r="S21" s="946">
        <f>P12*P13</f>
        <v>5000</v>
      </c>
      <c r="T21" s="1390">
        <f t="shared" ca="1" si="1"/>
        <v>10000</v>
      </c>
      <c r="AM21" s="1076"/>
    </row>
    <row r="22" spans="1:39">
      <c r="A22" s="2191"/>
      <c r="B22" s="2191"/>
      <c r="C22" s="2191"/>
      <c r="D22" s="2191"/>
      <c r="E22" s="2191"/>
      <c r="F22" s="2191"/>
      <c r="G22" s="2191"/>
      <c r="H22" s="2191"/>
      <c r="I22" s="2184"/>
      <c r="J22" s="2191"/>
      <c r="K22" s="712"/>
      <c r="L22"/>
      <c r="M22" s="1539"/>
      <c r="N22" s="958" t="str">
        <f>IFERROR(VLOOKUP(M22,Price_list!$B$1:$H$187,2,0),"")</f>
        <v/>
      </c>
      <c r="O22" s="958" t="str">
        <f>IFERROR(VLOOKUP(M22,Price_list!$B$1:$H$187,3,0),"")</f>
        <v/>
      </c>
      <c r="P22" s="946" t="str">
        <f>IFERROR(VLOOKUP(M22,Price_list!$B$1:$H$187,4,0),"")</f>
        <v/>
      </c>
      <c r="Q22" s="946" t="str">
        <f>IFERROR(VLOOKUP(M22,Price_list!$B$1:$H$187,5,0),"")</f>
        <v/>
      </c>
      <c r="R22" s="958">
        <f t="shared" ca="1" si="0"/>
        <v>0</v>
      </c>
      <c r="S22" s="946"/>
      <c r="T22" s="1390">
        <f t="shared" ca="1" si="1"/>
        <v>0</v>
      </c>
      <c r="AM22" s="1076"/>
    </row>
    <row r="23" spans="1:39">
      <c r="A23" s="2191"/>
      <c r="B23" s="2191"/>
      <c r="C23" s="2191"/>
      <c r="D23" s="2191"/>
      <c r="E23" s="2191"/>
      <c r="F23" s="2191"/>
      <c r="G23" s="2191"/>
      <c r="H23" s="2191"/>
      <c r="I23" s="2184"/>
      <c r="J23" s="2191"/>
      <c r="K23" s="712"/>
      <c r="L23"/>
      <c r="M23" s="1539"/>
      <c r="N23" s="958" t="str">
        <f>IFERROR(VLOOKUP(M23,Price_list!$B$1:$H$187,2,0),"")</f>
        <v/>
      </c>
      <c r="O23" s="958" t="str">
        <f>IFERROR(VLOOKUP(M23,Price_list!$B$1:$H$187,3,0),"")</f>
        <v/>
      </c>
      <c r="P23" s="946" t="str">
        <f>IFERROR(VLOOKUP(M23,Price_list!$B$1:$H$187,4,0),"")</f>
        <v/>
      </c>
      <c r="Q23" s="946" t="str">
        <f>IFERROR(VLOOKUP(M23,Price_list!$B$1:$H$187,5,0),"")</f>
        <v/>
      </c>
      <c r="R23" s="958">
        <f t="shared" ca="1" si="0"/>
        <v>0</v>
      </c>
      <c r="S23" s="946"/>
      <c r="T23" s="1390">
        <f t="shared" ca="1" si="1"/>
        <v>0</v>
      </c>
      <c r="AM23" s="1076"/>
    </row>
    <row r="24" spans="1:39" ht="16" thickBot="1">
      <c r="A24" s="2191"/>
      <c r="B24" s="2191"/>
      <c r="C24" s="2191"/>
      <c r="D24" s="2191"/>
      <c r="E24" s="2191"/>
      <c r="F24" s="2191"/>
      <c r="G24" s="2191"/>
      <c r="H24" s="2191"/>
      <c r="I24" s="2184"/>
      <c r="J24" s="2191"/>
      <c r="K24" s="712"/>
      <c r="L24"/>
      <c r="M24" s="1539"/>
      <c r="N24" s="958" t="str">
        <f>IFERROR(VLOOKUP(M24,Price_list!$B$1:$H$187,2,0),"")</f>
        <v/>
      </c>
      <c r="O24" s="958" t="str">
        <f>IFERROR(VLOOKUP(M24,Price_list!$B$1:$H$187,3,0),"")</f>
        <v/>
      </c>
      <c r="P24" s="946" t="str">
        <f>IFERROR(VLOOKUP(M24,Price_list!$B$1:$H$187,4,0),"")</f>
        <v/>
      </c>
      <c r="Q24" s="946" t="str">
        <f>IFERROR(VLOOKUP(M24,Price_list!$B$1:$H$187,5,0),"")</f>
        <v/>
      </c>
      <c r="R24" s="958">
        <f t="shared" ca="1" si="0"/>
        <v>0</v>
      </c>
      <c r="S24" s="946"/>
      <c r="T24" s="1390">
        <f ca="1">S24*R24</f>
        <v>0</v>
      </c>
      <c r="AM24" s="1076"/>
    </row>
    <row r="25" spans="1:39" ht="16" thickBot="1">
      <c r="A25" s="2191"/>
      <c r="B25" s="2191"/>
      <c r="C25" s="2191"/>
      <c r="D25" s="2191"/>
      <c r="E25" s="2191"/>
      <c r="F25" s="2191"/>
      <c r="G25" s="2191"/>
      <c r="H25" s="2191"/>
      <c r="I25" s="2184"/>
      <c r="J25" s="2191"/>
      <c r="K25" s="712"/>
      <c r="L25"/>
      <c r="M25" s="1704"/>
      <c r="N25" s="1705"/>
      <c r="O25" s="1705"/>
      <c r="P25" s="1705"/>
      <c r="Q25" s="1705"/>
      <c r="R25" s="1705"/>
      <c r="S25" s="1705"/>
      <c r="T25" s="1706">
        <f ca="1">SUM(T18:T24)</f>
        <v>97500</v>
      </c>
      <c r="AM25" s="1076"/>
    </row>
    <row r="26" spans="1:39">
      <c r="A26" s="2191"/>
      <c r="B26" s="2191"/>
      <c r="C26" s="2191"/>
      <c r="D26" s="2191"/>
      <c r="E26" s="2191"/>
      <c r="F26" s="2191"/>
      <c r="G26" s="2191"/>
      <c r="H26" s="2191"/>
      <c r="I26" s="2184"/>
      <c r="J26" s="2191"/>
      <c r="K26" s="712"/>
      <c r="L26"/>
      <c r="AM26" s="1076"/>
    </row>
    <row r="27" spans="1:39" ht="16" thickBot="1">
      <c r="A27" s="2191"/>
      <c r="B27" s="2191"/>
      <c r="C27" s="2191"/>
      <c r="D27" s="2191"/>
      <c r="E27" s="2191"/>
      <c r="F27" s="2191"/>
      <c r="G27" s="2191"/>
      <c r="H27" s="2191"/>
      <c r="I27" s="2184"/>
      <c r="J27" s="2191"/>
      <c r="K27" s="712"/>
      <c r="L27"/>
      <c r="AM27" s="1076"/>
    </row>
    <row r="28" spans="1:39" ht="16" thickBot="1">
      <c r="A28" s="2191"/>
      <c r="B28" s="2191"/>
      <c r="C28" s="2191"/>
      <c r="D28" s="2191"/>
      <c r="E28" s="2191"/>
      <c r="F28" s="2191"/>
      <c r="G28" s="2191"/>
      <c r="H28" s="2191"/>
      <c r="I28" s="2184"/>
      <c r="J28" s="2191"/>
      <c r="K28" s="712"/>
      <c r="L28"/>
      <c r="M28" t="s">
        <v>2171</v>
      </c>
      <c r="P28" s="1500">
        <v>2021</v>
      </c>
      <c r="Q28" s="1501">
        <v>2022</v>
      </c>
      <c r="R28" s="1501">
        <v>2023</v>
      </c>
      <c r="S28" s="1501">
        <v>2024</v>
      </c>
      <c r="T28" s="1502">
        <v>2025</v>
      </c>
      <c r="AM28" s="1076"/>
    </row>
    <row r="29" spans="1:39" ht="16" thickBot="1">
      <c r="A29" s="2191"/>
      <c r="B29" s="2191"/>
      <c r="C29" s="2191"/>
      <c r="D29" s="2191"/>
      <c r="E29" s="2191"/>
      <c r="F29" s="2191"/>
      <c r="G29" s="2191"/>
      <c r="H29" s="2191"/>
      <c r="I29" s="2184"/>
      <c r="J29" s="2191"/>
      <c r="K29" s="712"/>
      <c r="L29"/>
      <c r="M29" s="1503"/>
      <c r="N29" s="1504"/>
      <c r="O29" s="1504"/>
      <c r="P29" s="1713">
        <v>0</v>
      </c>
      <c r="Q29" s="1713">
        <v>1</v>
      </c>
      <c r="R29" s="1713">
        <v>0</v>
      </c>
      <c r="S29" s="1713">
        <v>0</v>
      </c>
      <c r="T29" s="1713">
        <v>0</v>
      </c>
      <c r="AM29" s="1076"/>
    </row>
    <row r="30" spans="1:39" ht="16" thickBot="1">
      <c r="A30" s="2157">
        <v>35</v>
      </c>
      <c r="B30" s="841">
        <f ca="1">P30</f>
        <v>0</v>
      </c>
      <c r="C30" s="841">
        <f t="shared" ref="C30:F30" ca="1" si="2">Q30</f>
        <v>97500</v>
      </c>
      <c r="D30" s="841">
        <f t="shared" ca="1" si="2"/>
        <v>0</v>
      </c>
      <c r="E30" s="841">
        <f t="shared" ca="1" si="2"/>
        <v>0</v>
      </c>
      <c r="F30" s="841">
        <f t="shared" ca="1" si="2"/>
        <v>0</v>
      </c>
      <c r="G30" s="841" t="s">
        <v>351</v>
      </c>
      <c r="H30" s="841" t="s">
        <v>3083</v>
      </c>
      <c r="I30" s="2183" t="s">
        <v>3716</v>
      </c>
      <c r="J30" s="841" t="s">
        <v>2957</v>
      </c>
      <c r="K30" s="712"/>
      <c r="L30"/>
      <c r="M30" s="1710" t="s">
        <v>3044</v>
      </c>
      <c r="N30" s="1709"/>
      <c r="O30" s="1708"/>
      <c r="P30" s="1495">
        <f ca="1">T25*P29</f>
        <v>0</v>
      </c>
      <c r="Q30" s="1495">
        <f ca="1">T25*Q29</f>
        <v>97500</v>
      </c>
      <c r="R30" s="1495">
        <f ca="1">T25*R29</f>
        <v>0</v>
      </c>
      <c r="S30" s="1495">
        <f ca="1">T25*S29</f>
        <v>0</v>
      </c>
      <c r="T30" s="1495">
        <f ca="1">T25*T29</f>
        <v>0</v>
      </c>
      <c r="AM30" s="1076"/>
    </row>
    <row r="31" spans="1:39">
      <c r="A31" s="2191"/>
      <c r="B31" s="2191"/>
      <c r="C31" s="2191"/>
      <c r="D31" s="2191"/>
      <c r="E31" s="2191"/>
      <c r="F31" s="2191"/>
      <c r="G31" s="2191"/>
      <c r="H31" s="2191"/>
      <c r="I31" s="2184"/>
      <c r="J31" s="2191"/>
      <c r="K31" s="712"/>
      <c r="L31"/>
      <c r="AM31" s="1076"/>
    </row>
    <row r="32" spans="1:39" ht="21">
      <c r="A32" s="2191"/>
      <c r="B32" s="2191"/>
      <c r="C32" s="2191"/>
      <c r="D32" s="2191"/>
      <c r="E32" s="2191"/>
      <c r="F32" s="2191"/>
      <c r="G32" s="2191"/>
      <c r="H32" s="2191"/>
      <c r="I32" s="2184"/>
      <c r="J32" s="2191"/>
      <c r="K32" s="712"/>
      <c r="L32" s="1755" t="s">
        <v>3084</v>
      </c>
      <c r="S32" s="1270" t="s">
        <v>3987</v>
      </c>
      <c r="AM32" s="1076"/>
    </row>
    <row r="33" spans="1:39">
      <c r="A33" s="2191"/>
      <c r="B33" s="2191"/>
      <c r="C33" s="2191"/>
      <c r="D33" s="2191"/>
      <c r="E33" s="2191"/>
      <c r="F33" s="2191"/>
      <c r="G33" s="2191"/>
      <c r="H33" s="2191"/>
      <c r="I33" s="2184"/>
      <c r="J33" s="2191"/>
      <c r="K33" s="712"/>
      <c r="L33"/>
      <c r="AM33" s="1076"/>
    </row>
    <row r="34" spans="1:39" ht="32">
      <c r="A34" s="2191"/>
      <c r="B34" s="2191"/>
      <c r="C34" s="2191"/>
      <c r="D34" s="2191"/>
      <c r="E34" s="2191"/>
      <c r="F34" s="2191"/>
      <c r="G34" s="2191"/>
      <c r="H34" s="2191"/>
      <c r="I34" s="2184"/>
      <c r="J34" s="2191"/>
      <c r="K34" s="712"/>
      <c r="L34"/>
      <c r="M34" s="1746" t="s">
        <v>3054</v>
      </c>
      <c r="N34" s="1693"/>
      <c r="O34" s="958"/>
      <c r="P34" s="1040">
        <v>0</v>
      </c>
      <c r="Q34" t="s">
        <v>3532</v>
      </c>
      <c r="R34" s="1745"/>
      <c r="AM34" s="1076"/>
    </row>
    <row r="35" spans="1:39" ht="32">
      <c r="A35" s="2191"/>
      <c r="B35" s="2191"/>
      <c r="C35" s="2191"/>
      <c r="D35" s="2191"/>
      <c r="E35" s="2191"/>
      <c r="F35" s="2191"/>
      <c r="G35" s="2191"/>
      <c r="H35" s="2191"/>
      <c r="I35" s="2184"/>
      <c r="J35" s="2191"/>
      <c r="K35" s="712"/>
      <c r="L35"/>
      <c r="M35" s="1746" t="s">
        <v>3055</v>
      </c>
      <c r="N35" s="1693"/>
      <c r="O35" s="958"/>
      <c r="P35" s="1040">
        <v>2</v>
      </c>
      <c r="AM35" s="1076"/>
    </row>
    <row r="36" spans="1:39" ht="32">
      <c r="A36" s="2191"/>
      <c r="B36" s="2191"/>
      <c r="C36" s="2191"/>
      <c r="D36" s="2191"/>
      <c r="E36" s="2191"/>
      <c r="F36" s="2191"/>
      <c r="G36" s="2191"/>
      <c r="H36" s="2191"/>
      <c r="I36" s="2184"/>
      <c r="J36" s="2191"/>
      <c r="K36" s="712"/>
      <c r="L36"/>
      <c r="M36" s="1746" t="s">
        <v>3056</v>
      </c>
      <c r="N36" s="1693"/>
      <c r="O36" s="958"/>
      <c r="P36" s="1040">
        <v>20</v>
      </c>
      <c r="AM36" s="1076"/>
    </row>
    <row r="37" spans="1:39" ht="32">
      <c r="A37" s="2191"/>
      <c r="B37" s="2191"/>
      <c r="C37" s="2191"/>
      <c r="D37" s="2191"/>
      <c r="E37" s="2191"/>
      <c r="F37" s="2191"/>
      <c r="G37" s="2191"/>
      <c r="H37" s="2191"/>
      <c r="I37" s="2184"/>
      <c r="J37" s="2191"/>
      <c r="K37" s="712"/>
      <c r="L37"/>
      <c r="M37" s="1746" t="s">
        <v>3057</v>
      </c>
      <c r="N37" s="1693"/>
      <c r="O37" s="958"/>
      <c r="P37" s="1040">
        <v>1</v>
      </c>
      <c r="AM37" s="1076"/>
    </row>
    <row r="38" spans="1:39" ht="32">
      <c r="A38" s="2191"/>
      <c r="B38" s="2191"/>
      <c r="C38" s="2191"/>
      <c r="D38" s="2191"/>
      <c r="E38" s="2191"/>
      <c r="F38" s="2191"/>
      <c r="G38" s="2191"/>
      <c r="H38" s="2191"/>
      <c r="I38" s="2184"/>
      <c r="J38" s="2191"/>
      <c r="K38" s="712"/>
      <c r="L38"/>
      <c r="M38" s="1746" t="s">
        <v>3052</v>
      </c>
      <c r="N38" s="1693"/>
      <c r="O38" s="1694">
        <v>0.2</v>
      </c>
      <c r="P38" s="1028">
        <f>ROUND(P36*O38,0)</f>
        <v>4</v>
      </c>
      <c r="AM38" s="1076"/>
    </row>
    <row r="39" spans="1:39" ht="48">
      <c r="A39" s="2191"/>
      <c r="B39" s="2191"/>
      <c r="C39" s="2191"/>
      <c r="D39" s="2191"/>
      <c r="E39" s="2191"/>
      <c r="F39" s="2191"/>
      <c r="G39" s="2191"/>
      <c r="H39" s="2191"/>
      <c r="I39" s="2184"/>
      <c r="J39" s="2191"/>
      <c r="K39" s="712"/>
      <c r="L39"/>
      <c r="M39" s="1746" t="s">
        <v>3053</v>
      </c>
      <c r="N39" s="1693"/>
      <c r="O39" s="1694">
        <v>0.65</v>
      </c>
      <c r="P39" s="1028">
        <f>ROUND(P36*O39,0)</f>
        <v>13</v>
      </c>
      <c r="AM39" s="1076"/>
    </row>
    <row r="40" spans="1:39">
      <c r="A40" s="2191"/>
      <c r="B40" s="2191"/>
      <c r="C40" s="2191"/>
      <c r="D40" s="2191"/>
      <c r="E40" s="2191"/>
      <c r="F40" s="2191"/>
      <c r="G40" s="2191"/>
      <c r="H40" s="2191"/>
      <c r="I40" s="2184"/>
      <c r="J40" s="2191"/>
      <c r="K40" s="712"/>
      <c r="L40"/>
      <c r="M40" s="1019" t="s">
        <v>3036</v>
      </c>
      <c r="N40" s="1019"/>
      <c r="O40" s="1695"/>
      <c r="P40" s="1028">
        <f>P37-1</f>
        <v>0</v>
      </c>
      <c r="AM40" s="1076"/>
    </row>
    <row r="41" spans="1:39" ht="16" thickBot="1">
      <c r="A41" s="2191"/>
      <c r="B41" s="2191"/>
      <c r="C41" s="2191"/>
      <c r="D41" s="2191"/>
      <c r="E41" s="2191"/>
      <c r="F41" s="2191"/>
      <c r="G41" s="2191"/>
      <c r="H41" s="2191"/>
      <c r="I41" s="2184"/>
      <c r="J41" s="2191"/>
      <c r="K41" s="712"/>
      <c r="L41"/>
      <c r="AM41" s="1076"/>
    </row>
    <row r="42" spans="1:39" ht="64">
      <c r="A42" s="2191"/>
      <c r="B42" s="2191"/>
      <c r="C42" s="2191"/>
      <c r="D42" s="2191"/>
      <c r="E42" s="2191"/>
      <c r="F42" s="2191"/>
      <c r="G42" s="2191"/>
      <c r="H42" s="2191"/>
      <c r="I42" s="2184"/>
      <c r="J42" s="2191"/>
      <c r="K42" s="712"/>
      <c r="L42"/>
      <c r="M42" s="1699" t="s">
        <v>3033</v>
      </c>
      <c r="N42" s="1700" t="s">
        <v>3034</v>
      </c>
      <c r="O42" s="1702" t="s">
        <v>3040</v>
      </c>
      <c r="P42" s="1702" t="s">
        <v>3041</v>
      </c>
      <c r="Q42" s="1702" t="s">
        <v>3042</v>
      </c>
      <c r="R42" s="1700" t="s">
        <v>3035</v>
      </c>
      <c r="S42" s="1702" t="s">
        <v>3039</v>
      </c>
      <c r="T42" s="1701" t="s">
        <v>2189</v>
      </c>
      <c r="AM42" s="1076"/>
    </row>
    <row r="43" spans="1:39">
      <c r="A43" s="2191"/>
      <c r="B43" s="2191"/>
      <c r="C43" s="2191"/>
      <c r="D43" s="2191"/>
      <c r="E43" s="2191"/>
      <c r="F43" s="2191"/>
      <c r="G43" s="2191"/>
      <c r="H43" s="2191"/>
      <c r="I43" s="2184"/>
      <c r="J43" s="2191"/>
      <c r="K43" s="712"/>
      <c r="L43"/>
      <c r="M43" s="1539" t="s">
        <v>3051</v>
      </c>
      <c r="N43" s="958" t="str">
        <f>IFERROR(VLOOKUP(M43,Price_list!$B$1:$H$187,2,0),"")</f>
        <v>International Consultancy fee (3.1)</v>
      </c>
      <c r="O43" s="958" t="str">
        <f>IFERROR(VLOOKUP(M43,Price_list!$B$1:$H$187,3,0),"")</f>
        <v>cost/zi</v>
      </c>
      <c r="P43" s="946">
        <f>IFERROR(VLOOKUP(M43,Price_list!$B$1:$H$187,4,0),"")</f>
        <v>350</v>
      </c>
      <c r="Q43" s="946" t="str">
        <f>IFERROR(VLOOKUP(M43,Price_list!$B$1:$H$187,5,0),"")</f>
        <v>EUR</v>
      </c>
      <c r="R43" s="958">
        <f ca="1">ROUND(IFERROR(IF(Q43="MDL",P43,P43*INDIRECT(Q43)),0),2)</f>
        <v>6868.65</v>
      </c>
      <c r="S43" s="946">
        <f>P37</f>
        <v>1</v>
      </c>
      <c r="T43" s="1889">
        <f ca="1">IFERROR(P34*R43*S43,"")</f>
        <v>0</v>
      </c>
      <c r="AM43" s="1076"/>
    </row>
    <row r="44" spans="1:39">
      <c r="A44" s="2191"/>
      <c r="B44" s="2191"/>
      <c r="C44" s="2191"/>
      <c r="D44" s="2191"/>
      <c r="E44" s="2191"/>
      <c r="F44" s="2191"/>
      <c r="G44" s="2191"/>
      <c r="H44" s="2191"/>
      <c r="I44" s="2184"/>
      <c r="J44" s="2191"/>
      <c r="K44" s="712"/>
      <c r="L44"/>
      <c r="M44" s="1539" t="s">
        <v>3029</v>
      </c>
      <c r="N44" s="958" t="str">
        <f>IFERROR(VLOOKUP(M44,Price_list!$B$1:$H$187,2,0),"")</f>
        <v xml:space="preserve">Travel costs </v>
      </c>
      <c r="O44" s="958" t="str">
        <f>IFERROR(VLOOKUP(M44,Price_list!$B$1:$H$187,3,0),"")</f>
        <v>cost tichet o directie</v>
      </c>
      <c r="P44" s="946">
        <f>IFERROR(VLOOKUP(M44,Price_list!$B$1:$H$187,4,0),"")</f>
        <v>5000</v>
      </c>
      <c r="Q44" s="946" t="str">
        <f>IFERROR(VLOOKUP(M44,Price_list!$B$1:$H$187,5,0),"")</f>
        <v>MDL</v>
      </c>
      <c r="R44" s="958">
        <f t="shared" ref="R44:R60" ca="1" si="3">ROUND(IFERROR(IF(Q44="MDL",P44,P44*INDIRECT(Q44)),0),2)</f>
        <v>5000</v>
      </c>
      <c r="S44" s="1040">
        <v>2</v>
      </c>
      <c r="T44" s="1889">
        <f ca="1">P34*S44*R44</f>
        <v>0</v>
      </c>
      <c r="AM44" s="1076"/>
    </row>
    <row r="45" spans="1:39">
      <c r="A45" s="2191"/>
      <c r="B45" s="2191"/>
      <c r="C45" s="2191"/>
      <c r="D45" s="2191"/>
      <c r="E45" s="2191"/>
      <c r="F45" s="2191"/>
      <c r="G45" s="2191"/>
      <c r="H45" s="2191"/>
      <c r="I45" s="2184"/>
      <c r="J45" s="2191"/>
      <c r="K45" s="712"/>
      <c r="L45"/>
      <c r="M45" s="1539" t="s">
        <v>3020</v>
      </c>
      <c r="N45" s="958" t="str">
        <f>IFERROR(VLOOKUP(M45,Price_list!$B$1:$H$187,2,0),"")</f>
        <v xml:space="preserve">Per diem, WHO DSA, average </v>
      </c>
      <c r="O45" s="958" t="str">
        <f>IFERROR(VLOOKUP(M45,Price_list!$B$1:$H$187,3,0),"")</f>
        <v>diurna</v>
      </c>
      <c r="P45" s="946">
        <f>IFERROR(VLOOKUP(M45,Price_list!$B$1:$H$187,4,0),"")</f>
        <v>200</v>
      </c>
      <c r="Q45" s="946" t="str">
        <f>IFERROR(VLOOKUP(M45,Price_list!$B$1:$H$187,5,0),"")</f>
        <v>EUR</v>
      </c>
      <c r="R45" s="958">
        <f t="shared" ca="1" si="3"/>
        <v>3924.94</v>
      </c>
      <c r="S45" s="946">
        <f>P37+1</f>
        <v>2</v>
      </c>
      <c r="T45" s="1889">
        <f ca="1">P34*R45*S45</f>
        <v>0</v>
      </c>
      <c r="AM45" s="1076"/>
    </row>
    <row r="46" spans="1:39">
      <c r="A46" s="2191"/>
      <c r="B46" s="2191"/>
      <c r="C46" s="2191"/>
      <c r="D46" s="2191"/>
      <c r="E46" s="2191"/>
      <c r="F46" s="2191"/>
      <c r="G46" s="2191"/>
      <c r="H46" s="2191"/>
      <c r="I46" s="2184"/>
      <c r="J46" s="2191"/>
      <c r="K46" s="712"/>
      <c r="L46"/>
      <c r="M46" s="1539" t="s">
        <v>3050</v>
      </c>
      <c r="N46" s="958" t="str">
        <f>IFERROR(VLOOKUP(M46,Price_list!$B$1:$H$187,2,0),"")</f>
        <v>National Consultancy fee (3.1)</v>
      </c>
      <c r="O46" s="958" t="str">
        <f>IFERROR(VLOOKUP(M46,Price_list!$B$1:$H$187,3,0),"")</f>
        <v>cost/zi</v>
      </c>
      <c r="P46" s="946">
        <f>IFERROR(VLOOKUP(M46,Price_list!$B$1:$H$187,4,0),"")</f>
        <v>2000</v>
      </c>
      <c r="Q46" s="946" t="str">
        <f>IFERROR(VLOOKUP(M46,Price_list!$B$1:$H$187,5,0),"")</f>
        <v>MDL</v>
      </c>
      <c r="R46" s="958">
        <f t="shared" ca="1" si="3"/>
        <v>2000</v>
      </c>
      <c r="S46" s="946">
        <f>P37</f>
        <v>1</v>
      </c>
      <c r="T46" s="1889">
        <f ca="1">P35*R46*S46</f>
        <v>4000</v>
      </c>
      <c r="AM46" s="1076"/>
    </row>
    <row r="47" spans="1:39">
      <c r="A47" s="2191"/>
      <c r="B47" s="2191"/>
      <c r="C47" s="2191"/>
      <c r="D47" s="2191"/>
      <c r="E47" s="2191"/>
      <c r="F47" s="2191"/>
      <c r="G47" s="2191"/>
      <c r="H47" s="2191"/>
      <c r="I47" s="2184"/>
      <c r="J47" s="2191"/>
      <c r="K47" s="712"/>
      <c r="L47"/>
      <c r="M47" s="1539"/>
      <c r="N47" s="958" t="str">
        <f>IFERROR(VLOOKUP(M47,Price_list!$B$1:$H$187,2,0),"")</f>
        <v/>
      </c>
      <c r="O47" s="958" t="str">
        <f>IFERROR(VLOOKUP(M47,Price_list!$B$1:$H$187,3,0),"")</f>
        <v/>
      </c>
      <c r="P47" s="946" t="str">
        <f>IFERROR(VLOOKUP(M47,Price_list!$B$1:$H$187,4,0),"")</f>
        <v/>
      </c>
      <c r="Q47" s="946" t="str">
        <f>IFERROR(VLOOKUP(M47,Price_list!$B$1:$H$187,5,0),"")</f>
        <v/>
      </c>
      <c r="R47" s="958">
        <f t="shared" ca="1" si="3"/>
        <v>0</v>
      </c>
      <c r="S47" s="946" t="str">
        <f>IFERROR(VLOOKUP(AD47,M38:O43,3,0),"")</f>
        <v/>
      </c>
      <c r="T47" s="1889" t="str">
        <f>IFERROR(#REF!*S47*P47,"")</f>
        <v/>
      </c>
      <c r="AM47" s="1076"/>
    </row>
    <row r="48" spans="1:39">
      <c r="A48" s="2191"/>
      <c r="B48" s="2191"/>
      <c r="C48" s="2191"/>
      <c r="D48" s="2191"/>
      <c r="E48" s="2191"/>
      <c r="F48" s="2191"/>
      <c r="G48" s="2191"/>
      <c r="H48" s="2191"/>
      <c r="I48" s="2184"/>
      <c r="J48" s="2191"/>
      <c r="K48" s="712"/>
      <c r="L48"/>
      <c r="M48" s="1539"/>
      <c r="N48" s="958" t="str">
        <f>IFERROR(VLOOKUP(M48,Price_list!$B$1:$H$187,2,0),"")</f>
        <v/>
      </c>
      <c r="O48" s="958" t="str">
        <f>IFERROR(VLOOKUP(M48,Price_list!$B$1:$H$187,3,0),"")</f>
        <v/>
      </c>
      <c r="P48" s="946" t="str">
        <f>IFERROR(VLOOKUP(M48,Price_list!$B$1:$H$187,4,0),"")</f>
        <v/>
      </c>
      <c r="Q48" s="946" t="str">
        <f>IFERROR(VLOOKUP(M48,Price_list!$B$1:$H$187,5,0),"")</f>
        <v/>
      </c>
      <c r="R48" s="958">
        <f t="shared" ca="1" si="3"/>
        <v>0</v>
      </c>
      <c r="S48" s="946" t="str">
        <f>IFERROR(VLOOKUP(AD48,M40:O44,3,0),"")</f>
        <v/>
      </c>
      <c r="T48" s="1889" t="str">
        <f>IFERROR(#REF!*S48*P48,"")</f>
        <v/>
      </c>
      <c r="AM48" s="1076"/>
    </row>
    <row r="49" spans="1:39">
      <c r="A49" s="2191"/>
      <c r="B49" s="2191"/>
      <c r="C49" s="2191"/>
      <c r="D49" s="2191"/>
      <c r="E49" s="2191"/>
      <c r="F49" s="2191"/>
      <c r="G49" s="2191"/>
      <c r="H49" s="2191"/>
      <c r="I49" s="2184"/>
      <c r="J49" s="2191"/>
      <c r="K49" s="712"/>
      <c r="L49"/>
      <c r="M49" s="1539" t="s">
        <v>3016</v>
      </c>
      <c r="N49" s="958" t="str">
        <f>IFERROR(VLOOKUP(M49,Price_list!$B$1:$H$187,2,0),"")</f>
        <v>Coffe break</v>
      </c>
      <c r="O49" s="958" t="str">
        <f>IFERROR(VLOOKUP(M49,Price_list!$B$1:$H$187,3,0),"")</f>
        <v>unitate</v>
      </c>
      <c r="P49" s="946">
        <f>IFERROR(VLOOKUP(M49,Price_list!$B$1:$H$187,4,0),"")</f>
        <v>75</v>
      </c>
      <c r="Q49" s="946" t="str">
        <f>IFERROR(VLOOKUP(M49,Price_list!$B$1:$H$187,5,0),"")</f>
        <v>MDL</v>
      </c>
      <c r="R49" s="958">
        <f t="shared" ca="1" si="3"/>
        <v>75</v>
      </c>
      <c r="S49" s="946">
        <v>2</v>
      </c>
      <c r="T49" s="1889">
        <f ca="1">S49*R49*P36*P37</f>
        <v>3000</v>
      </c>
      <c r="AM49" s="1076"/>
    </row>
    <row r="50" spans="1:39">
      <c r="A50" s="2191"/>
      <c r="B50" s="2191"/>
      <c r="C50" s="2191"/>
      <c r="D50" s="2191"/>
      <c r="E50" s="2191"/>
      <c r="F50" s="2191"/>
      <c r="G50" s="2191"/>
      <c r="H50" s="2191"/>
      <c r="I50" s="2184"/>
      <c r="J50" s="2191"/>
      <c r="K50" s="712"/>
      <c r="L50"/>
      <c r="M50" s="1539" t="s">
        <v>3021</v>
      </c>
      <c r="N50" s="958" t="str">
        <f>IFERROR(VLOOKUP(M50,Price_list!$B$1:$H$187,2,0),"")</f>
        <v xml:space="preserve">Meal ( lunch) </v>
      </c>
      <c r="O50" s="958" t="str">
        <f>IFERROR(VLOOKUP(M50,Price_list!$B$1:$H$187,3,0),"")</f>
        <v>unitate</v>
      </c>
      <c r="P50" s="946">
        <f>IFERROR(VLOOKUP(M50,Price_list!$B$1:$H$187,4,0),"")</f>
        <v>220</v>
      </c>
      <c r="Q50" s="946" t="str">
        <f>IFERROR(VLOOKUP(M50,Price_list!$B$1:$H$187,5,0),"")</f>
        <v>MDL</v>
      </c>
      <c r="R50" s="958">
        <f t="shared" ca="1" si="3"/>
        <v>220</v>
      </c>
      <c r="S50" s="946">
        <f>P37</f>
        <v>1</v>
      </c>
      <c r="T50" s="1889">
        <f ca="1">P36*S50*R50</f>
        <v>4400</v>
      </c>
      <c r="AM50" s="1076"/>
    </row>
    <row r="51" spans="1:39">
      <c r="A51" s="2191"/>
      <c r="B51" s="2191"/>
      <c r="C51" s="2191"/>
      <c r="D51" s="2191"/>
      <c r="E51" s="2191"/>
      <c r="F51" s="2191"/>
      <c r="G51" s="2191"/>
      <c r="H51" s="2191"/>
      <c r="I51" s="2184"/>
      <c r="J51" s="2191"/>
      <c r="K51" s="712"/>
      <c r="L51"/>
      <c r="M51" s="1539" t="s">
        <v>3023</v>
      </c>
      <c r="N51" s="958" t="str">
        <f>IFERROR(VLOOKUP(M51,Price_list!$B$1:$H$187,2,0),"")</f>
        <v>Meal(dinner)</v>
      </c>
      <c r="O51" s="958" t="str">
        <f>IFERROR(VLOOKUP(M51,Price_list!$B$1:$H$187,3,0),"")</f>
        <v>unitate</v>
      </c>
      <c r="P51" s="946">
        <f>IFERROR(VLOOKUP(M51,Price_list!$B$1:$H$187,4,0),"")</f>
        <v>220</v>
      </c>
      <c r="Q51" s="946" t="str">
        <f>IFERROR(VLOOKUP(M51,Price_list!$B$1:$H$187,5,0),"")</f>
        <v>MDL</v>
      </c>
      <c r="R51" s="958">
        <f t="shared" ca="1" si="3"/>
        <v>220</v>
      </c>
      <c r="S51" s="946">
        <f>P40</f>
        <v>0</v>
      </c>
      <c r="T51" s="1889">
        <f ca="1">S51*R51*P38</f>
        <v>0</v>
      </c>
      <c r="AM51" s="1076"/>
    </row>
    <row r="52" spans="1:39">
      <c r="A52" s="2191"/>
      <c r="B52" s="2191"/>
      <c r="C52" s="2191"/>
      <c r="D52" s="2191"/>
      <c r="E52" s="2191"/>
      <c r="F52" s="2191"/>
      <c r="G52" s="2191"/>
      <c r="H52" s="2191"/>
      <c r="I52" s="2184"/>
      <c r="J52" s="2191"/>
      <c r="K52" s="712"/>
      <c r="L52"/>
      <c r="M52" s="1539" t="s">
        <v>3024</v>
      </c>
      <c r="N52" s="958" t="str">
        <f>IFERROR(VLOOKUP(M52,Price_list!$B$1:$H$187,2,0),"")</f>
        <v xml:space="preserve">Accomodation </v>
      </c>
      <c r="O52" s="958" t="str">
        <f>IFERROR(VLOOKUP(M52,Price_list!$B$1:$H$187,3,0),"")</f>
        <v>cost/noapte</v>
      </c>
      <c r="P52" s="946">
        <f>IFERROR(VLOOKUP(M52,Price_list!$B$1:$H$187,4,0),"")</f>
        <v>750</v>
      </c>
      <c r="Q52" s="946" t="str">
        <f>IFERROR(VLOOKUP(M52,Price_list!$B$1:$H$187,5,0),"")</f>
        <v>MDL</v>
      </c>
      <c r="R52" s="958">
        <f t="shared" ca="1" si="3"/>
        <v>750</v>
      </c>
      <c r="S52" s="946">
        <f>P40</f>
        <v>0</v>
      </c>
      <c r="T52" s="1889">
        <f ca="1">S52*R52*P38</f>
        <v>0</v>
      </c>
      <c r="AM52" s="1076"/>
    </row>
    <row r="53" spans="1:39">
      <c r="A53" s="2191"/>
      <c r="B53" s="2191"/>
      <c r="C53" s="2191"/>
      <c r="D53" s="2191"/>
      <c r="E53" s="2191"/>
      <c r="F53" s="2191"/>
      <c r="G53" s="2191"/>
      <c r="H53" s="2191"/>
      <c r="I53" s="2184"/>
      <c r="J53" s="2191"/>
      <c r="K53" s="712"/>
      <c r="L53"/>
      <c r="M53" s="1539" t="s">
        <v>3030</v>
      </c>
      <c r="N53" s="958" t="str">
        <f>IFERROR(VLOOKUP(M53,Price_list!$B$1:$H$187,2,0),"")</f>
        <v>Travel participants</v>
      </c>
      <c r="O53" s="958" t="str">
        <f>IFERROR(VLOOKUP(M53,Price_list!$B$1:$H$187,3,0),"")</f>
        <v>cost tichet o directie</v>
      </c>
      <c r="P53" s="946">
        <f>IFERROR(VLOOKUP(M53,Price_list!$B$1:$H$187,4,0),"")</f>
        <v>80</v>
      </c>
      <c r="Q53" s="946" t="str">
        <f>IFERROR(VLOOKUP(M53,Price_list!$B$1:$H$187,5,0),"")</f>
        <v>MDL</v>
      </c>
      <c r="R53" s="958">
        <f t="shared" ca="1" si="3"/>
        <v>80</v>
      </c>
      <c r="S53" s="1040">
        <v>2</v>
      </c>
      <c r="T53" s="1889">
        <f ca="1">S53*P39*R53</f>
        <v>2080</v>
      </c>
      <c r="AM53" s="1076"/>
    </row>
    <row r="54" spans="1:39">
      <c r="A54" s="2191"/>
      <c r="B54" s="2191"/>
      <c r="C54" s="2191"/>
      <c r="D54" s="2191"/>
      <c r="E54" s="2191"/>
      <c r="F54" s="2191"/>
      <c r="G54" s="2191"/>
      <c r="H54" s="2191"/>
      <c r="I54" s="2184"/>
      <c r="J54" s="2191"/>
      <c r="K54" s="712"/>
      <c r="L54"/>
      <c r="M54" s="1539"/>
      <c r="N54" s="958" t="str">
        <f>IFERROR(VLOOKUP(M54,Price_list!$B$1:$H$187,2,0),"")</f>
        <v/>
      </c>
      <c r="O54" s="958" t="str">
        <f>IFERROR(VLOOKUP(M54,Price_list!$B$1:$H$187,3,0),"")</f>
        <v/>
      </c>
      <c r="P54" s="946" t="str">
        <f>IFERROR(VLOOKUP(M54,Price_list!$B$1:$H$187,4,0),"")</f>
        <v/>
      </c>
      <c r="Q54" s="946" t="str">
        <f>IFERROR(VLOOKUP(M54,Price_list!$B$1:$H$187,5,0),"")</f>
        <v/>
      </c>
      <c r="R54" s="958">
        <f t="shared" ca="1" si="3"/>
        <v>0</v>
      </c>
      <c r="S54" s="946" t="str">
        <f>IFERROR(VLOOKUP(AD54,M44:O50,3,0),"")</f>
        <v/>
      </c>
      <c r="T54" s="1889" t="str">
        <f>IFERROR(#REF!*S54*P54,"")</f>
        <v/>
      </c>
      <c r="AM54" s="1076"/>
    </row>
    <row r="55" spans="1:39">
      <c r="A55" s="2191"/>
      <c r="B55" s="2191"/>
      <c r="C55" s="2191"/>
      <c r="D55" s="2191"/>
      <c r="E55" s="2191"/>
      <c r="F55" s="2191"/>
      <c r="G55" s="2191"/>
      <c r="H55" s="2191"/>
      <c r="I55" s="2184"/>
      <c r="J55" s="2191"/>
      <c r="K55" s="712"/>
      <c r="L55"/>
      <c r="M55" s="1539" t="s">
        <v>3025</v>
      </c>
      <c r="N55" s="958" t="str">
        <f>IFERROR(VLOOKUP(M55,Price_list!$B$1:$H$187,2,0),"")</f>
        <v>Supplies</v>
      </c>
      <c r="O55" s="958" t="str">
        <f>IFERROR(VLOOKUP(M55,Price_list!$B$1:$H$187,3,0),"")</f>
        <v>set/participant</v>
      </c>
      <c r="P55" s="946">
        <f>IFERROR(VLOOKUP(M55,Price_list!$B$1:$H$187,4,0),"")</f>
        <v>140</v>
      </c>
      <c r="Q55" s="946" t="str">
        <f>IFERROR(VLOOKUP(M55,Price_list!$B$1:$H$187,5,0),"")</f>
        <v>MDL</v>
      </c>
      <c r="R55" s="958">
        <f t="shared" ca="1" si="3"/>
        <v>140</v>
      </c>
      <c r="S55" s="946">
        <v>1</v>
      </c>
      <c r="T55" s="1889">
        <f ca="1">S55*R55*P36</f>
        <v>2800</v>
      </c>
      <c r="AM55" s="1076"/>
    </row>
    <row r="56" spans="1:39">
      <c r="A56" s="2191"/>
      <c r="B56" s="2191"/>
      <c r="C56" s="2191"/>
      <c r="D56" s="2191"/>
      <c r="E56" s="2191"/>
      <c r="F56" s="2191"/>
      <c r="G56" s="2191"/>
      <c r="H56" s="2191"/>
      <c r="I56" s="2184"/>
      <c r="J56" s="2191"/>
      <c r="K56" s="712"/>
      <c r="L56"/>
      <c r="M56" s="1539" t="s">
        <v>3022</v>
      </c>
      <c r="N56" s="958" t="str">
        <f>IFERROR(VLOOKUP(M56,Price_list!$B$1:$H$187,2,0),"")</f>
        <v>Rent of premises</v>
      </c>
      <c r="O56" s="958" t="str">
        <f>IFERROR(VLOOKUP(M56,Price_list!$B$1:$H$187,3,0),"")</f>
        <v>cost/zi</v>
      </c>
      <c r="P56" s="946">
        <f>IFERROR(VLOOKUP(M56,Price_list!$B$1:$H$187,4,0),"")</f>
        <v>1800</v>
      </c>
      <c r="Q56" s="946" t="str">
        <f>IFERROR(VLOOKUP(M56,Price_list!$B$1:$H$187,5,0),"")</f>
        <v>MDL</v>
      </c>
      <c r="R56" s="958">
        <f t="shared" ca="1" si="3"/>
        <v>1800</v>
      </c>
      <c r="S56" s="946">
        <f>P37</f>
        <v>1</v>
      </c>
      <c r="T56" s="1889">
        <f ca="1">S56*R56</f>
        <v>1800</v>
      </c>
      <c r="AM56" s="1076"/>
    </row>
    <row r="57" spans="1:39">
      <c r="A57" s="2191"/>
      <c r="B57" s="2191"/>
      <c r="C57" s="2191"/>
      <c r="D57" s="2191"/>
      <c r="E57" s="2191"/>
      <c r="F57" s="2191"/>
      <c r="G57" s="2191"/>
      <c r="H57" s="2191"/>
      <c r="I57" s="2184"/>
      <c r="J57" s="2191"/>
      <c r="K57" s="712"/>
      <c r="L57"/>
      <c r="M57" s="1539" t="s">
        <v>3031</v>
      </c>
      <c r="N57" s="958" t="str">
        <f>IFERROR(VLOOKUP(M57,Price_list!$B$1:$H$187,2,0),"")</f>
        <v>Interpreter's fee, per day</v>
      </c>
      <c r="O57" s="958" t="str">
        <f>IFERROR(VLOOKUP(M57,Price_list!$B$1:$H$187,3,0),"")</f>
        <v>cost/zi</v>
      </c>
      <c r="P57" s="946">
        <f>IFERROR(VLOOKUP(M57,Price_list!$B$1:$H$187,4,0),"")</f>
        <v>2000</v>
      </c>
      <c r="Q57" s="946" t="str">
        <f>IFERROR(VLOOKUP(M57,Price_list!$B$1:$H$187,5,0),"")</f>
        <v>MDL</v>
      </c>
      <c r="R57" s="958">
        <f t="shared" ca="1" si="3"/>
        <v>2000</v>
      </c>
      <c r="S57" s="946">
        <f>IF(P34&gt;0,P37,0)</f>
        <v>0</v>
      </c>
      <c r="T57" s="1889">
        <f ca="1">S57*R57</f>
        <v>0</v>
      </c>
      <c r="AM57" s="1076"/>
    </row>
    <row r="58" spans="1:39">
      <c r="A58" s="2191"/>
      <c r="B58" s="2191"/>
      <c r="C58" s="2191"/>
      <c r="D58" s="2191"/>
      <c r="E58" s="2191"/>
      <c r="F58" s="2191"/>
      <c r="G58" s="2191"/>
      <c r="H58" s="2191"/>
      <c r="I58" s="2184"/>
      <c r="J58" s="2191"/>
      <c r="K58" s="712"/>
      <c r="L58"/>
      <c r="M58" s="1539"/>
      <c r="N58" s="958" t="str">
        <f>IFERROR(VLOOKUP(M58,Price_list!$B$1:$H$187,2,0),"")</f>
        <v/>
      </c>
      <c r="O58" s="958" t="str">
        <f>IFERROR(VLOOKUP(M58,Price_list!$B$1:$H$187,3,0),"")</f>
        <v/>
      </c>
      <c r="P58" s="946" t="str">
        <f>IFERROR(VLOOKUP(M58,Price_list!$B$1:$H$187,4,0),"")</f>
        <v/>
      </c>
      <c r="Q58" s="946" t="str">
        <f>IFERROR(VLOOKUP(M58,Price_list!$B$1:$H$187,5,0),"")</f>
        <v/>
      </c>
      <c r="R58" s="958">
        <f t="shared" ca="1" si="3"/>
        <v>0</v>
      </c>
      <c r="S58" s="946" t="str">
        <f>IFERROR(VLOOKUP(AD58,M49:O53,3,0),"")</f>
        <v/>
      </c>
      <c r="T58" s="1889" t="str">
        <f>IFERROR(#REF!*S58*P58,"")</f>
        <v/>
      </c>
      <c r="AM58" s="1076"/>
    </row>
    <row r="59" spans="1:39">
      <c r="A59" s="2191"/>
      <c r="B59" s="2191"/>
      <c r="C59" s="2191"/>
      <c r="D59" s="2191"/>
      <c r="E59" s="2191"/>
      <c r="F59" s="2191"/>
      <c r="G59" s="2191"/>
      <c r="H59" s="2191"/>
      <c r="I59" s="2184"/>
      <c r="J59" s="2191"/>
      <c r="K59" s="712"/>
      <c r="L59"/>
      <c r="M59" s="1539"/>
      <c r="N59" s="958" t="str">
        <f>IFERROR(VLOOKUP(M59,Price_list!$B$1:$H$187,2,0),"")</f>
        <v/>
      </c>
      <c r="O59" s="958" t="str">
        <f>IFERROR(VLOOKUP(M59,Price_list!$B$1:$H$187,3,0),"")</f>
        <v/>
      </c>
      <c r="P59" s="946" t="str">
        <f>IFERROR(VLOOKUP(M59,Price_list!$B$1:$H$187,4,0),"")</f>
        <v/>
      </c>
      <c r="Q59" s="946" t="str">
        <f>IFERROR(VLOOKUP(M59,Price_list!$B$1:$H$187,5,0),"")</f>
        <v/>
      </c>
      <c r="R59" s="958">
        <f t="shared" ca="1" si="3"/>
        <v>0</v>
      </c>
      <c r="S59" s="946" t="str">
        <f>IFERROR(VLOOKUP(AD59,M50:O55,3,0),"")</f>
        <v/>
      </c>
      <c r="T59" s="1889" t="str">
        <f>IFERROR(#REF!*S59*P59,"")</f>
        <v/>
      </c>
      <c r="AM59" s="1076"/>
    </row>
    <row r="60" spans="1:39">
      <c r="A60" s="2191"/>
      <c r="B60" s="2191"/>
      <c r="C60" s="2191"/>
      <c r="D60" s="2191"/>
      <c r="E60" s="2191"/>
      <c r="F60" s="2191"/>
      <c r="G60" s="2191"/>
      <c r="H60" s="2191"/>
      <c r="I60" s="2184"/>
      <c r="J60" s="2191"/>
      <c r="K60" s="712"/>
      <c r="L60"/>
      <c r="M60" s="1539"/>
      <c r="N60" s="958" t="str">
        <f>IFERROR(VLOOKUP(M60,Price_list!$B$1:$H$187,2,0),"")</f>
        <v/>
      </c>
      <c r="O60" s="958" t="str">
        <f>IFERROR(VLOOKUP(M60,Price_list!$B$1:$H$187,3,0),"")</f>
        <v/>
      </c>
      <c r="P60" s="946" t="str">
        <f>IFERROR(VLOOKUP(M60,Price_list!$B$1:$H$187,4,0),"")</f>
        <v/>
      </c>
      <c r="Q60" s="946" t="str">
        <f>IFERROR(VLOOKUP(M60,Price_list!$B$1:$H$187,5,0),"")</f>
        <v/>
      </c>
      <c r="R60" s="958">
        <f t="shared" ca="1" si="3"/>
        <v>0</v>
      </c>
      <c r="S60" s="946" t="str">
        <f>IFERROR(VLOOKUP(AD60,M51:O56,3,0),"")</f>
        <v/>
      </c>
      <c r="T60" s="1889" t="str">
        <f>IFERROR(#REF!*S60*P60,"")</f>
        <v/>
      </c>
      <c r="AM60" s="1076"/>
    </row>
    <row r="61" spans="1:39" ht="16" thickBot="1">
      <c r="A61" s="2191"/>
      <c r="B61" s="2191"/>
      <c r="C61" s="2191"/>
      <c r="D61" s="2191"/>
      <c r="E61" s="2191"/>
      <c r="F61" s="2191"/>
      <c r="G61" s="2191"/>
      <c r="H61" s="2191"/>
      <c r="I61" s="2184"/>
      <c r="J61" s="2191"/>
      <c r="K61" s="712"/>
      <c r="L61"/>
      <c r="M61" s="1697"/>
      <c r="N61" s="1698" t="str">
        <f>IFERROR(VLOOKUP(M61,Price_list!$B$1:$H$187,2,0),"")</f>
        <v/>
      </c>
      <c r="O61" s="1698" t="str">
        <f>IFERROR(VLOOKUP(M61,Price_list!$B$1:$H$187,3,0),"")</f>
        <v/>
      </c>
      <c r="P61" s="1034" t="str">
        <f>IFERROR(VLOOKUP(M61,Price_list!$B$1:$H$187,4,0),"")</f>
        <v/>
      </c>
      <c r="Q61" s="1034" t="str">
        <f>IFERROR(VLOOKUP(M61,Price_list!$B$1:$H$187,5,0),"")</f>
        <v/>
      </c>
      <c r="R61" s="1698"/>
      <c r="S61" s="1034" t="str">
        <f>IFERROR(VLOOKUP(AD61,M52:O57,3,0),"")</f>
        <v/>
      </c>
      <c r="T61" s="1703">
        <f ca="1">SUM(T43:T60)</f>
        <v>18080</v>
      </c>
      <c r="AM61" s="1076"/>
    </row>
    <row r="62" spans="1:39">
      <c r="A62" s="2191"/>
      <c r="B62" s="2191"/>
      <c r="C62" s="2191"/>
      <c r="D62" s="2191"/>
      <c r="E62" s="2191"/>
      <c r="F62" s="2191"/>
      <c r="G62" s="2191"/>
      <c r="H62" s="2191"/>
      <c r="I62" s="2184"/>
      <c r="J62" s="2191"/>
      <c r="K62" s="712"/>
      <c r="L62"/>
      <c r="M62" s="1741" t="s">
        <v>3037</v>
      </c>
      <c r="N62" s="1742" t="s">
        <v>3006</v>
      </c>
      <c r="O62" s="1743"/>
      <c r="P62" s="1744">
        <v>7.0000000000000007E-2</v>
      </c>
      <c r="Q62" s="1741"/>
      <c r="R62" s="1741"/>
      <c r="S62" s="1741"/>
      <c r="T62" s="1741">
        <f ca="1">ROUND(T61*P62,2)</f>
        <v>1265.5999999999999</v>
      </c>
      <c r="AM62" s="1076"/>
    </row>
    <row r="63" spans="1:39" ht="16" thickBot="1">
      <c r="A63" s="2191"/>
      <c r="B63" s="2191"/>
      <c r="C63" s="2191"/>
      <c r="D63" s="2191"/>
      <c r="E63" s="2191"/>
      <c r="F63" s="2191"/>
      <c r="G63" s="2191"/>
      <c r="H63" s="2191"/>
      <c r="I63" s="2184"/>
      <c r="J63" s="2191"/>
      <c r="K63" s="712"/>
      <c r="L63"/>
      <c r="AM63" s="1076"/>
    </row>
    <row r="64" spans="1:39" ht="16" thickBot="1">
      <c r="A64" s="2191"/>
      <c r="B64" s="2191"/>
      <c r="C64" s="2191"/>
      <c r="D64" s="2191"/>
      <c r="E64" s="2191"/>
      <c r="F64" s="2191"/>
      <c r="G64" s="2191"/>
      <c r="H64" s="2191"/>
      <c r="I64" s="2184"/>
      <c r="J64" s="2191"/>
      <c r="K64" s="712"/>
      <c r="L64"/>
      <c r="M64" s="1704" t="s">
        <v>3038</v>
      </c>
      <c r="N64" s="1705"/>
      <c r="O64" s="1705"/>
      <c r="P64" s="1705"/>
      <c r="Q64" s="1705"/>
      <c r="R64" s="1705"/>
      <c r="S64" s="1705"/>
      <c r="T64" s="1706">
        <f ca="1">T62+T61</f>
        <v>19345.599999999999</v>
      </c>
      <c r="AM64" s="1076"/>
    </row>
    <row r="65" spans="1:39">
      <c r="A65" s="2191"/>
      <c r="B65" s="2191"/>
      <c r="C65" s="2191"/>
      <c r="D65" s="2191"/>
      <c r="E65" s="2191"/>
      <c r="F65" s="2191"/>
      <c r="G65" s="2191"/>
      <c r="H65" s="2191"/>
      <c r="I65" s="2184"/>
      <c r="J65" s="2191"/>
      <c r="K65" s="712"/>
      <c r="L65"/>
      <c r="AM65" s="1076"/>
    </row>
    <row r="66" spans="1:39" ht="16" thickBot="1">
      <c r="A66" s="2191"/>
      <c r="B66" s="2191"/>
      <c r="C66" s="2191"/>
      <c r="D66" s="2191"/>
      <c r="E66" s="2191"/>
      <c r="F66" s="2191"/>
      <c r="G66" s="2191"/>
      <c r="H66" s="2191"/>
      <c r="I66" s="2184"/>
      <c r="J66" s="2191"/>
      <c r="K66" s="712"/>
      <c r="L66"/>
      <c r="AM66" s="1076"/>
    </row>
    <row r="67" spans="1:39" ht="16" thickBot="1">
      <c r="A67" s="2191"/>
      <c r="B67" s="2191"/>
      <c r="C67" s="2191"/>
      <c r="D67" s="2191"/>
      <c r="E67" s="2191"/>
      <c r="F67" s="2191"/>
      <c r="G67" s="2191"/>
      <c r="H67" s="2191"/>
      <c r="I67" s="2184"/>
      <c r="J67" s="2191"/>
      <c r="K67" s="712"/>
      <c r="L67"/>
      <c r="M67" t="s">
        <v>2171</v>
      </c>
      <c r="P67" s="1500">
        <v>2021</v>
      </c>
      <c r="Q67" s="1501">
        <v>2022</v>
      </c>
      <c r="R67" s="1501">
        <v>2023</v>
      </c>
      <c r="S67" s="1501">
        <v>2024</v>
      </c>
      <c r="T67" s="1502">
        <v>2025</v>
      </c>
      <c r="AM67" s="1076"/>
    </row>
    <row r="68" spans="1:39" ht="16" thickBot="1">
      <c r="A68" s="2191"/>
      <c r="B68" s="2191"/>
      <c r="C68" s="2191"/>
      <c r="D68" s="2191"/>
      <c r="E68" s="2191"/>
      <c r="F68" s="2191"/>
      <c r="G68" s="2191"/>
      <c r="H68" s="2191"/>
      <c r="I68" s="2184"/>
      <c r="J68" s="2191"/>
      <c r="K68" s="712"/>
      <c r="L68"/>
      <c r="M68" s="1503" t="s">
        <v>3043</v>
      </c>
      <c r="N68" s="1504"/>
      <c r="O68" s="1504"/>
      <c r="P68" s="1713"/>
      <c r="Q68" s="1713">
        <v>0</v>
      </c>
      <c r="R68" s="1713">
        <v>0</v>
      </c>
      <c r="S68" s="1713">
        <v>0</v>
      </c>
      <c r="T68" s="1713">
        <v>0</v>
      </c>
      <c r="AM68" s="1076"/>
    </row>
    <row r="69" spans="1:39" ht="16" thickBot="1">
      <c r="A69" s="2157">
        <v>36</v>
      </c>
      <c r="B69" s="841">
        <f ca="1">P69</f>
        <v>0</v>
      </c>
      <c r="C69" s="841">
        <f t="shared" ref="C69" ca="1" si="4">Q69</f>
        <v>0</v>
      </c>
      <c r="D69" s="841">
        <f t="shared" ref="D69" ca="1" si="5">R69</f>
        <v>0</v>
      </c>
      <c r="E69" s="841">
        <f t="shared" ref="E69" ca="1" si="6">S69</f>
        <v>0</v>
      </c>
      <c r="F69" s="841">
        <f t="shared" ref="F69" ca="1" si="7">T69</f>
        <v>0</v>
      </c>
      <c r="G69" s="841" t="s">
        <v>351</v>
      </c>
      <c r="H69" s="841" t="s">
        <v>3084</v>
      </c>
      <c r="I69" s="2183" t="s">
        <v>3716</v>
      </c>
      <c r="J69" s="841" t="s">
        <v>2957</v>
      </c>
      <c r="K69" s="712"/>
      <c r="L69"/>
      <c r="M69" s="1710" t="s">
        <v>3044</v>
      </c>
      <c r="N69" s="1709"/>
      <c r="O69" s="1708"/>
      <c r="P69" s="1495">
        <f ca="1">T64*P68</f>
        <v>0</v>
      </c>
      <c r="Q69" s="1495">
        <f ca="1">T64*Q68</f>
        <v>0</v>
      </c>
      <c r="R69" s="1495">
        <f ca="1">T64*R68</f>
        <v>0</v>
      </c>
      <c r="S69" s="1495">
        <f ca="1">T64*S68</f>
        <v>0</v>
      </c>
      <c r="T69" s="1495">
        <f ca="1">T64*T68</f>
        <v>0</v>
      </c>
      <c r="AM69" s="1076"/>
    </row>
    <row r="70" spans="1:39">
      <c r="A70" s="2191"/>
      <c r="B70" s="2191"/>
      <c r="C70" s="2191"/>
      <c r="D70" s="2191"/>
      <c r="E70" s="2191"/>
      <c r="F70" s="2191"/>
      <c r="G70" s="2191"/>
      <c r="H70" s="2191"/>
      <c r="I70" s="2184"/>
      <c r="J70" s="2191"/>
      <c r="K70" s="712"/>
      <c r="L70"/>
      <c r="AM70" s="1076"/>
    </row>
    <row r="71" spans="1:39">
      <c r="A71" s="2191"/>
      <c r="B71" s="2191"/>
      <c r="C71" s="2191"/>
      <c r="D71" s="2191"/>
      <c r="E71" s="2191"/>
      <c r="F71" s="2191"/>
      <c r="G71" s="2191"/>
      <c r="H71" s="2191"/>
      <c r="I71" s="2184"/>
      <c r="J71" s="2191"/>
      <c r="K71" s="712"/>
      <c r="L71"/>
      <c r="AM71" s="1076"/>
    </row>
    <row r="72" spans="1:39">
      <c r="A72" s="2191"/>
      <c r="B72" s="2191"/>
      <c r="C72" s="2191"/>
      <c r="D72" s="2191"/>
      <c r="E72" s="2191"/>
      <c r="F72" s="2191"/>
      <c r="G72" s="2191"/>
      <c r="H72" s="2191"/>
      <c r="I72" s="2184"/>
      <c r="J72" s="2191"/>
      <c r="K72" s="712"/>
      <c r="L72"/>
      <c r="AM72" s="1076"/>
    </row>
    <row r="73" spans="1:39">
      <c r="A73" s="2191"/>
      <c r="B73" s="2191"/>
      <c r="C73" s="2191"/>
      <c r="D73" s="2191"/>
      <c r="E73" s="2191"/>
      <c r="F73" s="2191"/>
      <c r="G73" s="2191"/>
      <c r="H73" s="2191"/>
      <c r="I73" s="2184"/>
      <c r="J73" s="2191"/>
      <c r="K73" s="712"/>
      <c r="L73"/>
      <c r="AM73" s="1076"/>
    </row>
    <row r="74" spans="1:39">
      <c r="K74" s="712"/>
      <c r="L74" s="833"/>
      <c r="AM74" s="1076"/>
    </row>
    <row r="75" spans="1:39">
      <c r="A75" s="2191"/>
      <c r="B75" s="2191"/>
      <c r="C75" s="2191"/>
      <c r="D75" s="2191"/>
      <c r="E75" s="2191"/>
      <c r="F75" s="2191"/>
      <c r="G75" s="2191"/>
      <c r="H75" s="2191"/>
      <c r="I75" s="2184"/>
      <c r="J75" s="2191"/>
      <c r="K75" s="712"/>
      <c r="L75" s="833"/>
      <c r="AM75" s="1076"/>
    </row>
    <row r="76" spans="1:39">
      <c r="A76" s="2191"/>
      <c r="B76" s="2191"/>
      <c r="C76" s="2191"/>
      <c r="D76" s="2191"/>
      <c r="E76" s="2191"/>
      <c r="F76" s="2191"/>
      <c r="G76" s="2191"/>
      <c r="H76" s="2191"/>
      <c r="I76" s="2184"/>
      <c r="J76" s="2191"/>
      <c r="K76" s="712"/>
      <c r="L76" s="833"/>
      <c r="AM76" s="1076"/>
    </row>
    <row r="77" spans="1:39" ht="21">
      <c r="K77" s="712"/>
      <c r="L77" s="1755" t="s">
        <v>3090</v>
      </c>
      <c r="Q77" s="1270" t="s">
        <v>2242</v>
      </c>
      <c r="AM77" s="1076"/>
    </row>
    <row r="78" spans="1:39">
      <c r="A78" s="2191"/>
      <c r="B78" s="2191"/>
      <c r="C78" s="2191"/>
      <c r="D78" s="2191"/>
      <c r="E78" s="2191"/>
      <c r="F78" s="2191"/>
      <c r="G78" s="2191"/>
      <c r="H78" s="2191"/>
      <c r="I78" s="2184"/>
      <c r="J78" s="2191"/>
      <c r="K78" s="712"/>
      <c r="L78" s="833"/>
      <c r="Q78" s="1270" t="s">
        <v>2243</v>
      </c>
      <c r="AM78" s="1076"/>
    </row>
    <row r="79" spans="1:39">
      <c r="A79" s="2191"/>
      <c r="B79" s="2191"/>
      <c r="C79" s="2191"/>
      <c r="D79" s="2191"/>
      <c r="E79" s="2191"/>
      <c r="F79" s="2191"/>
      <c r="G79" s="2191"/>
      <c r="H79" s="2191"/>
      <c r="I79" s="2184"/>
      <c r="J79" s="2191"/>
      <c r="K79" s="712"/>
      <c r="L79" s="833"/>
      <c r="AM79" s="1076"/>
    </row>
    <row r="80" spans="1:39">
      <c r="A80" s="2191"/>
      <c r="B80" s="2191"/>
      <c r="C80" s="2191"/>
      <c r="D80" s="2191"/>
      <c r="E80" s="2191"/>
      <c r="F80" s="2191"/>
      <c r="G80" s="2191"/>
      <c r="H80" s="2191"/>
      <c r="I80" s="2184"/>
      <c r="J80" s="2191"/>
      <c r="K80" s="712"/>
      <c r="L80" s="833"/>
      <c r="P80" s="1223">
        <v>2021</v>
      </c>
      <c r="Q80" s="1223">
        <v>2022</v>
      </c>
      <c r="R80" s="1223">
        <v>2023</v>
      </c>
      <c r="S80" s="1223">
        <v>2024</v>
      </c>
      <c r="T80" s="1223">
        <v>2025</v>
      </c>
      <c r="AM80" s="1076"/>
    </row>
    <row r="81" spans="1:39">
      <c r="A81" s="2191"/>
      <c r="B81" s="2191"/>
      <c r="C81" s="2191"/>
      <c r="D81" s="2191"/>
      <c r="E81" s="2191"/>
      <c r="F81" s="2191"/>
      <c r="G81" s="2191"/>
      <c r="H81" s="2191"/>
      <c r="I81" s="2184"/>
      <c r="J81" s="2191"/>
      <c r="K81" s="712"/>
      <c r="L81" s="833"/>
      <c r="N81" t="s">
        <v>2319</v>
      </c>
      <c r="P81" s="1266">
        <f>Populatie!N10</f>
        <v>129729.83738736762</v>
      </c>
      <c r="Q81" s="1266">
        <f>Populatie!O10</f>
        <v>125541.80774329463</v>
      </c>
      <c r="R81" s="1266">
        <f>Populatie!P10</f>
        <v>121426.83841059916</v>
      </c>
      <c r="S81" s="1266">
        <f>Populatie!Q10</f>
        <v>117383.54355578544</v>
      </c>
      <c r="T81" s="1266">
        <f>Populatie!R10</f>
        <v>113410.62300439784</v>
      </c>
      <c r="AM81" s="1076"/>
    </row>
    <row r="82" spans="1:39">
      <c r="A82" s="2191"/>
      <c r="B82" s="2191"/>
      <c r="C82" s="2191"/>
      <c r="D82" s="2191"/>
      <c r="E82" s="2191"/>
      <c r="F82" s="2191"/>
      <c r="G82" s="2191"/>
      <c r="H82" s="2191"/>
      <c r="I82" s="2184"/>
      <c r="J82" s="2191"/>
      <c r="K82" s="712"/>
      <c r="L82" s="68"/>
      <c r="N82" t="s">
        <v>2321</v>
      </c>
      <c r="P82" s="1351">
        <v>0.1</v>
      </c>
      <c r="Q82" s="1351">
        <v>0.1</v>
      </c>
      <c r="R82" s="1351">
        <v>0.1</v>
      </c>
      <c r="S82" s="1351">
        <v>0.1</v>
      </c>
      <c r="T82" s="1351">
        <v>0.1</v>
      </c>
      <c r="AM82" s="1076"/>
    </row>
    <row r="83" spans="1:39">
      <c r="A83" s="2191"/>
      <c r="B83" s="2191"/>
      <c r="C83" s="2191"/>
      <c r="D83" s="2191"/>
      <c r="E83" s="2191"/>
      <c r="F83" s="2191"/>
      <c r="G83" s="2191"/>
      <c r="H83" s="2191"/>
      <c r="I83" s="2184"/>
      <c r="J83" s="2191"/>
      <c r="K83" s="712"/>
      <c r="L83" s="68"/>
      <c r="N83" t="s">
        <v>2323</v>
      </c>
      <c r="P83" s="1351">
        <v>0.2</v>
      </c>
      <c r="Q83" s="1351">
        <v>0.2</v>
      </c>
      <c r="R83" s="1351">
        <v>0.2</v>
      </c>
      <c r="S83" s="1351">
        <v>0.2</v>
      </c>
      <c r="T83" s="1351">
        <v>0.2</v>
      </c>
      <c r="AM83" s="1076"/>
    </row>
    <row r="84" spans="1:39">
      <c r="A84" s="2191"/>
      <c r="B84" s="2191"/>
      <c r="C84" s="2191"/>
      <c r="D84" s="2191"/>
      <c r="E84" s="2191"/>
      <c r="F84" s="2191"/>
      <c r="G84" s="2191"/>
      <c r="H84" s="2191"/>
      <c r="I84" s="2184"/>
      <c r="J84" s="2191"/>
      <c r="K84" s="712"/>
      <c r="L84" s="68"/>
      <c r="P84" s="1350"/>
      <c r="Q84" s="1350"/>
      <c r="R84" s="1350"/>
      <c r="S84" s="1350"/>
      <c r="T84" s="1350"/>
      <c r="AM84" s="1076"/>
    </row>
    <row r="85" spans="1:39" ht="19">
      <c r="A85" s="2191"/>
      <c r="B85" s="2191"/>
      <c r="C85" s="2191"/>
      <c r="D85" s="2191"/>
      <c r="E85" s="2191"/>
      <c r="F85" s="2191"/>
      <c r="G85" s="2191"/>
      <c r="H85" s="2191"/>
      <c r="I85" s="2184"/>
      <c r="J85" s="2191"/>
      <c r="K85" s="712"/>
      <c r="L85" s="833"/>
      <c r="M85" s="1232" t="s">
        <v>2322</v>
      </c>
      <c r="P85" s="1321">
        <v>14</v>
      </c>
      <c r="Q85" s="1321">
        <v>15</v>
      </c>
      <c r="R85" s="1321">
        <v>16</v>
      </c>
      <c r="S85" s="1321">
        <v>17</v>
      </c>
      <c r="T85" s="1321">
        <v>18</v>
      </c>
      <c r="AM85" s="1076"/>
    </row>
    <row r="86" spans="1:39">
      <c r="A86" s="2191"/>
      <c r="B86" s="2191"/>
      <c r="C86" s="2191"/>
      <c r="D86" s="2191"/>
      <c r="E86" s="2191"/>
      <c r="F86" s="2191"/>
      <c r="G86" s="2191"/>
      <c r="H86" s="2191"/>
      <c r="I86" s="2184"/>
      <c r="J86" s="2191"/>
      <c r="K86" s="712"/>
      <c r="L86" s="833" t="s">
        <v>2318</v>
      </c>
      <c r="M86" s="958" t="s">
        <v>149</v>
      </c>
      <c r="N86" s="958" t="s">
        <v>2204</v>
      </c>
      <c r="O86" s="958"/>
      <c r="P86" s="1322">
        <f>VLOOKUP($L86,'Estimare cazuri'!$A:$R,P85,0)</f>
        <v>4591</v>
      </c>
      <c r="Q86" s="1322">
        <f>VLOOKUP($L86,'Estimare cazuri'!$A:$R,Q85,0)</f>
        <v>4435</v>
      </c>
      <c r="R86" s="1322">
        <f>VLOOKUP($L86,'Estimare cazuri'!$A:$R,R85,0)</f>
        <v>4289</v>
      </c>
      <c r="S86" s="1322">
        <f>VLOOKUP($L86,'Estimare cazuri'!$A:$R,S85,0)</f>
        <v>4152</v>
      </c>
      <c r="T86" s="1322">
        <f>VLOOKUP($L86,'Estimare cazuri'!$A:$R,T85,0)</f>
        <v>4023</v>
      </c>
      <c r="AM86" s="1076"/>
    </row>
    <row r="87" spans="1:39">
      <c r="A87" s="2191"/>
      <c r="B87" s="2191"/>
      <c r="C87" s="2191"/>
      <c r="D87" s="2191"/>
      <c r="E87" s="2191"/>
      <c r="F87" s="2191"/>
      <c r="G87" s="2191"/>
      <c r="H87" s="2191"/>
      <c r="I87" s="2184"/>
      <c r="J87" s="2191"/>
      <c r="K87" s="712"/>
      <c r="L87" s="833"/>
      <c r="M87" s="958" t="s">
        <v>2324</v>
      </c>
      <c r="N87" s="958" t="s">
        <v>2204</v>
      </c>
      <c r="O87" s="958"/>
      <c r="P87" s="1322">
        <f>ROUND(P81*P82,0)-P86</f>
        <v>8382</v>
      </c>
      <c r="Q87" s="1322">
        <f t="shared" ref="Q87:T87" si="8">ROUND(Q81*Q82,0)-Q86</f>
        <v>8119</v>
      </c>
      <c r="R87" s="1322">
        <f t="shared" si="8"/>
        <v>7854</v>
      </c>
      <c r="S87" s="1322">
        <f t="shared" si="8"/>
        <v>7586</v>
      </c>
      <c r="T87" s="1322">
        <f t="shared" si="8"/>
        <v>7318</v>
      </c>
      <c r="AM87" s="1076"/>
    </row>
    <row r="88" spans="1:39">
      <c r="A88" s="2191"/>
      <c r="B88" s="2191"/>
      <c r="C88" s="2191"/>
      <c r="D88" s="2191"/>
      <c r="E88" s="2191"/>
      <c r="F88" s="2191"/>
      <c r="G88" s="2191"/>
      <c r="H88" s="2191"/>
      <c r="I88" s="2184"/>
      <c r="J88" s="2191"/>
      <c r="K88" s="712"/>
      <c r="L88" s="833"/>
      <c r="M88" s="958" t="s">
        <v>2325</v>
      </c>
      <c r="N88" s="958" t="s">
        <v>2204</v>
      </c>
      <c r="O88" s="958"/>
      <c r="P88" s="1322">
        <f>ROUND(P81*P83,0)</f>
        <v>25946</v>
      </c>
      <c r="Q88" s="1322">
        <f t="shared" ref="Q88:T88" si="9">ROUND(Q81*Q83,0)</f>
        <v>25108</v>
      </c>
      <c r="R88" s="1322">
        <f t="shared" si="9"/>
        <v>24285</v>
      </c>
      <c r="S88" s="1322">
        <f t="shared" si="9"/>
        <v>23477</v>
      </c>
      <c r="T88" s="1322">
        <f t="shared" si="9"/>
        <v>22682</v>
      </c>
      <c r="AM88" s="1076"/>
    </row>
    <row r="89" spans="1:39">
      <c r="A89" s="2191"/>
      <c r="B89" s="2191"/>
      <c r="C89" s="2191"/>
      <c r="D89" s="2191"/>
      <c r="E89" s="2191"/>
      <c r="F89" s="2191"/>
      <c r="G89" s="2191"/>
      <c r="H89" s="2191"/>
      <c r="I89" s="2184"/>
      <c r="J89" s="2191"/>
      <c r="K89" s="712"/>
      <c r="L89" s="833"/>
      <c r="M89" s="1352"/>
      <c r="N89" s="958"/>
      <c r="O89" s="958"/>
      <c r="P89" s="1322"/>
      <c r="Q89" s="1322"/>
      <c r="R89" s="1322"/>
      <c r="S89" s="1322"/>
      <c r="T89" s="1322"/>
      <c r="AM89" s="1076"/>
    </row>
    <row r="90" spans="1:39">
      <c r="A90" s="2191"/>
      <c r="B90" s="2191"/>
      <c r="C90" s="2191"/>
      <c r="D90" s="2191"/>
      <c r="E90" s="2191"/>
      <c r="F90" s="2191"/>
      <c r="G90" s="2191"/>
      <c r="H90" s="2191"/>
      <c r="I90" s="2184"/>
      <c r="J90" s="2191"/>
      <c r="K90" s="712"/>
      <c r="L90" s="833"/>
      <c r="M90" s="1352"/>
      <c r="N90" s="958"/>
      <c r="O90" s="958"/>
      <c r="P90" s="1322"/>
      <c r="Q90" s="1322"/>
      <c r="R90" s="1322"/>
      <c r="S90" s="1322"/>
      <c r="T90" s="1322"/>
      <c r="AM90" s="1076"/>
    </row>
    <row r="91" spans="1:39">
      <c r="A91" s="2191"/>
      <c r="B91" s="2191"/>
      <c r="C91" s="2191"/>
      <c r="D91" s="2191"/>
      <c r="E91" s="2191"/>
      <c r="F91" s="2191"/>
      <c r="G91" s="2191"/>
      <c r="H91" s="2191"/>
      <c r="I91" s="2184"/>
      <c r="J91" s="2191"/>
      <c r="K91" s="712"/>
      <c r="L91" s="833"/>
      <c r="P91">
        <f>SUM(P86:P90)</f>
        <v>38919</v>
      </c>
      <c r="Q91">
        <f t="shared" ref="Q91:T91" si="10">SUM(Q86:Q90)</f>
        <v>37662</v>
      </c>
      <c r="R91">
        <f t="shared" si="10"/>
        <v>36428</v>
      </c>
      <c r="S91">
        <f t="shared" si="10"/>
        <v>35215</v>
      </c>
      <c r="T91">
        <f t="shared" si="10"/>
        <v>34023</v>
      </c>
      <c r="AM91" s="1076"/>
    </row>
    <row r="92" spans="1:39">
      <c r="A92" s="2191"/>
      <c r="B92" s="2191"/>
      <c r="C92" s="2191"/>
      <c r="D92" s="2191"/>
      <c r="E92" s="2191"/>
      <c r="F92" s="2191"/>
      <c r="G92" s="2191"/>
      <c r="H92" s="2191"/>
      <c r="I92" s="2184"/>
      <c r="J92" s="2191"/>
      <c r="K92" s="712"/>
      <c r="L92" s="833"/>
      <c r="P92" t="s">
        <v>2379</v>
      </c>
      <c r="AM92" s="1076"/>
    </row>
    <row r="93" spans="1:39" ht="16">
      <c r="A93" s="2191"/>
      <c r="B93" s="2191"/>
      <c r="C93" s="2191"/>
      <c r="D93" s="2191"/>
      <c r="E93" s="2191"/>
      <c r="F93" s="2191"/>
      <c r="G93" s="2191"/>
      <c r="H93" s="2191"/>
      <c r="I93" s="2184"/>
      <c r="J93" s="2191"/>
      <c r="K93" s="712"/>
      <c r="L93" s="833"/>
      <c r="M93" s="1069" t="s">
        <v>2170</v>
      </c>
      <c r="N93" s="734"/>
      <c r="O93" s="734"/>
      <c r="AM93" s="1076"/>
    </row>
    <row r="94" spans="1:39">
      <c r="A94" s="2191"/>
      <c r="B94" s="2191"/>
      <c r="C94" s="2191"/>
      <c r="D94" s="2191"/>
      <c r="E94" s="2191"/>
      <c r="F94" s="2191"/>
      <c r="G94" s="2191"/>
      <c r="H94" s="2191"/>
      <c r="I94" s="2184"/>
      <c r="J94" s="2191"/>
      <c r="K94" s="712"/>
      <c r="L94" s="833"/>
      <c r="M94" s="958" t="s">
        <v>2171</v>
      </c>
      <c r="N94" s="946" t="s">
        <v>2172</v>
      </c>
      <c r="O94" s="946"/>
      <c r="P94" s="1223">
        <v>2021</v>
      </c>
      <c r="Q94" s="1223">
        <v>2022</v>
      </c>
      <c r="R94" s="1223">
        <v>2023</v>
      </c>
      <c r="S94" s="1223">
        <v>2024</v>
      </c>
      <c r="T94" s="1223">
        <v>2025</v>
      </c>
      <c r="AM94" s="1076"/>
    </row>
    <row r="95" spans="1:39">
      <c r="A95" s="2191"/>
      <c r="B95" s="2191"/>
      <c r="C95" s="2191"/>
      <c r="D95" s="2191"/>
      <c r="E95" s="2191"/>
      <c r="F95" s="2191"/>
      <c r="G95" s="2191"/>
      <c r="H95" s="2191"/>
      <c r="I95" s="2184"/>
      <c r="J95" s="2191"/>
      <c r="K95" s="712"/>
      <c r="L95" s="833"/>
      <c r="M95" s="958" t="s">
        <v>2391</v>
      </c>
      <c r="N95" s="946">
        <v>2.5</v>
      </c>
      <c r="O95" s="946"/>
      <c r="P95" s="1068">
        <f>P91*$N95</f>
        <v>97297.5</v>
      </c>
      <c r="Q95" s="1068">
        <f t="shared" ref="Q95:T95" si="11">Q91*$N95</f>
        <v>94155</v>
      </c>
      <c r="R95" s="1068">
        <f t="shared" si="11"/>
        <v>91070</v>
      </c>
      <c r="S95" s="1068">
        <f t="shared" si="11"/>
        <v>88037.5</v>
      </c>
      <c r="T95" s="1068">
        <f t="shared" si="11"/>
        <v>85057.5</v>
      </c>
      <c r="AM95" s="1076"/>
    </row>
    <row r="96" spans="1:39">
      <c r="A96" s="2191"/>
      <c r="B96" s="2191"/>
      <c r="C96" s="2191"/>
      <c r="D96" s="2191"/>
      <c r="E96" s="2191"/>
      <c r="F96" s="2191"/>
      <c r="G96" s="2191"/>
      <c r="H96" s="2191"/>
      <c r="I96" s="2184"/>
      <c r="J96" s="2191"/>
      <c r="K96" s="712"/>
      <c r="L96" s="833"/>
      <c r="M96" s="958" t="s">
        <v>1887</v>
      </c>
      <c r="N96" s="946">
        <v>11.5</v>
      </c>
      <c r="O96" s="946"/>
      <c r="P96" s="1068">
        <f>$N$96*P95</f>
        <v>1118921.25</v>
      </c>
      <c r="Q96" s="1068">
        <f t="shared" ref="Q96:T96" si="12">$N$96*Q95</f>
        <v>1082782.5</v>
      </c>
      <c r="R96" s="1068">
        <f t="shared" si="12"/>
        <v>1047305</v>
      </c>
      <c r="S96" s="1068">
        <f t="shared" si="12"/>
        <v>1012431.25</v>
      </c>
      <c r="T96" s="1068">
        <f t="shared" si="12"/>
        <v>978161.25</v>
      </c>
      <c r="U96" s="1404">
        <f>SUM(P96:T96)</f>
        <v>5239601.25</v>
      </c>
      <c r="V96" s="960"/>
      <c r="AM96" s="1076"/>
    </row>
    <row r="97" spans="1:39">
      <c r="A97" s="2157">
        <v>37</v>
      </c>
      <c r="B97" s="841">
        <f>P96</f>
        <v>1118921.25</v>
      </c>
      <c r="C97" s="841">
        <f>Q96</f>
        <v>1082782.5</v>
      </c>
      <c r="D97" s="841">
        <f>R96</f>
        <v>1047305</v>
      </c>
      <c r="E97" s="841">
        <f>S96</f>
        <v>1012431.25</v>
      </c>
      <c r="F97" s="841">
        <f>T96</f>
        <v>978161.25</v>
      </c>
      <c r="G97" s="841" t="s">
        <v>349</v>
      </c>
      <c r="H97" s="841" t="s">
        <v>3090</v>
      </c>
      <c r="I97" s="2183"/>
      <c r="J97" s="841" t="s">
        <v>2958</v>
      </c>
      <c r="K97" s="712"/>
      <c r="L97" s="833"/>
      <c r="AM97" s="1076"/>
    </row>
    <row r="98" spans="1:39">
      <c r="A98" s="2191"/>
      <c r="B98" s="2191"/>
      <c r="C98" s="2191"/>
      <c r="D98" s="2191"/>
      <c r="E98" s="2191"/>
      <c r="F98" s="2191"/>
      <c r="G98" s="2191"/>
      <c r="H98" s="2191"/>
      <c r="I98" s="2184"/>
      <c r="J98" s="2191"/>
      <c r="K98" s="712"/>
      <c r="L98" s="833"/>
      <c r="AM98" s="1076"/>
    </row>
    <row r="99" spans="1:39">
      <c r="A99" s="2191"/>
      <c r="B99" s="2191"/>
      <c r="C99" s="2191"/>
      <c r="D99" s="2191"/>
      <c r="E99" s="2191"/>
      <c r="F99" s="2191"/>
      <c r="G99" s="2191"/>
      <c r="H99" s="2191"/>
      <c r="I99" s="2184"/>
      <c r="J99" s="2191"/>
      <c r="K99" s="712"/>
      <c r="L99" s="833"/>
      <c r="AM99" s="1076"/>
    </row>
    <row r="100" spans="1:39" ht="21">
      <c r="A100" s="2191"/>
      <c r="B100" s="2191"/>
      <c r="C100" s="2191"/>
      <c r="D100" s="2191"/>
      <c r="E100" s="2191"/>
      <c r="F100" s="2191"/>
      <c r="G100" s="2191"/>
      <c r="H100" s="2191"/>
      <c r="I100" s="2184"/>
      <c r="J100" s="2191"/>
      <c r="K100" s="712"/>
      <c r="L100" s="1755" t="s">
        <v>3089</v>
      </c>
      <c r="AM100" s="1076"/>
    </row>
    <row r="101" spans="1:39">
      <c r="A101" s="2191"/>
      <c r="B101" s="2191"/>
      <c r="C101" s="2191"/>
      <c r="D101" s="2191"/>
      <c r="E101" s="2191"/>
      <c r="F101" s="2191"/>
      <c r="G101" s="2191"/>
      <c r="H101" s="2191"/>
      <c r="I101" s="2184"/>
      <c r="J101" s="2191"/>
      <c r="K101" s="712"/>
      <c r="L101" s="833"/>
      <c r="AM101" s="1076"/>
    </row>
    <row r="102" spans="1:39" ht="17" thickBot="1">
      <c r="A102" s="2191"/>
      <c r="B102" s="2191"/>
      <c r="C102" s="2191"/>
      <c r="D102" s="2191"/>
      <c r="E102" s="2191"/>
      <c r="F102" s="2191"/>
      <c r="G102" s="2191"/>
      <c r="H102" s="2191"/>
      <c r="I102" s="2184"/>
      <c r="J102" s="2191"/>
      <c r="K102" s="712"/>
      <c r="L102" s="833"/>
      <c r="M102" s="431" t="s">
        <v>2173</v>
      </c>
      <c r="P102" s="1270"/>
      <c r="Q102" s="1270"/>
      <c r="R102" s="1270"/>
      <c r="S102" s="1270"/>
      <c r="T102" s="1270"/>
      <c r="V102" s="642" t="s">
        <v>349</v>
      </c>
      <c r="W102" s="545"/>
      <c r="X102" s="545"/>
      <c r="Y102" s="545"/>
      <c r="Z102" s="545"/>
      <c r="AA102" s="545"/>
      <c r="AB102" s="545" t="s">
        <v>351</v>
      </c>
      <c r="AC102" s="545"/>
      <c r="AD102" s="545"/>
      <c r="AE102" s="545"/>
      <c r="AF102" s="545"/>
      <c r="AM102" s="1076"/>
    </row>
    <row r="103" spans="1:39" ht="17" thickBot="1">
      <c r="A103" s="2191"/>
      <c r="B103" s="2191"/>
      <c r="C103" s="2191"/>
      <c r="D103" s="2191"/>
      <c r="E103" s="2191"/>
      <c r="F103" s="2191"/>
      <c r="G103" s="2191"/>
      <c r="H103" s="2191"/>
      <c r="I103" s="2184"/>
      <c r="J103" s="2191"/>
      <c r="K103" s="712"/>
      <c r="L103" s="833"/>
      <c r="N103" s="958" t="s">
        <v>2171</v>
      </c>
      <c r="O103" s="958"/>
      <c r="P103" s="1223">
        <v>2021</v>
      </c>
      <c r="Q103" s="1223">
        <v>2022</v>
      </c>
      <c r="R103" s="1223">
        <v>2023</v>
      </c>
      <c r="S103" s="1223">
        <v>2024</v>
      </c>
      <c r="T103" s="1223">
        <v>2025</v>
      </c>
      <c r="U103" s="563" t="s">
        <v>238</v>
      </c>
      <c r="V103" s="1057">
        <v>2021</v>
      </c>
      <c r="W103" s="1058">
        <v>2022</v>
      </c>
      <c r="X103" s="1058">
        <v>2023</v>
      </c>
      <c r="Y103" s="1058">
        <v>2024</v>
      </c>
      <c r="Z103" s="1059">
        <v>2025</v>
      </c>
      <c r="AA103" s="563" t="s">
        <v>238</v>
      </c>
      <c r="AB103" s="584">
        <v>2021</v>
      </c>
      <c r="AC103" s="585">
        <v>2022</v>
      </c>
      <c r="AD103" s="585">
        <v>2023</v>
      </c>
      <c r="AE103" s="585">
        <v>2024</v>
      </c>
      <c r="AF103" s="586">
        <v>2025</v>
      </c>
      <c r="AM103" s="1076"/>
    </row>
    <row r="104" spans="1:39" ht="17" thickBot="1">
      <c r="A104" s="2191"/>
      <c r="B104" s="2191"/>
      <c r="C104" s="2191"/>
      <c r="D104" s="2191"/>
      <c r="E104" s="2191"/>
      <c r="F104" s="2191"/>
      <c r="G104" s="2191"/>
      <c r="H104" s="2191"/>
      <c r="I104" s="2184"/>
      <c r="J104" s="2191"/>
      <c r="K104" s="712"/>
      <c r="L104" s="833"/>
      <c r="N104" s="958" t="s">
        <v>2213</v>
      </c>
      <c r="O104" s="946"/>
      <c r="P104" s="1040">
        <v>1000</v>
      </c>
      <c r="Q104" s="1040">
        <v>1000</v>
      </c>
      <c r="R104" s="1040">
        <v>1000</v>
      </c>
      <c r="S104" s="1040">
        <v>1000</v>
      </c>
      <c r="T104" s="1040">
        <v>1000</v>
      </c>
      <c r="U104" s="563" t="s">
        <v>238</v>
      </c>
      <c r="V104" s="1391">
        <v>0.1</v>
      </c>
      <c r="W104" s="1392">
        <v>0.2</v>
      </c>
      <c r="X104" s="1392">
        <v>0.3</v>
      </c>
      <c r="Y104" s="1392">
        <v>1</v>
      </c>
      <c r="Z104" s="1393">
        <v>1</v>
      </c>
      <c r="AA104" s="563" t="s">
        <v>238</v>
      </c>
      <c r="AB104" s="1379">
        <f>100%-V104</f>
        <v>0.9</v>
      </c>
      <c r="AC104" s="1379">
        <f t="shared" ref="AC104:AF104" si="13">100%-W104</f>
        <v>0.8</v>
      </c>
      <c r="AD104" s="1379">
        <f t="shared" si="13"/>
        <v>0.7</v>
      </c>
      <c r="AE104" s="1379">
        <f t="shared" si="13"/>
        <v>0</v>
      </c>
      <c r="AF104" s="1379">
        <f t="shared" si="13"/>
        <v>0</v>
      </c>
      <c r="AG104" s="558"/>
      <c r="AH104" s="558"/>
      <c r="AI104" s="558"/>
      <c r="AJ104" s="558"/>
      <c r="AK104" s="558"/>
      <c r="AM104" s="1076"/>
    </row>
    <row r="105" spans="1:39" ht="17" thickBot="1">
      <c r="A105" s="2191"/>
      <c r="B105" s="2191"/>
      <c r="C105" s="2191"/>
      <c r="D105" s="2191"/>
      <c r="E105" s="2191"/>
      <c r="F105" s="2191"/>
      <c r="G105" s="2191"/>
      <c r="H105" s="2191"/>
      <c r="I105" s="2184"/>
      <c r="J105" s="2191"/>
      <c r="K105" s="712"/>
      <c r="L105" s="833"/>
      <c r="N105" s="960"/>
      <c r="P105" s="1025"/>
      <c r="Q105" s="1025"/>
      <c r="R105" s="1025"/>
      <c r="S105" s="1025"/>
      <c r="T105" s="1025"/>
      <c r="U105" s="563" t="s">
        <v>238</v>
      </c>
      <c r="AA105" s="563" t="s">
        <v>238</v>
      </c>
      <c r="AM105" s="1076"/>
    </row>
    <row r="106" spans="1:39" ht="17" thickBot="1">
      <c r="A106" s="2191"/>
      <c r="B106" s="2191"/>
      <c r="C106" s="2191"/>
      <c r="D106" s="2191"/>
      <c r="E106" s="2191"/>
      <c r="F106" s="2191"/>
      <c r="G106" s="2191"/>
      <c r="H106" s="2191"/>
      <c r="I106" s="2184"/>
      <c r="J106" s="2191"/>
      <c r="K106" s="712"/>
      <c r="L106"/>
      <c r="N106" t="s">
        <v>2214</v>
      </c>
      <c r="O106" s="1226" t="s">
        <v>2382</v>
      </c>
      <c r="P106" s="1224" t="s">
        <v>2215</v>
      </c>
      <c r="Q106" s="1225"/>
      <c r="R106" s="1225"/>
      <c r="S106" s="1225"/>
      <c r="T106" s="1000"/>
      <c r="U106" s="563" t="s">
        <v>238</v>
      </c>
      <c r="V106" s="1388" t="s">
        <v>2215</v>
      </c>
      <c r="W106" s="966"/>
      <c r="X106" s="966"/>
      <c r="Y106" s="966"/>
      <c r="Z106" s="967"/>
      <c r="AA106" s="563" t="s">
        <v>238</v>
      </c>
      <c r="AB106" s="1388" t="s">
        <v>2215</v>
      </c>
      <c r="AC106" s="966"/>
      <c r="AD106" s="966"/>
      <c r="AE106" s="966"/>
      <c r="AF106" s="967"/>
      <c r="AM106" s="1076"/>
    </row>
    <row r="107" spans="1:39" ht="32">
      <c r="A107" s="2191"/>
      <c r="B107" s="2191"/>
      <c r="C107" s="2191"/>
      <c r="D107" s="2191"/>
      <c r="E107" s="2191"/>
      <c r="F107" s="2191"/>
      <c r="G107" s="2191"/>
      <c r="H107" s="2191"/>
      <c r="I107" s="2184"/>
      <c r="J107" s="2191"/>
      <c r="K107" s="712"/>
      <c r="L107" s="833"/>
      <c r="M107" s="1227" t="s">
        <v>2211</v>
      </c>
      <c r="N107" s="1384">
        <v>44</v>
      </c>
      <c r="O107" s="1262">
        <v>8254</v>
      </c>
      <c r="P107" s="1385">
        <f>ROUNDUP(P104/$N107,0)</f>
        <v>23</v>
      </c>
      <c r="Q107" s="1384">
        <f t="shared" ref="Q107:T107" si="14">ROUNDUP(Q104/$N107,0)</f>
        <v>23</v>
      </c>
      <c r="R107" s="1384">
        <f t="shared" si="14"/>
        <v>23</v>
      </c>
      <c r="S107" s="1384">
        <f t="shared" si="14"/>
        <v>23</v>
      </c>
      <c r="T107" s="1386">
        <f t="shared" si="14"/>
        <v>23</v>
      </c>
      <c r="U107" s="563" t="s">
        <v>238</v>
      </c>
      <c r="V107" s="1389">
        <f>ROUNDUP(P107*V$104,0)</f>
        <v>3</v>
      </c>
      <c r="W107" s="1383">
        <f t="shared" ref="W107:Z108" si="15">ROUNDUP(Q107*W$104,0)</f>
        <v>5</v>
      </c>
      <c r="X107" s="1383">
        <f t="shared" si="15"/>
        <v>7</v>
      </c>
      <c r="Y107" s="1383">
        <f t="shared" si="15"/>
        <v>23</v>
      </c>
      <c r="Z107" s="1390">
        <f t="shared" si="15"/>
        <v>23</v>
      </c>
      <c r="AA107" s="563" t="s">
        <v>238</v>
      </c>
      <c r="AB107" s="1389">
        <f>P107-V107</f>
        <v>20</v>
      </c>
      <c r="AC107" s="1383">
        <f t="shared" ref="AC107:AF107" si="16">Q107-W107</f>
        <v>18</v>
      </c>
      <c r="AD107" s="1383">
        <f t="shared" si="16"/>
        <v>16</v>
      </c>
      <c r="AE107" s="1396">
        <f t="shared" si="16"/>
        <v>0</v>
      </c>
      <c r="AF107" s="1397">
        <f t="shared" si="16"/>
        <v>0</v>
      </c>
      <c r="AM107" s="1076"/>
    </row>
    <row r="108" spans="1:39" ht="33" thickBot="1">
      <c r="A108" s="2191"/>
      <c r="B108" s="2191"/>
      <c r="C108" s="2191"/>
      <c r="D108" s="2191"/>
      <c r="E108" s="2191"/>
      <c r="F108" s="2191"/>
      <c r="G108" s="2191"/>
      <c r="H108" s="2191"/>
      <c r="I108" s="2184"/>
      <c r="J108" s="2191"/>
      <c r="K108" s="712"/>
      <c r="L108" s="833"/>
      <c r="M108" s="1228" t="s">
        <v>2212</v>
      </c>
      <c r="N108" s="1133">
        <v>50</v>
      </c>
      <c r="O108" s="1174">
        <v>13715</v>
      </c>
      <c r="P108" s="1215">
        <f>ROUNDUP(P104/$N108,0)</f>
        <v>20</v>
      </c>
      <c r="Q108" s="1133">
        <f t="shared" ref="Q108:T108" si="17">ROUNDUP(Q104/$N108,0)</f>
        <v>20</v>
      </c>
      <c r="R108" s="1133">
        <f t="shared" si="17"/>
        <v>20</v>
      </c>
      <c r="S108" s="1133">
        <f t="shared" si="17"/>
        <v>20</v>
      </c>
      <c r="T108" s="1216">
        <f t="shared" si="17"/>
        <v>20</v>
      </c>
      <c r="U108" s="563" t="s">
        <v>238</v>
      </c>
      <c r="V108" s="1215">
        <f>ROUNDUP(P108*V$104,0)</f>
        <v>2</v>
      </c>
      <c r="W108" s="1133">
        <f t="shared" si="15"/>
        <v>4</v>
      </c>
      <c r="X108" s="1133">
        <f t="shared" si="15"/>
        <v>6</v>
      </c>
      <c r="Y108" s="1133">
        <f t="shared" si="15"/>
        <v>20</v>
      </c>
      <c r="Z108" s="1216">
        <f t="shared" si="15"/>
        <v>20</v>
      </c>
      <c r="AA108" s="563" t="s">
        <v>238</v>
      </c>
      <c r="AB108" s="1215">
        <f>P108-V108</f>
        <v>18</v>
      </c>
      <c r="AC108" s="1133">
        <f t="shared" ref="AC108" si="18">Q108-W108</f>
        <v>16</v>
      </c>
      <c r="AD108" s="1133">
        <f t="shared" ref="AD108" si="19">R108-X108</f>
        <v>14</v>
      </c>
      <c r="AE108" s="1398">
        <f t="shared" ref="AE108" si="20">S108-Y108</f>
        <v>0</v>
      </c>
      <c r="AF108" s="1399">
        <f t="shared" ref="AF108" si="21">T108-Z108</f>
        <v>0</v>
      </c>
      <c r="AM108" s="1076"/>
    </row>
    <row r="109" spans="1:39">
      <c r="A109" s="2191"/>
      <c r="B109" s="2191"/>
      <c r="C109" s="2191"/>
      <c r="D109" s="2191"/>
      <c r="E109" s="2191"/>
      <c r="F109" s="2191"/>
      <c r="G109" s="2191"/>
      <c r="H109" s="2191"/>
      <c r="I109" s="2184"/>
      <c r="J109" s="2191"/>
      <c r="K109" s="712"/>
      <c r="L109" s="833"/>
      <c r="M109" s="960"/>
      <c r="N109" s="960"/>
      <c r="O109" s="1025"/>
      <c r="P109" s="1229"/>
      <c r="Q109" s="1229"/>
      <c r="R109" s="1229"/>
      <c r="S109" s="1229"/>
      <c r="T109" s="1229"/>
      <c r="Z109" s="1230"/>
      <c r="AM109" s="1076"/>
    </row>
    <row r="110" spans="1:39" ht="16" thickBot="1">
      <c r="A110" s="2191"/>
      <c r="B110" s="2191"/>
      <c r="C110" s="2191"/>
      <c r="D110" s="2191"/>
      <c r="E110" s="2191"/>
      <c r="F110" s="2191"/>
      <c r="G110" s="2191"/>
      <c r="H110" s="2191"/>
      <c r="I110" s="2184"/>
      <c r="J110" s="2191"/>
      <c r="K110" s="712"/>
      <c r="L110" s="833"/>
      <c r="M110" s="960"/>
      <c r="N110" s="960"/>
      <c r="O110" s="1025"/>
      <c r="P110" s="1229"/>
      <c r="Q110" s="1229"/>
      <c r="R110" s="1229"/>
      <c r="S110" s="1229"/>
      <c r="T110" s="1229"/>
      <c r="U110" s="1025" t="s">
        <v>2382</v>
      </c>
      <c r="Z110" s="1230"/>
      <c r="AA110" s="1025" t="s">
        <v>2382</v>
      </c>
      <c r="AM110" s="1076"/>
    </row>
    <row r="111" spans="1:39" ht="32">
      <c r="A111" s="2191"/>
      <c r="B111" s="2191"/>
      <c r="C111" s="2191"/>
      <c r="D111" s="2191"/>
      <c r="E111" s="2191"/>
      <c r="F111" s="2191"/>
      <c r="G111" s="2191"/>
      <c r="H111" s="2191"/>
      <c r="I111" s="2184"/>
      <c r="J111" s="2191"/>
      <c r="K111" s="712"/>
      <c r="L111" s="833"/>
      <c r="M111" s="959" t="s">
        <v>2211</v>
      </c>
      <c r="N111" s="958"/>
      <c r="O111" s="946"/>
      <c r="P111" s="1394"/>
      <c r="Q111" s="1394"/>
      <c r="R111" s="1394"/>
      <c r="S111" s="1394"/>
      <c r="T111" s="1394"/>
      <c r="U111" s="1177">
        <f>VLOOKUP(M111,Preturi_medicamente!D:M,6,0)</f>
        <v>8254</v>
      </c>
      <c r="V111" s="1385">
        <f>V107*$U111</f>
        <v>24762</v>
      </c>
      <c r="W111" s="1384">
        <f t="shared" ref="W111:Z112" si="22">W107*$U111</f>
        <v>41270</v>
      </c>
      <c r="X111" s="1384">
        <f t="shared" si="22"/>
        <v>57778</v>
      </c>
      <c r="Y111" s="1384">
        <f t="shared" si="22"/>
        <v>189842</v>
      </c>
      <c r="Z111" s="1386">
        <f t="shared" si="22"/>
        <v>189842</v>
      </c>
      <c r="AA111" s="1402">
        <f>VLOOKUP(M111,Preturi_medicamente!D:M,10,0)</f>
        <v>8254</v>
      </c>
      <c r="AB111" s="1385">
        <f>AB107*$U111</f>
        <v>165080</v>
      </c>
      <c r="AC111" s="1384">
        <f t="shared" ref="AC111:AF111" si="23">AC107*$U111</f>
        <v>148572</v>
      </c>
      <c r="AD111" s="1384">
        <f t="shared" si="23"/>
        <v>132064</v>
      </c>
      <c r="AE111" s="1400">
        <f t="shared" si="23"/>
        <v>0</v>
      </c>
      <c r="AF111" s="1401">
        <f t="shared" si="23"/>
        <v>0</v>
      </c>
      <c r="AM111" s="1076"/>
    </row>
    <row r="112" spans="1:39" ht="33" thickBot="1">
      <c r="A112" s="2191"/>
      <c r="B112" s="2191"/>
      <c r="C112" s="2191"/>
      <c r="D112" s="2191"/>
      <c r="E112" s="2191"/>
      <c r="F112" s="2191"/>
      <c r="G112" s="2191"/>
      <c r="H112" s="2191"/>
      <c r="I112" s="2184"/>
      <c r="J112" s="2191"/>
      <c r="K112" s="712"/>
      <c r="L112" s="833"/>
      <c r="M112" s="959" t="s">
        <v>2212</v>
      </c>
      <c r="N112" s="958"/>
      <c r="O112" s="946"/>
      <c r="P112" s="1394"/>
      <c r="Q112" s="1394"/>
      <c r="R112" s="1394"/>
      <c r="S112" s="1394"/>
      <c r="T112" s="1394"/>
      <c r="U112" s="1177">
        <f>VLOOKUP(M112,Preturi_medicamente!D:M,6,0)</f>
        <v>13715</v>
      </c>
      <c r="V112" s="1215">
        <f>V108*$U112</f>
        <v>27430</v>
      </c>
      <c r="W112" s="1133">
        <f t="shared" si="22"/>
        <v>54860</v>
      </c>
      <c r="X112" s="1133">
        <f t="shared" si="22"/>
        <v>82290</v>
      </c>
      <c r="Y112" s="1133">
        <f t="shared" si="22"/>
        <v>274300</v>
      </c>
      <c r="Z112" s="1216">
        <f t="shared" si="22"/>
        <v>274300</v>
      </c>
      <c r="AA112" s="1402">
        <f>VLOOKUP(M112,Preturi_medicamente!D:M,10,0)</f>
        <v>13715</v>
      </c>
      <c r="AB112" s="1215">
        <f>AB108*$U112</f>
        <v>246870</v>
      </c>
      <c r="AC112" s="1133">
        <f t="shared" ref="AC112:AF112" si="24">AC108*$U112</f>
        <v>219440</v>
      </c>
      <c r="AD112" s="1133">
        <f t="shared" si="24"/>
        <v>192010</v>
      </c>
      <c r="AE112" s="1398">
        <f t="shared" si="24"/>
        <v>0</v>
      </c>
      <c r="AF112" s="1399">
        <f t="shared" si="24"/>
        <v>0</v>
      </c>
      <c r="AM112" s="1076"/>
    </row>
    <row r="113" spans="1:39">
      <c r="A113" s="2191"/>
      <c r="B113" s="2191"/>
      <c r="C113" s="2191"/>
      <c r="D113" s="2191"/>
      <c r="E113" s="2191"/>
      <c r="F113" s="2191"/>
      <c r="G113" s="2191"/>
      <c r="H113" s="2191"/>
      <c r="I113" s="2184"/>
      <c r="J113" s="2191"/>
      <c r="K113" s="712"/>
      <c r="L113" s="833"/>
      <c r="M113" s="960"/>
      <c r="N113" s="960"/>
      <c r="O113" s="1025"/>
      <c r="P113" s="1229"/>
      <c r="Q113" s="1229"/>
      <c r="R113" s="1229"/>
      <c r="S113" s="1229"/>
      <c r="T113" s="1229"/>
      <c r="V113" s="1308">
        <f>SUM(V111:V112)</f>
        <v>52192</v>
      </c>
      <c r="W113" s="1308">
        <f t="shared" ref="W113:Z113" si="25">SUM(W111:W112)</f>
        <v>96130</v>
      </c>
      <c r="X113" s="1308">
        <f t="shared" si="25"/>
        <v>140068</v>
      </c>
      <c r="Y113" s="1308">
        <f t="shared" si="25"/>
        <v>464142</v>
      </c>
      <c r="Z113" s="1308">
        <f t="shared" si="25"/>
        <v>464142</v>
      </c>
      <c r="AB113" s="1308">
        <f>SUM(AB111:AB112)</f>
        <v>411950</v>
      </c>
      <c r="AC113" s="1308">
        <f t="shared" ref="AC113" si="26">SUM(AC111:AC112)</f>
        <v>368012</v>
      </c>
      <c r="AD113" s="1308">
        <f t="shared" ref="AD113" si="27">SUM(AD111:AD112)</f>
        <v>324074</v>
      </c>
      <c r="AE113" s="1308">
        <f t="shared" ref="AE113" si="28">SUM(AE111:AE112)</f>
        <v>0</v>
      </c>
      <c r="AF113" s="1308">
        <f t="shared" ref="AF113" si="29">SUM(AF111:AF112)</f>
        <v>0</v>
      </c>
      <c r="AM113" s="1076"/>
    </row>
    <row r="114" spans="1:39">
      <c r="A114" s="2191"/>
      <c r="B114" s="2191"/>
      <c r="C114" s="2191"/>
      <c r="D114" s="2191"/>
      <c r="E114" s="2191"/>
      <c r="F114" s="2191"/>
      <c r="G114" s="2191"/>
      <c r="H114" s="2191"/>
      <c r="I114" s="2184"/>
      <c r="J114" s="2191"/>
      <c r="K114" s="712"/>
      <c r="L114" s="833"/>
      <c r="M114" s="960"/>
      <c r="N114" s="960"/>
      <c r="O114" s="1025"/>
      <c r="P114" s="1229"/>
      <c r="Q114" s="1229"/>
      <c r="R114" s="1229"/>
      <c r="S114" s="1229"/>
      <c r="T114" s="1229"/>
      <c r="Z114" s="1230"/>
      <c r="AM114" s="1076"/>
    </row>
    <row r="115" spans="1:39">
      <c r="A115" s="2157">
        <v>38</v>
      </c>
      <c r="B115" s="841">
        <f>V113</f>
        <v>52192</v>
      </c>
      <c r="C115" s="841">
        <f t="shared" ref="C115:F115" si="30">W113</f>
        <v>96130</v>
      </c>
      <c r="D115" s="841">
        <f t="shared" si="30"/>
        <v>140068</v>
      </c>
      <c r="E115" s="841">
        <f t="shared" si="30"/>
        <v>464142</v>
      </c>
      <c r="F115" s="841">
        <f t="shared" si="30"/>
        <v>464142</v>
      </c>
      <c r="G115" s="841" t="s">
        <v>349</v>
      </c>
      <c r="H115" s="841" t="s">
        <v>3089</v>
      </c>
      <c r="I115" s="2183"/>
      <c r="J115" s="841" t="s">
        <v>2959</v>
      </c>
      <c r="K115" s="712"/>
      <c r="L115" s="833"/>
      <c r="M115" s="960"/>
      <c r="N115" s="960"/>
      <c r="O115" s="1025"/>
      <c r="P115" s="1229"/>
      <c r="Q115" s="1229"/>
      <c r="R115" s="1229"/>
      <c r="S115" s="1229"/>
      <c r="T115" s="1229"/>
      <c r="Z115" s="1230"/>
      <c r="AM115" s="1076"/>
    </row>
    <row r="116" spans="1:39">
      <c r="A116" s="2157">
        <v>39</v>
      </c>
      <c r="B116" s="841">
        <f>AB113</f>
        <v>411950</v>
      </c>
      <c r="C116" s="841">
        <f t="shared" ref="C116:F116" si="31">AC113</f>
        <v>368012</v>
      </c>
      <c r="D116" s="841">
        <f t="shared" si="31"/>
        <v>324074</v>
      </c>
      <c r="E116" s="841">
        <f t="shared" si="31"/>
        <v>0</v>
      </c>
      <c r="F116" s="841">
        <f t="shared" si="31"/>
        <v>0</v>
      </c>
      <c r="G116" s="841" t="s">
        <v>351</v>
      </c>
      <c r="H116" s="841" t="s">
        <v>3089</v>
      </c>
      <c r="I116" s="2183" t="s">
        <v>3715</v>
      </c>
      <c r="J116" s="841" t="s">
        <v>2959</v>
      </c>
      <c r="K116" s="712"/>
      <c r="L116" s="833"/>
      <c r="M116" s="960"/>
      <c r="N116" s="960"/>
      <c r="O116" s="1025"/>
      <c r="P116" s="1229"/>
      <c r="Q116" s="1229"/>
      <c r="R116" s="1229"/>
      <c r="S116" s="1229"/>
      <c r="T116" s="1229"/>
      <c r="Z116" s="1230"/>
      <c r="AM116" s="1076"/>
    </row>
    <row r="117" spans="1:39">
      <c r="A117" s="2191"/>
      <c r="B117" s="2191"/>
      <c r="C117" s="2191"/>
      <c r="D117" s="2191"/>
      <c r="E117" s="2191"/>
      <c r="F117" s="2191"/>
      <c r="G117" s="2191"/>
      <c r="H117" s="2191"/>
      <c r="I117" s="2184"/>
      <c r="J117" s="2191"/>
      <c r="K117" s="712"/>
      <c r="L117" s="833"/>
      <c r="M117" s="960"/>
      <c r="N117" s="960"/>
      <c r="O117" s="1025"/>
      <c r="P117" s="1229"/>
      <c r="Q117" s="1229"/>
      <c r="R117" s="1229"/>
      <c r="S117" s="1229"/>
      <c r="T117" s="1229"/>
      <c r="Z117" s="1230"/>
      <c r="AM117" s="1076"/>
    </row>
    <row r="118" spans="1:39">
      <c r="A118" s="2191"/>
      <c r="B118" s="2191"/>
      <c r="C118" s="2191"/>
      <c r="D118" s="2191"/>
      <c r="E118" s="2191"/>
      <c r="F118" s="2191"/>
      <c r="G118" s="2191"/>
      <c r="H118" s="2191"/>
      <c r="I118" s="2184"/>
      <c r="J118" s="2191"/>
      <c r="K118" s="712"/>
      <c r="L118" s="833"/>
      <c r="M118" s="960"/>
      <c r="N118" s="960"/>
      <c r="O118" s="1025"/>
      <c r="P118" s="1229"/>
      <c r="Q118" s="1229"/>
      <c r="R118" s="1229"/>
      <c r="S118" s="1229"/>
      <c r="T118" s="1229"/>
      <c r="Z118" s="1230"/>
      <c r="AM118" s="1076"/>
    </row>
    <row r="119" spans="1:39">
      <c r="A119" s="2191"/>
      <c r="B119" s="2191"/>
      <c r="C119" s="2191"/>
      <c r="D119" s="2191"/>
      <c r="E119" s="2191"/>
      <c r="F119" s="2191"/>
      <c r="G119" s="2191"/>
      <c r="H119" s="2191"/>
      <c r="I119" s="2184"/>
      <c r="J119" s="2191"/>
      <c r="K119" s="712"/>
      <c r="L119" s="833"/>
      <c r="M119" s="960"/>
      <c r="N119" s="960"/>
      <c r="O119" s="1025"/>
      <c r="P119" s="1229"/>
      <c r="Q119" s="1229"/>
      <c r="R119" s="1229"/>
      <c r="S119" s="1229"/>
      <c r="T119" s="1229"/>
      <c r="Z119" s="1230"/>
      <c r="AM119" s="1076"/>
    </row>
    <row r="120" spans="1:39">
      <c r="A120" s="2191"/>
      <c r="B120" s="2191"/>
      <c r="C120" s="2191"/>
      <c r="D120" s="2191"/>
      <c r="E120" s="2191"/>
      <c r="F120" s="2191"/>
      <c r="G120" s="2191"/>
      <c r="H120" s="2191"/>
      <c r="I120" s="2184"/>
      <c r="J120" s="2191"/>
      <c r="K120" s="712"/>
      <c r="L120" s="833"/>
      <c r="M120" s="960"/>
      <c r="N120" s="960"/>
      <c r="O120" s="1025"/>
      <c r="P120" s="1229"/>
      <c r="Q120" s="1229"/>
      <c r="R120" s="1229"/>
      <c r="S120" s="1229"/>
      <c r="T120" s="1229"/>
      <c r="Z120" s="1230"/>
      <c r="AM120" s="1076"/>
    </row>
    <row r="121" spans="1:39">
      <c r="K121" s="712"/>
      <c r="L121" s="833"/>
      <c r="M121" s="960"/>
      <c r="N121" s="960"/>
      <c r="O121" s="960"/>
      <c r="P121" s="960"/>
      <c r="Q121" s="960"/>
      <c r="R121" s="960"/>
      <c r="S121" s="960"/>
      <c r="T121" s="960"/>
      <c r="U121" s="960"/>
      <c r="V121" s="960"/>
      <c r="W121" s="960"/>
      <c r="X121" s="960"/>
      <c r="Y121" s="960"/>
      <c r="Z121" s="960"/>
      <c r="AM121" s="1076"/>
    </row>
    <row r="122" spans="1:39">
      <c r="A122" s="2191"/>
      <c r="B122" s="2191"/>
      <c r="C122" s="2191"/>
      <c r="D122" s="2191"/>
      <c r="E122" s="2191"/>
      <c r="F122" s="2191"/>
      <c r="G122" s="2191"/>
      <c r="H122" s="2191"/>
      <c r="I122" s="2184"/>
      <c r="J122" s="2191"/>
      <c r="K122" s="712"/>
      <c r="L122" s="833"/>
      <c r="AM122" s="1076"/>
    </row>
    <row r="123" spans="1:39" ht="6" customHeight="1">
      <c r="A123" s="2191"/>
      <c r="B123" s="2191"/>
      <c r="C123" s="2191"/>
      <c r="D123" s="2191"/>
      <c r="E123" s="2191"/>
      <c r="F123" s="2191"/>
      <c r="G123" s="2191"/>
      <c r="H123" s="2191"/>
      <c r="I123" s="2184"/>
      <c r="J123" s="2191"/>
      <c r="K123" s="1075"/>
      <c r="L123" s="1075"/>
      <c r="M123" s="1076"/>
      <c r="N123" s="1076"/>
      <c r="O123" s="1076"/>
      <c r="P123" s="1076"/>
      <c r="Q123" s="1076"/>
      <c r="R123" s="1076"/>
      <c r="S123" s="1076"/>
      <c r="T123" s="1076"/>
      <c r="U123" s="1076"/>
      <c r="V123" s="1076"/>
      <c r="W123" s="1076"/>
      <c r="X123" s="1076"/>
      <c r="Y123" s="1076"/>
      <c r="Z123" s="1076"/>
      <c r="AA123" s="1076"/>
      <c r="AB123" s="1076"/>
      <c r="AC123" s="1076"/>
      <c r="AD123" s="1076"/>
      <c r="AE123" s="1076"/>
      <c r="AF123" s="1076"/>
      <c r="AG123" s="1076"/>
      <c r="AH123" s="1076"/>
      <c r="AI123" s="1076"/>
      <c r="AJ123" s="1076"/>
      <c r="AK123" s="1076"/>
      <c r="AL123" s="1076"/>
      <c r="AM123" s="1076"/>
    </row>
    <row r="124" spans="1:39" ht="6" customHeight="1">
      <c r="A124" s="2194"/>
      <c r="B124" s="2194"/>
      <c r="C124" s="2194"/>
      <c r="D124" s="2194"/>
      <c r="E124" s="2194"/>
      <c r="F124" s="2194"/>
      <c r="G124" s="2194"/>
      <c r="H124" s="2194"/>
      <c r="J124" s="2194"/>
      <c r="K124" s="1075"/>
      <c r="L124" s="1075"/>
      <c r="M124" s="1076"/>
      <c r="N124" s="1076"/>
      <c r="O124" s="1076"/>
      <c r="P124" s="1076"/>
      <c r="Q124" s="1076"/>
      <c r="R124" s="1076"/>
      <c r="S124" s="1076"/>
      <c r="T124" s="1076"/>
      <c r="U124" s="1076"/>
      <c r="V124" s="1076"/>
      <c r="W124" s="1076"/>
      <c r="X124" s="1076"/>
      <c r="Y124" s="1076"/>
      <c r="Z124" s="1076"/>
      <c r="AA124" s="1076"/>
      <c r="AB124" s="1076"/>
      <c r="AC124" s="1076"/>
      <c r="AD124" s="1076"/>
      <c r="AE124" s="1076"/>
      <c r="AF124" s="1076"/>
      <c r="AG124" s="1076"/>
      <c r="AH124" s="1076"/>
      <c r="AI124" s="1076"/>
      <c r="AJ124" s="1076"/>
      <c r="AK124" s="1076"/>
      <c r="AL124" s="1076"/>
      <c r="AM124" s="1076"/>
    </row>
    <row r="125" spans="1:39">
      <c r="K125" s="712"/>
      <c r="L125" s="833"/>
      <c r="S125" s="1302">
        <v>14</v>
      </c>
      <c r="T125" s="1302">
        <v>15</v>
      </c>
      <c r="U125" s="1302">
        <v>16</v>
      </c>
      <c r="V125" s="1302">
        <v>17</v>
      </c>
      <c r="W125" s="1302">
        <v>18</v>
      </c>
      <c r="AM125" s="1076"/>
    </row>
    <row r="126" spans="1:39">
      <c r="K126" s="712"/>
      <c r="L126" s="833"/>
      <c r="N126" s="960"/>
      <c r="AM126" s="1076"/>
    </row>
    <row r="127" spans="1:39" ht="21">
      <c r="K127" s="712"/>
      <c r="L127" s="833"/>
      <c r="M127" s="1073" t="s">
        <v>2187</v>
      </c>
      <c r="AM127" s="1076"/>
    </row>
    <row r="128" spans="1:39">
      <c r="K128" s="712"/>
      <c r="L128" s="833"/>
      <c r="AM128" s="1076"/>
    </row>
    <row r="129" spans="11:39" ht="22" thickBot="1">
      <c r="K129" s="712"/>
      <c r="L129" s="833"/>
      <c r="M129" s="1208" t="s">
        <v>2205</v>
      </c>
      <c r="AM129" s="1076"/>
    </row>
    <row r="130" spans="11:39" ht="21">
      <c r="K130" s="712"/>
      <c r="L130" s="833"/>
      <c r="M130" s="1073"/>
      <c r="Q130" s="1302" t="s">
        <v>2288</v>
      </c>
      <c r="R130" t="s">
        <v>2204</v>
      </c>
      <c r="S130" s="1217">
        <f>VLOOKUP($Q130,'Estimare cazuri'!$A:$R,S125,0)</f>
        <v>1313</v>
      </c>
      <c r="T130" s="1148">
        <f>VLOOKUP($Q130,'Estimare cazuri'!$A:$R,T125,0)</f>
        <v>1277</v>
      </c>
      <c r="U130" s="1148">
        <f>VLOOKUP($Q130,'Estimare cazuri'!$A:$R,U125,0)</f>
        <v>1244</v>
      </c>
      <c r="V130" s="1148">
        <f>VLOOKUP($Q130,'Estimare cazuri'!$A:$R,V125,0)</f>
        <v>1211</v>
      </c>
      <c r="W130" s="1151">
        <f>VLOOKUP($Q130,'Estimare cazuri'!$A:$R,W125,0)</f>
        <v>1179</v>
      </c>
      <c r="AM130" s="1076"/>
    </row>
    <row r="131" spans="11:39" ht="22" thickBot="1">
      <c r="K131" s="712"/>
      <c r="L131" s="833"/>
      <c r="M131" s="1073"/>
      <c r="Q131" s="1302" t="s">
        <v>2287</v>
      </c>
      <c r="R131" t="s">
        <v>2203</v>
      </c>
      <c r="S131" s="1017">
        <f>VLOOKUP($Q131,'Estimare cazuri'!$A:$R,S125,0)</f>
        <v>5606</v>
      </c>
      <c r="T131" s="1034">
        <f>VLOOKUP($Q131,'Estimare cazuri'!$A:$R,T125,0)</f>
        <v>5454</v>
      </c>
      <c r="U131" s="1034">
        <f>VLOOKUP($Q131,'Estimare cazuri'!$A:$R,U125,0)</f>
        <v>5310</v>
      </c>
      <c r="V131" s="1034">
        <f>VLOOKUP($Q131,'Estimare cazuri'!$A:$R,V125,0)</f>
        <v>5169</v>
      </c>
      <c r="W131" s="1018">
        <f>VLOOKUP($Q131,'Estimare cazuri'!$A:$R,W125,0)</f>
        <v>5035</v>
      </c>
      <c r="AM131" s="1076"/>
    </row>
    <row r="132" spans="11:39" ht="22" thickBot="1">
      <c r="K132" s="712"/>
      <c r="L132" s="833"/>
      <c r="M132" s="1073"/>
      <c r="X132" s="642" t="s">
        <v>349</v>
      </c>
      <c r="AD132" s="1758" t="s">
        <v>351</v>
      </c>
      <c r="AE132" s="966"/>
      <c r="AF132" s="966"/>
      <c r="AG132" s="966"/>
      <c r="AH132" s="967"/>
      <c r="AM132" s="1076"/>
    </row>
    <row r="133" spans="11:39" ht="17" thickBot="1">
      <c r="K133" s="712"/>
      <c r="L133" s="833"/>
      <c r="S133" s="530" t="s">
        <v>2191</v>
      </c>
      <c r="T133" s="528"/>
      <c r="U133" s="528"/>
      <c r="V133" s="528"/>
      <c r="W133" s="529"/>
      <c r="X133" s="530" t="s">
        <v>2202</v>
      </c>
      <c r="Y133" s="528"/>
      <c r="Z133" s="528"/>
      <c r="AA133" s="528"/>
      <c r="AB133" s="529"/>
      <c r="AD133" s="1049"/>
      <c r="AE133" s="960"/>
      <c r="AF133" s="960"/>
      <c r="AG133" s="960"/>
      <c r="AH133" s="62"/>
      <c r="AM133" s="1076"/>
    </row>
    <row r="134" spans="11:39" ht="35" thickBot="1">
      <c r="K134" s="712"/>
      <c r="L134" s="833"/>
      <c r="M134" s="1103" t="s">
        <v>312</v>
      </c>
      <c r="N134" s="1103" t="s">
        <v>354</v>
      </c>
      <c r="O134" s="1083" t="s">
        <v>328</v>
      </c>
      <c r="P134" s="1083" t="s">
        <v>327</v>
      </c>
      <c r="Q134" s="1083" t="s">
        <v>329</v>
      </c>
      <c r="R134" s="1104" t="s">
        <v>97</v>
      </c>
      <c r="S134" s="1057">
        <v>2021</v>
      </c>
      <c r="T134" s="1058">
        <v>2022</v>
      </c>
      <c r="U134" s="1058">
        <v>2023</v>
      </c>
      <c r="V134" s="1058">
        <v>2024</v>
      </c>
      <c r="W134" s="1059">
        <v>2025</v>
      </c>
      <c r="X134" s="1057">
        <v>2021</v>
      </c>
      <c r="Y134" s="1058">
        <v>2022</v>
      </c>
      <c r="Z134" s="1058">
        <v>2023</v>
      </c>
      <c r="AA134" s="1058">
        <v>2024</v>
      </c>
      <c r="AB134" s="1059">
        <v>2025</v>
      </c>
      <c r="AD134" s="2253">
        <v>0.8</v>
      </c>
      <c r="AE134" s="2246">
        <v>0.7</v>
      </c>
      <c r="AF134" s="2246">
        <v>0.6</v>
      </c>
      <c r="AG134" s="958"/>
      <c r="AH134" s="1540"/>
      <c r="AM134" s="1076"/>
    </row>
    <row r="135" spans="11:39" ht="18" thickBot="1">
      <c r="K135" s="712"/>
      <c r="L135" s="1121" t="s">
        <v>2192</v>
      </c>
      <c r="M135" s="1146" t="s">
        <v>446</v>
      </c>
      <c r="N135" s="1131">
        <v>0.05</v>
      </c>
      <c r="O135" s="1200">
        <v>1</v>
      </c>
      <c r="P135" s="1200">
        <v>30</v>
      </c>
      <c r="Q135" s="1200">
        <v>6</v>
      </c>
      <c r="R135" s="1172">
        <f t="shared" ref="R135:R146" si="32">O135*P135*Q135</f>
        <v>180</v>
      </c>
      <c r="S135" s="1153">
        <f>ROUND(S130*$L136*$N135,0)</f>
        <v>66</v>
      </c>
      <c r="T135" s="1170">
        <f t="shared" ref="T135:W135" si="33">ROUND(T130*$L136*$N135,0)</f>
        <v>64</v>
      </c>
      <c r="U135" s="1170">
        <f t="shared" si="33"/>
        <v>62</v>
      </c>
      <c r="V135" s="1170">
        <f t="shared" si="33"/>
        <v>61</v>
      </c>
      <c r="W135" s="1171">
        <f t="shared" si="33"/>
        <v>59</v>
      </c>
      <c r="X135" s="1167">
        <f>S135*$R135</f>
        <v>11880</v>
      </c>
      <c r="Y135" s="1168">
        <f>T135*$R135</f>
        <v>11520</v>
      </c>
      <c r="Z135" s="1168">
        <f t="shared" ref="Y135:AB136" si="34">U135*$R135</f>
        <v>11160</v>
      </c>
      <c r="AA135" s="1168">
        <f t="shared" si="34"/>
        <v>10980</v>
      </c>
      <c r="AB135" s="1169">
        <f t="shared" si="34"/>
        <v>10620</v>
      </c>
      <c r="AD135" s="1007"/>
      <c r="AE135" s="946"/>
      <c r="AF135" s="946"/>
      <c r="AG135" s="946"/>
      <c r="AH135" s="1008"/>
      <c r="AM135" s="1076"/>
    </row>
    <row r="136" spans="11:39" ht="17" thickBot="1">
      <c r="K136" s="712"/>
      <c r="L136" s="2674">
        <v>1</v>
      </c>
      <c r="M136" s="1257" t="s">
        <v>2237</v>
      </c>
      <c r="N136" s="1131">
        <v>0.8</v>
      </c>
      <c r="O136" s="1200">
        <v>1</v>
      </c>
      <c r="P136" s="1200">
        <v>12</v>
      </c>
      <c r="Q136" s="1200">
        <v>3</v>
      </c>
      <c r="R136" s="1172">
        <f t="shared" si="32"/>
        <v>36</v>
      </c>
      <c r="S136" s="1167">
        <f>ROUND(S130*$L136*$N136,0)-AD136</f>
        <v>210</v>
      </c>
      <c r="T136" s="1167">
        <f t="shared" ref="T136:W136" si="35">ROUND(T130*$L136*$N136,0)-AE136</f>
        <v>307</v>
      </c>
      <c r="U136" s="1167">
        <f t="shared" si="35"/>
        <v>398</v>
      </c>
      <c r="V136" s="1167">
        <f t="shared" si="35"/>
        <v>969</v>
      </c>
      <c r="W136" s="1167">
        <f t="shared" si="35"/>
        <v>943</v>
      </c>
      <c r="X136" s="1167">
        <f>S136*$R136</f>
        <v>7560</v>
      </c>
      <c r="Y136" s="1168">
        <f t="shared" si="34"/>
        <v>11052</v>
      </c>
      <c r="Z136" s="1168">
        <f t="shared" si="34"/>
        <v>14328</v>
      </c>
      <c r="AA136" s="1168">
        <f t="shared" si="34"/>
        <v>34884</v>
      </c>
      <c r="AB136" s="1169">
        <f t="shared" si="34"/>
        <v>33948</v>
      </c>
      <c r="AD136" s="2254">
        <f>ROUND(S130*$L136*$N136*AD134,0)</f>
        <v>840</v>
      </c>
      <c r="AE136" s="2236">
        <f t="shared" ref="AE136:AH136" si="36">ROUND(T130*$L136*$N136*AE134,0)</f>
        <v>715</v>
      </c>
      <c r="AF136" s="2236">
        <f t="shared" si="36"/>
        <v>597</v>
      </c>
      <c r="AG136" s="2236">
        <f t="shared" si="36"/>
        <v>0</v>
      </c>
      <c r="AH136" s="2255">
        <f t="shared" si="36"/>
        <v>0</v>
      </c>
      <c r="AM136" s="1076"/>
    </row>
    <row r="137" spans="11:39" ht="17">
      <c r="K137" s="712"/>
      <c r="L137" s="2674"/>
      <c r="M137" s="1147" t="s">
        <v>2201</v>
      </c>
      <c r="N137" s="2666">
        <v>0.1</v>
      </c>
      <c r="O137" s="1201">
        <v>3</v>
      </c>
      <c r="P137" s="1201">
        <v>12</v>
      </c>
      <c r="Q137" s="1201">
        <v>3</v>
      </c>
      <c r="R137" s="1173">
        <f t="shared" si="32"/>
        <v>108</v>
      </c>
      <c r="S137" s="2668">
        <f>ROUND(S130*$L136*$N137,0)</f>
        <v>131</v>
      </c>
      <c r="T137" s="2670">
        <f t="shared" ref="T137:W137" si="37">ROUND(T130*$L136*$N137,0)</f>
        <v>128</v>
      </c>
      <c r="U137" s="2670">
        <f t="shared" si="37"/>
        <v>124</v>
      </c>
      <c r="V137" s="2670">
        <f t="shared" si="37"/>
        <v>121</v>
      </c>
      <c r="W137" s="2664">
        <f t="shared" si="37"/>
        <v>118</v>
      </c>
      <c r="X137" s="1155">
        <f>S137*$R137</f>
        <v>14148</v>
      </c>
      <c r="Y137" s="1156">
        <f t="shared" ref="Y137:AB137" si="38">T137*$R137</f>
        <v>13824</v>
      </c>
      <c r="Z137" s="1156">
        <f t="shared" si="38"/>
        <v>13392</v>
      </c>
      <c r="AA137" s="1156">
        <f t="shared" si="38"/>
        <v>13068</v>
      </c>
      <c r="AB137" s="1157">
        <f t="shared" si="38"/>
        <v>12744</v>
      </c>
      <c r="AD137" s="1007"/>
      <c r="AE137" s="946"/>
      <c r="AF137" s="946"/>
      <c r="AG137" s="946"/>
      <c r="AH137" s="1008"/>
      <c r="AM137" s="1076"/>
    </row>
    <row r="138" spans="11:39" ht="18" thickBot="1">
      <c r="K138" s="712"/>
      <c r="L138" s="2674"/>
      <c r="M138" s="1135" t="s">
        <v>446</v>
      </c>
      <c r="N138" s="2667"/>
      <c r="O138" s="1199">
        <v>2</v>
      </c>
      <c r="P138" s="1199">
        <v>12</v>
      </c>
      <c r="Q138" s="1199">
        <v>3</v>
      </c>
      <c r="R138" s="1174">
        <f t="shared" si="32"/>
        <v>72</v>
      </c>
      <c r="S138" s="2669"/>
      <c r="T138" s="2671"/>
      <c r="U138" s="2671"/>
      <c r="V138" s="2671"/>
      <c r="W138" s="2665"/>
      <c r="X138" s="1158">
        <f>S137*$R138</f>
        <v>9432</v>
      </c>
      <c r="Y138" s="1159">
        <f t="shared" ref="Y138:AB138" si="39">T137*$R138</f>
        <v>9216</v>
      </c>
      <c r="Z138" s="1159">
        <f t="shared" si="39"/>
        <v>8928</v>
      </c>
      <c r="AA138" s="1159">
        <f t="shared" si="39"/>
        <v>8712</v>
      </c>
      <c r="AB138" s="1160">
        <f t="shared" si="39"/>
        <v>8496</v>
      </c>
      <c r="AD138" s="1007"/>
      <c r="AE138" s="946"/>
      <c r="AF138" s="946"/>
      <c r="AG138" s="946"/>
      <c r="AH138" s="1008"/>
      <c r="AM138" s="1076"/>
    </row>
    <row r="139" spans="11:39" ht="18" thickBot="1">
      <c r="K139" s="712"/>
      <c r="L139" s="2674"/>
      <c r="M139" s="1178" t="s">
        <v>319</v>
      </c>
      <c r="N139" s="1132">
        <v>0.05</v>
      </c>
      <c r="O139" s="1082">
        <v>1</v>
      </c>
      <c r="P139" s="1082">
        <v>30</v>
      </c>
      <c r="Q139" s="1082">
        <v>4</v>
      </c>
      <c r="R139" s="1179">
        <f t="shared" si="32"/>
        <v>120</v>
      </c>
      <c r="S139" s="1153">
        <f>ROUND(S130*$L136*$N139,0)</f>
        <v>66</v>
      </c>
      <c r="T139" s="1180">
        <f t="shared" ref="T139:W139" si="40">ROUND(T130*$L136*$N139,0)</f>
        <v>64</v>
      </c>
      <c r="U139" s="1180">
        <f t="shared" si="40"/>
        <v>62</v>
      </c>
      <c r="V139" s="1180">
        <f t="shared" si="40"/>
        <v>61</v>
      </c>
      <c r="W139" s="1181">
        <f t="shared" si="40"/>
        <v>59</v>
      </c>
      <c r="X139" s="1182">
        <f>S140*$R140</f>
        <v>149640</v>
      </c>
      <c r="Y139" s="1180">
        <f t="shared" ref="Y139:AB139" si="41">T140*$R140</f>
        <v>145680</v>
      </c>
      <c r="Z139" s="1180">
        <f t="shared" si="41"/>
        <v>141720</v>
      </c>
      <c r="AA139" s="1180">
        <f t="shared" si="41"/>
        <v>138120</v>
      </c>
      <c r="AB139" s="1183">
        <f t="shared" si="41"/>
        <v>134400</v>
      </c>
      <c r="AD139" s="1007"/>
      <c r="AE139" s="946"/>
      <c r="AF139" s="946"/>
      <c r="AG139" s="946"/>
      <c r="AH139" s="1008"/>
      <c r="AM139" s="1076"/>
    </row>
    <row r="140" spans="11:39" ht="17" thickBot="1">
      <c r="K140" s="712"/>
      <c r="L140" s="2675"/>
      <c r="M140" s="1184" t="s">
        <v>2177</v>
      </c>
      <c r="N140" s="1185"/>
      <c r="O140" s="1263">
        <v>1</v>
      </c>
      <c r="P140" s="1263">
        <v>30</v>
      </c>
      <c r="Q140" s="1263">
        <v>4</v>
      </c>
      <c r="R140" s="1186">
        <f t="shared" si="32"/>
        <v>120</v>
      </c>
      <c r="S140" s="1187">
        <f>S136+S135+S137+AD136</f>
        <v>1247</v>
      </c>
      <c r="T140" s="1188">
        <f t="shared" ref="T140:W140" si="42">T136+T135+T137+AE136</f>
        <v>1214</v>
      </c>
      <c r="U140" s="1188">
        <f t="shared" si="42"/>
        <v>1181</v>
      </c>
      <c r="V140" s="1188">
        <f t="shared" si="42"/>
        <v>1151</v>
      </c>
      <c r="W140" s="1189">
        <f t="shared" si="42"/>
        <v>1120</v>
      </c>
      <c r="X140" s="1187">
        <f>S140*$R140</f>
        <v>149640</v>
      </c>
      <c r="Y140" s="1188">
        <f t="shared" ref="Y140:AB143" si="43">T140*$R140</f>
        <v>145680</v>
      </c>
      <c r="Z140" s="1188">
        <f t="shared" si="43"/>
        <v>141720</v>
      </c>
      <c r="AA140" s="1188">
        <f t="shared" si="43"/>
        <v>138120</v>
      </c>
      <c r="AB140" s="1189">
        <f t="shared" si="43"/>
        <v>134400</v>
      </c>
      <c r="AD140" s="1007"/>
      <c r="AE140" s="946"/>
      <c r="AF140" s="946"/>
      <c r="AG140" s="946"/>
      <c r="AH140" s="1008"/>
      <c r="AM140" s="1076"/>
    </row>
    <row r="141" spans="11:39" ht="18" thickBot="1">
      <c r="K141" s="712"/>
      <c r="L141" s="1163" t="s">
        <v>2193</v>
      </c>
      <c r="M141" s="1124" t="s">
        <v>320</v>
      </c>
      <c r="N141" s="1239">
        <v>0.05</v>
      </c>
      <c r="O141" s="1202">
        <v>1</v>
      </c>
      <c r="P141" s="1202">
        <v>30</v>
      </c>
      <c r="Q141" s="1202">
        <v>6</v>
      </c>
      <c r="R141" s="1176">
        <f t="shared" si="32"/>
        <v>180</v>
      </c>
      <c r="S141" s="1167">
        <f>ROUND(S131*$L142*$N141,0)</f>
        <v>112</v>
      </c>
      <c r="T141" s="1168">
        <f>ROUND(T131*$L142*$N141,0)</f>
        <v>109</v>
      </c>
      <c r="U141" s="1168">
        <f t="shared" ref="U141:W141" si="44">ROUND(U131*$L142*$N141,0)</f>
        <v>106</v>
      </c>
      <c r="V141" s="1168">
        <f t="shared" si="44"/>
        <v>103</v>
      </c>
      <c r="W141" s="1169">
        <f t="shared" si="44"/>
        <v>101</v>
      </c>
      <c r="X141" s="1167">
        <f>S141*$R141</f>
        <v>20160</v>
      </c>
      <c r="Y141" s="1168">
        <f t="shared" si="43"/>
        <v>19620</v>
      </c>
      <c r="Z141" s="1168">
        <f t="shared" si="43"/>
        <v>19080</v>
      </c>
      <c r="AA141" s="1168">
        <f t="shared" si="43"/>
        <v>18540</v>
      </c>
      <c r="AB141" s="1169">
        <f t="shared" si="43"/>
        <v>18180</v>
      </c>
      <c r="AD141" s="1007"/>
      <c r="AE141" s="946"/>
      <c r="AF141" s="946"/>
      <c r="AG141" s="946"/>
      <c r="AH141" s="1008"/>
      <c r="AM141" s="1076"/>
    </row>
    <row r="142" spans="11:39" ht="17" thickBot="1">
      <c r="K142" s="712"/>
      <c r="L142" s="2672">
        <v>0.4</v>
      </c>
      <c r="M142" s="1257" t="s">
        <v>2237</v>
      </c>
      <c r="N142" s="1239">
        <v>0.8</v>
      </c>
      <c r="O142" s="1203">
        <v>3</v>
      </c>
      <c r="P142" s="1203">
        <v>12</v>
      </c>
      <c r="Q142" s="1203">
        <v>3</v>
      </c>
      <c r="R142" s="1177">
        <f t="shared" si="32"/>
        <v>108</v>
      </c>
      <c r="S142" s="1164">
        <f>ROUND(S131*$L142*$N142,0)-AD142</f>
        <v>359</v>
      </c>
      <c r="T142" s="1154">
        <f t="shared" ref="T142:W142" si="45">ROUND(T131*$L142*$N142,0)-AE142</f>
        <v>523</v>
      </c>
      <c r="U142" s="1154">
        <f t="shared" si="45"/>
        <v>679</v>
      </c>
      <c r="V142" s="1154">
        <f t="shared" si="45"/>
        <v>1654</v>
      </c>
      <c r="W142" s="1165">
        <f t="shared" si="45"/>
        <v>1611</v>
      </c>
      <c r="X142" s="1164">
        <f>S142*$R142</f>
        <v>38772</v>
      </c>
      <c r="Y142" s="1154">
        <f t="shared" si="43"/>
        <v>56484</v>
      </c>
      <c r="Z142" s="1154">
        <f t="shared" si="43"/>
        <v>73332</v>
      </c>
      <c r="AA142" s="1154">
        <f t="shared" si="43"/>
        <v>178632</v>
      </c>
      <c r="AB142" s="1165">
        <f t="shared" si="43"/>
        <v>173988</v>
      </c>
      <c r="AD142" s="1007">
        <f>ROUND(S131*$L142*$N142*AD134,0)</f>
        <v>1435</v>
      </c>
      <c r="AE142" s="946">
        <f t="shared" ref="AE142:AH142" si="46">ROUND(T131*$L142*$N142*AE134,0)</f>
        <v>1222</v>
      </c>
      <c r="AF142" s="946">
        <f t="shared" si="46"/>
        <v>1020</v>
      </c>
      <c r="AG142" s="946">
        <f t="shared" si="46"/>
        <v>0</v>
      </c>
      <c r="AH142" s="1008">
        <f t="shared" si="46"/>
        <v>0</v>
      </c>
      <c r="AM142" s="1076"/>
    </row>
    <row r="143" spans="11:39" ht="17">
      <c r="K143" s="712"/>
      <c r="L143" s="2672"/>
      <c r="M143" s="1161" t="s">
        <v>2201</v>
      </c>
      <c r="N143" s="2666">
        <v>0.1</v>
      </c>
      <c r="O143" s="1201">
        <v>6</v>
      </c>
      <c r="P143" s="1201">
        <v>12</v>
      </c>
      <c r="Q143" s="1201">
        <v>3</v>
      </c>
      <c r="R143" s="1262">
        <f t="shared" ref="R143:R145" si="47">O143*P143*Q143</f>
        <v>216</v>
      </c>
      <c r="S143" s="2668">
        <f>ROUND(S131*$L142*$N143,0)</f>
        <v>224</v>
      </c>
      <c r="T143" s="2670">
        <f t="shared" ref="T143:W143" si="48">ROUND(T131*$L142*$N143,0)</f>
        <v>218</v>
      </c>
      <c r="U143" s="2670">
        <f t="shared" si="48"/>
        <v>212</v>
      </c>
      <c r="V143" s="2670">
        <f t="shared" si="48"/>
        <v>207</v>
      </c>
      <c r="W143" s="2664">
        <f t="shared" si="48"/>
        <v>201</v>
      </c>
      <c r="X143" s="1155">
        <f>S143*$R143</f>
        <v>48384</v>
      </c>
      <c r="Y143" s="1156">
        <f t="shared" si="43"/>
        <v>47088</v>
      </c>
      <c r="Z143" s="1156">
        <f t="shared" si="43"/>
        <v>45792</v>
      </c>
      <c r="AA143" s="1156">
        <f t="shared" si="43"/>
        <v>44712</v>
      </c>
      <c r="AB143" s="1157">
        <f t="shared" si="43"/>
        <v>43416</v>
      </c>
      <c r="AD143" s="1007"/>
      <c r="AE143" s="946"/>
      <c r="AF143" s="946"/>
      <c r="AG143" s="946"/>
      <c r="AH143" s="1008"/>
      <c r="AM143" s="1076"/>
    </row>
    <row r="144" spans="11:39" ht="18" thickBot="1">
      <c r="K144" s="712"/>
      <c r="L144" s="2672"/>
      <c r="M144" s="1162" t="s">
        <v>320</v>
      </c>
      <c r="N144" s="2667"/>
      <c r="O144" s="1199">
        <v>3</v>
      </c>
      <c r="P144" s="1199">
        <v>12</v>
      </c>
      <c r="Q144" s="1199">
        <v>3</v>
      </c>
      <c r="R144" s="1174">
        <f t="shared" si="47"/>
        <v>108</v>
      </c>
      <c r="S144" s="2669"/>
      <c r="T144" s="2671"/>
      <c r="U144" s="2671"/>
      <c r="V144" s="2671"/>
      <c r="W144" s="2665"/>
      <c r="X144" s="1158">
        <f>S143*$R144</f>
        <v>24192</v>
      </c>
      <c r="Y144" s="1159">
        <f t="shared" ref="Y144" si="49">T143*$R144</f>
        <v>23544</v>
      </c>
      <c r="Z144" s="1159">
        <f t="shared" ref="Z144" si="50">U143*$R144</f>
        <v>22896</v>
      </c>
      <c r="AA144" s="1159">
        <f t="shared" ref="AA144" si="51">V143*$R144</f>
        <v>22356</v>
      </c>
      <c r="AB144" s="1160">
        <f t="shared" ref="AB144" si="52">W143*$R144</f>
        <v>21708</v>
      </c>
      <c r="AD144" s="1007"/>
      <c r="AE144" s="946"/>
      <c r="AF144" s="946"/>
      <c r="AG144" s="946"/>
      <c r="AH144" s="1008"/>
      <c r="AM144" s="1076"/>
    </row>
    <row r="145" spans="1:39" ht="32" customHeight="1" thickBot="1">
      <c r="K145" s="712"/>
      <c r="L145" s="2672"/>
      <c r="M145" s="1124" t="s">
        <v>319</v>
      </c>
      <c r="N145" s="1240">
        <v>0.05</v>
      </c>
      <c r="O145" s="1202">
        <v>2</v>
      </c>
      <c r="P145" s="1202">
        <v>30</v>
      </c>
      <c r="Q145" s="1202">
        <v>4</v>
      </c>
      <c r="R145" s="1176">
        <f t="shared" si="47"/>
        <v>240</v>
      </c>
      <c r="S145" s="1167">
        <f>ROUND(S131*$L142*$N145,0)</f>
        <v>112</v>
      </c>
      <c r="T145" s="1168">
        <f t="shared" ref="T145:W145" si="53">ROUND(T131*$L142*$N145,0)</f>
        <v>109</v>
      </c>
      <c r="U145" s="1168">
        <f t="shared" si="53"/>
        <v>106</v>
      </c>
      <c r="V145" s="1168">
        <f t="shared" si="53"/>
        <v>103</v>
      </c>
      <c r="W145" s="1169">
        <f t="shared" si="53"/>
        <v>101</v>
      </c>
      <c r="X145" s="1167">
        <f>S145*$R145</f>
        <v>26880</v>
      </c>
      <c r="Y145" s="1168">
        <f t="shared" ref="Y145:AB146" si="54">T145*$R145</f>
        <v>26160</v>
      </c>
      <c r="Z145" s="1168">
        <f t="shared" si="54"/>
        <v>25440</v>
      </c>
      <c r="AA145" s="1168">
        <f t="shared" si="54"/>
        <v>24720</v>
      </c>
      <c r="AB145" s="1169">
        <f t="shared" si="54"/>
        <v>24240</v>
      </c>
      <c r="AD145" s="1007"/>
      <c r="AE145" s="946"/>
      <c r="AF145" s="946"/>
      <c r="AG145" s="946"/>
      <c r="AH145" s="1008"/>
      <c r="AM145" s="1076"/>
    </row>
    <row r="146" spans="1:39" s="1192" customFormat="1" ht="17" thickBot="1">
      <c r="A146" s="2200"/>
      <c r="B146" s="2200"/>
      <c r="C146" s="2200"/>
      <c r="D146" s="2200"/>
      <c r="E146" s="2200"/>
      <c r="F146" s="2200"/>
      <c r="G146" s="2200"/>
      <c r="H146" s="2200"/>
      <c r="I146" s="2203"/>
      <c r="J146" s="2200"/>
      <c r="K146" s="1193"/>
      <c r="L146" s="2673"/>
      <c r="M146" s="1134" t="s">
        <v>2177</v>
      </c>
      <c r="N146" s="1185"/>
      <c r="O146" s="1263">
        <v>1</v>
      </c>
      <c r="P146" s="1263">
        <v>30</v>
      </c>
      <c r="Q146" s="1263">
        <v>4</v>
      </c>
      <c r="R146" s="1194">
        <f t="shared" si="32"/>
        <v>120</v>
      </c>
      <c r="S146" s="1195">
        <f>S142+S141+S143+AD142</f>
        <v>2130</v>
      </c>
      <c r="T146" s="1196">
        <f>T142+T141+T143+AE142</f>
        <v>2072</v>
      </c>
      <c r="U146" s="1196">
        <f>U142+U141+U143+AF142</f>
        <v>2017</v>
      </c>
      <c r="V146" s="1196">
        <f>V142+V141+V143+AG142</f>
        <v>1964</v>
      </c>
      <c r="W146" s="1197">
        <f t="shared" ref="W146" si="55">W142+W141+W143+AH142</f>
        <v>1913</v>
      </c>
      <c r="X146" s="1195">
        <f>S146*$R146</f>
        <v>255600</v>
      </c>
      <c r="Y146" s="1196">
        <f t="shared" si="54"/>
        <v>248640</v>
      </c>
      <c r="Z146" s="1196">
        <f t="shared" si="54"/>
        <v>242040</v>
      </c>
      <c r="AA146" s="1196">
        <f t="shared" si="54"/>
        <v>235680</v>
      </c>
      <c r="AB146" s="1197">
        <f t="shared" si="54"/>
        <v>229560</v>
      </c>
      <c r="AD146" s="2258"/>
      <c r="AE146" s="2237"/>
      <c r="AF146" s="2237"/>
      <c r="AG146" s="2237"/>
      <c r="AH146" s="2259"/>
      <c r="AM146" s="1198"/>
    </row>
    <row r="147" spans="1:39">
      <c r="K147" s="712"/>
      <c r="L147" s="833"/>
      <c r="N147" s="734" t="str">
        <f>IF(AND(SUM(N135:N139)=1,SUM(N141:N145)=1),"ok","% sumar nu este =100%")</f>
        <v>ok</v>
      </c>
      <c r="X147" s="1306">
        <f>SUM(X135:X146)</f>
        <v>756288</v>
      </c>
      <c r="Y147" s="1306">
        <f t="shared" ref="Y147" si="56">SUM(Y135:Y146)</f>
        <v>758508</v>
      </c>
      <c r="Z147" s="1306">
        <f t="shared" ref="Z147" si="57">SUM(Z135:Z146)</f>
        <v>759828</v>
      </c>
      <c r="AA147" s="1306">
        <f t="shared" ref="AA147" si="58">SUM(AA135:AA146)</f>
        <v>868524</v>
      </c>
      <c r="AB147" s="1306">
        <f t="shared" ref="AB147" si="59">SUM(AB135:AB146)</f>
        <v>845700</v>
      </c>
      <c r="AD147" s="1049"/>
      <c r="AE147" s="960"/>
      <c r="AF147" s="960"/>
      <c r="AG147" s="960"/>
      <c r="AH147" s="62"/>
      <c r="AM147" s="1076"/>
    </row>
    <row r="148" spans="1:39" ht="16" thickBot="1">
      <c r="K148" s="712"/>
      <c r="L148" s="833"/>
      <c r="AD148" s="1049"/>
      <c r="AE148" s="960"/>
      <c r="AF148" s="960"/>
      <c r="AG148" s="960"/>
      <c r="AH148" s="62"/>
      <c r="AM148" s="1076"/>
    </row>
    <row r="149" spans="1:39" ht="17" thickBot="1">
      <c r="K149" s="712"/>
      <c r="L149" s="833"/>
      <c r="M149" s="960"/>
      <c r="N149" s="526"/>
      <c r="O149" s="526"/>
      <c r="P149" s="526"/>
      <c r="Q149" s="526"/>
      <c r="R149" s="526"/>
      <c r="S149" s="530" t="s">
        <v>333</v>
      </c>
      <c r="T149" s="528"/>
      <c r="U149" s="528"/>
      <c r="V149" s="528"/>
      <c r="W149" s="529"/>
      <c r="AD149" s="2247"/>
      <c r="AE149" s="1084"/>
      <c r="AF149" s="1084"/>
      <c r="AG149" s="1084"/>
      <c r="AH149" s="2248"/>
      <c r="AM149" s="1076"/>
    </row>
    <row r="150" spans="1:39" ht="17" thickBot="1">
      <c r="K150" s="712"/>
      <c r="L150"/>
      <c r="N150" s="526"/>
      <c r="O150" s="526"/>
      <c r="P150" s="526"/>
      <c r="Q150" s="526"/>
      <c r="R150" s="526"/>
      <c r="S150" s="584">
        <v>2021</v>
      </c>
      <c r="T150" s="585">
        <v>2022</v>
      </c>
      <c r="U150" s="585">
        <v>2023</v>
      </c>
      <c r="V150" s="585">
        <v>2024</v>
      </c>
      <c r="W150" s="586">
        <v>2025</v>
      </c>
      <c r="AD150" s="1057">
        <v>2021</v>
      </c>
      <c r="AE150" s="1058">
        <v>2022</v>
      </c>
      <c r="AF150" s="1058">
        <v>2023</v>
      </c>
      <c r="AG150" s="1058">
        <v>2024</v>
      </c>
      <c r="AH150" s="1059">
        <v>2025</v>
      </c>
      <c r="AM150" s="1076"/>
    </row>
    <row r="151" spans="1:39" ht="16">
      <c r="K151" s="712"/>
      <c r="L151"/>
      <c r="N151" s="1258" t="s">
        <v>446</v>
      </c>
      <c r="O151" s="1084"/>
      <c r="P151" s="1084"/>
      <c r="Q151" s="1084"/>
      <c r="R151" s="1084"/>
      <c r="S151" s="1108">
        <f>SUMIF($M$135:$M$146,$N151,X$135:X$146)</f>
        <v>21312</v>
      </c>
      <c r="T151" s="1109">
        <f t="shared" ref="T151:W151" si="60">SUMIF($M$135:$M$146,$N151,Y$135:Y$146)</f>
        <v>20736</v>
      </c>
      <c r="U151" s="1109">
        <f t="shared" si="60"/>
        <v>20088</v>
      </c>
      <c r="V151" s="1109">
        <f t="shared" si="60"/>
        <v>19692</v>
      </c>
      <c r="W151" s="1110">
        <f t="shared" si="60"/>
        <v>19116</v>
      </c>
      <c r="AD151" s="2249"/>
      <c r="AE151" s="1149"/>
      <c r="AF151" s="1149"/>
      <c r="AG151" s="1149"/>
      <c r="AH151" s="2250"/>
      <c r="AM151" s="1076"/>
    </row>
    <row r="152" spans="1:39" ht="16">
      <c r="K152" s="712"/>
      <c r="L152"/>
      <c r="N152" s="1259" t="s">
        <v>320</v>
      </c>
      <c r="O152" s="591"/>
      <c r="P152" s="591"/>
      <c r="Q152" s="591"/>
      <c r="R152" s="591"/>
      <c r="S152" s="1190">
        <f>SUMIF($M$135:$M$146,$N152,X$135:X$146)</f>
        <v>44352</v>
      </c>
      <c r="T152" s="1166">
        <f t="shared" ref="T152:T156" si="61">SUMIF($M$135:$M$146,$N152,Y$135:Y$146)</f>
        <v>43164</v>
      </c>
      <c r="U152" s="1166">
        <f t="shared" ref="U152:U156" si="62">SUMIF($M$135:$M$146,$N152,Z$135:Z$146)</f>
        <v>41976</v>
      </c>
      <c r="V152" s="1166">
        <f t="shared" ref="V152:V156" si="63">SUMIF($M$135:$M$146,$N152,AA$135:AA$146)</f>
        <v>40896</v>
      </c>
      <c r="W152" s="1191">
        <f t="shared" ref="W152:W156" si="64">SUMIF($M$135:$M$146,$N152,AB$135:AB$146)</f>
        <v>39888</v>
      </c>
      <c r="AD152" s="2251"/>
      <c r="AE152" s="1166"/>
      <c r="AF152" s="1166"/>
      <c r="AG152" s="1166"/>
      <c r="AH152" s="2252"/>
      <c r="AM152" s="1076"/>
    </row>
    <row r="153" spans="1:39" ht="16">
      <c r="K153" s="712"/>
      <c r="L153"/>
      <c r="N153" s="1259" t="s">
        <v>2237</v>
      </c>
      <c r="O153" s="591"/>
      <c r="P153" s="591"/>
      <c r="Q153" s="591"/>
      <c r="R153" s="591"/>
      <c r="S153" s="1140">
        <f t="shared" ref="S153:S155" si="65">SUMIF($M$135:$M$146,$N153,X$135:X$146)</f>
        <v>46332</v>
      </c>
      <c r="T153" s="1141">
        <f t="shared" si="61"/>
        <v>67536</v>
      </c>
      <c r="U153" s="1141">
        <f t="shared" si="62"/>
        <v>87660</v>
      </c>
      <c r="V153" s="1141">
        <f t="shared" si="63"/>
        <v>213516</v>
      </c>
      <c r="W153" s="1142">
        <f t="shared" si="64"/>
        <v>207936</v>
      </c>
      <c r="X153" s="1098"/>
      <c r="AD153" s="1140">
        <f>AD136*$R136+AD142*$R142</f>
        <v>185220</v>
      </c>
      <c r="AE153" s="1141">
        <f>AE136*$R136+AE142*$R142</f>
        <v>157716</v>
      </c>
      <c r="AF153" s="1141">
        <f t="shared" ref="AF153:AH153" si="66">AF136*$R136+AF142*$R142</f>
        <v>131652</v>
      </c>
      <c r="AG153" s="1141">
        <f t="shared" si="66"/>
        <v>0</v>
      </c>
      <c r="AH153" s="1142">
        <f t="shared" si="66"/>
        <v>0</v>
      </c>
      <c r="AI153" s="1098"/>
      <c r="AJ153" s="2280"/>
      <c r="AM153" s="1076"/>
    </row>
    <row r="154" spans="1:39" ht="16">
      <c r="K154" s="712"/>
      <c r="L154"/>
      <c r="N154" s="1259" t="s">
        <v>2201</v>
      </c>
      <c r="O154" s="591"/>
      <c r="P154" s="591"/>
      <c r="Q154" s="591"/>
      <c r="R154" s="591"/>
      <c r="S154" s="1143">
        <f>SUMIF($M$135:$M$146,$N154,X$135:X$146)</f>
        <v>62532</v>
      </c>
      <c r="T154" s="1144">
        <f t="shared" si="61"/>
        <v>60912</v>
      </c>
      <c r="U154" s="1144">
        <f t="shared" si="62"/>
        <v>59184</v>
      </c>
      <c r="V154" s="1144">
        <f t="shared" si="63"/>
        <v>57780</v>
      </c>
      <c r="W154" s="1145">
        <f t="shared" si="64"/>
        <v>56160</v>
      </c>
      <c r="AD154" s="1143"/>
      <c r="AE154" s="1144"/>
      <c r="AF154" s="1144"/>
      <c r="AG154" s="1144"/>
      <c r="AH154" s="1145"/>
      <c r="AM154" s="1076"/>
    </row>
    <row r="155" spans="1:39" ht="16">
      <c r="K155" s="712"/>
      <c r="L155"/>
      <c r="N155" s="1259" t="s">
        <v>319</v>
      </c>
      <c r="O155" s="591"/>
      <c r="P155" s="591"/>
      <c r="Q155" s="591"/>
      <c r="R155" s="591"/>
      <c r="S155" s="1143">
        <f t="shared" si="65"/>
        <v>176520</v>
      </c>
      <c r="T155" s="1144">
        <f t="shared" si="61"/>
        <v>171840</v>
      </c>
      <c r="U155" s="1144">
        <f t="shared" si="62"/>
        <v>167160</v>
      </c>
      <c r="V155" s="1144">
        <f t="shared" si="63"/>
        <v>162840</v>
      </c>
      <c r="W155" s="1145">
        <f t="shared" si="64"/>
        <v>158640</v>
      </c>
      <c r="AD155" s="1143"/>
      <c r="AE155" s="1144"/>
      <c r="AF155" s="1144"/>
      <c r="AG155" s="1144"/>
      <c r="AH155" s="1145"/>
      <c r="AM155" s="1076"/>
    </row>
    <row r="156" spans="1:39" ht="17" thickBot="1">
      <c r="K156" s="712"/>
      <c r="L156" s="833"/>
      <c r="N156" s="1260" t="s">
        <v>2177</v>
      </c>
      <c r="O156" s="596"/>
      <c r="P156" s="596"/>
      <c r="Q156" s="596"/>
      <c r="R156" s="596"/>
      <c r="S156" s="1111">
        <f>SUMIF($M$135:$M$146,$N156,X$135:X$146)</f>
        <v>405240</v>
      </c>
      <c r="T156" s="1112">
        <f t="shared" si="61"/>
        <v>394320</v>
      </c>
      <c r="U156" s="1112">
        <f t="shared" si="62"/>
        <v>383760</v>
      </c>
      <c r="V156" s="1112">
        <f t="shared" si="63"/>
        <v>373800</v>
      </c>
      <c r="W156" s="1113">
        <f t="shared" si="64"/>
        <v>363960</v>
      </c>
      <c r="AD156" s="1111"/>
      <c r="AE156" s="1112"/>
      <c r="AF156" s="1112"/>
      <c r="AG156" s="1112"/>
      <c r="AH156" s="1113"/>
      <c r="AM156" s="1076"/>
    </row>
    <row r="157" spans="1:39">
      <c r="K157" s="712"/>
      <c r="L157" s="833"/>
      <c r="S157" s="1306">
        <f>SUM(S151:S156)</f>
        <v>756288</v>
      </c>
      <c r="T157" s="1306">
        <f t="shared" ref="T157" si="67">SUM(T151:T156)</f>
        <v>758508</v>
      </c>
      <c r="U157" s="1306">
        <f t="shared" ref="U157" si="68">SUM(U151:U156)</f>
        <v>759828</v>
      </c>
      <c r="V157" s="1306">
        <f t="shared" ref="V157" si="69">SUM(V151:V156)</f>
        <v>868524</v>
      </c>
      <c r="W157" s="1306">
        <f t="shared" ref="W157" si="70">SUM(W151:W156)</f>
        <v>845700</v>
      </c>
      <c r="AD157" s="2260"/>
      <c r="AE157" s="2261"/>
      <c r="AF157" s="2261"/>
      <c r="AG157" s="2261"/>
      <c r="AH157" s="2262"/>
      <c r="AM157" s="1076"/>
    </row>
    <row r="158" spans="1:39" ht="16" thickBot="1">
      <c r="K158" s="712"/>
      <c r="L158" s="833"/>
      <c r="AD158" s="1049"/>
      <c r="AE158" s="960"/>
      <c r="AF158" s="960"/>
      <c r="AG158" s="960"/>
      <c r="AH158" s="62"/>
      <c r="AM158" s="1076"/>
    </row>
    <row r="159" spans="1:39" ht="17" thickBot="1">
      <c r="K159" s="712"/>
      <c r="L159" s="833"/>
      <c r="N159" s="526"/>
      <c r="O159" s="526"/>
      <c r="P159" s="526"/>
      <c r="Q159" s="526"/>
      <c r="R159" s="526"/>
      <c r="S159" s="530" t="s">
        <v>2189</v>
      </c>
      <c r="T159" s="528"/>
      <c r="U159" s="528"/>
      <c r="V159" s="528"/>
      <c r="W159" s="529"/>
      <c r="AD159" s="2247"/>
      <c r="AE159" s="1084"/>
      <c r="AF159" s="1084"/>
      <c r="AG159" s="1084"/>
      <c r="AH159" s="2248"/>
      <c r="AM159" s="1076"/>
    </row>
    <row r="160" spans="1:39" ht="17" thickBot="1">
      <c r="K160" s="712"/>
      <c r="L160" s="833"/>
      <c r="N160" s="526"/>
      <c r="O160" s="526"/>
      <c r="P160" s="526"/>
      <c r="Q160" s="526"/>
      <c r="R160" s="526" t="s">
        <v>2190</v>
      </c>
      <c r="S160" s="584">
        <v>2021</v>
      </c>
      <c r="T160" s="585">
        <v>2022</v>
      </c>
      <c r="U160" s="585">
        <v>2023</v>
      </c>
      <c r="V160" s="585">
        <v>2024</v>
      </c>
      <c r="W160" s="586">
        <v>2025</v>
      </c>
      <c r="AC160" t="s">
        <v>3738</v>
      </c>
      <c r="AD160" s="1057">
        <v>2021</v>
      </c>
      <c r="AE160" s="1058">
        <v>2022</v>
      </c>
      <c r="AF160" s="1058">
        <v>2023</v>
      </c>
      <c r="AG160" s="1058">
        <v>2024</v>
      </c>
      <c r="AH160" s="1059">
        <v>2025</v>
      </c>
      <c r="AM160" s="1076"/>
    </row>
    <row r="161" spans="1:43" ht="16">
      <c r="K161" s="712"/>
      <c r="L161" s="833"/>
      <c r="N161" s="1094" t="str">
        <f>N151</f>
        <v>Isoniazid  100mg  Film uncoated tablet(s)</v>
      </c>
      <c r="O161" s="1084"/>
      <c r="P161" s="1084"/>
      <c r="Q161" s="1084"/>
      <c r="R161" s="980">
        <f>VLOOKUP(N161,Preturi_medicamente!D:F,3,0)</f>
        <v>0.2</v>
      </c>
      <c r="S161" s="1127">
        <f>S151*$R161</f>
        <v>4262.4000000000005</v>
      </c>
      <c r="T161" s="1128">
        <f t="shared" ref="T161:W161" si="71">T151*$R161</f>
        <v>4147.2</v>
      </c>
      <c r="U161" s="1128">
        <f t="shared" si="71"/>
        <v>4017.6000000000004</v>
      </c>
      <c r="V161" s="1128">
        <f t="shared" si="71"/>
        <v>3938.4</v>
      </c>
      <c r="W161" s="1129">
        <f t="shared" si="71"/>
        <v>3823.2000000000003</v>
      </c>
      <c r="AD161" s="2256"/>
      <c r="AE161" s="1128"/>
      <c r="AF161" s="1128"/>
      <c r="AG161" s="1128"/>
      <c r="AH161" s="2257"/>
      <c r="AM161" s="1076"/>
    </row>
    <row r="162" spans="1:43" ht="16">
      <c r="K162" s="712"/>
      <c r="L162" s="833"/>
      <c r="N162" s="1099" t="str">
        <f t="shared" ref="N162:N166" si="72">N152</f>
        <v>Isoniazid  300mg  Film uncoated tablet(s)</v>
      </c>
      <c r="O162" s="591"/>
      <c r="P162" s="591"/>
      <c r="Q162" s="591"/>
      <c r="R162" s="1081">
        <f>VLOOKUP(N162,Preturi_medicamente!D:F,3,0)</f>
        <v>0.22</v>
      </c>
      <c r="S162" s="1122">
        <f t="shared" ref="S162:W162" si="73">S152*$R162</f>
        <v>9757.44</v>
      </c>
      <c r="T162" s="1101">
        <f t="shared" si="73"/>
        <v>9496.08</v>
      </c>
      <c r="U162" s="1101">
        <f t="shared" si="73"/>
        <v>9234.7199999999993</v>
      </c>
      <c r="V162" s="1101">
        <f t="shared" si="73"/>
        <v>8997.1200000000008</v>
      </c>
      <c r="W162" s="1123">
        <f t="shared" si="73"/>
        <v>8775.36</v>
      </c>
      <c r="AD162" s="1122"/>
      <c r="AE162" s="1101"/>
      <c r="AF162" s="1101"/>
      <c r="AG162" s="1101"/>
      <c r="AH162" s="1123"/>
      <c r="AM162" s="1076"/>
    </row>
    <row r="163" spans="1:43" ht="16">
      <c r="K163" s="712"/>
      <c r="L163" s="833"/>
      <c r="N163" s="1095" t="str">
        <f t="shared" si="72"/>
        <v>Rifapentine/Isoniazid 300mg/300mg, Film coated tablet(s)</v>
      </c>
      <c r="O163" s="591"/>
      <c r="P163" s="591"/>
      <c r="Q163" s="591"/>
      <c r="R163" s="1081">
        <f>VLOOKUP(N163,Preturi_medicamente!D:F,3,0)</f>
        <v>7.38</v>
      </c>
      <c r="S163" s="1088">
        <f t="shared" ref="S163:W163" si="74">S153*$R163</f>
        <v>341930.16</v>
      </c>
      <c r="T163" s="1089">
        <f t="shared" si="74"/>
        <v>498415.68</v>
      </c>
      <c r="U163" s="1089">
        <f t="shared" si="74"/>
        <v>646930.80000000005</v>
      </c>
      <c r="V163" s="1089">
        <f t="shared" si="74"/>
        <v>1575748.08</v>
      </c>
      <c r="W163" s="1090">
        <f t="shared" si="74"/>
        <v>1534567.68</v>
      </c>
      <c r="AC163">
        <f>VLOOKUP(N163,Preturi_medicamente!D:M,10,0)</f>
        <v>0.42</v>
      </c>
      <c r="AD163" s="1088">
        <f>AD153*$AC163</f>
        <v>77792.399999999994</v>
      </c>
      <c r="AE163" s="1089">
        <f>AE153*$AC163</f>
        <v>66240.72</v>
      </c>
      <c r="AF163" s="1089">
        <f t="shared" ref="AF163:AH163" si="75">AF153*$AC163</f>
        <v>55293.84</v>
      </c>
      <c r="AG163" s="1089">
        <f t="shared" si="75"/>
        <v>0</v>
      </c>
      <c r="AH163" s="1090">
        <f t="shared" si="75"/>
        <v>0</v>
      </c>
      <c r="AI163" s="1098"/>
      <c r="AL163" s="1098">
        <f>SUM(AD163:AH163)</f>
        <v>199326.96</v>
      </c>
      <c r="AM163" s="1076"/>
    </row>
    <row r="164" spans="1:43" ht="16">
      <c r="K164" s="712"/>
      <c r="L164" s="833"/>
      <c r="N164" s="1095" t="str">
        <f t="shared" si="72"/>
        <v>Rifapentine, 150 mg, Film coated tablet</v>
      </c>
      <c r="O164" s="591"/>
      <c r="P164" s="591"/>
      <c r="Q164" s="591"/>
      <c r="R164" s="1081">
        <f>VLOOKUP(N164,Preturi_medicamente!D:F,3,0)</f>
        <v>11.07</v>
      </c>
      <c r="S164" s="1118">
        <f t="shared" ref="S164:W164" si="76">S154*$R164</f>
        <v>692229.24</v>
      </c>
      <c r="T164" s="1119">
        <f t="shared" si="76"/>
        <v>674295.84</v>
      </c>
      <c r="U164" s="1119">
        <f t="shared" si="76"/>
        <v>655166.88</v>
      </c>
      <c r="V164" s="1119">
        <f t="shared" si="76"/>
        <v>639624.6</v>
      </c>
      <c r="W164" s="1120">
        <f t="shared" si="76"/>
        <v>621691.20000000007</v>
      </c>
      <c r="AD164" s="1118"/>
      <c r="AE164" s="1119"/>
      <c r="AF164" s="1119"/>
      <c r="AG164" s="1119"/>
      <c r="AH164" s="1120"/>
      <c r="AM164" s="1076"/>
    </row>
    <row r="165" spans="1:43" ht="16">
      <c r="K165" s="712"/>
      <c r="L165" s="833"/>
      <c r="N165" s="1095" t="str">
        <f t="shared" si="72"/>
        <v>Rifampicin  300mg  Film coated tablet(s)</v>
      </c>
      <c r="O165" s="591"/>
      <c r="P165" s="591"/>
      <c r="Q165" s="591"/>
      <c r="R165" s="1081">
        <f>VLOOKUP(N165,Preturi_medicamente!D:F,3,0)</f>
        <v>2.0499999999999998</v>
      </c>
      <c r="S165" s="1118">
        <f>S155*$R165</f>
        <v>361865.99999999994</v>
      </c>
      <c r="T165" s="1119">
        <f t="shared" ref="T165:W165" si="77">T155*$R165</f>
        <v>352271.99999999994</v>
      </c>
      <c r="U165" s="1119">
        <f t="shared" si="77"/>
        <v>342677.99999999994</v>
      </c>
      <c r="V165" s="1119">
        <f t="shared" si="77"/>
        <v>333822</v>
      </c>
      <c r="W165" s="1120">
        <f t="shared" si="77"/>
        <v>325212</v>
      </c>
      <c r="AD165" s="1118"/>
      <c r="AE165" s="1119"/>
      <c r="AF165" s="1119"/>
      <c r="AG165" s="1119"/>
      <c r="AH165" s="1120"/>
      <c r="AM165" s="1076"/>
    </row>
    <row r="166" spans="1:43" ht="17" thickBot="1">
      <c r="K166" s="712"/>
      <c r="L166" s="833"/>
      <c r="N166" s="1096" t="str">
        <f t="shared" si="72"/>
        <v>Pyridoxine, 100 mg, Uncoated tablet(s)</v>
      </c>
      <c r="O166" s="596"/>
      <c r="P166" s="596"/>
      <c r="Q166" s="596"/>
      <c r="R166" s="1097">
        <f>VLOOKUP(N166,Preturi_medicamente!D:F,3,0)</f>
        <v>0.5</v>
      </c>
      <c r="S166" s="1091">
        <f t="shared" ref="S166:W166" si="78">S156*$R166</f>
        <v>202620</v>
      </c>
      <c r="T166" s="1092">
        <f t="shared" si="78"/>
        <v>197160</v>
      </c>
      <c r="U166" s="1092">
        <f t="shared" si="78"/>
        <v>191880</v>
      </c>
      <c r="V166" s="1092">
        <f t="shared" si="78"/>
        <v>186900</v>
      </c>
      <c r="W166" s="1093">
        <f t="shared" si="78"/>
        <v>181980</v>
      </c>
      <c r="AD166" s="1091"/>
      <c r="AE166" s="1092"/>
      <c r="AF166" s="1092"/>
      <c r="AG166" s="1092"/>
      <c r="AH166" s="1093"/>
      <c r="AM166" s="1076"/>
    </row>
    <row r="167" spans="1:43" ht="18" thickBot="1">
      <c r="A167" s="2157">
        <v>40</v>
      </c>
      <c r="B167" s="841">
        <f>S167</f>
        <v>1612665.24</v>
      </c>
      <c r="C167" s="841">
        <f>T167</f>
        <v>1735786.7999999998</v>
      </c>
      <c r="D167" s="841">
        <f>U167</f>
        <v>1849908</v>
      </c>
      <c r="E167" s="841">
        <f>V167</f>
        <v>2749030.2</v>
      </c>
      <c r="F167" s="841">
        <f>W167</f>
        <v>2676049.44</v>
      </c>
      <c r="G167" s="841" t="s">
        <v>349</v>
      </c>
      <c r="H167" s="2201" t="s">
        <v>2205</v>
      </c>
      <c r="I167" s="2183"/>
      <c r="J167" s="841" t="s">
        <v>2961</v>
      </c>
      <c r="K167" s="712"/>
      <c r="L167" s="833"/>
      <c r="S167" s="2242">
        <f>SUM(S161:S166)</f>
        <v>1612665.24</v>
      </c>
      <c r="T167" s="2243">
        <f t="shared" ref="T167:W167" si="79">SUM(T161:T166)</f>
        <v>1735786.7999999998</v>
      </c>
      <c r="U167" s="2243">
        <f t="shared" si="79"/>
        <v>1849908</v>
      </c>
      <c r="V167" s="2243">
        <f t="shared" si="79"/>
        <v>2749030.2</v>
      </c>
      <c r="W167" s="2244">
        <f t="shared" si="79"/>
        <v>2676049.44</v>
      </c>
      <c r="X167" s="1098"/>
      <c r="AB167" s="691" t="s">
        <v>3740</v>
      </c>
      <c r="AC167" s="2241">
        <v>1.2E-2</v>
      </c>
      <c r="AD167" s="2239">
        <f>AD163*AC167</f>
        <v>933.50879999999995</v>
      </c>
      <c r="AE167" s="2239">
        <f>AE163*AC167</f>
        <v>794.88864000000001</v>
      </c>
      <c r="AF167" s="2239">
        <f>AF163*AC167</f>
        <v>663.52607999999998</v>
      </c>
      <c r="AG167" s="2239">
        <f>AG163*AC167</f>
        <v>0</v>
      </c>
      <c r="AH167" s="2239">
        <f>AH163*AC167</f>
        <v>0</v>
      </c>
      <c r="AM167" s="1076"/>
    </row>
    <row r="168" spans="1:43" s="1808" customFormat="1" ht="17">
      <c r="A168" s="960"/>
      <c r="B168" s="960"/>
      <c r="C168" s="960"/>
      <c r="D168" s="960"/>
      <c r="E168" s="960"/>
      <c r="F168" s="960"/>
      <c r="G168" s="960"/>
      <c r="H168" s="960"/>
      <c r="I168" s="2195"/>
      <c r="J168" s="960"/>
      <c r="K168" s="712"/>
      <c r="L168" s="833"/>
      <c r="S168" s="1098"/>
      <c r="T168" s="1098"/>
      <c r="U168" s="1098"/>
      <c r="V168" s="1098"/>
      <c r="W168" s="1098"/>
      <c r="X168" s="1098"/>
      <c r="AB168" s="691" t="s">
        <v>486</v>
      </c>
      <c r="AC168" s="2241">
        <v>5.1999999999999998E-2</v>
      </c>
      <c r="AD168" s="2238">
        <f>AD163*AC168</f>
        <v>4045.2047999999995</v>
      </c>
      <c r="AE168" s="2238">
        <f>AE163*AC168</f>
        <v>3444.5174400000001</v>
      </c>
      <c r="AF168" s="2238">
        <f>AF163*AC168</f>
        <v>2875.2796799999996</v>
      </c>
      <c r="AG168" s="2238">
        <f>AG163*AC168</f>
        <v>0</v>
      </c>
      <c r="AH168" s="2238">
        <f>AH163*AC168</f>
        <v>0</v>
      </c>
      <c r="AM168" s="1076"/>
    </row>
    <row r="169" spans="1:43" s="1808" customFormat="1" ht="17">
      <c r="A169" s="960"/>
      <c r="B169" s="960"/>
      <c r="C169" s="960"/>
      <c r="D169" s="960"/>
      <c r="E169" s="960"/>
      <c r="F169" s="960"/>
      <c r="G169" s="960"/>
      <c r="H169" s="960"/>
      <c r="I169" s="2195"/>
      <c r="J169" s="960"/>
      <c r="K169" s="712"/>
      <c r="L169" s="833"/>
      <c r="S169" s="1098"/>
      <c r="T169" s="1098"/>
      <c r="U169" s="1098"/>
      <c r="V169" s="1098"/>
      <c r="W169" s="1098"/>
      <c r="X169" s="1098"/>
      <c r="AB169" s="691" t="s">
        <v>3741</v>
      </c>
      <c r="AC169" s="2241">
        <v>4.2000000000000003E-2</v>
      </c>
      <c r="AD169" s="2238">
        <f>AD163*AC169</f>
        <v>3267.2808</v>
      </c>
      <c r="AE169" s="2238">
        <f>AE163*AC169</f>
        <v>2782.1102400000004</v>
      </c>
      <c r="AF169" s="2238">
        <f>AF163*AC169</f>
        <v>2322.3412800000001</v>
      </c>
      <c r="AG169" s="2238">
        <f>AG163*AC169</f>
        <v>0</v>
      </c>
      <c r="AH169" s="2238">
        <f>AH163*AC169</f>
        <v>0</v>
      </c>
      <c r="AM169" s="1076"/>
    </row>
    <row r="170" spans="1:43" s="1808" customFormat="1" ht="35" thickBot="1">
      <c r="A170" s="960"/>
      <c r="B170" s="960"/>
      <c r="C170" s="960"/>
      <c r="D170" s="960"/>
      <c r="E170" s="960"/>
      <c r="F170" s="960"/>
      <c r="G170" s="960"/>
      <c r="H170" s="960"/>
      <c r="I170" s="2195"/>
      <c r="J170" s="960"/>
      <c r="K170" s="712"/>
      <c r="L170" s="833"/>
      <c r="S170" s="1098"/>
      <c r="T170" s="1098"/>
      <c r="U170" s="1098"/>
      <c r="V170" s="1098"/>
      <c r="W170" s="1098"/>
      <c r="X170" s="1098"/>
      <c r="AB170" s="828" t="s">
        <v>3739</v>
      </c>
      <c r="AD170" s="2240">
        <f>SUM(AD167:AD169)</f>
        <v>8245.9943999999996</v>
      </c>
      <c r="AE170" s="2240">
        <f>SUM(AE167:AE169)</f>
        <v>7021.5163200000006</v>
      </c>
      <c r="AF170" s="2240">
        <f t="shared" ref="AF170:AH170" si="80">SUM(AF167:AF169)</f>
        <v>5861.1470399999998</v>
      </c>
      <c r="AG170" s="2240">
        <f t="shared" si="80"/>
        <v>0</v>
      </c>
      <c r="AH170" s="2240">
        <f t="shared" si="80"/>
        <v>0</v>
      </c>
      <c r="AI170" s="1098"/>
      <c r="AJ170" s="2245"/>
      <c r="AL170" s="1098">
        <f>SUM(AD170:AH170)</f>
        <v>21128.657760000002</v>
      </c>
      <c r="AM170" s="1076"/>
    </row>
    <row r="171" spans="1:43" s="1808" customFormat="1" ht="16" thickBot="1">
      <c r="A171" s="2157">
        <v>229</v>
      </c>
      <c r="B171" s="841">
        <f>AD171</f>
        <v>1511600.8077581038</v>
      </c>
      <c r="C171" s="841">
        <f t="shared" ref="C171:F171" si="81">AE171</f>
        <v>1287137.6363048111</v>
      </c>
      <c r="D171" s="841">
        <f t="shared" si="81"/>
        <v>1074426.4633569261</v>
      </c>
      <c r="E171" s="841">
        <f t="shared" si="81"/>
        <v>0</v>
      </c>
      <c r="F171" s="841">
        <f t="shared" si="81"/>
        <v>0</v>
      </c>
      <c r="G171" s="841" t="s">
        <v>351</v>
      </c>
      <c r="H171" s="2201" t="s">
        <v>2205</v>
      </c>
      <c r="I171" s="2183"/>
      <c r="J171" s="841" t="s">
        <v>2961</v>
      </c>
      <c r="K171" s="712"/>
      <c r="L171" s="833"/>
      <c r="S171" s="1098"/>
      <c r="T171" s="1098"/>
      <c r="U171" s="1098"/>
      <c r="V171" s="1098"/>
      <c r="W171" s="1098"/>
      <c r="X171" s="1098"/>
      <c r="AD171" s="2242">
        <f>(AD163+AD170)*USD</f>
        <v>1511600.8077581038</v>
      </c>
      <c r="AE171" s="2243">
        <f>(AE163+AE170)*USD</f>
        <v>1287137.6363048111</v>
      </c>
      <c r="AF171" s="2243">
        <f>(AF163+AF170)*USD</f>
        <v>1074426.4633569261</v>
      </c>
      <c r="AG171" s="2243">
        <f>(AG163+AG170)*USD</f>
        <v>0</v>
      </c>
      <c r="AH171" s="2244">
        <f>(AH163+AH170)*USD</f>
        <v>0</v>
      </c>
      <c r="AM171" s="1076"/>
      <c r="AN171" s="1808">
        <f>AD171/EUR</f>
        <v>77025.410665226562</v>
      </c>
      <c r="AO171" s="1808">
        <f>AE171/EUR</f>
        <v>65587.623736512658</v>
      </c>
      <c r="AP171" s="1808">
        <f>AF171/EUR</f>
        <v>54748.673819773278</v>
      </c>
      <c r="AQ171" s="1808">
        <f>AG171/EUR</f>
        <v>0</v>
      </c>
    </row>
    <row r="172" spans="1:43" ht="22" thickBot="1">
      <c r="K172" s="712"/>
      <c r="L172" s="833"/>
      <c r="M172" s="1208" t="s">
        <v>2206</v>
      </c>
      <c r="AM172" s="1076"/>
    </row>
    <row r="173" spans="1:43" ht="21">
      <c r="K173" s="712"/>
      <c r="L173" s="833"/>
      <c r="M173" s="1073"/>
      <c r="Q173" s="1302" t="s">
        <v>2290</v>
      </c>
      <c r="R173" t="s">
        <v>2204</v>
      </c>
      <c r="S173" s="1217">
        <f>VLOOKUP($Q173,'Estimare cazuri'!$A:$R,S125,0)</f>
        <v>181</v>
      </c>
      <c r="T173" s="1148">
        <f>VLOOKUP($Q173,'Estimare cazuri'!$A:$R,T125,0)</f>
        <v>174</v>
      </c>
      <c r="U173" s="1148">
        <f>VLOOKUP($Q173,'Estimare cazuri'!$A:$R,U125,0)</f>
        <v>167</v>
      </c>
      <c r="V173" s="1148">
        <f>VLOOKUP($Q173,'Estimare cazuri'!$A:$R,V125,0)</f>
        <v>160</v>
      </c>
      <c r="W173" s="1151">
        <f>VLOOKUP($Q173,'Estimare cazuri'!$A:$R,W125,0)</f>
        <v>154</v>
      </c>
      <c r="AM173" s="1076"/>
    </row>
    <row r="174" spans="1:43" ht="22" thickBot="1">
      <c r="K174" s="712"/>
      <c r="L174" s="833"/>
      <c r="M174" s="1073"/>
      <c r="Q174" s="1302" t="s">
        <v>2291</v>
      </c>
      <c r="R174" t="s">
        <v>2203</v>
      </c>
      <c r="S174" s="1017">
        <f>VLOOKUP($Q174,'Estimare cazuri'!$A:$R,S125,0)</f>
        <v>773</v>
      </c>
      <c r="T174" s="1034">
        <f>VLOOKUP($Q174,'Estimare cazuri'!$A:$R,T125,0)</f>
        <v>742</v>
      </c>
      <c r="U174" s="1034">
        <f>VLOOKUP($Q174,'Estimare cazuri'!$A:$R,U125,0)</f>
        <v>711</v>
      </c>
      <c r="V174" s="1034">
        <f>VLOOKUP($Q174,'Estimare cazuri'!$A:$R,V125,0)</f>
        <v>685</v>
      </c>
      <c r="W174" s="1018">
        <f>VLOOKUP($Q174,'Estimare cazuri'!$A:$R,W125,0)</f>
        <v>658</v>
      </c>
      <c r="AM174" s="1076"/>
    </row>
    <row r="175" spans="1:43" ht="22" thickBot="1">
      <c r="K175" s="712"/>
      <c r="L175" s="833"/>
      <c r="M175" s="1073"/>
      <c r="AC175" s="1808"/>
      <c r="AD175" s="1758" t="s">
        <v>351</v>
      </c>
      <c r="AE175" s="966"/>
      <c r="AF175" s="966"/>
      <c r="AG175" s="966"/>
      <c r="AH175" s="967"/>
      <c r="AM175" s="1076"/>
    </row>
    <row r="176" spans="1:43" ht="17" thickBot="1">
      <c r="K176" s="712"/>
      <c r="L176" s="833"/>
      <c r="S176" s="530" t="s">
        <v>2191</v>
      </c>
      <c r="T176" s="528"/>
      <c r="U176" s="528"/>
      <c r="V176" s="528"/>
      <c r="W176" s="529"/>
      <c r="X176" s="530" t="s">
        <v>2202</v>
      </c>
      <c r="Y176" s="528"/>
      <c r="Z176" s="528"/>
      <c r="AA176" s="528"/>
      <c r="AB176" s="529"/>
      <c r="AC176" s="1808"/>
      <c r="AD176" s="1049"/>
      <c r="AE176" s="960"/>
      <c r="AF176" s="960"/>
      <c r="AG176" s="960"/>
      <c r="AH176" s="62"/>
      <c r="AM176" s="1076"/>
    </row>
    <row r="177" spans="11:39" ht="35" thickBot="1">
      <c r="K177" s="712"/>
      <c r="L177" s="833"/>
      <c r="M177" s="1103" t="s">
        <v>312</v>
      </c>
      <c r="N177" s="1103" t="s">
        <v>354</v>
      </c>
      <c r="O177" s="1083" t="s">
        <v>328</v>
      </c>
      <c r="P177" s="1083" t="s">
        <v>327</v>
      </c>
      <c r="Q177" s="1083" t="s">
        <v>329</v>
      </c>
      <c r="R177" s="1104" t="s">
        <v>97</v>
      </c>
      <c r="S177" s="1057">
        <v>2021</v>
      </c>
      <c r="T177" s="1058">
        <v>2022</v>
      </c>
      <c r="U177" s="1058">
        <v>2023</v>
      </c>
      <c r="V177" s="1058">
        <v>2024</v>
      </c>
      <c r="W177" s="1059">
        <v>2025</v>
      </c>
      <c r="X177" s="1057">
        <v>2021</v>
      </c>
      <c r="Y177" s="1058">
        <v>2022</v>
      </c>
      <c r="Z177" s="1058">
        <v>2023</v>
      </c>
      <c r="AA177" s="1058">
        <v>2024</v>
      </c>
      <c r="AB177" s="1059">
        <v>2025</v>
      </c>
      <c r="AC177" s="1808"/>
      <c r="AD177" s="2253">
        <v>0.8</v>
      </c>
      <c r="AE177" s="2246">
        <v>0.7</v>
      </c>
      <c r="AF177" s="2246">
        <v>0.6</v>
      </c>
      <c r="AG177" s="958"/>
      <c r="AH177" s="1540"/>
      <c r="AM177" s="1076"/>
    </row>
    <row r="178" spans="11:39" ht="18" thickBot="1">
      <c r="K178" s="712"/>
      <c r="L178" s="1121" t="s">
        <v>2192</v>
      </c>
      <c r="M178" s="1146" t="s">
        <v>446</v>
      </c>
      <c r="N178" s="1353">
        <v>0.05</v>
      </c>
      <c r="O178" s="1200">
        <v>1</v>
      </c>
      <c r="P178" s="1200">
        <v>30</v>
      </c>
      <c r="Q178" s="1200">
        <v>6</v>
      </c>
      <c r="R178" s="1172">
        <f t="shared" ref="R178:R189" si="82">O178*P178*Q178</f>
        <v>180</v>
      </c>
      <c r="S178" s="1153">
        <f>ROUND(S173*$L179*$N178,0)</f>
        <v>9</v>
      </c>
      <c r="T178" s="1170">
        <f t="shared" ref="T178" si="83">ROUND(T173*$L179*$N178,0)</f>
        <v>9</v>
      </c>
      <c r="U178" s="1170">
        <f t="shared" ref="U178" si="84">ROUND(U173*$L179*$N178,0)</f>
        <v>8</v>
      </c>
      <c r="V178" s="1170">
        <f t="shared" ref="V178" si="85">ROUND(V173*$L179*$N178,0)</f>
        <v>8</v>
      </c>
      <c r="W178" s="1171">
        <f t="shared" ref="W178" si="86">ROUND(W173*$L179*$N178,0)</f>
        <v>8</v>
      </c>
      <c r="X178" s="1167">
        <f>S178*$R178</f>
        <v>1620</v>
      </c>
      <c r="Y178" s="1168">
        <f t="shared" ref="Y178:Y180" si="87">T178*$R178</f>
        <v>1620</v>
      </c>
      <c r="Z178" s="1168">
        <f t="shared" ref="Z178:Z180" si="88">U178*$R178</f>
        <v>1440</v>
      </c>
      <c r="AA178" s="1168">
        <f t="shared" ref="AA178:AA180" si="89">V178*$R178</f>
        <v>1440</v>
      </c>
      <c r="AB178" s="1169">
        <f t="shared" ref="AB178:AB180" si="90">W178*$R178</f>
        <v>1440</v>
      </c>
      <c r="AC178" s="1808"/>
      <c r="AD178" s="1007"/>
      <c r="AE178" s="946"/>
      <c r="AF178" s="946"/>
      <c r="AG178" s="946"/>
      <c r="AH178" s="1008"/>
      <c r="AM178" s="1076"/>
    </row>
    <row r="179" spans="11:39" ht="17" thickBot="1">
      <c r="K179" s="712"/>
      <c r="L179" s="2674">
        <v>1</v>
      </c>
      <c r="M179" s="1257" t="s">
        <v>2237</v>
      </c>
      <c r="N179" s="1353">
        <v>0.8</v>
      </c>
      <c r="O179" s="1200">
        <v>1</v>
      </c>
      <c r="P179" s="1200">
        <v>12</v>
      </c>
      <c r="Q179" s="1200">
        <v>3</v>
      </c>
      <c r="R179" s="1172">
        <f t="shared" si="82"/>
        <v>36</v>
      </c>
      <c r="S179" s="1167">
        <f>ROUND(S173*$L179*$N179,0)-AD179</f>
        <v>29</v>
      </c>
      <c r="T179" s="1168">
        <f t="shared" ref="T179:W179" si="91">ROUND(T173*$L179*$N179,0)-AE179</f>
        <v>42</v>
      </c>
      <c r="U179" s="1168">
        <f t="shared" si="91"/>
        <v>54</v>
      </c>
      <c r="V179" s="1168">
        <f t="shared" si="91"/>
        <v>128</v>
      </c>
      <c r="W179" s="1169">
        <f t="shared" si="91"/>
        <v>123</v>
      </c>
      <c r="X179" s="1167">
        <f>S179*$R179</f>
        <v>1044</v>
      </c>
      <c r="Y179" s="1168">
        <f t="shared" si="87"/>
        <v>1512</v>
      </c>
      <c r="Z179" s="1168">
        <f t="shared" si="88"/>
        <v>1944</v>
      </c>
      <c r="AA179" s="1168">
        <f t="shared" si="89"/>
        <v>4608</v>
      </c>
      <c r="AB179" s="1169">
        <f t="shared" si="90"/>
        <v>4428</v>
      </c>
      <c r="AC179" s="1808"/>
      <c r="AD179" s="2254">
        <f>ROUND(S173*$L179*$N179*AD177,0)</f>
        <v>116</v>
      </c>
      <c r="AE179" s="2236">
        <f t="shared" ref="AE179" si="92">ROUND(T173*$L179*$N179*AE177,0)</f>
        <v>97</v>
      </c>
      <c r="AF179" s="2236">
        <f t="shared" ref="AF179" si="93">ROUND(U173*$L179*$N179*AF177,0)</f>
        <v>80</v>
      </c>
      <c r="AG179" s="2236">
        <f t="shared" ref="AG179" si="94">ROUND(V173*$L179*$N179*AG177,0)</f>
        <v>0</v>
      </c>
      <c r="AH179" s="2255">
        <f t="shared" ref="AH179" si="95">ROUND(W173*$L179*$N179*AH177,0)</f>
        <v>0</v>
      </c>
      <c r="AM179" s="1076"/>
    </row>
    <row r="180" spans="11:39" ht="17">
      <c r="K180" s="712"/>
      <c r="L180" s="2674"/>
      <c r="M180" s="1147" t="s">
        <v>2201</v>
      </c>
      <c r="N180" s="2666">
        <v>0.1</v>
      </c>
      <c r="O180" s="1201">
        <v>3</v>
      </c>
      <c r="P180" s="1201">
        <v>12</v>
      </c>
      <c r="Q180" s="1201">
        <v>3</v>
      </c>
      <c r="R180" s="1173">
        <f t="shared" si="82"/>
        <v>108</v>
      </c>
      <c r="S180" s="2668">
        <f>ROUND(S173*$L179*$N180,0)</f>
        <v>18</v>
      </c>
      <c r="T180" s="2670">
        <f t="shared" ref="T180" si="96">ROUND(T173*$L179*$N180,0)</f>
        <v>17</v>
      </c>
      <c r="U180" s="2670">
        <f t="shared" ref="U180" si="97">ROUND(U173*$L179*$N180,0)</f>
        <v>17</v>
      </c>
      <c r="V180" s="2670">
        <f t="shared" ref="V180" si="98">ROUND(V173*$L179*$N180,0)</f>
        <v>16</v>
      </c>
      <c r="W180" s="2664">
        <f t="shared" ref="W180" si="99">ROUND(W173*$L179*$N180,0)</f>
        <v>15</v>
      </c>
      <c r="X180" s="1155">
        <f>S180*$R180</f>
        <v>1944</v>
      </c>
      <c r="Y180" s="1156">
        <f t="shared" si="87"/>
        <v>1836</v>
      </c>
      <c r="Z180" s="1156">
        <f t="shared" si="88"/>
        <v>1836</v>
      </c>
      <c r="AA180" s="1156">
        <f t="shared" si="89"/>
        <v>1728</v>
      </c>
      <c r="AB180" s="1157">
        <f t="shared" si="90"/>
        <v>1620</v>
      </c>
      <c r="AC180" s="1808"/>
      <c r="AD180" s="1007"/>
      <c r="AE180" s="946"/>
      <c r="AF180" s="946"/>
      <c r="AG180" s="946"/>
      <c r="AH180" s="1008"/>
      <c r="AM180" s="1076"/>
    </row>
    <row r="181" spans="11:39" ht="18" thickBot="1">
      <c r="K181" s="712"/>
      <c r="L181" s="2674"/>
      <c r="M181" s="1135" t="s">
        <v>446</v>
      </c>
      <c r="N181" s="2667"/>
      <c r="O181" s="1199">
        <v>2</v>
      </c>
      <c r="P181" s="1199">
        <v>12</v>
      </c>
      <c r="Q181" s="1199">
        <v>3</v>
      </c>
      <c r="R181" s="1174">
        <f t="shared" si="82"/>
        <v>72</v>
      </c>
      <c r="S181" s="2669"/>
      <c r="T181" s="2671"/>
      <c r="U181" s="2671"/>
      <c r="V181" s="2671"/>
      <c r="W181" s="2665"/>
      <c r="X181" s="1158">
        <f>S180*$R181</f>
        <v>1296</v>
      </c>
      <c r="Y181" s="1159">
        <f t="shared" ref="Y181" si="100">T180*$R181</f>
        <v>1224</v>
      </c>
      <c r="Z181" s="1159">
        <f t="shared" ref="Z181" si="101">U180*$R181</f>
        <v>1224</v>
      </c>
      <c r="AA181" s="1159">
        <f t="shared" ref="AA181" si="102">V180*$R181</f>
        <v>1152</v>
      </c>
      <c r="AB181" s="1160">
        <f t="shared" ref="AB181" si="103">W180*$R181</f>
        <v>1080</v>
      </c>
      <c r="AC181" s="1808"/>
      <c r="AD181" s="1007"/>
      <c r="AE181" s="946"/>
      <c r="AF181" s="946"/>
      <c r="AG181" s="946"/>
      <c r="AH181" s="1008"/>
      <c r="AM181" s="1076"/>
    </row>
    <row r="182" spans="11:39" ht="32" customHeight="1" thickBot="1">
      <c r="K182" s="712"/>
      <c r="L182" s="2674"/>
      <c r="M182" s="1178" t="s">
        <v>319</v>
      </c>
      <c r="N182" s="1132">
        <v>0.05</v>
      </c>
      <c r="O182" s="1082">
        <v>1</v>
      </c>
      <c r="P182" s="1082">
        <v>30</v>
      </c>
      <c r="Q182" s="1082">
        <v>4</v>
      </c>
      <c r="R182" s="1179">
        <f t="shared" si="82"/>
        <v>120</v>
      </c>
      <c r="S182" s="1153">
        <f>ROUND(S173*$L179*$N182,0)</f>
        <v>9</v>
      </c>
      <c r="T182" s="1180">
        <f t="shared" ref="T182:W182" si="104">ROUND(T173*$L179*$N182,0)</f>
        <v>9</v>
      </c>
      <c r="U182" s="1180">
        <f t="shared" si="104"/>
        <v>8</v>
      </c>
      <c r="V182" s="1180">
        <f t="shared" si="104"/>
        <v>8</v>
      </c>
      <c r="W182" s="1181">
        <f t="shared" si="104"/>
        <v>8</v>
      </c>
      <c r="X182" s="1182">
        <f>S183*$R183</f>
        <v>20640</v>
      </c>
      <c r="Y182" s="1180">
        <f t="shared" ref="Y182" si="105">T183*$R183</f>
        <v>19800</v>
      </c>
      <c r="Z182" s="1180">
        <f t="shared" ref="Z182" si="106">U183*$R183</f>
        <v>19080</v>
      </c>
      <c r="AA182" s="1180">
        <f t="shared" ref="AA182" si="107">V183*$R183</f>
        <v>18240</v>
      </c>
      <c r="AB182" s="1183">
        <f t="shared" ref="AB182" si="108">W183*$R183</f>
        <v>17520</v>
      </c>
      <c r="AC182" s="1808"/>
      <c r="AD182" s="1007"/>
      <c r="AE182" s="946"/>
      <c r="AF182" s="946"/>
      <c r="AG182" s="946"/>
      <c r="AH182" s="1008"/>
      <c r="AM182" s="1076"/>
    </row>
    <row r="183" spans="11:39" ht="17" thickBot="1">
      <c r="K183" s="712"/>
      <c r="L183" s="2675"/>
      <c r="M183" s="1184" t="s">
        <v>2177</v>
      </c>
      <c r="N183" s="1185"/>
      <c r="O183" s="1263">
        <v>1</v>
      </c>
      <c r="P183" s="1263">
        <v>30</v>
      </c>
      <c r="Q183" s="1263">
        <v>4</v>
      </c>
      <c r="R183" s="1186">
        <f t="shared" si="82"/>
        <v>120</v>
      </c>
      <c r="S183" s="1187">
        <f>S179+S178+S180+AD179</f>
        <v>172</v>
      </c>
      <c r="T183" s="1188">
        <f t="shared" ref="T183:W183" si="109">T179+T178+T180+AE179</f>
        <v>165</v>
      </c>
      <c r="U183" s="1188">
        <f t="shared" si="109"/>
        <v>159</v>
      </c>
      <c r="V183" s="1188">
        <f t="shared" si="109"/>
        <v>152</v>
      </c>
      <c r="W183" s="1189">
        <f t="shared" si="109"/>
        <v>146</v>
      </c>
      <c r="X183" s="1187">
        <f>S183*$R183</f>
        <v>20640</v>
      </c>
      <c r="Y183" s="1188">
        <f t="shared" ref="Y183:Y186" si="110">T183*$R183</f>
        <v>19800</v>
      </c>
      <c r="Z183" s="1188">
        <f t="shared" ref="Z183:Z186" si="111">U183*$R183</f>
        <v>19080</v>
      </c>
      <c r="AA183" s="1188">
        <f t="shared" ref="AA183:AA186" si="112">V183*$R183</f>
        <v>18240</v>
      </c>
      <c r="AB183" s="1189">
        <f t="shared" ref="AB183:AB186" si="113">W183*$R183</f>
        <v>17520</v>
      </c>
      <c r="AC183" s="1808"/>
      <c r="AD183" s="1007"/>
      <c r="AE183" s="946"/>
      <c r="AF183" s="946"/>
      <c r="AG183" s="946"/>
      <c r="AH183" s="1008"/>
      <c r="AM183" s="1076"/>
    </row>
    <row r="184" spans="11:39" ht="18" thickBot="1">
      <c r="K184" s="712"/>
      <c r="L184" s="1163" t="s">
        <v>2193</v>
      </c>
      <c r="M184" s="1124" t="s">
        <v>320</v>
      </c>
      <c r="N184" s="1353">
        <v>0.05</v>
      </c>
      <c r="O184" s="1202">
        <v>1</v>
      </c>
      <c r="P184" s="1202">
        <v>30</v>
      </c>
      <c r="Q184" s="1202">
        <v>6</v>
      </c>
      <c r="R184" s="1176">
        <f t="shared" si="82"/>
        <v>180</v>
      </c>
      <c r="S184" s="1167">
        <f>ROUND(S174*$L185*$N184,0)</f>
        <v>15</v>
      </c>
      <c r="T184" s="1168">
        <f>ROUND(AB151*L185*N184,0)</f>
        <v>0</v>
      </c>
      <c r="U184" s="1168">
        <f>ROUND(AC151*L185*N184,0)</f>
        <v>0</v>
      </c>
      <c r="V184" s="1168">
        <f>ROUND(AK151*L185*N184,0)</f>
        <v>0</v>
      </c>
      <c r="W184" s="1169">
        <f>ROUND(AL151*L185*N184,0)</f>
        <v>0</v>
      </c>
      <c r="X184" s="1167">
        <f>S184*$R184</f>
        <v>2700</v>
      </c>
      <c r="Y184" s="1168">
        <f t="shared" si="110"/>
        <v>0</v>
      </c>
      <c r="Z184" s="1168">
        <f t="shared" si="111"/>
        <v>0</v>
      </c>
      <c r="AA184" s="1168">
        <f t="shared" si="112"/>
        <v>0</v>
      </c>
      <c r="AB184" s="1169">
        <f t="shared" si="113"/>
        <v>0</v>
      </c>
      <c r="AC184" s="1808"/>
      <c r="AD184" s="1007"/>
      <c r="AE184" s="946"/>
      <c r="AF184" s="946"/>
      <c r="AG184" s="946"/>
      <c r="AH184" s="1008"/>
      <c r="AM184" s="1076"/>
    </row>
    <row r="185" spans="11:39" ht="17" thickBot="1">
      <c r="K185" s="712"/>
      <c r="L185" s="2672">
        <v>0.4</v>
      </c>
      <c r="M185" s="1257" t="s">
        <v>2237</v>
      </c>
      <c r="N185" s="1353">
        <v>0.8</v>
      </c>
      <c r="O185" s="1203">
        <v>3</v>
      </c>
      <c r="P185" s="1203">
        <v>12</v>
      </c>
      <c r="Q185" s="1203">
        <v>3</v>
      </c>
      <c r="R185" s="1177">
        <f t="shared" si="82"/>
        <v>108</v>
      </c>
      <c r="S185" s="1164">
        <f>ROUND(S174*$L185*$N185,0)-AD185</f>
        <v>49</v>
      </c>
      <c r="T185" s="1154">
        <f t="shared" ref="T185:W185" si="114">ROUND(T174*$L185*$N185,0)-AE185</f>
        <v>71</v>
      </c>
      <c r="U185" s="1154">
        <f t="shared" si="114"/>
        <v>91</v>
      </c>
      <c r="V185" s="1154">
        <f t="shared" si="114"/>
        <v>219</v>
      </c>
      <c r="W185" s="1165">
        <f t="shared" si="114"/>
        <v>211</v>
      </c>
      <c r="X185" s="1164">
        <f>S185*$R185</f>
        <v>5292</v>
      </c>
      <c r="Y185" s="1154">
        <f t="shared" si="110"/>
        <v>7668</v>
      </c>
      <c r="Z185" s="1154">
        <f t="shared" si="111"/>
        <v>9828</v>
      </c>
      <c r="AA185" s="1154">
        <f t="shared" si="112"/>
        <v>23652</v>
      </c>
      <c r="AB185" s="1165">
        <f t="shared" si="113"/>
        <v>22788</v>
      </c>
      <c r="AC185" s="1808"/>
      <c r="AD185" s="1007">
        <f>ROUND(S174*$L185*$N185*AD177,0)</f>
        <v>198</v>
      </c>
      <c r="AE185" s="946">
        <f t="shared" ref="AE185" si="115">ROUND(T174*$L185*$N185*AE177,0)</f>
        <v>166</v>
      </c>
      <c r="AF185" s="946">
        <f t="shared" ref="AF185" si="116">ROUND(U174*$L185*$N185*AF177,0)</f>
        <v>137</v>
      </c>
      <c r="AG185" s="946">
        <f t="shared" ref="AG185" si="117">ROUND(V174*$L185*$N185*AG177,0)</f>
        <v>0</v>
      </c>
      <c r="AH185" s="1008">
        <f t="shared" ref="AH185" si="118">ROUND(W174*$L185*$N185*AH177,0)</f>
        <v>0</v>
      </c>
      <c r="AM185" s="1076"/>
    </row>
    <row r="186" spans="11:39" ht="17">
      <c r="K186" s="712"/>
      <c r="L186" s="2672"/>
      <c r="M186" s="1161" t="s">
        <v>2201</v>
      </c>
      <c r="N186" s="2666">
        <v>0.1</v>
      </c>
      <c r="O186" s="1201">
        <v>6</v>
      </c>
      <c r="P186" s="1201">
        <v>12</v>
      </c>
      <c r="Q186" s="1201">
        <v>3</v>
      </c>
      <c r="R186" s="1262">
        <f t="shared" si="82"/>
        <v>216</v>
      </c>
      <c r="S186" s="2668">
        <f>ROUND(S174*$L185*$N186,0)</f>
        <v>31</v>
      </c>
      <c r="T186" s="2670">
        <f t="shared" ref="T186" si="119">ROUND(T174*$L185*$N186,0)</f>
        <v>30</v>
      </c>
      <c r="U186" s="2670">
        <f t="shared" ref="U186" si="120">ROUND(U174*$L185*$N186,0)</f>
        <v>28</v>
      </c>
      <c r="V186" s="2670">
        <f t="shared" ref="V186" si="121">ROUND(V174*$L185*$N186,0)</f>
        <v>27</v>
      </c>
      <c r="W186" s="2664">
        <f t="shared" ref="W186" si="122">ROUND(W174*$L185*$N186,0)</f>
        <v>26</v>
      </c>
      <c r="X186" s="1155">
        <f>S186*$R186</f>
        <v>6696</v>
      </c>
      <c r="Y186" s="1156">
        <f t="shared" si="110"/>
        <v>6480</v>
      </c>
      <c r="Z186" s="1156">
        <f t="shared" si="111"/>
        <v>6048</v>
      </c>
      <c r="AA186" s="1156">
        <f t="shared" si="112"/>
        <v>5832</v>
      </c>
      <c r="AB186" s="1157">
        <f t="shared" si="113"/>
        <v>5616</v>
      </c>
      <c r="AC186" s="1808"/>
      <c r="AD186" s="1007"/>
      <c r="AE186" s="946"/>
      <c r="AF186" s="946"/>
      <c r="AG186" s="946"/>
      <c r="AH186" s="1008"/>
      <c r="AM186" s="1076"/>
    </row>
    <row r="187" spans="11:39" ht="18" thickBot="1">
      <c r="K187" s="712"/>
      <c r="L187" s="2672"/>
      <c r="M187" s="1162" t="s">
        <v>320</v>
      </c>
      <c r="N187" s="2667"/>
      <c r="O187" s="1199">
        <v>3</v>
      </c>
      <c r="P187" s="1199">
        <v>12</v>
      </c>
      <c r="Q187" s="1199">
        <v>3</v>
      </c>
      <c r="R187" s="1174">
        <f t="shared" si="82"/>
        <v>108</v>
      </c>
      <c r="S187" s="2669"/>
      <c r="T187" s="2671"/>
      <c r="U187" s="2671"/>
      <c r="V187" s="2671"/>
      <c r="W187" s="2665"/>
      <c r="X187" s="1158">
        <f>S186*$R187</f>
        <v>3348</v>
      </c>
      <c r="Y187" s="1159">
        <f t="shared" ref="Y187" si="123">T186*$R187</f>
        <v>3240</v>
      </c>
      <c r="Z187" s="1159">
        <f t="shared" ref="Z187" si="124">U186*$R187</f>
        <v>3024</v>
      </c>
      <c r="AA187" s="1159">
        <f t="shared" ref="AA187" si="125">V186*$R187</f>
        <v>2916</v>
      </c>
      <c r="AB187" s="1160">
        <f t="shared" ref="AB187" si="126">W186*$R187</f>
        <v>2808</v>
      </c>
      <c r="AC187" s="1808"/>
      <c r="AD187" s="1007"/>
      <c r="AE187" s="946"/>
      <c r="AF187" s="946"/>
      <c r="AG187" s="946"/>
      <c r="AH187" s="1008"/>
      <c r="AM187" s="1076"/>
    </row>
    <row r="188" spans="11:39" ht="32" customHeight="1" thickBot="1">
      <c r="K188" s="712"/>
      <c r="L188" s="2672"/>
      <c r="M188" s="1124" t="s">
        <v>319</v>
      </c>
      <c r="N188" s="1354">
        <v>0.05</v>
      </c>
      <c r="O188" s="1202">
        <v>2</v>
      </c>
      <c r="P188" s="1202">
        <v>30</v>
      </c>
      <c r="Q188" s="1202">
        <v>4</v>
      </c>
      <c r="R188" s="1176">
        <f t="shared" si="82"/>
        <v>240</v>
      </c>
      <c r="S188" s="1167">
        <f>ROUND(S174*$L185*$N188,0)</f>
        <v>15</v>
      </c>
      <c r="T188" s="1168">
        <f t="shared" ref="T188:W188" si="127">ROUND(T174*$L185*$N188,0)</f>
        <v>15</v>
      </c>
      <c r="U188" s="1168">
        <f t="shared" si="127"/>
        <v>14</v>
      </c>
      <c r="V188" s="1168">
        <f t="shared" si="127"/>
        <v>14</v>
      </c>
      <c r="W188" s="1169">
        <f t="shared" si="127"/>
        <v>13</v>
      </c>
      <c r="X188" s="1167">
        <f>S188*$R188</f>
        <v>3600</v>
      </c>
      <c r="Y188" s="1168">
        <f t="shared" ref="Y188:Y189" si="128">T188*$R188</f>
        <v>3600</v>
      </c>
      <c r="Z188" s="1168">
        <f t="shared" ref="Z188:Z189" si="129">U188*$R188</f>
        <v>3360</v>
      </c>
      <c r="AA188" s="1168">
        <f t="shared" ref="AA188:AA189" si="130">V188*$R188</f>
        <v>3360</v>
      </c>
      <c r="AB188" s="1169">
        <f t="shared" ref="AB188:AB189" si="131">W188*$R188</f>
        <v>3120</v>
      </c>
      <c r="AC188" s="1808"/>
      <c r="AD188" s="1007"/>
      <c r="AE188" s="946"/>
      <c r="AF188" s="946"/>
      <c r="AG188" s="946"/>
      <c r="AH188" s="1008"/>
      <c r="AM188" s="1076"/>
    </row>
    <row r="189" spans="11:39" ht="17" thickBot="1">
      <c r="K189" s="712"/>
      <c r="L189" s="2673"/>
      <c r="M189" s="1134" t="s">
        <v>2177</v>
      </c>
      <c r="N189" s="1185"/>
      <c r="O189" s="1263">
        <v>1</v>
      </c>
      <c r="P189" s="1263">
        <v>30</v>
      </c>
      <c r="Q189" s="1263">
        <v>4</v>
      </c>
      <c r="R189" s="1175">
        <f t="shared" si="82"/>
        <v>120</v>
      </c>
      <c r="S189" s="1195">
        <f>S185+S184+S186+AD185</f>
        <v>293</v>
      </c>
      <c r="T189" s="1196">
        <f t="shared" ref="T189:W189" si="132">T185+T184+T186+AE185</f>
        <v>267</v>
      </c>
      <c r="U189" s="1196">
        <f t="shared" si="132"/>
        <v>256</v>
      </c>
      <c r="V189" s="1196">
        <f t="shared" si="132"/>
        <v>246</v>
      </c>
      <c r="W189" s="1197">
        <f t="shared" si="132"/>
        <v>237</v>
      </c>
      <c r="X189" s="1187">
        <f>S189*$R189</f>
        <v>35160</v>
      </c>
      <c r="Y189" s="1188">
        <f t="shared" si="128"/>
        <v>32040</v>
      </c>
      <c r="Z189" s="1188">
        <f t="shared" si="129"/>
        <v>30720</v>
      </c>
      <c r="AA189" s="1188">
        <f t="shared" si="130"/>
        <v>29520</v>
      </c>
      <c r="AB189" s="1189">
        <f t="shared" si="131"/>
        <v>28440</v>
      </c>
      <c r="AC189" s="1192"/>
      <c r="AD189" s="2258"/>
      <c r="AE189" s="2237"/>
      <c r="AF189" s="2237"/>
      <c r="AG189" s="2237"/>
      <c r="AH189" s="2259"/>
      <c r="AM189" s="1076"/>
    </row>
    <row r="190" spans="11:39">
      <c r="K190" s="712"/>
      <c r="L190" s="833"/>
      <c r="N190" s="734" t="str">
        <f>IF(AND(SUM(N178:N182)=1,SUM(N184:N188)=1),"ok","% sumar nu este =100%")</f>
        <v>ok</v>
      </c>
      <c r="X190" s="1306">
        <f>SUM(X178:X189)</f>
        <v>103980</v>
      </c>
      <c r="Y190" s="1306">
        <f t="shared" ref="Y190:AB190" si="133">SUM(Y178:Y189)</f>
        <v>98820</v>
      </c>
      <c r="Z190" s="1306">
        <f t="shared" si="133"/>
        <v>97584</v>
      </c>
      <c r="AA190" s="1306">
        <f t="shared" si="133"/>
        <v>110688</v>
      </c>
      <c r="AB190" s="1306">
        <f t="shared" si="133"/>
        <v>106380</v>
      </c>
      <c r="AC190" s="1808"/>
      <c r="AD190" s="1049"/>
      <c r="AE190" s="960"/>
      <c r="AF190" s="960"/>
      <c r="AG190" s="960"/>
      <c r="AH190" s="62"/>
      <c r="AM190" s="1076"/>
    </row>
    <row r="191" spans="11:39" ht="16" thickBot="1">
      <c r="K191" s="712"/>
      <c r="L191" s="833"/>
      <c r="AC191" s="1808"/>
      <c r="AD191" s="1049"/>
      <c r="AE191" s="960"/>
      <c r="AF191" s="960"/>
      <c r="AG191" s="960"/>
      <c r="AH191" s="62"/>
      <c r="AM191" s="1076"/>
    </row>
    <row r="192" spans="11:39" ht="17" thickBot="1">
      <c r="K192" s="712"/>
      <c r="L192" s="833"/>
      <c r="M192" s="960"/>
      <c r="N192" s="526"/>
      <c r="O192" s="526"/>
      <c r="P192" s="526"/>
      <c r="Q192" s="526"/>
      <c r="R192" s="526"/>
      <c r="S192" s="530" t="s">
        <v>333</v>
      </c>
      <c r="T192" s="528"/>
      <c r="U192" s="528"/>
      <c r="V192" s="528"/>
      <c r="W192" s="529"/>
      <c r="AC192" s="1808"/>
      <c r="AD192" s="2247"/>
      <c r="AE192" s="1084"/>
      <c r="AF192" s="1084"/>
      <c r="AG192" s="1084"/>
      <c r="AH192" s="2248"/>
      <c r="AM192" s="1076"/>
    </row>
    <row r="193" spans="11:39" ht="17" thickBot="1">
      <c r="K193" s="712"/>
      <c r="L193"/>
      <c r="N193" s="526"/>
      <c r="O193" s="526"/>
      <c r="P193" s="526"/>
      <c r="Q193" s="526"/>
      <c r="R193" s="526"/>
      <c r="S193" s="584">
        <v>2021</v>
      </c>
      <c r="T193" s="585">
        <v>2022</v>
      </c>
      <c r="U193" s="585">
        <v>2023</v>
      </c>
      <c r="V193" s="585">
        <v>2024</v>
      </c>
      <c r="W193" s="586">
        <v>2025</v>
      </c>
      <c r="AC193" s="1808"/>
      <c r="AD193" s="1057">
        <v>2021</v>
      </c>
      <c r="AE193" s="1058">
        <v>2022</v>
      </c>
      <c r="AF193" s="1058">
        <v>2023</v>
      </c>
      <c r="AG193" s="1058">
        <v>2024</v>
      </c>
      <c r="AH193" s="1059">
        <v>2025</v>
      </c>
      <c r="AM193" s="1076"/>
    </row>
    <row r="194" spans="11:39" ht="16">
      <c r="K194" s="712"/>
      <c r="L194"/>
      <c r="N194" s="1258" t="s">
        <v>446</v>
      </c>
      <c r="O194" s="1084"/>
      <c r="P194" s="1084"/>
      <c r="Q194" s="1084"/>
      <c r="R194" s="1084"/>
      <c r="S194" s="1108">
        <f t="shared" ref="S194:S199" si="134">SUMIF($M$178:$M$189,$N194,X$178:X$189)</f>
        <v>2916</v>
      </c>
      <c r="T194" s="1109">
        <f t="shared" ref="T194:W194" si="135">SUMIF($M$178:$M$189,$N194,Y$178:Y$189)</f>
        <v>2844</v>
      </c>
      <c r="U194" s="1109">
        <f t="shared" si="135"/>
        <v>2664</v>
      </c>
      <c r="V194" s="1109">
        <f t="shared" si="135"/>
        <v>2592</v>
      </c>
      <c r="W194" s="1110">
        <f t="shared" si="135"/>
        <v>2520</v>
      </c>
      <c r="AC194" s="1808"/>
      <c r="AD194" s="2249"/>
      <c r="AE194" s="1149"/>
      <c r="AF194" s="1149"/>
      <c r="AG194" s="1149"/>
      <c r="AH194" s="2250"/>
      <c r="AM194" s="1076"/>
    </row>
    <row r="195" spans="11:39" ht="16">
      <c r="K195" s="712"/>
      <c r="L195"/>
      <c r="N195" s="1259" t="s">
        <v>320</v>
      </c>
      <c r="O195" s="591"/>
      <c r="P195" s="591"/>
      <c r="Q195" s="591"/>
      <c r="R195" s="591"/>
      <c r="S195" s="1190">
        <f t="shared" si="134"/>
        <v>6048</v>
      </c>
      <c r="T195" s="1166">
        <f t="shared" ref="T195:T199" si="136">SUMIF($M$178:$M$189,$N195,Y$178:Y$189)</f>
        <v>3240</v>
      </c>
      <c r="U195" s="1166">
        <f t="shared" ref="U195:U199" si="137">SUMIF($M$178:$M$189,$N195,Z$178:Z$189)</f>
        <v>3024</v>
      </c>
      <c r="V195" s="1166">
        <f t="shared" ref="V195:V199" si="138">SUMIF($M$178:$M$189,$N195,AA$178:AA$189)</f>
        <v>2916</v>
      </c>
      <c r="W195" s="1191">
        <f t="shared" ref="W195:W199" si="139">SUMIF($M$178:$M$189,$N195,AB$178:AB$189)</f>
        <v>2808</v>
      </c>
      <c r="AC195" s="1808"/>
      <c r="AD195" s="2251"/>
      <c r="AE195" s="1166"/>
      <c r="AF195" s="1166"/>
      <c r="AG195" s="1166"/>
      <c r="AH195" s="2252"/>
      <c r="AM195" s="1076"/>
    </row>
    <row r="196" spans="11:39" ht="16">
      <c r="K196" s="712"/>
      <c r="L196"/>
      <c r="N196" s="1259" t="s">
        <v>2237</v>
      </c>
      <c r="O196" s="591"/>
      <c r="P196" s="591"/>
      <c r="Q196" s="591"/>
      <c r="R196" s="591"/>
      <c r="S196" s="1140">
        <f t="shared" si="134"/>
        <v>6336</v>
      </c>
      <c r="T196" s="1141">
        <f t="shared" si="136"/>
        <v>9180</v>
      </c>
      <c r="U196" s="1141">
        <f t="shared" si="137"/>
        <v>11772</v>
      </c>
      <c r="V196" s="1141">
        <f t="shared" si="138"/>
        <v>28260</v>
      </c>
      <c r="W196" s="1142">
        <f t="shared" si="139"/>
        <v>27216</v>
      </c>
      <c r="X196" s="1098"/>
      <c r="AC196" s="1808"/>
      <c r="AD196" s="1140">
        <f>AD179*$R179+AD185*$R185</f>
        <v>25560</v>
      </c>
      <c r="AE196" s="1141">
        <f t="shared" ref="AE196:AH196" si="140">AE179*$R179+AE185*$R185</f>
        <v>21420</v>
      </c>
      <c r="AF196" s="1141">
        <f t="shared" si="140"/>
        <v>17676</v>
      </c>
      <c r="AG196" s="1141">
        <f t="shared" si="140"/>
        <v>0</v>
      </c>
      <c r="AH196" s="1142">
        <f t="shared" si="140"/>
        <v>0</v>
      </c>
      <c r="AI196" s="1098"/>
      <c r="AL196" s="1098"/>
      <c r="AM196" s="1076"/>
    </row>
    <row r="197" spans="11:39" ht="16">
      <c r="K197" s="712"/>
      <c r="L197"/>
      <c r="N197" s="1259" t="s">
        <v>2201</v>
      </c>
      <c r="O197" s="591"/>
      <c r="P197" s="591"/>
      <c r="Q197" s="591"/>
      <c r="R197" s="591"/>
      <c r="S197" s="1143">
        <f t="shared" si="134"/>
        <v>8640</v>
      </c>
      <c r="T197" s="1144">
        <f t="shared" si="136"/>
        <v>8316</v>
      </c>
      <c r="U197" s="1144">
        <f t="shared" si="137"/>
        <v>7884</v>
      </c>
      <c r="V197" s="1144">
        <f t="shared" si="138"/>
        <v>7560</v>
      </c>
      <c r="W197" s="1145">
        <f t="shared" si="139"/>
        <v>7236</v>
      </c>
      <c r="AC197" s="1808"/>
      <c r="AD197" s="1143"/>
      <c r="AE197" s="1144"/>
      <c r="AF197" s="1144"/>
      <c r="AG197" s="1144"/>
      <c r="AH197" s="1145"/>
      <c r="AM197" s="1076"/>
    </row>
    <row r="198" spans="11:39" ht="16">
      <c r="K198" s="712"/>
      <c r="L198"/>
      <c r="N198" s="1259" t="s">
        <v>319</v>
      </c>
      <c r="O198" s="591"/>
      <c r="P198" s="591"/>
      <c r="Q198" s="591"/>
      <c r="R198" s="591"/>
      <c r="S198" s="1143">
        <f t="shared" si="134"/>
        <v>24240</v>
      </c>
      <c r="T198" s="1144">
        <f t="shared" si="136"/>
        <v>23400</v>
      </c>
      <c r="U198" s="1144">
        <f t="shared" si="137"/>
        <v>22440</v>
      </c>
      <c r="V198" s="1144">
        <f t="shared" si="138"/>
        <v>21600</v>
      </c>
      <c r="W198" s="1145">
        <f t="shared" si="139"/>
        <v>20640</v>
      </c>
      <c r="AC198" s="1808"/>
      <c r="AD198" s="1143"/>
      <c r="AE198" s="1144"/>
      <c r="AF198" s="1144"/>
      <c r="AG198" s="1144"/>
      <c r="AH198" s="1145"/>
      <c r="AM198" s="1076"/>
    </row>
    <row r="199" spans="11:39" ht="17" thickBot="1">
      <c r="K199" s="712"/>
      <c r="L199" s="833"/>
      <c r="N199" s="1260" t="s">
        <v>2177</v>
      </c>
      <c r="O199" s="596"/>
      <c r="P199" s="596"/>
      <c r="Q199" s="596"/>
      <c r="R199" s="596"/>
      <c r="S199" s="1111">
        <f t="shared" si="134"/>
        <v>55800</v>
      </c>
      <c r="T199" s="1112">
        <f t="shared" si="136"/>
        <v>51840</v>
      </c>
      <c r="U199" s="1112">
        <f t="shared" si="137"/>
        <v>49800</v>
      </c>
      <c r="V199" s="1112">
        <f t="shared" si="138"/>
        <v>47760</v>
      </c>
      <c r="W199" s="1113">
        <f t="shared" si="139"/>
        <v>45960</v>
      </c>
      <c r="AC199" s="1808"/>
      <c r="AD199" s="1111"/>
      <c r="AE199" s="1112"/>
      <c r="AF199" s="1112"/>
      <c r="AG199" s="1112"/>
      <c r="AH199" s="1113"/>
      <c r="AM199" s="1076"/>
    </row>
    <row r="200" spans="11:39">
      <c r="K200" s="712"/>
      <c r="L200" s="833"/>
      <c r="S200" s="1306">
        <f>SUM(S194:S199)</f>
        <v>103980</v>
      </c>
      <c r="T200" s="1306">
        <f t="shared" ref="T200:W200" si="141">SUM(T194:T199)</f>
        <v>98820</v>
      </c>
      <c r="U200" s="1306">
        <f t="shared" si="141"/>
        <v>97584</v>
      </c>
      <c r="V200" s="1306">
        <f t="shared" si="141"/>
        <v>110688</v>
      </c>
      <c r="W200" s="1306">
        <f t="shared" si="141"/>
        <v>106380</v>
      </c>
      <c r="AC200" s="1808"/>
      <c r="AD200" s="2260"/>
      <c r="AE200" s="2261"/>
      <c r="AF200" s="2261"/>
      <c r="AG200" s="2261"/>
      <c r="AH200" s="2262"/>
      <c r="AM200" s="1076"/>
    </row>
    <row r="201" spans="11:39" ht="16" thickBot="1">
      <c r="K201" s="712"/>
      <c r="L201" s="833"/>
      <c r="AC201" s="1808"/>
      <c r="AD201" s="1049"/>
      <c r="AE201" s="960"/>
      <c r="AF201" s="960"/>
      <c r="AG201" s="960"/>
      <c r="AH201" s="62"/>
      <c r="AM201" s="1076"/>
    </row>
    <row r="202" spans="11:39" ht="17" thickBot="1">
      <c r="K202" s="712"/>
      <c r="L202" s="833"/>
      <c r="N202" s="526"/>
      <c r="O202" s="526"/>
      <c r="P202" s="526"/>
      <c r="Q202" s="526"/>
      <c r="R202" s="526"/>
      <c r="S202" s="530" t="s">
        <v>2189</v>
      </c>
      <c r="T202" s="528"/>
      <c r="U202" s="528"/>
      <c r="V202" s="528"/>
      <c r="W202" s="529"/>
      <c r="AC202" s="1808"/>
      <c r="AD202" s="2247"/>
      <c r="AE202" s="1084"/>
      <c r="AF202" s="1084"/>
      <c r="AG202" s="1084"/>
      <c r="AH202" s="2248"/>
      <c r="AM202" s="1076"/>
    </row>
    <row r="203" spans="11:39" ht="17" thickBot="1">
      <c r="K203" s="712"/>
      <c r="L203" s="833"/>
      <c r="N203" s="526"/>
      <c r="O203" s="526"/>
      <c r="P203" s="526"/>
      <c r="Q203" s="526"/>
      <c r="R203" s="526" t="s">
        <v>2190</v>
      </c>
      <c r="S203" s="584">
        <v>2021</v>
      </c>
      <c r="T203" s="585">
        <v>2022</v>
      </c>
      <c r="U203" s="585">
        <v>2023</v>
      </c>
      <c r="V203" s="585">
        <v>2024</v>
      </c>
      <c r="W203" s="586">
        <v>2025</v>
      </c>
      <c r="AC203" s="1808" t="s">
        <v>3738</v>
      </c>
      <c r="AD203" s="1057">
        <v>2021</v>
      </c>
      <c r="AE203" s="1058">
        <v>2022</v>
      </c>
      <c r="AF203" s="1058">
        <v>2023</v>
      </c>
      <c r="AG203" s="1058">
        <v>2024</v>
      </c>
      <c r="AH203" s="1059">
        <v>2025</v>
      </c>
      <c r="AM203" s="1076"/>
    </row>
    <row r="204" spans="11:39" ht="16">
      <c r="K204" s="712"/>
      <c r="L204" s="833"/>
      <c r="N204" s="1094" t="str">
        <f>N194</f>
        <v>Isoniazid  100mg  Film uncoated tablet(s)</v>
      </c>
      <c r="O204" s="1084"/>
      <c r="P204" s="1084"/>
      <c r="Q204" s="1084"/>
      <c r="R204" s="980">
        <f>VLOOKUP(N204,Preturi_medicamente!D:F,3,0)</f>
        <v>0.2</v>
      </c>
      <c r="S204" s="1085">
        <f>S194*$R204</f>
        <v>583.20000000000005</v>
      </c>
      <c r="T204" s="1086">
        <f t="shared" ref="T204:W204" si="142">T194*$R204</f>
        <v>568.80000000000007</v>
      </c>
      <c r="U204" s="1086">
        <f t="shared" si="142"/>
        <v>532.80000000000007</v>
      </c>
      <c r="V204" s="1086">
        <f t="shared" si="142"/>
        <v>518.4</v>
      </c>
      <c r="W204" s="1087">
        <f t="shared" si="142"/>
        <v>504</v>
      </c>
      <c r="AC204" s="1808"/>
      <c r="AD204" s="2256"/>
      <c r="AE204" s="1128"/>
      <c r="AF204" s="1128"/>
      <c r="AG204" s="1128"/>
      <c r="AH204" s="2257"/>
      <c r="AM204" s="1076"/>
    </row>
    <row r="205" spans="11:39" ht="16">
      <c r="K205" s="712"/>
      <c r="L205" s="833"/>
      <c r="N205" s="1099" t="str">
        <f t="shared" ref="N205:N209" si="143">N195</f>
        <v>Isoniazid  300mg  Film uncoated tablet(s)</v>
      </c>
      <c r="O205" s="591"/>
      <c r="P205" s="591"/>
      <c r="Q205" s="591"/>
      <c r="R205" s="1081">
        <f>VLOOKUP(N205,Preturi_medicamente!D:F,3,0)</f>
        <v>0.22</v>
      </c>
      <c r="S205" s="1100">
        <f t="shared" ref="S205:W205" si="144">S195*$R205</f>
        <v>1330.56</v>
      </c>
      <c r="T205" s="1101">
        <f t="shared" si="144"/>
        <v>712.8</v>
      </c>
      <c r="U205" s="1101">
        <f t="shared" si="144"/>
        <v>665.28</v>
      </c>
      <c r="V205" s="1101">
        <f t="shared" si="144"/>
        <v>641.52</v>
      </c>
      <c r="W205" s="1102">
        <f t="shared" si="144"/>
        <v>617.76</v>
      </c>
      <c r="AC205" s="1808"/>
      <c r="AD205" s="1122"/>
      <c r="AE205" s="1101"/>
      <c r="AF205" s="1101"/>
      <c r="AG205" s="1101"/>
      <c r="AH205" s="1123"/>
      <c r="AM205" s="1076"/>
    </row>
    <row r="206" spans="11:39" ht="16">
      <c r="K206" s="712"/>
      <c r="L206" s="833"/>
      <c r="N206" s="1095" t="str">
        <f t="shared" si="143"/>
        <v>Rifapentine/Isoniazid 300mg/300mg, Film coated tablet(s)</v>
      </c>
      <c r="O206" s="591"/>
      <c r="P206" s="591"/>
      <c r="Q206" s="591"/>
      <c r="R206" s="1081">
        <f>VLOOKUP(N206,Preturi_medicamente!D:F,3,0)</f>
        <v>7.38</v>
      </c>
      <c r="S206" s="1088">
        <f>S196*$R206</f>
        <v>46759.68</v>
      </c>
      <c r="T206" s="1089">
        <f t="shared" ref="T206:W206" si="145">T196*$R206</f>
        <v>67748.399999999994</v>
      </c>
      <c r="U206" s="1089">
        <f t="shared" si="145"/>
        <v>86877.36</v>
      </c>
      <c r="V206" s="1089">
        <f t="shared" si="145"/>
        <v>208558.8</v>
      </c>
      <c r="W206" s="1090">
        <f t="shared" si="145"/>
        <v>200854.08</v>
      </c>
      <c r="AC206" s="1808">
        <f>VLOOKUP(N206,Preturi_medicamente!D:M,10,0)</f>
        <v>0.42</v>
      </c>
      <c r="AD206" s="1088">
        <f>AD196*$AC206</f>
        <v>10735.199999999999</v>
      </c>
      <c r="AE206" s="1089">
        <f t="shared" ref="AE206:AH206" si="146">AE196*$AC206</f>
        <v>8996.4</v>
      </c>
      <c r="AF206" s="1089">
        <f t="shared" si="146"/>
        <v>7423.92</v>
      </c>
      <c r="AG206" s="1089">
        <f t="shared" si="146"/>
        <v>0</v>
      </c>
      <c r="AH206" s="1090">
        <f t="shared" si="146"/>
        <v>0</v>
      </c>
      <c r="AI206" s="1098"/>
      <c r="AL206" s="1098">
        <f>SUM(AD206:AJ206)</f>
        <v>27155.519999999997</v>
      </c>
      <c r="AM206" s="1076"/>
    </row>
    <row r="207" spans="11:39" ht="16">
      <c r="K207" s="712"/>
      <c r="L207" s="833"/>
      <c r="N207" s="1095" t="str">
        <f t="shared" si="143"/>
        <v>Rifapentine, 150 mg, Film coated tablet</v>
      </c>
      <c r="O207" s="591"/>
      <c r="P207" s="591"/>
      <c r="Q207" s="591"/>
      <c r="R207" s="1081">
        <f>VLOOKUP(N207,Preturi_medicamente!D:F,3,0)</f>
        <v>11.07</v>
      </c>
      <c r="S207" s="1118">
        <f t="shared" ref="S207:W207" si="147">S197*$R207</f>
        <v>95644.800000000003</v>
      </c>
      <c r="T207" s="1119">
        <f t="shared" si="147"/>
        <v>92058.12</v>
      </c>
      <c r="U207" s="1119">
        <f t="shared" si="147"/>
        <v>87275.88</v>
      </c>
      <c r="V207" s="1119">
        <f t="shared" si="147"/>
        <v>83689.2</v>
      </c>
      <c r="W207" s="1120">
        <f t="shared" si="147"/>
        <v>80102.52</v>
      </c>
      <c r="AC207" s="1808"/>
      <c r="AD207" s="1118"/>
      <c r="AE207" s="1119"/>
      <c r="AF207" s="1119"/>
      <c r="AG207" s="1119"/>
      <c r="AH207" s="1120"/>
      <c r="AM207" s="1076"/>
    </row>
    <row r="208" spans="11:39" ht="16">
      <c r="K208" s="712"/>
      <c r="L208" s="833"/>
      <c r="N208" s="1095" t="str">
        <f t="shared" si="143"/>
        <v>Rifampicin  300mg  Film coated tablet(s)</v>
      </c>
      <c r="O208" s="591"/>
      <c r="P208" s="591"/>
      <c r="Q208" s="591"/>
      <c r="R208" s="1081">
        <f>VLOOKUP(N208,Preturi_medicamente!D:F,3,0)</f>
        <v>2.0499999999999998</v>
      </c>
      <c r="S208" s="1118">
        <f t="shared" ref="S208:W208" si="148">S198*$R208</f>
        <v>49691.999999999993</v>
      </c>
      <c r="T208" s="1119">
        <f t="shared" si="148"/>
        <v>47969.999999999993</v>
      </c>
      <c r="U208" s="1119">
        <f t="shared" si="148"/>
        <v>46001.999999999993</v>
      </c>
      <c r="V208" s="1119">
        <f t="shared" si="148"/>
        <v>44279.999999999993</v>
      </c>
      <c r="W208" s="1120">
        <f t="shared" si="148"/>
        <v>42311.999999999993</v>
      </c>
      <c r="AC208" s="1808"/>
      <c r="AD208" s="1118"/>
      <c r="AE208" s="1119"/>
      <c r="AF208" s="1119"/>
      <c r="AG208" s="1119"/>
      <c r="AH208" s="1120"/>
      <c r="AM208" s="1076"/>
    </row>
    <row r="209" spans="1:43" ht="17" thickBot="1">
      <c r="K209" s="712"/>
      <c r="L209" s="833"/>
      <c r="N209" s="1096" t="str">
        <f t="shared" si="143"/>
        <v>Pyridoxine, 100 mg, Uncoated tablet(s)</v>
      </c>
      <c r="O209" s="596"/>
      <c r="P209" s="596"/>
      <c r="Q209" s="596"/>
      <c r="R209" s="1097">
        <f>VLOOKUP(N209,Preturi_medicamente!D:F,3,0)</f>
        <v>0.5</v>
      </c>
      <c r="S209" s="1091">
        <f t="shared" ref="S209:W209" si="149">S199*$R209</f>
        <v>27900</v>
      </c>
      <c r="T209" s="1092">
        <f t="shared" si="149"/>
        <v>25920</v>
      </c>
      <c r="U209" s="1092">
        <f t="shared" si="149"/>
        <v>24900</v>
      </c>
      <c r="V209" s="1092">
        <f t="shared" si="149"/>
        <v>23880</v>
      </c>
      <c r="W209" s="1093">
        <f t="shared" si="149"/>
        <v>22980</v>
      </c>
      <c r="AC209" s="1808"/>
      <c r="AD209" s="1091"/>
      <c r="AE209" s="1092"/>
      <c r="AF209" s="1092"/>
      <c r="AG209" s="1092"/>
      <c r="AH209" s="1093"/>
      <c r="AM209" s="1076"/>
    </row>
    <row r="210" spans="1:43" ht="18" thickBot="1">
      <c r="A210" s="2157">
        <v>41</v>
      </c>
      <c r="B210" s="841">
        <f>S210</f>
        <v>221910.24</v>
      </c>
      <c r="C210" s="841">
        <f t="shared" ref="C210:F210" si="150">T210</f>
        <v>234978.12</v>
      </c>
      <c r="D210" s="841">
        <f t="shared" si="150"/>
        <v>246253.32</v>
      </c>
      <c r="E210" s="841">
        <f t="shared" si="150"/>
        <v>361567.92</v>
      </c>
      <c r="F210" s="841">
        <f t="shared" si="150"/>
        <v>347370.36</v>
      </c>
      <c r="G210" s="841" t="s">
        <v>513</v>
      </c>
      <c r="H210" s="2201" t="s">
        <v>2206</v>
      </c>
      <c r="I210" s="2183"/>
      <c r="J210" s="841" t="s">
        <v>2961</v>
      </c>
      <c r="K210" s="712"/>
      <c r="L210" s="833"/>
      <c r="S210" s="2242">
        <f>SUM(S204:S209)</f>
        <v>221910.24</v>
      </c>
      <c r="T210" s="2243">
        <f t="shared" ref="T210:W210" si="151">SUM(T204:T209)</f>
        <v>234978.12</v>
      </c>
      <c r="U210" s="2243">
        <f t="shared" si="151"/>
        <v>246253.32</v>
      </c>
      <c r="V210" s="2243">
        <f t="shared" si="151"/>
        <v>361567.92</v>
      </c>
      <c r="W210" s="2244">
        <f t="shared" si="151"/>
        <v>347370.36</v>
      </c>
      <c r="X210" s="1098">
        <f>SUM(S210:W210)</f>
        <v>1412079.96</v>
      </c>
      <c r="AB210" s="691" t="s">
        <v>3740</v>
      </c>
      <c r="AC210" s="2241">
        <v>1.2E-2</v>
      </c>
      <c r="AD210" s="2239">
        <f>AD206*AC210</f>
        <v>128.82239999999999</v>
      </c>
      <c r="AE210" s="2239">
        <f>AE206*AC210</f>
        <v>107.9568</v>
      </c>
      <c r="AF210" s="2239">
        <f>AF206*AC210</f>
        <v>89.087040000000002</v>
      </c>
      <c r="AG210" s="2239">
        <f>AG206*AC210</f>
        <v>0</v>
      </c>
      <c r="AH210" s="2239">
        <f>AH206*AC210</f>
        <v>0</v>
      </c>
      <c r="AM210" s="1076"/>
    </row>
    <row r="211" spans="1:43" ht="17">
      <c r="A211" s="1081"/>
      <c r="B211" s="1081"/>
      <c r="C211" s="1081"/>
      <c r="D211" s="1081"/>
      <c r="E211" s="1081"/>
      <c r="F211" s="1081"/>
      <c r="G211" s="1081"/>
      <c r="H211" s="1081"/>
      <c r="J211" s="1081"/>
      <c r="K211" s="712"/>
      <c r="L211" s="833"/>
      <c r="M211" s="853"/>
      <c r="N211" s="853"/>
      <c r="O211" s="853"/>
      <c r="P211" s="853"/>
      <c r="Q211" s="853"/>
      <c r="R211" s="853"/>
      <c r="S211" s="853"/>
      <c r="T211" s="853"/>
      <c r="U211" s="853"/>
      <c r="V211" s="853"/>
      <c r="W211" s="853"/>
      <c r="X211" s="853"/>
      <c r="Y211" s="853"/>
      <c r="Z211" s="853"/>
      <c r="AA211" s="853"/>
      <c r="AB211" s="691" t="s">
        <v>486</v>
      </c>
      <c r="AC211" s="2241">
        <v>5.1999999999999998E-2</v>
      </c>
      <c r="AD211" s="2238">
        <f>AD206*AC211</f>
        <v>558.23039999999992</v>
      </c>
      <c r="AE211" s="2238">
        <f>AE206*AC211</f>
        <v>467.81279999999998</v>
      </c>
      <c r="AF211" s="2238">
        <f>AF206*AC211</f>
        <v>386.04383999999999</v>
      </c>
      <c r="AG211" s="2238">
        <f>AG206*AC211</f>
        <v>0</v>
      </c>
      <c r="AH211" s="2238">
        <f>AH206*AC211</f>
        <v>0</v>
      </c>
      <c r="AI211" s="853"/>
      <c r="AJ211" s="853"/>
      <c r="AK211" s="853"/>
      <c r="AL211" s="853"/>
      <c r="AM211" s="1076"/>
    </row>
    <row r="212" spans="1:43" s="1808" customFormat="1" ht="17">
      <c r="A212" s="1081"/>
      <c r="B212" s="1081"/>
      <c r="C212" s="1081"/>
      <c r="D212" s="1081"/>
      <c r="E212" s="1081"/>
      <c r="F212" s="1081"/>
      <c r="G212" s="1081"/>
      <c r="H212" s="1081"/>
      <c r="I212" s="2195"/>
      <c r="J212" s="1081"/>
      <c r="K212" s="712"/>
      <c r="L212" s="833"/>
      <c r="M212" s="853"/>
      <c r="N212" s="853"/>
      <c r="O212" s="853"/>
      <c r="P212" s="853"/>
      <c r="Q212" s="853"/>
      <c r="R212" s="853"/>
      <c r="S212" s="853"/>
      <c r="T212" s="853"/>
      <c r="U212" s="853"/>
      <c r="V212" s="853"/>
      <c r="W212" s="853"/>
      <c r="X212" s="853"/>
      <c r="Y212" s="853"/>
      <c r="Z212" s="853"/>
      <c r="AA212" s="853"/>
      <c r="AB212" s="691" t="s">
        <v>3741</v>
      </c>
      <c r="AC212" s="2241">
        <v>4.2000000000000003E-2</v>
      </c>
      <c r="AD212" s="2238">
        <f>AD206*AC212</f>
        <v>450.8784</v>
      </c>
      <c r="AE212" s="2238">
        <f>AE206*AC212</f>
        <v>377.84879999999998</v>
      </c>
      <c r="AF212" s="2238">
        <f>AF206*AC212</f>
        <v>311.80464000000001</v>
      </c>
      <c r="AG212" s="2238">
        <f>AG206*AC212</f>
        <v>0</v>
      </c>
      <c r="AH212" s="2238">
        <f>AH206*AC212</f>
        <v>0</v>
      </c>
      <c r="AI212" s="853"/>
      <c r="AJ212" s="853"/>
      <c r="AK212" s="853"/>
      <c r="AL212" s="853"/>
      <c r="AM212" s="1076"/>
    </row>
    <row r="213" spans="1:43" s="1808" customFormat="1" ht="35" thickBot="1">
      <c r="A213" s="1081"/>
      <c r="B213" s="1081"/>
      <c r="C213" s="1081"/>
      <c r="D213" s="1081"/>
      <c r="E213" s="1081"/>
      <c r="F213" s="1081"/>
      <c r="G213" s="1081"/>
      <c r="H213" s="1081"/>
      <c r="I213" s="2195"/>
      <c r="J213" s="1081"/>
      <c r="K213" s="712"/>
      <c r="L213" s="833"/>
      <c r="M213" s="853"/>
      <c r="N213" s="853"/>
      <c r="O213" s="853"/>
      <c r="P213" s="853"/>
      <c r="Q213" s="853"/>
      <c r="R213" s="853"/>
      <c r="S213" s="853"/>
      <c r="T213" s="853"/>
      <c r="U213" s="853"/>
      <c r="V213" s="853"/>
      <c r="W213" s="853"/>
      <c r="X213" s="853"/>
      <c r="Y213" s="853"/>
      <c r="Z213" s="853"/>
      <c r="AA213" s="853"/>
      <c r="AB213" s="828" t="s">
        <v>3739</v>
      </c>
      <c r="AD213" s="2240">
        <f>SUM(AD210:AD212)</f>
        <v>1137.9312</v>
      </c>
      <c r="AE213" s="2240">
        <f t="shared" ref="AE213" si="152">SUM(AE210:AE212)</f>
        <v>953.61839999999995</v>
      </c>
      <c r="AF213" s="2240">
        <f t="shared" ref="AF213" si="153">SUM(AF210:AF212)</f>
        <v>786.93552</v>
      </c>
      <c r="AG213" s="2240">
        <f t="shared" ref="AG213" si="154">SUM(AG210:AG212)</f>
        <v>0</v>
      </c>
      <c r="AH213" s="2240">
        <f t="shared" ref="AH213" si="155">SUM(AH210:AH212)</f>
        <v>0</v>
      </c>
      <c r="AI213" s="853"/>
      <c r="AJ213" s="853"/>
      <c r="AK213" s="853"/>
      <c r="AL213" s="2469">
        <f>SUM(AD213:AK213)</f>
        <v>2878.4851199999998</v>
      </c>
      <c r="AM213" s="1076"/>
    </row>
    <row r="214" spans="1:43" s="1808" customFormat="1" ht="16" thickBot="1">
      <c r="A214" s="2157">
        <v>230</v>
      </c>
      <c r="B214" s="841">
        <f>AD214</f>
        <v>208597.97347099197</v>
      </c>
      <c r="C214" s="841">
        <f t="shared" ref="C214:F214" si="156">AE214</f>
        <v>174810.97776794396</v>
      </c>
      <c r="D214" s="841">
        <f t="shared" si="156"/>
        <v>144255.7816538832</v>
      </c>
      <c r="E214" s="841">
        <f t="shared" si="156"/>
        <v>0</v>
      </c>
      <c r="F214" s="841">
        <f t="shared" si="156"/>
        <v>0</v>
      </c>
      <c r="G214" s="841" t="s">
        <v>351</v>
      </c>
      <c r="H214" s="2201" t="s">
        <v>2206</v>
      </c>
      <c r="I214" s="2183"/>
      <c r="J214" s="841" t="s">
        <v>2961</v>
      </c>
      <c r="K214" s="712"/>
      <c r="L214" s="833"/>
      <c r="M214" s="853"/>
      <c r="N214" s="853"/>
      <c r="O214" s="853"/>
      <c r="P214" s="853"/>
      <c r="Q214" s="853"/>
      <c r="R214" s="853"/>
      <c r="S214" s="853"/>
      <c r="T214" s="853"/>
      <c r="U214" s="853"/>
      <c r="V214" s="853"/>
      <c r="W214" s="853"/>
      <c r="X214" s="853"/>
      <c r="Y214" s="853"/>
      <c r="Z214" s="853"/>
      <c r="AA214" s="853"/>
      <c r="AB214" s="853"/>
      <c r="AD214" s="2242">
        <f>(AD206+AD213)*USD</f>
        <v>208597.97347099197</v>
      </c>
      <c r="AE214" s="2243">
        <f>(AE206+AE213)*USD</f>
        <v>174810.97776794396</v>
      </c>
      <c r="AF214" s="2243">
        <f>(AF206+AF213)*USD</f>
        <v>144255.7816538832</v>
      </c>
      <c r="AG214" s="2243">
        <f>(AG206+AG213)*USD</f>
        <v>0</v>
      </c>
      <c r="AH214" s="2244">
        <f>(AH206+AH213)*USD</f>
        <v>0</v>
      </c>
      <c r="AI214" s="2235"/>
      <c r="AJ214" s="2235"/>
      <c r="AK214" s="853"/>
      <c r="AL214" s="853"/>
      <c r="AM214" s="1076"/>
      <c r="AN214" s="1808">
        <f>AD214/EUR</f>
        <v>10629.356962548272</v>
      </c>
      <c r="AO214" s="1808">
        <f>AE214/EUR</f>
        <v>8907.7005531214381</v>
      </c>
      <c r="AP214" s="1808">
        <f>AF214/EUR</f>
        <v>7350.7243219876091</v>
      </c>
      <c r="AQ214" s="1808">
        <f>AG214/EUR</f>
        <v>0</v>
      </c>
    </row>
    <row r="215" spans="1:43" s="1808" customFormat="1">
      <c r="A215" s="1081"/>
      <c r="B215" s="1081"/>
      <c r="C215" s="1081"/>
      <c r="D215" s="1081"/>
      <c r="E215" s="1081"/>
      <c r="F215" s="1081"/>
      <c r="G215" s="1081"/>
      <c r="H215" s="1081"/>
      <c r="I215" s="2195"/>
      <c r="J215" s="1081"/>
      <c r="K215" s="712"/>
      <c r="L215" s="833"/>
      <c r="M215" s="853"/>
      <c r="N215" s="853"/>
      <c r="O215" s="853"/>
      <c r="P215" s="853"/>
      <c r="Q215" s="853"/>
      <c r="R215" s="853"/>
      <c r="S215" s="853"/>
      <c r="T215" s="853"/>
      <c r="U215" s="853"/>
      <c r="V215" s="853"/>
      <c r="W215" s="853"/>
      <c r="X215" s="853"/>
      <c r="Y215" s="853"/>
      <c r="Z215" s="853"/>
      <c r="AA215" s="853"/>
      <c r="AB215" s="853"/>
      <c r="AC215" s="853"/>
      <c r="AD215" s="853"/>
      <c r="AE215" s="853"/>
      <c r="AF215" s="853"/>
      <c r="AG215" s="853"/>
      <c r="AH215" s="853"/>
      <c r="AI215" s="853"/>
      <c r="AJ215" s="853"/>
      <c r="AK215" s="853"/>
      <c r="AL215" s="853"/>
      <c r="AM215" s="1076"/>
    </row>
    <row r="216" spans="1:43">
      <c r="K216" s="712"/>
      <c r="L216" s="833"/>
      <c r="M216" s="853"/>
      <c r="N216" s="853"/>
      <c r="O216" s="853"/>
      <c r="P216" s="853"/>
      <c r="Q216" s="853"/>
      <c r="R216" s="853"/>
      <c r="S216" s="853"/>
      <c r="T216" s="853"/>
      <c r="U216" s="853"/>
      <c r="V216" s="853"/>
      <c r="W216" s="853"/>
      <c r="X216" s="853"/>
      <c r="Y216" s="853"/>
      <c r="AM216" s="1076"/>
    </row>
    <row r="217" spans="1:43">
      <c r="K217" s="712"/>
      <c r="L217"/>
      <c r="AM217" s="1076"/>
    </row>
    <row r="218" spans="1:43" ht="16" thickBot="1">
      <c r="K218" s="712"/>
      <c r="L218"/>
      <c r="AM218" s="1076"/>
    </row>
    <row r="219" spans="1:43" ht="22" thickBot="1">
      <c r="K219" s="712"/>
      <c r="L219" s="833"/>
      <c r="M219" s="1208" t="s">
        <v>2194</v>
      </c>
      <c r="S219" s="530" t="s">
        <v>2191</v>
      </c>
      <c r="T219" s="528"/>
      <c r="U219" s="528"/>
      <c r="V219" s="528"/>
      <c r="W219" s="529"/>
      <c r="AM219" s="1076"/>
    </row>
    <row r="220" spans="1:43" ht="35" thickBot="1">
      <c r="K220" s="712"/>
      <c r="L220" s="833"/>
      <c r="M220" s="1103" t="s">
        <v>312</v>
      </c>
      <c r="N220" s="1080" t="s">
        <v>2188</v>
      </c>
      <c r="O220" s="1083" t="s">
        <v>328</v>
      </c>
      <c r="P220" s="1083" t="s">
        <v>327</v>
      </c>
      <c r="Q220" s="1083" t="s">
        <v>329</v>
      </c>
      <c r="R220" s="1104" t="s">
        <v>97</v>
      </c>
      <c r="S220" s="1057">
        <v>2021</v>
      </c>
      <c r="T220" s="1058">
        <v>2022</v>
      </c>
      <c r="U220" s="1058">
        <v>2023</v>
      </c>
      <c r="V220" s="1058">
        <v>2024</v>
      </c>
      <c r="W220" s="1059">
        <v>2025</v>
      </c>
      <c r="AM220" s="1076"/>
    </row>
    <row r="221" spans="1:43" ht="17" thickBot="1">
      <c r="K221" s="712"/>
      <c r="L221" s="1105" t="s">
        <v>2192</v>
      </c>
      <c r="M221" s="1205" t="s">
        <v>469</v>
      </c>
      <c r="N221" s="1106">
        <v>0.5</v>
      </c>
      <c r="O221" s="1220">
        <v>1</v>
      </c>
      <c r="P221" s="1220">
        <v>30</v>
      </c>
      <c r="Q221" s="1220">
        <v>6</v>
      </c>
      <c r="R221" s="1107">
        <f>O221*P221*Q221</f>
        <v>180</v>
      </c>
      <c r="S221" s="1152">
        <f>VLOOKUP($X221,'Estimare cazuri'!$A:$R,S$125,0)*$N221</f>
        <v>160.5</v>
      </c>
      <c r="T221" s="1149">
        <f>VLOOKUP($X221,'Estimare cazuri'!$A:$R,T125,0)*$N221</f>
        <v>156.5</v>
      </c>
      <c r="U221" s="1149">
        <f>VLOOKUP($X221,'Estimare cazuri'!$A:$R,U125,0)*$N221</f>
        <v>152.5</v>
      </c>
      <c r="V221" s="1149">
        <f>VLOOKUP($X221,'Estimare cazuri'!$A:$R,V125,0)*$N221</f>
        <v>149</v>
      </c>
      <c r="W221" s="1150">
        <f>VLOOKUP($X221,'Estimare cazuri'!$A:$R,W125,0)*$N221</f>
        <v>145</v>
      </c>
      <c r="X221" s="1302" t="s">
        <v>2289</v>
      </c>
      <c r="AM221" s="1076"/>
    </row>
    <row r="222" spans="1:43" ht="17" thickBot="1">
      <c r="K222" s="712"/>
      <c r="L222" s="1206" t="s">
        <v>2193</v>
      </c>
      <c r="M222" s="1207" t="s">
        <v>469</v>
      </c>
      <c r="N222" s="1130">
        <v>0.5</v>
      </c>
      <c r="O222" s="1221">
        <v>4</v>
      </c>
      <c r="P222" s="1221">
        <v>30</v>
      </c>
      <c r="Q222" s="1221">
        <v>6</v>
      </c>
      <c r="R222" s="1136">
        <f>O222*P222*Q222</f>
        <v>720</v>
      </c>
      <c r="S222" s="1137">
        <f>VLOOKUP($X222,'Estimare cazuri'!$A:$R,S$125,0)*$N222</f>
        <v>685.5</v>
      </c>
      <c r="T222" s="1138">
        <f>VLOOKUP($X222,'Estimare cazuri'!$A:$R,T125,0)*$N222</f>
        <v>668</v>
      </c>
      <c r="U222" s="1138">
        <f>VLOOKUP($X222,'Estimare cazuri'!$A:$R,U125,0)*$N222</f>
        <v>651.5</v>
      </c>
      <c r="V222" s="1138">
        <f>VLOOKUP($X222,'Estimare cazuri'!$A:$R,V125,0)*$N222</f>
        <v>635.5</v>
      </c>
      <c r="W222" s="1139">
        <f>VLOOKUP($X222,'Estimare cazuri'!$A:$R,W125,0)*$N222</f>
        <v>620</v>
      </c>
      <c r="X222" s="1302" t="s">
        <v>2292</v>
      </c>
      <c r="AM222" s="1076"/>
    </row>
    <row r="223" spans="1:43">
      <c r="K223" s="712"/>
      <c r="L223" s="833"/>
      <c r="AM223" s="1076"/>
    </row>
    <row r="224" spans="1:43">
      <c r="K224" s="712"/>
      <c r="L224" s="833"/>
      <c r="AM224" s="1076"/>
    </row>
    <row r="225" spans="1:39" ht="16" thickBot="1">
      <c r="K225" s="712"/>
      <c r="L225" s="833"/>
      <c r="M225" s="960"/>
      <c r="AM225" s="1076"/>
    </row>
    <row r="226" spans="1:39" ht="17" thickBot="1">
      <c r="K226" s="712"/>
      <c r="L226" s="833"/>
      <c r="O226" s="526"/>
      <c r="P226" s="526"/>
      <c r="Q226" s="526"/>
      <c r="R226" s="526"/>
      <c r="S226" s="530" t="s">
        <v>333</v>
      </c>
      <c r="T226" s="528"/>
      <c r="U226" s="528"/>
      <c r="V226" s="528"/>
      <c r="W226" s="529"/>
      <c r="AM226" s="1076"/>
    </row>
    <row r="227" spans="1:39" ht="17" thickBot="1">
      <c r="K227" s="712"/>
      <c r="L227" s="833"/>
      <c r="O227" s="526"/>
      <c r="P227" s="526"/>
      <c r="Q227" s="526"/>
      <c r="R227" s="526"/>
      <c r="S227" s="584">
        <v>2021</v>
      </c>
      <c r="T227" s="585">
        <v>2022</v>
      </c>
      <c r="U227" s="585">
        <v>2023</v>
      </c>
      <c r="V227" s="585">
        <v>2024</v>
      </c>
      <c r="W227" s="586">
        <v>2025</v>
      </c>
      <c r="AM227" s="1076"/>
    </row>
    <row r="228" spans="1:39" ht="17" thickBot="1">
      <c r="K228" s="712"/>
      <c r="L228" s="833"/>
      <c r="N228" s="1213" t="s">
        <v>469</v>
      </c>
      <c r="O228" s="1204"/>
      <c r="P228" s="1204"/>
      <c r="Q228" s="1204"/>
      <c r="R228" s="1204"/>
      <c r="S228" s="1212">
        <f>(S221*$R221)+(S222*$R222)</f>
        <v>522450</v>
      </c>
      <c r="T228" s="1125">
        <f>(T221*$R221)+(T222*$R222)</f>
        <v>509130</v>
      </c>
      <c r="U228" s="1125">
        <f>(U221*$R221)+(U222*$R222)</f>
        <v>496530</v>
      </c>
      <c r="V228" s="1125">
        <f>(V221*$R221)+(V222*$R222)</f>
        <v>484380</v>
      </c>
      <c r="W228" s="1126">
        <f>(W221*$R221)+(W222*$R222)</f>
        <v>472500</v>
      </c>
      <c r="AM228" s="1076"/>
    </row>
    <row r="229" spans="1:39">
      <c r="K229" s="712"/>
      <c r="L229" s="833"/>
      <c r="AM229" s="1076"/>
    </row>
    <row r="230" spans="1:39" ht="16" thickBot="1">
      <c r="K230" s="712"/>
      <c r="L230" s="833"/>
      <c r="AM230" s="1076"/>
    </row>
    <row r="231" spans="1:39" ht="17" thickBot="1">
      <c r="K231" s="712"/>
      <c r="L231" s="833"/>
      <c r="O231" s="526"/>
      <c r="P231" s="526"/>
      <c r="Q231" s="526"/>
      <c r="R231" s="526"/>
      <c r="S231" s="530" t="s">
        <v>2189</v>
      </c>
      <c r="T231" s="528"/>
      <c r="U231" s="528"/>
      <c r="V231" s="528"/>
      <c r="W231" s="529"/>
      <c r="AM231" s="1076"/>
    </row>
    <row r="232" spans="1:39" ht="17" thickBot="1">
      <c r="K232" s="712"/>
      <c r="L232" s="833"/>
      <c r="O232" s="526"/>
      <c r="P232" s="526"/>
      <c r="Q232" s="526"/>
      <c r="R232" s="526" t="s">
        <v>2190</v>
      </c>
      <c r="S232" s="584">
        <v>2021</v>
      </c>
      <c r="T232" s="585">
        <v>2022</v>
      </c>
      <c r="U232" s="585">
        <v>2023</v>
      </c>
      <c r="V232" s="585">
        <v>2024</v>
      </c>
      <c r="W232" s="586">
        <v>2025</v>
      </c>
      <c r="AM232" s="1076"/>
    </row>
    <row r="233" spans="1:39" ht="17" thickBot="1">
      <c r="K233" s="712"/>
      <c r="L233" s="833"/>
      <c r="N233" s="1213" t="s">
        <v>469</v>
      </c>
      <c r="O233" s="1204"/>
      <c r="P233" s="1204"/>
      <c r="Q233" s="1204"/>
      <c r="R233" s="1204">
        <f>VLOOKUP(N233,Preturi_medicamente!D:F,3,0)</f>
        <v>0.71</v>
      </c>
      <c r="S233" s="1212">
        <f>S228*$R233</f>
        <v>370939.5</v>
      </c>
      <c r="T233" s="1125">
        <f>T228*$R233</f>
        <v>361482.3</v>
      </c>
      <c r="U233" s="1125">
        <f>U228*$R233</f>
        <v>352536.3</v>
      </c>
      <c r="V233" s="1125">
        <f>V228*$R233</f>
        <v>343909.8</v>
      </c>
      <c r="W233" s="1126">
        <f>W228*$R233</f>
        <v>335475</v>
      </c>
      <c r="AM233" s="1076"/>
    </row>
    <row r="234" spans="1:39" ht="16" thickBot="1">
      <c r="A234" s="2157">
        <v>42</v>
      </c>
      <c r="B234" s="841">
        <f>S234</f>
        <v>370939.5</v>
      </c>
      <c r="C234" s="841">
        <f t="shared" ref="C234:F234" si="157">T234</f>
        <v>361482.3</v>
      </c>
      <c r="D234" s="841">
        <f t="shared" si="157"/>
        <v>352536.3</v>
      </c>
      <c r="E234" s="841">
        <f t="shared" si="157"/>
        <v>343909.8</v>
      </c>
      <c r="F234" s="841">
        <f t="shared" si="157"/>
        <v>335475</v>
      </c>
      <c r="G234" s="841" t="s">
        <v>349</v>
      </c>
      <c r="H234" s="2201" t="s">
        <v>2194</v>
      </c>
      <c r="I234" s="2183"/>
      <c r="J234" s="841" t="s">
        <v>2961</v>
      </c>
      <c r="K234" s="712"/>
      <c r="L234" s="833"/>
      <c r="S234" s="2242">
        <f>SUM(S233:S233)</f>
        <v>370939.5</v>
      </c>
      <c r="T234" s="2243">
        <f>SUM(T233:T233)</f>
        <v>361482.3</v>
      </c>
      <c r="U234" s="2243">
        <f>SUM(U233:U233)</f>
        <v>352536.3</v>
      </c>
      <c r="V234" s="2243">
        <f>SUM(V233:V233)</f>
        <v>343909.8</v>
      </c>
      <c r="W234" s="2244">
        <f>SUM(W233:W233)</f>
        <v>335475</v>
      </c>
      <c r="X234" s="1098">
        <f>SUM(S234:W234)</f>
        <v>1764342.9000000001</v>
      </c>
      <c r="AM234" s="1076"/>
    </row>
    <row r="235" spans="1:39" ht="16" thickBot="1">
      <c r="K235" s="712"/>
      <c r="AM235" s="1076"/>
    </row>
    <row r="236" spans="1:39" ht="22" thickBot="1">
      <c r="K236" s="712"/>
      <c r="L236" s="833"/>
      <c r="M236" s="1208" t="s">
        <v>2195</v>
      </c>
      <c r="S236" s="530" t="s">
        <v>2191</v>
      </c>
      <c r="T236" s="528"/>
      <c r="U236" s="528"/>
      <c r="V236" s="528"/>
      <c r="W236" s="529"/>
      <c r="AM236" s="1076"/>
    </row>
    <row r="237" spans="1:39" ht="35" thickBot="1">
      <c r="K237" s="712"/>
      <c r="L237" s="833"/>
      <c r="M237" s="1103" t="s">
        <v>312</v>
      </c>
      <c r="N237" s="1080" t="s">
        <v>2188</v>
      </c>
      <c r="O237" s="1083" t="s">
        <v>328</v>
      </c>
      <c r="P237" s="1083" t="s">
        <v>327</v>
      </c>
      <c r="Q237" s="1083" t="s">
        <v>329</v>
      </c>
      <c r="R237" s="1104" t="s">
        <v>97</v>
      </c>
      <c r="S237" s="1057">
        <v>2021</v>
      </c>
      <c r="T237" s="1058">
        <v>2022</v>
      </c>
      <c r="U237" s="1058">
        <v>2023</v>
      </c>
      <c r="V237" s="1058">
        <v>2024</v>
      </c>
      <c r="W237" s="1059">
        <v>2025</v>
      </c>
      <c r="AM237" s="1076"/>
    </row>
    <row r="238" spans="1:39" ht="17" thickBot="1">
      <c r="K238" s="712"/>
      <c r="L238" s="1105" t="s">
        <v>2192</v>
      </c>
      <c r="M238" s="1205" t="s">
        <v>469</v>
      </c>
      <c r="N238" s="1106">
        <v>0.5</v>
      </c>
      <c r="O238" s="1220">
        <v>1</v>
      </c>
      <c r="P238" s="1220">
        <v>30</v>
      </c>
      <c r="Q238" s="1220">
        <v>6</v>
      </c>
      <c r="R238" s="1107">
        <f>O238*P238*Q238</f>
        <v>180</v>
      </c>
      <c r="S238" s="1152">
        <f>VLOOKUP($X238,'Estimare cazuri'!$A:$R,S$125,0)*$N238</f>
        <v>62.5</v>
      </c>
      <c r="T238" s="1149">
        <f>VLOOKUP($X238,'Estimare cazuri'!$A:$R,T$125,0)*$N238</f>
        <v>60.5</v>
      </c>
      <c r="U238" s="1149">
        <f>VLOOKUP($X238,'Estimare cazuri'!$A:$R,U$125,0)*$N238</f>
        <v>58</v>
      </c>
      <c r="V238" s="1149">
        <f>VLOOKUP($X238,'Estimare cazuri'!$A:$R,V$125,0)*$N238</f>
        <v>56.5</v>
      </c>
      <c r="W238" s="1150">
        <f>VLOOKUP($X238,'Estimare cazuri'!$A:$R,W$125,0)*$N238</f>
        <v>54.5</v>
      </c>
      <c r="X238" s="1302" t="s">
        <v>2293</v>
      </c>
      <c r="AM238" s="1076"/>
    </row>
    <row r="239" spans="1:39" ht="17" thickBot="1">
      <c r="K239" s="712"/>
      <c r="L239" s="1206" t="s">
        <v>2193</v>
      </c>
      <c r="M239" s="1207" t="s">
        <v>469</v>
      </c>
      <c r="N239" s="1130">
        <v>0.5</v>
      </c>
      <c r="O239" s="1221">
        <v>4</v>
      </c>
      <c r="P239" s="1221">
        <v>30</v>
      </c>
      <c r="Q239" s="1221">
        <v>6</v>
      </c>
      <c r="R239" s="1136">
        <f>O239*P239*Q239</f>
        <v>720</v>
      </c>
      <c r="S239" s="1137">
        <f>VLOOKUP($X239,'Estimare cazuri'!$A:$R,S$125,0)*$N239</f>
        <v>266.5</v>
      </c>
      <c r="T239" s="1138">
        <f>VLOOKUP($X239,'Estimare cazuri'!$A:$R,T$125,0)*$N239</f>
        <v>257.5</v>
      </c>
      <c r="U239" s="1138">
        <f>VLOOKUP($X239,'Estimare cazuri'!$A:$R,U$125,0)*$N239</f>
        <v>248.5</v>
      </c>
      <c r="V239" s="1138">
        <f>VLOOKUP($X239,'Estimare cazuri'!$A:$R,V$125,0)*$N239</f>
        <v>240.5</v>
      </c>
      <c r="W239" s="1139">
        <f>VLOOKUP($X239,'Estimare cazuri'!$A:$R,W$125,0)*$N239</f>
        <v>232.5</v>
      </c>
      <c r="X239" s="1302" t="s">
        <v>2294</v>
      </c>
      <c r="AM239" s="1076"/>
    </row>
    <row r="240" spans="1:39">
      <c r="K240" s="712"/>
      <c r="L240" s="833"/>
      <c r="AM240" s="1076"/>
    </row>
    <row r="241" spans="1:39">
      <c r="K241" s="712"/>
      <c r="L241" s="833"/>
      <c r="AM241" s="1076"/>
    </row>
    <row r="242" spans="1:39" ht="16" thickBot="1">
      <c r="K242" s="712"/>
      <c r="L242" s="833"/>
      <c r="M242" s="960"/>
      <c r="AM242" s="1076"/>
    </row>
    <row r="243" spans="1:39" ht="17" thickBot="1">
      <c r="K243" s="712"/>
      <c r="L243" s="833"/>
      <c r="O243" s="526"/>
      <c r="P243" s="526"/>
      <c r="Q243" s="526"/>
      <c r="R243" s="526"/>
      <c r="S243" s="530" t="s">
        <v>333</v>
      </c>
      <c r="T243" s="528"/>
      <c r="U243" s="528"/>
      <c r="V243" s="528"/>
      <c r="W243" s="529"/>
      <c r="AM243" s="1076"/>
    </row>
    <row r="244" spans="1:39" ht="17" thickBot="1">
      <c r="K244" s="712"/>
      <c r="L244" s="833"/>
      <c r="O244" s="526"/>
      <c r="P244" s="526"/>
      <c r="Q244" s="526"/>
      <c r="R244" s="526"/>
      <c r="S244" s="584">
        <v>2021</v>
      </c>
      <c r="T244" s="585">
        <v>2022</v>
      </c>
      <c r="U244" s="585">
        <v>2023</v>
      </c>
      <c r="V244" s="585">
        <v>2024</v>
      </c>
      <c r="W244" s="586">
        <v>2025</v>
      </c>
      <c r="AM244" s="1076"/>
    </row>
    <row r="245" spans="1:39" ht="17" thickBot="1">
      <c r="K245" s="712"/>
      <c r="L245" s="833"/>
      <c r="N245" s="1213" t="s">
        <v>469</v>
      </c>
      <c r="O245" s="1204"/>
      <c r="P245" s="1204"/>
      <c r="Q245" s="1204"/>
      <c r="R245" s="1204"/>
      <c r="S245" s="1212">
        <f>(S238*$R238)+(S239*$R239)</f>
        <v>203130</v>
      </c>
      <c r="T245" s="1125">
        <f>(T238*$R238)+(T239*$R239)</f>
        <v>196290</v>
      </c>
      <c r="U245" s="1125">
        <f>(U238*$R238)+(U239*$R239)</f>
        <v>189360</v>
      </c>
      <c r="V245" s="1125">
        <f>(V238*$R238)+(V239*$R239)</f>
        <v>183330</v>
      </c>
      <c r="W245" s="1126">
        <f>(W238*$R238)+(W239*$R239)</f>
        <v>177210</v>
      </c>
      <c r="AM245" s="1076"/>
    </row>
    <row r="246" spans="1:39">
      <c r="K246" s="712"/>
      <c r="L246" s="833"/>
      <c r="AM246" s="1076"/>
    </row>
    <row r="247" spans="1:39" ht="16" thickBot="1">
      <c r="K247" s="712"/>
      <c r="L247" s="833"/>
      <c r="AM247" s="1076"/>
    </row>
    <row r="248" spans="1:39" ht="17" thickBot="1">
      <c r="K248" s="712"/>
      <c r="L248" s="833"/>
      <c r="O248" s="526"/>
      <c r="P248" s="526"/>
      <c r="Q248" s="526"/>
      <c r="R248" s="526"/>
      <c r="S248" s="530" t="s">
        <v>2189</v>
      </c>
      <c r="T248" s="528"/>
      <c r="U248" s="528"/>
      <c r="V248" s="528"/>
      <c r="W248" s="529"/>
      <c r="AM248" s="1076"/>
    </row>
    <row r="249" spans="1:39" ht="17" thickBot="1">
      <c r="K249" s="712"/>
      <c r="L249" s="833"/>
      <c r="O249" s="526"/>
      <c r="P249" s="526"/>
      <c r="Q249" s="526"/>
      <c r="R249" s="526" t="s">
        <v>2190</v>
      </c>
      <c r="S249" s="584">
        <v>2021</v>
      </c>
      <c r="T249" s="585">
        <v>2022</v>
      </c>
      <c r="U249" s="585">
        <v>2023</v>
      </c>
      <c r="V249" s="585">
        <v>2024</v>
      </c>
      <c r="W249" s="586">
        <v>2025</v>
      </c>
      <c r="AM249" s="1076"/>
    </row>
    <row r="250" spans="1:39" ht="17" thickBot="1">
      <c r="K250" s="712"/>
      <c r="L250" s="833"/>
      <c r="N250" s="1213" t="s">
        <v>469</v>
      </c>
      <c r="O250" s="1204"/>
      <c r="P250" s="1204"/>
      <c r="Q250" s="1204"/>
      <c r="R250" s="1204">
        <f>VLOOKUP(N250,Preturi_medicamente!D:F,3,0)</f>
        <v>0.71</v>
      </c>
      <c r="S250" s="1212">
        <f>S245*$R250</f>
        <v>144222.29999999999</v>
      </c>
      <c r="T250" s="1125">
        <f>T245*$R250</f>
        <v>139365.9</v>
      </c>
      <c r="U250" s="1125">
        <f>U245*$R250</f>
        <v>134445.6</v>
      </c>
      <c r="V250" s="1125">
        <f>V245*$R250</f>
        <v>130164.29999999999</v>
      </c>
      <c r="W250" s="1126">
        <f>W245*$R250</f>
        <v>125819.09999999999</v>
      </c>
      <c r="AM250" s="1076"/>
    </row>
    <row r="251" spans="1:39" s="431" customFormat="1" ht="16" thickBot="1">
      <c r="A251" s="2202">
        <v>43</v>
      </c>
      <c r="B251" s="2201">
        <f>S251</f>
        <v>144222.29999999999</v>
      </c>
      <c r="C251" s="2201">
        <f>T251</f>
        <v>139365.9</v>
      </c>
      <c r="D251" s="2201">
        <f>U251</f>
        <v>134445.6</v>
      </c>
      <c r="E251" s="2201">
        <f>V251</f>
        <v>130164.29999999999</v>
      </c>
      <c r="F251" s="2201">
        <f>W251</f>
        <v>125819.09999999999</v>
      </c>
      <c r="G251" s="841" t="s">
        <v>513</v>
      </c>
      <c r="H251" s="2201" t="s">
        <v>2195</v>
      </c>
      <c r="I251" s="2204"/>
      <c r="J251" s="841" t="s">
        <v>2961</v>
      </c>
      <c r="K251" s="713"/>
      <c r="L251" s="854"/>
      <c r="S251" s="2242">
        <f>SUM(S250:S250)</f>
        <v>144222.29999999999</v>
      </c>
      <c r="T251" s="2243">
        <f>SUM(T250:T250)</f>
        <v>139365.9</v>
      </c>
      <c r="U251" s="2243">
        <f>SUM(U250:U250)</f>
        <v>134445.6</v>
      </c>
      <c r="V251" s="2243">
        <f>SUM(V250:V250)</f>
        <v>130164.29999999999</v>
      </c>
      <c r="W251" s="2244">
        <f>SUM(W250:W250)</f>
        <v>125819.09999999999</v>
      </c>
      <c r="X251" s="1210">
        <f>SUM(S251:W251)</f>
        <v>674017.19999999984</v>
      </c>
      <c r="AM251" s="1211"/>
    </row>
    <row r="252" spans="1:39">
      <c r="K252" s="712"/>
      <c r="AM252" s="1076"/>
    </row>
    <row r="253" spans="1:39" ht="16" thickBot="1">
      <c r="K253" s="712"/>
      <c r="AM253" s="1076"/>
    </row>
    <row r="254" spans="1:39" ht="21">
      <c r="K254" s="712"/>
      <c r="L254" s="833"/>
      <c r="M254" s="1208" t="s">
        <v>2207</v>
      </c>
      <c r="Q254" s="1302" t="s">
        <v>2295</v>
      </c>
      <c r="S254" s="1303">
        <f>VLOOKUP($Q254,'Estimare cazuri'!$A:$R,S125,0)</f>
        <v>297</v>
      </c>
      <c r="T254" s="1304">
        <f>VLOOKUP($Q254,'Estimare cazuri'!$A:$R,T125,0)</f>
        <v>301</v>
      </c>
      <c r="U254" s="1304">
        <f>VLOOKUP($Q254,'Estimare cazuri'!$A:$R,U125,0)</f>
        <v>305</v>
      </c>
      <c r="V254" s="1304">
        <f>VLOOKUP($Q254,'Estimare cazuri'!$A:$R,V125,0)</f>
        <v>308</v>
      </c>
      <c r="W254" s="1305">
        <f>VLOOKUP($Q254,'Estimare cazuri'!$A:$R,W125,0)</f>
        <v>312</v>
      </c>
      <c r="AM254" s="1076"/>
    </row>
    <row r="255" spans="1:39" ht="21">
      <c r="K255" s="712"/>
      <c r="L255" s="833"/>
      <c r="M255" s="1073"/>
      <c r="Q255" t="s">
        <v>2208</v>
      </c>
      <c r="S255" s="1218">
        <v>1</v>
      </c>
      <c r="T255" s="1218">
        <v>1</v>
      </c>
      <c r="U255" s="1218">
        <v>1</v>
      </c>
      <c r="V255" s="1218">
        <v>1</v>
      </c>
      <c r="W255" s="1219">
        <v>1</v>
      </c>
      <c r="AM255" s="1076"/>
    </row>
    <row r="256" spans="1:39" ht="22" thickBot="1">
      <c r="K256" s="712"/>
      <c r="L256" s="833"/>
      <c r="M256" s="1073"/>
      <c r="Q256" t="s">
        <v>2209</v>
      </c>
      <c r="S256" s="1215">
        <f>ROUND(S254*S255,0)</f>
        <v>297</v>
      </c>
      <c r="T256" s="1133">
        <f t="shared" ref="T256:W256" si="158">ROUND(T254*T255,0)</f>
        <v>301</v>
      </c>
      <c r="U256" s="1133">
        <f t="shared" si="158"/>
        <v>305</v>
      </c>
      <c r="V256" s="1133">
        <f t="shared" si="158"/>
        <v>308</v>
      </c>
      <c r="W256" s="1216">
        <f t="shared" si="158"/>
        <v>312</v>
      </c>
      <c r="AM256" s="1076"/>
    </row>
    <row r="257" spans="11:39" ht="22" thickBot="1">
      <c r="K257" s="712"/>
      <c r="L257" s="833"/>
      <c r="M257" s="1073"/>
      <c r="X257" t="s">
        <v>513</v>
      </c>
      <c r="AD257" s="1758" t="s">
        <v>351</v>
      </c>
      <c r="AE257" s="966"/>
      <c r="AF257" s="966"/>
      <c r="AG257" s="966"/>
      <c r="AH257" s="967"/>
      <c r="AM257" s="1076"/>
    </row>
    <row r="258" spans="11:39" ht="17" thickBot="1">
      <c r="K258" s="712"/>
      <c r="L258"/>
      <c r="S258" s="530" t="s">
        <v>2191</v>
      </c>
      <c r="T258" s="528"/>
      <c r="U258" s="528"/>
      <c r="V258" s="528"/>
      <c r="W258" s="529"/>
      <c r="X258" s="530" t="s">
        <v>2202</v>
      </c>
      <c r="Y258" s="528"/>
      <c r="Z258" s="528"/>
      <c r="AA258" s="528"/>
      <c r="AB258" s="529"/>
      <c r="AD258" s="1049"/>
      <c r="AE258" s="960"/>
      <c r="AF258" s="960"/>
      <c r="AG258" s="960"/>
      <c r="AH258" s="62"/>
      <c r="AM258" s="1076"/>
    </row>
    <row r="259" spans="11:39" ht="35" thickBot="1">
      <c r="K259" s="712"/>
      <c r="L259"/>
      <c r="M259" s="1103" t="s">
        <v>312</v>
      </c>
      <c r="N259" s="1103" t="s">
        <v>354</v>
      </c>
      <c r="O259" s="1083" t="s">
        <v>328</v>
      </c>
      <c r="P259" s="1083" t="s">
        <v>327</v>
      </c>
      <c r="Q259" s="1083" t="s">
        <v>329</v>
      </c>
      <c r="R259" s="1104" t="s">
        <v>97</v>
      </c>
      <c r="S259" s="1057">
        <v>2021</v>
      </c>
      <c r="T259" s="1058">
        <v>2022</v>
      </c>
      <c r="U259" s="1058">
        <v>2023</v>
      </c>
      <c r="V259" s="1058">
        <v>2024</v>
      </c>
      <c r="W259" s="1059">
        <v>2025</v>
      </c>
      <c r="X259" s="1057">
        <v>2021</v>
      </c>
      <c r="Y259" s="1058">
        <v>2022</v>
      </c>
      <c r="Z259" s="1058">
        <v>2023</v>
      </c>
      <c r="AA259" s="1058">
        <v>2024</v>
      </c>
      <c r="AB259" s="1059">
        <v>2025</v>
      </c>
      <c r="AD259" s="2267">
        <v>0.8</v>
      </c>
      <c r="AE259" s="2268">
        <v>0.7</v>
      </c>
      <c r="AF259" s="2268">
        <v>0.6</v>
      </c>
      <c r="AG259" s="2269"/>
      <c r="AH259" s="2270"/>
      <c r="AM259" s="1076"/>
    </row>
    <row r="260" spans="11:39" ht="18" thickBot="1">
      <c r="K260" s="712"/>
      <c r="L260"/>
      <c r="M260" s="1124" t="s">
        <v>320</v>
      </c>
      <c r="N260" s="1239">
        <v>0.05</v>
      </c>
      <c r="O260" s="1202">
        <v>1</v>
      </c>
      <c r="P260" s="1202">
        <v>30</v>
      </c>
      <c r="Q260" s="1202">
        <v>6</v>
      </c>
      <c r="R260" s="1176">
        <f t="shared" ref="R260:R265" si="159">O260*P260*Q260</f>
        <v>180</v>
      </c>
      <c r="S260" s="1167">
        <f>ROUND(S256*$N260,0)</f>
        <v>15</v>
      </c>
      <c r="T260" s="1168">
        <f t="shared" ref="T260:W260" si="160">ROUND(T256*$N260,0)</f>
        <v>15</v>
      </c>
      <c r="U260" s="1168">
        <f t="shared" si="160"/>
        <v>15</v>
      </c>
      <c r="V260" s="1168">
        <f t="shared" si="160"/>
        <v>15</v>
      </c>
      <c r="W260" s="1169">
        <f t="shared" si="160"/>
        <v>16</v>
      </c>
      <c r="X260" s="1167">
        <f>S260*$R260</f>
        <v>2700</v>
      </c>
      <c r="Y260" s="1168">
        <f t="shared" ref="Y260:Y262" si="161">T260*$R260</f>
        <v>2700</v>
      </c>
      <c r="Z260" s="1168">
        <f t="shared" ref="Z260:Z262" si="162">U260*$R260</f>
        <v>2700</v>
      </c>
      <c r="AA260" s="1168">
        <f t="shared" ref="AA260:AA262" si="163">V260*$R260</f>
        <v>2700</v>
      </c>
      <c r="AB260" s="1169">
        <f t="shared" ref="AB260:AB262" si="164">W260*$R260</f>
        <v>2880</v>
      </c>
      <c r="AD260" s="2264"/>
      <c r="AE260" s="1025"/>
      <c r="AF260" s="1025"/>
      <c r="AG260" s="1025"/>
      <c r="AH260" s="1903"/>
      <c r="AM260" s="1076"/>
    </row>
    <row r="261" spans="11:39" ht="17" thickBot="1">
      <c r="K261" s="712"/>
      <c r="L261"/>
      <c r="M261" s="1257" t="s">
        <v>2237</v>
      </c>
      <c r="N261" s="1239">
        <v>0.8</v>
      </c>
      <c r="O261" s="1203">
        <v>3</v>
      </c>
      <c r="P261" s="1203">
        <v>12</v>
      </c>
      <c r="Q261" s="1203">
        <v>3</v>
      </c>
      <c r="R261" s="1176">
        <f t="shared" si="159"/>
        <v>108</v>
      </c>
      <c r="S261" s="1167">
        <f>ROUND(S256*$N261,0)-AD261</f>
        <v>48</v>
      </c>
      <c r="T261" s="1167">
        <f t="shared" ref="T261:W261" si="165">ROUND(T256*$N261,0)-AE261</f>
        <v>72</v>
      </c>
      <c r="U261" s="1167">
        <f t="shared" si="165"/>
        <v>98</v>
      </c>
      <c r="V261" s="1167">
        <f t="shared" si="165"/>
        <v>246</v>
      </c>
      <c r="W261" s="1167">
        <f t="shared" si="165"/>
        <v>250</v>
      </c>
      <c r="X261" s="1167">
        <f>S261*$R261</f>
        <v>5184</v>
      </c>
      <c r="Y261" s="1168">
        <f t="shared" si="161"/>
        <v>7776</v>
      </c>
      <c r="Z261" s="1168">
        <f t="shared" si="162"/>
        <v>10584</v>
      </c>
      <c r="AA261" s="1168">
        <f t="shared" si="163"/>
        <v>26568</v>
      </c>
      <c r="AB261" s="1169">
        <f t="shared" si="164"/>
        <v>27000</v>
      </c>
      <c r="AD261" s="2254">
        <f>ROUND(S256*$N261*AD259,0)</f>
        <v>190</v>
      </c>
      <c r="AE261" s="2236">
        <f t="shared" ref="AE261:AH261" si="166">ROUND(T256*$N261*AE259,0)</f>
        <v>169</v>
      </c>
      <c r="AF261" s="2236">
        <f t="shared" si="166"/>
        <v>146</v>
      </c>
      <c r="AG261" s="2236">
        <f t="shared" si="166"/>
        <v>0</v>
      </c>
      <c r="AH261" s="2255">
        <f t="shared" si="166"/>
        <v>0</v>
      </c>
      <c r="AM261" s="1076"/>
    </row>
    <row r="262" spans="11:39" ht="17">
      <c r="K262" s="712"/>
      <c r="L262"/>
      <c r="M262" s="1147" t="s">
        <v>2201</v>
      </c>
      <c r="N262" s="2666">
        <v>0.1</v>
      </c>
      <c r="O262" s="1201">
        <v>6</v>
      </c>
      <c r="P262" s="1201">
        <v>12</v>
      </c>
      <c r="Q262" s="1201">
        <v>3</v>
      </c>
      <c r="R262" s="1173">
        <f t="shared" si="159"/>
        <v>216</v>
      </c>
      <c r="S262" s="2668">
        <f>ROUND(S256*$N262,0)</f>
        <v>30</v>
      </c>
      <c r="T262" s="2670">
        <f t="shared" ref="T262:W262" si="167">ROUND(T256*$N262,0)</f>
        <v>30</v>
      </c>
      <c r="U262" s="2670">
        <f t="shared" si="167"/>
        <v>31</v>
      </c>
      <c r="V262" s="2670">
        <f t="shared" si="167"/>
        <v>31</v>
      </c>
      <c r="W262" s="2664">
        <f t="shared" si="167"/>
        <v>31</v>
      </c>
      <c r="X262" s="1155">
        <f>S262*$R262</f>
        <v>6480</v>
      </c>
      <c r="Y262" s="1156">
        <f t="shared" si="161"/>
        <v>6480</v>
      </c>
      <c r="Z262" s="1156">
        <f t="shared" si="162"/>
        <v>6696</v>
      </c>
      <c r="AA262" s="1156">
        <f t="shared" si="163"/>
        <v>6696</v>
      </c>
      <c r="AB262" s="1157">
        <f t="shared" si="164"/>
        <v>6696</v>
      </c>
      <c r="AD262" s="2264"/>
      <c r="AE262" s="1025"/>
      <c r="AF262" s="1025"/>
      <c r="AG262" s="1025"/>
      <c r="AH262" s="1903"/>
      <c r="AM262" s="1076"/>
    </row>
    <row r="263" spans="11:39" ht="18" thickBot="1">
      <c r="K263" s="712"/>
      <c r="L263"/>
      <c r="M263" s="1135" t="s">
        <v>320</v>
      </c>
      <c r="N263" s="2667"/>
      <c r="O263" s="1199">
        <v>3</v>
      </c>
      <c r="P263" s="1199">
        <v>12</v>
      </c>
      <c r="Q263" s="1199">
        <v>3</v>
      </c>
      <c r="R263" s="1174">
        <f t="shared" si="159"/>
        <v>108</v>
      </c>
      <c r="S263" s="2669"/>
      <c r="T263" s="2671"/>
      <c r="U263" s="2671"/>
      <c r="V263" s="2671"/>
      <c r="W263" s="2665"/>
      <c r="X263" s="1158">
        <f>S262*$R263</f>
        <v>3240</v>
      </c>
      <c r="Y263" s="1159">
        <f t="shared" ref="Y263" si="168">T262*$R263</f>
        <v>3240</v>
      </c>
      <c r="Z263" s="1159">
        <f t="shared" ref="Z263" si="169">U262*$R263</f>
        <v>3348</v>
      </c>
      <c r="AA263" s="1159">
        <f t="shared" ref="AA263" si="170">V262*$R263</f>
        <v>3348</v>
      </c>
      <c r="AB263" s="1160">
        <f t="shared" ref="AB263" si="171">W262*$R263</f>
        <v>3348</v>
      </c>
      <c r="AD263" s="1049"/>
      <c r="AE263" s="960"/>
      <c r="AF263" s="960"/>
      <c r="AG263" s="960"/>
      <c r="AH263" s="62"/>
      <c r="AM263" s="1076"/>
    </row>
    <row r="264" spans="11:39" ht="32" customHeight="1" thickBot="1">
      <c r="K264" s="712"/>
      <c r="L264"/>
      <c r="M264" s="1124" t="s">
        <v>319</v>
      </c>
      <c r="N264" s="1240">
        <v>0.05</v>
      </c>
      <c r="O264" s="1202">
        <v>2</v>
      </c>
      <c r="P264" s="1202">
        <v>30</v>
      </c>
      <c r="Q264" s="1202">
        <v>4</v>
      </c>
      <c r="R264" s="1176">
        <f t="shared" si="159"/>
        <v>240</v>
      </c>
      <c r="S264" s="1167">
        <f>ROUND(S256*$N264,0)</f>
        <v>15</v>
      </c>
      <c r="T264" s="1168">
        <f t="shared" ref="T264:W264" si="172">ROUND(T256*$N264,0)</f>
        <v>15</v>
      </c>
      <c r="U264" s="1168">
        <f t="shared" si="172"/>
        <v>15</v>
      </c>
      <c r="V264" s="1168">
        <f t="shared" si="172"/>
        <v>15</v>
      </c>
      <c r="W264" s="1169">
        <f t="shared" si="172"/>
        <v>16</v>
      </c>
      <c r="X264" s="1167">
        <f>S264*$R264</f>
        <v>3600</v>
      </c>
      <c r="Y264" s="1168">
        <f t="shared" ref="Y264:Y265" si="173">T264*$R264</f>
        <v>3600</v>
      </c>
      <c r="Z264" s="1168">
        <f t="shared" ref="Z264:Z265" si="174">U264*$R264</f>
        <v>3600</v>
      </c>
      <c r="AA264" s="1168">
        <f t="shared" ref="AA264:AA265" si="175">V264*$R264</f>
        <v>3600</v>
      </c>
      <c r="AB264" s="1169">
        <f t="shared" ref="AB264:AB265" si="176">W264*$R264</f>
        <v>3840</v>
      </c>
      <c r="AD264" s="1049"/>
      <c r="AE264" s="960"/>
      <c r="AF264" s="960"/>
      <c r="AG264" s="960"/>
      <c r="AH264" s="62"/>
      <c r="AM264" s="1076"/>
    </row>
    <row r="265" spans="11:39" ht="17" thickBot="1">
      <c r="K265" s="712"/>
      <c r="L265"/>
      <c r="M265" s="1214" t="s">
        <v>2177</v>
      </c>
      <c r="N265" s="1185"/>
      <c r="O265" s="1263">
        <v>1</v>
      </c>
      <c r="P265" s="1263">
        <v>30</v>
      </c>
      <c r="Q265" s="1263">
        <v>4</v>
      </c>
      <c r="R265" s="1194">
        <f t="shared" si="159"/>
        <v>120</v>
      </c>
      <c r="S265" s="1195">
        <f>S261+S260+S262+AD261</f>
        <v>283</v>
      </c>
      <c r="T265" s="1196">
        <f t="shared" ref="T265:W265" si="177">T261+T260+T262+AE261</f>
        <v>286</v>
      </c>
      <c r="U265" s="1196">
        <f t="shared" si="177"/>
        <v>290</v>
      </c>
      <c r="V265" s="1196">
        <f t="shared" si="177"/>
        <v>292</v>
      </c>
      <c r="W265" s="1197">
        <f t="shared" si="177"/>
        <v>297</v>
      </c>
      <c r="X265" s="1187">
        <f>S265*$R265</f>
        <v>33960</v>
      </c>
      <c r="Y265" s="1188">
        <f t="shared" si="173"/>
        <v>34320</v>
      </c>
      <c r="Z265" s="1188">
        <f t="shared" si="174"/>
        <v>34800</v>
      </c>
      <c r="AA265" s="1188">
        <f t="shared" si="175"/>
        <v>35040</v>
      </c>
      <c r="AB265" s="1189">
        <f t="shared" si="176"/>
        <v>35640</v>
      </c>
      <c r="AD265" s="1049"/>
      <c r="AE265" s="960"/>
      <c r="AF265" s="960"/>
      <c r="AG265" s="960"/>
      <c r="AH265" s="62"/>
      <c r="AM265" s="1076"/>
    </row>
    <row r="266" spans="11:39">
      <c r="K266" s="712"/>
      <c r="L266"/>
      <c r="N266" s="734" t="str">
        <f>IF(SUM(N260:N264)=1,"ok","% sumar nu este =100%")</f>
        <v>ok</v>
      </c>
      <c r="X266" s="1307">
        <f>SUM(X260:X265)</f>
        <v>55164</v>
      </c>
      <c r="Y266" s="1307">
        <f t="shared" ref="Y266:AB266" si="178">SUM(Y260:Y265)</f>
        <v>58116</v>
      </c>
      <c r="Z266" s="1307">
        <f t="shared" si="178"/>
        <v>61728</v>
      </c>
      <c r="AA266" s="1307">
        <f t="shared" si="178"/>
        <v>77952</v>
      </c>
      <c r="AB266" s="1307">
        <f t="shared" si="178"/>
        <v>79404</v>
      </c>
      <c r="AD266" s="1049"/>
      <c r="AE266" s="960"/>
      <c r="AF266" s="960"/>
      <c r="AG266" s="960"/>
      <c r="AH266" s="62"/>
      <c r="AM266" s="1076"/>
    </row>
    <row r="267" spans="11:39" ht="16" thickBot="1">
      <c r="K267" s="712"/>
      <c r="L267" s="833"/>
      <c r="AB267" s="1808"/>
      <c r="AC267" s="1808"/>
      <c r="AD267" s="1049"/>
      <c r="AE267" s="960"/>
      <c r="AF267" s="960"/>
      <c r="AG267" s="960"/>
      <c r="AH267" s="62"/>
      <c r="AM267" s="1076"/>
    </row>
    <row r="268" spans="11:39" ht="17" thickBot="1">
      <c r="K268" s="712"/>
      <c r="L268" s="833"/>
      <c r="M268" s="960"/>
      <c r="N268" s="526"/>
      <c r="O268" s="526"/>
      <c r="P268" s="526"/>
      <c r="Q268" s="526"/>
      <c r="R268" s="526"/>
      <c r="S268" s="530" t="s">
        <v>333</v>
      </c>
      <c r="T268" s="528"/>
      <c r="U268" s="528"/>
      <c r="V268" s="528"/>
      <c r="W268" s="529"/>
      <c r="AB268" s="1808"/>
      <c r="AC268" s="1808"/>
      <c r="AD268" s="2247"/>
      <c r="AE268" s="1084"/>
      <c r="AF268" s="1084"/>
      <c r="AG268" s="1084"/>
      <c r="AH268" s="2248"/>
      <c r="AM268" s="1076"/>
    </row>
    <row r="269" spans="11:39" ht="17" thickBot="1">
      <c r="K269" s="712"/>
      <c r="L269"/>
      <c r="N269" s="526"/>
      <c r="O269" s="526"/>
      <c r="P269" s="526"/>
      <c r="Q269" s="526"/>
      <c r="R269" s="526"/>
      <c r="S269" s="584">
        <v>2021</v>
      </c>
      <c r="T269" s="585">
        <v>2022</v>
      </c>
      <c r="U269" s="585">
        <v>2023</v>
      </c>
      <c r="V269" s="585">
        <v>2024</v>
      </c>
      <c r="W269" s="586">
        <v>2025</v>
      </c>
      <c r="AB269" s="1808"/>
      <c r="AC269" s="1808"/>
      <c r="AD269" s="1057">
        <v>2021</v>
      </c>
      <c r="AE269" s="1058">
        <v>2022</v>
      </c>
      <c r="AF269" s="1058">
        <v>2023</v>
      </c>
      <c r="AG269" s="1058">
        <v>2024</v>
      </c>
      <c r="AH269" s="1059">
        <v>2025</v>
      </c>
      <c r="AM269" s="1076"/>
    </row>
    <row r="270" spans="11:39" ht="16">
      <c r="K270" s="712"/>
      <c r="L270"/>
      <c r="N270" s="1258" t="s">
        <v>320</v>
      </c>
      <c r="O270" s="1084"/>
      <c r="P270" s="1084"/>
      <c r="Q270" s="1084"/>
      <c r="R270" s="1084"/>
      <c r="S270" s="1152">
        <f>SUMIF($M$260:$M$265,$N270,X$260:X$265)</f>
        <v>5940</v>
      </c>
      <c r="T270" s="1149">
        <f t="shared" ref="T270:W270" si="179">SUMIF($M$260:$M$265,$N270,Y$260:Y$265)</f>
        <v>5940</v>
      </c>
      <c r="U270" s="1149">
        <f t="shared" si="179"/>
        <v>6048</v>
      </c>
      <c r="V270" s="1149">
        <f t="shared" si="179"/>
        <v>6048</v>
      </c>
      <c r="W270" s="1150">
        <f t="shared" si="179"/>
        <v>6228</v>
      </c>
      <c r="AB270" s="1808"/>
      <c r="AC270" s="1808"/>
      <c r="AD270" s="2249"/>
      <c r="AE270" s="1149"/>
      <c r="AF270" s="1149"/>
      <c r="AG270" s="1149"/>
      <c r="AH270" s="2250"/>
      <c r="AM270" s="1076"/>
    </row>
    <row r="271" spans="11:39" ht="16">
      <c r="K271" s="712"/>
      <c r="L271"/>
      <c r="N271" s="1261" t="s">
        <v>2237</v>
      </c>
      <c r="O271" s="591"/>
      <c r="P271" s="591"/>
      <c r="Q271" s="591"/>
      <c r="R271" s="591"/>
      <c r="S271" s="1140">
        <f>SUMIF($M$260:$M$265,$N271,X$260:X$265)</f>
        <v>5184</v>
      </c>
      <c r="T271" s="1141">
        <f t="shared" ref="T271:T274" si="180">SUMIF($M$260:$M$265,$N271,Y$260:Y$265)</f>
        <v>7776</v>
      </c>
      <c r="U271" s="1141">
        <f t="shared" ref="U271:U274" si="181">SUMIF($M$260:$M$265,$N271,Z$260:Z$265)</f>
        <v>10584</v>
      </c>
      <c r="V271" s="1141">
        <f t="shared" ref="V271:V274" si="182">SUMIF($M$260:$M$265,$N271,AA$260:AA$265)</f>
        <v>26568</v>
      </c>
      <c r="W271" s="1142">
        <f t="shared" ref="W271:W274" si="183">SUMIF($M$260:$M$265,$N271,AB$260:AB$265)</f>
        <v>27000</v>
      </c>
      <c r="AB271" s="1808"/>
      <c r="AC271" s="1808"/>
      <c r="AD271" s="1140">
        <f>AD261*$R261</f>
        <v>20520</v>
      </c>
      <c r="AE271" s="1141">
        <f>AE261*$R261</f>
        <v>18252</v>
      </c>
      <c r="AF271" s="1141">
        <f>AF261*$R261</f>
        <v>15768</v>
      </c>
      <c r="AG271" s="1141">
        <f>AG261*$R261</f>
        <v>0</v>
      </c>
      <c r="AH271" s="1142">
        <f>AH261*$R261</f>
        <v>0</v>
      </c>
      <c r="AI271" s="1098"/>
      <c r="AM271" s="1076"/>
    </row>
    <row r="272" spans="11:39" ht="16">
      <c r="K272" s="712"/>
      <c r="L272"/>
      <c r="N272" s="1259" t="s">
        <v>2201</v>
      </c>
      <c r="O272" s="591"/>
      <c r="P272" s="591"/>
      <c r="Q272" s="591"/>
      <c r="R272" s="591"/>
      <c r="S272" s="1143">
        <f>SUMIF($M$260:$M$265,$N272,X$260:X$265)</f>
        <v>6480</v>
      </c>
      <c r="T272" s="1144">
        <f t="shared" si="180"/>
        <v>6480</v>
      </c>
      <c r="U272" s="1144">
        <f t="shared" si="181"/>
        <v>6696</v>
      </c>
      <c r="V272" s="1144">
        <f t="shared" si="182"/>
        <v>6696</v>
      </c>
      <c r="W272" s="1145">
        <f t="shared" si="183"/>
        <v>6696</v>
      </c>
      <c r="AB272" s="1808"/>
      <c r="AC272" s="1808"/>
      <c r="AD272" s="1049"/>
      <c r="AE272" s="960"/>
      <c r="AF272" s="960"/>
      <c r="AG272" s="960"/>
      <c r="AH272" s="62"/>
      <c r="AM272" s="1076"/>
    </row>
    <row r="273" spans="1:39" ht="16">
      <c r="K273" s="712"/>
      <c r="L273"/>
      <c r="N273" s="1259" t="s">
        <v>319</v>
      </c>
      <c r="O273" s="591"/>
      <c r="P273" s="591"/>
      <c r="Q273" s="591"/>
      <c r="R273" s="591"/>
      <c r="S273" s="1143">
        <f>SUMIF($M$260:$M$265,$N273,X$260:X$265)</f>
        <v>3600</v>
      </c>
      <c r="T273" s="1144">
        <f t="shared" si="180"/>
        <v>3600</v>
      </c>
      <c r="U273" s="1144">
        <f t="shared" si="181"/>
        <v>3600</v>
      </c>
      <c r="V273" s="1144">
        <f t="shared" si="182"/>
        <v>3600</v>
      </c>
      <c r="W273" s="1145">
        <f t="shared" si="183"/>
        <v>3840</v>
      </c>
      <c r="AB273" s="1808"/>
      <c r="AC273" s="1808"/>
      <c r="AD273" s="2265"/>
      <c r="AE273" s="2263"/>
      <c r="AF273" s="2263"/>
      <c r="AG273" s="2263"/>
      <c r="AH273" s="2266"/>
      <c r="AM273" s="1076"/>
    </row>
    <row r="274" spans="1:39" ht="17" thickBot="1">
      <c r="K274" s="712"/>
      <c r="L274" s="833"/>
      <c r="N274" s="1260" t="s">
        <v>2177</v>
      </c>
      <c r="O274" s="596"/>
      <c r="P274" s="596"/>
      <c r="Q274" s="596"/>
      <c r="R274" s="596"/>
      <c r="S274" s="1111">
        <f>SUMIF($M$260:$M$265,$N274,X$260:X$265)</f>
        <v>33960</v>
      </c>
      <c r="T274" s="1112">
        <f t="shared" si="180"/>
        <v>34320</v>
      </c>
      <c r="U274" s="1112">
        <f t="shared" si="181"/>
        <v>34800</v>
      </c>
      <c r="V274" s="1112">
        <f t="shared" si="182"/>
        <v>35040</v>
      </c>
      <c r="W274" s="1113">
        <f t="shared" si="183"/>
        <v>35640</v>
      </c>
      <c r="AB274" s="1808"/>
      <c r="AC274" s="1808"/>
      <c r="AD274" s="2265"/>
      <c r="AE274" s="2263"/>
      <c r="AF274" s="2263"/>
      <c r="AG274" s="2263"/>
      <c r="AH274" s="2266"/>
      <c r="AM274" s="1076"/>
    </row>
    <row r="275" spans="1:39">
      <c r="K275" s="712"/>
      <c r="L275" s="833"/>
      <c r="S275" s="1307">
        <f>SUM(S270:S274)</f>
        <v>55164</v>
      </c>
      <c r="T275" s="1307">
        <f t="shared" ref="T275:W275" si="184">SUM(T270:T274)</f>
        <v>58116</v>
      </c>
      <c r="U275" s="1307">
        <f t="shared" si="184"/>
        <v>61728</v>
      </c>
      <c r="V275" s="1307">
        <f t="shared" si="184"/>
        <v>77952</v>
      </c>
      <c r="W275" s="1307">
        <f t="shared" si="184"/>
        <v>79404</v>
      </c>
      <c r="AB275" s="1808"/>
      <c r="AC275" s="1808"/>
      <c r="AD275" s="1049"/>
      <c r="AE275" s="960"/>
      <c r="AF275" s="960"/>
      <c r="AG275" s="960"/>
      <c r="AH275" s="62"/>
      <c r="AM275" s="1076"/>
    </row>
    <row r="276" spans="1:39" ht="16" thickBot="1">
      <c r="K276" s="712"/>
      <c r="L276" s="833"/>
      <c r="AB276" s="1808"/>
      <c r="AC276" s="1808"/>
      <c r="AD276" s="1049"/>
      <c r="AE276" s="960"/>
      <c r="AF276" s="960"/>
      <c r="AG276" s="960"/>
      <c r="AH276" s="62"/>
      <c r="AM276" s="1076"/>
    </row>
    <row r="277" spans="1:39" ht="17" thickBot="1">
      <c r="K277" s="712"/>
      <c r="L277" s="833"/>
      <c r="N277" s="526"/>
      <c r="O277" s="526"/>
      <c r="P277" s="526"/>
      <c r="Q277" s="526"/>
      <c r="R277" s="526"/>
      <c r="S277" s="530" t="s">
        <v>2189</v>
      </c>
      <c r="T277" s="528"/>
      <c r="U277" s="528"/>
      <c r="V277" s="528"/>
      <c r="W277" s="529"/>
      <c r="AB277" s="1808"/>
      <c r="AC277" s="1808"/>
      <c r="AD277" s="2247"/>
      <c r="AE277" s="1084"/>
      <c r="AF277" s="1084"/>
      <c r="AG277" s="1084"/>
      <c r="AH277" s="2248"/>
      <c r="AM277" s="1076"/>
    </row>
    <row r="278" spans="1:39" ht="17" thickBot="1">
      <c r="K278" s="712"/>
      <c r="L278" s="833"/>
      <c r="N278" s="526"/>
      <c r="O278" s="526"/>
      <c r="P278" s="526"/>
      <c r="Q278" s="526"/>
      <c r="R278" s="526" t="s">
        <v>2190</v>
      </c>
      <c r="S278" s="584">
        <v>2021</v>
      </c>
      <c r="T278" s="585">
        <v>2022</v>
      </c>
      <c r="U278" s="585">
        <v>2023</v>
      </c>
      <c r="V278" s="585">
        <v>2024</v>
      </c>
      <c r="W278" s="586">
        <v>2025</v>
      </c>
      <c r="AB278" s="1808"/>
      <c r="AC278" s="1808" t="s">
        <v>3738</v>
      </c>
      <c r="AD278" s="1046">
        <v>2021</v>
      </c>
      <c r="AE278" s="2272">
        <v>2022</v>
      </c>
      <c r="AF278" s="2272">
        <v>2023</v>
      </c>
      <c r="AG278" s="2272">
        <v>2024</v>
      </c>
      <c r="AH278" s="2273">
        <v>2025</v>
      </c>
      <c r="AM278" s="1076"/>
    </row>
    <row r="279" spans="1:39" ht="16">
      <c r="K279" s="712"/>
      <c r="L279" s="833"/>
      <c r="N279" s="1094" t="str">
        <f>N270</f>
        <v>Isoniazid  300mg  Film uncoated tablet(s)</v>
      </c>
      <c r="O279" s="1084"/>
      <c r="P279" s="1084"/>
      <c r="Q279" s="1084"/>
      <c r="R279" s="980">
        <f>VLOOKUP(N279,Preturi_medicamente!D:F,3,0)</f>
        <v>0.22</v>
      </c>
      <c r="S279" s="1127">
        <f>S270*$R279</f>
        <v>1306.8</v>
      </c>
      <c r="T279" s="1128">
        <f t="shared" ref="T279:W279" si="185">T270*$R279</f>
        <v>1306.8</v>
      </c>
      <c r="U279" s="1128">
        <f t="shared" si="185"/>
        <v>1330.56</v>
      </c>
      <c r="V279" s="1128">
        <f t="shared" si="185"/>
        <v>1330.56</v>
      </c>
      <c r="W279" s="1129">
        <f t="shared" si="185"/>
        <v>1370.16</v>
      </c>
      <c r="AB279" s="1808"/>
      <c r="AC279" s="1808"/>
      <c r="AD279" s="2274"/>
      <c r="AE279" s="2271"/>
      <c r="AF279" s="2271"/>
      <c r="AG279" s="2271"/>
      <c r="AH279" s="2275"/>
      <c r="AM279" s="1076"/>
    </row>
    <row r="280" spans="1:39" ht="16">
      <c r="K280" s="712"/>
      <c r="L280" s="833"/>
      <c r="N280" s="1099" t="str">
        <f t="shared" ref="N280:N283" si="186">N271</f>
        <v>Rifapentine/Isoniazid 300mg/300mg, Film coated tablet(s)</v>
      </c>
      <c r="O280" s="591"/>
      <c r="P280" s="591"/>
      <c r="Q280" s="591"/>
      <c r="R280" s="1081">
        <f>VLOOKUP(N280,Preturi_medicamente!D:F,3,0)</f>
        <v>7.38</v>
      </c>
      <c r="S280" s="1088">
        <f>S271*$R280</f>
        <v>38257.919999999998</v>
      </c>
      <c r="T280" s="1089">
        <f t="shared" ref="T280:W280" si="187">T271*$R280</f>
        <v>57386.879999999997</v>
      </c>
      <c r="U280" s="1089">
        <f t="shared" si="187"/>
        <v>78109.919999999998</v>
      </c>
      <c r="V280" s="1089">
        <f t="shared" si="187"/>
        <v>196071.84</v>
      </c>
      <c r="W280" s="1090">
        <f t="shared" si="187"/>
        <v>199260</v>
      </c>
      <c r="AB280" s="1808"/>
      <c r="AC280" s="1808">
        <f>VLOOKUP(N280,Preturi_medicamente!D:M,10,0)</f>
        <v>0.42</v>
      </c>
      <c r="AD280" s="1088">
        <f>AD271*$AC280</f>
        <v>8618.4</v>
      </c>
      <c r="AE280" s="1089">
        <f>AE271*$AC280</f>
        <v>7665.84</v>
      </c>
      <c r="AF280" s="1089">
        <f>AF271*$AC280</f>
        <v>6622.5599999999995</v>
      </c>
      <c r="AG280" s="1089">
        <f>AG271*$AC280</f>
        <v>0</v>
      </c>
      <c r="AH280" s="1090">
        <f>AH271*$AC280</f>
        <v>0</v>
      </c>
      <c r="AL280" s="1098">
        <f>SUM(AD280:AJ280)</f>
        <v>22906.799999999999</v>
      </c>
      <c r="AM280" s="1076"/>
    </row>
    <row r="281" spans="1:39" ht="16">
      <c r="K281" s="712"/>
      <c r="L281" s="833"/>
      <c r="N281" s="1099" t="str">
        <f t="shared" si="186"/>
        <v>Rifapentine, 150 mg, Film coated tablet</v>
      </c>
      <c r="O281" s="591"/>
      <c r="P281" s="591"/>
      <c r="Q281" s="591"/>
      <c r="R281" s="1081">
        <f>VLOOKUP(N281,Preturi_medicamente!D:F,3,0)</f>
        <v>11.07</v>
      </c>
      <c r="S281" s="1118">
        <f t="shared" ref="S281" si="188">S272*$R281</f>
        <v>71733.600000000006</v>
      </c>
      <c r="T281" s="1119">
        <f t="shared" ref="T281:W281" si="189">T272*$R281</f>
        <v>71733.600000000006</v>
      </c>
      <c r="U281" s="1119">
        <f t="shared" si="189"/>
        <v>74124.72</v>
      </c>
      <c r="V281" s="1119">
        <f t="shared" si="189"/>
        <v>74124.72</v>
      </c>
      <c r="W281" s="1120">
        <f t="shared" si="189"/>
        <v>74124.72</v>
      </c>
      <c r="AB281" s="1808"/>
      <c r="AD281" s="1049"/>
      <c r="AE281" s="960"/>
      <c r="AF281" s="960"/>
      <c r="AG281" s="960"/>
      <c r="AH281" s="62"/>
      <c r="AM281" s="1076"/>
    </row>
    <row r="282" spans="1:39" ht="16">
      <c r="K282" s="712"/>
      <c r="L282" s="833"/>
      <c r="N282" s="1099" t="str">
        <f t="shared" si="186"/>
        <v>Rifampicin  300mg  Film coated tablet(s)</v>
      </c>
      <c r="O282" s="591"/>
      <c r="P282" s="591"/>
      <c r="Q282" s="591"/>
      <c r="R282" s="1081">
        <f>VLOOKUP(N282,Preturi_medicamente!D:F,3,0)</f>
        <v>2.0499999999999998</v>
      </c>
      <c r="S282" s="1118">
        <f t="shared" ref="S282" si="190">S273*$R282</f>
        <v>7379.9999999999991</v>
      </c>
      <c r="T282" s="1119">
        <f t="shared" ref="T282:W282" si="191">T273*$R282</f>
        <v>7379.9999999999991</v>
      </c>
      <c r="U282" s="1119">
        <f t="shared" si="191"/>
        <v>7379.9999999999991</v>
      </c>
      <c r="V282" s="1119">
        <f t="shared" si="191"/>
        <v>7379.9999999999991</v>
      </c>
      <c r="W282" s="1120">
        <f t="shared" si="191"/>
        <v>7871.9999999999991</v>
      </c>
      <c r="AB282" s="1808"/>
      <c r="AC282" s="1808"/>
      <c r="AD282" s="2274"/>
      <c r="AE282" s="2271"/>
      <c r="AF282" s="2271"/>
      <c r="AG282" s="2271"/>
      <c r="AH282" s="2275"/>
      <c r="AM282" s="1076"/>
    </row>
    <row r="283" spans="1:39" ht="17" thickBot="1">
      <c r="K283" s="712"/>
      <c r="L283" s="833"/>
      <c r="N283" s="1209" t="str">
        <f t="shared" si="186"/>
        <v>Pyridoxine, 100 mg, Uncoated tablet(s)</v>
      </c>
      <c r="O283" s="596"/>
      <c r="P283" s="596"/>
      <c r="Q283" s="596"/>
      <c r="R283" s="1097">
        <f>VLOOKUP(N283,Preturi_medicamente!D:F,3,0)</f>
        <v>0.5</v>
      </c>
      <c r="S283" s="1091">
        <f t="shared" ref="S283" si="192">S274*$R283</f>
        <v>16980</v>
      </c>
      <c r="T283" s="1092">
        <f t="shared" ref="T283:W283" si="193">T274*$R283</f>
        <v>17160</v>
      </c>
      <c r="U283" s="1092">
        <f t="shared" si="193"/>
        <v>17400</v>
      </c>
      <c r="V283" s="1092">
        <f t="shared" si="193"/>
        <v>17520</v>
      </c>
      <c r="W283" s="1093">
        <f t="shared" si="193"/>
        <v>17820</v>
      </c>
      <c r="AB283" s="1808"/>
      <c r="AC283" s="1808"/>
      <c r="AD283" s="2274"/>
      <c r="AE283" s="2271"/>
      <c r="AF283" s="2271"/>
      <c r="AG283" s="2271"/>
      <c r="AH283" s="2275"/>
      <c r="AM283" s="1076"/>
    </row>
    <row r="284" spans="1:39" ht="17" thickBot="1">
      <c r="A284" s="2202">
        <v>44</v>
      </c>
      <c r="B284" s="2201">
        <f>S284</f>
        <v>135658.32</v>
      </c>
      <c r="C284" s="2201">
        <f t="shared" ref="C284:F284" si="194">T284</f>
        <v>154967.28</v>
      </c>
      <c r="D284" s="2201">
        <f t="shared" si="194"/>
        <v>178345.2</v>
      </c>
      <c r="E284" s="2201">
        <f t="shared" si="194"/>
        <v>296427.12</v>
      </c>
      <c r="F284" s="2201">
        <f t="shared" si="194"/>
        <v>300446.88</v>
      </c>
      <c r="G284" s="841" t="s">
        <v>350</v>
      </c>
      <c r="H284" s="2201" t="s">
        <v>2207</v>
      </c>
      <c r="I284" s="2204"/>
      <c r="J284" s="841" t="s">
        <v>2961</v>
      </c>
      <c r="K284" s="712"/>
      <c r="L284" s="833"/>
      <c r="S284" s="2242">
        <f>SUM(S279:S283)</f>
        <v>135658.32</v>
      </c>
      <c r="T284" s="2243">
        <f>SUM(T279:T283)</f>
        <v>154967.28</v>
      </c>
      <c r="U284" s="2243">
        <f>SUM(U279:U283)</f>
        <v>178345.2</v>
      </c>
      <c r="V284" s="2243">
        <f>SUM(V279:V283)</f>
        <v>296427.12</v>
      </c>
      <c r="W284" s="2244">
        <f>SUM(W279:W283)</f>
        <v>300446.88</v>
      </c>
      <c r="X284" s="1098">
        <f>SUM(S284:W284)</f>
        <v>1065844.7999999998</v>
      </c>
      <c r="AB284" s="1808"/>
      <c r="AC284" s="1808"/>
      <c r="AD284" s="2276"/>
      <c r="AE284" s="2277"/>
      <c r="AF284" s="2277"/>
      <c r="AG284" s="2277"/>
      <c r="AH284" s="2278"/>
      <c r="AM284" s="1076"/>
    </row>
    <row r="285" spans="1:39" s="1808" customFormat="1" ht="17">
      <c r="A285"/>
      <c r="B285"/>
      <c r="C285"/>
      <c r="D285"/>
      <c r="E285"/>
      <c r="F285"/>
      <c r="G285"/>
      <c r="H285"/>
      <c r="I285"/>
      <c r="J285"/>
      <c r="K285" s="712"/>
      <c r="L285" s="833"/>
      <c r="S285" s="1098"/>
      <c r="T285" s="1098"/>
      <c r="U285" s="1098"/>
      <c r="V285" s="1098"/>
      <c r="W285" s="1098"/>
      <c r="X285" s="1098"/>
      <c r="AB285" s="691" t="s">
        <v>3740</v>
      </c>
      <c r="AC285" s="2241">
        <v>1.2E-2</v>
      </c>
      <c r="AD285" s="2239">
        <f>AD280*AC285</f>
        <v>103.4208</v>
      </c>
      <c r="AE285" s="2239">
        <f>AE280*AC285</f>
        <v>91.990080000000006</v>
      </c>
      <c r="AF285" s="2239">
        <f>AF280*AC285</f>
        <v>79.47072</v>
      </c>
      <c r="AG285" s="2239">
        <f>AG280*AC285</f>
        <v>0</v>
      </c>
      <c r="AH285" s="2239">
        <f>AH280*AC285</f>
        <v>0</v>
      </c>
      <c r="AI285"/>
      <c r="AJ285"/>
      <c r="AM285" s="1076"/>
    </row>
    <row r="286" spans="1:39" s="1808" customFormat="1" ht="17">
      <c r="A286"/>
      <c r="B286"/>
      <c r="C286"/>
      <c r="D286"/>
      <c r="E286"/>
      <c r="F286"/>
      <c r="G286"/>
      <c r="H286"/>
      <c r="I286"/>
      <c r="J286"/>
      <c r="K286" s="712"/>
      <c r="L286" s="833"/>
      <c r="S286" s="1098"/>
      <c r="T286" s="1098"/>
      <c r="U286" s="1098"/>
      <c r="V286" s="1098"/>
      <c r="W286" s="1098"/>
      <c r="X286" s="1098"/>
      <c r="AB286" s="691" t="s">
        <v>486</v>
      </c>
      <c r="AC286" s="2241">
        <v>5.1999999999999998E-2</v>
      </c>
      <c r="AD286" s="2238">
        <f>AD280*AC286</f>
        <v>448.15679999999998</v>
      </c>
      <c r="AE286" s="2238">
        <f>AE280*AC286</f>
        <v>398.62367999999998</v>
      </c>
      <c r="AF286" s="2238">
        <f>AF280*AC286</f>
        <v>344.37311999999997</v>
      </c>
      <c r="AG286" s="2238">
        <f>AG280*AC286</f>
        <v>0</v>
      </c>
      <c r="AH286" s="2238">
        <f>AH280*AC286</f>
        <v>0</v>
      </c>
      <c r="AI286"/>
      <c r="AJ286"/>
      <c r="AM286" s="1076"/>
    </row>
    <row r="287" spans="1:39" s="1808" customFormat="1" ht="17">
      <c r="K287" s="712"/>
      <c r="L287" s="833"/>
      <c r="S287" s="1098"/>
      <c r="T287" s="1098"/>
      <c r="U287" s="1098"/>
      <c r="V287" s="1098"/>
      <c r="W287" s="1098"/>
      <c r="X287" s="1098"/>
      <c r="AB287" s="691" t="s">
        <v>3741</v>
      </c>
      <c r="AC287" s="2241">
        <v>4.2000000000000003E-2</v>
      </c>
      <c r="AD287" s="2238">
        <f>AD280*AC287</f>
        <v>361.97280000000001</v>
      </c>
      <c r="AE287" s="2238">
        <f>AE280*AC287</f>
        <v>321.96528000000001</v>
      </c>
      <c r="AF287" s="2238">
        <f>AF280*AC287</f>
        <v>278.14751999999999</v>
      </c>
      <c r="AG287" s="2238">
        <f>AG280*AC287</f>
        <v>0</v>
      </c>
      <c r="AH287" s="2238">
        <f>AH280*AC287</f>
        <v>0</v>
      </c>
      <c r="AI287"/>
      <c r="AJ287"/>
      <c r="AM287" s="1076"/>
    </row>
    <row r="288" spans="1:39" ht="35" thickBot="1">
      <c r="K288" s="712"/>
      <c r="AB288" s="828" t="s">
        <v>3739</v>
      </c>
      <c r="AC288" s="1808"/>
      <c r="AD288" s="2240">
        <f>SUM(AD285:AD287)</f>
        <v>913.55039999999997</v>
      </c>
      <c r="AE288" s="2240">
        <f t="shared" ref="AE288" si="195">SUM(AE285:AE287)</f>
        <v>812.57903999999996</v>
      </c>
      <c r="AF288" s="2240">
        <f t="shared" ref="AF288" si="196">SUM(AF285:AF287)</f>
        <v>701.99135999999999</v>
      </c>
      <c r="AG288" s="2240">
        <f t="shared" ref="AG288" si="197">SUM(AG285:AG287)</f>
        <v>0</v>
      </c>
      <c r="AH288" s="2240">
        <f t="shared" ref="AH288" si="198">SUM(AH285:AH287)</f>
        <v>0</v>
      </c>
      <c r="AL288" s="1098">
        <f>SUM(AD288:AJ288)</f>
        <v>2428.1207999999997</v>
      </c>
      <c r="AM288" s="1076"/>
    </row>
    <row r="289" spans="1:43" ht="16" thickBot="1">
      <c r="A289" s="2202">
        <v>231</v>
      </c>
      <c r="B289" s="2201">
        <f>AD289</f>
        <v>167465.97870206399</v>
      </c>
      <c r="C289" s="2201">
        <f t="shared" ref="C289:F289" si="199">AE289</f>
        <v>148956.58105604642</v>
      </c>
      <c r="D289" s="2201">
        <f t="shared" si="199"/>
        <v>128684.38363421758</v>
      </c>
      <c r="E289" s="2201">
        <f t="shared" si="199"/>
        <v>0</v>
      </c>
      <c r="F289" s="2201">
        <f t="shared" si="199"/>
        <v>0</v>
      </c>
      <c r="G289" s="841" t="s">
        <v>351</v>
      </c>
      <c r="H289" s="2201" t="s">
        <v>2207</v>
      </c>
      <c r="I289" s="2204"/>
      <c r="J289" s="841" t="s">
        <v>2961</v>
      </c>
      <c r="K289" s="712"/>
      <c r="AB289" s="853"/>
      <c r="AC289" s="1808"/>
      <c r="AD289" s="2242">
        <f>(AD280+AD288)*USD</f>
        <v>167465.97870206399</v>
      </c>
      <c r="AE289" s="2243">
        <f>(AE280+AE288)*USD</f>
        <v>148956.58105604642</v>
      </c>
      <c r="AF289" s="2243">
        <f>(AF280+AF288)*USD</f>
        <v>128684.38363421758</v>
      </c>
      <c r="AG289" s="2243">
        <f>(AG280+AG288)*USD</f>
        <v>0</v>
      </c>
      <c r="AH289" s="2244">
        <f>(AH280+AH288)*USD</f>
        <v>0</v>
      </c>
      <c r="AM289" s="1076"/>
      <c r="AN289" s="1808">
        <f>AD289/EUR</f>
        <v>8533.4274206373466</v>
      </c>
      <c r="AO289" s="1808">
        <f>AE289/EUR</f>
        <v>7590.2591267774305</v>
      </c>
      <c r="AP289" s="1808">
        <f>AF289/EUR</f>
        <v>6557.2652811213284</v>
      </c>
      <c r="AQ289" s="1808">
        <f>AG289/EUR</f>
        <v>0</v>
      </c>
    </row>
    <row r="290" spans="1:43" ht="21">
      <c r="K290" s="712"/>
      <c r="L290" s="833"/>
      <c r="M290" s="1208" t="s">
        <v>2210</v>
      </c>
      <c r="Q290" s="1302" t="s">
        <v>2296</v>
      </c>
      <c r="S290" s="1303">
        <f>VLOOKUP($Q290,'Estimare cazuri'!$A:$R,S125,0)</f>
        <v>64</v>
      </c>
      <c r="T290" s="1304">
        <f>VLOOKUP($Q290,'Estimare cazuri'!$A:$R,T125,0)</f>
        <v>68</v>
      </c>
      <c r="U290" s="1304">
        <f>VLOOKUP($Q290,'Estimare cazuri'!$A:$R,U125,0)</f>
        <v>74</v>
      </c>
      <c r="V290" s="1304">
        <f>VLOOKUP($Q290,'Estimare cazuri'!$A:$R,V125,0)</f>
        <v>81</v>
      </c>
      <c r="W290" s="1305">
        <f>VLOOKUP($Q290,'Estimare cazuri'!$A:$R,W125,0)</f>
        <v>87</v>
      </c>
      <c r="AM290" s="1076"/>
    </row>
    <row r="291" spans="1:43" ht="21">
      <c r="K291" s="712"/>
      <c r="L291" s="833"/>
      <c r="M291" s="1073"/>
      <c r="Q291" t="s">
        <v>2208</v>
      </c>
      <c r="S291" s="1218">
        <v>1</v>
      </c>
      <c r="T291" s="1218">
        <v>1</v>
      </c>
      <c r="U291" s="1218">
        <v>1</v>
      </c>
      <c r="V291" s="1218">
        <v>1</v>
      </c>
      <c r="W291" s="1219">
        <v>1</v>
      </c>
      <c r="AM291" s="1076"/>
    </row>
    <row r="292" spans="1:43" ht="22" thickBot="1">
      <c r="K292" s="712"/>
      <c r="L292" s="833"/>
      <c r="M292" s="1073"/>
      <c r="Q292" t="s">
        <v>2209</v>
      </c>
      <c r="S292" s="1215">
        <f>ROUND(S290*S291,0)</f>
        <v>64</v>
      </c>
      <c r="T292" s="1133">
        <f t="shared" ref="T292:W292" si="200">ROUND(T290*T291,0)</f>
        <v>68</v>
      </c>
      <c r="U292" s="1133">
        <f t="shared" si="200"/>
        <v>74</v>
      </c>
      <c r="V292" s="1133">
        <f t="shared" si="200"/>
        <v>81</v>
      </c>
      <c r="W292" s="1216">
        <f t="shared" si="200"/>
        <v>87</v>
      </c>
      <c r="AM292" s="1076"/>
    </row>
    <row r="293" spans="1:43" ht="22" thickBot="1">
      <c r="K293" s="712"/>
      <c r="L293" s="833"/>
      <c r="M293" s="1073"/>
      <c r="AC293" s="1808"/>
      <c r="AD293" s="1758" t="s">
        <v>351</v>
      </c>
      <c r="AE293" s="966"/>
      <c r="AF293" s="966"/>
      <c r="AG293" s="966"/>
      <c r="AH293" s="967"/>
      <c r="AM293" s="1076"/>
    </row>
    <row r="294" spans="1:43" ht="17" thickBot="1">
      <c r="K294" s="712"/>
      <c r="L294"/>
      <c r="S294" s="530" t="s">
        <v>2191</v>
      </c>
      <c r="T294" s="528"/>
      <c r="U294" s="528"/>
      <c r="V294" s="528"/>
      <c r="W294" s="529"/>
      <c r="X294" s="530" t="s">
        <v>2202</v>
      </c>
      <c r="Y294" s="528"/>
      <c r="Z294" s="528"/>
      <c r="AA294" s="528"/>
      <c r="AB294" s="529"/>
      <c r="AC294" s="1808"/>
      <c r="AD294" s="1049"/>
      <c r="AE294" s="960"/>
      <c r="AF294" s="960"/>
      <c r="AG294" s="960"/>
      <c r="AH294" s="62"/>
      <c r="AM294" s="1076"/>
    </row>
    <row r="295" spans="1:43" ht="35" thickBot="1">
      <c r="K295" s="712"/>
      <c r="L295"/>
      <c r="M295" s="1103" t="s">
        <v>312</v>
      </c>
      <c r="N295" s="1103" t="s">
        <v>354</v>
      </c>
      <c r="O295" s="1083" t="s">
        <v>328</v>
      </c>
      <c r="P295" s="1083" t="s">
        <v>327</v>
      </c>
      <c r="Q295" s="1083" t="s">
        <v>329</v>
      </c>
      <c r="R295" s="1104" t="s">
        <v>97</v>
      </c>
      <c r="S295" s="1057">
        <v>2021</v>
      </c>
      <c r="T295" s="1058">
        <v>2022</v>
      </c>
      <c r="U295" s="1058">
        <v>2023</v>
      </c>
      <c r="V295" s="1058">
        <v>2024</v>
      </c>
      <c r="W295" s="1059">
        <v>2025</v>
      </c>
      <c r="X295" s="1057">
        <v>2021</v>
      </c>
      <c r="Y295" s="1058">
        <v>2022</v>
      </c>
      <c r="Z295" s="1058">
        <v>2023</v>
      </c>
      <c r="AA295" s="1058">
        <v>2024</v>
      </c>
      <c r="AB295" s="1059">
        <v>2025</v>
      </c>
      <c r="AC295" s="1808"/>
      <c r="AD295" s="2267">
        <v>0.8</v>
      </c>
      <c r="AE295" s="2268">
        <v>0.7</v>
      </c>
      <c r="AF295" s="2268">
        <v>0.6</v>
      </c>
      <c r="AG295" s="2269"/>
      <c r="AH295" s="2270"/>
      <c r="AM295" s="1076"/>
    </row>
    <row r="296" spans="1:43" ht="18" thickBot="1">
      <c r="K296" s="712"/>
      <c r="L296"/>
      <c r="M296" s="1124" t="s">
        <v>320</v>
      </c>
      <c r="N296" s="1239">
        <v>0.05</v>
      </c>
      <c r="O296" s="1202">
        <v>1</v>
      </c>
      <c r="P296" s="1202">
        <v>30</v>
      </c>
      <c r="Q296" s="1202">
        <v>6</v>
      </c>
      <c r="R296" s="1176">
        <f t="shared" ref="R296:R301" si="201">O296*P296*Q296</f>
        <v>180</v>
      </c>
      <c r="S296" s="1167">
        <f>ROUND(S292*$N296,0)</f>
        <v>3</v>
      </c>
      <c r="T296" s="1168">
        <f>ROUND(T292*$N296,0)</f>
        <v>3</v>
      </c>
      <c r="U296" s="1168">
        <f>ROUND(U292*$N296,0)</f>
        <v>4</v>
      </c>
      <c r="V296" s="1168">
        <f>ROUND(V292*$N296,0)</f>
        <v>4</v>
      </c>
      <c r="W296" s="1169">
        <f>ROUND(W292*$N296,0)</f>
        <v>4</v>
      </c>
      <c r="X296" s="1167">
        <f t="shared" ref="X296:AB298" si="202">S296*$R296</f>
        <v>540</v>
      </c>
      <c r="Y296" s="1168">
        <f t="shared" si="202"/>
        <v>540</v>
      </c>
      <c r="Z296" s="1168">
        <f t="shared" si="202"/>
        <v>720</v>
      </c>
      <c r="AA296" s="1168">
        <f t="shared" si="202"/>
        <v>720</v>
      </c>
      <c r="AB296" s="1169">
        <f t="shared" si="202"/>
        <v>720</v>
      </c>
      <c r="AC296" s="1808"/>
      <c r="AD296" s="2264"/>
      <c r="AE296" s="1025"/>
      <c r="AF296" s="1025"/>
      <c r="AG296" s="1025"/>
      <c r="AH296" s="1903"/>
      <c r="AM296" s="1076"/>
    </row>
    <row r="297" spans="1:43" ht="17" thickBot="1">
      <c r="K297" s="712"/>
      <c r="L297"/>
      <c r="M297" s="1257" t="s">
        <v>2237</v>
      </c>
      <c r="N297" s="1239">
        <v>0.8</v>
      </c>
      <c r="O297" s="1203">
        <v>3</v>
      </c>
      <c r="P297" s="1203">
        <v>12</v>
      </c>
      <c r="Q297" s="1203">
        <v>3</v>
      </c>
      <c r="R297" s="1176">
        <f t="shared" si="201"/>
        <v>108</v>
      </c>
      <c r="S297" s="1167">
        <f>ROUND(S292*$N297,0)-AD297</f>
        <v>10</v>
      </c>
      <c r="T297" s="1168">
        <f t="shared" ref="T297:W297" si="203">ROUND(T292*$N297,0)-AE297</f>
        <v>16</v>
      </c>
      <c r="U297" s="1168">
        <f t="shared" si="203"/>
        <v>23</v>
      </c>
      <c r="V297" s="1168">
        <f t="shared" si="203"/>
        <v>65</v>
      </c>
      <c r="W297" s="1169">
        <f t="shared" si="203"/>
        <v>70</v>
      </c>
      <c r="X297" s="1167">
        <f t="shared" si="202"/>
        <v>1080</v>
      </c>
      <c r="Y297" s="1168">
        <f t="shared" si="202"/>
        <v>1728</v>
      </c>
      <c r="Z297" s="1168">
        <f t="shared" si="202"/>
        <v>2484</v>
      </c>
      <c r="AA297" s="1168">
        <f t="shared" si="202"/>
        <v>7020</v>
      </c>
      <c r="AB297" s="1169">
        <f t="shared" si="202"/>
        <v>7560</v>
      </c>
      <c r="AC297" s="1808"/>
      <c r="AD297" s="2254">
        <f>ROUND(S292*$N297*AD295,0)</f>
        <v>41</v>
      </c>
      <c r="AE297" s="2236">
        <f t="shared" ref="AE297" si="204">ROUND(T292*$N297*AE295,0)</f>
        <v>38</v>
      </c>
      <c r="AF297" s="2236">
        <f t="shared" ref="AF297" si="205">ROUND(U292*$N297*AF295,0)</f>
        <v>36</v>
      </c>
      <c r="AG297" s="2236">
        <f t="shared" ref="AG297" si="206">ROUND(V292*$N297*AG295,0)</f>
        <v>0</v>
      </c>
      <c r="AH297" s="2255">
        <f t="shared" ref="AH297" si="207">ROUND(W292*$N297*AH295,0)</f>
        <v>0</v>
      </c>
      <c r="AL297" s="1098"/>
      <c r="AM297" s="1076"/>
    </row>
    <row r="298" spans="1:43" ht="17">
      <c r="K298" s="712"/>
      <c r="L298"/>
      <c r="M298" s="1147" t="s">
        <v>2201</v>
      </c>
      <c r="N298" s="2666">
        <v>0.1</v>
      </c>
      <c r="O298" s="1201">
        <v>6</v>
      </c>
      <c r="P298" s="1201">
        <v>12</v>
      </c>
      <c r="Q298" s="1201">
        <v>3</v>
      </c>
      <c r="R298" s="1173">
        <f t="shared" si="201"/>
        <v>216</v>
      </c>
      <c r="S298" s="2668">
        <f>ROUND(S292*$N298,0)</f>
        <v>6</v>
      </c>
      <c r="T298" s="2670">
        <f>ROUND(T292*$N298,0)</f>
        <v>7</v>
      </c>
      <c r="U298" s="2670">
        <f>ROUND(U292*$N298,0)</f>
        <v>7</v>
      </c>
      <c r="V298" s="2670">
        <f>ROUND(V292*$N298,0)</f>
        <v>8</v>
      </c>
      <c r="W298" s="2664">
        <f>ROUND(W292*$N298,0)</f>
        <v>9</v>
      </c>
      <c r="X298" s="1155">
        <f t="shared" si="202"/>
        <v>1296</v>
      </c>
      <c r="Y298" s="1156">
        <f t="shared" si="202"/>
        <v>1512</v>
      </c>
      <c r="Z298" s="1156">
        <f t="shared" si="202"/>
        <v>1512</v>
      </c>
      <c r="AA298" s="1156">
        <f t="shared" si="202"/>
        <v>1728</v>
      </c>
      <c r="AB298" s="1157">
        <f t="shared" si="202"/>
        <v>1944</v>
      </c>
      <c r="AC298" s="1808"/>
      <c r="AD298" s="2264"/>
      <c r="AE298" s="1025"/>
      <c r="AF298" s="1025"/>
      <c r="AG298" s="1025"/>
      <c r="AH298" s="1903"/>
      <c r="AM298" s="1076"/>
    </row>
    <row r="299" spans="1:43" ht="18" thickBot="1">
      <c r="K299" s="712"/>
      <c r="L299"/>
      <c r="M299" s="1135" t="s">
        <v>320</v>
      </c>
      <c r="N299" s="2667"/>
      <c r="O299" s="1199">
        <v>3</v>
      </c>
      <c r="P299" s="1199">
        <v>12</v>
      </c>
      <c r="Q299" s="1199">
        <v>3</v>
      </c>
      <c r="R299" s="1174">
        <f t="shared" si="201"/>
        <v>108</v>
      </c>
      <c r="S299" s="2669"/>
      <c r="T299" s="2671"/>
      <c r="U299" s="2671"/>
      <c r="V299" s="2671"/>
      <c r="W299" s="2665"/>
      <c r="X299" s="1158">
        <f>S298*$R299</f>
        <v>648</v>
      </c>
      <c r="Y299" s="1159">
        <f>T298*$R299</f>
        <v>756</v>
      </c>
      <c r="Z299" s="1159">
        <f>U298*$R299</f>
        <v>756</v>
      </c>
      <c r="AA299" s="1159">
        <f>V298*$R299</f>
        <v>864</v>
      </c>
      <c r="AB299" s="1160">
        <f>W298*$R299</f>
        <v>972</v>
      </c>
      <c r="AC299" s="1808"/>
      <c r="AD299" s="1049"/>
      <c r="AE299" s="960"/>
      <c r="AF299" s="960"/>
      <c r="AG299" s="960"/>
      <c r="AH299" s="62"/>
      <c r="AM299" s="1076"/>
    </row>
    <row r="300" spans="1:43" ht="32" customHeight="1" thickBot="1">
      <c r="K300" s="712"/>
      <c r="L300"/>
      <c r="M300" s="1124" t="s">
        <v>319</v>
      </c>
      <c r="N300" s="1240">
        <v>0.05</v>
      </c>
      <c r="O300" s="1202">
        <v>2</v>
      </c>
      <c r="P300" s="1202">
        <v>30</v>
      </c>
      <c r="Q300" s="1202">
        <v>4</v>
      </c>
      <c r="R300" s="1176">
        <f t="shared" si="201"/>
        <v>240</v>
      </c>
      <c r="S300" s="1167">
        <f>ROUND(S292*$N300,0)</f>
        <v>3</v>
      </c>
      <c r="T300" s="1168">
        <f>ROUND(T292*$N300,0)</f>
        <v>3</v>
      </c>
      <c r="U300" s="1168">
        <f>ROUND(U292*$N300,0)</f>
        <v>4</v>
      </c>
      <c r="V300" s="1168">
        <f>ROUND(V292*$N300,0)</f>
        <v>4</v>
      </c>
      <c r="W300" s="1169">
        <f>ROUND(W292*$N300,0)</f>
        <v>4</v>
      </c>
      <c r="X300" s="1167">
        <f>S300*$R300</f>
        <v>720</v>
      </c>
      <c r="Y300" s="1168">
        <f>T300*$R300</f>
        <v>720</v>
      </c>
      <c r="Z300" s="1168">
        <f>U300*$R300</f>
        <v>960</v>
      </c>
      <c r="AA300" s="1168">
        <f>V300*$R300</f>
        <v>960</v>
      </c>
      <c r="AB300" s="1169">
        <f>W300*$R300</f>
        <v>960</v>
      </c>
      <c r="AC300" s="1808"/>
      <c r="AD300" s="1049"/>
      <c r="AE300" s="960"/>
      <c r="AF300" s="960"/>
      <c r="AG300" s="960"/>
      <c r="AH300" s="62"/>
      <c r="AM300" s="1076"/>
    </row>
    <row r="301" spans="1:43" ht="17" thickBot="1">
      <c r="K301" s="712"/>
      <c r="L301"/>
      <c r="M301" s="1214" t="s">
        <v>2177</v>
      </c>
      <c r="N301" s="1185"/>
      <c r="O301" s="1263">
        <v>1</v>
      </c>
      <c r="P301" s="1263">
        <v>30</v>
      </c>
      <c r="Q301" s="1263">
        <v>4</v>
      </c>
      <c r="R301" s="1194">
        <f t="shared" si="201"/>
        <v>120</v>
      </c>
      <c r="S301" s="1195">
        <f>S297+S296+S298+AD297</f>
        <v>60</v>
      </c>
      <c r="T301" s="1196">
        <f t="shared" ref="T301" si="208">T297+T296+T298+AE297</f>
        <v>64</v>
      </c>
      <c r="U301" s="1196">
        <f t="shared" ref="U301" si="209">U297+U296+U298+AF297</f>
        <v>70</v>
      </c>
      <c r="V301" s="1196">
        <f t="shared" ref="V301" si="210">V297+V296+V298+AG297</f>
        <v>77</v>
      </c>
      <c r="W301" s="1197">
        <f t="shared" ref="W301" si="211">W297+W296+W298+AH297</f>
        <v>83</v>
      </c>
      <c r="X301" s="1187">
        <f>S301*$R301</f>
        <v>7200</v>
      </c>
      <c r="Y301" s="1188">
        <f t="shared" ref="Y301" si="212">T301*$R301</f>
        <v>7680</v>
      </c>
      <c r="Z301" s="1188">
        <f t="shared" ref="Z301" si="213">U301*$R301</f>
        <v>8400</v>
      </c>
      <c r="AA301" s="1188">
        <f t="shared" ref="AA301" si="214">V301*$R301</f>
        <v>9240</v>
      </c>
      <c r="AB301" s="1189">
        <f t="shared" ref="AB301" si="215">W301*$R301</f>
        <v>9960</v>
      </c>
      <c r="AC301" s="1808"/>
      <c r="AD301" s="1049"/>
      <c r="AE301" s="960"/>
      <c r="AF301" s="960"/>
      <c r="AG301" s="960"/>
      <c r="AH301" s="62"/>
      <c r="AM301" s="1076"/>
    </row>
    <row r="302" spans="1:43">
      <c r="K302" s="712"/>
      <c r="L302"/>
      <c r="N302" s="734" t="str">
        <f>IF(SUM(N296:N300)=1,"ok","% sumar nu este =100%")</f>
        <v>ok</v>
      </c>
      <c r="X302" s="1307">
        <f>SUM(X296:X301)</f>
        <v>11484</v>
      </c>
      <c r="Y302" s="1307">
        <f t="shared" ref="Y302" si="216">SUM(Y296:Y301)</f>
        <v>12936</v>
      </c>
      <c r="Z302" s="1307">
        <f t="shared" ref="Z302" si="217">SUM(Z296:Z301)</f>
        <v>14832</v>
      </c>
      <c r="AA302" s="1307">
        <f t="shared" ref="AA302" si="218">SUM(AA296:AA301)</f>
        <v>20532</v>
      </c>
      <c r="AB302" s="1307">
        <f t="shared" ref="AB302" si="219">SUM(AB296:AB301)</f>
        <v>22116</v>
      </c>
      <c r="AC302" s="1808"/>
      <c r="AD302" s="1049"/>
      <c r="AE302" s="960"/>
      <c r="AF302" s="960"/>
      <c r="AG302" s="960"/>
      <c r="AH302" s="62"/>
      <c r="AM302" s="1076"/>
    </row>
    <row r="303" spans="1:43" ht="16" thickBot="1">
      <c r="K303" s="712"/>
      <c r="L303" s="833"/>
      <c r="AC303" s="1808"/>
      <c r="AD303" s="1049"/>
      <c r="AE303" s="960"/>
      <c r="AF303" s="960"/>
      <c r="AG303" s="960"/>
      <c r="AH303" s="62"/>
      <c r="AM303" s="1076"/>
    </row>
    <row r="304" spans="1:43" ht="17" thickBot="1">
      <c r="K304" s="712"/>
      <c r="L304" s="833"/>
      <c r="M304" s="960"/>
      <c r="N304" s="526"/>
      <c r="O304" s="526"/>
      <c r="P304" s="526"/>
      <c r="Q304" s="526"/>
      <c r="R304" s="526"/>
      <c r="S304" s="530" t="s">
        <v>333</v>
      </c>
      <c r="T304" s="528"/>
      <c r="U304" s="528"/>
      <c r="V304" s="528"/>
      <c r="W304" s="529"/>
      <c r="AC304" s="1808"/>
      <c r="AD304" s="2247"/>
      <c r="AE304" s="1084"/>
      <c r="AF304" s="1084"/>
      <c r="AG304" s="1084"/>
      <c r="AH304" s="2248"/>
      <c r="AM304" s="1076"/>
    </row>
    <row r="305" spans="1:39" ht="17" thickBot="1">
      <c r="K305" s="712"/>
      <c r="L305"/>
      <c r="N305" s="526"/>
      <c r="O305" s="526"/>
      <c r="P305" s="526"/>
      <c r="Q305" s="526"/>
      <c r="R305" s="526"/>
      <c r="S305" s="584">
        <v>2021</v>
      </c>
      <c r="T305" s="585">
        <v>2022</v>
      </c>
      <c r="U305" s="585">
        <v>2023</v>
      </c>
      <c r="V305" s="585">
        <v>2024</v>
      </c>
      <c r="W305" s="586">
        <v>2025</v>
      </c>
      <c r="AC305" s="1808"/>
      <c r="AD305" s="1057">
        <v>2021</v>
      </c>
      <c r="AE305" s="1058">
        <v>2022</v>
      </c>
      <c r="AF305" s="1058">
        <v>2023</v>
      </c>
      <c r="AG305" s="1058">
        <v>2024</v>
      </c>
      <c r="AH305" s="1059">
        <v>2025</v>
      </c>
      <c r="AM305" s="1076"/>
    </row>
    <row r="306" spans="1:39" ht="16">
      <c r="K306" s="712"/>
      <c r="L306"/>
      <c r="N306" s="1094" t="s">
        <v>320</v>
      </c>
      <c r="O306" s="1084"/>
      <c r="P306" s="1084"/>
      <c r="Q306" s="1084"/>
      <c r="R306" s="1084"/>
      <c r="S306" s="1143">
        <f t="shared" ref="S306:W310" si="220">SUMIF($M$296:$M$301,$N306,X$296:X$301)</f>
        <v>1188</v>
      </c>
      <c r="T306" s="1149">
        <f t="shared" si="220"/>
        <v>1296</v>
      </c>
      <c r="U306" s="1149">
        <f t="shared" si="220"/>
        <v>1476</v>
      </c>
      <c r="V306" s="1149">
        <f t="shared" si="220"/>
        <v>1584</v>
      </c>
      <c r="W306" s="1150">
        <f t="shared" si="220"/>
        <v>1692</v>
      </c>
      <c r="AC306" s="1808"/>
      <c r="AD306" s="2249"/>
      <c r="AE306" s="1149"/>
      <c r="AF306" s="1149"/>
      <c r="AG306" s="1149"/>
      <c r="AH306" s="2250"/>
      <c r="AM306" s="1076"/>
    </row>
    <row r="307" spans="1:39" ht="16">
      <c r="K307" s="712"/>
      <c r="L307"/>
      <c r="N307" s="1095" t="s">
        <v>2237</v>
      </c>
      <c r="O307" s="591"/>
      <c r="P307" s="591"/>
      <c r="Q307" s="591"/>
      <c r="R307" s="591"/>
      <c r="S307" s="1143">
        <f t="shared" si="220"/>
        <v>1080</v>
      </c>
      <c r="T307" s="1141">
        <f t="shared" si="220"/>
        <v>1728</v>
      </c>
      <c r="U307" s="1141">
        <f t="shared" si="220"/>
        <v>2484</v>
      </c>
      <c r="V307" s="1141">
        <f t="shared" si="220"/>
        <v>7020</v>
      </c>
      <c r="W307" s="1142">
        <f t="shared" si="220"/>
        <v>7560</v>
      </c>
      <c r="AC307" s="1808"/>
      <c r="AD307" s="1140">
        <f>AD297*$R297</f>
        <v>4428</v>
      </c>
      <c r="AE307" s="1141">
        <f>AE297*$R297</f>
        <v>4104</v>
      </c>
      <c r="AF307" s="1141">
        <f>AF297*$R297</f>
        <v>3888</v>
      </c>
      <c r="AG307" s="1141">
        <f>AG297*$R297</f>
        <v>0</v>
      </c>
      <c r="AH307" s="1142">
        <f>AH297*$R297</f>
        <v>0</v>
      </c>
      <c r="AI307" s="1098"/>
      <c r="AM307" s="1076"/>
    </row>
    <row r="308" spans="1:39" ht="16">
      <c r="K308" s="712"/>
      <c r="L308"/>
      <c r="N308" s="1095" t="s">
        <v>2201</v>
      </c>
      <c r="O308" s="591"/>
      <c r="P308" s="591"/>
      <c r="Q308" s="591"/>
      <c r="R308" s="591"/>
      <c r="S308" s="1143">
        <f t="shared" si="220"/>
        <v>1296</v>
      </c>
      <c r="T308" s="1144">
        <f t="shared" si="220"/>
        <v>1512</v>
      </c>
      <c r="U308" s="1144">
        <f t="shared" si="220"/>
        <v>1512</v>
      </c>
      <c r="V308" s="1144">
        <f t="shared" si="220"/>
        <v>1728</v>
      </c>
      <c r="W308" s="1145">
        <f t="shared" si="220"/>
        <v>1944</v>
      </c>
      <c r="AC308" s="1808"/>
      <c r="AD308" s="1049"/>
      <c r="AE308" s="960"/>
      <c r="AF308" s="960"/>
      <c r="AG308" s="960"/>
      <c r="AH308" s="62"/>
      <c r="AM308" s="1076"/>
    </row>
    <row r="309" spans="1:39" ht="16">
      <c r="K309" s="712"/>
      <c r="L309"/>
      <c r="N309" s="1095" t="s">
        <v>319</v>
      </c>
      <c r="O309" s="591"/>
      <c r="P309" s="591"/>
      <c r="Q309" s="591"/>
      <c r="R309" s="591"/>
      <c r="S309" s="1143">
        <f t="shared" si="220"/>
        <v>720</v>
      </c>
      <c r="T309" s="1144">
        <f t="shared" si="220"/>
        <v>720</v>
      </c>
      <c r="U309" s="1144">
        <f t="shared" si="220"/>
        <v>960</v>
      </c>
      <c r="V309" s="1144">
        <f t="shared" si="220"/>
        <v>960</v>
      </c>
      <c r="W309" s="1145">
        <f t="shared" si="220"/>
        <v>960</v>
      </c>
      <c r="AC309" s="1808"/>
      <c r="AD309" s="2265"/>
      <c r="AE309" s="2263"/>
      <c r="AF309" s="2263"/>
      <c r="AG309" s="2263"/>
      <c r="AH309" s="2266"/>
      <c r="AM309" s="1076"/>
    </row>
    <row r="310" spans="1:39" ht="17" thickBot="1">
      <c r="K310" s="712"/>
      <c r="L310" s="833"/>
      <c r="N310" s="1096" t="s">
        <v>2177</v>
      </c>
      <c r="O310" s="596"/>
      <c r="P310" s="596"/>
      <c r="Q310" s="596"/>
      <c r="R310" s="596"/>
      <c r="S310" s="1111">
        <f t="shared" si="220"/>
        <v>7200</v>
      </c>
      <c r="T310" s="1112">
        <f t="shared" si="220"/>
        <v>7680</v>
      </c>
      <c r="U310" s="1112">
        <f t="shared" si="220"/>
        <v>8400</v>
      </c>
      <c r="V310" s="1112">
        <f t="shared" si="220"/>
        <v>9240</v>
      </c>
      <c r="W310" s="1113">
        <f t="shared" si="220"/>
        <v>9960</v>
      </c>
      <c r="AC310" s="1808"/>
      <c r="AD310" s="2265"/>
      <c r="AE310" s="2263"/>
      <c r="AF310" s="2263"/>
      <c r="AG310" s="2263"/>
      <c r="AH310" s="2266"/>
      <c r="AM310" s="1076"/>
    </row>
    <row r="311" spans="1:39">
      <c r="K311" s="712"/>
      <c r="L311" s="833"/>
      <c r="S311" s="1307">
        <f>SUM(S306:S310)</f>
        <v>11484</v>
      </c>
      <c r="T311" s="1307">
        <f>SUM(T306:T310)</f>
        <v>12936</v>
      </c>
      <c r="U311" s="1307">
        <f>SUM(U306:U310)</f>
        <v>14832</v>
      </c>
      <c r="V311" s="1307">
        <f>SUM(V306:V310)</f>
        <v>20532</v>
      </c>
      <c r="W311" s="1307">
        <f>SUM(W306:W310)</f>
        <v>22116</v>
      </c>
      <c r="AC311" s="1808"/>
      <c r="AD311" s="1049"/>
      <c r="AE311" s="960"/>
      <c r="AF311" s="960"/>
      <c r="AG311" s="960"/>
      <c r="AH311" s="62"/>
      <c r="AM311" s="1076"/>
    </row>
    <row r="312" spans="1:39" ht="16" thickBot="1">
      <c r="K312" s="712"/>
      <c r="L312" s="833"/>
      <c r="AC312" s="1808"/>
      <c r="AD312" s="1049"/>
      <c r="AE312" s="960"/>
      <c r="AF312" s="960"/>
      <c r="AG312" s="960"/>
      <c r="AH312" s="62"/>
      <c r="AM312" s="1076"/>
    </row>
    <row r="313" spans="1:39" ht="17" thickBot="1">
      <c r="K313" s="712"/>
      <c r="L313" s="833"/>
      <c r="N313" s="526"/>
      <c r="O313" s="526"/>
      <c r="P313" s="526"/>
      <c r="Q313" s="526"/>
      <c r="R313" s="526"/>
      <c r="S313" s="530" t="s">
        <v>2189</v>
      </c>
      <c r="T313" s="528"/>
      <c r="U313" s="528"/>
      <c r="V313" s="528"/>
      <c r="W313" s="529"/>
      <c r="AC313" s="1808"/>
      <c r="AD313" s="2247"/>
      <c r="AE313" s="1084"/>
      <c r="AF313" s="1084"/>
      <c r="AG313" s="1084"/>
      <c r="AH313" s="2248"/>
      <c r="AM313" s="1076"/>
    </row>
    <row r="314" spans="1:39" ht="17" thickBot="1">
      <c r="K314" s="712"/>
      <c r="L314" s="833"/>
      <c r="N314" s="526"/>
      <c r="O314" s="526"/>
      <c r="P314" s="526"/>
      <c r="Q314" s="526"/>
      <c r="R314" s="526" t="s">
        <v>2190</v>
      </c>
      <c r="S314" s="584">
        <v>2021</v>
      </c>
      <c r="T314" s="585">
        <v>2022</v>
      </c>
      <c r="U314" s="585">
        <v>2023</v>
      </c>
      <c r="V314" s="585">
        <v>2024</v>
      </c>
      <c r="W314" s="586">
        <v>2025</v>
      </c>
      <c r="AC314" s="1808" t="s">
        <v>3738</v>
      </c>
      <c r="AD314" s="1046">
        <v>2021</v>
      </c>
      <c r="AE314" s="2272">
        <v>2022</v>
      </c>
      <c r="AF314" s="2272">
        <v>2023</v>
      </c>
      <c r="AG314" s="2272">
        <v>2024</v>
      </c>
      <c r="AH314" s="2273">
        <v>2025</v>
      </c>
      <c r="AM314" s="1076"/>
    </row>
    <row r="315" spans="1:39" ht="16">
      <c r="K315" s="712"/>
      <c r="L315" s="833"/>
      <c r="N315" s="1094" t="str">
        <f>N306</f>
        <v>Isoniazid  300mg  Film uncoated tablet(s)</v>
      </c>
      <c r="O315" s="1084"/>
      <c r="P315" s="1084"/>
      <c r="Q315" s="1084"/>
      <c r="R315" s="980">
        <f>VLOOKUP(N315,Preturi_medicamente!D:F,3,0)</f>
        <v>0.22</v>
      </c>
      <c r="S315" s="1127">
        <f t="shared" ref="S315:W318" si="221">S306*$R315</f>
        <v>261.36</v>
      </c>
      <c r="T315" s="1128">
        <f t="shared" si="221"/>
        <v>285.12</v>
      </c>
      <c r="U315" s="1128">
        <f t="shared" si="221"/>
        <v>324.72000000000003</v>
      </c>
      <c r="V315" s="1128">
        <f t="shared" si="221"/>
        <v>348.48</v>
      </c>
      <c r="W315" s="1129">
        <f t="shared" si="221"/>
        <v>372.24</v>
      </c>
      <c r="AC315" s="1808"/>
      <c r="AD315" s="2274"/>
      <c r="AE315" s="2271"/>
      <c r="AF315" s="2271"/>
      <c r="AG315" s="2271"/>
      <c r="AH315" s="2275"/>
      <c r="AM315" s="1076"/>
    </row>
    <row r="316" spans="1:39" ht="16">
      <c r="K316" s="712"/>
      <c r="L316" s="833"/>
      <c r="N316" s="1099" t="str">
        <f>N307</f>
        <v>Rifapentine/Isoniazid 300mg/300mg, Film coated tablet(s)</v>
      </c>
      <c r="O316" s="591"/>
      <c r="P316" s="591"/>
      <c r="Q316" s="591"/>
      <c r="R316" s="1081">
        <f>VLOOKUP(N316,Preturi_medicamente!D:F,3,0)</f>
        <v>7.38</v>
      </c>
      <c r="S316" s="1088">
        <f t="shared" si="221"/>
        <v>7970.4</v>
      </c>
      <c r="T316" s="1089">
        <f t="shared" si="221"/>
        <v>12752.64</v>
      </c>
      <c r="U316" s="1089">
        <f t="shared" si="221"/>
        <v>18331.919999999998</v>
      </c>
      <c r="V316" s="1089">
        <f t="shared" si="221"/>
        <v>51807.6</v>
      </c>
      <c r="W316" s="1090">
        <f t="shared" si="221"/>
        <v>55792.799999999996</v>
      </c>
      <c r="AC316" s="1808">
        <f>VLOOKUP(N316,Preturi_medicamente!D:M,10,0)</f>
        <v>0.42</v>
      </c>
      <c r="AD316" s="1088">
        <f>AD307*$AC316</f>
        <v>1859.76</v>
      </c>
      <c r="AE316" s="1089">
        <f>AE307*$AC316</f>
        <v>1723.6799999999998</v>
      </c>
      <c r="AF316" s="1089">
        <f>AF307*$AC316</f>
        <v>1632.96</v>
      </c>
      <c r="AG316" s="1089">
        <f>AG307*$AC316</f>
        <v>0</v>
      </c>
      <c r="AH316" s="1090">
        <f>AH307*$AC316</f>
        <v>0</v>
      </c>
      <c r="AI316" s="2279"/>
      <c r="AJ316" s="1808"/>
      <c r="AL316" s="1098">
        <f>SUM(AD316:AJ316)</f>
        <v>5216.3999999999996</v>
      </c>
      <c r="AM316" s="1076"/>
    </row>
    <row r="317" spans="1:39" ht="16">
      <c r="K317" s="712"/>
      <c r="L317" s="833"/>
      <c r="N317" s="1099" t="str">
        <f>N308</f>
        <v>Rifapentine, 150 mg, Film coated tablet</v>
      </c>
      <c r="O317" s="591"/>
      <c r="P317" s="591"/>
      <c r="Q317" s="591"/>
      <c r="R317" s="1081">
        <f>VLOOKUP(N317,Preturi_medicamente!D:F,3,0)</f>
        <v>11.07</v>
      </c>
      <c r="S317" s="1118">
        <f t="shared" si="221"/>
        <v>14346.720000000001</v>
      </c>
      <c r="T317" s="1119">
        <f t="shared" si="221"/>
        <v>16737.84</v>
      </c>
      <c r="U317" s="1119">
        <f t="shared" si="221"/>
        <v>16737.84</v>
      </c>
      <c r="V317" s="1119">
        <f t="shared" si="221"/>
        <v>19128.96</v>
      </c>
      <c r="W317" s="1120">
        <f t="shared" si="221"/>
        <v>21520.080000000002</v>
      </c>
      <c r="AD317" s="1049"/>
      <c r="AE317" s="960"/>
      <c r="AF317" s="960"/>
      <c r="AG317" s="960"/>
      <c r="AH317" s="62"/>
      <c r="AI317" s="1808"/>
      <c r="AJ317" s="1808"/>
      <c r="AM317" s="1076"/>
    </row>
    <row r="318" spans="1:39" ht="16">
      <c r="K318" s="712"/>
      <c r="L318" s="833"/>
      <c r="N318" s="1099" t="str">
        <f>N309</f>
        <v>Rifampicin  300mg  Film coated tablet(s)</v>
      </c>
      <c r="O318" s="591"/>
      <c r="P318" s="591"/>
      <c r="Q318" s="591"/>
      <c r="R318" s="1081">
        <f>VLOOKUP(N318,Preturi_medicamente!D:F,3,0)</f>
        <v>2.0499999999999998</v>
      </c>
      <c r="S318" s="1118">
        <f t="shared" si="221"/>
        <v>1475.9999999999998</v>
      </c>
      <c r="T318" s="1119">
        <f t="shared" si="221"/>
        <v>1475.9999999999998</v>
      </c>
      <c r="U318" s="1119">
        <f t="shared" si="221"/>
        <v>1967.9999999999998</v>
      </c>
      <c r="V318" s="1119">
        <f t="shared" si="221"/>
        <v>1967.9999999999998</v>
      </c>
      <c r="W318" s="1120">
        <f t="shared" si="221"/>
        <v>1967.9999999999998</v>
      </c>
      <c r="AC318" s="1808"/>
      <c r="AD318" s="2274"/>
      <c r="AE318" s="2271"/>
      <c r="AF318" s="2271"/>
      <c r="AG318" s="2271"/>
      <c r="AH318" s="2275"/>
      <c r="AI318" s="1808"/>
      <c r="AJ318" s="1808"/>
      <c r="AM318" s="1076"/>
    </row>
    <row r="319" spans="1:39" ht="17" thickBot="1">
      <c r="K319" s="712"/>
      <c r="L319" s="833"/>
      <c r="N319" s="1209" t="str">
        <f>N310</f>
        <v>Pyridoxine, 100 mg, Uncoated tablet(s)</v>
      </c>
      <c r="O319" s="596"/>
      <c r="P319" s="596"/>
      <c r="Q319" s="596"/>
      <c r="R319" s="1097">
        <f>VLOOKUP(N319,Preturi_medicamente!D:F,3,0)</f>
        <v>0.5</v>
      </c>
      <c r="S319" s="1091">
        <f>S309*$R319</f>
        <v>360</v>
      </c>
      <c r="T319" s="1092">
        <f>T309*$R319</f>
        <v>360</v>
      </c>
      <c r="U319" s="1092">
        <f>U309*$R319</f>
        <v>480</v>
      </c>
      <c r="V319" s="1092">
        <f>V309*$R319</f>
        <v>480</v>
      </c>
      <c r="W319" s="1093">
        <f>W309*$R319</f>
        <v>480</v>
      </c>
      <c r="AC319" s="1808"/>
      <c r="AD319" s="2274"/>
      <c r="AE319" s="2271"/>
      <c r="AF319" s="2271"/>
      <c r="AG319" s="2271"/>
      <c r="AH319" s="2275"/>
      <c r="AI319" s="1808"/>
      <c r="AJ319" s="1808"/>
      <c r="AM319" s="1076"/>
    </row>
    <row r="320" spans="1:39" ht="17" thickBot="1">
      <c r="A320" s="2202">
        <v>45</v>
      </c>
      <c r="B320" s="2201">
        <f>S320</f>
        <v>24414.480000000003</v>
      </c>
      <c r="C320" s="2201">
        <f t="shared" ref="C320" si="222">T320</f>
        <v>31611.599999999999</v>
      </c>
      <c r="D320" s="2201">
        <f t="shared" ref="D320" si="223">U320</f>
        <v>37842.479999999996</v>
      </c>
      <c r="E320" s="2201">
        <f t="shared" ref="E320" si="224">V320</f>
        <v>73733.040000000008</v>
      </c>
      <c r="F320" s="2201">
        <f t="shared" ref="F320" si="225">W320</f>
        <v>80133.119999999995</v>
      </c>
      <c r="G320" s="841" t="s">
        <v>513</v>
      </c>
      <c r="H320" s="2201" t="s">
        <v>2210</v>
      </c>
      <c r="I320" s="2204"/>
      <c r="J320" s="841" t="s">
        <v>2961</v>
      </c>
      <c r="K320" s="712"/>
      <c r="L320" s="833"/>
      <c r="S320" s="2242">
        <f>SUM(S315:S319)</f>
        <v>24414.480000000003</v>
      </c>
      <c r="T320" s="2243">
        <f>SUM(T315:T319)</f>
        <v>31611.599999999999</v>
      </c>
      <c r="U320" s="2243">
        <f>SUM(U315:U319)</f>
        <v>37842.479999999996</v>
      </c>
      <c r="V320" s="2243">
        <f>SUM(V315:V319)</f>
        <v>73733.040000000008</v>
      </c>
      <c r="W320" s="2244">
        <f>SUM(W315:W319)</f>
        <v>80133.119999999995</v>
      </c>
      <c r="X320" s="1098">
        <f>SUM(S320:W320)</f>
        <v>247734.72</v>
      </c>
      <c r="AC320" s="1808"/>
      <c r="AD320" s="2276"/>
      <c r="AE320" s="2277"/>
      <c r="AF320" s="2277"/>
      <c r="AG320" s="2277"/>
      <c r="AH320" s="2278"/>
      <c r="AI320" s="1808"/>
      <c r="AJ320" s="1808"/>
      <c r="AM320" s="1076"/>
    </row>
    <row r="321" spans="1:43" s="1808" customFormat="1" ht="17">
      <c r="A321"/>
      <c r="B321"/>
      <c r="C321"/>
      <c r="D321"/>
      <c r="E321"/>
      <c r="F321"/>
      <c r="G321"/>
      <c r="H321"/>
      <c r="I321"/>
      <c r="J321"/>
      <c r="K321" s="712"/>
      <c r="L321" s="833"/>
      <c r="S321"/>
      <c r="T321"/>
      <c r="U321"/>
      <c r="V321"/>
      <c r="W321"/>
      <c r="X321" s="1098"/>
      <c r="AB321" s="691" t="s">
        <v>3740</v>
      </c>
      <c r="AC321" s="2241">
        <v>1.2E-2</v>
      </c>
      <c r="AD321" s="2239">
        <f>AD316*AC321</f>
        <v>22.317119999999999</v>
      </c>
      <c r="AE321" s="2239">
        <f>AE316*AC321</f>
        <v>20.684159999999999</v>
      </c>
      <c r="AF321" s="2239">
        <f>AF316*AC321</f>
        <v>19.59552</v>
      </c>
      <c r="AG321" s="2239">
        <f>AG316*AC321</f>
        <v>0</v>
      </c>
      <c r="AH321" s="2239">
        <f>AH316*AC321</f>
        <v>0</v>
      </c>
      <c r="AM321" s="1076"/>
    </row>
    <row r="322" spans="1:43" s="1808" customFormat="1" ht="17">
      <c r="A322"/>
      <c r="B322"/>
      <c r="C322"/>
      <c r="D322"/>
      <c r="E322"/>
      <c r="F322"/>
      <c r="G322"/>
      <c r="H322"/>
      <c r="I322"/>
      <c r="J322"/>
      <c r="K322" s="712"/>
      <c r="L322" s="833"/>
      <c r="S322"/>
      <c r="T322"/>
      <c r="U322"/>
      <c r="V322"/>
      <c r="W322"/>
      <c r="X322" s="1098"/>
      <c r="AB322" s="691" t="s">
        <v>486</v>
      </c>
      <c r="AC322" s="2241">
        <v>5.1999999999999998E-2</v>
      </c>
      <c r="AD322" s="2238">
        <f>AD316*AC322</f>
        <v>96.707519999999988</v>
      </c>
      <c r="AE322" s="2238">
        <f>AE316*AC322</f>
        <v>89.631359999999987</v>
      </c>
      <c r="AF322" s="2238">
        <f>AF316*AC322</f>
        <v>84.913920000000005</v>
      </c>
      <c r="AG322" s="2238">
        <f>AG316*AC322</f>
        <v>0</v>
      </c>
      <c r="AH322" s="2238">
        <f>AH316*AC322</f>
        <v>0</v>
      </c>
      <c r="AM322" s="1076"/>
    </row>
    <row r="323" spans="1:43" s="1808" customFormat="1" ht="17">
      <c r="A323"/>
      <c r="B323"/>
      <c r="C323"/>
      <c r="D323"/>
      <c r="E323"/>
      <c r="F323"/>
      <c r="G323"/>
      <c r="H323"/>
      <c r="I323"/>
      <c r="J323"/>
      <c r="K323" s="712"/>
      <c r="L323" s="833"/>
      <c r="S323"/>
      <c r="T323"/>
      <c r="U323"/>
      <c r="V323"/>
      <c r="W323"/>
      <c r="X323" s="1098"/>
      <c r="AB323" s="691" t="s">
        <v>3741</v>
      </c>
      <c r="AC323" s="2241">
        <v>4.2000000000000003E-2</v>
      </c>
      <c r="AD323" s="2238">
        <f>AD316*AC323</f>
        <v>78.109920000000002</v>
      </c>
      <c r="AE323" s="2238">
        <f>AE316*AC323</f>
        <v>72.394559999999998</v>
      </c>
      <c r="AF323" s="2238">
        <f>AF316*AC323</f>
        <v>68.584320000000005</v>
      </c>
      <c r="AG323" s="2238">
        <f>AG316*AC323</f>
        <v>0</v>
      </c>
      <c r="AH323" s="2238">
        <f>AH316*AC323</f>
        <v>0</v>
      </c>
      <c r="AM323" s="1076"/>
    </row>
    <row r="324" spans="1:43" s="1808" customFormat="1" ht="35" thickBot="1">
      <c r="A324"/>
      <c r="B324"/>
      <c r="C324"/>
      <c r="D324"/>
      <c r="E324"/>
      <c r="F324"/>
      <c r="G324"/>
      <c r="H324"/>
      <c r="I324"/>
      <c r="J324"/>
      <c r="K324" s="712"/>
      <c r="L324" s="833"/>
      <c r="S324"/>
      <c r="T324"/>
      <c r="U324"/>
      <c r="V324"/>
      <c r="W324"/>
      <c r="X324" s="1098"/>
      <c r="AB324" s="828" t="s">
        <v>3739</v>
      </c>
      <c r="AD324" s="2240">
        <f>SUM(AD321:AD323)</f>
        <v>197.13455999999999</v>
      </c>
      <c r="AE324" s="2240">
        <f t="shared" ref="AE324" si="226">SUM(AE321:AE323)</f>
        <v>182.71008</v>
      </c>
      <c r="AF324" s="2240">
        <f t="shared" ref="AF324" si="227">SUM(AF321:AF323)</f>
        <v>173.09376000000003</v>
      </c>
      <c r="AG324" s="2240">
        <f t="shared" ref="AG324" si="228">SUM(AG321:AG323)</f>
        <v>0</v>
      </c>
      <c r="AH324" s="2240">
        <f t="shared" ref="AH324" si="229">SUM(AH321:AH323)</f>
        <v>0</v>
      </c>
      <c r="AI324" s="1098"/>
      <c r="AJ324" s="2245"/>
      <c r="AL324" s="1098">
        <f>SUM(AD324:AJ324)</f>
        <v>552.9384</v>
      </c>
      <c r="AM324" s="1076"/>
    </row>
    <row r="325" spans="1:43" s="1808" customFormat="1" ht="16" thickBot="1">
      <c r="A325" s="2202">
        <v>232</v>
      </c>
      <c r="B325" s="2201">
        <f>AD325</f>
        <v>36137.395404129602</v>
      </c>
      <c r="C325" s="2201">
        <f t="shared" ref="C325:F325" si="230">AE325</f>
        <v>33493.195740412797</v>
      </c>
      <c r="D325" s="2201">
        <f t="shared" si="230"/>
        <v>31730.395964601597</v>
      </c>
      <c r="E325" s="2201">
        <f t="shared" si="230"/>
        <v>0</v>
      </c>
      <c r="F325" s="2201">
        <f t="shared" si="230"/>
        <v>0</v>
      </c>
      <c r="G325" s="841" t="s">
        <v>351</v>
      </c>
      <c r="H325" s="2201" t="s">
        <v>2210</v>
      </c>
      <c r="I325" s="2204"/>
      <c r="J325" s="841" t="s">
        <v>2961</v>
      </c>
      <c r="K325" s="712"/>
      <c r="L325" s="833"/>
      <c r="S325"/>
      <c r="T325"/>
      <c r="U325"/>
      <c r="V325"/>
      <c r="W325"/>
      <c r="X325" s="1098"/>
      <c r="AD325" s="2242">
        <f>(AD316+AD324)*USD</f>
        <v>36137.395404129602</v>
      </c>
      <c r="AE325" s="2243">
        <f>(AE316+AE324)*USD</f>
        <v>33493.195740412797</v>
      </c>
      <c r="AF325" s="2243">
        <f>(AF316+AF324)*USD</f>
        <v>31730.395964601597</v>
      </c>
      <c r="AG325" s="2243">
        <f>(AG316+AG324)*USD</f>
        <v>0</v>
      </c>
      <c r="AH325" s="2244">
        <f>(AH316+AH324)*USD</f>
        <v>0</v>
      </c>
      <c r="AM325" s="1076"/>
      <c r="AN325" s="1808">
        <f>AD325/EUR</f>
        <v>1841.4238118217434</v>
      </c>
      <c r="AO325" s="1808">
        <f>AE325/EUR</f>
        <v>1706.6854841274692</v>
      </c>
      <c r="AP325" s="1808">
        <f>AF325/EUR</f>
        <v>1616.8599323312867</v>
      </c>
      <c r="AQ325" s="1808">
        <f>AG325/EUR</f>
        <v>0</v>
      </c>
    </row>
    <row r="326" spans="1:43" ht="6" customHeight="1" thickBot="1">
      <c r="K326" s="712"/>
      <c r="L326" s="1222"/>
      <c r="M326" s="1076"/>
      <c r="N326" s="1076"/>
      <c r="O326" s="1076"/>
      <c r="P326" s="1076"/>
      <c r="Q326" s="1076"/>
      <c r="R326" s="1076"/>
      <c r="S326" s="1076"/>
      <c r="T326" s="1076"/>
      <c r="U326" s="1076"/>
      <c r="V326" s="1076"/>
      <c r="W326" s="1076"/>
      <c r="X326" s="1076"/>
      <c r="Y326" s="1076"/>
      <c r="Z326" s="1076"/>
      <c r="AA326" s="1076"/>
      <c r="AB326" s="1076"/>
      <c r="AC326" s="1076"/>
      <c r="AD326" s="1076"/>
      <c r="AE326" s="1076"/>
      <c r="AF326" s="1076"/>
      <c r="AG326" s="1076"/>
      <c r="AH326" s="1076"/>
      <c r="AI326" s="1076"/>
      <c r="AJ326" s="1076"/>
      <c r="AK326" s="1076"/>
      <c r="AL326" s="1076"/>
      <c r="AM326" s="1076"/>
    </row>
    <row r="327" spans="1:43" ht="21">
      <c r="K327" s="712"/>
      <c r="L327" s="833"/>
      <c r="M327" s="1208" t="s">
        <v>2385</v>
      </c>
      <c r="Q327" s="1302" t="s">
        <v>2387</v>
      </c>
      <c r="S327" s="1303">
        <v>900</v>
      </c>
      <c r="T327" s="1303">
        <v>900</v>
      </c>
      <c r="U327" s="1303">
        <v>900</v>
      </c>
      <c r="V327" s="1303">
        <v>900</v>
      </c>
      <c r="W327" s="1303">
        <v>900</v>
      </c>
      <c r="AM327" s="1076"/>
    </row>
    <row r="328" spans="1:43" ht="21">
      <c r="K328" s="712"/>
      <c r="L328" s="833"/>
      <c r="M328" s="1073"/>
      <c r="Q328" t="s">
        <v>2208</v>
      </c>
      <c r="S328" s="1988">
        <v>0.67</v>
      </c>
      <c r="T328" s="1989">
        <v>0.7</v>
      </c>
      <c r="U328" s="1989">
        <v>0.7</v>
      </c>
      <c r="V328" s="1989">
        <v>0.75</v>
      </c>
      <c r="W328" s="1990">
        <v>0.75</v>
      </c>
      <c r="AM328" s="1076"/>
    </row>
    <row r="329" spans="1:43" ht="22" thickBot="1">
      <c r="K329" s="712"/>
      <c r="L329" s="833"/>
      <c r="M329" s="1073"/>
      <c r="Q329" t="s">
        <v>2209</v>
      </c>
      <c r="S329" s="1215">
        <f>ROUND(S327*S328,0)</f>
        <v>603</v>
      </c>
      <c r="T329" s="1133">
        <f t="shared" ref="T329:W329" si="231">ROUND(T327*T328,0)</f>
        <v>630</v>
      </c>
      <c r="U329" s="1133">
        <f t="shared" si="231"/>
        <v>630</v>
      </c>
      <c r="V329" s="1133">
        <f t="shared" si="231"/>
        <v>675</v>
      </c>
      <c r="W329" s="1216">
        <f t="shared" si="231"/>
        <v>675</v>
      </c>
      <c r="AM329" s="1076"/>
    </row>
    <row r="330" spans="1:43" ht="22" thickBot="1">
      <c r="K330" s="712"/>
      <c r="L330" s="833"/>
      <c r="M330" s="1073"/>
      <c r="AC330" s="1808"/>
      <c r="AD330" s="1758" t="s">
        <v>351</v>
      </c>
      <c r="AE330" s="966"/>
      <c r="AF330" s="966"/>
      <c r="AG330" s="966"/>
      <c r="AH330" s="967"/>
      <c r="AM330" s="1076"/>
    </row>
    <row r="331" spans="1:43" ht="17" thickBot="1">
      <c r="K331" s="712"/>
      <c r="L331"/>
      <c r="S331" s="530" t="s">
        <v>2191</v>
      </c>
      <c r="T331" s="528"/>
      <c r="U331" s="528"/>
      <c r="V331" s="528"/>
      <c r="W331" s="529"/>
      <c r="X331" s="530" t="s">
        <v>2202</v>
      </c>
      <c r="Y331" s="528"/>
      <c r="Z331" s="528"/>
      <c r="AA331" s="528"/>
      <c r="AB331" s="529"/>
      <c r="AC331" s="1808"/>
      <c r="AD331" s="1049"/>
      <c r="AE331" s="960"/>
      <c r="AF331" s="960"/>
      <c r="AG331" s="960"/>
      <c r="AH331" s="62"/>
      <c r="AM331" s="1076"/>
    </row>
    <row r="332" spans="1:43" ht="35" thickBot="1">
      <c r="K332" s="712"/>
      <c r="L332"/>
      <c r="M332" s="1103" t="s">
        <v>312</v>
      </c>
      <c r="N332" s="1103" t="s">
        <v>354</v>
      </c>
      <c r="O332" s="1083" t="s">
        <v>328</v>
      </c>
      <c r="P332" s="1083" t="s">
        <v>327</v>
      </c>
      <c r="Q332" s="1083" t="s">
        <v>329</v>
      </c>
      <c r="R332" s="1104" t="s">
        <v>97</v>
      </c>
      <c r="S332" s="1057">
        <v>2021</v>
      </c>
      <c r="T332" s="1058">
        <v>2022</v>
      </c>
      <c r="U332" s="1058">
        <v>2023</v>
      </c>
      <c r="V332" s="1058">
        <v>2024</v>
      </c>
      <c r="W332" s="1059">
        <v>2025</v>
      </c>
      <c r="X332" s="1057">
        <v>2021</v>
      </c>
      <c r="Y332" s="1058">
        <v>2022</v>
      </c>
      <c r="Z332" s="1058">
        <v>2023</v>
      </c>
      <c r="AA332" s="1058">
        <v>2024</v>
      </c>
      <c r="AB332" s="1059">
        <v>2025</v>
      </c>
      <c r="AC332" s="1808"/>
      <c r="AD332" s="2267">
        <v>0.8</v>
      </c>
      <c r="AE332" s="2268">
        <v>0.7</v>
      </c>
      <c r="AF332" s="2268">
        <v>0.6</v>
      </c>
      <c r="AG332" s="2269"/>
      <c r="AH332" s="2270"/>
      <c r="AM332" s="1076"/>
    </row>
    <row r="333" spans="1:43" ht="18" thickBot="1">
      <c r="K333" s="712"/>
      <c r="L333"/>
      <c r="M333" s="1124" t="s">
        <v>320</v>
      </c>
      <c r="N333" s="1377">
        <v>0.2</v>
      </c>
      <c r="O333" s="1202">
        <v>1</v>
      </c>
      <c r="P333" s="1202">
        <v>30</v>
      </c>
      <c r="Q333" s="1202">
        <v>6</v>
      </c>
      <c r="R333" s="1176">
        <f t="shared" ref="R333:R338" si="232">O333*P333*Q333</f>
        <v>180</v>
      </c>
      <c r="S333" s="1167">
        <f>ROUND(S329*$N333,0)</f>
        <v>121</v>
      </c>
      <c r="T333" s="1168">
        <f t="shared" ref="T333:W333" si="233">ROUND(T329*$N333,0)</f>
        <v>126</v>
      </c>
      <c r="U333" s="1168">
        <f t="shared" si="233"/>
        <v>126</v>
      </c>
      <c r="V333" s="1168">
        <f t="shared" si="233"/>
        <v>135</v>
      </c>
      <c r="W333" s="1169">
        <f t="shared" si="233"/>
        <v>135</v>
      </c>
      <c r="X333" s="1167">
        <f>S333*$R333</f>
        <v>21780</v>
      </c>
      <c r="Y333" s="1168">
        <f t="shared" ref="Y333:Y335" si="234">T333*$R333</f>
        <v>22680</v>
      </c>
      <c r="Z333" s="1168">
        <f t="shared" ref="Z333:Z335" si="235">U333*$R333</f>
        <v>22680</v>
      </c>
      <c r="AA333" s="1168">
        <f t="shared" ref="AA333:AA335" si="236">V333*$R333</f>
        <v>24300</v>
      </c>
      <c r="AB333" s="1169">
        <f t="shared" ref="AB333:AB335" si="237">W333*$R333</f>
        <v>24300</v>
      </c>
      <c r="AC333" s="1808"/>
      <c r="AD333" s="2264"/>
      <c r="AE333" s="1025"/>
      <c r="AF333" s="1025"/>
      <c r="AG333" s="1025"/>
      <c r="AH333" s="1903"/>
      <c r="AM333" s="1076"/>
    </row>
    <row r="334" spans="1:43" ht="17" thickBot="1">
      <c r="K334" s="712"/>
      <c r="L334"/>
      <c r="M334" s="1257" t="s">
        <v>2237</v>
      </c>
      <c r="N334" s="1377">
        <v>0.7</v>
      </c>
      <c r="O334" s="1203">
        <v>3</v>
      </c>
      <c r="P334" s="1203">
        <v>12</v>
      </c>
      <c r="Q334" s="1203">
        <v>3</v>
      </c>
      <c r="R334" s="1176">
        <f t="shared" si="232"/>
        <v>108</v>
      </c>
      <c r="S334" s="1167">
        <f>ROUND(S329*$N334,0)-AD334</f>
        <v>84</v>
      </c>
      <c r="T334" s="1168">
        <f t="shared" ref="T334:W334" si="238">ROUND(T329*$N334,0)-AE334</f>
        <v>132</v>
      </c>
      <c r="U334" s="1168">
        <f t="shared" si="238"/>
        <v>176</v>
      </c>
      <c r="V334" s="1168">
        <f t="shared" si="238"/>
        <v>473</v>
      </c>
      <c r="W334" s="1169">
        <f t="shared" si="238"/>
        <v>473</v>
      </c>
      <c r="X334" s="1167">
        <f>S334*$R334</f>
        <v>9072</v>
      </c>
      <c r="Y334" s="1168">
        <f t="shared" si="234"/>
        <v>14256</v>
      </c>
      <c r="Z334" s="1168">
        <f t="shared" si="235"/>
        <v>19008</v>
      </c>
      <c r="AA334" s="1168">
        <f t="shared" si="236"/>
        <v>51084</v>
      </c>
      <c r="AB334" s="1169">
        <f t="shared" si="237"/>
        <v>51084</v>
      </c>
      <c r="AC334" s="1808"/>
      <c r="AD334" s="2254">
        <f>ROUND(S329*$N334*AD332,0)</f>
        <v>338</v>
      </c>
      <c r="AE334" s="2236">
        <f t="shared" ref="AE334" si="239">ROUND(T329*$N334*AE332,0)</f>
        <v>309</v>
      </c>
      <c r="AF334" s="2236">
        <f t="shared" ref="AF334" si="240">ROUND(U329*$N334*AF332,0)</f>
        <v>265</v>
      </c>
      <c r="AG334" s="2236">
        <f t="shared" ref="AG334" si="241">ROUND(V329*$N334*AG332,0)</f>
        <v>0</v>
      </c>
      <c r="AH334" s="2255">
        <f t="shared" ref="AH334" si="242">ROUND(W329*$N334*AH332,0)</f>
        <v>0</v>
      </c>
      <c r="AM334" s="1076"/>
    </row>
    <row r="335" spans="1:43" ht="17">
      <c r="K335" s="712"/>
      <c r="L335"/>
      <c r="M335" s="1147" t="s">
        <v>2201</v>
      </c>
      <c r="N335" s="2666">
        <v>0.1</v>
      </c>
      <c r="O335" s="1201">
        <v>6</v>
      </c>
      <c r="P335" s="1201">
        <v>12</v>
      </c>
      <c r="Q335" s="1201">
        <v>3</v>
      </c>
      <c r="R335" s="1173">
        <f t="shared" si="232"/>
        <v>216</v>
      </c>
      <c r="S335" s="2668">
        <f>ROUND(S329*$N335,0)</f>
        <v>60</v>
      </c>
      <c r="T335" s="2670">
        <f t="shared" ref="T335:W335" si="243">ROUND(T329*$N335,0)</f>
        <v>63</v>
      </c>
      <c r="U335" s="2670">
        <f t="shared" si="243"/>
        <v>63</v>
      </c>
      <c r="V335" s="2670">
        <f t="shared" si="243"/>
        <v>68</v>
      </c>
      <c r="W335" s="2664">
        <f t="shared" si="243"/>
        <v>68</v>
      </c>
      <c r="X335" s="1155">
        <f>S335*$R335</f>
        <v>12960</v>
      </c>
      <c r="Y335" s="1156">
        <f t="shared" si="234"/>
        <v>13608</v>
      </c>
      <c r="Z335" s="1156">
        <f t="shared" si="235"/>
        <v>13608</v>
      </c>
      <c r="AA335" s="1156">
        <f t="shared" si="236"/>
        <v>14688</v>
      </c>
      <c r="AB335" s="1157">
        <f t="shared" si="237"/>
        <v>14688</v>
      </c>
      <c r="AC335" s="1808"/>
      <c r="AD335" s="2264"/>
      <c r="AE335" s="1025"/>
      <c r="AF335" s="1025"/>
      <c r="AG335" s="1025"/>
      <c r="AH335" s="1903"/>
      <c r="AM335" s="1076"/>
    </row>
    <row r="336" spans="1:43" ht="18" thickBot="1">
      <c r="K336" s="712"/>
      <c r="L336"/>
      <c r="M336" s="1135" t="s">
        <v>320</v>
      </c>
      <c r="N336" s="2667"/>
      <c r="O336" s="1199">
        <v>3</v>
      </c>
      <c r="P336" s="1199">
        <v>12</v>
      </c>
      <c r="Q336" s="1199">
        <v>3</v>
      </c>
      <c r="R336" s="1174">
        <f t="shared" si="232"/>
        <v>108</v>
      </c>
      <c r="S336" s="2669"/>
      <c r="T336" s="2671"/>
      <c r="U336" s="2671"/>
      <c r="V336" s="2671"/>
      <c r="W336" s="2665"/>
      <c r="X336" s="1158">
        <f>S335*$R336</f>
        <v>6480</v>
      </c>
      <c r="Y336" s="1159">
        <f t="shared" ref="Y336" si="244">T335*$R336</f>
        <v>6804</v>
      </c>
      <c r="Z336" s="1159">
        <f t="shared" ref="Z336" si="245">U335*$R336</f>
        <v>6804</v>
      </c>
      <c r="AA336" s="1159">
        <f t="shared" ref="AA336" si="246">V335*$R336</f>
        <v>7344</v>
      </c>
      <c r="AB336" s="1160">
        <f t="shared" ref="AB336" si="247">W335*$R336</f>
        <v>7344</v>
      </c>
      <c r="AC336" s="1808"/>
      <c r="AD336" s="1049"/>
      <c r="AE336" s="960"/>
      <c r="AF336" s="960"/>
      <c r="AG336" s="960"/>
      <c r="AH336" s="62"/>
      <c r="AM336" s="1076"/>
    </row>
    <row r="337" spans="11:39" ht="18" thickBot="1">
      <c r="K337" s="712"/>
      <c r="L337"/>
      <c r="M337" s="1124" t="s">
        <v>319</v>
      </c>
      <c r="N337" s="1378">
        <v>0</v>
      </c>
      <c r="O337" s="1202">
        <v>2</v>
      </c>
      <c r="P337" s="1202">
        <v>30</v>
      </c>
      <c r="Q337" s="1202">
        <v>4</v>
      </c>
      <c r="R337" s="1176">
        <f t="shared" si="232"/>
        <v>240</v>
      </c>
      <c r="S337" s="1167">
        <f>ROUND(S329*$N337,0)</f>
        <v>0</v>
      </c>
      <c r="T337" s="1168">
        <f t="shared" ref="T337:W337" si="248">ROUND(T329*$N337,0)</f>
        <v>0</v>
      </c>
      <c r="U337" s="1168">
        <f t="shared" si="248"/>
        <v>0</v>
      </c>
      <c r="V337" s="1168">
        <f t="shared" si="248"/>
        <v>0</v>
      </c>
      <c r="W337" s="1169">
        <f t="shared" si="248"/>
        <v>0</v>
      </c>
      <c r="X337" s="1167">
        <f>S337*$R337</f>
        <v>0</v>
      </c>
      <c r="Y337" s="1168">
        <f t="shared" ref="Y337:Y338" si="249">T337*$R337</f>
        <v>0</v>
      </c>
      <c r="Z337" s="1168">
        <f t="shared" ref="Z337:Z338" si="250">U337*$R337</f>
        <v>0</v>
      </c>
      <c r="AA337" s="1168">
        <f t="shared" ref="AA337:AA338" si="251">V337*$R337</f>
        <v>0</v>
      </c>
      <c r="AB337" s="1169">
        <f t="shared" ref="AB337:AB338" si="252">W337*$R337</f>
        <v>0</v>
      </c>
      <c r="AC337" s="1808"/>
      <c r="AD337" s="1049"/>
      <c r="AE337" s="960"/>
      <c r="AF337" s="960"/>
      <c r="AG337" s="960"/>
      <c r="AH337" s="62"/>
      <c r="AM337" s="1076"/>
    </row>
    <row r="338" spans="11:39" ht="17" thickBot="1">
      <c r="K338" s="712"/>
      <c r="L338"/>
      <c r="M338" s="1214" t="s">
        <v>2177</v>
      </c>
      <c r="N338" s="1185"/>
      <c r="O338" s="1263">
        <v>1</v>
      </c>
      <c r="P338" s="1263">
        <v>30</v>
      </c>
      <c r="Q338" s="1263">
        <v>4</v>
      </c>
      <c r="R338" s="1194">
        <f t="shared" si="232"/>
        <v>120</v>
      </c>
      <c r="S338" s="1195">
        <f>S334+S333+S335+AD334</f>
        <v>603</v>
      </c>
      <c r="T338" s="1196">
        <f t="shared" ref="T338" si="253">T334+T333+T335+AE334</f>
        <v>630</v>
      </c>
      <c r="U338" s="1196">
        <f t="shared" ref="U338" si="254">U334+U333+U335+AF334</f>
        <v>630</v>
      </c>
      <c r="V338" s="1196">
        <f t="shared" ref="V338" si="255">V334+V333+V335+AG334</f>
        <v>676</v>
      </c>
      <c r="W338" s="1197">
        <f t="shared" ref="W338" si="256">W334+W333+W335+AH334</f>
        <v>676</v>
      </c>
      <c r="X338" s="1187">
        <f>S338*$R338</f>
        <v>72360</v>
      </c>
      <c r="Y338" s="1188">
        <f t="shared" si="249"/>
        <v>75600</v>
      </c>
      <c r="Z338" s="1188">
        <f t="shared" si="250"/>
        <v>75600</v>
      </c>
      <c r="AA338" s="1188">
        <f t="shared" si="251"/>
        <v>81120</v>
      </c>
      <c r="AB338" s="1189">
        <f t="shared" si="252"/>
        <v>81120</v>
      </c>
      <c r="AC338" s="1808"/>
      <c r="AD338" s="1049"/>
      <c r="AE338" s="960"/>
      <c r="AF338" s="960"/>
      <c r="AG338" s="960"/>
      <c r="AH338" s="62"/>
      <c r="AM338" s="1076"/>
    </row>
    <row r="339" spans="11:39">
      <c r="K339" s="712"/>
      <c r="L339"/>
      <c r="N339" s="734" t="str">
        <f>IF(SUM(N333:N337)=1,"ok","% sumar nu este =100%")</f>
        <v>ok</v>
      </c>
      <c r="X339" s="1307">
        <f>SUM(X333:X338)</f>
        <v>122652</v>
      </c>
      <c r="Y339" s="1307">
        <f t="shared" ref="Y339:AB339" si="257">SUM(Y333:Y338)</f>
        <v>132948</v>
      </c>
      <c r="Z339" s="1307">
        <f t="shared" si="257"/>
        <v>137700</v>
      </c>
      <c r="AA339" s="1307">
        <f t="shared" si="257"/>
        <v>178536</v>
      </c>
      <c r="AB339" s="1307">
        <f t="shared" si="257"/>
        <v>178536</v>
      </c>
      <c r="AC339" s="1808"/>
      <c r="AD339" s="1049"/>
      <c r="AE339" s="960"/>
      <c r="AF339" s="960"/>
      <c r="AG339" s="960"/>
      <c r="AH339" s="62"/>
      <c r="AM339" s="1076"/>
    </row>
    <row r="340" spans="11:39" ht="16" thickBot="1">
      <c r="K340" s="712"/>
      <c r="L340" s="833"/>
      <c r="AC340" s="1808"/>
      <c r="AD340" s="1049"/>
      <c r="AE340" s="960"/>
      <c r="AF340" s="960"/>
      <c r="AG340" s="960"/>
      <c r="AH340" s="62"/>
      <c r="AM340" s="1076"/>
    </row>
    <row r="341" spans="11:39" ht="17" thickBot="1">
      <c r="K341" s="712"/>
      <c r="L341" s="833"/>
      <c r="M341" s="960"/>
      <c r="N341" s="526"/>
      <c r="O341" s="526"/>
      <c r="P341" s="526"/>
      <c r="Q341" s="526"/>
      <c r="R341" s="526"/>
      <c r="S341" s="530" t="s">
        <v>333</v>
      </c>
      <c r="T341" s="528"/>
      <c r="U341" s="528"/>
      <c r="V341" s="528"/>
      <c r="W341" s="529"/>
      <c r="AC341" s="1808"/>
      <c r="AD341" s="2247"/>
      <c r="AE341" s="1084"/>
      <c r="AF341" s="1084"/>
      <c r="AG341" s="1084"/>
      <c r="AH341" s="2248"/>
      <c r="AM341" s="1076"/>
    </row>
    <row r="342" spans="11:39" ht="17" thickBot="1">
      <c r="K342" s="712"/>
      <c r="L342"/>
      <c r="N342" s="526"/>
      <c r="O342" s="526"/>
      <c r="P342" s="526"/>
      <c r="Q342" s="526"/>
      <c r="R342" s="526"/>
      <c r="S342" s="584">
        <v>2021</v>
      </c>
      <c r="T342" s="585">
        <v>2022</v>
      </c>
      <c r="U342" s="585">
        <v>2023</v>
      </c>
      <c r="V342" s="585">
        <v>2024</v>
      </c>
      <c r="W342" s="586">
        <v>2025</v>
      </c>
      <c r="AC342" s="1808"/>
      <c r="AD342" s="1057">
        <v>2021</v>
      </c>
      <c r="AE342" s="1058">
        <v>2022</v>
      </c>
      <c r="AF342" s="1058">
        <v>2023</v>
      </c>
      <c r="AG342" s="1058">
        <v>2024</v>
      </c>
      <c r="AH342" s="1059">
        <v>2025</v>
      </c>
      <c r="AM342" s="1076"/>
    </row>
    <row r="343" spans="11:39" ht="16">
      <c r="K343" s="712"/>
      <c r="L343"/>
      <c r="N343" s="1094" t="s">
        <v>320</v>
      </c>
      <c r="O343" s="1084"/>
      <c r="P343" s="1084"/>
      <c r="Q343" s="1084"/>
      <c r="R343" s="1084"/>
      <c r="S343" s="1403">
        <f>SUMIF($M$333:$M$338,$N343,X$333:X$338)</f>
        <v>28260</v>
      </c>
      <c r="T343" s="1149">
        <f t="shared" ref="T343:W343" si="258">SUMIF($M$333:$M$338,$N343,Y$333:Y$338)</f>
        <v>29484</v>
      </c>
      <c r="U343" s="1149">
        <f t="shared" si="258"/>
        <v>29484</v>
      </c>
      <c r="V343" s="1149">
        <f t="shared" si="258"/>
        <v>31644</v>
      </c>
      <c r="W343" s="1150">
        <f t="shared" si="258"/>
        <v>31644</v>
      </c>
      <c r="AC343" s="1808"/>
      <c r="AD343" s="2249"/>
      <c r="AE343" s="1149"/>
      <c r="AF343" s="1149"/>
      <c r="AG343" s="1149"/>
      <c r="AH343" s="2250"/>
      <c r="AM343" s="1076"/>
    </row>
    <row r="344" spans="11:39" ht="16">
      <c r="K344" s="712"/>
      <c r="L344"/>
      <c r="N344" s="1095" t="s">
        <v>2237</v>
      </c>
      <c r="O344" s="591"/>
      <c r="P344" s="591"/>
      <c r="Q344" s="591"/>
      <c r="R344" s="591"/>
      <c r="S344" s="1143">
        <f t="shared" ref="S344:S347" si="259">SUMIF($M$333:$M$338,$N344,X$333:X$338)</f>
        <v>9072</v>
      </c>
      <c r="T344" s="1141">
        <f t="shared" ref="T344:T347" si="260">SUMIF($M$333:$M$338,$N344,Y$333:Y$338)</f>
        <v>14256</v>
      </c>
      <c r="U344" s="1141">
        <f t="shared" ref="U344:U347" si="261">SUMIF($M$333:$M$338,$N344,Z$333:Z$338)</f>
        <v>19008</v>
      </c>
      <c r="V344" s="1141">
        <f t="shared" ref="V344:V347" si="262">SUMIF($M$333:$M$338,$N344,AA$333:AA$338)</f>
        <v>51084</v>
      </c>
      <c r="W344" s="1142">
        <f t="shared" ref="W344:W347" si="263">SUMIF($M$333:$M$338,$N344,AB$333:AB$338)</f>
        <v>51084</v>
      </c>
      <c r="AC344" s="1808"/>
      <c r="AD344" s="1140">
        <f>AD334*$R334</f>
        <v>36504</v>
      </c>
      <c r="AE344" s="1141">
        <f>AE334*$R334</f>
        <v>33372</v>
      </c>
      <c r="AF344" s="1141">
        <f>AF334*$R334</f>
        <v>28620</v>
      </c>
      <c r="AG344" s="1141">
        <f>AG334*$R334</f>
        <v>0</v>
      </c>
      <c r="AH344" s="1142">
        <f>AH334*$R334</f>
        <v>0</v>
      </c>
      <c r="AI344" s="1098"/>
      <c r="AM344" s="1076"/>
    </row>
    <row r="345" spans="11:39" ht="16">
      <c r="K345" s="712"/>
      <c r="L345"/>
      <c r="N345" s="1095" t="s">
        <v>2201</v>
      </c>
      <c r="O345" s="591"/>
      <c r="P345" s="591"/>
      <c r="Q345" s="591"/>
      <c r="R345" s="591"/>
      <c r="S345" s="1143">
        <f t="shared" si="259"/>
        <v>12960</v>
      </c>
      <c r="T345" s="1144">
        <f t="shared" si="260"/>
        <v>13608</v>
      </c>
      <c r="U345" s="1144">
        <f t="shared" si="261"/>
        <v>13608</v>
      </c>
      <c r="V345" s="1144">
        <f t="shared" si="262"/>
        <v>14688</v>
      </c>
      <c r="W345" s="1145">
        <f t="shared" si="263"/>
        <v>14688</v>
      </c>
      <c r="AC345" s="1808"/>
      <c r="AD345" s="1049"/>
      <c r="AE345" s="960"/>
      <c r="AF345" s="960"/>
      <c r="AG345" s="960"/>
      <c r="AH345" s="62"/>
      <c r="AI345" s="1098"/>
      <c r="AM345" s="1076"/>
    </row>
    <row r="346" spans="11:39" ht="16">
      <c r="K346" s="712"/>
      <c r="L346"/>
      <c r="N346" s="1095" t="s">
        <v>319</v>
      </c>
      <c r="O346" s="591"/>
      <c r="P346" s="591"/>
      <c r="Q346" s="591"/>
      <c r="R346" s="591"/>
      <c r="S346" s="1143">
        <f t="shared" si="259"/>
        <v>0</v>
      </c>
      <c r="T346" s="1144">
        <f t="shared" si="260"/>
        <v>0</v>
      </c>
      <c r="U346" s="1144">
        <f t="shared" si="261"/>
        <v>0</v>
      </c>
      <c r="V346" s="1144">
        <f t="shared" si="262"/>
        <v>0</v>
      </c>
      <c r="W346" s="1145">
        <f t="shared" si="263"/>
        <v>0</v>
      </c>
      <c r="AC346" s="1808"/>
      <c r="AD346" s="2265"/>
      <c r="AE346" s="2263"/>
      <c r="AF346" s="2263"/>
      <c r="AG346" s="2263"/>
      <c r="AH346" s="2266"/>
      <c r="AM346" s="1076"/>
    </row>
    <row r="347" spans="11:39" ht="17" thickBot="1">
      <c r="K347" s="712"/>
      <c r="L347" s="833"/>
      <c r="N347" s="1096" t="s">
        <v>2177</v>
      </c>
      <c r="O347" s="596"/>
      <c r="P347" s="596"/>
      <c r="Q347" s="596"/>
      <c r="R347" s="596"/>
      <c r="S347" s="1111">
        <f t="shared" si="259"/>
        <v>72360</v>
      </c>
      <c r="T347" s="1112">
        <f t="shared" si="260"/>
        <v>75600</v>
      </c>
      <c r="U347" s="1112">
        <f t="shared" si="261"/>
        <v>75600</v>
      </c>
      <c r="V347" s="1112">
        <f t="shared" si="262"/>
        <v>81120</v>
      </c>
      <c r="W347" s="1113">
        <f t="shared" si="263"/>
        <v>81120</v>
      </c>
      <c r="AC347" s="1808"/>
      <c r="AD347" s="2265"/>
      <c r="AE347" s="2263"/>
      <c r="AF347" s="2263"/>
      <c r="AG347" s="2263"/>
      <c r="AH347" s="2266"/>
      <c r="AM347" s="1076"/>
    </row>
    <row r="348" spans="11:39">
      <c r="K348" s="712"/>
      <c r="L348" s="833"/>
      <c r="S348" s="1307">
        <f>SUM(S343:S347)</f>
        <v>122652</v>
      </c>
      <c r="T348" s="1307">
        <f t="shared" ref="T348:W348" si="264">SUM(T343:T347)</f>
        <v>132948</v>
      </c>
      <c r="U348" s="1307">
        <f t="shared" si="264"/>
        <v>137700</v>
      </c>
      <c r="V348" s="1307">
        <f t="shared" si="264"/>
        <v>178536</v>
      </c>
      <c r="W348" s="1307">
        <f t="shared" si="264"/>
        <v>178536</v>
      </c>
      <c r="AC348" s="1808"/>
      <c r="AD348" s="1049"/>
      <c r="AE348" s="960"/>
      <c r="AF348" s="960"/>
      <c r="AG348" s="960"/>
      <c r="AH348" s="62"/>
      <c r="AM348" s="1076"/>
    </row>
    <row r="349" spans="11:39" ht="16" thickBot="1">
      <c r="K349" s="712"/>
      <c r="L349" s="833"/>
      <c r="AC349" s="1808"/>
      <c r="AD349" s="1049"/>
      <c r="AE349" s="960"/>
      <c r="AF349" s="960"/>
      <c r="AG349" s="960"/>
      <c r="AH349" s="62"/>
      <c r="AM349" s="1076"/>
    </row>
    <row r="350" spans="11:39" ht="17" thickBot="1">
      <c r="K350" s="712"/>
      <c r="L350" s="833"/>
      <c r="N350" s="526"/>
      <c r="O350" s="526"/>
      <c r="P350" s="526"/>
      <c r="Q350" s="526"/>
      <c r="R350" s="526"/>
      <c r="S350" s="530" t="s">
        <v>2189</v>
      </c>
      <c r="T350" s="528"/>
      <c r="U350" s="528"/>
      <c r="V350" s="528"/>
      <c r="W350" s="529"/>
      <c r="AC350" s="1808"/>
      <c r="AD350" s="2247"/>
      <c r="AE350" s="1084"/>
      <c r="AF350" s="1084"/>
      <c r="AG350" s="1084"/>
      <c r="AH350" s="2248"/>
      <c r="AM350" s="1076"/>
    </row>
    <row r="351" spans="11:39" ht="17" thickBot="1">
      <c r="K351" s="712"/>
      <c r="L351" s="833"/>
      <c r="N351" s="526"/>
      <c r="O351" s="526"/>
      <c r="P351" s="526"/>
      <c r="Q351" s="526"/>
      <c r="R351" s="526" t="s">
        <v>2190</v>
      </c>
      <c r="S351" s="584">
        <v>2021</v>
      </c>
      <c r="T351" s="585">
        <v>2022</v>
      </c>
      <c r="U351" s="585">
        <v>2023</v>
      </c>
      <c r="V351" s="585">
        <v>2024</v>
      </c>
      <c r="W351" s="586">
        <v>2025</v>
      </c>
      <c r="AC351" s="1808" t="s">
        <v>3738</v>
      </c>
      <c r="AD351" s="1046">
        <v>2021</v>
      </c>
      <c r="AE351" s="2272">
        <v>2022</v>
      </c>
      <c r="AF351" s="2272">
        <v>2023</v>
      </c>
      <c r="AG351" s="2272">
        <v>2024</v>
      </c>
      <c r="AH351" s="2273">
        <v>2025</v>
      </c>
      <c r="AM351" s="1076"/>
    </row>
    <row r="352" spans="11:39" ht="16">
      <c r="K352" s="712"/>
      <c r="L352" s="833"/>
      <c r="N352" s="1094" t="str">
        <f>N343</f>
        <v>Isoniazid  300mg  Film uncoated tablet(s)</v>
      </c>
      <c r="O352" s="1084"/>
      <c r="P352" s="1084"/>
      <c r="Q352" s="1084"/>
      <c r="R352" s="980">
        <f>VLOOKUP(N352,Preturi_medicamente!D:F,3,0)</f>
        <v>0.22</v>
      </c>
      <c r="S352" s="1127">
        <f>S343*$R352</f>
        <v>6217.2</v>
      </c>
      <c r="T352" s="1128">
        <f t="shared" ref="T352:W352" si="265">T343*$R352</f>
        <v>6486.4800000000005</v>
      </c>
      <c r="U352" s="1128">
        <f t="shared" si="265"/>
        <v>6486.4800000000005</v>
      </c>
      <c r="V352" s="1128">
        <f t="shared" si="265"/>
        <v>6961.68</v>
      </c>
      <c r="W352" s="1129">
        <f t="shared" si="265"/>
        <v>6961.68</v>
      </c>
      <c r="AC352" s="1808"/>
      <c r="AD352" s="2274"/>
      <c r="AE352" s="2271"/>
      <c r="AF352" s="2271"/>
      <c r="AG352" s="2271"/>
      <c r="AH352" s="2275"/>
      <c r="AM352" s="1076"/>
    </row>
    <row r="353" spans="1:43" ht="16">
      <c r="K353" s="712"/>
      <c r="L353" s="833"/>
      <c r="N353" s="1099" t="str">
        <f t="shared" ref="N353:N356" si="266">N344</f>
        <v>Rifapentine/Isoniazid 300mg/300mg, Film coated tablet(s)</v>
      </c>
      <c r="O353" s="591"/>
      <c r="P353" s="591"/>
      <c r="Q353" s="591"/>
      <c r="R353" s="1081">
        <f>VLOOKUP(N353,Preturi_medicamente!D:F,3,0)</f>
        <v>7.38</v>
      </c>
      <c r="S353" s="1088">
        <f>S344*$R353</f>
        <v>66951.360000000001</v>
      </c>
      <c r="T353" s="1089">
        <f t="shared" ref="T353:W353" si="267">T344*$R353</f>
        <v>105209.28</v>
      </c>
      <c r="U353" s="1089">
        <f t="shared" si="267"/>
        <v>140279.04000000001</v>
      </c>
      <c r="V353" s="1089">
        <f t="shared" si="267"/>
        <v>376999.92</v>
      </c>
      <c r="W353" s="1090">
        <f t="shared" si="267"/>
        <v>376999.92</v>
      </c>
      <c r="AC353" s="1808">
        <f>VLOOKUP(N353,Preturi_medicamente!D:M,10,0)</f>
        <v>0.42</v>
      </c>
      <c r="AD353" s="1088">
        <f>AD344*$AC353</f>
        <v>15331.68</v>
      </c>
      <c r="AE353" s="1089">
        <f>AE344*$AC353</f>
        <v>14016.24</v>
      </c>
      <c r="AF353" s="1089">
        <f>AF344*$AC353</f>
        <v>12020.4</v>
      </c>
      <c r="AG353" s="1089">
        <f>AG344*$AC353</f>
        <v>0</v>
      </c>
      <c r="AH353" s="1090">
        <f>AH344*$AC353</f>
        <v>0</v>
      </c>
      <c r="AI353" s="2279"/>
      <c r="AL353" s="1098">
        <f>SUM(AD353:AJ353)</f>
        <v>41368.32</v>
      </c>
      <c r="AM353" s="1076"/>
    </row>
    <row r="354" spans="1:43" ht="16">
      <c r="K354" s="712"/>
      <c r="L354" s="833"/>
      <c r="N354" s="1099" t="str">
        <f t="shared" si="266"/>
        <v>Rifapentine, 150 mg, Film coated tablet</v>
      </c>
      <c r="O354" s="591"/>
      <c r="P354" s="591"/>
      <c r="Q354" s="591"/>
      <c r="R354" s="1081">
        <f>VLOOKUP(N354,Preturi_medicamente!D:F,3,0)</f>
        <v>11.07</v>
      </c>
      <c r="S354" s="1118">
        <f t="shared" ref="S354:W354" si="268">S345*$R354</f>
        <v>143467.20000000001</v>
      </c>
      <c r="T354" s="1119">
        <f t="shared" si="268"/>
        <v>150640.56</v>
      </c>
      <c r="U354" s="1119">
        <f t="shared" si="268"/>
        <v>150640.56</v>
      </c>
      <c r="V354" s="1119">
        <f t="shared" si="268"/>
        <v>162596.16</v>
      </c>
      <c r="W354" s="1120">
        <f t="shared" si="268"/>
        <v>162596.16</v>
      </c>
      <c r="AC354" s="1808"/>
      <c r="AD354" s="1049"/>
      <c r="AE354" s="960"/>
      <c r="AF354" s="960"/>
      <c r="AG354" s="960"/>
      <c r="AH354" s="62"/>
      <c r="AM354" s="1076"/>
    </row>
    <row r="355" spans="1:43" ht="16">
      <c r="K355" s="712"/>
      <c r="L355" s="833"/>
      <c r="N355" s="1099" t="str">
        <f t="shared" si="266"/>
        <v>Rifampicin  300mg  Film coated tablet(s)</v>
      </c>
      <c r="O355" s="591"/>
      <c r="P355" s="591"/>
      <c r="Q355" s="591"/>
      <c r="R355" s="1081">
        <f>VLOOKUP(N355,Preturi_medicamente!D:F,3,0)</f>
        <v>2.0499999999999998</v>
      </c>
      <c r="S355" s="1118">
        <f t="shared" ref="S355:W355" si="269">S346*$R355</f>
        <v>0</v>
      </c>
      <c r="T355" s="1119">
        <f t="shared" si="269"/>
        <v>0</v>
      </c>
      <c r="U355" s="1119">
        <f t="shared" si="269"/>
        <v>0</v>
      </c>
      <c r="V355" s="1119">
        <f t="shared" si="269"/>
        <v>0</v>
      </c>
      <c r="W355" s="1120">
        <f t="shared" si="269"/>
        <v>0</v>
      </c>
      <c r="AC355" s="1808"/>
      <c r="AD355" s="2274"/>
      <c r="AE355" s="2271"/>
      <c r="AF355" s="2271"/>
      <c r="AG355" s="2271"/>
      <c r="AH355" s="2275"/>
      <c r="AM355" s="1076"/>
    </row>
    <row r="356" spans="1:43" ht="17" thickBot="1">
      <c r="K356" s="712"/>
      <c r="L356" s="833"/>
      <c r="N356" s="1209" t="str">
        <f t="shared" si="266"/>
        <v>Pyridoxine, 100 mg, Uncoated tablet(s)</v>
      </c>
      <c r="O356" s="596"/>
      <c r="P356" s="596"/>
      <c r="Q356" s="596"/>
      <c r="R356" s="1097">
        <f>VLOOKUP(N356,Preturi_medicamente!D:F,3,0)</f>
        <v>0.5</v>
      </c>
      <c r="S356" s="1091">
        <f>S346*$R356</f>
        <v>0</v>
      </c>
      <c r="T356" s="1092">
        <f>T346*$R356</f>
        <v>0</v>
      </c>
      <c r="U356" s="1092">
        <f>U346*$R356</f>
        <v>0</v>
      </c>
      <c r="V356" s="1092">
        <f>V346*$R356</f>
        <v>0</v>
      </c>
      <c r="W356" s="1093">
        <f>W346*$R356</f>
        <v>0</v>
      </c>
      <c r="AC356" s="1808"/>
      <c r="AD356" s="2274"/>
      <c r="AE356" s="2271"/>
      <c r="AF356" s="2271"/>
      <c r="AG356" s="2271"/>
      <c r="AH356" s="2275"/>
      <c r="AM356" s="1076"/>
    </row>
    <row r="357" spans="1:43" ht="17" thickBot="1">
      <c r="A357" s="2202">
        <v>46</v>
      </c>
      <c r="B357" s="2201">
        <f>S357</f>
        <v>216635.76</v>
      </c>
      <c r="C357" s="2201">
        <f t="shared" ref="C357:F357" si="270">T357</f>
        <v>262336.32</v>
      </c>
      <c r="D357" s="2201">
        <f t="shared" si="270"/>
        <v>297406.08000000002</v>
      </c>
      <c r="E357" s="2201">
        <f t="shared" si="270"/>
        <v>546557.76</v>
      </c>
      <c r="F357" s="2201">
        <f t="shared" si="270"/>
        <v>546557.76</v>
      </c>
      <c r="G357" s="841" t="s">
        <v>349</v>
      </c>
      <c r="H357" s="2201" t="s">
        <v>2385</v>
      </c>
      <c r="I357" s="2204"/>
      <c r="J357" s="841" t="s">
        <v>2960</v>
      </c>
      <c r="K357" s="712"/>
      <c r="L357" s="833"/>
      <c r="S357" s="2242">
        <f>SUM(S352:S356)</f>
        <v>216635.76</v>
      </c>
      <c r="T357" s="2243">
        <f>SUM(T352:T356)</f>
        <v>262336.32</v>
      </c>
      <c r="U357" s="2243">
        <f>SUM(U352:U356)</f>
        <v>297406.08000000002</v>
      </c>
      <c r="V357" s="2243">
        <f>SUM(V352:V356)</f>
        <v>546557.76</v>
      </c>
      <c r="W357" s="2244">
        <f>SUM(W352:W356)</f>
        <v>546557.76</v>
      </c>
      <c r="X357" s="1098"/>
      <c r="AC357" s="1808"/>
      <c r="AD357" s="2276"/>
      <c r="AE357" s="2277"/>
      <c r="AF357" s="2277"/>
      <c r="AG357" s="2277"/>
      <c r="AH357" s="2278"/>
      <c r="AM357" s="1076"/>
    </row>
    <row r="358" spans="1:43" ht="17">
      <c r="K358" s="712"/>
      <c r="L358" s="833"/>
      <c r="S358" s="1098"/>
      <c r="T358" s="1098"/>
      <c r="U358" s="1098"/>
      <c r="V358" s="1098"/>
      <c r="W358" s="1098"/>
      <c r="X358" s="1098"/>
      <c r="AB358" s="691" t="s">
        <v>3740</v>
      </c>
      <c r="AC358" s="2241">
        <v>1.2E-2</v>
      </c>
      <c r="AD358" s="2239">
        <f>AD353*$AC358</f>
        <v>183.98016000000001</v>
      </c>
      <c r="AE358" s="2239">
        <f t="shared" ref="AE358:AH358" si="271">AE353*$AC358</f>
        <v>168.19488000000001</v>
      </c>
      <c r="AF358" s="2239">
        <f t="shared" si="271"/>
        <v>144.2448</v>
      </c>
      <c r="AG358" s="2239">
        <f t="shared" si="271"/>
        <v>0</v>
      </c>
      <c r="AH358" s="2239">
        <f t="shared" si="271"/>
        <v>0</v>
      </c>
      <c r="AM358" s="1076"/>
    </row>
    <row r="359" spans="1:43" ht="17">
      <c r="K359" s="712"/>
      <c r="L359" s="833"/>
      <c r="S359" s="1098"/>
      <c r="T359" s="1098"/>
      <c r="U359" s="1098"/>
      <c r="V359" s="1098"/>
      <c r="W359" s="1098"/>
      <c r="X359" s="1098"/>
      <c r="AB359" s="691" t="s">
        <v>486</v>
      </c>
      <c r="AC359" s="2241">
        <v>5.1999999999999998E-2</v>
      </c>
      <c r="AD359" s="2238">
        <f>AD353*$AC359</f>
        <v>797.24735999999996</v>
      </c>
      <c r="AE359" s="2238">
        <f t="shared" ref="AE359:AH359" si="272">AE353*$AC359</f>
        <v>728.84447999999998</v>
      </c>
      <c r="AF359" s="2238">
        <f t="shared" si="272"/>
        <v>625.06079999999997</v>
      </c>
      <c r="AG359" s="2238">
        <f t="shared" si="272"/>
        <v>0</v>
      </c>
      <c r="AH359" s="2238">
        <f t="shared" si="272"/>
        <v>0</v>
      </c>
      <c r="AM359" s="1076"/>
    </row>
    <row r="360" spans="1:43" s="1808" customFormat="1" ht="17">
      <c r="A360" s="960"/>
      <c r="B360" s="960"/>
      <c r="C360" s="960"/>
      <c r="D360" s="960"/>
      <c r="E360" s="960"/>
      <c r="F360" s="960"/>
      <c r="G360" s="960"/>
      <c r="H360" s="960"/>
      <c r="I360" s="2195"/>
      <c r="J360" s="960"/>
      <c r="K360" s="712"/>
      <c r="L360" s="833"/>
      <c r="S360" s="1098"/>
      <c r="T360" s="1098"/>
      <c r="U360" s="1098"/>
      <c r="V360" s="1098"/>
      <c r="W360" s="1098"/>
      <c r="X360" s="1098"/>
      <c r="AB360" s="691" t="s">
        <v>3741</v>
      </c>
      <c r="AC360" s="2241">
        <v>4.2000000000000003E-2</v>
      </c>
      <c r="AD360" s="2238">
        <f>AD353*$AC360</f>
        <v>643.93056000000001</v>
      </c>
      <c r="AE360" s="2238">
        <f t="shared" ref="AE360:AH360" si="273">AE353*$AC360</f>
        <v>588.68208000000004</v>
      </c>
      <c r="AF360" s="2238">
        <f t="shared" si="273"/>
        <v>504.85680000000002</v>
      </c>
      <c r="AG360" s="2238">
        <f t="shared" si="273"/>
        <v>0</v>
      </c>
      <c r="AH360" s="2238">
        <f t="shared" si="273"/>
        <v>0</v>
      </c>
      <c r="AM360" s="1076"/>
    </row>
    <row r="361" spans="1:43" s="1808" customFormat="1" ht="35" thickBot="1">
      <c r="A361" s="960"/>
      <c r="B361" s="960"/>
      <c r="C361" s="960"/>
      <c r="D361" s="960"/>
      <c r="E361" s="960"/>
      <c r="F361" s="960"/>
      <c r="G361" s="960"/>
      <c r="H361" s="960"/>
      <c r="I361" s="2195"/>
      <c r="J361" s="960"/>
      <c r="K361" s="712"/>
      <c r="L361" s="833"/>
      <c r="S361" s="1098"/>
      <c r="T361" s="1098"/>
      <c r="U361" s="1098"/>
      <c r="V361" s="1098"/>
      <c r="W361" s="1098"/>
      <c r="X361" s="1098"/>
      <c r="AB361" s="828" t="s">
        <v>3739</v>
      </c>
      <c r="AD361" s="2240">
        <f>SUM(AD358:AD360)</f>
        <v>1625.1580799999999</v>
      </c>
      <c r="AE361" s="2240">
        <f t="shared" ref="AE361" si="274">SUM(AE358:AE360)</f>
        <v>1485.72144</v>
      </c>
      <c r="AF361" s="2240">
        <f t="shared" ref="AF361" si="275">SUM(AF358:AF360)</f>
        <v>1274.1623999999999</v>
      </c>
      <c r="AG361" s="2240">
        <f t="shared" ref="AG361" si="276">SUM(AG358:AG360)</f>
        <v>0</v>
      </c>
      <c r="AH361" s="2240">
        <f t="shared" ref="AH361" si="277">SUM(AH358:AH360)</f>
        <v>0</v>
      </c>
      <c r="AI361" s="1098"/>
      <c r="AJ361" s="2245"/>
      <c r="AL361" s="1098">
        <f>SUM(AD361:AJ361)</f>
        <v>4385.0419199999997</v>
      </c>
      <c r="AM361" s="1076"/>
    </row>
    <row r="362" spans="1:43" s="1808" customFormat="1" ht="16" thickBot="1">
      <c r="A362" s="2202">
        <v>233</v>
      </c>
      <c r="B362" s="2201">
        <f>AD362</f>
        <v>297913.16211209283</v>
      </c>
      <c r="C362" s="2201">
        <f t="shared" ref="C362:F362" si="278">AE362</f>
        <v>272352.56536283036</v>
      </c>
      <c r="D362" s="2201">
        <f t="shared" si="278"/>
        <v>233570.97029498397</v>
      </c>
      <c r="E362" s="2201">
        <f t="shared" si="278"/>
        <v>0</v>
      </c>
      <c r="F362" s="2201">
        <f t="shared" si="278"/>
        <v>0</v>
      </c>
      <c r="G362" s="841" t="s">
        <v>351</v>
      </c>
      <c r="H362" s="2201" t="s">
        <v>2385</v>
      </c>
      <c r="I362" s="2204"/>
      <c r="J362" s="841" t="s">
        <v>2960</v>
      </c>
      <c r="K362" s="712"/>
      <c r="L362" s="833"/>
      <c r="S362" s="1098"/>
      <c r="T362" s="1098"/>
      <c r="U362" s="1098"/>
      <c r="V362" s="1098"/>
      <c r="W362" s="1098"/>
      <c r="X362" s="1098"/>
      <c r="AD362" s="2242">
        <f>(AD361+AD353)*USD</f>
        <v>297913.16211209283</v>
      </c>
      <c r="AE362" s="2242">
        <f>(AE361+AE353)*USD</f>
        <v>272352.56536283036</v>
      </c>
      <c r="AF362" s="2242">
        <f>(AF361+AF353)*USD</f>
        <v>233570.97029498397</v>
      </c>
      <c r="AG362" s="2242">
        <f>(AG361+AG353)*USD</f>
        <v>0</v>
      </c>
      <c r="AH362" s="2242">
        <f>(AH361+AH353)*USD</f>
        <v>0</v>
      </c>
      <c r="AM362" s="1076"/>
      <c r="AN362" s="1808">
        <f>AD362/EUR</f>
        <v>15180.518253554861</v>
      </c>
      <c r="AO362" s="1808">
        <f>AE362/EUR</f>
        <v>13878.047752510209</v>
      </c>
      <c r="AP362" s="1808">
        <f>AF362/EUR</f>
        <v>11901.885612994192</v>
      </c>
      <c r="AQ362" s="1808">
        <f>AG362/EUR</f>
        <v>0</v>
      </c>
    </row>
    <row r="363" spans="1:43" s="1808" customFormat="1">
      <c r="A363" s="960"/>
      <c r="B363" s="960"/>
      <c r="C363" s="960"/>
      <c r="D363" s="960"/>
      <c r="E363" s="960"/>
      <c r="F363" s="960"/>
      <c r="G363" s="960"/>
      <c r="H363" s="960"/>
      <c r="I363" s="2195"/>
      <c r="J363" s="960"/>
      <c r="K363" s="712"/>
      <c r="L363" s="833"/>
      <c r="S363" s="1098"/>
      <c r="T363" s="1098"/>
      <c r="U363" s="1098"/>
      <c r="V363" s="1098"/>
      <c r="W363" s="1098"/>
      <c r="X363" s="1098"/>
      <c r="AD363"/>
      <c r="AE363"/>
      <c r="AF363"/>
      <c r="AG363"/>
      <c r="AH363"/>
      <c r="AM363" s="1076"/>
    </row>
    <row r="364" spans="1:43" s="1808" customFormat="1">
      <c r="A364" s="960"/>
      <c r="B364" s="960"/>
      <c r="C364" s="960"/>
      <c r="D364" s="960"/>
      <c r="E364" s="960"/>
      <c r="F364" s="960"/>
      <c r="G364" s="960"/>
      <c r="H364" s="960"/>
      <c r="I364" s="2195"/>
      <c r="J364" s="960"/>
      <c r="K364" s="712"/>
      <c r="L364" s="833"/>
      <c r="S364" s="1098"/>
      <c r="T364" s="1098"/>
      <c r="U364" s="1098"/>
      <c r="V364" s="1098"/>
      <c r="W364" s="1098"/>
      <c r="X364" s="1098"/>
      <c r="AD364"/>
      <c r="AE364"/>
      <c r="AF364"/>
      <c r="AG364"/>
      <c r="AH364"/>
      <c r="AM364" s="1076"/>
    </row>
    <row r="365" spans="1:43" s="1808" customFormat="1">
      <c r="A365" s="960"/>
      <c r="B365" s="960"/>
      <c r="C365" s="960"/>
      <c r="D365" s="960"/>
      <c r="E365" s="960"/>
      <c r="F365" s="960"/>
      <c r="G365" s="960"/>
      <c r="H365" s="960"/>
      <c r="I365" s="2195"/>
      <c r="J365" s="960"/>
      <c r="K365" s="712"/>
      <c r="L365" s="833"/>
      <c r="S365" s="1098"/>
      <c r="T365" s="1098"/>
      <c r="U365" s="1098"/>
      <c r="V365" s="1098"/>
      <c r="W365" s="1098"/>
      <c r="X365" s="1098"/>
      <c r="AM365" s="1076"/>
    </row>
    <row r="366" spans="1:43" s="1808" customFormat="1" ht="16" thickBot="1">
      <c r="A366" s="960"/>
      <c r="B366" s="960"/>
      <c r="C366" s="960"/>
      <c r="D366" s="960"/>
      <c r="E366" s="960"/>
      <c r="F366" s="960"/>
      <c r="G366" s="960"/>
      <c r="H366" s="960"/>
      <c r="I366" s="2195"/>
      <c r="J366" s="960"/>
      <c r="K366" s="712"/>
      <c r="L366" s="833"/>
      <c r="S366" s="1098"/>
      <c r="T366" s="1098"/>
      <c r="U366" s="1098"/>
      <c r="V366" s="1098"/>
      <c r="W366" s="1098"/>
      <c r="X366" s="1098"/>
      <c r="AM366" s="1076"/>
    </row>
    <row r="367" spans="1:43" ht="21">
      <c r="K367" s="712"/>
      <c r="L367" s="833"/>
      <c r="M367" s="1208" t="s">
        <v>2386</v>
      </c>
      <c r="Q367" s="1302" t="s">
        <v>2388</v>
      </c>
      <c r="S367" s="1991">
        <v>300</v>
      </c>
      <c r="T367" s="1201">
        <v>300</v>
      </c>
      <c r="U367" s="1201">
        <v>300</v>
      </c>
      <c r="V367" s="1201">
        <v>300</v>
      </c>
      <c r="W367" s="1992">
        <v>300</v>
      </c>
      <c r="AM367" s="1076"/>
    </row>
    <row r="368" spans="1:43" ht="21">
      <c r="K368" s="712"/>
      <c r="L368" s="833"/>
      <c r="M368" s="1073"/>
      <c r="Q368" t="s">
        <v>2208</v>
      </c>
      <c r="S368" s="1988">
        <v>0.67</v>
      </c>
      <c r="T368" s="1989">
        <v>0.7</v>
      </c>
      <c r="U368" s="1989">
        <v>0.7</v>
      </c>
      <c r="V368" s="1989">
        <v>0.75</v>
      </c>
      <c r="W368" s="1990">
        <v>0.75</v>
      </c>
      <c r="AM368" s="1076"/>
    </row>
    <row r="369" spans="11:39" ht="22" thickBot="1">
      <c r="K369" s="712"/>
      <c r="L369" s="833"/>
      <c r="M369" s="1073"/>
      <c r="Q369" t="s">
        <v>2209</v>
      </c>
      <c r="S369" s="1215">
        <f>ROUND(S367*S368,0)</f>
        <v>201</v>
      </c>
      <c r="T369" s="1133">
        <f t="shared" ref="T369:W369" si="279">ROUND(T367*T368,0)</f>
        <v>210</v>
      </c>
      <c r="U369" s="1133">
        <f t="shared" si="279"/>
        <v>210</v>
      </c>
      <c r="V369" s="1133">
        <f t="shared" si="279"/>
        <v>225</v>
      </c>
      <c r="W369" s="1216">
        <f t="shared" si="279"/>
        <v>225</v>
      </c>
      <c r="AM369" s="1076"/>
    </row>
    <row r="370" spans="11:39" ht="22" thickBot="1">
      <c r="K370" s="712"/>
      <c r="L370" s="833"/>
      <c r="M370" s="1073"/>
      <c r="AC370" s="1808"/>
      <c r="AD370" s="1758" t="s">
        <v>351</v>
      </c>
      <c r="AE370" s="966"/>
      <c r="AF370" s="966"/>
      <c r="AG370" s="966"/>
      <c r="AH370" s="967"/>
      <c r="AM370" s="1076"/>
    </row>
    <row r="371" spans="11:39" ht="17" thickBot="1">
      <c r="K371" s="712"/>
      <c r="L371"/>
      <c r="S371" s="530" t="s">
        <v>2191</v>
      </c>
      <c r="T371" s="528"/>
      <c r="U371" s="528"/>
      <c r="V371" s="528"/>
      <c r="W371" s="529"/>
      <c r="X371" s="530" t="s">
        <v>2202</v>
      </c>
      <c r="Y371" s="528"/>
      <c r="Z371" s="528"/>
      <c r="AA371" s="528"/>
      <c r="AB371" s="529"/>
      <c r="AC371" s="1808"/>
      <c r="AD371" s="1049"/>
      <c r="AE371" s="960"/>
      <c r="AF371" s="960"/>
      <c r="AG371" s="960"/>
      <c r="AH371" s="62"/>
      <c r="AM371" s="1076"/>
    </row>
    <row r="372" spans="11:39" ht="35" thickBot="1">
      <c r="K372" s="712"/>
      <c r="L372"/>
      <c r="M372" s="1103" t="s">
        <v>312</v>
      </c>
      <c r="N372" s="1103" t="s">
        <v>354</v>
      </c>
      <c r="O372" s="1083" t="s">
        <v>328</v>
      </c>
      <c r="P372" s="1083" t="s">
        <v>327</v>
      </c>
      <c r="Q372" s="1083" t="s">
        <v>329</v>
      </c>
      <c r="R372" s="1104" t="s">
        <v>97</v>
      </c>
      <c r="S372" s="1057">
        <v>2021</v>
      </c>
      <c r="T372" s="1058">
        <v>2022</v>
      </c>
      <c r="U372" s="1058">
        <v>2023</v>
      </c>
      <c r="V372" s="1058">
        <v>2024</v>
      </c>
      <c r="W372" s="1059">
        <v>2025</v>
      </c>
      <c r="X372" s="1057">
        <v>2021</v>
      </c>
      <c r="Y372" s="1058">
        <v>2022</v>
      </c>
      <c r="Z372" s="1058">
        <v>2023</v>
      </c>
      <c r="AA372" s="1058">
        <v>2024</v>
      </c>
      <c r="AB372" s="1059">
        <v>2025</v>
      </c>
      <c r="AC372" s="1808"/>
      <c r="AD372" s="2267">
        <v>0.8</v>
      </c>
      <c r="AE372" s="2268">
        <v>0.7</v>
      </c>
      <c r="AF372" s="2268">
        <v>0.6</v>
      </c>
      <c r="AG372" s="2269"/>
      <c r="AH372" s="2270"/>
      <c r="AM372" s="1076"/>
    </row>
    <row r="373" spans="11:39" ht="18" thickBot="1">
      <c r="K373" s="712"/>
      <c r="L373"/>
      <c r="M373" s="1124" t="s">
        <v>320</v>
      </c>
      <c r="N373" s="1377">
        <v>0.2</v>
      </c>
      <c r="O373" s="1202">
        <v>1</v>
      </c>
      <c r="P373" s="1202">
        <v>30</v>
      </c>
      <c r="Q373" s="1202">
        <v>6</v>
      </c>
      <c r="R373" s="1176">
        <f t="shared" ref="R373:R378" si="280">O373*P373*Q373</f>
        <v>180</v>
      </c>
      <c r="S373" s="1167">
        <f>ROUND(S369*$N373,0)</f>
        <v>40</v>
      </c>
      <c r="T373" s="1168">
        <f t="shared" ref="T373:W373" si="281">ROUND(T369*$N373,0)</f>
        <v>42</v>
      </c>
      <c r="U373" s="1168">
        <f t="shared" si="281"/>
        <v>42</v>
      </c>
      <c r="V373" s="1168">
        <f t="shared" si="281"/>
        <v>45</v>
      </c>
      <c r="W373" s="1169">
        <f t="shared" si="281"/>
        <v>45</v>
      </c>
      <c r="X373" s="1167">
        <f>S373*$R373</f>
        <v>7200</v>
      </c>
      <c r="Y373" s="1168">
        <f t="shared" ref="Y373:Y375" si="282">T373*$R373</f>
        <v>7560</v>
      </c>
      <c r="Z373" s="1168">
        <f t="shared" ref="Z373:Z375" si="283">U373*$R373</f>
        <v>7560</v>
      </c>
      <c r="AA373" s="1168">
        <f t="shared" ref="AA373:AA375" si="284">V373*$R373</f>
        <v>8100</v>
      </c>
      <c r="AB373" s="1169">
        <f t="shared" ref="AB373:AB375" si="285">W373*$R373</f>
        <v>8100</v>
      </c>
      <c r="AC373" s="1808"/>
      <c r="AD373" s="2264"/>
      <c r="AE373" s="1025"/>
      <c r="AF373" s="1025"/>
      <c r="AG373" s="1025"/>
      <c r="AH373" s="1903"/>
      <c r="AM373" s="1076"/>
    </row>
    <row r="374" spans="11:39" ht="17" thickBot="1">
      <c r="K374" s="712"/>
      <c r="L374"/>
      <c r="M374" s="1257" t="s">
        <v>2237</v>
      </c>
      <c r="N374" s="1377">
        <v>0.7</v>
      </c>
      <c r="O374" s="1203">
        <v>3</v>
      </c>
      <c r="P374" s="1203">
        <v>12</v>
      </c>
      <c r="Q374" s="1203">
        <v>3</v>
      </c>
      <c r="R374" s="1176">
        <f t="shared" si="280"/>
        <v>108</v>
      </c>
      <c r="S374" s="1167">
        <f>ROUND(S369*$N374,0)-AD374</f>
        <v>28</v>
      </c>
      <c r="T374" s="1168">
        <f t="shared" ref="T374:W374" si="286">ROUND(T369*$N374,0)-AE374</f>
        <v>44</v>
      </c>
      <c r="U374" s="1168">
        <f t="shared" si="286"/>
        <v>59</v>
      </c>
      <c r="V374" s="1168">
        <f t="shared" si="286"/>
        <v>158</v>
      </c>
      <c r="W374" s="1169">
        <f t="shared" si="286"/>
        <v>158</v>
      </c>
      <c r="X374" s="1167">
        <f>S374*$R374</f>
        <v>3024</v>
      </c>
      <c r="Y374" s="1168">
        <f t="shared" si="282"/>
        <v>4752</v>
      </c>
      <c r="Z374" s="1168">
        <f t="shared" si="283"/>
        <v>6372</v>
      </c>
      <c r="AA374" s="1168">
        <f t="shared" si="284"/>
        <v>17064</v>
      </c>
      <c r="AB374" s="1169">
        <f t="shared" si="285"/>
        <v>17064</v>
      </c>
      <c r="AC374" s="1808"/>
      <c r="AD374" s="2254">
        <f>ROUND(S369*$N374*AD372,0)</f>
        <v>113</v>
      </c>
      <c r="AE374" s="2236">
        <f t="shared" ref="AE374" si="287">ROUND(T369*$N374*AE372,0)</f>
        <v>103</v>
      </c>
      <c r="AF374" s="2236">
        <f t="shared" ref="AF374" si="288">ROUND(U369*$N374*AF372,0)</f>
        <v>88</v>
      </c>
      <c r="AG374" s="2236">
        <f t="shared" ref="AG374" si="289">ROUND(V369*$N374*AG372,0)</f>
        <v>0</v>
      </c>
      <c r="AH374" s="2255">
        <f t="shared" ref="AH374" si="290">ROUND(W369*$N374*AH372,0)</f>
        <v>0</v>
      </c>
      <c r="AM374" s="1076"/>
    </row>
    <row r="375" spans="11:39" ht="17">
      <c r="K375" s="712"/>
      <c r="L375"/>
      <c r="M375" s="1147" t="s">
        <v>2201</v>
      </c>
      <c r="N375" s="2666">
        <v>0.1</v>
      </c>
      <c r="O375" s="1201">
        <v>6</v>
      </c>
      <c r="P375" s="1201">
        <v>12</v>
      </c>
      <c r="Q375" s="1201">
        <v>3</v>
      </c>
      <c r="R375" s="1173">
        <f t="shared" si="280"/>
        <v>216</v>
      </c>
      <c r="S375" s="2668">
        <f>ROUND(S369*$N375,0)</f>
        <v>20</v>
      </c>
      <c r="T375" s="2670">
        <f t="shared" ref="T375:W375" si="291">ROUND(T369*$N375,0)</f>
        <v>21</v>
      </c>
      <c r="U375" s="2670">
        <f t="shared" si="291"/>
        <v>21</v>
      </c>
      <c r="V375" s="2670">
        <f t="shared" si="291"/>
        <v>23</v>
      </c>
      <c r="W375" s="2664">
        <f t="shared" si="291"/>
        <v>23</v>
      </c>
      <c r="X375" s="1155">
        <f>S375*$R375</f>
        <v>4320</v>
      </c>
      <c r="Y375" s="1156">
        <f t="shared" si="282"/>
        <v>4536</v>
      </c>
      <c r="Z375" s="1156">
        <f t="shared" si="283"/>
        <v>4536</v>
      </c>
      <c r="AA375" s="1156">
        <f t="shared" si="284"/>
        <v>4968</v>
      </c>
      <c r="AB375" s="1157">
        <f t="shared" si="285"/>
        <v>4968</v>
      </c>
      <c r="AC375" s="1808"/>
      <c r="AD375" s="2264"/>
      <c r="AE375" s="1025"/>
      <c r="AF375" s="1025"/>
      <c r="AG375" s="1025"/>
      <c r="AH375" s="1903"/>
      <c r="AM375" s="1076"/>
    </row>
    <row r="376" spans="11:39" ht="18" thickBot="1">
      <c r="K376" s="712"/>
      <c r="L376"/>
      <c r="M376" s="1135" t="s">
        <v>320</v>
      </c>
      <c r="N376" s="2667"/>
      <c r="O376" s="1199">
        <v>3</v>
      </c>
      <c r="P376" s="1199">
        <v>12</v>
      </c>
      <c r="Q376" s="1199">
        <v>3</v>
      </c>
      <c r="R376" s="1174">
        <f t="shared" si="280"/>
        <v>108</v>
      </c>
      <c r="S376" s="2669"/>
      <c r="T376" s="2671"/>
      <c r="U376" s="2671"/>
      <c r="V376" s="2671"/>
      <c r="W376" s="2665"/>
      <c r="X376" s="1158">
        <f>S375*$R376</f>
        <v>2160</v>
      </c>
      <c r="Y376" s="1159">
        <f t="shared" ref="Y376" si="292">T375*$R376</f>
        <v>2268</v>
      </c>
      <c r="Z376" s="1159">
        <f t="shared" ref="Z376" si="293">U375*$R376</f>
        <v>2268</v>
      </c>
      <c r="AA376" s="1159">
        <f t="shared" ref="AA376" si="294">V375*$R376</f>
        <v>2484</v>
      </c>
      <c r="AB376" s="1160">
        <f t="shared" ref="AB376" si="295">W375*$R376</f>
        <v>2484</v>
      </c>
      <c r="AC376" s="1808"/>
      <c r="AD376" s="1049"/>
      <c r="AE376" s="960"/>
      <c r="AF376" s="960"/>
      <c r="AG376" s="960"/>
      <c r="AH376" s="62"/>
      <c r="AM376" s="1076"/>
    </row>
    <row r="377" spans="11:39" ht="18" thickBot="1">
      <c r="K377" s="712"/>
      <c r="L377"/>
      <c r="M377" s="1124" t="s">
        <v>319</v>
      </c>
      <c r="N377" s="1378">
        <v>0</v>
      </c>
      <c r="O377" s="1202">
        <v>2</v>
      </c>
      <c r="P377" s="1202">
        <v>30</v>
      </c>
      <c r="Q377" s="1202">
        <v>4</v>
      </c>
      <c r="R377" s="1176">
        <f t="shared" si="280"/>
        <v>240</v>
      </c>
      <c r="S377" s="1167">
        <f>ROUND(S369*$N377,0)</f>
        <v>0</v>
      </c>
      <c r="T377" s="1168">
        <f t="shared" ref="T377:W377" si="296">ROUND(T369*$N377,0)</f>
        <v>0</v>
      </c>
      <c r="U377" s="1168">
        <f t="shared" si="296"/>
        <v>0</v>
      </c>
      <c r="V377" s="1168">
        <f t="shared" si="296"/>
        <v>0</v>
      </c>
      <c r="W377" s="1169">
        <f t="shared" si="296"/>
        <v>0</v>
      </c>
      <c r="X377" s="1167">
        <f>S377*$R377</f>
        <v>0</v>
      </c>
      <c r="Y377" s="1168">
        <f t="shared" ref="Y377:Y378" si="297">T377*$R377</f>
        <v>0</v>
      </c>
      <c r="Z377" s="1168">
        <f t="shared" ref="Z377:Z378" si="298">U377*$R377</f>
        <v>0</v>
      </c>
      <c r="AA377" s="1168">
        <f t="shared" ref="AA377:AA378" si="299">V377*$R377</f>
        <v>0</v>
      </c>
      <c r="AB377" s="1169">
        <f t="shared" ref="AB377:AB378" si="300">W377*$R377</f>
        <v>0</v>
      </c>
      <c r="AC377" s="1808"/>
      <c r="AD377" s="1049"/>
      <c r="AE377" s="960"/>
      <c r="AF377" s="960"/>
      <c r="AG377" s="960"/>
      <c r="AH377" s="62"/>
      <c r="AM377" s="1076"/>
    </row>
    <row r="378" spans="11:39" ht="17" thickBot="1">
      <c r="K378" s="712"/>
      <c r="L378"/>
      <c r="M378" s="1214" t="s">
        <v>2177</v>
      </c>
      <c r="N378" s="1185"/>
      <c r="O378" s="1263">
        <v>1</v>
      </c>
      <c r="P378" s="1263">
        <v>30</v>
      </c>
      <c r="Q378" s="1263">
        <v>4</v>
      </c>
      <c r="R378" s="1194">
        <f t="shared" si="280"/>
        <v>120</v>
      </c>
      <c r="S378" s="1195">
        <f>S374+S373+S375+AD374</f>
        <v>201</v>
      </c>
      <c r="T378" s="1196">
        <f t="shared" ref="T378" si="301">T374+T373+T375+AE374</f>
        <v>210</v>
      </c>
      <c r="U378" s="1196">
        <f t="shared" ref="U378" si="302">U374+U373+U375+AF374</f>
        <v>210</v>
      </c>
      <c r="V378" s="1196">
        <f t="shared" ref="V378" si="303">V374+V373+V375+AG374</f>
        <v>226</v>
      </c>
      <c r="W378" s="1197">
        <f t="shared" ref="W378" si="304">W374+W373+W375+AH374</f>
        <v>226</v>
      </c>
      <c r="X378" s="1187">
        <f>S378*$R378</f>
        <v>24120</v>
      </c>
      <c r="Y378" s="1188">
        <f t="shared" si="297"/>
        <v>25200</v>
      </c>
      <c r="Z378" s="1188">
        <f t="shared" si="298"/>
        <v>25200</v>
      </c>
      <c r="AA378" s="1188">
        <f t="shared" si="299"/>
        <v>27120</v>
      </c>
      <c r="AB378" s="1189">
        <f t="shared" si="300"/>
        <v>27120</v>
      </c>
      <c r="AC378" s="1808"/>
      <c r="AD378" s="1049"/>
      <c r="AE378" s="960"/>
      <c r="AF378" s="960"/>
      <c r="AG378" s="960"/>
      <c r="AH378" s="62"/>
      <c r="AM378" s="1076"/>
    </row>
    <row r="379" spans="11:39">
      <c r="K379" s="712"/>
      <c r="L379"/>
      <c r="N379" s="734" t="str">
        <f>IF(SUM(N373:N377)=1,"ok","% sumar nu este =100%")</f>
        <v>ok</v>
      </c>
      <c r="X379" s="1307">
        <f>SUM(X373:X378)</f>
        <v>40824</v>
      </c>
      <c r="Y379" s="1307">
        <f t="shared" ref="Y379:AB379" si="305">SUM(Y373:Y378)</f>
        <v>44316</v>
      </c>
      <c r="Z379" s="1307">
        <f t="shared" si="305"/>
        <v>45936</v>
      </c>
      <c r="AA379" s="1307">
        <f t="shared" si="305"/>
        <v>59736</v>
      </c>
      <c r="AB379" s="1307">
        <f t="shared" si="305"/>
        <v>59736</v>
      </c>
      <c r="AC379" s="1808"/>
      <c r="AD379" s="1049"/>
      <c r="AE379" s="960"/>
      <c r="AF379" s="960"/>
      <c r="AG379" s="960"/>
      <c r="AH379" s="62"/>
      <c r="AM379" s="1076"/>
    </row>
    <row r="380" spans="11:39" ht="16" thickBot="1">
      <c r="K380" s="712"/>
      <c r="L380" s="833"/>
      <c r="AC380" s="1808"/>
      <c r="AD380" s="1049"/>
      <c r="AE380" s="960"/>
      <c r="AF380" s="960"/>
      <c r="AG380" s="960"/>
      <c r="AH380" s="62"/>
      <c r="AM380" s="1076"/>
    </row>
    <row r="381" spans="11:39" ht="17" thickBot="1">
      <c r="K381" s="712"/>
      <c r="L381" s="833"/>
      <c r="M381" s="960"/>
      <c r="N381" s="526"/>
      <c r="O381" s="526"/>
      <c r="P381" s="526"/>
      <c r="Q381" s="526"/>
      <c r="R381" s="526"/>
      <c r="S381" s="530" t="s">
        <v>333</v>
      </c>
      <c r="T381" s="528"/>
      <c r="U381" s="528"/>
      <c r="V381" s="528"/>
      <c r="W381" s="529"/>
      <c r="AC381" s="1808"/>
      <c r="AD381" s="2247"/>
      <c r="AE381" s="1084"/>
      <c r="AF381" s="1084"/>
      <c r="AG381" s="1084"/>
      <c r="AH381" s="2248"/>
      <c r="AM381" s="1076"/>
    </row>
    <row r="382" spans="11:39" ht="17" thickBot="1">
      <c r="K382" s="712"/>
      <c r="L382"/>
      <c r="N382" s="526"/>
      <c r="O382" s="526"/>
      <c r="P382" s="526"/>
      <c r="Q382" s="526"/>
      <c r="R382" s="526"/>
      <c r="S382" s="584">
        <v>2021</v>
      </c>
      <c r="T382" s="585">
        <v>2022</v>
      </c>
      <c r="U382" s="585">
        <v>2023</v>
      </c>
      <c r="V382" s="585">
        <v>2024</v>
      </c>
      <c r="W382" s="586">
        <v>2025</v>
      </c>
      <c r="AC382" s="1808"/>
      <c r="AD382" s="1057">
        <v>2021</v>
      </c>
      <c r="AE382" s="1058">
        <v>2022</v>
      </c>
      <c r="AF382" s="1058">
        <v>2023</v>
      </c>
      <c r="AG382" s="1058">
        <v>2024</v>
      </c>
      <c r="AH382" s="1059">
        <v>2025</v>
      </c>
      <c r="AM382" s="1076"/>
    </row>
    <row r="383" spans="11:39" ht="16">
      <c r="K383" s="712"/>
      <c r="L383"/>
      <c r="N383" s="1094" t="s">
        <v>320</v>
      </c>
      <c r="O383" s="1084"/>
      <c r="P383" s="1084"/>
      <c r="Q383" s="1084"/>
      <c r="R383" s="1084"/>
      <c r="S383" s="1403">
        <f>SUMIF($M$373:$M$378,$N383,X$373:X$378)</f>
        <v>9360</v>
      </c>
      <c r="T383" s="1149">
        <f t="shared" ref="T383:W383" si="306">SUMIF($M$373:$M$378,$N383,Y$373:Y$378)</f>
        <v>9828</v>
      </c>
      <c r="U383" s="1149">
        <f t="shared" si="306"/>
        <v>9828</v>
      </c>
      <c r="V383" s="1149">
        <f t="shared" si="306"/>
        <v>10584</v>
      </c>
      <c r="W383" s="1150">
        <f t="shared" si="306"/>
        <v>10584</v>
      </c>
      <c r="AC383" s="1808"/>
      <c r="AD383" s="2249"/>
      <c r="AE383" s="1149"/>
      <c r="AF383" s="1149"/>
      <c r="AG383" s="1149"/>
      <c r="AH383" s="2250"/>
      <c r="AM383" s="1076"/>
    </row>
    <row r="384" spans="11:39" ht="16">
      <c r="K384" s="712"/>
      <c r="L384"/>
      <c r="N384" s="1095" t="s">
        <v>2237</v>
      </c>
      <c r="O384" s="591"/>
      <c r="P384" s="591"/>
      <c r="Q384" s="591"/>
      <c r="R384" s="591"/>
      <c r="S384" s="1143">
        <f t="shared" ref="S384:S387" si="307">SUMIF($M$373:$M$378,$N384,X$373:X$378)</f>
        <v>3024</v>
      </c>
      <c r="T384" s="1141">
        <f t="shared" ref="T384:T387" si="308">SUMIF($M$373:$M$378,$N384,Y$373:Y$378)</f>
        <v>4752</v>
      </c>
      <c r="U384" s="1141">
        <f t="shared" ref="U384:U387" si="309">SUMIF($M$373:$M$378,$N384,Z$373:Z$378)</f>
        <v>6372</v>
      </c>
      <c r="V384" s="1141">
        <f t="shared" ref="V384:V387" si="310">SUMIF($M$373:$M$378,$N384,AA$373:AA$378)</f>
        <v>17064</v>
      </c>
      <c r="W384" s="1142">
        <f t="shared" ref="W384:W387" si="311">SUMIF($M$373:$M$378,$N384,AB$373:AB$378)</f>
        <v>17064</v>
      </c>
      <c r="AC384" s="1808"/>
      <c r="AD384" s="1140">
        <f>AD374*$R374</f>
        <v>12204</v>
      </c>
      <c r="AE384" s="1141">
        <f>AE374*$R374</f>
        <v>11124</v>
      </c>
      <c r="AF384" s="1141">
        <f>AF374*$R374</f>
        <v>9504</v>
      </c>
      <c r="AG384" s="1141">
        <f>AG374*$R374</f>
        <v>0</v>
      </c>
      <c r="AH384" s="1142">
        <f>AH374*$R374</f>
        <v>0</v>
      </c>
      <c r="AI384" s="1098"/>
      <c r="AM384" s="1076"/>
    </row>
    <row r="385" spans="1:39" ht="16">
      <c r="K385" s="712"/>
      <c r="L385"/>
      <c r="N385" s="1095" t="s">
        <v>2201</v>
      </c>
      <c r="O385" s="591"/>
      <c r="P385" s="591"/>
      <c r="Q385" s="591"/>
      <c r="R385" s="591"/>
      <c r="S385" s="1143">
        <f t="shared" si="307"/>
        <v>4320</v>
      </c>
      <c r="T385" s="1144">
        <f t="shared" si="308"/>
        <v>4536</v>
      </c>
      <c r="U385" s="1144">
        <f t="shared" si="309"/>
        <v>4536</v>
      </c>
      <c r="V385" s="1144">
        <f t="shared" si="310"/>
        <v>4968</v>
      </c>
      <c r="W385" s="1145">
        <f t="shared" si="311"/>
        <v>4968</v>
      </c>
      <c r="AC385" s="1808"/>
      <c r="AD385" s="1049"/>
      <c r="AE385" s="960"/>
      <c r="AF385" s="960"/>
      <c r="AG385" s="960"/>
      <c r="AH385" s="62"/>
      <c r="AI385" s="1098"/>
      <c r="AM385" s="1076"/>
    </row>
    <row r="386" spans="1:39" ht="16">
      <c r="K386" s="712"/>
      <c r="L386"/>
      <c r="N386" s="1095" t="s">
        <v>319</v>
      </c>
      <c r="O386" s="591"/>
      <c r="P386" s="591"/>
      <c r="Q386" s="591"/>
      <c r="R386" s="591"/>
      <c r="S386" s="1143">
        <f t="shared" si="307"/>
        <v>0</v>
      </c>
      <c r="T386" s="1144">
        <f t="shared" si="308"/>
        <v>0</v>
      </c>
      <c r="U386" s="1144">
        <f t="shared" si="309"/>
        <v>0</v>
      </c>
      <c r="V386" s="1144">
        <f t="shared" si="310"/>
        <v>0</v>
      </c>
      <c r="W386" s="1145">
        <f t="shared" si="311"/>
        <v>0</v>
      </c>
      <c r="AC386" s="1808"/>
      <c r="AD386" s="2265"/>
      <c r="AE386" s="2263"/>
      <c r="AF386" s="2263"/>
      <c r="AG386" s="2263"/>
      <c r="AH386" s="2266"/>
      <c r="AM386" s="1076"/>
    </row>
    <row r="387" spans="1:39" ht="17" thickBot="1">
      <c r="K387" s="712"/>
      <c r="L387" s="833"/>
      <c r="N387" s="1096" t="s">
        <v>2177</v>
      </c>
      <c r="O387" s="596"/>
      <c r="P387" s="596"/>
      <c r="Q387" s="596"/>
      <c r="R387" s="596"/>
      <c r="S387" s="1111">
        <f t="shared" si="307"/>
        <v>24120</v>
      </c>
      <c r="T387" s="1112">
        <f t="shared" si="308"/>
        <v>25200</v>
      </c>
      <c r="U387" s="1112">
        <f t="shared" si="309"/>
        <v>25200</v>
      </c>
      <c r="V387" s="1112">
        <f t="shared" si="310"/>
        <v>27120</v>
      </c>
      <c r="W387" s="1113">
        <f t="shared" si="311"/>
        <v>27120</v>
      </c>
      <c r="AC387" s="1808"/>
      <c r="AD387" s="2265"/>
      <c r="AE387" s="2263"/>
      <c r="AF387" s="2263"/>
      <c r="AG387" s="2263"/>
      <c r="AH387" s="2266"/>
      <c r="AM387" s="1076"/>
    </row>
    <row r="388" spans="1:39">
      <c r="K388" s="712"/>
      <c r="L388" s="833"/>
      <c r="S388" s="1307">
        <f>SUM(S383:S387)</f>
        <v>40824</v>
      </c>
      <c r="T388" s="1307">
        <f t="shared" ref="T388:W388" si="312">SUM(T383:T387)</f>
        <v>44316</v>
      </c>
      <c r="U388" s="1307">
        <f t="shared" si="312"/>
        <v>45936</v>
      </c>
      <c r="V388" s="1307">
        <f t="shared" si="312"/>
        <v>59736</v>
      </c>
      <c r="W388" s="1307">
        <f t="shared" si="312"/>
        <v>59736</v>
      </c>
      <c r="AC388" s="1808"/>
      <c r="AD388" s="1049"/>
      <c r="AE388" s="960"/>
      <c r="AF388" s="960"/>
      <c r="AG388" s="960"/>
      <c r="AH388" s="62"/>
      <c r="AM388" s="1076"/>
    </row>
    <row r="389" spans="1:39" ht="16" thickBot="1">
      <c r="K389" s="712"/>
      <c r="L389" s="833"/>
      <c r="AC389" s="1808"/>
      <c r="AD389" s="1049"/>
      <c r="AE389" s="960"/>
      <c r="AF389" s="960"/>
      <c r="AG389" s="960"/>
      <c r="AH389" s="62"/>
      <c r="AM389" s="1076"/>
    </row>
    <row r="390" spans="1:39" ht="17" thickBot="1">
      <c r="K390" s="712"/>
      <c r="L390" s="833"/>
      <c r="N390" s="526"/>
      <c r="O390" s="526"/>
      <c r="P390" s="526"/>
      <c r="Q390" s="526"/>
      <c r="R390" s="526"/>
      <c r="S390" s="530" t="s">
        <v>2189</v>
      </c>
      <c r="T390" s="528"/>
      <c r="U390" s="528"/>
      <c r="V390" s="528"/>
      <c r="W390" s="529"/>
      <c r="AC390" s="1808"/>
      <c r="AD390" s="2247"/>
      <c r="AE390" s="1084"/>
      <c r="AF390" s="1084"/>
      <c r="AG390" s="1084"/>
      <c r="AH390" s="2248"/>
      <c r="AM390" s="1076"/>
    </row>
    <row r="391" spans="1:39" ht="17" thickBot="1">
      <c r="K391" s="712"/>
      <c r="L391" s="833"/>
      <c r="N391" s="526"/>
      <c r="O391" s="526"/>
      <c r="P391" s="526"/>
      <c r="Q391" s="526"/>
      <c r="R391" s="526" t="s">
        <v>2190</v>
      </c>
      <c r="S391" s="584">
        <v>2021</v>
      </c>
      <c r="T391" s="585">
        <v>2022</v>
      </c>
      <c r="U391" s="585">
        <v>2023</v>
      </c>
      <c r="V391" s="585">
        <v>2024</v>
      </c>
      <c r="W391" s="586">
        <v>2025</v>
      </c>
      <c r="AC391" s="1808" t="s">
        <v>3738</v>
      </c>
      <c r="AD391" s="1046">
        <v>2021</v>
      </c>
      <c r="AE391" s="2272">
        <v>2022</v>
      </c>
      <c r="AF391" s="2272">
        <v>2023</v>
      </c>
      <c r="AG391" s="2272">
        <v>2024</v>
      </c>
      <c r="AH391" s="2273">
        <v>2025</v>
      </c>
      <c r="AM391" s="1076"/>
    </row>
    <row r="392" spans="1:39" ht="16">
      <c r="K392" s="712"/>
      <c r="L392" s="833"/>
      <c r="N392" s="1094" t="str">
        <f>N383</f>
        <v>Isoniazid  300mg  Film uncoated tablet(s)</v>
      </c>
      <c r="O392" s="1084"/>
      <c r="P392" s="1084"/>
      <c r="Q392" s="1084"/>
      <c r="R392" s="980">
        <f>VLOOKUP(N392,Preturi_medicamente!D:F,3,0)</f>
        <v>0.22</v>
      </c>
      <c r="S392" s="1127">
        <f>S383*$R392</f>
        <v>2059.1999999999998</v>
      </c>
      <c r="T392" s="1128">
        <f t="shared" ref="T392:W392" si="313">T383*$R392</f>
        <v>2162.16</v>
      </c>
      <c r="U392" s="1128">
        <f t="shared" si="313"/>
        <v>2162.16</v>
      </c>
      <c r="V392" s="1128">
        <f t="shared" si="313"/>
        <v>2328.48</v>
      </c>
      <c r="W392" s="1129">
        <f t="shared" si="313"/>
        <v>2328.48</v>
      </c>
      <c r="AC392" s="1808"/>
      <c r="AD392" s="2274"/>
      <c r="AE392" s="2271"/>
      <c r="AF392" s="2271"/>
      <c r="AG392" s="2271"/>
      <c r="AH392" s="2275"/>
      <c r="AM392" s="1076"/>
    </row>
    <row r="393" spans="1:39" ht="16">
      <c r="K393" s="712"/>
      <c r="L393" s="833"/>
      <c r="N393" s="1099" t="str">
        <f t="shared" ref="N393:N396" si="314">N384</f>
        <v>Rifapentine/Isoniazid 300mg/300mg, Film coated tablet(s)</v>
      </c>
      <c r="O393" s="591"/>
      <c r="P393" s="591"/>
      <c r="Q393" s="591"/>
      <c r="R393" s="1081">
        <f>VLOOKUP(N393,Preturi_medicamente!D:F,3,0)</f>
        <v>7.38</v>
      </c>
      <c r="S393" s="1088">
        <f t="shared" ref="S393:W393" si="315">S384*$R393</f>
        <v>22317.119999999999</v>
      </c>
      <c r="T393" s="1089">
        <f t="shared" si="315"/>
        <v>35069.760000000002</v>
      </c>
      <c r="U393" s="1089">
        <f t="shared" si="315"/>
        <v>47025.36</v>
      </c>
      <c r="V393" s="1089">
        <f t="shared" si="315"/>
        <v>125932.31999999999</v>
      </c>
      <c r="W393" s="1090">
        <f t="shared" si="315"/>
        <v>125932.31999999999</v>
      </c>
      <c r="AC393" s="1808">
        <f>VLOOKUP(N393,Preturi_medicamente!D:M,10,0)</f>
        <v>0.42</v>
      </c>
      <c r="AD393" s="1088">
        <f>AD384*$AC393</f>
        <v>5125.6799999999994</v>
      </c>
      <c r="AE393" s="1089">
        <f>AE384*$AC393</f>
        <v>4672.08</v>
      </c>
      <c r="AF393" s="1089">
        <f>AF384*$AC393</f>
        <v>3991.68</v>
      </c>
      <c r="AG393" s="1089">
        <f>AG384*$AC393</f>
        <v>0</v>
      </c>
      <c r="AH393" s="1090">
        <f>AH384*$AC393</f>
        <v>0</v>
      </c>
      <c r="AL393" s="1098">
        <f>SUM(AD393:AJ393)</f>
        <v>13789.439999999999</v>
      </c>
      <c r="AM393" s="1076"/>
    </row>
    <row r="394" spans="1:39" ht="16">
      <c r="K394" s="712"/>
      <c r="L394" s="833"/>
      <c r="N394" s="1099" t="str">
        <f t="shared" si="314"/>
        <v>Rifapentine, 150 mg, Film coated tablet</v>
      </c>
      <c r="O394" s="591"/>
      <c r="P394" s="591"/>
      <c r="Q394" s="591"/>
      <c r="R394" s="1081">
        <f>VLOOKUP(N394,Preturi_medicamente!D:F,3,0)</f>
        <v>11.07</v>
      </c>
      <c r="S394" s="1118">
        <f t="shared" ref="S394:W394" si="316">S385*$R394</f>
        <v>47822.400000000001</v>
      </c>
      <c r="T394" s="1119">
        <f t="shared" si="316"/>
        <v>50213.520000000004</v>
      </c>
      <c r="U394" s="1119">
        <f t="shared" si="316"/>
        <v>50213.520000000004</v>
      </c>
      <c r="V394" s="1119">
        <f t="shared" si="316"/>
        <v>54995.76</v>
      </c>
      <c r="W394" s="1120">
        <f t="shared" si="316"/>
        <v>54995.76</v>
      </c>
      <c r="AC394" s="1808"/>
      <c r="AD394" s="1049"/>
      <c r="AE394" s="960"/>
      <c r="AF394" s="960"/>
      <c r="AG394" s="960"/>
      <c r="AH394" s="62"/>
      <c r="AM394" s="1076"/>
    </row>
    <row r="395" spans="1:39" ht="16">
      <c r="K395" s="712"/>
      <c r="L395" s="833"/>
      <c r="N395" s="1099" t="str">
        <f t="shared" si="314"/>
        <v>Rifampicin  300mg  Film coated tablet(s)</v>
      </c>
      <c r="O395" s="591"/>
      <c r="P395" s="591"/>
      <c r="Q395" s="591"/>
      <c r="R395" s="1081">
        <f>VLOOKUP(N395,Preturi_medicamente!D:F,3,0)</f>
        <v>2.0499999999999998</v>
      </c>
      <c r="S395" s="1118">
        <f t="shared" ref="S395:W395" si="317">S386*$R395</f>
        <v>0</v>
      </c>
      <c r="T395" s="1119">
        <f t="shared" si="317"/>
        <v>0</v>
      </c>
      <c r="U395" s="1119">
        <f t="shared" si="317"/>
        <v>0</v>
      </c>
      <c r="V395" s="1119">
        <f t="shared" si="317"/>
        <v>0</v>
      </c>
      <c r="W395" s="1120">
        <f t="shared" si="317"/>
        <v>0</v>
      </c>
      <c r="AC395" s="1808"/>
      <c r="AD395" s="2274"/>
      <c r="AE395" s="2271"/>
      <c r="AF395" s="2271"/>
      <c r="AG395" s="2271"/>
      <c r="AH395" s="2275"/>
      <c r="AM395" s="1076"/>
    </row>
    <row r="396" spans="1:39" ht="17" thickBot="1">
      <c r="K396" s="712"/>
      <c r="L396" s="833"/>
      <c r="N396" s="1209" t="str">
        <f t="shared" si="314"/>
        <v>Pyridoxine, 100 mg, Uncoated tablet(s)</v>
      </c>
      <c r="O396" s="596"/>
      <c r="P396" s="596"/>
      <c r="Q396" s="596"/>
      <c r="R396" s="1097">
        <f>VLOOKUP(N396,Preturi_medicamente!D:F,3,0)</f>
        <v>0.5</v>
      </c>
      <c r="S396" s="1091">
        <f>S386*$R396</f>
        <v>0</v>
      </c>
      <c r="T396" s="1092">
        <f>T386*$R396</f>
        <v>0</v>
      </c>
      <c r="U396" s="1092">
        <f>U386*$R396</f>
        <v>0</v>
      </c>
      <c r="V396" s="1092">
        <f>V386*$R396</f>
        <v>0</v>
      </c>
      <c r="W396" s="1093">
        <f>W386*$R396</f>
        <v>0</v>
      </c>
      <c r="AC396" s="1808"/>
      <c r="AD396" s="2274"/>
      <c r="AE396" s="2271"/>
      <c r="AF396" s="2271"/>
      <c r="AG396" s="2271"/>
      <c r="AH396" s="2275"/>
      <c r="AM396" s="1076"/>
    </row>
    <row r="397" spans="1:39" ht="17" thickBot="1">
      <c r="A397" s="2202">
        <v>47</v>
      </c>
      <c r="B397" s="2201">
        <f>S397</f>
        <v>72198.720000000001</v>
      </c>
      <c r="C397" s="2201">
        <f t="shared" ref="C397" si="318">T397</f>
        <v>87445.440000000002</v>
      </c>
      <c r="D397" s="2201">
        <f t="shared" ref="D397" si="319">U397</f>
        <v>99401.040000000008</v>
      </c>
      <c r="E397" s="2201">
        <f t="shared" ref="E397" si="320">V397</f>
        <v>183256.56</v>
      </c>
      <c r="F397" s="2201">
        <f t="shared" ref="F397" si="321">W397</f>
        <v>183256.56</v>
      </c>
      <c r="G397" s="841" t="s">
        <v>349</v>
      </c>
      <c r="H397" s="2201" t="s">
        <v>2386</v>
      </c>
      <c r="I397" s="2204"/>
      <c r="J397" s="841" t="s">
        <v>2960</v>
      </c>
      <c r="K397" s="712"/>
      <c r="L397" s="833"/>
      <c r="S397" s="2242">
        <f>SUM(S392:S396)</f>
        <v>72198.720000000001</v>
      </c>
      <c r="T397" s="2243">
        <f>SUM(T392:T396)</f>
        <v>87445.440000000002</v>
      </c>
      <c r="U397" s="2243">
        <f>SUM(U392:U396)</f>
        <v>99401.040000000008</v>
      </c>
      <c r="V397" s="2243">
        <f>SUM(V392:V396)</f>
        <v>183256.56</v>
      </c>
      <c r="W397" s="2244">
        <f>SUM(W392:W396)</f>
        <v>183256.56</v>
      </c>
      <c r="X397" s="1098"/>
      <c r="AC397" s="1808"/>
      <c r="AD397" s="2276"/>
      <c r="AE397" s="2277"/>
      <c r="AF397" s="2277"/>
      <c r="AG397" s="2277"/>
      <c r="AH397" s="2278"/>
      <c r="AM397" s="1076"/>
    </row>
    <row r="398" spans="1:39" ht="17">
      <c r="K398" s="712"/>
      <c r="AB398" s="691" t="s">
        <v>3740</v>
      </c>
      <c r="AC398" s="2241">
        <v>1.2E-2</v>
      </c>
      <c r="AD398" s="2239">
        <f>AD393*$AC398</f>
        <v>61.508159999999997</v>
      </c>
      <c r="AE398" s="2239">
        <f t="shared" ref="AE398:AH398" si="322">AE393*$AC398</f>
        <v>56.064959999999999</v>
      </c>
      <c r="AF398" s="2239">
        <f t="shared" si="322"/>
        <v>47.90016</v>
      </c>
      <c r="AG398" s="2239">
        <f t="shared" si="322"/>
        <v>0</v>
      </c>
      <c r="AH398" s="2239">
        <f t="shared" si="322"/>
        <v>0</v>
      </c>
      <c r="AM398" s="1076"/>
    </row>
    <row r="399" spans="1:39" ht="17">
      <c r="K399" s="712"/>
      <c r="AB399" s="691" t="s">
        <v>486</v>
      </c>
      <c r="AC399" s="2241">
        <v>5.1999999999999998E-2</v>
      </c>
      <c r="AD399" s="2238">
        <f>AD393*$AC399</f>
        <v>266.53535999999997</v>
      </c>
      <c r="AE399" s="2238">
        <f t="shared" ref="AE399:AH399" si="323">AE393*$AC399</f>
        <v>242.94815999999997</v>
      </c>
      <c r="AF399" s="2238">
        <f t="shared" si="323"/>
        <v>207.56735999999998</v>
      </c>
      <c r="AG399" s="2238">
        <f t="shared" si="323"/>
        <v>0</v>
      </c>
      <c r="AH399" s="2238">
        <f t="shared" si="323"/>
        <v>0</v>
      </c>
      <c r="AM399" s="1076"/>
    </row>
    <row r="400" spans="1:39" ht="17">
      <c r="K400" s="712"/>
      <c r="AB400" s="691" t="s">
        <v>3741</v>
      </c>
      <c r="AC400" s="2241">
        <v>4.2000000000000003E-2</v>
      </c>
      <c r="AD400" s="2238">
        <f>AD393*$AC400</f>
        <v>215.27856</v>
      </c>
      <c r="AE400" s="2238">
        <f t="shared" ref="AE400:AH400" si="324">AE393*$AC400</f>
        <v>196.22736</v>
      </c>
      <c r="AF400" s="2238">
        <f t="shared" si="324"/>
        <v>167.65056000000001</v>
      </c>
      <c r="AG400" s="2238">
        <f t="shared" si="324"/>
        <v>0</v>
      </c>
      <c r="AH400" s="2238">
        <f t="shared" si="324"/>
        <v>0</v>
      </c>
      <c r="AM400" s="1076"/>
    </row>
    <row r="401" spans="1:43" ht="35" thickBot="1">
      <c r="K401" s="712"/>
      <c r="AB401" s="828" t="s">
        <v>3739</v>
      </c>
      <c r="AC401" s="1242">
        <f>SUM(AC398:AC400)</f>
        <v>0.10600000000000001</v>
      </c>
      <c r="AD401" s="2240">
        <f>SUM(AD398:AD400)</f>
        <v>543.32207999999991</v>
      </c>
      <c r="AE401" s="2240">
        <f t="shared" ref="AE401" si="325">SUM(AE398:AE400)</f>
        <v>495.24047999999993</v>
      </c>
      <c r="AF401" s="2240">
        <f t="shared" ref="AF401" si="326">SUM(AF398:AF400)</f>
        <v>423.11807999999996</v>
      </c>
      <c r="AG401" s="2240">
        <f t="shared" ref="AG401" si="327">SUM(AG398:AG400)</f>
        <v>0</v>
      </c>
      <c r="AH401" s="2240">
        <f t="shared" ref="AH401" si="328">SUM(AH398:AH400)</f>
        <v>0</v>
      </c>
      <c r="AL401" s="1098">
        <f>SUM(AD401:AJ401)</f>
        <v>1461.6806399999998</v>
      </c>
    </row>
    <row r="402" spans="1:43" ht="16" thickBot="1">
      <c r="A402" s="2202">
        <v>234</v>
      </c>
      <c r="B402" s="2201">
        <f>AD402</f>
        <v>99598.187333332782</v>
      </c>
      <c r="C402" s="2201">
        <f t="shared" ref="C402:F402" si="329">AE402</f>
        <v>90784.188454276795</v>
      </c>
      <c r="D402" s="2201">
        <f t="shared" si="329"/>
        <v>77563.190135692785</v>
      </c>
      <c r="E402" s="2201">
        <f t="shared" si="329"/>
        <v>0</v>
      </c>
      <c r="F402" s="2201">
        <f t="shared" si="329"/>
        <v>0</v>
      </c>
      <c r="G402" s="841" t="s">
        <v>351</v>
      </c>
      <c r="H402" s="2201" t="s">
        <v>2386</v>
      </c>
      <c r="I402" s="2204"/>
      <c r="J402" s="841" t="s">
        <v>2960</v>
      </c>
      <c r="K402" s="712"/>
      <c r="AC402" s="1808"/>
      <c r="AD402" s="2242">
        <f>(AD393+AD401)*USD</f>
        <v>99598.187333332782</v>
      </c>
      <c r="AE402" s="2242">
        <f>(AE393+AE401)*USD</f>
        <v>90784.188454276795</v>
      </c>
      <c r="AF402" s="2242">
        <f>(AF393+AF401)*USD</f>
        <v>77563.190135692785</v>
      </c>
      <c r="AG402" s="2242">
        <f>(AG393+AG401)*USD</f>
        <v>0</v>
      </c>
      <c r="AH402" s="2242">
        <f>(AH393+AH401)*USD</f>
        <v>0</v>
      </c>
      <c r="AN402" s="1808">
        <f>AD402/EUR</f>
        <v>5075.1436764843156</v>
      </c>
      <c r="AO402" s="1808">
        <f>AE402/EUR</f>
        <v>4626.0159175034032</v>
      </c>
      <c r="AP402" s="1808">
        <f>AF402/EUR</f>
        <v>3952.3242790320332</v>
      </c>
      <c r="AQ402" s="1808">
        <f>AG402/EUR</f>
        <v>0</v>
      </c>
    </row>
    <row r="403" spans="1:43">
      <c r="K403" s="712"/>
    </row>
    <row r="404" spans="1:43">
      <c r="K404" s="712"/>
    </row>
    <row r="405" spans="1:43">
      <c r="K405" s="712"/>
    </row>
    <row r="406" spans="1:43">
      <c r="K406" s="712"/>
    </row>
    <row r="407" spans="1:43">
      <c r="K407" s="712"/>
    </row>
    <row r="408" spans="1:43">
      <c r="K408" s="712"/>
    </row>
    <row r="409" spans="1:43">
      <c r="K409" s="712"/>
    </row>
    <row r="410" spans="1:43">
      <c r="K410" s="712"/>
    </row>
    <row r="411" spans="1:43">
      <c r="K411" s="712"/>
    </row>
    <row r="412" spans="1:43">
      <c r="K412" s="712"/>
    </row>
    <row r="413" spans="1:43">
      <c r="K413" s="712"/>
    </row>
    <row r="414" spans="1:43">
      <c r="K414" s="712"/>
    </row>
    <row r="415" spans="1:43">
      <c r="K415" s="712"/>
    </row>
    <row r="416" spans="1:43">
      <c r="K416" s="712"/>
    </row>
    <row r="417" spans="11:11">
      <c r="K417" s="712"/>
    </row>
    <row r="418" spans="11:11">
      <c r="K418" s="712"/>
    </row>
    <row r="419" spans="11:11">
      <c r="K419" s="712"/>
    </row>
    <row r="420" spans="11:11">
      <c r="K420" s="712"/>
    </row>
    <row r="421" spans="11:11">
      <c r="K421" s="712"/>
    </row>
    <row r="422" spans="11:11">
      <c r="K422" s="712"/>
    </row>
    <row r="423" spans="11:11">
      <c r="K423" s="712"/>
    </row>
    <row r="424" spans="11:11">
      <c r="K424" s="712"/>
    </row>
    <row r="425" spans="11:11">
      <c r="K425" s="712"/>
    </row>
    <row r="426" spans="11:11">
      <c r="K426" s="712"/>
    </row>
    <row r="427" spans="11:11">
      <c r="K427" s="712"/>
    </row>
    <row r="428" spans="11:11">
      <c r="K428" s="712"/>
    </row>
    <row r="429" spans="11:11">
      <c r="K429" s="712"/>
    </row>
    <row r="430" spans="11:11">
      <c r="K430" s="712"/>
    </row>
    <row r="431" spans="11:11">
      <c r="K431" s="712"/>
    </row>
    <row r="432" spans="11:11">
      <c r="K432" s="712"/>
    </row>
    <row r="433" spans="11:11">
      <c r="K433" s="712"/>
    </row>
    <row r="434" spans="11:11">
      <c r="K434" s="712"/>
    </row>
    <row r="435" spans="11:11">
      <c r="K435" s="712"/>
    </row>
    <row r="436" spans="11:11">
      <c r="K436" s="712"/>
    </row>
    <row r="437" spans="11:11">
      <c r="K437" s="712"/>
    </row>
    <row r="438" spans="11:11">
      <c r="K438" s="712"/>
    </row>
    <row r="439" spans="11:11">
      <c r="K439" s="712"/>
    </row>
    <row r="440" spans="11:11">
      <c r="K440" s="712"/>
    </row>
    <row r="441" spans="11:11">
      <c r="K441" s="712"/>
    </row>
    <row r="442" spans="11:11">
      <c r="K442" s="712"/>
    </row>
    <row r="443" spans="11:11">
      <c r="K443" s="712"/>
    </row>
    <row r="444" spans="11:11">
      <c r="K444" s="712"/>
    </row>
    <row r="445" spans="11:11">
      <c r="K445" s="712"/>
    </row>
    <row r="446" spans="11:11">
      <c r="K446" s="712"/>
    </row>
    <row r="447" spans="11:11">
      <c r="K447" s="712"/>
    </row>
    <row r="448" spans="11:11">
      <c r="K448" s="712"/>
    </row>
    <row r="449" spans="11:11">
      <c r="K449" s="712"/>
    </row>
    <row r="450" spans="11:11">
      <c r="K450" s="712"/>
    </row>
    <row r="451" spans="11:11">
      <c r="K451" s="712"/>
    </row>
    <row r="452" spans="11:11">
      <c r="K452" s="712"/>
    </row>
    <row r="453" spans="11:11">
      <c r="K453" s="712"/>
    </row>
    <row r="454" spans="11:11">
      <c r="K454" s="712"/>
    </row>
    <row r="455" spans="11:11">
      <c r="K455" s="712"/>
    </row>
    <row r="456" spans="11:11">
      <c r="K456" s="712"/>
    </row>
    <row r="457" spans="11:11">
      <c r="K457" s="712"/>
    </row>
    <row r="458" spans="11:11">
      <c r="K458" s="712"/>
    </row>
    <row r="459" spans="11:11">
      <c r="K459" s="712"/>
    </row>
    <row r="460" spans="11:11">
      <c r="K460" s="712"/>
    </row>
    <row r="461" spans="11:11">
      <c r="K461" s="712"/>
    </row>
    <row r="462" spans="11:11">
      <c r="K462" s="712"/>
    </row>
    <row r="463" spans="11:11">
      <c r="K463" s="712"/>
    </row>
    <row r="464" spans="11:11">
      <c r="K464" s="712"/>
    </row>
    <row r="465" spans="11:11">
      <c r="K465" s="712"/>
    </row>
    <row r="466" spans="11:11">
      <c r="K466" s="712"/>
    </row>
    <row r="467" spans="11:11">
      <c r="K467" s="712"/>
    </row>
    <row r="468" spans="11:11">
      <c r="K468" s="712"/>
    </row>
    <row r="469" spans="11:11">
      <c r="K469" s="712"/>
    </row>
    <row r="470" spans="11:11">
      <c r="K470" s="712"/>
    </row>
    <row r="471" spans="11:11">
      <c r="K471" s="712"/>
    </row>
    <row r="472" spans="11:11">
      <c r="K472" s="712"/>
    </row>
    <row r="473" spans="11:11">
      <c r="K473" s="712"/>
    </row>
    <row r="474" spans="11:11">
      <c r="K474" s="712"/>
    </row>
    <row r="475" spans="11:11">
      <c r="K475" s="712"/>
    </row>
    <row r="476" spans="11:11">
      <c r="K476" s="712"/>
    </row>
    <row r="477" spans="11:11">
      <c r="K477" s="712"/>
    </row>
    <row r="478" spans="11:11">
      <c r="K478" s="712"/>
    </row>
    <row r="479" spans="11:11">
      <c r="K479" s="712"/>
    </row>
    <row r="480" spans="11:11">
      <c r="K480" s="712"/>
    </row>
    <row r="481" spans="11:11">
      <c r="K481" s="712"/>
    </row>
    <row r="482" spans="11:11">
      <c r="K482" s="712"/>
    </row>
    <row r="483" spans="11:11">
      <c r="K483" s="712"/>
    </row>
    <row r="484" spans="11:11">
      <c r="K484" s="712"/>
    </row>
    <row r="485" spans="11:11">
      <c r="K485" s="712"/>
    </row>
    <row r="486" spans="11:11">
      <c r="K486" s="712"/>
    </row>
    <row r="487" spans="11:11">
      <c r="K487" s="712"/>
    </row>
    <row r="488" spans="11:11">
      <c r="K488" s="712"/>
    </row>
    <row r="489" spans="11:11">
      <c r="K489" s="712"/>
    </row>
    <row r="490" spans="11:11">
      <c r="K490" s="712"/>
    </row>
    <row r="491" spans="11:11">
      <c r="K491" s="712"/>
    </row>
    <row r="492" spans="11:11">
      <c r="K492" s="712"/>
    </row>
    <row r="493" spans="11:11">
      <c r="K493" s="712"/>
    </row>
    <row r="494" spans="11:11">
      <c r="K494" s="712"/>
    </row>
    <row r="495" spans="11:11">
      <c r="K495" s="712"/>
    </row>
    <row r="496" spans="11:11">
      <c r="K496" s="712"/>
    </row>
    <row r="497" spans="11:11">
      <c r="K497" s="712"/>
    </row>
    <row r="498" spans="11:11">
      <c r="K498" s="712"/>
    </row>
    <row r="499" spans="11:11">
      <c r="K499" s="712"/>
    </row>
    <row r="500" spans="11:11">
      <c r="K500" s="712"/>
    </row>
    <row r="501" spans="11:11">
      <c r="K501" s="712"/>
    </row>
    <row r="502" spans="11:11">
      <c r="K502" s="712"/>
    </row>
    <row r="503" spans="11:11">
      <c r="K503" s="712"/>
    </row>
    <row r="504" spans="11:11">
      <c r="K504" s="712"/>
    </row>
    <row r="505" spans="11:11">
      <c r="K505" s="712"/>
    </row>
    <row r="506" spans="11:11">
      <c r="K506" s="712"/>
    </row>
    <row r="507" spans="11:11">
      <c r="K507" s="712"/>
    </row>
    <row r="508" spans="11:11">
      <c r="K508" s="712"/>
    </row>
    <row r="509" spans="11:11">
      <c r="K509" s="712"/>
    </row>
    <row r="510" spans="11:11">
      <c r="K510" s="712"/>
    </row>
    <row r="511" spans="11:11">
      <c r="K511" s="712"/>
    </row>
    <row r="512" spans="11:11">
      <c r="K512" s="712"/>
    </row>
    <row r="513" spans="11:11">
      <c r="K513" s="712"/>
    </row>
    <row r="514" spans="11:11">
      <c r="K514" s="712"/>
    </row>
    <row r="515" spans="11:11">
      <c r="K515" s="712"/>
    </row>
    <row r="516" spans="11:11">
      <c r="K516" s="712"/>
    </row>
    <row r="517" spans="11:11">
      <c r="K517" s="712"/>
    </row>
    <row r="518" spans="11:11">
      <c r="K518" s="712"/>
    </row>
    <row r="519" spans="11:11">
      <c r="K519" s="712"/>
    </row>
    <row r="520" spans="11:11">
      <c r="K520" s="712"/>
    </row>
    <row r="521" spans="11:11">
      <c r="K521" s="712"/>
    </row>
    <row r="522" spans="11:11">
      <c r="K522" s="712"/>
    </row>
    <row r="523" spans="11:11">
      <c r="K523" s="712"/>
    </row>
    <row r="524" spans="11:11">
      <c r="K524" s="712"/>
    </row>
    <row r="525" spans="11:11">
      <c r="K525" s="712"/>
    </row>
    <row r="526" spans="11:11">
      <c r="K526" s="712"/>
    </row>
    <row r="527" spans="11:11">
      <c r="K527" s="712"/>
    </row>
    <row r="528" spans="11:11">
      <c r="K528" s="712"/>
    </row>
    <row r="529" spans="11:11">
      <c r="K529" s="712"/>
    </row>
    <row r="530" spans="11:11">
      <c r="K530" s="712"/>
    </row>
    <row r="531" spans="11:11">
      <c r="K531" s="712"/>
    </row>
    <row r="532" spans="11:11">
      <c r="K532" s="712"/>
    </row>
    <row r="533" spans="11:11">
      <c r="K533" s="712"/>
    </row>
    <row r="534" spans="11:11">
      <c r="K534" s="712"/>
    </row>
    <row r="535" spans="11:11">
      <c r="K535" s="712"/>
    </row>
    <row r="536" spans="11:11">
      <c r="K536" s="712"/>
    </row>
    <row r="537" spans="11:11">
      <c r="K537" s="712"/>
    </row>
    <row r="538" spans="11:11">
      <c r="K538" s="712"/>
    </row>
    <row r="539" spans="11:11">
      <c r="K539" s="712"/>
    </row>
    <row r="540" spans="11:11">
      <c r="K540" s="712"/>
    </row>
    <row r="541" spans="11:11">
      <c r="K541" s="712"/>
    </row>
    <row r="542" spans="11:11">
      <c r="K542" s="712"/>
    </row>
    <row r="543" spans="11:11">
      <c r="K543" s="712"/>
    </row>
    <row r="544" spans="11:11">
      <c r="K544" s="712"/>
    </row>
    <row r="545" spans="11:11">
      <c r="K545" s="712"/>
    </row>
    <row r="546" spans="11:11">
      <c r="K546" s="712"/>
    </row>
    <row r="547" spans="11:11">
      <c r="K547" s="712"/>
    </row>
    <row r="548" spans="11:11">
      <c r="K548" s="712"/>
    </row>
    <row r="549" spans="11:11">
      <c r="K549" s="712"/>
    </row>
    <row r="550" spans="11:11">
      <c r="K550" s="712"/>
    </row>
    <row r="551" spans="11:11">
      <c r="K551" s="712"/>
    </row>
    <row r="552" spans="11:11">
      <c r="K552" s="712"/>
    </row>
    <row r="553" spans="11:11">
      <c r="K553" s="712"/>
    </row>
    <row r="554" spans="11:11">
      <c r="K554" s="712"/>
    </row>
    <row r="555" spans="11:11">
      <c r="K555" s="712"/>
    </row>
    <row r="556" spans="11:11">
      <c r="K556" s="712"/>
    </row>
    <row r="557" spans="11:11">
      <c r="K557" s="712"/>
    </row>
    <row r="558" spans="11:11">
      <c r="K558" s="712"/>
    </row>
    <row r="559" spans="11:11">
      <c r="K559" s="712"/>
    </row>
    <row r="560" spans="11:11">
      <c r="K560" s="712"/>
    </row>
    <row r="561" spans="11:11">
      <c r="K561" s="712"/>
    </row>
    <row r="562" spans="11:11">
      <c r="K562" s="712"/>
    </row>
    <row r="563" spans="11:11">
      <c r="K563" s="712"/>
    </row>
    <row r="564" spans="11:11">
      <c r="K564" s="712"/>
    </row>
    <row r="565" spans="11:11">
      <c r="K565" s="712"/>
    </row>
    <row r="566" spans="11:11">
      <c r="K566" s="712"/>
    </row>
    <row r="567" spans="11:11">
      <c r="K567" s="712"/>
    </row>
    <row r="568" spans="11:11">
      <c r="K568" s="712"/>
    </row>
    <row r="569" spans="11:11">
      <c r="K569" s="712"/>
    </row>
    <row r="570" spans="11:11">
      <c r="K570" s="712"/>
    </row>
    <row r="571" spans="11:11">
      <c r="K571" s="712"/>
    </row>
    <row r="572" spans="11:11">
      <c r="K572" s="712"/>
    </row>
    <row r="573" spans="11:11">
      <c r="K573" s="712"/>
    </row>
    <row r="574" spans="11:11">
      <c r="K574" s="712"/>
    </row>
    <row r="575" spans="11:11">
      <c r="K575" s="712"/>
    </row>
    <row r="576" spans="11:11">
      <c r="K576" s="712"/>
    </row>
    <row r="577" spans="11:11">
      <c r="K577" s="712"/>
    </row>
    <row r="578" spans="11:11">
      <c r="K578" s="712"/>
    </row>
    <row r="579" spans="11:11">
      <c r="K579" s="712"/>
    </row>
    <row r="580" spans="11:11">
      <c r="K580" s="712"/>
    </row>
    <row r="581" spans="11:11">
      <c r="K581" s="712"/>
    </row>
    <row r="582" spans="11:11">
      <c r="K582" s="712"/>
    </row>
    <row r="583" spans="11:11">
      <c r="K583" s="712"/>
    </row>
    <row r="584" spans="11:11">
      <c r="K584" s="712"/>
    </row>
    <row r="585" spans="11:11">
      <c r="K585" s="712"/>
    </row>
    <row r="586" spans="11:11">
      <c r="K586" s="712"/>
    </row>
    <row r="587" spans="11:11">
      <c r="K587" s="712"/>
    </row>
    <row r="588" spans="11:11">
      <c r="K588" s="712"/>
    </row>
    <row r="589" spans="11:11">
      <c r="K589" s="712"/>
    </row>
    <row r="590" spans="11:11">
      <c r="K590" s="712"/>
    </row>
    <row r="591" spans="11:11">
      <c r="K591" s="712"/>
    </row>
    <row r="592" spans="11:11">
      <c r="K592" s="712"/>
    </row>
    <row r="593" spans="11:11">
      <c r="K593" s="712"/>
    </row>
    <row r="594" spans="11:11">
      <c r="K594" s="712"/>
    </row>
    <row r="595" spans="11:11">
      <c r="K595" s="712"/>
    </row>
    <row r="596" spans="11:11">
      <c r="K596" s="712"/>
    </row>
    <row r="597" spans="11:11">
      <c r="K597" s="712"/>
    </row>
    <row r="598" spans="11:11">
      <c r="K598" s="712"/>
    </row>
    <row r="599" spans="11:11">
      <c r="K599" s="712"/>
    </row>
    <row r="600" spans="11:11">
      <c r="K600" s="712"/>
    </row>
    <row r="601" spans="11:11">
      <c r="K601" s="712"/>
    </row>
    <row r="602" spans="11:11">
      <c r="K602" s="712"/>
    </row>
    <row r="603" spans="11:11">
      <c r="K603" s="712"/>
    </row>
    <row r="604" spans="11:11">
      <c r="K604" s="712"/>
    </row>
    <row r="605" spans="11:11">
      <c r="K605" s="712"/>
    </row>
    <row r="606" spans="11:11">
      <c r="K606" s="712"/>
    </row>
    <row r="607" spans="11:11">
      <c r="K607" s="712"/>
    </row>
    <row r="608" spans="11:11">
      <c r="K608" s="712"/>
    </row>
    <row r="609" spans="11:11">
      <c r="K609" s="712"/>
    </row>
    <row r="610" spans="11:11">
      <c r="K610" s="712"/>
    </row>
    <row r="611" spans="11:11">
      <c r="K611" s="712"/>
    </row>
    <row r="612" spans="11:11">
      <c r="K612" s="712"/>
    </row>
    <row r="613" spans="11:11">
      <c r="K613" s="712"/>
    </row>
    <row r="614" spans="11:11">
      <c r="K614" s="712"/>
    </row>
    <row r="615" spans="11:11">
      <c r="K615" s="712"/>
    </row>
    <row r="616" spans="11:11">
      <c r="K616" s="712"/>
    </row>
    <row r="617" spans="11:11">
      <c r="K617" s="712"/>
    </row>
    <row r="618" spans="11:11">
      <c r="K618" s="712"/>
    </row>
    <row r="619" spans="11:11">
      <c r="K619" s="712"/>
    </row>
    <row r="620" spans="11:11">
      <c r="K620" s="712"/>
    </row>
    <row r="621" spans="11:11">
      <c r="K621" s="712"/>
    </row>
    <row r="622" spans="11:11">
      <c r="K622" s="712"/>
    </row>
  </sheetData>
  <mergeCells count="52">
    <mergeCell ref="L136:L140"/>
    <mergeCell ref="N137:N138"/>
    <mergeCell ref="N143:N144"/>
    <mergeCell ref="S137:S138"/>
    <mergeCell ref="S143:S144"/>
    <mergeCell ref="L142:L146"/>
    <mergeCell ref="T137:T138"/>
    <mergeCell ref="U137:U138"/>
    <mergeCell ref="V137:V138"/>
    <mergeCell ref="W137:W138"/>
    <mergeCell ref="T143:T144"/>
    <mergeCell ref="U143:U144"/>
    <mergeCell ref="V143:V144"/>
    <mergeCell ref="W143:W144"/>
    <mergeCell ref="L179:L183"/>
    <mergeCell ref="N180:N181"/>
    <mergeCell ref="S180:S181"/>
    <mergeCell ref="T180:T181"/>
    <mergeCell ref="U180:U181"/>
    <mergeCell ref="W180:W181"/>
    <mergeCell ref="N186:N187"/>
    <mergeCell ref="S186:S187"/>
    <mergeCell ref="T186:T187"/>
    <mergeCell ref="U186:U187"/>
    <mergeCell ref="V186:V187"/>
    <mergeCell ref="W186:W187"/>
    <mergeCell ref="V180:V181"/>
    <mergeCell ref="L185:L189"/>
    <mergeCell ref="W298:W299"/>
    <mergeCell ref="N262:N263"/>
    <mergeCell ref="S262:S263"/>
    <mergeCell ref="T262:T263"/>
    <mergeCell ref="U262:U263"/>
    <mergeCell ref="V262:V263"/>
    <mergeCell ref="W262:W263"/>
    <mergeCell ref="N298:N299"/>
    <mergeCell ref="S298:S299"/>
    <mergeCell ref="T298:T299"/>
    <mergeCell ref="U298:U299"/>
    <mergeCell ref="V298:V299"/>
    <mergeCell ref="W335:W336"/>
    <mergeCell ref="N375:N376"/>
    <mergeCell ref="S375:S376"/>
    <mergeCell ref="T375:T376"/>
    <mergeCell ref="U375:U376"/>
    <mergeCell ref="V375:V376"/>
    <mergeCell ref="W375:W376"/>
    <mergeCell ref="N335:N336"/>
    <mergeCell ref="S335:S336"/>
    <mergeCell ref="T335:T336"/>
    <mergeCell ref="U335:U336"/>
    <mergeCell ref="V335:V336"/>
  </mergeCells>
  <conditionalFormatting sqref="A115">
    <cfRule type="duplicateValues" dxfId="276" priority="68"/>
  </conditionalFormatting>
  <conditionalFormatting sqref="M221">
    <cfRule type="duplicateValues" dxfId="275" priority="65"/>
  </conditionalFormatting>
  <conditionalFormatting sqref="M222">
    <cfRule type="duplicateValues" dxfId="274" priority="64"/>
  </conditionalFormatting>
  <conditionalFormatting sqref="M238">
    <cfRule type="duplicateValues" dxfId="273" priority="61"/>
  </conditionalFormatting>
  <conditionalFormatting sqref="M239">
    <cfRule type="duplicateValues" dxfId="272" priority="60"/>
  </conditionalFormatting>
  <conditionalFormatting sqref="A234">
    <cfRule type="duplicateValues" dxfId="271" priority="51"/>
  </conditionalFormatting>
  <conditionalFormatting sqref="A251">
    <cfRule type="duplicateValues" dxfId="270" priority="48"/>
  </conditionalFormatting>
  <conditionalFormatting sqref="A97">
    <cfRule type="duplicateValues" dxfId="269" priority="45"/>
  </conditionalFormatting>
  <conditionalFormatting sqref="A167">
    <cfRule type="duplicateValues" dxfId="268" priority="127"/>
  </conditionalFormatting>
  <conditionalFormatting sqref="A30">
    <cfRule type="duplicateValues" dxfId="267" priority="44"/>
  </conditionalFormatting>
  <conditionalFormatting sqref="N245">
    <cfRule type="duplicateValues" dxfId="266" priority="41"/>
  </conditionalFormatting>
  <conditionalFormatting sqref="N250">
    <cfRule type="duplicateValues" dxfId="265" priority="39"/>
  </conditionalFormatting>
  <conditionalFormatting sqref="N233">
    <cfRule type="duplicateValues" dxfId="264" priority="38"/>
  </conditionalFormatting>
  <conditionalFormatting sqref="N228">
    <cfRule type="duplicateValues" dxfId="263" priority="37"/>
  </conditionalFormatting>
  <conditionalFormatting sqref="N266">
    <cfRule type="expression" dxfId="262" priority="36">
      <formula>"&lt;&gt;""ok"""</formula>
    </cfRule>
  </conditionalFormatting>
  <conditionalFormatting sqref="A284">
    <cfRule type="duplicateValues" dxfId="261" priority="35"/>
  </conditionalFormatting>
  <conditionalFormatting sqref="A210">
    <cfRule type="duplicateValues" dxfId="260" priority="32"/>
  </conditionalFormatting>
  <conditionalFormatting sqref="N302">
    <cfRule type="expression" dxfId="259" priority="29">
      <formula>"&lt;&gt;""ok"""</formula>
    </cfRule>
  </conditionalFormatting>
  <conditionalFormatting sqref="A320">
    <cfRule type="duplicateValues" dxfId="258" priority="28"/>
  </conditionalFormatting>
  <conditionalFormatting sqref="A1:A29 A31:A68 A78:A96 A122:A123 A98:A114 A117:A120 A75:A76 A70:A73">
    <cfRule type="duplicateValues" dxfId="257" priority="200"/>
  </conditionalFormatting>
  <conditionalFormatting sqref="A116">
    <cfRule type="duplicateValues" dxfId="256" priority="25"/>
  </conditionalFormatting>
  <conditionalFormatting sqref="N339">
    <cfRule type="expression" dxfId="255" priority="24">
      <formula>"&lt;&gt;""ok"""</formula>
    </cfRule>
  </conditionalFormatting>
  <conditionalFormatting sqref="N379">
    <cfRule type="expression" dxfId="254" priority="23">
      <formula>"&lt;&gt;""ok"""</formula>
    </cfRule>
  </conditionalFormatting>
  <conditionalFormatting sqref="A357">
    <cfRule type="duplicateValues" dxfId="253" priority="22"/>
  </conditionalFormatting>
  <conditionalFormatting sqref="A397">
    <cfRule type="duplicateValues" dxfId="252" priority="21"/>
  </conditionalFormatting>
  <conditionalFormatting sqref="Q17">
    <cfRule type="containsText" dxfId="251" priority="19" operator="containsText" text="USD">
      <formula>NOT(ISERROR(SEARCH("USD",Q17)))</formula>
    </cfRule>
    <cfRule type="containsText" dxfId="250" priority="20" operator="containsText" text="EUR">
      <formula>NOT(ISERROR(SEARCH("EUR",Q17)))</formula>
    </cfRule>
  </conditionalFormatting>
  <conditionalFormatting sqref="A69">
    <cfRule type="duplicateValues" dxfId="249" priority="16"/>
  </conditionalFormatting>
  <conditionalFormatting sqref="Q42">
    <cfRule type="containsText" dxfId="248" priority="14" operator="containsText" text="USD">
      <formula>NOT(ISERROR(SEARCH("USD",Q42)))</formula>
    </cfRule>
    <cfRule type="containsText" dxfId="247" priority="15" operator="containsText" text="EUR">
      <formula>NOT(ISERROR(SEARCH("EUR",Q42)))</formula>
    </cfRule>
  </conditionalFormatting>
  <conditionalFormatting sqref="G173:G213 G1:G170 G215:G284 G288 G290:G320 G326:G361 G403:G1048576 G363:G401">
    <cfRule type="containsText" dxfId="246" priority="13" operator="containsText" text="gfatm">
      <formula>NOT(ISERROR(SEARCH("gfatm",G1)))</formula>
    </cfRule>
  </conditionalFormatting>
  <conditionalFormatting sqref="A171">
    <cfRule type="duplicateValues" dxfId="245" priority="12"/>
  </conditionalFormatting>
  <conditionalFormatting sqref="G171">
    <cfRule type="containsText" dxfId="244" priority="11" operator="containsText" text="gfatm">
      <formula>NOT(ISERROR(SEARCH("gfatm",G171)))</formula>
    </cfRule>
  </conditionalFormatting>
  <conditionalFormatting sqref="A214">
    <cfRule type="duplicateValues" dxfId="243" priority="10"/>
  </conditionalFormatting>
  <conditionalFormatting sqref="G214">
    <cfRule type="containsText" dxfId="242" priority="9" operator="containsText" text="gfatm">
      <formula>NOT(ISERROR(SEARCH("gfatm",G214)))</formula>
    </cfRule>
  </conditionalFormatting>
  <conditionalFormatting sqref="A289">
    <cfRule type="duplicateValues" dxfId="241" priority="8"/>
  </conditionalFormatting>
  <conditionalFormatting sqref="G289">
    <cfRule type="containsText" dxfId="240" priority="7" operator="containsText" text="gfatm">
      <formula>NOT(ISERROR(SEARCH("gfatm",G289)))</formula>
    </cfRule>
  </conditionalFormatting>
  <conditionalFormatting sqref="A325">
    <cfRule type="duplicateValues" dxfId="239" priority="6"/>
  </conditionalFormatting>
  <conditionalFormatting sqref="G325">
    <cfRule type="containsText" dxfId="238" priority="5" operator="containsText" text="gfatm">
      <formula>NOT(ISERROR(SEARCH("gfatm",G325)))</formula>
    </cfRule>
  </conditionalFormatting>
  <conditionalFormatting sqref="A402">
    <cfRule type="duplicateValues" dxfId="237" priority="4"/>
  </conditionalFormatting>
  <conditionalFormatting sqref="G402">
    <cfRule type="containsText" dxfId="236" priority="3" operator="containsText" text="gfatm">
      <formula>NOT(ISERROR(SEARCH("gfatm",G402)))</formula>
    </cfRule>
  </conditionalFormatting>
  <conditionalFormatting sqref="A362">
    <cfRule type="duplicateValues" dxfId="235" priority="2"/>
  </conditionalFormatting>
  <conditionalFormatting sqref="G362">
    <cfRule type="containsText" dxfId="234" priority="1" operator="containsText" text="gfatm">
      <formula>NOT(ISERROR(SEARCH("gfatm",G362)))</formula>
    </cfRule>
  </conditionalFormatting>
  <dataValidations count="3">
    <dataValidation type="list" allowBlank="1" showInputMessage="1" showErrorMessage="1" sqref="G115:G116 G30 G97 G167 G210 G234 G251 G214 G289 G397 G357 G69 G171 G284 G320 G325 G402 G362" xr:uid="{00000000-0002-0000-1400-000000000000}">
      <formula1>TB_sursa_finant_Ro</formula1>
    </dataValidation>
    <dataValidation type="list" allowBlank="1" showInputMessage="1" showErrorMessage="1" sqref="I115:I116 I30 I234 I251 I97 I167 I214 I210 I289 I397 I357 I69 I171 I284 I320 I325 I402 I362" xr:uid="{00000000-0002-0000-1400-000001000000}">
      <formula1>TB_implementare</formula1>
    </dataValidation>
    <dataValidation type="list" allowBlank="1" showInputMessage="1" showErrorMessage="1" sqref="M18:M24 M43:M61" xr:uid="{00000000-0002-0000-1400-000002000000}">
      <formula1>Denumire_produs_ro</formula1>
    </dataValidation>
  </dataValidations>
  <hyperlinks>
    <hyperlink ref="O1" location="CUPRINS!A1" display="CUPRINS" xr:uid="{00000000-0004-0000-14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3000000}">
          <x14:formula1>
            <xm:f>Nom_activ_2!$H$2:$H$88</xm:f>
          </x14:formula1>
          <xm:sqref>J115:J116 J69 J357 J397 J289 J214 J251 J234 J210 J167 J30 J97 J171 J284 J320 J325 J402 J362</xm:sqref>
        </x14:dataValidation>
      </x14:dataValidations>
    </ext>
  </extLst>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dimension ref="A1:AG272"/>
  <sheetViews>
    <sheetView zoomScale="70" zoomScaleNormal="70" workbookViewId="0">
      <pane ySplit="1" topLeftCell="A2" activePane="bottomLeft" state="frozen"/>
      <selection activeCell="S7" sqref="S7"/>
      <selection pane="bottomLeft" activeCell="V79" sqref="V79"/>
    </sheetView>
  </sheetViews>
  <sheetFormatPr baseColWidth="10" defaultColWidth="8.83203125" defaultRowHeight="15" outlineLevelCol="1"/>
  <cols>
    <col min="1" max="1" width="16" customWidth="1" outlineLevel="1"/>
    <col min="2" max="2" width="13.5" customWidth="1" outlineLevel="1"/>
    <col min="3" max="6" width="9.6640625" customWidth="1" outlineLevel="1"/>
    <col min="7" max="7" width="7.1640625" customWidth="1" outlineLevel="1"/>
    <col min="8" max="8" width="44.33203125" customWidth="1" outlineLevel="1"/>
    <col min="9" max="9" width="13.5" customWidth="1" outlineLevel="1"/>
    <col min="10" max="10" width="40" customWidth="1" outlineLevel="1"/>
    <col min="11" max="11" width="2" bestFit="1" customWidth="1"/>
    <col min="12" max="12" width="23.33203125" customWidth="1"/>
    <col min="13" max="13" width="89.33203125" bestFit="1" customWidth="1"/>
    <col min="14" max="14" width="11.83203125" bestFit="1" customWidth="1"/>
    <col min="15" max="15" width="21.1640625" bestFit="1" customWidth="1"/>
    <col min="16" max="16" width="16.1640625" customWidth="1"/>
    <col min="17" max="17" width="17.6640625" bestFit="1" customWidth="1"/>
    <col min="18" max="18" width="13.5" bestFit="1" customWidth="1"/>
    <col min="19" max="20" width="8.5" bestFit="1" customWidth="1"/>
    <col min="21" max="32" width="14.6640625" customWidth="1"/>
    <col min="33" max="33" width="2" bestFit="1" customWidth="1"/>
    <col min="230" max="230" width="3" customWidth="1"/>
    <col min="231" max="231" width="40.5" customWidth="1"/>
    <col min="232" max="232" width="14.33203125" customWidth="1"/>
    <col min="233" max="238" width="22.5" customWidth="1"/>
    <col min="486" max="486" width="3" customWidth="1"/>
    <col min="487" max="487" width="40.5" customWidth="1"/>
    <col min="488" max="488" width="14.33203125" customWidth="1"/>
    <col min="489" max="494" width="22.5" customWidth="1"/>
    <col min="742" max="742" width="3" customWidth="1"/>
    <col min="743" max="743" width="40.5" customWidth="1"/>
    <col min="744" max="744" width="14.33203125" customWidth="1"/>
    <col min="745" max="750" width="22.5" customWidth="1"/>
    <col min="998" max="998" width="3" customWidth="1"/>
    <col min="999" max="999" width="40.5" customWidth="1"/>
    <col min="1000" max="1000" width="14.33203125" customWidth="1"/>
    <col min="1001" max="1006" width="22.5" customWidth="1"/>
    <col min="1254" max="1254" width="3" customWidth="1"/>
    <col min="1255" max="1255" width="40.5" customWidth="1"/>
    <col min="1256" max="1256" width="14.33203125" customWidth="1"/>
    <col min="1257" max="1262" width="22.5" customWidth="1"/>
    <col min="1510" max="1510" width="3" customWidth="1"/>
    <col min="1511" max="1511" width="40.5" customWidth="1"/>
    <col min="1512" max="1512" width="14.33203125" customWidth="1"/>
    <col min="1513" max="1518" width="22.5" customWidth="1"/>
    <col min="1766" max="1766" width="3" customWidth="1"/>
    <col min="1767" max="1767" width="40.5" customWidth="1"/>
    <col min="1768" max="1768" width="14.33203125" customWidth="1"/>
    <col min="1769" max="1774" width="22.5" customWidth="1"/>
    <col min="2022" max="2022" width="3" customWidth="1"/>
    <col min="2023" max="2023" width="40.5" customWidth="1"/>
    <col min="2024" max="2024" width="14.33203125" customWidth="1"/>
    <col min="2025" max="2030" width="22.5" customWidth="1"/>
    <col min="2278" max="2278" width="3" customWidth="1"/>
    <col min="2279" max="2279" width="40.5" customWidth="1"/>
    <col min="2280" max="2280" width="14.33203125" customWidth="1"/>
    <col min="2281" max="2286" width="22.5" customWidth="1"/>
    <col min="2534" max="2534" width="3" customWidth="1"/>
    <col min="2535" max="2535" width="40.5" customWidth="1"/>
    <col min="2536" max="2536" width="14.33203125" customWidth="1"/>
    <col min="2537" max="2542" width="22.5" customWidth="1"/>
    <col min="2790" max="2790" width="3" customWidth="1"/>
    <col min="2791" max="2791" width="40.5" customWidth="1"/>
    <col min="2792" max="2792" width="14.33203125" customWidth="1"/>
    <col min="2793" max="2798" width="22.5" customWidth="1"/>
    <col min="3046" max="3046" width="3" customWidth="1"/>
    <col min="3047" max="3047" width="40.5" customWidth="1"/>
    <col min="3048" max="3048" width="14.33203125" customWidth="1"/>
    <col min="3049" max="3054" width="22.5" customWidth="1"/>
    <col min="3302" max="3302" width="3" customWidth="1"/>
    <col min="3303" max="3303" width="40.5" customWidth="1"/>
    <col min="3304" max="3304" width="14.33203125" customWidth="1"/>
    <col min="3305" max="3310" width="22.5" customWidth="1"/>
    <col min="3558" max="3558" width="3" customWidth="1"/>
    <col min="3559" max="3559" width="40.5" customWidth="1"/>
    <col min="3560" max="3560" width="14.33203125" customWidth="1"/>
    <col min="3561" max="3566" width="22.5" customWidth="1"/>
    <col min="3814" max="3814" width="3" customWidth="1"/>
    <col min="3815" max="3815" width="40.5" customWidth="1"/>
    <col min="3816" max="3816" width="14.33203125" customWidth="1"/>
    <col min="3817" max="3822" width="22.5" customWidth="1"/>
    <col min="4070" max="4070" width="3" customWidth="1"/>
    <col min="4071" max="4071" width="40.5" customWidth="1"/>
    <col min="4072" max="4072" width="14.33203125" customWidth="1"/>
    <col min="4073" max="4078" width="22.5" customWidth="1"/>
    <col min="4326" max="4326" width="3" customWidth="1"/>
    <col min="4327" max="4327" width="40.5" customWidth="1"/>
    <col min="4328" max="4328" width="14.33203125" customWidth="1"/>
    <col min="4329" max="4334" width="22.5" customWidth="1"/>
    <col min="4582" max="4582" width="3" customWidth="1"/>
    <col min="4583" max="4583" width="40.5" customWidth="1"/>
    <col min="4584" max="4584" width="14.33203125" customWidth="1"/>
    <col min="4585" max="4590" width="22.5" customWidth="1"/>
    <col min="4838" max="4838" width="3" customWidth="1"/>
    <col min="4839" max="4839" width="40.5" customWidth="1"/>
    <col min="4840" max="4840" width="14.33203125" customWidth="1"/>
    <col min="4841" max="4846" width="22.5" customWidth="1"/>
    <col min="5094" max="5094" width="3" customWidth="1"/>
    <col min="5095" max="5095" width="40.5" customWidth="1"/>
    <col min="5096" max="5096" width="14.33203125" customWidth="1"/>
    <col min="5097" max="5102" width="22.5" customWidth="1"/>
    <col min="5350" max="5350" width="3" customWidth="1"/>
    <col min="5351" max="5351" width="40.5" customWidth="1"/>
    <col min="5352" max="5352" width="14.33203125" customWidth="1"/>
    <col min="5353" max="5358" width="22.5" customWidth="1"/>
    <col min="5606" max="5606" width="3" customWidth="1"/>
    <col min="5607" max="5607" width="40.5" customWidth="1"/>
    <col min="5608" max="5608" width="14.33203125" customWidth="1"/>
    <col min="5609" max="5614" width="22.5" customWidth="1"/>
    <col min="5862" max="5862" width="3" customWidth="1"/>
    <col min="5863" max="5863" width="40.5" customWidth="1"/>
    <col min="5864" max="5864" width="14.33203125" customWidth="1"/>
    <col min="5865" max="5870" width="22.5" customWidth="1"/>
    <col min="6118" max="6118" width="3" customWidth="1"/>
    <col min="6119" max="6119" width="40.5" customWidth="1"/>
    <col min="6120" max="6120" width="14.33203125" customWidth="1"/>
    <col min="6121" max="6126" width="22.5" customWidth="1"/>
    <col min="6374" max="6374" width="3" customWidth="1"/>
    <col min="6375" max="6375" width="40.5" customWidth="1"/>
    <col min="6376" max="6376" width="14.33203125" customWidth="1"/>
    <col min="6377" max="6382" width="22.5" customWidth="1"/>
    <col min="6630" max="6630" width="3" customWidth="1"/>
    <col min="6631" max="6631" width="40.5" customWidth="1"/>
    <col min="6632" max="6632" width="14.33203125" customWidth="1"/>
    <col min="6633" max="6638" width="22.5" customWidth="1"/>
    <col min="6886" max="6886" width="3" customWidth="1"/>
    <col min="6887" max="6887" width="40.5" customWidth="1"/>
    <col min="6888" max="6888" width="14.33203125" customWidth="1"/>
    <col min="6889" max="6894" width="22.5" customWidth="1"/>
    <col min="7142" max="7142" width="3" customWidth="1"/>
    <col min="7143" max="7143" width="40.5" customWidth="1"/>
    <col min="7144" max="7144" width="14.33203125" customWidth="1"/>
    <col min="7145" max="7150" width="22.5" customWidth="1"/>
    <col min="7398" max="7398" width="3" customWidth="1"/>
    <col min="7399" max="7399" width="40.5" customWidth="1"/>
    <col min="7400" max="7400" width="14.33203125" customWidth="1"/>
    <col min="7401" max="7406" width="22.5" customWidth="1"/>
    <col min="7654" max="7654" width="3" customWidth="1"/>
    <col min="7655" max="7655" width="40.5" customWidth="1"/>
    <col min="7656" max="7656" width="14.33203125" customWidth="1"/>
    <col min="7657" max="7662" width="22.5" customWidth="1"/>
    <col min="7910" max="7910" width="3" customWidth="1"/>
    <col min="7911" max="7911" width="40.5" customWidth="1"/>
    <col min="7912" max="7912" width="14.33203125" customWidth="1"/>
    <col min="7913" max="7918" width="22.5" customWidth="1"/>
    <col min="8166" max="8166" width="3" customWidth="1"/>
    <col min="8167" max="8167" width="40.5" customWidth="1"/>
    <col min="8168" max="8168" width="14.33203125" customWidth="1"/>
    <col min="8169" max="8174" width="22.5" customWidth="1"/>
    <col min="8422" max="8422" width="3" customWidth="1"/>
    <col min="8423" max="8423" width="40.5" customWidth="1"/>
    <col min="8424" max="8424" width="14.33203125" customWidth="1"/>
    <col min="8425" max="8430" width="22.5" customWidth="1"/>
    <col min="8678" max="8678" width="3" customWidth="1"/>
    <col min="8679" max="8679" width="40.5" customWidth="1"/>
    <col min="8680" max="8680" width="14.33203125" customWidth="1"/>
    <col min="8681" max="8686" width="22.5" customWidth="1"/>
    <col min="8934" max="8934" width="3" customWidth="1"/>
    <col min="8935" max="8935" width="40.5" customWidth="1"/>
    <col min="8936" max="8936" width="14.33203125" customWidth="1"/>
    <col min="8937" max="8942" width="22.5" customWidth="1"/>
    <col min="9190" max="9190" width="3" customWidth="1"/>
    <col min="9191" max="9191" width="40.5" customWidth="1"/>
    <col min="9192" max="9192" width="14.33203125" customWidth="1"/>
    <col min="9193" max="9198" width="22.5" customWidth="1"/>
    <col min="9446" max="9446" width="3" customWidth="1"/>
    <col min="9447" max="9447" width="40.5" customWidth="1"/>
    <col min="9448" max="9448" width="14.33203125" customWidth="1"/>
    <col min="9449" max="9454" width="22.5" customWidth="1"/>
    <col min="9702" max="9702" width="3" customWidth="1"/>
    <col min="9703" max="9703" width="40.5" customWidth="1"/>
    <col min="9704" max="9704" width="14.33203125" customWidth="1"/>
    <col min="9705" max="9710" width="22.5" customWidth="1"/>
    <col min="9958" max="9958" width="3" customWidth="1"/>
    <col min="9959" max="9959" width="40.5" customWidth="1"/>
    <col min="9960" max="9960" width="14.33203125" customWidth="1"/>
    <col min="9961" max="9966" width="22.5" customWidth="1"/>
    <col min="10214" max="10214" width="3" customWidth="1"/>
    <col min="10215" max="10215" width="40.5" customWidth="1"/>
    <col min="10216" max="10216" width="14.33203125" customWidth="1"/>
    <col min="10217" max="10222" width="22.5" customWidth="1"/>
    <col min="10470" max="10470" width="3" customWidth="1"/>
    <col min="10471" max="10471" width="40.5" customWidth="1"/>
    <col min="10472" max="10472" width="14.33203125" customWidth="1"/>
    <col min="10473" max="10478" width="22.5" customWidth="1"/>
    <col min="10726" max="10726" width="3" customWidth="1"/>
    <col min="10727" max="10727" width="40.5" customWidth="1"/>
    <col min="10728" max="10728" width="14.33203125" customWidth="1"/>
    <col min="10729" max="10734" width="22.5" customWidth="1"/>
    <col min="10982" max="10982" width="3" customWidth="1"/>
    <col min="10983" max="10983" width="40.5" customWidth="1"/>
    <col min="10984" max="10984" width="14.33203125" customWidth="1"/>
    <col min="10985" max="10990" width="22.5" customWidth="1"/>
    <col min="11238" max="11238" width="3" customWidth="1"/>
    <col min="11239" max="11239" width="40.5" customWidth="1"/>
    <col min="11240" max="11240" width="14.33203125" customWidth="1"/>
    <col min="11241" max="11246" width="22.5" customWidth="1"/>
    <col min="11494" max="11494" width="3" customWidth="1"/>
    <col min="11495" max="11495" width="40.5" customWidth="1"/>
    <col min="11496" max="11496" width="14.33203125" customWidth="1"/>
    <col min="11497" max="11502" width="22.5" customWidth="1"/>
    <col min="11750" max="11750" width="3" customWidth="1"/>
    <col min="11751" max="11751" width="40.5" customWidth="1"/>
    <col min="11752" max="11752" width="14.33203125" customWidth="1"/>
    <col min="11753" max="11758" width="22.5" customWidth="1"/>
    <col min="12006" max="12006" width="3" customWidth="1"/>
    <col min="12007" max="12007" width="40.5" customWidth="1"/>
    <col min="12008" max="12008" width="14.33203125" customWidth="1"/>
    <col min="12009" max="12014" width="22.5" customWidth="1"/>
    <col min="12262" max="12262" width="3" customWidth="1"/>
    <col min="12263" max="12263" width="40.5" customWidth="1"/>
    <col min="12264" max="12264" width="14.33203125" customWidth="1"/>
    <col min="12265" max="12270" width="22.5" customWidth="1"/>
    <col min="12518" max="12518" width="3" customWidth="1"/>
    <col min="12519" max="12519" width="40.5" customWidth="1"/>
    <col min="12520" max="12520" width="14.33203125" customWidth="1"/>
    <col min="12521" max="12526" width="22.5" customWidth="1"/>
    <col min="12774" max="12774" width="3" customWidth="1"/>
    <col min="12775" max="12775" width="40.5" customWidth="1"/>
    <col min="12776" max="12776" width="14.33203125" customWidth="1"/>
    <col min="12777" max="12782" width="22.5" customWidth="1"/>
    <col min="13030" max="13030" width="3" customWidth="1"/>
    <col min="13031" max="13031" width="40.5" customWidth="1"/>
    <col min="13032" max="13032" width="14.33203125" customWidth="1"/>
    <col min="13033" max="13038" width="22.5" customWidth="1"/>
    <col min="13286" max="13286" width="3" customWidth="1"/>
    <col min="13287" max="13287" width="40.5" customWidth="1"/>
    <col min="13288" max="13288" width="14.33203125" customWidth="1"/>
    <col min="13289" max="13294" width="22.5" customWidth="1"/>
    <col min="13542" max="13542" width="3" customWidth="1"/>
    <col min="13543" max="13543" width="40.5" customWidth="1"/>
    <col min="13544" max="13544" width="14.33203125" customWidth="1"/>
    <col min="13545" max="13550" width="22.5" customWidth="1"/>
    <col min="13798" max="13798" width="3" customWidth="1"/>
    <col min="13799" max="13799" width="40.5" customWidth="1"/>
    <col min="13800" max="13800" width="14.33203125" customWidth="1"/>
    <col min="13801" max="13806" width="22.5" customWidth="1"/>
    <col min="14054" max="14054" width="3" customWidth="1"/>
    <col min="14055" max="14055" width="40.5" customWidth="1"/>
    <col min="14056" max="14056" width="14.33203125" customWidth="1"/>
    <col min="14057" max="14062" width="22.5" customWidth="1"/>
    <col min="14310" max="14310" width="3" customWidth="1"/>
    <col min="14311" max="14311" width="40.5" customWidth="1"/>
    <col min="14312" max="14312" width="14.33203125" customWidth="1"/>
    <col min="14313" max="14318" width="22.5" customWidth="1"/>
    <col min="14566" max="14566" width="3" customWidth="1"/>
    <col min="14567" max="14567" width="40.5" customWidth="1"/>
    <col min="14568" max="14568" width="14.33203125" customWidth="1"/>
    <col min="14569" max="14574" width="22.5" customWidth="1"/>
    <col min="14822" max="14822" width="3" customWidth="1"/>
    <col min="14823" max="14823" width="40.5" customWidth="1"/>
    <col min="14824" max="14824" width="14.33203125" customWidth="1"/>
    <col min="14825" max="14830" width="22.5" customWidth="1"/>
    <col min="15078" max="15078" width="3" customWidth="1"/>
    <col min="15079" max="15079" width="40.5" customWidth="1"/>
    <col min="15080" max="15080" width="14.33203125" customWidth="1"/>
    <col min="15081" max="15086" width="22.5" customWidth="1"/>
    <col min="15334" max="15334" width="3" customWidth="1"/>
    <col min="15335" max="15335" width="40.5" customWidth="1"/>
    <col min="15336" max="15336" width="14.33203125" customWidth="1"/>
    <col min="15337" max="15342" width="22.5" customWidth="1"/>
    <col min="15590" max="15590" width="3" customWidth="1"/>
    <col min="15591" max="15591" width="40.5" customWidth="1"/>
    <col min="15592" max="15592" width="14.33203125" customWidth="1"/>
    <col min="15593" max="15598" width="22.5" customWidth="1"/>
    <col min="15846" max="15846" width="3" customWidth="1"/>
    <col min="15847" max="15847" width="40.5" customWidth="1"/>
    <col min="15848" max="15848" width="14.33203125" customWidth="1"/>
    <col min="15849" max="15854" width="22.5" customWidth="1"/>
    <col min="16102" max="16102" width="3" customWidth="1"/>
    <col min="16103" max="16103" width="40.5" customWidth="1"/>
    <col min="16104" max="16104" width="14.33203125" customWidth="1"/>
    <col min="16105" max="16110" width="22.5" customWidth="1"/>
  </cols>
  <sheetData>
    <row r="1" spans="1:33" ht="16" thickBot="1">
      <c r="A1" s="730" t="s">
        <v>345</v>
      </c>
      <c r="B1" s="731">
        <v>2021</v>
      </c>
      <c r="C1" s="731">
        <v>2022</v>
      </c>
      <c r="D1" s="731">
        <v>2023</v>
      </c>
      <c r="E1" s="731">
        <v>2024</v>
      </c>
      <c r="F1" s="731">
        <v>2025</v>
      </c>
      <c r="G1" s="731" t="s">
        <v>484</v>
      </c>
      <c r="H1" s="731" t="s">
        <v>515</v>
      </c>
      <c r="I1" s="732" t="s">
        <v>1834</v>
      </c>
      <c r="J1" s="859"/>
      <c r="K1" s="422" t="s">
        <v>238</v>
      </c>
      <c r="L1" s="836">
        <f>SUM(B:F)-B1-C1-D1-E1-F1</f>
        <v>3259525.6742112404</v>
      </c>
      <c r="O1" s="1836" t="s">
        <v>356</v>
      </c>
      <c r="V1" s="420"/>
      <c r="AG1" t="s">
        <v>238</v>
      </c>
    </row>
    <row r="2" spans="1:33">
      <c r="K2" s="422" t="s">
        <v>238</v>
      </c>
      <c r="V2" s="420"/>
      <c r="AG2" t="s">
        <v>238</v>
      </c>
    </row>
    <row r="3" spans="1:33">
      <c r="K3" s="422" t="s">
        <v>238</v>
      </c>
    </row>
    <row r="4" spans="1:33">
      <c r="K4" s="422" t="s">
        <v>238</v>
      </c>
      <c r="M4" t="s">
        <v>2217</v>
      </c>
    </row>
    <row r="5" spans="1:33">
      <c r="K5" s="422" t="s">
        <v>238</v>
      </c>
    </row>
    <row r="6" spans="1:33">
      <c r="K6" s="422" t="s">
        <v>238</v>
      </c>
    </row>
    <row r="7" spans="1:33">
      <c r="K7" s="422" t="s">
        <v>238</v>
      </c>
    </row>
    <row r="8" spans="1:33">
      <c r="K8" s="422" t="s">
        <v>238</v>
      </c>
    </row>
    <row r="9" spans="1:33">
      <c r="K9" s="422" t="s">
        <v>238</v>
      </c>
      <c r="M9" s="1355" t="s">
        <v>2328</v>
      </c>
    </row>
    <row r="10" spans="1:33">
      <c r="K10" s="422" t="s">
        <v>238</v>
      </c>
      <c r="M10" s="1356" t="s">
        <v>2329</v>
      </c>
    </row>
    <row r="11" spans="1:33">
      <c r="K11" s="422" t="s">
        <v>238</v>
      </c>
      <c r="M11" s="1355"/>
    </row>
    <row r="12" spans="1:33">
      <c r="K12" s="422" t="s">
        <v>238</v>
      </c>
      <c r="M12" s="1357" t="s">
        <v>2330</v>
      </c>
      <c r="N12" s="1357" t="s">
        <v>2331</v>
      </c>
      <c r="O12" s="1357" t="s">
        <v>2332</v>
      </c>
      <c r="P12" s="1357" t="s">
        <v>2333</v>
      </c>
      <c r="Q12" s="1357" t="s">
        <v>2334</v>
      </c>
      <c r="R12" s="1357" t="s">
        <v>2335</v>
      </c>
    </row>
    <row r="13" spans="1:33">
      <c r="K13" s="422" t="s">
        <v>238</v>
      </c>
      <c r="M13" s="1358" t="s">
        <v>2336</v>
      </c>
      <c r="N13" s="1359">
        <v>125000</v>
      </c>
      <c r="O13" s="1358" t="s">
        <v>2337</v>
      </c>
      <c r="P13" s="1360" t="s">
        <v>2338</v>
      </c>
      <c r="Q13" s="1358" t="s">
        <v>2339</v>
      </c>
      <c r="R13" s="1360" t="s">
        <v>2340</v>
      </c>
    </row>
    <row r="14" spans="1:33">
      <c r="K14" s="422" t="s">
        <v>238</v>
      </c>
      <c r="M14" s="1361" t="s">
        <v>2336</v>
      </c>
      <c r="N14" s="1362">
        <v>128000</v>
      </c>
      <c r="O14" s="1361" t="s">
        <v>2341</v>
      </c>
      <c r="P14" s="1363" t="s">
        <v>2342</v>
      </c>
      <c r="Q14" s="1361" t="s">
        <v>2339</v>
      </c>
      <c r="R14" s="1361"/>
    </row>
    <row r="15" spans="1:33">
      <c r="K15" s="422" t="s">
        <v>238</v>
      </c>
      <c r="M15" s="1361" t="s">
        <v>2343</v>
      </c>
      <c r="N15" s="1362">
        <v>108000</v>
      </c>
      <c r="O15" s="1361" t="s">
        <v>2344</v>
      </c>
      <c r="P15" s="1363" t="s">
        <v>2345</v>
      </c>
      <c r="Q15" s="1361" t="s">
        <v>2346</v>
      </c>
      <c r="R15" s="1363" t="s">
        <v>2347</v>
      </c>
    </row>
    <row r="16" spans="1:33">
      <c r="K16" s="422" t="s">
        <v>238</v>
      </c>
      <c r="M16" s="1361" t="s">
        <v>2348</v>
      </c>
      <c r="N16" s="1362">
        <v>80490</v>
      </c>
      <c r="O16" s="1361" t="s">
        <v>2349</v>
      </c>
      <c r="P16" s="1363" t="s">
        <v>2350</v>
      </c>
      <c r="Q16" s="1361" t="s">
        <v>2351</v>
      </c>
      <c r="R16" s="1363" t="s">
        <v>2352</v>
      </c>
    </row>
    <row r="17" spans="1:18">
      <c r="K17" s="422" t="s">
        <v>238</v>
      </c>
      <c r="M17" s="1361" t="s">
        <v>2353</v>
      </c>
      <c r="N17" s="1362">
        <v>80490</v>
      </c>
      <c r="O17" s="1361" t="s">
        <v>2354</v>
      </c>
      <c r="P17" s="1363" t="s">
        <v>2355</v>
      </c>
      <c r="Q17" s="1361" t="s">
        <v>2351</v>
      </c>
      <c r="R17" s="1363" t="s">
        <v>2356</v>
      </c>
    </row>
    <row r="18" spans="1:18">
      <c r="K18" s="422" t="s">
        <v>238</v>
      </c>
      <c r="M18" s="1361" t="s">
        <v>2357</v>
      </c>
      <c r="N18" s="1362">
        <v>80490</v>
      </c>
      <c r="O18" s="1361" t="s">
        <v>2358</v>
      </c>
      <c r="P18" s="1363" t="s">
        <v>2359</v>
      </c>
      <c r="Q18" s="1361" t="s">
        <v>2351</v>
      </c>
      <c r="R18" s="1363" t="s">
        <v>2360</v>
      </c>
    </row>
    <row r="19" spans="1:18">
      <c r="K19" s="422" t="s">
        <v>238</v>
      </c>
      <c r="M19" s="1361" t="s">
        <v>2361</v>
      </c>
      <c r="N19" s="1362">
        <v>80000</v>
      </c>
      <c r="O19" s="1361" t="s">
        <v>2362</v>
      </c>
      <c r="P19" s="1363" t="s">
        <v>2363</v>
      </c>
      <c r="Q19" s="1361" t="s">
        <v>2364</v>
      </c>
      <c r="R19" s="1361"/>
    </row>
    <row r="20" spans="1:18">
      <c r="K20" s="422" t="s">
        <v>238</v>
      </c>
      <c r="M20" s="1361" t="s">
        <v>2365</v>
      </c>
      <c r="N20" s="1362">
        <v>695000</v>
      </c>
      <c r="O20" s="1361" t="s">
        <v>2366</v>
      </c>
      <c r="P20" s="1363" t="s">
        <v>2367</v>
      </c>
      <c r="Q20" s="1361" t="s">
        <v>2364</v>
      </c>
      <c r="R20" s="1361"/>
    </row>
    <row r="21" spans="1:18">
      <c r="K21" s="422" t="s">
        <v>238</v>
      </c>
      <c r="M21" s="1361" t="s">
        <v>2368</v>
      </c>
      <c r="N21" s="1362">
        <v>256000</v>
      </c>
      <c r="O21" s="1361" t="s">
        <v>2369</v>
      </c>
      <c r="P21" s="1363" t="s">
        <v>2370</v>
      </c>
      <c r="Q21" s="1361" t="s">
        <v>2371</v>
      </c>
      <c r="R21" s="1361"/>
    </row>
    <row r="22" spans="1:18">
      <c r="K22" s="422" t="s">
        <v>238</v>
      </c>
      <c r="L22" s="1692" t="s">
        <v>3009</v>
      </c>
      <c r="M22" s="1364" t="s">
        <v>2372</v>
      </c>
      <c r="N22" s="1365">
        <v>654000</v>
      </c>
      <c r="O22" s="1364" t="s">
        <v>2373</v>
      </c>
      <c r="P22" s="1366" t="s">
        <v>2374</v>
      </c>
      <c r="Q22" s="1364" t="s">
        <v>2375</v>
      </c>
      <c r="R22" s="1364"/>
    </row>
    <row r="23" spans="1:18">
      <c r="K23" s="422" t="s">
        <v>238</v>
      </c>
      <c r="M23" s="1361" t="s">
        <v>2376</v>
      </c>
      <c r="N23" s="1362">
        <v>900000</v>
      </c>
      <c r="O23" s="1361"/>
      <c r="P23" s="1361"/>
      <c r="Q23" s="1361"/>
      <c r="R23" s="1361"/>
    </row>
    <row r="24" spans="1:18" ht="16" thickBot="1">
      <c r="K24" s="422" t="s">
        <v>238</v>
      </c>
    </row>
    <row r="25" spans="1:18" ht="16" thickBot="1">
      <c r="A25" s="730">
        <v>93</v>
      </c>
      <c r="B25" s="1367">
        <f>R25</f>
        <v>0</v>
      </c>
      <c r="C25" s="1367"/>
      <c r="D25" s="1367"/>
      <c r="E25" s="1367"/>
      <c r="F25" s="1367"/>
      <c r="G25" s="1367" t="s">
        <v>351</v>
      </c>
      <c r="H25" s="1367" t="s">
        <v>2377</v>
      </c>
      <c r="I25" s="1367"/>
      <c r="J25" s="1368" t="s">
        <v>2932</v>
      </c>
      <c r="K25" s="422" t="s">
        <v>238</v>
      </c>
      <c r="R25" s="2283">
        <v>0</v>
      </c>
    </row>
    <row r="26" spans="1:18">
      <c r="K26" s="422" t="s">
        <v>238</v>
      </c>
    </row>
    <row r="27" spans="1:18">
      <c r="K27" s="422" t="s">
        <v>238</v>
      </c>
    </row>
    <row r="28" spans="1:18">
      <c r="K28" s="422" t="s">
        <v>238</v>
      </c>
    </row>
    <row r="29" spans="1:18">
      <c r="K29" s="422" t="s">
        <v>238</v>
      </c>
      <c r="L29" s="1775" t="s">
        <v>2929</v>
      </c>
    </row>
    <row r="30" spans="1:18">
      <c r="K30" s="422" t="s">
        <v>238</v>
      </c>
    </row>
    <row r="31" spans="1:18">
      <c r="K31" s="422" t="s">
        <v>238</v>
      </c>
      <c r="M31" s="958" t="s">
        <v>3112</v>
      </c>
      <c r="N31" s="1039">
        <v>307</v>
      </c>
      <c r="O31" s="958" t="s">
        <v>3114</v>
      </c>
      <c r="P31" s="958">
        <f>N31*EUR</f>
        <v>6024.783821</v>
      </c>
      <c r="Q31" s="958" t="s">
        <v>443</v>
      </c>
    </row>
    <row r="32" spans="1:18">
      <c r="K32" s="422" t="s">
        <v>238</v>
      </c>
      <c r="M32" s="958" t="s">
        <v>3113</v>
      </c>
      <c r="N32" s="1039">
        <v>240.95</v>
      </c>
      <c r="O32" s="958" t="s">
        <v>3114</v>
      </c>
      <c r="P32" s="958">
        <f>N32*EUR</f>
        <v>4728.5721878499999</v>
      </c>
      <c r="Q32" s="958" t="s">
        <v>443</v>
      </c>
    </row>
    <row r="33" spans="1:26">
      <c r="K33" s="422" t="s">
        <v>238</v>
      </c>
    </row>
    <row r="34" spans="1:26" ht="16" thickBot="1">
      <c r="K34" s="422" t="s">
        <v>238</v>
      </c>
      <c r="P34" t="s">
        <v>351</v>
      </c>
      <c r="V34" t="s">
        <v>338</v>
      </c>
    </row>
    <row r="35" spans="1:26" ht="16" thickBot="1">
      <c r="K35" s="422" t="s">
        <v>238</v>
      </c>
      <c r="M35" t="s">
        <v>2171</v>
      </c>
      <c r="P35" s="1500">
        <v>2021</v>
      </c>
      <c r="Q35" s="1501">
        <v>2022</v>
      </c>
      <c r="R35" s="1501">
        <v>2023</v>
      </c>
      <c r="S35" s="1501">
        <v>2024</v>
      </c>
      <c r="T35" s="1502">
        <v>2025</v>
      </c>
      <c r="V35" s="1500">
        <v>2021</v>
      </c>
      <c r="W35" s="1501">
        <v>2022</v>
      </c>
      <c r="X35" s="1501">
        <v>2023</v>
      </c>
      <c r="Y35" s="1501">
        <v>2024</v>
      </c>
      <c r="Z35" s="1502">
        <v>2025</v>
      </c>
    </row>
    <row r="36" spans="1:26" ht="16" thickBot="1">
      <c r="K36" s="422" t="s">
        <v>238</v>
      </c>
      <c r="M36" t="s">
        <v>3112</v>
      </c>
      <c r="N36" s="1504"/>
      <c r="O36" s="1504"/>
      <c r="P36" s="1713">
        <v>4</v>
      </c>
      <c r="Q36" s="1713">
        <v>4</v>
      </c>
      <c r="R36" s="1713">
        <v>4</v>
      </c>
      <c r="S36" s="1713"/>
      <c r="T36" s="1713"/>
      <c r="V36" s="1713"/>
      <c r="W36" s="1713"/>
      <c r="X36" s="1713"/>
      <c r="Y36" s="1713">
        <v>4</v>
      </c>
      <c r="Z36" s="1713">
        <v>4</v>
      </c>
    </row>
    <row r="37" spans="1:26" ht="16" thickBot="1">
      <c r="A37" s="730">
        <v>96</v>
      </c>
      <c r="B37" s="1367">
        <f>P37</f>
        <v>24099.135284</v>
      </c>
      <c r="C37" s="1367">
        <f t="shared" ref="C37:F37" si="0">Q37</f>
        <v>24099.135284</v>
      </c>
      <c r="D37" s="1367">
        <f t="shared" si="0"/>
        <v>24099.135284</v>
      </c>
      <c r="E37" s="1367">
        <f t="shared" si="0"/>
        <v>0</v>
      </c>
      <c r="F37" s="1367">
        <f t="shared" si="0"/>
        <v>0</v>
      </c>
      <c r="G37" s="1367" t="s">
        <v>351</v>
      </c>
      <c r="H37" s="1367" t="s">
        <v>3115</v>
      </c>
      <c r="I37" s="1367"/>
      <c r="J37" s="1368" t="s">
        <v>2929</v>
      </c>
      <c r="K37" s="422" t="s">
        <v>238</v>
      </c>
      <c r="M37" s="1710" t="s">
        <v>3044</v>
      </c>
      <c r="N37" s="1709"/>
      <c r="O37" s="1708">
        <f>P31</f>
        <v>6024.783821</v>
      </c>
      <c r="P37" s="1495">
        <f>$O37*P36</f>
        <v>24099.135284</v>
      </c>
      <c r="Q37" s="1495">
        <f t="shared" ref="Q37:T37" si="1">$O37*Q36</f>
        <v>24099.135284</v>
      </c>
      <c r="R37" s="1495">
        <f t="shared" si="1"/>
        <v>24099.135284</v>
      </c>
      <c r="S37" s="1495">
        <f t="shared" si="1"/>
        <v>0</v>
      </c>
      <c r="T37" s="1495">
        <f t="shared" si="1"/>
        <v>0</v>
      </c>
      <c r="V37" s="1495">
        <f>$O37*V36</f>
        <v>0</v>
      </c>
      <c r="W37" s="1495">
        <f t="shared" ref="W37:Z37" si="2">$O37*W36</f>
        <v>0</v>
      </c>
      <c r="X37" s="1495">
        <f t="shared" si="2"/>
        <v>0</v>
      </c>
      <c r="Y37" s="1495">
        <f t="shared" si="2"/>
        <v>24099.135284</v>
      </c>
      <c r="Z37" s="1495">
        <f t="shared" si="2"/>
        <v>24099.135284</v>
      </c>
    </row>
    <row r="38" spans="1:26" ht="16" thickBot="1">
      <c r="A38" s="730">
        <v>97</v>
      </c>
      <c r="B38" s="1367">
        <f>V37</f>
        <v>0</v>
      </c>
      <c r="C38" s="1367">
        <f t="shared" ref="C38:F38" si="3">W37</f>
        <v>0</v>
      </c>
      <c r="D38" s="1367">
        <f t="shared" si="3"/>
        <v>0</v>
      </c>
      <c r="E38" s="1367">
        <f t="shared" si="3"/>
        <v>24099.135284</v>
      </c>
      <c r="F38" s="1367">
        <f t="shared" si="3"/>
        <v>24099.135284</v>
      </c>
      <c r="G38" s="1367" t="s">
        <v>338</v>
      </c>
      <c r="H38" s="1367" t="s">
        <v>3115</v>
      </c>
      <c r="I38" s="1367"/>
      <c r="J38" s="1368" t="s">
        <v>2929</v>
      </c>
      <c r="K38" s="422" t="s">
        <v>238</v>
      </c>
      <c r="M38" s="442"/>
      <c r="N38" s="442"/>
      <c r="O38" s="442"/>
      <c r="P38" s="442"/>
      <c r="Q38" s="442"/>
      <c r="R38" s="442"/>
      <c r="S38" s="442"/>
      <c r="T38" s="442"/>
      <c r="V38" s="442"/>
      <c r="W38" s="442"/>
      <c r="X38" s="442"/>
      <c r="Y38" s="442"/>
      <c r="Z38" s="442"/>
    </row>
    <row r="39" spans="1:26">
      <c r="K39" s="422" t="s">
        <v>238</v>
      </c>
      <c r="M39" s="442"/>
      <c r="N39" s="442"/>
      <c r="O39" s="442"/>
      <c r="P39" s="442"/>
      <c r="Q39" s="442"/>
      <c r="R39" s="442"/>
      <c r="S39" s="442"/>
      <c r="T39" s="442"/>
      <c r="V39" s="442"/>
      <c r="W39" s="442"/>
      <c r="X39" s="442"/>
      <c r="Y39" s="442"/>
      <c r="Z39" s="442"/>
    </row>
    <row r="40" spans="1:26" ht="16" thickBot="1">
      <c r="K40" s="422" t="s">
        <v>238</v>
      </c>
      <c r="M40" t="s">
        <v>3113</v>
      </c>
      <c r="N40" s="1504"/>
      <c r="O40" s="1504"/>
      <c r="P40" s="1713">
        <v>1</v>
      </c>
      <c r="Q40" s="1713">
        <v>1</v>
      </c>
      <c r="R40" s="1713">
        <v>1</v>
      </c>
      <c r="S40" s="1713"/>
      <c r="T40" s="1713"/>
      <c r="V40" s="1713"/>
      <c r="W40" s="1713"/>
      <c r="X40" s="1713"/>
      <c r="Y40" s="1713">
        <v>1</v>
      </c>
      <c r="Z40" s="1713">
        <v>1</v>
      </c>
    </row>
    <row r="41" spans="1:26" ht="16" thickBot="1">
      <c r="A41" s="730">
        <v>98</v>
      </c>
      <c r="B41" s="1367">
        <f>P41</f>
        <v>4728.5721878499999</v>
      </c>
      <c r="C41" s="1367">
        <f t="shared" ref="C41" si="4">Q41</f>
        <v>4728.5721878499999</v>
      </c>
      <c r="D41" s="1367">
        <f t="shared" ref="D41" si="5">R41</f>
        <v>4728.5721878499999</v>
      </c>
      <c r="E41" s="1367">
        <f t="shared" ref="E41" si="6">S41</f>
        <v>0</v>
      </c>
      <c r="F41" s="1367">
        <f t="shared" ref="F41" si="7">T41</f>
        <v>0</v>
      </c>
      <c r="G41" s="1367" t="s">
        <v>351</v>
      </c>
      <c r="H41" s="1367" t="s">
        <v>3116</v>
      </c>
      <c r="I41" s="1367"/>
      <c r="J41" s="1368" t="s">
        <v>2929</v>
      </c>
      <c r="K41" s="422" t="s">
        <v>238</v>
      </c>
      <c r="M41" s="1710" t="s">
        <v>3044</v>
      </c>
      <c r="N41" s="1709"/>
      <c r="O41" s="1708">
        <f>P32</f>
        <v>4728.5721878499999</v>
      </c>
      <c r="P41" s="1495">
        <f>$O41*P40</f>
        <v>4728.5721878499999</v>
      </c>
      <c r="Q41" s="1495">
        <f t="shared" ref="Q41" si="8">$O41*Q40</f>
        <v>4728.5721878499999</v>
      </c>
      <c r="R41" s="1495">
        <f t="shared" ref="R41" si="9">$O41*R40</f>
        <v>4728.5721878499999</v>
      </c>
      <c r="S41" s="1495">
        <f t="shared" ref="S41" si="10">$O41*S40</f>
        <v>0</v>
      </c>
      <c r="T41" s="1495">
        <f t="shared" ref="T41" si="11">$O41*T40</f>
        <v>0</v>
      </c>
      <c r="V41" s="1495">
        <f>$O41*V40</f>
        <v>0</v>
      </c>
      <c r="W41" s="1495">
        <f t="shared" ref="W41:Z41" si="12">$O41*W40</f>
        <v>0</v>
      </c>
      <c r="X41" s="1495">
        <f t="shared" si="12"/>
        <v>0</v>
      </c>
      <c r="Y41" s="1495">
        <f t="shared" si="12"/>
        <v>4728.5721878499999</v>
      </c>
      <c r="Z41" s="1495">
        <f t="shared" si="12"/>
        <v>4728.5721878499999</v>
      </c>
    </row>
    <row r="42" spans="1:26" ht="16" thickBot="1">
      <c r="A42" s="730">
        <v>99</v>
      </c>
      <c r="B42" s="1367">
        <f>V41</f>
        <v>0</v>
      </c>
      <c r="C42" s="1367">
        <f t="shared" ref="C42:F42" si="13">W41</f>
        <v>0</v>
      </c>
      <c r="D42" s="1367">
        <f t="shared" si="13"/>
        <v>0</v>
      </c>
      <c r="E42" s="1367">
        <f t="shared" si="13"/>
        <v>4728.5721878499999</v>
      </c>
      <c r="F42" s="1367">
        <f t="shared" si="13"/>
        <v>4728.5721878499999</v>
      </c>
      <c r="G42" s="1367" t="s">
        <v>338</v>
      </c>
      <c r="H42" s="1367" t="s">
        <v>3116</v>
      </c>
      <c r="I42" s="1367"/>
      <c r="J42" s="1368" t="s">
        <v>2929</v>
      </c>
      <c r="K42" s="422" t="s">
        <v>238</v>
      </c>
    </row>
    <row r="43" spans="1:26">
      <c r="K43" s="422" t="s">
        <v>238</v>
      </c>
    </row>
    <row r="44" spans="1:26">
      <c r="K44" s="422" t="s">
        <v>238</v>
      </c>
    </row>
    <row r="45" spans="1:26">
      <c r="K45" s="422" t="s">
        <v>238</v>
      </c>
      <c r="L45" s="1775" t="s">
        <v>2930</v>
      </c>
    </row>
    <row r="46" spans="1:26">
      <c r="K46" s="422" t="s">
        <v>238</v>
      </c>
    </row>
    <row r="47" spans="1:26">
      <c r="K47" s="422" t="s">
        <v>238</v>
      </c>
      <c r="L47" s="1775" t="s">
        <v>3208</v>
      </c>
    </row>
    <row r="48" spans="1:26">
      <c r="K48" s="422" t="s">
        <v>238</v>
      </c>
    </row>
    <row r="49" spans="1:20" ht="16" thickBot="1">
      <c r="K49" s="422" t="s">
        <v>238</v>
      </c>
      <c r="M49" s="1808" t="s">
        <v>3209</v>
      </c>
      <c r="N49" s="1504"/>
      <c r="O49" s="1504"/>
      <c r="P49" s="1713">
        <v>4</v>
      </c>
      <c r="Q49" s="1713"/>
      <c r="R49" s="1713"/>
      <c r="S49" s="1713"/>
      <c r="T49" s="1713"/>
    </row>
    <row r="50" spans="1:20" ht="16" thickBot="1">
      <c r="A50" s="730">
        <v>100</v>
      </c>
      <c r="B50" s="1367">
        <f>P50</f>
        <v>480000</v>
      </c>
      <c r="C50" s="1367">
        <f t="shared" ref="C50" si="14">Q50</f>
        <v>0</v>
      </c>
      <c r="D50" s="1367">
        <f t="shared" ref="D50" si="15">R50</f>
        <v>0</v>
      </c>
      <c r="E50" s="1367">
        <f t="shared" ref="E50" si="16">S50</f>
        <v>0</v>
      </c>
      <c r="F50" s="1367">
        <f t="shared" ref="F50" si="17">T50</f>
        <v>0</v>
      </c>
      <c r="G50" s="1367" t="s">
        <v>351</v>
      </c>
      <c r="H50" s="1367" t="s">
        <v>3208</v>
      </c>
      <c r="I50" s="1367"/>
      <c r="J50" s="1368" t="s">
        <v>2930</v>
      </c>
      <c r="K50" s="422" t="s">
        <v>238</v>
      </c>
      <c r="M50" s="1710" t="s">
        <v>3044</v>
      </c>
      <c r="N50" s="1709"/>
      <c r="O50" s="1708">
        <v>120000</v>
      </c>
      <c r="P50" s="1495">
        <f>$O50*P49</f>
        <v>480000</v>
      </c>
      <c r="Q50" s="1495">
        <f t="shared" ref="Q50:T50" si="18">$O50*Q49</f>
        <v>0</v>
      </c>
      <c r="R50" s="1495">
        <f t="shared" si="18"/>
        <v>0</v>
      </c>
      <c r="S50" s="1495">
        <f t="shared" si="18"/>
        <v>0</v>
      </c>
      <c r="T50" s="1495">
        <f t="shared" si="18"/>
        <v>0</v>
      </c>
    </row>
    <row r="51" spans="1:20">
      <c r="K51" s="422" t="s">
        <v>238</v>
      </c>
    </row>
    <row r="52" spans="1:20">
      <c r="K52" s="422" t="s">
        <v>238</v>
      </c>
    </row>
    <row r="53" spans="1:20">
      <c r="K53" s="422" t="s">
        <v>238</v>
      </c>
    </row>
    <row r="54" spans="1:20">
      <c r="K54" s="422" t="s">
        <v>238</v>
      </c>
      <c r="L54" s="1775" t="s">
        <v>3210</v>
      </c>
    </row>
    <row r="55" spans="1:20">
      <c r="K55" s="422" t="s">
        <v>238</v>
      </c>
    </row>
    <row r="56" spans="1:20" ht="16" thickBot="1">
      <c r="K56" s="422" t="s">
        <v>238</v>
      </c>
      <c r="M56" s="1808"/>
      <c r="N56" s="1808"/>
      <c r="O56" s="1808"/>
      <c r="P56" s="1808"/>
      <c r="Q56" s="1808"/>
      <c r="R56" s="1808"/>
      <c r="S56" s="1808"/>
      <c r="T56" s="1808"/>
    </row>
    <row r="57" spans="1:20" ht="16" thickBot="1">
      <c r="K57" s="422" t="s">
        <v>238</v>
      </c>
      <c r="M57" s="1808"/>
      <c r="N57" s="960"/>
      <c r="O57" s="960"/>
      <c r="P57" s="1500">
        <v>2021</v>
      </c>
      <c r="Q57" s="1762">
        <v>2022</v>
      </c>
      <c r="R57" s="1762">
        <v>2023</v>
      </c>
      <c r="S57" s="1762">
        <v>2024</v>
      </c>
      <c r="T57" s="1763">
        <v>2025</v>
      </c>
    </row>
    <row r="58" spans="1:20" ht="16" thickBot="1">
      <c r="K58" s="422" t="s">
        <v>238</v>
      </c>
      <c r="M58" s="1808"/>
      <c r="N58" s="1504"/>
      <c r="O58" s="1504"/>
      <c r="P58" s="1713">
        <v>0</v>
      </c>
      <c r="Q58" s="1713">
        <v>1</v>
      </c>
      <c r="R58" s="1713">
        <v>0</v>
      </c>
      <c r="S58" s="1713"/>
      <c r="T58" s="1713"/>
    </row>
    <row r="59" spans="1:20" ht="16" thickBot="1">
      <c r="K59" s="422" t="s">
        <v>238</v>
      </c>
      <c r="M59" s="1801" t="s">
        <v>3119</v>
      </c>
      <c r="N59" s="1802">
        <f>VLOOKUP(M59,Price_list!B:H,4,0)</f>
        <v>3079.33</v>
      </c>
      <c r="O59" s="1802" t="str">
        <f>VLOOKUP(M59,Price_list!B:H,5,0)</f>
        <v>EUR</v>
      </c>
      <c r="P59" s="1803">
        <f>P58*$N59</f>
        <v>0</v>
      </c>
      <c r="Q59" s="1803">
        <f t="shared" ref="Q59:T59" si="19">Q58*$N59</f>
        <v>3079.33</v>
      </c>
      <c r="R59" s="1803">
        <f t="shared" si="19"/>
        <v>0</v>
      </c>
      <c r="S59" s="1803">
        <f t="shared" si="19"/>
        <v>0</v>
      </c>
      <c r="T59" s="1803">
        <f t="shared" si="19"/>
        <v>0</v>
      </c>
    </row>
    <row r="60" spans="1:20" ht="16" thickBot="1">
      <c r="A60" s="730">
        <v>106</v>
      </c>
      <c r="B60" s="1367">
        <f>P60</f>
        <v>0</v>
      </c>
      <c r="C60" s="1367">
        <f t="shared" ref="C60" si="20">Q60</f>
        <v>60430.936688989997</v>
      </c>
      <c r="D60" s="1367">
        <f t="shared" ref="D60" si="21">R60</f>
        <v>0</v>
      </c>
      <c r="E60" s="1367">
        <f t="shared" ref="E60" si="22">S60</f>
        <v>0</v>
      </c>
      <c r="F60" s="1367">
        <f t="shared" ref="F60" si="23">T60</f>
        <v>0</v>
      </c>
      <c r="G60" s="1367" t="s">
        <v>351</v>
      </c>
      <c r="H60" s="1367" t="s">
        <v>3210</v>
      </c>
      <c r="I60" s="1367"/>
      <c r="J60" s="1368" t="s">
        <v>2930</v>
      </c>
      <c r="K60" s="422" t="s">
        <v>238</v>
      </c>
      <c r="M60" s="1710" t="s">
        <v>3044</v>
      </c>
      <c r="N60" s="1732"/>
      <c r="O60" s="1708"/>
      <c r="P60" s="1495">
        <f>P59*EUR</f>
        <v>0</v>
      </c>
      <c r="Q60" s="1495">
        <f>Q59*EUR</f>
        <v>60430.936688989997</v>
      </c>
      <c r="R60" s="1495">
        <f>R59*EUR</f>
        <v>0</v>
      </c>
      <c r="S60" s="1495">
        <f>S59*EUR</f>
        <v>0</v>
      </c>
      <c r="T60" s="1495">
        <f>T59*EUR</f>
        <v>0</v>
      </c>
    </row>
    <row r="61" spans="1:20">
      <c r="K61" s="422" t="s">
        <v>238</v>
      </c>
    </row>
    <row r="62" spans="1:20">
      <c r="K62" s="422" t="s">
        <v>238</v>
      </c>
    </row>
    <row r="63" spans="1:20">
      <c r="K63" s="422" t="s">
        <v>238</v>
      </c>
    </row>
    <row r="64" spans="1:20">
      <c r="K64" s="422" t="s">
        <v>238</v>
      </c>
    </row>
    <row r="65" spans="1:20">
      <c r="K65" s="422" t="s">
        <v>238</v>
      </c>
      <c r="L65" s="1775"/>
      <c r="M65" s="1808"/>
      <c r="N65" s="1808"/>
      <c r="O65" s="1808"/>
      <c r="P65" s="1808"/>
      <c r="Q65" s="1808"/>
      <c r="R65" s="1808"/>
      <c r="S65" s="1808"/>
      <c r="T65" s="1808"/>
    </row>
    <row r="66" spans="1:20">
      <c r="K66" s="422" t="s">
        <v>238</v>
      </c>
      <c r="L66" s="1808"/>
      <c r="M66" s="1808"/>
      <c r="N66" s="1808"/>
      <c r="O66" s="1808"/>
      <c r="P66" s="1808"/>
      <c r="Q66" s="1808"/>
      <c r="R66" s="1808"/>
      <c r="S66" s="1808"/>
      <c r="T66" s="1808"/>
    </row>
    <row r="67" spans="1:20" ht="16" thickBot="1">
      <c r="K67" s="422" t="s">
        <v>238</v>
      </c>
      <c r="L67" s="1775" t="s">
        <v>3943</v>
      </c>
      <c r="M67" s="1808"/>
      <c r="N67" s="1808"/>
      <c r="O67" s="1808"/>
      <c r="P67" s="1808"/>
      <c r="Q67" s="1808"/>
      <c r="R67" s="1808"/>
      <c r="S67" s="1808"/>
      <c r="T67" s="1808"/>
    </row>
    <row r="68" spans="1:20" ht="16" thickBot="1">
      <c r="K68" s="422" t="s">
        <v>238</v>
      </c>
      <c r="L68" s="1808"/>
      <c r="M68" s="1808"/>
      <c r="N68" s="960"/>
      <c r="O68" s="960"/>
      <c r="P68" s="1500">
        <v>2021</v>
      </c>
      <c r="Q68" s="1762">
        <v>2022</v>
      </c>
      <c r="R68" s="1762">
        <v>2023</v>
      </c>
      <c r="S68" s="1762">
        <v>2024</v>
      </c>
      <c r="T68" s="1763">
        <v>2025</v>
      </c>
    </row>
    <row r="69" spans="1:20" ht="16" thickBot="1">
      <c r="K69" s="422" t="s">
        <v>238</v>
      </c>
      <c r="L69" s="1808"/>
      <c r="M69" s="1808"/>
      <c r="N69" s="1504"/>
      <c r="O69" s="1504"/>
      <c r="P69" s="1713">
        <v>4</v>
      </c>
      <c r="Q69" s="1713">
        <v>0</v>
      </c>
      <c r="R69" s="1713">
        <v>0</v>
      </c>
      <c r="S69" s="1713"/>
      <c r="T69" s="1713"/>
    </row>
    <row r="70" spans="1:20" ht="16" thickBot="1">
      <c r="K70" s="422" t="s">
        <v>238</v>
      </c>
      <c r="L70" s="1808"/>
      <c r="M70" s="1801" t="s">
        <v>3944</v>
      </c>
      <c r="N70" s="1802">
        <f>VLOOKUP(M70,Price_list!B:H,4,0)</f>
        <v>19500</v>
      </c>
      <c r="O70" s="1802" t="str">
        <f>VLOOKUP(M70,Price_list!B:H,5,0)</f>
        <v>USD</v>
      </c>
      <c r="P70" s="1803">
        <f>P69*$N70</f>
        <v>78000</v>
      </c>
      <c r="Q70" s="1803">
        <f t="shared" ref="Q70:T70" si="24">Q69*$N70</f>
        <v>0</v>
      </c>
      <c r="R70" s="1803">
        <f t="shared" si="24"/>
        <v>0</v>
      </c>
      <c r="S70" s="1803">
        <f t="shared" si="24"/>
        <v>0</v>
      </c>
      <c r="T70" s="1803">
        <f t="shared" si="24"/>
        <v>0</v>
      </c>
    </row>
    <row r="71" spans="1:20" ht="16" thickBot="1">
      <c r="A71" s="730">
        <v>166</v>
      </c>
      <c r="B71" s="1367">
        <f>P73</f>
        <v>1507412.48</v>
      </c>
      <c r="C71" s="1367">
        <f t="shared" ref="C71:F71" si="25">Q73</f>
        <v>0</v>
      </c>
      <c r="D71" s="1367">
        <f t="shared" si="25"/>
        <v>0</v>
      </c>
      <c r="E71" s="1367">
        <f t="shared" si="25"/>
        <v>0</v>
      </c>
      <c r="F71" s="1367">
        <f t="shared" si="25"/>
        <v>0</v>
      </c>
      <c r="G71" s="1367" t="s">
        <v>351</v>
      </c>
      <c r="H71" s="1367" t="s">
        <v>4094</v>
      </c>
      <c r="I71" s="1367" t="s">
        <v>3715</v>
      </c>
      <c r="J71" s="1368" t="s">
        <v>2927</v>
      </c>
      <c r="K71" s="422" t="s">
        <v>238</v>
      </c>
      <c r="L71" s="1808"/>
      <c r="M71" s="1891" t="s">
        <v>3044</v>
      </c>
      <c r="N71" s="1892"/>
      <c r="O71" s="1893"/>
      <c r="P71" s="2447">
        <f>P70*USD</f>
        <v>1370374.98</v>
      </c>
      <c r="Q71" s="2447">
        <f>Q70*USD</f>
        <v>0</v>
      </c>
      <c r="R71" s="2447">
        <f>R70*USD</f>
        <v>0</v>
      </c>
      <c r="S71" s="2447">
        <f>S70*USD</f>
        <v>0</v>
      </c>
      <c r="T71" s="2447">
        <f>T70*USD</f>
        <v>0</v>
      </c>
    </row>
    <row r="72" spans="1:20" ht="16" thickBot="1">
      <c r="K72" s="422" t="s">
        <v>238</v>
      </c>
      <c r="M72" t="s">
        <v>3946</v>
      </c>
      <c r="N72" s="1242">
        <v>0.1</v>
      </c>
      <c r="P72" s="734">
        <f>ROUND(P71*$N72,2)</f>
        <v>137037.5</v>
      </c>
      <c r="Q72" s="734">
        <f t="shared" ref="Q72" si="26">ROUND(Q71*$N72,2)</f>
        <v>0</v>
      </c>
      <c r="R72" s="734">
        <f t="shared" ref="R72" si="27">ROUND(R71*$N72,2)</f>
        <v>0</v>
      </c>
      <c r="S72" s="734">
        <f t="shared" ref="S72" si="28">ROUND(S71*$N72,2)</f>
        <v>0</v>
      </c>
      <c r="T72" s="734">
        <f t="shared" ref="T72" si="29">ROUND(T71*$N72,2)</f>
        <v>0</v>
      </c>
    </row>
    <row r="73" spans="1:20" ht="16" thickBot="1">
      <c r="K73" s="422" t="s">
        <v>238</v>
      </c>
      <c r="M73" s="1710"/>
      <c r="N73" s="1732"/>
      <c r="O73" s="1708"/>
      <c r="P73" s="1495">
        <f>P71+P72</f>
        <v>1507412.48</v>
      </c>
      <c r="Q73" s="1495">
        <f t="shared" ref="Q73:T73" si="30">Q71+Q72</f>
        <v>0</v>
      </c>
      <c r="R73" s="1495">
        <f t="shared" si="30"/>
        <v>0</v>
      </c>
      <c r="S73" s="1495">
        <f t="shared" si="30"/>
        <v>0</v>
      </c>
      <c r="T73" s="1495">
        <f t="shared" si="30"/>
        <v>0</v>
      </c>
    </row>
    <row r="74" spans="1:20" ht="16" thickBot="1">
      <c r="K74" s="422" t="s">
        <v>238</v>
      </c>
      <c r="P74" s="734"/>
      <c r="Q74" s="734"/>
      <c r="R74" s="734"/>
      <c r="S74" s="734"/>
      <c r="T74" s="734"/>
    </row>
    <row r="75" spans="1:20" ht="16" thickBot="1">
      <c r="K75" s="422" t="s">
        <v>238</v>
      </c>
      <c r="L75" s="1775" t="s">
        <v>3945</v>
      </c>
      <c r="M75" s="1808"/>
      <c r="N75" s="960"/>
      <c r="O75" s="960"/>
      <c r="P75" s="1500">
        <v>2021</v>
      </c>
      <c r="Q75" s="1762">
        <v>2022</v>
      </c>
      <c r="R75" s="1762">
        <v>2023</v>
      </c>
      <c r="S75" s="1762">
        <v>2024</v>
      </c>
      <c r="T75" s="1763">
        <v>2025</v>
      </c>
    </row>
    <row r="76" spans="1:20" ht="16" thickBot="1">
      <c r="K76" s="422" t="s">
        <v>238</v>
      </c>
      <c r="M76" s="1808"/>
      <c r="N76" s="1504"/>
      <c r="O76" s="1504"/>
      <c r="P76" s="1713">
        <v>5535</v>
      </c>
      <c r="Q76" s="1713">
        <v>0</v>
      </c>
      <c r="R76" s="1713">
        <v>0</v>
      </c>
      <c r="S76" s="1713"/>
      <c r="T76" s="1713"/>
    </row>
    <row r="77" spans="1:20" ht="17" thickBot="1">
      <c r="K77" s="422" t="s">
        <v>238</v>
      </c>
      <c r="M77" s="2448" t="s">
        <v>3948</v>
      </c>
      <c r="N77" s="1802">
        <f>VLOOKUP(M77,Price_list!B:H,4,0)</f>
        <v>9.98</v>
      </c>
      <c r="O77" s="1802" t="str">
        <f>VLOOKUP(M77,Price_list!B:H,5,0)</f>
        <v>USD</v>
      </c>
      <c r="P77" s="2449">
        <f>P76*$N77</f>
        <v>55239.3</v>
      </c>
      <c r="Q77" s="1803">
        <f t="shared" ref="Q77:T77" si="31">Q76*$N77</f>
        <v>0</v>
      </c>
      <c r="R77" s="1803">
        <f t="shared" si="31"/>
        <v>0</v>
      </c>
      <c r="S77" s="1803">
        <f t="shared" si="31"/>
        <v>0</v>
      </c>
      <c r="T77" s="1803">
        <f t="shared" si="31"/>
        <v>0</v>
      </c>
    </row>
    <row r="78" spans="1:20" ht="16" thickBot="1">
      <c r="A78" s="730">
        <v>167</v>
      </c>
      <c r="B78" s="1367">
        <f>P80</f>
        <v>1067543.720163</v>
      </c>
      <c r="C78" s="1367">
        <f t="shared" ref="C78:F78" si="32">Q80</f>
        <v>0</v>
      </c>
      <c r="D78" s="1367">
        <f t="shared" si="32"/>
        <v>0</v>
      </c>
      <c r="E78" s="1367">
        <f t="shared" si="32"/>
        <v>0</v>
      </c>
      <c r="F78" s="1367">
        <f t="shared" si="32"/>
        <v>0</v>
      </c>
      <c r="G78" s="1367" t="s">
        <v>351</v>
      </c>
      <c r="H78" s="1367" t="s">
        <v>4095</v>
      </c>
      <c r="I78" s="1367" t="s">
        <v>3715</v>
      </c>
      <c r="J78" s="1368" t="s">
        <v>2927</v>
      </c>
      <c r="K78" s="422" t="s">
        <v>238</v>
      </c>
      <c r="M78" s="1891" t="s">
        <v>3044</v>
      </c>
      <c r="N78" s="1892"/>
      <c r="O78" s="1893">
        <f>N77*USD</f>
        <v>175.3377218</v>
      </c>
      <c r="P78" s="2450">
        <f>P77*USD</f>
        <v>970494.290163</v>
      </c>
      <c r="Q78" s="2450">
        <f>Q77*USD</f>
        <v>0</v>
      </c>
      <c r="R78" s="2450">
        <f>R77*USD</f>
        <v>0</v>
      </c>
      <c r="S78" s="2450">
        <f>S77*USD</f>
        <v>0</v>
      </c>
      <c r="T78" s="2450">
        <f>T77*USD</f>
        <v>0</v>
      </c>
    </row>
    <row r="79" spans="1:20" ht="16" thickBot="1">
      <c r="K79" s="422" t="s">
        <v>238</v>
      </c>
      <c r="M79" t="s">
        <v>3947</v>
      </c>
      <c r="N79" s="1242">
        <v>0.1</v>
      </c>
      <c r="P79" s="2532">
        <f>ROUND(P78*$N79,2)</f>
        <v>97049.43</v>
      </c>
      <c r="Q79" s="2532">
        <f t="shared" ref="Q79:T79" si="33">ROUND(Q78*$N79,2)</f>
        <v>0</v>
      </c>
      <c r="R79" s="2532">
        <f t="shared" si="33"/>
        <v>0</v>
      </c>
      <c r="S79" s="2532">
        <f t="shared" si="33"/>
        <v>0</v>
      </c>
      <c r="T79" s="2532">
        <f t="shared" si="33"/>
        <v>0</v>
      </c>
    </row>
    <row r="80" spans="1:20" ht="16" thickBot="1">
      <c r="K80" s="422" t="s">
        <v>238</v>
      </c>
      <c r="M80" s="1710"/>
      <c r="N80" s="1732"/>
      <c r="O80" s="1708"/>
      <c r="P80" s="2451">
        <f>P78+P79</f>
        <v>1067543.720163</v>
      </c>
      <c r="Q80" s="1495">
        <f t="shared" ref="Q80" si="34">Q78+Q79</f>
        <v>0</v>
      </c>
      <c r="R80" s="1495">
        <f t="shared" ref="R80" si="35">R78+R79</f>
        <v>0</v>
      </c>
      <c r="S80" s="1495">
        <f t="shared" ref="S80" si="36">S78+S79</f>
        <v>0</v>
      </c>
      <c r="T80" s="1495">
        <f t="shared" ref="T80" si="37">T78+T79</f>
        <v>0</v>
      </c>
    </row>
    <row r="81" spans="11:11">
      <c r="K81" s="422" t="s">
        <v>238</v>
      </c>
    </row>
    <row r="82" spans="11:11">
      <c r="K82" s="422" t="s">
        <v>238</v>
      </c>
    </row>
    <row r="83" spans="11:11">
      <c r="K83" s="422" t="s">
        <v>238</v>
      </c>
    </row>
    <row r="84" spans="11:11">
      <c r="K84" s="422" t="s">
        <v>238</v>
      </c>
    </row>
    <row r="85" spans="11:11">
      <c r="K85" s="422" t="s">
        <v>238</v>
      </c>
    </row>
    <row r="86" spans="11:11">
      <c r="K86" s="422" t="s">
        <v>238</v>
      </c>
    </row>
    <row r="87" spans="11:11">
      <c r="K87" s="422" t="s">
        <v>238</v>
      </c>
    </row>
    <row r="88" spans="11:11">
      <c r="K88" s="422" t="s">
        <v>238</v>
      </c>
    </row>
    <row r="89" spans="11:11">
      <c r="K89" s="422" t="s">
        <v>238</v>
      </c>
    </row>
    <row r="90" spans="11:11">
      <c r="K90" s="422" t="s">
        <v>238</v>
      </c>
    </row>
    <row r="91" spans="11:11">
      <c r="K91" s="422" t="s">
        <v>238</v>
      </c>
    </row>
    <row r="92" spans="11:11">
      <c r="K92" s="422" t="s">
        <v>238</v>
      </c>
    </row>
    <row r="93" spans="11:11">
      <c r="K93" s="422" t="s">
        <v>238</v>
      </c>
    </row>
    <row r="94" spans="11:11">
      <c r="K94" s="422" t="s">
        <v>238</v>
      </c>
    </row>
    <row r="95" spans="11:11">
      <c r="K95" s="422" t="s">
        <v>238</v>
      </c>
    </row>
    <row r="96" spans="11:11">
      <c r="K96" s="422" t="s">
        <v>238</v>
      </c>
    </row>
    <row r="97" spans="11:11">
      <c r="K97" s="422" t="s">
        <v>238</v>
      </c>
    </row>
    <row r="98" spans="11:11">
      <c r="K98" s="422" t="s">
        <v>238</v>
      </c>
    </row>
    <row r="99" spans="11:11">
      <c r="K99" s="422" t="s">
        <v>238</v>
      </c>
    </row>
    <row r="100" spans="11:11">
      <c r="K100" s="422" t="s">
        <v>238</v>
      </c>
    </row>
    <row r="101" spans="11:11">
      <c r="K101" s="422" t="s">
        <v>238</v>
      </c>
    </row>
    <row r="102" spans="11:11">
      <c r="K102" s="422" t="s">
        <v>238</v>
      </c>
    </row>
    <row r="103" spans="11:11">
      <c r="K103" s="422" t="s">
        <v>238</v>
      </c>
    </row>
    <row r="104" spans="11:11">
      <c r="K104" s="422" t="s">
        <v>238</v>
      </c>
    </row>
    <row r="105" spans="11:11">
      <c r="K105" s="422" t="s">
        <v>238</v>
      </c>
    </row>
    <row r="106" spans="11:11">
      <c r="K106" s="422" t="s">
        <v>238</v>
      </c>
    </row>
    <row r="107" spans="11:11">
      <c r="K107" s="422" t="s">
        <v>238</v>
      </c>
    </row>
    <row r="108" spans="11:11">
      <c r="K108" s="422" t="s">
        <v>238</v>
      </c>
    </row>
    <row r="109" spans="11:11">
      <c r="K109" s="422" t="s">
        <v>238</v>
      </c>
    </row>
    <row r="110" spans="11:11">
      <c r="K110" s="422" t="s">
        <v>238</v>
      </c>
    </row>
    <row r="111" spans="11:11">
      <c r="K111" s="422" t="s">
        <v>238</v>
      </c>
    </row>
    <row r="112" spans="11:11">
      <c r="K112" s="422" t="s">
        <v>238</v>
      </c>
    </row>
    <row r="113" spans="11:11">
      <c r="K113" s="422" t="s">
        <v>238</v>
      </c>
    </row>
    <row r="114" spans="11:11">
      <c r="K114" s="422" t="s">
        <v>238</v>
      </c>
    </row>
    <row r="115" spans="11:11">
      <c r="K115" s="422" t="s">
        <v>238</v>
      </c>
    </row>
    <row r="116" spans="11:11">
      <c r="K116" s="422" t="s">
        <v>238</v>
      </c>
    </row>
    <row r="117" spans="11:11">
      <c r="K117" s="422" t="s">
        <v>238</v>
      </c>
    </row>
    <row r="118" spans="11:11">
      <c r="K118" s="422" t="s">
        <v>238</v>
      </c>
    </row>
    <row r="119" spans="11:11">
      <c r="K119" s="422" t="s">
        <v>238</v>
      </c>
    </row>
    <row r="120" spans="11:11">
      <c r="K120" s="422" t="s">
        <v>238</v>
      </c>
    </row>
    <row r="121" spans="11:11">
      <c r="K121" s="422" t="s">
        <v>238</v>
      </c>
    </row>
    <row r="122" spans="11:11">
      <c r="K122" s="422" t="s">
        <v>238</v>
      </c>
    </row>
    <row r="123" spans="11:11">
      <c r="K123" s="422" t="s">
        <v>238</v>
      </c>
    </row>
    <row r="124" spans="11:11">
      <c r="K124" s="422" t="s">
        <v>238</v>
      </c>
    </row>
    <row r="125" spans="11:11">
      <c r="K125" s="422" t="s">
        <v>238</v>
      </c>
    </row>
    <row r="126" spans="11:11">
      <c r="K126" s="422" t="s">
        <v>238</v>
      </c>
    </row>
    <row r="127" spans="11:11">
      <c r="K127" s="422" t="s">
        <v>238</v>
      </c>
    </row>
    <row r="128" spans="11:11">
      <c r="K128" s="422" t="s">
        <v>238</v>
      </c>
    </row>
    <row r="129" spans="11:11">
      <c r="K129" s="422" t="s">
        <v>238</v>
      </c>
    </row>
    <row r="130" spans="11:11">
      <c r="K130" s="422" t="s">
        <v>238</v>
      </c>
    </row>
    <row r="131" spans="11:11">
      <c r="K131" s="422" t="s">
        <v>238</v>
      </c>
    </row>
    <row r="132" spans="11:11">
      <c r="K132" s="422" t="s">
        <v>238</v>
      </c>
    </row>
    <row r="133" spans="11:11">
      <c r="K133" s="422" t="s">
        <v>238</v>
      </c>
    </row>
    <row r="134" spans="11:11">
      <c r="K134" s="422" t="s">
        <v>238</v>
      </c>
    </row>
    <row r="135" spans="11:11">
      <c r="K135" s="422" t="s">
        <v>238</v>
      </c>
    </row>
    <row r="136" spans="11:11">
      <c r="K136" s="422" t="s">
        <v>238</v>
      </c>
    </row>
    <row r="137" spans="11:11">
      <c r="K137" s="422" t="s">
        <v>238</v>
      </c>
    </row>
    <row r="138" spans="11:11">
      <c r="K138" s="422" t="s">
        <v>238</v>
      </c>
    </row>
    <row r="139" spans="11:11">
      <c r="K139" s="422" t="s">
        <v>238</v>
      </c>
    </row>
    <row r="140" spans="11:11">
      <c r="K140" s="422" t="s">
        <v>238</v>
      </c>
    </row>
    <row r="141" spans="11:11">
      <c r="K141" s="422" t="s">
        <v>238</v>
      </c>
    </row>
    <row r="142" spans="11:11">
      <c r="K142" s="422" t="s">
        <v>238</v>
      </c>
    </row>
    <row r="143" spans="11:11">
      <c r="K143" s="422" t="s">
        <v>238</v>
      </c>
    </row>
    <row r="144" spans="11:11">
      <c r="K144" s="422" t="s">
        <v>238</v>
      </c>
    </row>
    <row r="145" spans="11:11">
      <c r="K145" s="422" t="s">
        <v>238</v>
      </c>
    </row>
    <row r="146" spans="11:11">
      <c r="K146" s="422" t="s">
        <v>238</v>
      </c>
    </row>
    <row r="147" spans="11:11">
      <c r="K147" s="422" t="s">
        <v>238</v>
      </c>
    </row>
    <row r="148" spans="11:11">
      <c r="K148" s="422" t="s">
        <v>238</v>
      </c>
    </row>
    <row r="149" spans="11:11">
      <c r="K149" s="422" t="s">
        <v>238</v>
      </c>
    </row>
    <row r="150" spans="11:11">
      <c r="K150" s="422" t="s">
        <v>238</v>
      </c>
    </row>
    <row r="151" spans="11:11">
      <c r="K151" s="422" t="s">
        <v>238</v>
      </c>
    </row>
    <row r="152" spans="11:11">
      <c r="K152" s="422" t="s">
        <v>238</v>
      </c>
    </row>
    <row r="153" spans="11:11">
      <c r="K153" s="422" t="s">
        <v>238</v>
      </c>
    </row>
    <row r="154" spans="11:11">
      <c r="K154" s="422" t="s">
        <v>238</v>
      </c>
    </row>
    <row r="155" spans="11:11">
      <c r="K155" s="422" t="s">
        <v>238</v>
      </c>
    </row>
    <row r="156" spans="11:11">
      <c r="K156" s="422" t="s">
        <v>238</v>
      </c>
    </row>
    <row r="157" spans="11:11">
      <c r="K157" s="422" t="s">
        <v>238</v>
      </c>
    </row>
    <row r="158" spans="11:11">
      <c r="K158" s="422" t="s">
        <v>238</v>
      </c>
    </row>
    <row r="159" spans="11:11">
      <c r="K159" s="422" t="s">
        <v>238</v>
      </c>
    </row>
    <row r="160" spans="11:11">
      <c r="K160" s="422" t="s">
        <v>238</v>
      </c>
    </row>
    <row r="161" spans="11:11">
      <c r="K161" s="422" t="s">
        <v>238</v>
      </c>
    </row>
    <row r="162" spans="11:11">
      <c r="K162" s="422"/>
    </row>
    <row r="163" spans="11:11">
      <c r="K163" s="422"/>
    </row>
    <row r="164" spans="11:11">
      <c r="K164" s="422"/>
    </row>
    <row r="165" spans="11:11">
      <c r="K165" s="422"/>
    </row>
    <row r="166" spans="11:11">
      <c r="K166" s="422"/>
    </row>
    <row r="167" spans="11:11">
      <c r="K167" s="422"/>
    </row>
    <row r="168" spans="11:11">
      <c r="K168" s="422"/>
    </row>
    <row r="169" spans="11:11">
      <c r="K169" s="422"/>
    </row>
    <row r="170" spans="11:11">
      <c r="K170" s="422"/>
    </row>
    <row r="171" spans="11:11">
      <c r="K171" s="422"/>
    </row>
    <row r="172" spans="11:11">
      <c r="K172" s="422"/>
    </row>
    <row r="173" spans="11:11">
      <c r="K173" s="422"/>
    </row>
    <row r="174" spans="11:11">
      <c r="K174" s="422"/>
    </row>
    <row r="175" spans="11:11">
      <c r="K175" s="422"/>
    </row>
    <row r="176" spans="11:11">
      <c r="K176" s="422"/>
    </row>
    <row r="177" spans="11:11">
      <c r="K177" s="422"/>
    </row>
    <row r="178" spans="11:11">
      <c r="K178" s="422"/>
    </row>
    <row r="179" spans="11:11">
      <c r="K179" s="422"/>
    </row>
    <row r="180" spans="11:11">
      <c r="K180" s="422"/>
    </row>
    <row r="181" spans="11:11">
      <c r="K181" s="422"/>
    </row>
    <row r="182" spans="11:11">
      <c r="K182" s="422"/>
    </row>
    <row r="183" spans="11:11">
      <c r="K183" s="422"/>
    </row>
    <row r="184" spans="11:11">
      <c r="K184" s="422"/>
    </row>
    <row r="185" spans="11:11">
      <c r="K185" s="422"/>
    </row>
    <row r="186" spans="11:11">
      <c r="K186" s="422"/>
    </row>
    <row r="187" spans="11:11">
      <c r="K187" s="422"/>
    </row>
    <row r="188" spans="11:11">
      <c r="K188" s="422"/>
    </row>
    <row r="189" spans="11:11">
      <c r="K189" s="422"/>
    </row>
    <row r="190" spans="11:11">
      <c r="K190" s="422"/>
    </row>
    <row r="191" spans="11:11">
      <c r="K191" s="422"/>
    </row>
    <row r="192" spans="11:11">
      <c r="K192" s="422"/>
    </row>
    <row r="193" spans="11:11">
      <c r="K193" s="422"/>
    </row>
    <row r="194" spans="11:11">
      <c r="K194" s="422"/>
    </row>
    <row r="195" spans="11:11">
      <c r="K195" s="422"/>
    </row>
    <row r="196" spans="11:11">
      <c r="K196" s="422"/>
    </row>
    <row r="197" spans="11:11">
      <c r="K197" s="422"/>
    </row>
    <row r="198" spans="11:11">
      <c r="K198" s="422"/>
    </row>
    <row r="199" spans="11:11">
      <c r="K199" s="422"/>
    </row>
    <row r="200" spans="11:11">
      <c r="K200" s="422"/>
    </row>
    <row r="201" spans="11:11">
      <c r="K201" s="422"/>
    </row>
    <row r="202" spans="11:11">
      <c r="K202" s="422"/>
    </row>
    <row r="203" spans="11:11">
      <c r="K203" s="422"/>
    </row>
    <row r="204" spans="11:11">
      <c r="K204" s="422"/>
    </row>
    <row r="205" spans="11:11">
      <c r="K205" s="422"/>
    </row>
    <row r="206" spans="11:11">
      <c r="K206" s="422"/>
    </row>
    <row r="207" spans="11:11">
      <c r="K207" s="422"/>
    </row>
    <row r="208" spans="11:11">
      <c r="K208" s="422"/>
    </row>
    <row r="209" spans="11:11">
      <c r="K209" s="422"/>
    </row>
    <row r="210" spans="11:11">
      <c r="K210" s="422"/>
    </row>
    <row r="211" spans="11:11">
      <c r="K211" s="422"/>
    </row>
    <row r="212" spans="11:11">
      <c r="K212" s="422"/>
    </row>
    <row r="213" spans="11:11">
      <c r="K213" s="422"/>
    </row>
    <row r="214" spans="11:11">
      <c r="K214" s="422"/>
    </row>
    <row r="215" spans="11:11">
      <c r="K215" s="422"/>
    </row>
    <row r="216" spans="11:11">
      <c r="K216" s="422"/>
    </row>
    <row r="217" spans="11:11">
      <c r="K217" s="422"/>
    </row>
    <row r="218" spans="11:11">
      <c r="K218" s="422"/>
    </row>
    <row r="219" spans="11:11">
      <c r="K219" s="422"/>
    </row>
    <row r="220" spans="11:11">
      <c r="K220" s="422"/>
    </row>
    <row r="221" spans="11:11">
      <c r="K221" s="422"/>
    </row>
    <row r="222" spans="11:11">
      <c r="K222" s="422"/>
    </row>
    <row r="223" spans="11:11">
      <c r="K223" s="422"/>
    </row>
    <row r="224" spans="11:11">
      <c r="K224" s="422"/>
    </row>
    <row r="225" spans="11:11">
      <c r="K225" s="422"/>
    </row>
    <row r="226" spans="11:11">
      <c r="K226" s="422"/>
    </row>
    <row r="227" spans="11:11">
      <c r="K227" s="422"/>
    </row>
    <row r="228" spans="11:11">
      <c r="K228" s="422"/>
    </row>
    <row r="229" spans="11:11">
      <c r="K229" s="422"/>
    </row>
    <row r="230" spans="11:11">
      <c r="K230" s="422"/>
    </row>
    <row r="231" spans="11:11">
      <c r="K231" s="422"/>
    </row>
    <row r="232" spans="11:11">
      <c r="K232" s="422"/>
    </row>
    <row r="233" spans="11:11">
      <c r="K233" s="422"/>
    </row>
    <row r="234" spans="11:11">
      <c r="K234" s="422"/>
    </row>
    <row r="235" spans="11:11">
      <c r="K235" s="422"/>
    </row>
    <row r="236" spans="11:11">
      <c r="K236" s="422"/>
    </row>
    <row r="237" spans="11:11">
      <c r="K237" s="422"/>
    </row>
    <row r="238" spans="11:11">
      <c r="K238" s="422"/>
    </row>
    <row r="239" spans="11:11">
      <c r="K239" s="422"/>
    </row>
    <row r="240" spans="11:11">
      <c r="K240" s="422"/>
    </row>
    <row r="241" spans="11:11">
      <c r="K241" s="422"/>
    </row>
    <row r="242" spans="11:11">
      <c r="K242" s="422"/>
    </row>
    <row r="243" spans="11:11">
      <c r="K243" s="422"/>
    </row>
    <row r="244" spans="11:11">
      <c r="K244" s="422"/>
    </row>
    <row r="245" spans="11:11">
      <c r="K245" s="422"/>
    </row>
    <row r="246" spans="11:11">
      <c r="K246" s="422"/>
    </row>
    <row r="247" spans="11:11">
      <c r="K247" s="422"/>
    </row>
    <row r="248" spans="11:11">
      <c r="K248" s="422"/>
    </row>
    <row r="249" spans="11:11">
      <c r="K249" s="422"/>
    </row>
    <row r="250" spans="11:11">
      <c r="K250" s="422"/>
    </row>
    <row r="251" spans="11:11">
      <c r="K251" s="422"/>
    </row>
    <row r="252" spans="11:11">
      <c r="K252" s="422"/>
    </row>
    <row r="253" spans="11:11">
      <c r="K253" s="422"/>
    </row>
    <row r="254" spans="11:11">
      <c r="K254" s="422"/>
    </row>
    <row r="255" spans="11:11">
      <c r="K255" s="422"/>
    </row>
    <row r="256" spans="11:11">
      <c r="K256" s="422"/>
    </row>
    <row r="257" spans="11:11">
      <c r="K257" s="422"/>
    </row>
    <row r="258" spans="11:11">
      <c r="K258" s="422"/>
    </row>
    <row r="259" spans="11:11">
      <c r="K259" s="422"/>
    </row>
    <row r="260" spans="11:11">
      <c r="K260" s="422"/>
    </row>
    <row r="261" spans="11:11">
      <c r="K261" s="422"/>
    </row>
    <row r="262" spans="11:11">
      <c r="K262" s="422"/>
    </row>
    <row r="263" spans="11:11">
      <c r="K263" s="422"/>
    </row>
    <row r="264" spans="11:11">
      <c r="K264" s="422"/>
    </row>
    <row r="265" spans="11:11">
      <c r="K265" s="422"/>
    </row>
    <row r="266" spans="11:11">
      <c r="K266" s="422"/>
    </row>
    <row r="267" spans="11:11">
      <c r="K267" s="422"/>
    </row>
    <row r="268" spans="11:11">
      <c r="K268" s="422"/>
    </row>
    <row r="272" spans="11:11" ht="13.25" customHeight="1"/>
  </sheetData>
  <conditionalFormatting sqref="A1">
    <cfRule type="duplicateValues" dxfId="233" priority="11"/>
  </conditionalFormatting>
  <conditionalFormatting sqref="A25">
    <cfRule type="duplicateValues" dxfId="232" priority="10"/>
  </conditionalFormatting>
  <conditionalFormatting sqref="A37">
    <cfRule type="duplicateValues" dxfId="231" priority="9"/>
  </conditionalFormatting>
  <conditionalFormatting sqref="A41">
    <cfRule type="duplicateValues" dxfId="230" priority="8"/>
  </conditionalFormatting>
  <conditionalFormatting sqref="A50">
    <cfRule type="duplicateValues" dxfId="229" priority="6"/>
  </conditionalFormatting>
  <conditionalFormatting sqref="A38">
    <cfRule type="duplicateValues" dxfId="228" priority="5"/>
  </conditionalFormatting>
  <conditionalFormatting sqref="A42">
    <cfRule type="duplicateValues" dxfId="227" priority="4"/>
  </conditionalFormatting>
  <conditionalFormatting sqref="A60">
    <cfRule type="duplicateValues" dxfId="226" priority="3"/>
  </conditionalFormatting>
  <conditionalFormatting sqref="A71">
    <cfRule type="duplicateValues" dxfId="225" priority="2"/>
  </conditionalFormatting>
  <conditionalFormatting sqref="A78">
    <cfRule type="duplicateValues" dxfId="224" priority="1"/>
  </conditionalFormatting>
  <dataValidations count="3">
    <dataValidation type="list" allowBlank="1" showInputMessage="1" showErrorMessage="1" sqref="I25 I37:I38 I41:I42 I50 I60 I71 I78" xr:uid="{00000000-0002-0000-1500-000000000000}">
      <formula1>TB_implementare</formula1>
    </dataValidation>
    <dataValidation type="list" allowBlank="1" showInputMessage="1" showErrorMessage="1" sqref="G25 G37:G38 G41:G42 G50 G60 G71 G78" xr:uid="{00000000-0002-0000-1500-000001000000}">
      <formula1>TB_sursa_finant_Ro</formula1>
    </dataValidation>
    <dataValidation type="list" allowBlank="1" showInputMessage="1" showErrorMessage="1" sqref="M59 M70" xr:uid="{00000000-0002-0000-1500-000002000000}">
      <formula1>Denumire_produs_ro</formula1>
    </dataValidation>
  </dataValidations>
  <hyperlinks>
    <hyperlink ref="O1" location="CUPRINS!A1" display="CUPRINS" xr:uid="{00000000-0004-0000-15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3000000}">
          <x14:formula1>
            <xm:f>Nom_activ_2!$H$2:$H$88</xm:f>
          </x14:formula1>
          <xm:sqref>J25 J41:J42 J37:J38 J50 J60 J71 J78</xm:sqref>
        </x14:dataValidation>
      </x14:dataValidations>
    </ext>
  </extLst>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P504"/>
  <sheetViews>
    <sheetView topLeftCell="A34" zoomScale="70" zoomScaleNormal="70" workbookViewId="0">
      <selection activeCell="H20" sqref="H20:H21"/>
    </sheetView>
  </sheetViews>
  <sheetFormatPr baseColWidth="10" defaultColWidth="8.83203125" defaultRowHeight="15" outlineLevelCol="1"/>
  <cols>
    <col min="1" max="1" width="8.83203125" style="960" customWidth="1" outlineLevel="1"/>
    <col min="2" max="4" width="13.5" style="960" customWidth="1" outlineLevel="1"/>
    <col min="5" max="5" width="13.33203125" style="960" customWidth="1" outlineLevel="1"/>
    <col min="6" max="6" width="13.5" style="960" customWidth="1" outlineLevel="1"/>
    <col min="7" max="7" width="6.33203125" style="960" customWidth="1" outlineLevel="1"/>
    <col min="8" max="8" width="33.5" style="960" customWidth="1" outlineLevel="1"/>
    <col min="9" max="9" width="13.5" style="2195" customWidth="1" outlineLevel="1"/>
    <col min="10" max="10" width="41.6640625" style="960" customWidth="1" outlineLevel="1"/>
    <col min="11" max="11" width="1.1640625" customWidth="1"/>
    <col min="12" max="12" width="15" customWidth="1"/>
    <col min="13" max="13" width="64.5" customWidth="1"/>
    <col min="14" max="14" width="34.6640625" customWidth="1"/>
    <col min="15" max="15" width="21.5" customWidth="1"/>
    <col min="16" max="16" width="15.5" customWidth="1"/>
    <col min="17" max="18" width="13.33203125" bestFit="1" customWidth="1"/>
    <col min="19" max="19" width="6.33203125" bestFit="1" customWidth="1"/>
    <col min="20" max="20" width="19.33203125" customWidth="1"/>
    <col min="21" max="24" width="12.33203125" bestFit="1" customWidth="1"/>
    <col min="25" max="25" width="13.1640625" bestFit="1" customWidth="1"/>
    <col min="26" max="26" width="14" bestFit="1" customWidth="1"/>
    <col min="27" max="32" width="13.6640625" customWidth="1"/>
    <col min="33" max="33" width="21.1640625" customWidth="1"/>
    <col min="34" max="34" width="13.6640625" customWidth="1"/>
  </cols>
  <sheetData>
    <row r="1" spans="1:30">
      <c r="A1" s="2157"/>
      <c r="B1" s="859">
        <v>2021</v>
      </c>
      <c r="C1" s="859">
        <v>2022</v>
      </c>
      <c r="D1" s="859">
        <v>2023</v>
      </c>
      <c r="E1" s="859">
        <v>2024</v>
      </c>
      <c r="F1" s="859">
        <v>2025</v>
      </c>
      <c r="G1" s="859" t="s">
        <v>484</v>
      </c>
      <c r="H1" s="859" t="s">
        <v>515</v>
      </c>
      <c r="I1" s="2184" t="s">
        <v>1834</v>
      </c>
      <c r="J1" s="859"/>
      <c r="K1" s="712" t="s">
        <v>238</v>
      </c>
      <c r="L1" s="1532">
        <f>SUM(B:F)-B1-C1-D1-E1-F1</f>
        <v>116484693.46146873</v>
      </c>
      <c r="M1" s="836">
        <f>SUM(AI:AI)</f>
        <v>562425.48643952003</v>
      </c>
      <c r="N1" s="1808"/>
      <c r="O1" s="1836" t="s">
        <v>356</v>
      </c>
      <c r="P1" s="1808"/>
    </row>
    <row r="2" spans="1:30">
      <c r="A2" s="2191"/>
      <c r="B2" s="2191"/>
      <c r="C2" s="2191"/>
      <c r="D2" s="2191"/>
      <c r="E2" s="2191"/>
      <c r="F2" s="2191"/>
      <c r="G2" s="2191"/>
      <c r="H2" s="2191"/>
      <c r="I2" s="2184"/>
      <c r="J2" s="2191"/>
      <c r="K2" s="712" t="s">
        <v>238</v>
      </c>
    </row>
    <row r="3" spans="1:30">
      <c r="K3" s="712" t="s">
        <v>238</v>
      </c>
    </row>
    <row r="4" spans="1:30">
      <c r="K4" s="712" t="s">
        <v>238</v>
      </c>
    </row>
    <row r="5" spans="1:30">
      <c r="K5" s="712" t="s">
        <v>238</v>
      </c>
      <c r="L5" s="1775" t="s">
        <v>2931</v>
      </c>
      <c r="M5" s="1808"/>
      <c r="N5" s="1808"/>
      <c r="O5" s="1808"/>
      <c r="P5" s="1808"/>
      <c r="Q5" s="1808"/>
      <c r="R5" s="1808"/>
      <c r="S5" s="1808"/>
      <c r="T5" s="1808"/>
      <c r="U5" s="1808"/>
      <c r="V5" s="1808"/>
      <c r="W5" s="1808"/>
      <c r="X5" s="1808"/>
      <c r="Y5" s="1808"/>
      <c r="Z5" s="2284"/>
      <c r="AA5" s="2284"/>
      <c r="AB5" s="2284"/>
      <c r="AC5" s="2284"/>
      <c r="AD5" s="2284"/>
    </row>
    <row r="6" spans="1:30" ht="26.5" customHeight="1">
      <c r="K6" s="712" t="s">
        <v>238</v>
      </c>
      <c r="L6" s="1775"/>
      <c r="M6" s="1808"/>
      <c r="N6" s="1808"/>
      <c r="O6" s="1808"/>
      <c r="P6" s="1808"/>
      <c r="Q6" s="1808"/>
      <c r="R6" s="1808"/>
      <c r="S6" s="1808"/>
      <c r="T6" s="1808"/>
      <c r="U6" s="1808"/>
      <c r="V6" s="1808"/>
      <c r="W6" s="1808"/>
      <c r="X6" s="1808"/>
      <c r="Y6" s="1808"/>
      <c r="Z6" s="2284"/>
      <c r="AA6" s="2284"/>
      <c r="AB6" s="2284"/>
      <c r="AC6" s="2284"/>
      <c r="AD6" s="2284"/>
    </row>
    <row r="7" spans="1:30" ht="19">
      <c r="K7" s="712" t="s">
        <v>238</v>
      </c>
      <c r="L7" s="1808"/>
      <c r="M7" s="1808"/>
      <c r="N7" s="1842" t="s">
        <v>3211</v>
      </c>
      <c r="O7" s="1808"/>
      <c r="P7" s="1808"/>
      <c r="Q7" s="1808"/>
      <c r="R7" s="1808"/>
      <c r="S7" s="1808"/>
      <c r="T7" s="1843" t="s">
        <v>3212</v>
      </c>
      <c r="U7" s="1808"/>
      <c r="V7" s="1808"/>
      <c r="W7" s="1808"/>
      <c r="X7" s="1808"/>
      <c r="Y7" s="1808"/>
      <c r="Z7" s="1808"/>
      <c r="AA7" s="2284"/>
      <c r="AB7" s="2284"/>
      <c r="AC7" s="2284"/>
      <c r="AD7" s="2284"/>
    </row>
    <row r="8" spans="1:30">
      <c r="K8" s="712" t="s">
        <v>238</v>
      </c>
      <c r="L8" s="1808"/>
      <c r="M8" s="1808"/>
      <c r="N8" s="1808" t="s">
        <v>1842</v>
      </c>
      <c r="O8" s="1808"/>
      <c r="P8" s="1808"/>
      <c r="Q8" s="1808"/>
      <c r="R8" s="1808"/>
      <c r="S8" s="1808"/>
      <c r="T8" s="1808" t="s">
        <v>1845</v>
      </c>
      <c r="U8" s="1808"/>
      <c r="V8" s="1808"/>
      <c r="W8" s="1808"/>
      <c r="X8" s="1808"/>
      <c r="Y8" s="1808"/>
      <c r="Z8" s="2284"/>
      <c r="AA8" s="2284"/>
      <c r="AB8" s="2284"/>
      <c r="AC8" s="2284"/>
      <c r="AD8" s="2284"/>
    </row>
    <row r="9" spans="1:30">
      <c r="K9" s="712" t="s">
        <v>238</v>
      </c>
      <c r="L9" s="1808"/>
      <c r="M9" s="1808"/>
      <c r="N9" s="1695">
        <v>2021</v>
      </c>
      <c r="O9" s="1695">
        <v>2022</v>
      </c>
      <c r="P9" s="1695">
        <v>2023</v>
      </c>
      <c r="Q9" s="1695">
        <v>2024</v>
      </c>
      <c r="R9" s="1695">
        <v>2025</v>
      </c>
      <c r="S9" s="1695" t="s">
        <v>238</v>
      </c>
      <c r="T9" s="1695">
        <v>2021</v>
      </c>
      <c r="U9" s="1695">
        <v>2022</v>
      </c>
      <c r="V9" s="1695">
        <v>2023</v>
      </c>
      <c r="W9" s="1695">
        <v>2024</v>
      </c>
      <c r="X9" s="1695">
        <v>2025</v>
      </c>
      <c r="Y9" s="1808"/>
      <c r="Z9" s="2284"/>
      <c r="AA9" s="2284"/>
      <c r="AB9" s="2284"/>
      <c r="AC9" s="2284"/>
      <c r="AD9" s="2284"/>
    </row>
    <row r="10" spans="1:30">
      <c r="K10" s="712" t="s">
        <v>238</v>
      </c>
      <c r="L10" s="1808"/>
      <c r="M10" s="958" t="s">
        <v>3213</v>
      </c>
      <c r="N10" s="1068">
        <v>20239.599999999999</v>
      </c>
      <c r="O10" s="1068">
        <v>72886.399999999994</v>
      </c>
      <c r="P10" s="1068">
        <v>101272</v>
      </c>
      <c r="Q10" s="1068">
        <v>413106.8</v>
      </c>
      <c r="R10" s="1068">
        <v>396210.8</v>
      </c>
      <c r="S10" s="1068" t="s">
        <v>238</v>
      </c>
      <c r="T10" s="1068">
        <v>0</v>
      </c>
      <c r="U10" s="1068">
        <v>0</v>
      </c>
      <c r="V10" s="1068">
        <v>0</v>
      </c>
      <c r="W10" s="1068">
        <v>203494.8</v>
      </c>
      <c r="X10" s="1068">
        <v>203494.8</v>
      </c>
      <c r="Y10" s="1808"/>
      <c r="Z10" s="2284"/>
      <c r="AA10" s="2284"/>
      <c r="AB10" s="2284"/>
      <c r="AC10" s="2284"/>
      <c r="AD10" s="2284"/>
    </row>
    <row r="11" spans="1:30">
      <c r="K11" s="712" t="s">
        <v>238</v>
      </c>
      <c r="L11" s="1808"/>
      <c r="M11" s="958" t="s">
        <v>3214</v>
      </c>
      <c r="N11" s="1068">
        <v>0</v>
      </c>
      <c r="O11" s="1068">
        <v>0</v>
      </c>
      <c r="P11" s="1068">
        <v>0</v>
      </c>
      <c r="Q11" s="1068">
        <v>0</v>
      </c>
      <c r="R11" s="1068">
        <v>3568568.67</v>
      </c>
      <c r="S11" s="1068" t="s">
        <v>238</v>
      </c>
      <c r="T11" s="1068">
        <v>0</v>
      </c>
      <c r="U11" s="1068">
        <v>0</v>
      </c>
      <c r="V11" s="1068">
        <v>0</v>
      </c>
      <c r="W11" s="1068">
        <v>0</v>
      </c>
      <c r="X11" s="1068">
        <v>396507.63</v>
      </c>
      <c r="Y11" s="1808"/>
      <c r="Z11" s="2284"/>
      <c r="AA11" s="2284"/>
      <c r="AB11" s="2284"/>
      <c r="AC11" s="2284"/>
      <c r="AD11" s="2284"/>
    </row>
    <row r="12" spans="1:30">
      <c r="K12" s="712" t="s">
        <v>238</v>
      </c>
      <c r="L12" s="1808"/>
      <c r="M12" s="958" t="s">
        <v>3215</v>
      </c>
      <c r="N12" s="1068">
        <v>6807065.0519800019</v>
      </c>
      <c r="O12" s="1068">
        <v>6723915.6357999993</v>
      </c>
      <c r="P12" s="1068">
        <v>6649256.6293799998</v>
      </c>
      <c r="Q12" s="1068">
        <v>6578988.1470199991</v>
      </c>
      <c r="R12" s="1068">
        <v>6512087.3277000021</v>
      </c>
      <c r="S12" s="1068" t="s">
        <v>238</v>
      </c>
      <c r="T12" s="1068">
        <v>1380656.1709200004</v>
      </c>
      <c r="U12" s="1068">
        <v>1374374.0417000002</v>
      </c>
      <c r="V12" s="1068">
        <v>1375717.1616800004</v>
      </c>
      <c r="W12" s="1068">
        <v>1386069.9165000001</v>
      </c>
      <c r="X12" s="1068">
        <v>1391683.1760200001</v>
      </c>
      <c r="Y12" s="1808"/>
      <c r="Z12" s="2284"/>
      <c r="AA12" s="2284"/>
      <c r="AB12" s="2284"/>
      <c r="AC12" s="2284"/>
      <c r="AD12" s="2284"/>
    </row>
    <row r="13" spans="1:30">
      <c r="K13" s="712" t="s">
        <v>238</v>
      </c>
      <c r="L13" s="1808"/>
      <c r="M13" s="958" t="s">
        <v>3216</v>
      </c>
      <c r="N13" s="1068">
        <v>1955485.9826</v>
      </c>
      <c r="O13" s="1068">
        <v>2109593.6212000004</v>
      </c>
      <c r="P13" s="1068">
        <v>2152921.4368000003</v>
      </c>
      <c r="Q13" s="1068">
        <v>2605630.6729000011</v>
      </c>
      <c r="R13" s="1068">
        <v>2535918.7170000006</v>
      </c>
      <c r="S13" s="1068" t="s">
        <v>238</v>
      </c>
      <c r="T13" s="1068">
        <v>496171.10650000005</v>
      </c>
      <c r="U13" s="1068">
        <v>624223.81039999996</v>
      </c>
      <c r="V13" s="1068">
        <v>692021.76540000015</v>
      </c>
      <c r="W13" s="1068">
        <v>1105171.1761000003</v>
      </c>
      <c r="X13" s="1068">
        <v>1114742.2433000002</v>
      </c>
      <c r="Y13" s="1808"/>
      <c r="Z13" s="2284"/>
      <c r="AA13" s="2284"/>
      <c r="AB13" s="2284"/>
      <c r="AC13" s="2284"/>
      <c r="AD13" s="2284"/>
    </row>
    <row r="14" spans="1:30">
      <c r="K14" s="712" t="s">
        <v>238</v>
      </c>
      <c r="L14" s="1808"/>
      <c r="M14" s="958" t="s">
        <v>3217</v>
      </c>
      <c r="N14" s="1068">
        <v>270872</v>
      </c>
      <c r="O14" s="1068">
        <v>291011</v>
      </c>
      <c r="P14" s="1068">
        <v>310268</v>
      </c>
      <c r="Q14" s="1068">
        <v>547330</v>
      </c>
      <c r="R14" s="1068">
        <v>531993</v>
      </c>
      <c r="S14" s="1068" t="s">
        <v>238</v>
      </c>
      <c r="T14" s="1068">
        <v>0</v>
      </c>
      <c r="U14" s="1068">
        <v>0</v>
      </c>
      <c r="V14" s="1068">
        <v>0</v>
      </c>
      <c r="W14" s="1068">
        <v>193158</v>
      </c>
      <c r="X14" s="1068">
        <v>194824</v>
      </c>
      <c r="Y14" s="1808"/>
      <c r="Z14" s="2284"/>
      <c r="AA14" s="2284"/>
      <c r="AB14" s="2284"/>
      <c r="AC14" s="2284"/>
      <c r="AD14" s="2284"/>
    </row>
    <row r="15" spans="1:30">
      <c r="K15" s="712" t="s">
        <v>238</v>
      </c>
      <c r="L15" s="1808"/>
      <c r="M15" s="958" t="s">
        <v>3218</v>
      </c>
      <c r="N15" s="1068">
        <v>938955.2</v>
      </c>
      <c r="O15" s="1068">
        <v>938955.2</v>
      </c>
      <c r="P15" s="1068">
        <v>938955.2</v>
      </c>
      <c r="Q15" s="1068">
        <v>938955.2</v>
      </c>
      <c r="R15" s="1068">
        <v>938955.2</v>
      </c>
      <c r="S15" s="1068" t="s">
        <v>238</v>
      </c>
      <c r="T15" s="1068">
        <v>167211.20000000001</v>
      </c>
      <c r="U15" s="1068">
        <v>167211.20000000001</v>
      </c>
      <c r="V15" s="1068">
        <v>167211.20000000001</v>
      </c>
      <c r="W15" s="1068">
        <v>167211.20000000001</v>
      </c>
      <c r="X15" s="1068">
        <v>167211.20000000001</v>
      </c>
      <c r="Y15" s="1808"/>
      <c r="Z15" s="1808"/>
      <c r="AA15" s="1808"/>
      <c r="AB15" s="1808"/>
      <c r="AC15" s="1808"/>
      <c r="AD15" s="1808"/>
    </row>
    <row r="16" spans="1:30">
      <c r="K16" s="712" t="s">
        <v>238</v>
      </c>
      <c r="L16" s="431"/>
      <c r="M16" s="2152" t="s">
        <v>2483</v>
      </c>
      <c r="N16" s="2217">
        <v>9992617.8345800005</v>
      </c>
      <c r="O16" s="2217">
        <v>10136361.856999999</v>
      </c>
      <c r="P16" s="2217">
        <v>10152673.266179999</v>
      </c>
      <c r="Q16" s="2217">
        <v>11084010.81992</v>
      </c>
      <c r="R16" s="2217">
        <v>14483733.714700002</v>
      </c>
      <c r="S16" s="2217">
        <v>0</v>
      </c>
      <c r="T16" s="2217">
        <v>2044038.4774200004</v>
      </c>
      <c r="U16" s="2217">
        <v>2165809.0521000004</v>
      </c>
      <c r="V16" s="2217">
        <v>2234950.1270800005</v>
      </c>
      <c r="W16" s="2217">
        <v>3055105.0926000006</v>
      </c>
      <c r="X16" s="2217">
        <v>3468463.0493200002</v>
      </c>
      <c r="Y16" s="431"/>
      <c r="Z16" s="2285"/>
      <c r="AA16" s="2285"/>
      <c r="AB16" s="2285"/>
      <c r="AC16" s="2285"/>
      <c r="AD16" s="2285"/>
    </row>
    <row r="17" spans="1:42">
      <c r="A17" s="2157">
        <v>107</v>
      </c>
      <c r="B17" s="841">
        <f>N16</f>
        <v>9992617.8345800005</v>
      </c>
      <c r="C17" s="841">
        <f t="shared" ref="C17:F17" si="0">O16</f>
        <v>10136361.856999999</v>
      </c>
      <c r="D17" s="841">
        <f t="shared" si="0"/>
        <v>10152673.266179999</v>
      </c>
      <c r="E17" s="841">
        <f t="shared" si="0"/>
        <v>11084010.81992</v>
      </c>
      <c r="F17" s="841">
        <f t="shared" si="0"/>
        <v>14483733.714700002</v>
      </c>
      <c r="G17" s="841" t="s">
        <v>349</v>
      </c>
      <c r="H17" s="841" t="s">
        <v>3223</v>
      </c>
      <c r="I17" s="2183"/>
      <c r="J17" s="841" t="s">
        <v>2931</v>
      </c>
      <c r="K17" s="712" t="s">
        <v>238</v>
      </c>
      <c r="L17" s="1808"/>
      <c r="M17" s="1808"/>
      <c r="N17" s="1808"/>
      <c r="O17" s="1808"/>
      <c r="P17" s="1808"/>
      <c r="Q17" s="1808"/>
      <c r="R17" s="1808"/>
      <c r="S17" s="1808"/>
      <c r="T17" s="1808"/>
      <c r="U17" s="1808"/>
      <c r="V17" s="1808"/>
      <c r="W17" s="1808"/>
      <c r="X17" s="1808"/>
      <c r="Y17" s="1808"/>
      <c r="Z17" s="2284"/>
      <c r="AA17" s="2284"/>
      <c r="AB17" s="2284"/>
      <c r="AC17" s="2284"/>
      <c r="AD17" s="2284"/>
    </row>
    <row r="18" spans="1:42">
      <c r="A18" s="2157">
        <v>108</v>
      </c>
      <c r="B18" s="841">
        <f>T16</f>
        <v>2044038.4774200004</v>
      </c>
      <c r="C18" s="841">
        <f t="shared" ref="C18:F18" si="1">U16</f>
        <v>2165809.0521000004</v>
      </c>
      <c r="D18" s="841">
        <f t="shared" si="1"/>
        <v>2234950.1270800005</v>
      </c>
      <c r="E18" s="841">
        <f t="shared" si="1"/>
        <v>3055105.0926000006</v>
      </c>
      <c r="F18" s="841">
        <f t="shared" si="1"/>
        <v>3468463.0493200002</v>
      </c>
      <c r="G18" s="841" t="s">
        <v>513</v>
      </c>
      <c r="H18" s="841" t="s">
        <v>3224</v>
      </c>
      <c r="I18" s="2183"/>
      <c r="J18" s="841" t="s">
        <v>2931</v>
      </c>
      <c r="K18" s="712" t="s">
        <v>238</v>
      </c>
      <c r="L18" s="1808"/>
      <c r="M18" s="958" t="s">
        <v>3219</v>
      </c>
      <c r="N18" s="1068">
        <v>2521760.48</v>
      </c>
      <c r="O18" s="1068">
        <v>2882838.4</v>
      </c>
      <c r="P18" s="1068">
        <v>3256209.36</v>
      </c>
      <c r="Q18" s="1068">
        <v>6067217.8399999999</v>
      </c>
      <c r="R18" s="1068">
        <v>5896320.4799999995</v>
      </c>
      <c r="S18" s="1808"/>
      <c r="T18" s="1068">
        <v>0</v>
      </c>
      <c r="U18" s="1068">
        <v>0</v>
      </c>
      <c r="V18" s="1068">
        <v>0</v>
      </c>
      <c r="W18" s="1068">
        <v>1577606.8</v>
      </c>
      <c r="X18" s="1068">
        <v>1577606.8</v>
      </c>
      <c r="Y18" s="1808"/>
      <c r="Z18" s="2284"/>
      <c r="AA18" s="2284"/>
      <c r="AB18" s="2284"/>
      <c r="AC18" s="2284"/>
      <c r="AD18" s="2284"/>
    </row>
    <row r="19" spans="1:42">
      <c r="K19" s="712" t="s">
        <v>238</v>
      </c>
      <c r="L19" s="1808"/>
      <c r="M19" s="958" t="s">
        <v>3220</v>
      </c>
      <c r="N19" s="1068">
        <v>0</v>
      </c>
      <c r="O19" s="1068">
        <v>0</v>
      </c>
      <c r="P19" s="1068">
        <v>0</v>
      </c>
      <c r="Q19" s="1068">
        <v>0</v>
      </c>
      <c r="R19" s="1068">
        <v>0</v>
      </c>
      <c r="S19" s="1808"/>
      <c r="T19" s="1068">
        <v>0</v>
      </c>
      <c r="U19" s="1068">
        <v>0</v>
      </c>
      <c r="V19" s="1068">
        <v>0</v>
      </c>
      <c r="W19" s="1068">
        <v>0</v>
      </c>
      <c r="X19" s="1068">
        <v>0</v>
      </c>
      <c r="Y19" s="1808"/>
      <c r="Z19" s="2284"/>
      <c r="AA19" s="2284"/>
      <c r="AB19" s="2284"/>
      <c r="AC19" s="2284"/>
      <c r="AD19" s="2284"/>
    </row>
    <row r="20" spans="1:42" s="431" customFormat="1">
      <c r="A20" s="2157">
        <v>109</v>
      </c>
      <c r="B20" s="841">
        <f>N18</f>
        <v>2521760.48</v>
      </c>
      <c r="C20" s="841">
        <f t="shared" ref="C20:F20" si="2">O18</f>
        <v>2882838.4</v>
      </c>
      <c r="D20" s="841">
        <f t="shared" si="2"/>
        <v>3256209.36</v>
      </c>
      <c r="E20" s="841">
        <f t="shared" si="2"/>
        <v>6067217.8399999999</v>
      </c>
      <c r="F20" s="841">
        <f t="shared" si="2"/>
        <v>5896320.4799999995</v>
      </c>
      <c r="G20" s="841" t="s">
        <v>349</v>
      </c>
      <c r="H20" s="841" t="s">
        <v>4092</v>
      </c>
      <c r="I20" s="2183"/>
      <c r="J20" s="841" t="s">
        <v>2927</v>
      </c>
      <c r="K20" s="713" t="s">
        <v>238</v>
      </c>
      <c r="L20" s="1808"/>
      <c r="M20" s="2152" t="s">
        <v>2483</v>
      </c>
      <c r="N20" s="836">
        <v>2521760.48</v>
      </c>
      <c r="O20" s="836">
        <v>2882838.4</v>
      </c>
      <c r="P20" s="836">
        <v>3256209.36</v>
      </c>
      <c r="Q20" s="836">
        <v>6067217.8399999999</v>
      </c>
      <c r="R20" s="836">
        <v>5896320.4799999995</v>
      </c>
      <c r="S20" s="836">
        <v>0</v>
      </c>
      <c r="T20" s="836">
        <v>0</v>
      </c>
      <c r="U20" s="836">
        <v>0</v>
      </c>
      <c r="V20" s="836">
        <v>0</v>
      </c>
      <c r="W20" s="836">
        <v>1577606.8</v>
      </c>
      <c r="X20" s="836">
        <v>1577606.8</v>
      </c>
      <c r="Y20" s="1808"/>
      <c r="Z20" s="2284"/>
      <c r="AA20" s="2284"/>
      <c r="AB20" s="2284"/>
      <c r="AC20" s="2284"/>
      <c r="AD20" s="2284"/>
    </row>
    <row r="21" spans="1:42">
      <c r="A21" s="2157">
        <v>110</v>
      </c>
      <c r="B21" s="841">
        <f>T18</f>
        <v>0</v>
      </c>
      <c r="C21" s="841">
        <f t="shared" ref="C21:F21" si="3">U18</f>
        <v>0</v>
      </c>
      <c r="D21" s="841">
        <f t="shared" si="3"/>
        <v>0</v>
      </c>
      <c r="E21" s="841">
        <f t="shared" si="3"/>
        <v>1577606.8</v>
      </c>
      <c r="F21" s="841">
        <f t="shared" si="3"/>
        <v>1577606.8</v>
      </c>
      <c r="G21" s="841" t="s">
        <v>513</v>
      </c>
      <c r="H21" s="841" t="s">
        <v>4093</v>
      </c>
      <c r="I21" s="2183"/>
      <c r="J21" s="841" t="s">
        <v>2927</v>
      </c>
      <c r="K21" s="712" t="s">
        <v>238</v>
      </c>
      <c r="L21" s="1808"/>
      <c r="M21" s="1808"/>
      <c r="N21" s="1808"/>
      <c r="O21" s="1808"/>
      <c r="P21" s="1808"/>
      <c r="Q21" s="1808"/>
      <c r="R21" s="1808"/>
      <c r="S21" s="1808"/>
      <c r="T21" s="1808"/>
      <c r="U21" s="1808"/>
      <c r="V21" s="1808"/>
      <c r="W21" s="1808"/>
      <c r="X21" s="1808"/>
      <c r="Y21" s="1808"/>
      <c r="Z21" s="2284"/>
      <c r="AA21" s="2284"/>
      <c r="AB21" s="2284"/>
      <c r="AC21" s="2284"/>
      <c r="AD21" s="2284"/>
    </row>
    <row r="22" spans="1:42">
      <c r="K22" s="712" t="s">
        <v>238</v>
      </c>
      <c r="L22" s="1808"/>
      <c r="M22" s="1808"/>
      <c r="N22" s="1808"/>
      <c r="O22" s="1808"/>
      <c r="P22" s="1808"/>
      <c r="Q22" s="1808"/>
      <c r="R22" s="1808"/>
      <c r="S22" s="1808"/>
      <c r="T22" s="1808"/>
      <c r="U22" s="1808"/>
      <c r="V22" s="1808"/>
      <c r="W22" s="1808"/>
      <c r="X22" s="1808"/>
      <c r="Y22" s="1808"/>
      <c r="Z22" s="2284"/>
      <c r="AA22" s="2284"/>
      <c r="AB22" s="2284"/>
      <c r="AC22" s="2284"/>
      <c r="AD22" s="2284"/>
    </row>
    <row r="23" spans="1:42">
      <c r="H23" s="841"/>
      <c r="K23" s="712" t="s">
        <v>238</v>
      </c>
      <c r="L23" s="1808"/>
      <c r="M23" s="1788" t="s">
        <v>1887</v>
      </c>
      <c r="N23" s="1844">
        <v>12514378.314580001</v>
      </c>
      <c r="O23" s="1844">
        <v>13019200.256999999</v>
      </c>
      <c r="P23" s="1844">
        <v>13408882.626179999</v>
      </c>
      <c r="Q23" s="1844">
        <v>17151228.65992</v>
      </c>
      <c r="R23" s="1844">
        <v>20380054.194700003</v>
      </c>
      <c r="S23" s="1844">
        <v>0</v>
      </c>
      <c r="T23" s="1844">
        <v>2044038.4774200004</v>
      </c>
      <c r="U23" s="1844">
        <v>2165809.0521000004</v>
      </c>
      <c r="V23" s="1844">
        <v>2234950.1270800005</v>
      </c>
      <c r="W23" s="1844">
        <v>4632711.8926000008</v>
      </c>
      <c r="X23" s="1844">
        <v>5046069.84932</v>
      </c>
      <c r="Y23" s="1808"/>
      <c r="Z23" s="836">
        <v>97780881.050900012</v>
      </c>
      <c r="AA23" s="2284"/>
      <c r="AB23" s="2284">
        <v>108547059.11590001</v>
      </c>
      <c r="AC23" s="2284"/>
      <c r="AD23" s="2284"/>
    </row>
    <row r="24" spans="1:42">
      <c r="K24" s="712" t="s">
        <v>238</v>
      </c>
      <c r="L24" s="1808"/>
      <c r="M24" s="1808"/>
      <c r="N24" s="1808"/>
      <c r="O24" s="1808"/>
      <c r="P24" s="1808"/>
      <c r="Q24" s="1808"/>
      <c r="R24" s="1808"/>
      <c r="S24" s="1808"/>
      <c r="T24" s="1808"/>
      <c r="U24" s="1808"/>
      <c r="V24" s="1808"/>
      <c r="W24" s="1808"/>
      <c r="X24" s="1808"/>
      <c r="Y24" s="1808"/>
      <c r="Z24" s="2284"/>
      <c r="AA24" s="2284"/>
      <c r="AB24" s="2284"/>
      <c r="AC24" s="2284"/>
      <c r="AD24" s="2284"/>
    </row>
    <row r="25" spans="1:42">
      <c r="K25" s="712" t="s">
        <v>238</v>
      </c>
      <c r="L25" s="1808"/>
      <c r="M25" s="1808"/>
      <c r="N25" s="1808"/>
      <c r="O25" s="1808"/>
      <c r="P25" s="1808"/>
      <c r="Q25" s="1808"/>
      <c r="R25" s="1808"/>
      <c r="S25" s="1808"/>
      <c r="T25" s="1808"/>
      <c r="U25" s="1808"/>
      <c r="V25" s="1808"/>
      <c r="W25" s="1808"/>
      <c r="X25" s="1808"/>
      <c r="Y25" s="1808"/>
      <c r="Z25" s="1808"/>
      <c r="AA25" s="2284"/>
      <c r="AB25" s="2284"/>
      <c r="AC25" s="2284"/>
      <c r="AD25" s="2284"/>
    </row>
    <row r="26" spans="1:42">
      <c r="K26" s="712" t="s">
        <v>238</v>
      </c>
      <c r="L26" s="1808"/>
      <c r="M26" s="1808"/>
      <c r="N26" s="1808"/>
      <c r="O26" s="1808"/>
      <c r="P26" s="1808"/>
      <c r="Q26" s="1808" t="s">
        <v>3995</v>
      </c>
      <c r="R26" s="734"/>
      <c r="S26" s="734"/>
      <c r="T26" s="734"/>
      <c r="U26" s="734"/>
      <c r="V26" s="734"/>
      <c r="W26" s="734"/>
      <c r="X26" s="734"/>
      <c r="Y26" s="1808"/>
      <c r="Z26" s="1808"/>
      <c r="AA26" s="1808"/>
      <c r="AB26" s="1808"/>
      <c r="AC26" s="1808"/>
      <c r="AD26" s="1808"/>
      <c r="AE26" s="1808"/>
      <c r="AF26" s="1808"/>
      <c r="AG26" s="1808"/>
      <c r="AH26" s="1808"/>
      <c r="AI26" s="1808"/>
      <c r="AJ26" s="1808"/>
      <c r="AK26" s="1808"/>
      <c r="AL26" s="1808"/>
      <c r="AM26" s="1808"/>
      <c r="AN26" s="1808"/>
      <c r="AO26" s="1808"/>
      <c r="AP26" s="1808"/>
    </row>
    <row r="27" spans="1:42" ht="16" thickBot="1">
      <c r="K27" s="712" t="s">
        <v>238</v>
      </c>
      <c r="L27" s="1808"/>
      <c r="M27" s="1808"/>
      <c r="N27" s="1808"/>
      <c r="O27" s="1808"/>
      <c r="P27" s="1808"/>
      <c r="Q27" s="1808"/>
      <c r="R27" s="734" t="s">
        <v>238</v>
      </c>
      <c r="S27" s="734"/>
      <c r="T27" s="734"/>
      <c r="U27" s="734" t="s">
        <v>238</v>
      </c>
      <c r="V27" s="734"/>
      <c r="W27" s="734"/>
      <c r="X27" s="734"/>
      <c r="Y27" s="1808" t="s">
        <v>238</v>
      </c>
      <c r="Z27" s="1808"/>
      <c r="AA27" s="1808"/>
      <c r="AB27" s="1808" t="s">
        <v>238</v>
      </c>
      <c r="AC27" s="1808"/>
      <c r="AD27" s="1808"/>
      <c r="AE27" s="1808" t="s">
        <v>238</v>
      </c>
      <c r="AF27" s="1808" t="s">
        <v>238</v>
      </c>
      <c r="AG27" s="1808"/>
      <c r="AH27" s="1808"/>
      <c r="AI27" s="1808"/>
      <c r="AJ27" s="1808" t="s">
        <v>238</v>
      </c>
      <c r="AK27" s="1808"/>
      <c r="AL27" s="1808">
        <v>0</v>
      </c>
      <c r="AM27" s="1808"/>
      <c r="AN27" s="1808"/>
      <c r="AO27" s="1808"/>
      <c r="AP27" s="1808"/>
    </row>
    <row r="28" spans="1:42" ht="16" thickBot="1">
      <c r="K28" s="712" t="s">
        <v>238</v>
      </c>
      <c r="L28" s="1808"/>
      <c r="M28" s="1808"/>
      <c r="N28" s="1808">
        <v>15</v>
      </c>
      <c r="O28" s="1808" t="s">
        <v>3213</v>
      </c>
      <c r="P28" s="1808"/>
      <c r="Q28" s="1808"/>
      <c r="R28" s="734"/>
      <c r="S28" s="734"/>
      <c r="T28" s="734" t="s">
        <v>3996</v>
      </c>
      <c r="U28" s="734"/>
      <c r="V28" s="734"/>
      <c r="W28" s="734" t="s">
        <v>3997</v>
      </c>
      <c r="X28" s="734"/>
      <c r="Y28" s="734"/>
      <c r="Z28" s="734" t="s">
        <v>238</v>
      </c>
      <c r="AA28" s="1758" t="s">
        <v>3221</v>
      </c>
      <c r="AB28" s="966"/>
      <c r="AC28" s="967"/>
      <c r="AD28" s="1758" t="s">
        <v>3222</v>
      </c>
      <c r="AE28" s="966"/>
      <c r="AF28" s="967"/>
      <c r="AG28" s="1808" t="s">
        <v>238</v>
      </c>
      <c r="AH28" s="1808"/>
      <c r="AI28" s="1808"/>
      <c r="AJ28" s="1808"/>
      <c r="AK28" s="1808"/>
      <c r="AL28" s="1808"/>
      <c r="AM28" s="1808"/>
      <c r="AN28" s="1808"/>
      <c r="AO28" s="1808"/>
      <c r="AP28" s="1808"/>
    </row>
    <row r="29" spans="1:42">
      <c r="K29" s="712" t="s">
        <v>238</v>
      </c>
      <c r="L29" s="1808"/>
      <c r="M29" s="1808"/>
      <c r="N29" s="1808" t="s">
        <v>453</v>
      </c>
      <c r="O29" s="1808" t="s">
        <v>331</v>
      </c>
      <c r="P29" s="1808"/>
      <c r="Q29" s="1808"/>
      <c r="R29" s="2491" t="s">
        <v>3998</v>
      </c>
      <c r="S29" s="2491" t="s">
        <v>3999</v>
      </c>
      <c r="T29" s="2491">
        <v>2021</v>
      </c>
      <c r="U29" s="2492">
        <v>2022</v>
      </c>
      <c r="V29" s="2493">
        <v>2023</v>
      </c>
      <c r="W29" s="2491">
        <v>2021</v>
      </c>
      <c r="X29" s="2492">
        <v>2022</v>
      </c>
      <c r="Y29" s="2493">
        <v>2023</v>
      </c>
      <c r="Z29" s="734" t="s">
        <v>238</v>
      </c>
      <c r="AA29" s="1049" t="s">
        <v>4000</v>
      </c>
      <c r="AB29" s="1808" t="s">
        <v>4001</v>
      </c>
      <c r="AC29" s="62" t="s">
        <v>4002</v>
      </c>
      <c r="AD29" s="1049" t="s">
        <v>4000</v>
      </c>
      <c r="AE29" s="1808" t="s">
        <v>4001</v>
      </c>
      <c r="AF29" s="62" t="s">
        <v>4002</v>
      </c>
      <c r="AG29" s="1808" t="s">
        <v>238</v>
      </c>
      <c r="AH29" s="413"/>
      <c r="AI29" s="1808"/>
      <c r="AJ29" s="1808"/>
      <c r="AK29" s="413"/>
      <c r="AL29" s="413"/>
      <c r="AM29" s="413"/>
      <c r="AN29" s="413"/>
      <c r="AO29" s="413"/>
      <c r="AP29" s="413"/>
    </row>
    <row r="30" spans="1:42">
      <c r="K30" s="712" t="s">
        <v>238</v>
      </c>
      <c r="L30" s="1808"/>
      <c r="M30" s="958" t="s">
        <v>3213</v>
      </c>
      <c r="N30" s="958" t="s">
        <v>4003</v>
      </c>
      <c r="O30" s="958" t="s">
        <v>668</v>
      </c>
      <c r="P30" s="958" t="s">
        <v>535</v>
      </c>
      <c r="Q30" s="1006" t="s">
        <v>238</v>
      </c>
      <c r="R30" s="1028">
        <v>1901.6</v>
      </c>
      <c r="S30" s="2494" t="s">
        <v>443</v>
      </c>
      <c r="T30" s="1007">
        <v>30</v>
      </c>
      <c r="U30" s="946">
        <v>25</v>
      </c>
      <c r="V30" s="1008">
        <v>20</v>
      </c>
      <c r="W30" s="1007">
        <v>10</v>
      </c>
      <c r="X30" s="946">
        <v>10</v>
      </c>
      <c r="Y30" s="1008">
        <v>10</v>
      </c>
      <c r="Z30" s="2495" t="s">
        <v>238</v>
      </c>
      <c r="AA30" s="1539">
        <v>57048</v>
      </c>
      <c r="AB30" s="958">
        <v>47540</v>
      </c>
      <c r="AC30" s="1540">
        <v>38032</v>
      </c>
      <c r="AD30" s="1539">
        <v>19016</v>
      </c>
      <c r="AE30" s="958">
        <v>19016</v>
      </c>
      <c r="AF30" s="1540">
        <v>19016</v>
      </c>
      <c r="AG30" s="1565" t="s">
        <v>4004</v>
      </c>
      <c r="AH30" s="1808"/>
      <c r="AI30" s="1808"/>
      <c r="AJ30" s="1808">
        <v>1901.6</v>
      </c>
      <c r="AK30" s="2494" t="s">
        <v>443</v>
      </c>
      <c r="AL30" s="1808">
        <v>0</v>
      </c>
      <c r="AM30" s="1808"/>
      <c r="AN30" s="1808"/>
      <c r="AO30" s="1808"/>
      <c r="AP30" s="1808"/>
    </row>
    <row r="31" spans="1:42">
      <c r="K31" s="712" t="s">
        <v>238</v>
      </c>
      <c r="L31" s="1808"/>
      <c r="M31" s="958" t="s">
        <v>3213</v>
      </c>
      <c r="N31" s="958" t="s">
        <v>4005</v>
      </c>
      <c r="O31" s="958" t="s">
        <v>4006</v>
      </c>
      <c r="P31" s="958" t="s">
        <v>535</v>
      </c>
      <c r="Q31" s="1006" t="s">
        <v>238</v>
      </c>
      <c r="R31" s="1028">
        <v>6118</v>
      </c>
      <c r="S31" s="2494" t="s">
        <v>443</v>
      </c>
      <c r="T31" s="1007">
        <v>10</v>
      </c>
      <c r="U31" s="946">
        <v>5</v>
      </c>
      <c r="V31" s="1008">
        <v>5</v>
      </c>
      <c r="W31" s="1007">
        <v>5</v>
      </c>
      <c r="X31" s="946">
        <v>5</v>
      </c>
      <c r="Y31" s="1008">
        <v>5</v>
      </c>
      <c r="Z31" s="2495" t="s">
        <v>238</v>
      </c>
      <c r="AA31" s="1539">
        <v>61180</v>
      </c>
      <c r="AB31" s="958">
        <v>30590</v>
      </c>
      <c r="AC31" s="1540">
        <v>30590</v>
      </c>
      <c r="AD31" s="1539">
        <v>30590</v>
      </c>
      <c r="AE31" s="958">
        <v>30590</v>
      </c>
      <c r="AF31" s="1540">
        <v>30590</v>
      </c>
      <c r="AG31" s="1565" t="s">
        <v>4004</v>
      </c>
      <c r="AH31" s="1808"/>
      <c r="AI31" s="1808"/>
      <c r="AJ31" s="1808">
        <v>6118</v>
      </c>
      <c r="AK31" s="2494" t="s">
        <v>443</v>
      </c>
      <c r="AL31" s="1808">
        <v>0</v>
      </c>
      <c r="AM31" s="1808"/>
      <c r="AN31" s="1808"/>
      <c r="AO31" s="1808"/>
      <c r="AP31" s="1808"/>
    </row>
    <row r="32" spans="1:42">
      <c r="K32" s="712" t="s">
        <v>238</v>
      </c>
      <c r="L32" s="1808"/>
      <c r="M32" s="958" t="s">
        <v>3213</v>
      </c>
      <c r="N32" s="958" t="s">
        <v>4007</v>
      </c>
      <c r="O32" s="958" t="s">
        <v>840</v>
      </c>
      <c r="P32" s="958" t="s">
        <v>535</v>
      </c>
      <c r="Q32" s="1006" t="s">
        <v>238</v>
      </c>
      <c r="R32" s="1028">
        <v>1276</v>
      </c>
      <c r="S32" s="2494" t="s">
        <v>443</v>
      </c>
      <c r="T32" s="1007">
        <v>10</v>
      </c>
      <c r="U32" s="946">
        <v>5</v>
      </c>
      <c r="V32" s="1008">
        <v>5</v>
      </c>
      <c r="W32" s="1007">
        <v>5</v>
      </c>
      <c r="X32" s="946">
        <v>5</v>
      </c>
      <c r="Y32" s="1008">
        <v>5</v>
      </c>
      <c r="Z32" s="2495" t="s">
        <v>238</v>
      </c>
      <c r="AA32" s="1539">
        <v>12760</v>
      </c>
      <c r="AB32" s="958">
        <v>6380</v>
      </c>
      <c r="AC32" s="1540">
        <v>6380</v>
      </c>
      <c r="AD32" s="1539">
        <v>6380</v>
      </c>
      <c r="AE32" s="958">
        <v>6380</v>
      </c>
      <c r="AF32" s="1540">
        <v>6380</v>
      </c>
      <c r="AG32" s="1565" t="s">
        <v>4004</v>
      </c>
      <c r="AH32" s="1808"/>
      <c r="AI32" s="1808"/>
      <c r="AJ32" s="1808">
        <v>1276</v>
      </c>
      <c r="AK32" s="2494" t="s">
        <v>443</v>
      </c>
      <c r="AL32" s="1808">
        <v>0</v>
      </c>
      <c r="AM32" s="1808"/>
      <c r="AN32" s="1808"/>
      <c r="AO32" s="1808"/>
      <c r="AP32" s="1808"/>
    </row>
    <row r="33" spans="11:42">
      <c r="K33" s="712" t="s">
        <v>238</v>
      </c>
      <c r="L33" s="1808"/>
      <c r="M33" s="958" t="s">
        <v>3213</v>
      </c>
      <c r="N33" s="958" t="s">
        <v>4008</v>
      </c>
      <c r="O33" s="958" t="s">
        <v>4009</v>
      </c>
      <c r="P33" s="958" t="s">
        <v>535</v>
      </c>
      <c r="Q33" s="1006" t="s">
        <v>238</v>
      </c>
      <c r="R33" s="1028">
        <v>10875</v>
      </c>
      <c r="S33" s="2494" t="s">
        <v>443</v>
      </c>
      <c r="T33" s="1007">
        <v>10</v>
      </c>
      <c r="U33" s="946">
        <v>5</v>
      </c>
      <c r="V33" s="1008">
        <v>5</v>
      </c>
      <c r="W33" s="1007">
        <v>5</v>
      </c>
      <c r="X33" s="946">
        <v>5</v>
      </c>
      <c r="Y33" s="1008">
        <v>5</v>
      </c>
      <c r="Z33" s="2495" t="s">
        <v>238</v>
      </c>
      <c r="AA33" s="1539">
        <v>108750</v>
      </c>
      <c r="AB33" s="958">
        <v>54375</v>
      </c>
      <c r="AC33" s="1540">
        <v>54375</v>
      </c>
      <c r="AD33" s="1539">
        <v>54375</v>
      </c>
      <c r="AE33" s="958">
        <v>54375</v>
      </c>
      <c r="AF33" s="1540">
        <v>54375</v>
      </c>
      <c r="AG33" s="1565" t="s">
        <v>4004</v>
      </c>
      <c r="AH33" s="1808"/>
      <c r="AI33" s="1808"/>
      <c r="AJ33" s="1808">
        <v>10875</v>
      </c>
      <c r="AK33" s="2494" t="s">
        <v>443</v>
      </c>
      <c r="AL33" s="1808">
        <v>0</v>
      </c>
      <c r="AM33" s="1808"/>
      <c r="AN33" s="1808"/>
      <c r="AO33" s="1808"/>
      <c r="AP33" s="1808"/>
    </row>
    <row r="34" spans="11:42">
      <c r="K34" s="712" t="s">
        <v>238</v>
      </c>
      <c r="L34" s="1808"/>
      <c r="M34" s="958" t="s">
        <v>3213</v>
      </c>
      <c r="N34" s="958" t="s">
        <v>896</v>
      </c>
      <c r="O34" s="958" t="s">
        <v>896</v>
      </c>
      <c r="P34" s="958" t="s">
        <v>296</v>
      </c>
      <c r="Q34" s="1006" t="s">
        <v>238</v>
      </c>
      <c r="R34" s="1028">
        <v>1.4477999999999998</v>
      </c>
      <c r="S34" s="2494" t="s">
        <v>443</v>
      </c>
      <c r="T34" s="1007">
        <v>1620</v>
      </c>
      <c r="U34" s="946">
        <v>1220</v>
      </c>
      <c r="V34" s="1008">
        <v>1015</v>
      </c>
      <c r="W34" s="1007">
        <v>215</v>
      </c>
      <c r="X34" s="946">
        <v>210</v>
      </c>
      <c r="Y34" s="1008">
        <v>210</v>
      </c>
      <c r="Z34" s="2495" t="s">
        <v>238</v>
      </c>
      <c r="AA34" s="1539">
        <v>2345.44</v>
      </c>
      <c r="AB34" s="958">
        <v>1766.32</v>
      </c>
      <c r="AC34" s="1540">
        <v>1469.52</v>
      </c>
      <c r="AD34" s="1539">
        <v>311.27999999999997</v>
      </c>
      <c r="AE34" s="958">
        <v>304.04000000000002</v>
      </c>
      <c r="AF34" s="1540">
        <v>304.04000000000002</v>
      </c>
      <c r="AG34" s="1565" t="s">
        <v>4004</v>
      </c>
      <c r="AH34" s="1808"/>
      <c r="AI34" s="1808"/>
      <c r="AJ34" s="1808">
        <v>1.4477999999999998</v>
      </c>
      <c r="AK34" s="2494" t="s">
        <v>443</v>
      </c>
      <c r="AL34" s="1808">
        <v>0</v>
      </c>
      <c r="AM34" s="1808"/>
      <c r="AN34" s="1808"/>
      <c r="AO34" s="1808"/>
      <c r="AP34" s="1808"/>
    </row>
    <row r="35" spans="11:42">
      <c r="K35" s="712" t="s">
        <v>238</v>
      </c>
      <c r="L35" s="1808"/>
      <c r="M35" s="958" t="s">
        <v>3213</v>
      </c>
      <c r="N35" s="958" t="s">
        <v>4010</v>
      </c>
      <c r="O35" s="958" t="s">
        <v>961</v>
      </c>
      <c r="P35" s="958" t="s">
        <v>535</v>
      </c>
      <c r="Q35" s="1006" t="s">
        <v>238</v>
      </c>
      <c r="R35" s="1028">
        <v>128</v>
      </c>
      <c r="S35" s="2494" t="s">
        <v>443</v>
      </c>
      <c r="T35" s="1007">
        <v>65</v>
      </c>
      <c r="U35" s="946">
        <v>50</v>
      </c>
      <c r="V35" s="1008">
        <v>40</v>
      </c>
      <c r="W35" s="1007">
        <v>15</v>
      </c>
      <c r="X35" s="946">
        <v>15</v>
      </c>
      <c r="Y35" s="1008">
        <v>10</v>
      </c>
      <c r="Z35" s="2495" t="s">
        <v>238</v>
      </c>
      <c r="AA35" s="1539">
        <v>8320</v>
      </c>
      <c r="AB35" s="958">
        <v>6400</v>
      </c>
      <c r="AC35" s="1540">
        <v>5120</v>
      </c>
      <c r="AD35" s="1539">
        <v>1920</v>
      </c>
      <c r="AE35" s="958">
        <v>1920</v>
      </c>
      <c r="AF35" s="1540">
        <v>1280</v>
      </c>
      <c r="AG35" s="1565" t="s">
        <v>4004</v>
      </c>
      <c r="AH35" s="1808"/>
      <c r="AI35" s="1808"/>
      <c r="AJ35" s="1808">
        <v>128</v>
      </c>
      <c r="AK35" s="2494" t="s">
        <v>443</v>
      </c>
      <c r="AL35" s="1808">
        <v>0</v>
      </c>
      <c r="AM35" s="1808"/>
      <c r="AN35" s="1808"/>
      <c r="AO35" s="1808"/>
      <c r="AP35" s="1808"/>
    </row>
    <row r="36" spans="11:42">
      <c r="K36" s="712" t="s">
        <v>238</v>
      </c>
      <c r="L36" s="1808"/>
      <c r="M36" s="958" t="s">
        <v>3213</v>
      </c>
      <c r="N36" s="958" t="s">
        <v>4011</v>
      </c>
      <c r="O36" s="958" t="s">
        <v>970</v>
      </c>
      <c r="P36" s="958" t="s">
        <v>535</v>
      </c>
      <c r="Q36" s="1006" t="s">
        <v>238</v>
      </c>
      <c r="R36" s="1028">
        <v>346.8</v>
      </c>
      <c r="S36" s="2494" t="s">
        <v>443</v>
      </c>
      <c r="T36" s="1007">
        <v>55</v>
      </c>
      <c r="U36" s="946">
        <v>40</v>
      </c>
      <c r="V36" s="1008">
        <v>35</v>
      </c>
      <c r="W36" s="1007">
        <v>15</v>
      </c>
      <c r="X36" s="946">
        <v>15</v>
      </c>
      <c r="Y36" s="1008">
        <v>15</v>
      </c>
      <c r="Z36" s="2495" t="s">
        <v>238</v>
      </c>
      <c r="AA36" s="1539">
        <v>19074</v>
      </c>
      <c r="AB36" s="958">
        <v>13872</v>
      </c>
      <c r="AC36" s="1540">
        <v>12138</v>
      </c>
      <c r="AD36" s="1539">
        <v>5202</v>
      </c>
      <c r="AE36" s="958">
        <v>5202</v>
      </c>
      <c r="AF36" s="1540">
        <v>5202</v>
      </c>
      <c r="AG36" s="1565" t="s">
        <v>4004</v>
      </c>
      <c r="AH36" s="1808"/>
      <c r="AI36" s="1808"/>
      <c r="AJ36" s="1808">
        <v>346.8</v>
      </c>
      <c r="AK36" s="2494" t="s">
        <v>443</v>
      </c>
      <c r="AL36" s="1808">
        <v>0</v>
      </c>
      <c r="AM36" s="1808"/>
      <c r="AN36" s="1808"/>
      <c r="AO36" s="1808"/>
      <c r="AP36" s="1808"/>
    </row>
    <row r="37" spans="11:42">
      <c r="K37" s="712" t="s">
        <v>238</v>
      </c>
      <c r="L37" s="1808"/>
      <c r="M37" s="958" t="s">
        <v>3213</v>
      </c>
      <c r="N37" s="958" t="s">
        <v>4012</v>
      </c>
      <c r="O37" s="958" t="s">
        <v>1228</v>
      </c>
      <c r="P37" s="958" t="s">
        <v>535</v>
      </c>
      <c r="Q37" s="1006" t="s">
        <v>238</v>
      </c>
      <c r="R37" s="1028">
        <v>144</v>
      </c>
      <c r="S37" s="2494" t="s">
        <v>443</v>
      </c>
      <c r="T37" s="1007">
        <v>35</v>
      </c>
      <c r="U37" s="946">
        <v>25</v>
      </c>
      <c r="V37" s="1008">
        <v>20</v>
      </c>
      <c r="W37" s="1007">
        <v>5</v>
      </c>
      <c r="X37" s="946">
        <v>5</v>
      </c>
      <c r="Y37" s="1008">
        <v>5</v>
      </c>
      <c r="Z37" s="2495" t="s">
        <v>238</v>
      </c>
      <c r="AA37" s="1539">
        <v>5040</v>
      </c>
      <c r="AB37" s="958">
        <v>3600</v>
      </c>
      <c r="AC37" s="1540">
        <v>2880</v>
      </c>
      <c r="AD37" s="1539">
        <v>720</v>
      </c>
      <c r="AE37" s="958">
        <v>720</v>
      </c>
      <c r="AF37" s="1540">
        <v>720</v>
      </c>
      <c r="AG37" s="1565" t="s">
        <v>4004</v>
      </c>
      <c r="AH37" s="1808"/>
      <c r="AI37" s="1808"/>
      <c r="AJ37" s="1808">
        <v>144</v>
      </c>
      <c r="AK37" s="2494" t="s">
        <v>443</v>
      </c>
      <c r="AL37" s="1808">
        <v>0</v>
      </c>
      <c r="AM37" s="1808"/>
      <c r="AN37" s="1808"/>
      <c r="AO37" s="1808"/>
      <c r="AP37" s="1808"/>
    </row>
    <row r="38" spans="11:42">
      <c r="K38" s="712" t="s">
        <v>238</v>
      </c>
      <c r="L38" s="1808"/>
      <c r="M38" s="958" t="s">
        <v>3213</v>
      </c>
      <c r="N38" s="958" t="s">
        <v>4013</v>
      </c>
      <c r="O38" s="958" t="s">
        <v>1235</v>
      </c>
      <c r="P38" s="958" t="s">
        <v>535</v>
      </c>
      <c r="Q38" s="1006" t="s">
        <v>238</v>
      </c>
      <c r="R38" s="1028">
        <v>160</v>
      </c>
      <c r="S38" s="2494" t="s">
        <v>443</v>
      </c>
      <c r="T38" s="1007">
        <v>50</v>
      </c>
      <c r="U38" s="946">
        <v>35</v>
      </c>
      <c r="V38" s="1008">
        <v>30</v>
      </c>
      <c r="W38" s="1007">
        <v>20</v>
      </c>
      <c r="X38" s="946">
        <v>20</v>
      </c>
      <c r="Y38" s="1008">
        <v>20</v>
      </c>
      <c r="Z38" s="2495" t="s">
        <v>238</v>
      </c>
      <c r="AA38" s="1539">
        <v>8000</v>
      </c>
      <c r="AB38" s="958">
        <v>5600</v>
      </c>
      <c r="AC38" s="1540">
        <v>4800</v>
      </c>
      <c r="AD38" s="1539">
        <v>3200</v>
      </c>
      <c r="AE38" s="958">
        <v>3200</v>
      </c>
      <c r="AF38" s="1540">
        <v>3200</v>
      </c>
      <c r="AG38" s="1565" t="s">
        <v>4004</v>
      </c>
      <c r="AH38" s="1808"/>
      <c r="AI38" s="1808"/>
      <c r="AJ38" s="1808">
        <v>160</v>
      </c>
      <c r="AK38" s="2494" t="s">
        <v>443</v>
      </c>
      <c r="AL38" s="1808">
        <v>0</v>
      </c>
      <c r="AM38" s="1808"/>
      <c r="AN38" s="1808"/>
      <c r="AO38" s="1808"/>
      <c r="AP38" s="1808"/>
    </row>
    <row r="39" spans="11:42">
      <c r="K39" s="712" t="s">
        <v>238</v>
      </c>
      <c r="L39" s="1808"/>
      <c r="M39" s="958" t="s">
        <v>3213</v>
      </c>
      <c r="N39" s="958" t="s">
        <v>4014</v>
      </c>
      <c r="O39" s="958" t="s">
        <v>1286</v>
      </c>
      <c r="P39" s="958" t="s">
        <v>535</v>
      </c>
      <c r="Q39" s="1006" t="s">
        <v>238</v>
      </c>
      <c r="R39" s="1028">
        <v>476</v>
      </c>
      <c r="S39" s="2494" t="s">
        <v>443</v>
      </c>
      <c r="T39" s="1007">
        <v>45</v>
      </c>
      <c r="U39" s="946">
        <v>35</v>
      </c>
      <c r="V39" s="1008">
        <v>30</v>
      </c>
      <c r="W39" s="1007">
        <v>15</v>
      </c>
      <c r="X39" s="946">
        <v>15</v>
      </c>
      <c r="Y39" s="1008">
        <v>15</v>
      </c>
      <c r="Z39" s="2495" t="s">
        <v>238</v>
      </c>
      <c r="AA39" s="1539">
        <v>21420</v>
      </c>
      <c r="AB39" s="958">
        <v>16660</v>
      </c>
      <c r="AC39" s="1540">
        <v>14280</v>
      </c>
      <c r="AD39" s="1539">
        <v>7140</v>
      </c>
      <c r="AE39" s="958">
        <v>7140</v>
      </c>
      <c r="AF39" s="1540">
        <v>7140</v>
      </c>
      <c r="AG39" s="1565" t="s">
        <v>4004</v>
      </c>
      <c r="AH39" s="1808"/>
      <c r="AI39" s="1808"/>
      <c r="AJ39" s="1808">
        <v>476</v>
      </c>
      <c r="AK39" s="2494" t="s">
        <v>443</v>
      </c>
      <c r="AL39" s="1808">
        <v>0</v>
      </c>
      <c r="AM39" s="1808"/>
      <c r="AN39" s="1808"/>
      <c r="AO39" s="1808"/>
      <c r="AP39" s="1808"/>
    </row>
    <row r="40" spans="11:42">
      <c r="K40" s="712" t="s">
        <v>238</v>
      </c>
      <c r="L40" s="1808"/>
      <c r="M40" s="958" t="s">
        <v>3213</v>
      </c>
      <c r="N40" s="958" t="s">
        <v>4015</v>
      </c>
      <c r="O40" s="958" t="s">
        <v>3241</v>
      </c>
      <c r="P40" s="958" t="s">
        <v>535</v>
      </c>
      <c r="Q40" s="1006" t="s">
        <v>238</v>
      </c>
      <c r="R40" s="1028">
        <v>4433.3999999999996</v>
      </c>
      <c r="S40" s="2494" t="s">
        <v>443</v>
      </c>
      <c r="T40" s="1007">
        <v>10</v>
      </c>
      <c r="U40" s="946">
        <v>5</v>
      </c>
      <c r="V40" s="1008">
        <v>5</v>
      </c>
      <c r="W40" s="1007">
        <v>5</v>
      </c>
      <c r="X40" s="946">
        <v>5</v>
      </c>
      <c r="Y40" s="1008">
        <v>5</v>
      </c>
      <c r="Z40" s="2495" t="s">
        <v>238</v>
      </c>
      <c r="AA40" s="1539">
        <v>44334</v>
      </c>
      <c r="AB40" s="958">
        <v>22167</v>
      </c>
      <c r="AC40" s="1540">
        <v>22167</v>
      </c>
      <c r="AD40" s="1539">
        <v>22167</v>
      </c>
      <c r="AE40" s="958">
        <v>22167</v>
      </c>
      <c r="AF40" s="1540">
        <v>22167</v>
      </c>
      <c r="AG40" s="1565" t="s">
        <v>4004</v>
      </c>
      <c r="AH40" s="1808"/>
      <c r="AI40" s="1808"/>
      <c r="AJ40" s="1808">
        <v>4433.3999999999996</v>
      </c>
      <c r="AK40" s="2494" t="s">
        <v>443</v>
      </c>
      <c r="AL40" s="1808">
        <v>0</v>
      </c>
      <c r="AM40" s="1808"/>
      <c r="AN40" s="1808"/>
      <c r="AO40" s="1808"/>
      <c r="AP40" s="1808"/>
    </row>
    <row r="41" spans="11:42">
      <c r="K41" s="712" t="s">
        <v>238</v>
      </c>
      <c r="L41" s="1808"/>
      <c r="M41" s="958" t="s">
        <v>3213</v>
      </c>
      <c r="N41" s="958" t="s">
        <v>4016</v>
      </c>
      <c r="O41" s="958" t="s">
        <v>1364</v>
      </c>
      <c r="P41" s="958" t="s">
        <v>535</v>
      </c>
      <c r="Q41" s="1006" t="s">
        <v>238</v>
      </c>
      <c r="R41" s="1028">
        <v>3160</v>
      </c>
      <c r="S41" s="2494" t="s">
        <v>443</v>
      </c>
      <c r="T41" s="1007">
        <v>45</v>
      </c>
      <c r="U41" s="946">
        <v>35</v>
      </c>
      <c r="V41" s="1008">
        <v>30</v>
      </c>
      <c r="W41" s="1007">
        <v>15</v>
      </c>
      <c r="X41" s="946">
        <v>15</v>
      </c>
      <c r="Y41" s="1008">
        <v>15</v>
      </c>
      <c r="Z41" s="2495" t="s">
        <v>238</v>
      </c>
      <c r="AA41" s="1539">
        <v>142200</v>
      </c>
      <c r="AB41" s="958">
        <v>110600</v>
      </c>
      <c r="AC41" s="1540">
        <v>94800</v>
      </c>
      <c r="AD41" s="1539">
        <v>47400</v>
      </c>
      <c r="AE41" s="958">
        <v>47400</v>
      </c>
      <c r="AF41" s="1540">
        <v>47400</v>
      </c>
      <c r="AG41" s="1565" t="s">
        <v>4004</v>
      </c>
      <c r="AH41" s="1808"/>
      <c r="AI41" s="1808"/>
      <c r="AJ41" s="1808">
        <v>3160</v>
      </c>
      <c r="AK41" s="2494" t="s">
        <v>443</v>
      </c>
      <c r="AL41" s="1808">
        <v>0</v>
      </c>
      <c r="AM41" s="1808"/>
      <c r="AN41" s="1808"/>
      <c r="AO41" s="1808"/>
      <c r="AP41" s="1808"/>
    </row>
    <row r="42" spans="11:42">
      <c r="K42" s="712" t="s">
        <v>238</v>
      </c>
      <c r="L42" s="1808"/>
      <c r="M42" s="958" t="s">
        <v>3213</v>
      </c>
      <c r="N42" s="958" t="s">
        <v>4017</v>
      </c>
      <c r="O42" s="958" t="s">
        <v>1535</v>
      </c>
      <c r="P42" s="958" t="s">
        <v>535</v>
      </c>
      <c r="Q42" s="1006" t="s">
        <v>238</v>
      </c>
      <c r="R42" s="1028">
        <v>822.4</v>
      </c>
      <c r="S42" s="2494" t="s">
        <v>443</v>
      </c>
      <c r="T42" s="1007">
        <v>35</v>
      </c>
      <c r="U42" s="946">
        <v>25</v>
      </c>
      <c r="V42" s="1008">
        <v>25</v>
      </c>
      <c r="W42" s="1007">
        <v>5</v>
      </c>
      <c r="X42" s="946">
        <v>5</v>
      </c>
      <c r="Y42" s="1008">
        <v>5</v>
      </c>
      <c r="Z42" s="2495" t="s">
        <v>238</v>
      </c>
      <c r="AA42" s="1539">
        <v>28784</v>
      </c>
      <c r="AB42" s="958">
        <v>20560</v>
      </c>
      <c r="AC42" s="1540">
        <v>20560</v>
      </c>
      <c r="AD42" s="1539">
        <v>4112</v>
      </c>
      <c r="AE42" s="958">
        <v>4112</v>
      </c>
      <c r="AF42" s="1540">
        <v>4112</v>
      </c>
      <c r="AG42" s="1565" t="s">
        <v>4004</v>
      </c>
      <c r="AH42" s="1808"/>
      <c r="AI42" s="1808"/>
      <c r="AJ42" s="1808">
        <v>822.4</v>
      </c>
      <c r="AK42" s="2494" t="s">
        <v>443</v>
      </c>
      <c r="AL42" s="1808">
        <v>0</v>
      </c>
      <c r="AM42" s="1808"/>
      <c r="AN42" s="1808"/>
      <c r="AO42" s="1808"/>
      <c r="AP42" s="1808"/>
    </row>
    <row r="43" spans="11:42">
      <c r="K43" s="712" t="s">
        <v>238</v>
      </c>
      <c r="L43" s="1808"/>
      <c r="M43" s="958" t="s">
        <v>3216</v>
      </c>
      <c r="N43" s="958" t="s">
        <v>4018</v>
      </c>
      <c r="O43" s="958" t="s">
        <v>4018</v>
      </c>
      <c r="P43" s="958" t="s">
        <v>3645</v>
      </c>
      <c r="Q43" s="1006" t="s">
        <v>238</v>
      </c>
      <c r="R43" s="1028">
        <v>7.5</v>
      </c>
      <c r="S43" s="2494" t="s">
        <v>447</v>
      </c>
      <c r="T43" s="1007">
        <v>2868</v>
      </c>
      <c r="U43" s="946">
        <v>2081</v>
      </c>
      <c r="V43" s="1008">
        <v>1682</v>
      </c>
      <c r="W43" s="1007">
        <v>906</v>
      </c>
      <c r="X43" s="946">
        <v>699</v>
      </c>
      <c r="Y43" s="1008">
        <v>598</v>
      </c>
      <c r="Z43" s="2495" t="s">
        <v>238</v>
      </c>
      <c r="AA43" s="1539">
        <v>21510</v>
      </c>
      <c r="AB43" s="958">
        <v>15607.5</v>
      </c>
      <c r="AC43" s="1540">
        <v>12615</v>
      </c>
      <c r="AD43" s="1539">
        <v>6795</v>
      </c>
      <c r="AE43" s="958">
        <v>5242.5</v>
      </c>
      <c r="AF43" s="1540">
        <v>4485</v>
      </c>
      <c r="AG43" s="1565" t="s">
        <v>4019</v>
      </c>
      <c r="AH43" s="1808"/>
      <c r="AI43" s="1808"/>
      <c r="AJ43" s="1808">
        <v>7.5</v>
      </c>
      <c r="AK43" s="2494" t="s">
        <v>447</v>
      </c>
      <c r="AL43" s="1808">
        <v>0</v>
      </c>
      <c r="AM43" s="1808"/>
      <c r="AN43" s="1808"/>
      <c r="AO43" s="1808"/>
      <c r="AP43" s="1808"/>
    </row>
    <row r="44" spans="11:42">
      <c r="K44" s="712" t="s">
        <v>238</v>
      </c>
      <c r="L44" s="1808"/>
      <c r="M44" s="958" t="s">
        <v>3216</v>
      </c>
      <c r="N44" s="958" t="s">
        <v>4020</v>
      </c>
      <c r="O44" s="958" t="s">
        <v>4020</v>
      </c>
      <c r="P44" s="958" t="s">
        <v>3217</v>
      </c>
      <c r="Q44" s="1006" t="s">
        <v>238</v>
      </c>
      <c r="R44" s="1028">
        <v>7.5</v>
      </c>
      <c r="S44" s="2494" t="s">
        <v>447</v>
      </c>
      <c r="T44" s="1007">
        <v>1165</v>
      </c>
      <c r="U44" s="946">
        <v>841</v>
      </c>
      <c r="V44" s="1008">
        <v>679</v>
      </c>
      <c r="W44" s="1007">
        <v>627</v>
      </c>
      <c r="X44" s="946">
        <v>488</v>
      </c>
      <c r="Y44" s="1008">
        <v>422</v>
      </c>
      <c r="Z44" s="2495" t="s">
        <v>238</v>
      </c>
      <c r="AA44" s="1539">
        <v>8737.5</v>
      </c>
      <c r="AB44" s="958">
        <v>6307.5</v>
      </c>
      <c r="AC44" s="1540">
        <v>5092.5</v>
      </c>
      <c r="AD44" s="1539">
        <v>4702.5</v>
      </c>
      <c r="AE44" s="958">
        <v>3660</v>
      </c>
      <c r="AF44" s="1540">
        <v>3165</v>
      </c>
      <c r="AG44" s="1565" t="s">
        <v>4019</v>
      </c>
      <c r="AH44" s="1808"/>
      <c r="AI44" s="1808"/>
      <c r="AJ44" s="1808">
        <v>7.5</v>
      </c>
      <c r="AK44" s="2494" t="s">
        <v>447</v>
      </c>
      <c r="AL44" s="1808">
        <v>0</v>
      </c>
      <c r="AM44" s="1808"/>
      <c r="AN44" s="1808"/>
      <c r="AO44" s="1808"/>
      <c r="AP44" s="1808"/>
    </row>
    <row r="45" spans="11:42">
      <c r="K45" s="712" t="s">
        <v>238</v>
      </c>
      <c r="L45" s="1808"/>
      <c r="M45" s="958" t="s">
        <v>3216</v>
      </c>
      <c r="N45" s="958" t="s">
        <v>4021</v>
      </c>
      <c r="O45" s="958" t="s">
        <v>4021</v>
      </c>
      <c r="P45" s="958" t="s">
        <v>3217</v>
      </c>
      <c r="Q45" s="1006" t="s">
        <v>238</v>
      </c>
      <c r="R45" s="1028">
        <v>7.5</v>
      </c>
      <c r="S45" s="2494" t="s">
        <v>447</v>
      </c>
      <c r="T45" s="1007">
        <v>320</v>
      </c>
      <c r="U45" s="946">
        <v>240</v>
      </c>
      <c r="V45" s="1008">
        <v>200</v>
      </c>
      <c r="W45" s="1007">
        <v>0</v>
      </c>
      <c r="X45" s="946">
        <v>0</v>
      </c>
      <c r="Y45" s="1008">
        <v>0</v>
      </c>
      <c r="Z45" s="2495" t="s">
        <v>238</v>
      </c>
      <c r="AA45" s="1539">
        <v>2400</v>
      </c>
      <c r="AB45" s="958">
        <v>1800</v>
      </c>
      <c r="AC45" s="1540">
        <v>1500</v>
      </c>
      <c r="AD45" s="1539">
        <v>0</v>
      </c>
      <c r="AE45" s="958">
        <v>0</v>
      </c>
      <c r="AF45" s="1540">
        <v>0</v>
      </c>
      <c r="AG45" s="1565" t="s">
        <v>4019</v>
      </c>
      <c r="AH45" s="1808"/>
      <c r="AI45" s="1808"/>
      <c r="AJ45" s="1808">
        <v>7.5</v>
      </c>
      <c r="AK45" s="2494" t="s">
        <v>447</v>
      </c>
      <c r="AL45" s="1808">
        <v>0</v>
      </c>
      <c r="AM45" s="1808"/>
      <c r="AN45" s="1808"/>
      <c r="AO45" s="1808"/>
      <c r="AP45" s="1808"/>
    </row>
    <row r="46" spans="11:42">
      <c r="K46" s="712" t="s">
        <v>238</v>
      </c>
      <c r="L46" s="1808"/>
      <c r="M46" s="958" t="s">
        <v>3216</v>
      </c>
      <c r="N46" s="958" t="s">
        <v>4022</v>
      </c>
      <c r="O46" s="958" t="s">
        <v>4022</v>
      </c>
      <c r="P46" s="958" t="s">
        <v>3217</v>
      </c>
      <c r="Q46" s="1006" t="s">
        <v>238</v>
      </c>
      <c r="R46" s="1028">
        <v>7.5</v>
      </c>
      <c r="S46" s="2494" t="s">
        <v>447</v>
      </c>
      <c r="T46" s="1007">
        <v>480</v>
      </c>
      <c r="U46" s="946">
        <v>360</v>
      </c>
      <c r="V46" s="1008">
        <v>300</v>
      </c>
      <c r="W46" s="1007">
        <v>0</v>
      </c>
      <c r="X46" s="946">
        <v>0</v>
      </c>
      <c r="Y46" s="1008">
        <v>0</v>
      </c>
      <c r="Z46" s="2495" t="s">
        <v>238</v>
      </c>
      <c r="AA46" s="1539">
        <v>3600</v>
      </c>
      <c r="AB46" s="958">
        <v>2700</v>
      </c>
      <c r="AC46" s="1540">
        <v>2250</v>
      </c>
      <c r="AD46" s="1539">
        <v>0</v>
      </c>
      <c r="AE46" s="958">
        <v>0</v>
      </c>
      <c r="AF46" s="1540">
        <v>0</v>
      </c>
      <c r="AG46" s="1565" t="s">
        <v>4019</v>
      </c>
      <c r="AH46" s="1808"/>
      <c r="AI46" s="1808"/>
      <c r="AJ46" s="1808">
        <v>7.5</v>
      </c>
      <c r="AK46" s="2494" t="s">
        <v>447</v>
      </c>
      <c r="AL46" s="1808">
        <v>0</v>
      </c>
      <c r="AM46" s="1808"/>
      <c r="AN46" s="1808"/>
      <c r="AO46" s="1808"/>
      <c r="AP46" s="1808"/>
    </row>
    <row r="47" spans="11:42">
      <c r="K47" s="712" t="s">
        <v>238</v>
      </c>
      <c r="L47" s="1808"/>
      <c r="M47" s="958" t="s">
        <v>3216</v>
      </c>
      <c r="N47" s="958" t="s">
        <v>4023</v>
      </c>
      <c r="O47" s="958" t="s">
        <v>1596</v>
      </c>
      <c r="P47" s="958" t="s">
        <v>1803</v>
      </c>
      <c r="Q47" s="1006" t="s">
        <v>238</v>
      </c>
      <c r="R47" s="1028">
        <v>600</v>
      </c>
      <c r="S47" s="2494" t="s">
        <v>443</v>
      </c>
      <c r="T47" s="1007">
        <v>0</v>
      </c>
      <c r="U47" s="946">
        <v>0</v>
      </c>
      <c r="V47" s="1008">
        <v>0</v>
      </c>
      <c r="W47" s="1007">
        <v>2</v>
      </c>
      <c r="X47" s="946">
        <v>1</v>
      </c>
      <c r="Y47" s="1008">
        <v>1</v>
      </c>
      <c r="Z47" s="2495" t="s">
        <v>238</v>
      </c>
      <c r="AA47" s="1539">
        <v>0</v>
      </c>
      <c r="AB47" s="958">
        <v>0</v>
      </c>
      <c r="AC47" s="1540">
        <v>0</v>
      </c>
      <c r="AD47" s="1539">
        <v>1200</v>
      </c>
      <c r="AE47" s="958">
        <v>600</v>
      </c>
      <c r="AF47" s="1540">
        <v>600</v>
      </c>
      <c r="AG47" s="1565" t="s">
        <v>4004</v>
      </c>
      <c r="AH47" s="1808"/>
      <c r="AI47" s="1808"/>
      <c r="AJ47" s="1808">
        <v>600</v>
      </c>
      <c r="AK47" s="2494" t="s">
        <v>443</v>
      </c>
      <c r="AL47" s="1808">
        <v>0</v>
      </c>
      <c r="AM47" s="1808"/>
      <c r="AN47" s="1808"/>
      <c r="AO47" s="1808"/>
      <c r="AP47" s="1808"/>
    </row>
    <row r="48" spans="11:42">
      <c r="K48" s="712" t="s">
        <v>238</v>
      </c>
      <c r="L48" s="1808"/>
      <c r="M48" s="958" t="s">
        <v>3216</v>
      </c>
      <c r="N48" s="958" t="s">
        <v>4024</v>
      </c>
      <c r="O48" s="958" t="s">
        <v>3241</v>
      </c>
      <c r="P48" s="958" t="s">
        <v>3645</v>
      </c>
      <c r="Q48" s="1006" t="s">
        <v>238</v>
      </c>
      <c r="R48" s="1028">
        <v>27.28</v>
      </c>
      <c r="S48" s="2494" t="s">
        <v>443</v>
      </c>
      <c r="T48" s="1007">
        <v>190</v>
      </c>
      <c r="U48" s="946">
        <v>137</v>
      </c>
      <c r="V48" s="1008">
        <v>111</v>
      </c>
      <c r="W48" s="1007">
        <v>679</v>
      </c>
      <c r="X48" s="946">
        <v>528</v>
      </c>
      <c r="Y48" s="1008">
        <v>457</v>
      </c>
      <c r="Z48" s="2495" t="s">
        <v>238</v>
      </c>
      <c r="AA48" s="1539">
        <v>5183.2</v>
      </c>
      <c r="AB48" s="958">
        <v>3737.36</v>
      </c>
      <c r="AC48" s="1540">
        <v>3028.08</v>
      </c>
      <c r="AD48" s="1539">
        <v>18523.12</v>
      </c>
      <c r="AE48" s="958">
        <v>14403.84</v>
      </c>
      <c r="AF48" s="1540">
        <v>12466.96</v>
      </c>
      <c r="AG48" s="1565" t="s">
        <v>4004</v>
      </c>
      <c r="AH48" s="1808"/>
      <c r="AI48" s="1808"/>
      <c r="AJ48" s="1808">
        <v>27.28</v>
      </c>
      <c r="AK48" s="2494" t="s">
        <v>443</v>
      </c>
      <c r="AL48" s="1808">
        <v>0</v>
      </c>
      <c r="AM48" s="1808"/>
      <c r="AN48" s="1808"/>
      <c r="AO48" s="1808"/>
      <c r="AP48" s="1808"/>
    </row>
    <row r="49" spans="11:42">
      <c r="K49" s="712" t="s">
        <v>238</v>
      </c>
      <c r="L49" s="1808"/>
      <c r="M49" s="958" t="s">
        <v>3216</v>
      </c>
      <c r="N49" s="958" t="s">
        <v>4025</v>
      </c>
      <c r="O49" s="958" t="s">
        <v>1370</v>
      </c>
      <c r="P49" s="958" t="s">
        <v>535</v>
      </c>
      <c r="Q49" s="1006" t="s">
        <v>238</v>
      </c>
      <c r="R49" s="1028">
        <v>8.8000000000000007</v>
      </c>
      <c r="S49" s="2494" t="s">
        <v>443</v>
      </c>
      <c r="T49" s="1007">
        <v>1882</v>
      </c>
      <c r="U49" s="946">
        <v>1366</v>
      </c>
      <c r="V49" s="1008">
        <v>1104</v>
      </c>
      <c r="W49" s="1007">
        <v>626</v>
      </c>
      <c r="X49" s="946">
        <v>482</v>
      </c>
      <c r="Y49" s="1008">
        <v>414</v>
      </c>
      <c r="Z49" s="2495" t="s">
        <v>238</v>
      </c>
      <c r="AA49" s="1539">
        <v>16561.599999999999</v>
      </c>
      <c r="AB49" s="958">
        <v>12020.8</v>
      </c>
      <c r="AC49" s="1540">
        <v>9715.2000000000007</v>
      </c>
      <c r="AD49" s="1539">
        <v>5508.8</v>
      </c>
      <c r="AE49" s="958">
        <v>4241.6000000000004</v>
      </c>
      <c r="AF49" s="1540">
        <v>3643.2</v>
      </c>
      <c r="AG49" s="1565" t="s">
        <v>4004</v>
      </c>
      <c r="AH49" s="1808"/>
      <c r="AI49" s="1808"/>
      <c r="AJ49" s="1808">
        <v>8.8000000000000007</v>
      </c>
      <c r="AK49" s="2494" t="s">
        <v>443</v>
      </c>
      <c r="AL49" s="1808">
        <v>0</v>
      </c>
      <c r="AM49" s="1808"/>
      <c r="AN49" s="1808"/>
      <c r="AO49" s="1808"/>
      <c r="AP49" s="1808"/>
    </row>
    <row r="50" spans="11:42">
      <c r="K50" s="712" t="s">
        <v>238</v>
      </c>
      <c r="L50" s="1808"/>
      <c r="M50" s="958" t="s">
        <v>3216</v>
      </c>
      <c r="N50" s="958" t="s">
        <v>4026</v>
      </c>
      <c r="O50" s="958" t="s">
        <v>4027</v>
      </c>
      <c r="P50" s="958" t="s">
        <v>3645</v>
      </c>
      <c r="Q50" s="1006" t="s">
        <v>238</v>
      </c>
      <c r="R50" s="1028">
        <v>14.83</v>
      </c>
      <c r="S50" s="2494" t="s">
        <v>443</v>
      </c>
      <c r="T50" s="1007">
        <v>5633</v>
      </c>
      <c r="U50" s="946">
        <v>4085</v>
      </c>
      <c r="V50" s="1008">
        <v>3300</v>
      </c>
      <c r="W50" s="1007">
        <v>12964</v>
      </c>
      <c r="X50" s="946">
        <v>9997</v>
      </c>
      <c r="Y50" s="1008">
        <v>8588</v>
      </c>
      <c r="Z50" s="2495" t="s">
        <v>238</v>
      </c>
      <c r="AA50" s="1539">
        <v>83537.39</v>
      </c>
      <c r="AB50" s="958">
        <v>60580.55</v>
      </c>
      <c r="AC50" s="1540">
        <v>48939</v>
      </c>
      <c r="AD50" s="1539">
        <v>192256.12</v>
      </c>
      <c r="AE50" s="958">
        <v>148255.51</v>
      </c>
      <c r="AF50" s="1540">
        <v>127360.04</v>
      </c>
      <c r="AG50" s="1565" t="s">
        <v>4004</v>
      </c>
      <c r="AH50" s="1808"/>
      <c r="AI50" s="1808"/>
      <c r="AJ50" s="1808">
        <v>14.83</v>
      </c>
      <c r="AK50" s="2494" t="s">
        <v>443</v>
      </c>
      <c r="AL50" s="1808">
        <v>0</v>
      </c>
      <c r="AM50" s="1808"/>
      <c r="AN50" s="1808"/>
      <c r="AO50" s="1808"/>
      <c r="AP50" s="1808"/>
    </row>
    <row r="51" spans="11:42">
      <c r="K51" s="712" t="s">
        <v>238</v>
      </c>
      <c r="L51" s="1808"/>
      <c r="M51" s="958" t="s">
        <v>3216</v>
      </c>
      <c r="N51" s="958" t="s">
        <v>4028</v>
      </c>
      <c r="O51" s="958" t="s">
        <v>4029</v>
      </c>
      <c r="P51" s="958" t="s">
        <v>3645</v>
      </c>
      <c r="Q51" s="1006" t="s">
        <v>238</v>
      </c>
      <c r="R51" s="1028">
        <v>21.74</v>
      </c>
      <c r="S51" s="2494" t="s">
        <v>443</v>
      </c>
      <c r="T51" s="1007">
        <v>453</v>
      </c>
      <c r="U51" s="946">
        <v>329</v>
      </c>
      <c r="V51" s="1008">
        <v>266</v>
      </c>
      <c r="W51" s="1007">
        <v>954</v>
      </c>
      <c r="X51" s="946">
        <v>735</v>
      </c>
      <c r="Y51" s="1008">
        <v>629</v>
      </c>
      <c r="Z51" s="2495" t="s">
        <v>238</v>
      </c>
      <c r="AA51" s="1539">
        <v>9848.2199999999993</v>
      </c>
      <c r="AB51" s="958">
        <v>7152.46</v>
      </c>
      <c r="AC51" s="1540">
        <v>5782.84</v>
      </c>
      <c r="AD51" s="1539">
        <v>20739.96</v>
      </c>
      <c r="AE51" s="958">
        <v>15978.9</v>
      </c>
      <c r="AF51" s="1540">
        <v>13674.46</v>
      </c>
      <c r="AG51" s="1565" t="s">
        <v>4004</v>
      </c>
      <c r="AH51" s="1808"/>
      <c r="AI51" s="1808"/>
      <c r="AJ51" s="1808">
        <v>21.74</v>
      </c>
      <c r="AK51" s="2494" t="s">
        <v>443</v>
      </c>
      <c r="AL51" s="1808">
        <v>0</v>
      </c>
      <c r="AM51" s="1808"/>
      <c r="AN51" s="1808"/>
      <c r="AO51" s="1808"/>
      <c r="AP51" s="1808"/>
    </row>
    <row r="52" spans="11:42">
      <c r="K52" s="712" t="s">
        <v>238</v>
      </c>
      <c r="L52" s="1808"/>
      <c r="M52" s="958" t="s">
        <v>3216</v>
      </c>
      <c r="N52" s="958" t="s">
        <v>4030</v>
      </c>
      <c r="O52" s="958" t="s">
        <v>4031</v>
      </c>
      <c r="P52" s="958" t="s">
        <v>3645</v>
      </c>
      <c r="Q52" s="1006" t="s">
        <v>238</v>
      </c>
      <c r="R52" s="1028">
        <v>27.28</v>
      </c>
      <c r="S52" s="2494" t="s">
        <v>443</v>
      </c>
      <c r="T52" s="1007">
        <v>453</v>
      </c>
      <c r="U52" s="946">
        <v>329</v>
      </c>
      <c r="V52" s="1008">
        <v>266</v>
      </c>
      <c r="W52" s="1007">
        <v>954</v>
      </c>
      <c r="X52" s="946">
        <v>735</v>
      </c>
      <c r="Y52" s="1008">
        <v>629</v>
      </c>
      <c r="Z52" s="2495" t="s">
        <v>238</v>
      </c>
      <c r="AA52" s="1539">
        <v>12357.84</v>
      </c>
      <c r="AB52" s="958">
        <v>8975.1200000000008</v>
      </c>
      <c r="AC52" s="1540">
        <v>7256.48</v>
      </c>
      <c r="AD52" s="1539">
        <v>26025.119999999999</v>
      </c>
      <c r="AE52" s="958">
        <v>20050.8</v>
      </c>
      <c r="AF52" s="1540">
        <v>17159.12</v>
      </c>
      <c r="AG52" s="1565" t="s">
        <v>4004</v>
      </c>
      <c r="AH52" s="1808"/>
      <c r="AI52" s="1808"/>
      <c r="AJ52" s="1808">
        <v>21.74</v>
      </c>
      <c r="AK52" s="2494" t="s">
        <v>443</v>
      </c>
      <c r="AL52" s="1808">
        <v>5.5400000000000027</v>
      </c>
      <c r="AM52" s="1808"/>
      <c r="AN52" s="1808"/>
      <c r="AO52" s="1808"/>
      <c r="AP52" s="1808"/>
    </row>
    <row r="53" spans="11:42">
      <c r="K53" s="712" t="s">
        <v>238</v>
      </c>
      <c r="L53" s="1808"/>
      <c r="M53" s="958" t="s">
        <v>3216</v>
      </c>
      <c r="N53" s="958" t="s">
        <v>4032</v>
      </c>
      <c r="O53" s="958" t="s">
        <v>4033</v>
      </c>
      <c r="P53" s="958" t="s">
        <v>3645</v>
      </c>
      <c r="Q53" s="1006" t="s">
        <v>238</v>
      </c>
      <c r="R53" s="1028">
        <v>27.28</v>
      </c>
      <c r="S53" s="2494" t="s">
        <v>443</v>
      </c>
      <c r="T53" s="1007">
        <v>190</v>
      </c>
      <c r="U53" s="946">
        <v>137</v>
      </c>
      <c r="V53" s="1008">
        <v>111</v>
      </c>
      <c r="W53" s="1007">
        <v>679</v>
      </c>
      <c r="X53" s="946">
        <v>528</v>
      </c>
      <c r="Y53" s="1008">
        <v>457</v>
      </c>
      <c r="Z53" s="2495" t="s">
        <v>238</v>
      </c>
      <c r="AA53" s="1539">
        <v>5183.2</v>
      </c>
      <c r="AB53" s="958">
        <v>3737.36</v>
      </c>
      <c r="AC53" s="1540">
        <v>3028.08</v>
      </c>
      <c r="AD53" s="1539">
        <v>18523.12</v>
      </c>
      <c r="AE53" s="958">
        <v>14403.84</v>
      </c>
      <c r="AF53" s="1540">
        <v>12466.96</v>
      </c>
      <c r="AG53" s="1565" t="s">
        <v>4004</v>
      </c>
      <c r="AH53" s="1808"/>
      <c r="AI53" s="1808"/>
      <c r="AJ53" s="1808">
        <v>27.28</v>
      </c>
      <c r="AK53" s="2494" t="s">
        <v>443</v>
      </c>
      <c r="AL53" s="1808">
        <v>0</v>
      </c>
      <c r="AM53" s="1808"/>
      <c r="AN53" s="1808"/>
      <c r="AO53" s="1808"/>
      <c r="AP53" s="1808"/>
    </row>
    <row r="54" spans="11:42">
      <c r="K54" s="712" t="s">
        <v>238</v>
      </c>
      <c r="L54" s="1808"/>
      <c r="M54" s="958" t="s">
        <v>3216</v>
      </c>
      <c r="N54" s="958" t="s">
        <v>4034</v>
      </c>
      <c r="O54" s="958" t="s">
        <v>4035</v>
      </c>
      <c r="P54" s="958" t="s">
        <v>3645</v>
      </c>
      <c r="Q54" s="1006" t="s">
        <v>238</v>
      </c>
      <c r="R54" s="1028">
        <v>21.74</v>
      </c>
      <c r="S54" s="2494" t="s">
        <v>443</v>
      </c>
      <c r="T54" s="1007">
        <v>453</v>
      </c>
      <c r="U54" s="946">
        <v>329</v>
      </c>
      <c r="V54" s="1008">
        <v>266</v>
      </c>
      <c r="W54" s="1007">
        <v>954</v>
      </c>
      <c r="X54" s="946">
        <v>735</v>
      </c>
      <c r="Y54" s="1008">
        <v>629</v>
      </c>
      <c r="Z54" s="2495" t="s">
        <v>238</v>
      </c>
      <c r="AA54" s="1539">
        <v>9848.2199999999993</v>
      </c>
      <c r="AB54" s="958">
        <v>7152.46</v>
      </c>
      <c r="AC54" s="1540">
        <v>5782.84</v>
      </c>
      <c r="AD54" s="1539">
        <v>20739.96</v>
      </c>
      <c r="AE54" s="958">
        <v>15978.9</v>
      </c>
      <c r="AF54" s="1540">
        <v>13674.46</v>
      </c>
      <c r="AG54" s="1565" t="s">
        <v>4004</v>
      </c>
      <c r="AH54" s="1808"/>
      <c r="AI54" s="1808"/>
      <c r="AJ54" s="1808">
        <v>21.74</v>
      </c>
      <c r="AK54" s="2494" t="s">
        <v>443</v>
      </c>
      <c r="AL54" s="1808">
        <v>0</v>
      </c>
      <c r="AM54" s="1808"/>
      <c r="AN54" s="1808"/>
      <c r="AO54" s="1808"/>
      <c r="AP54" s="1808"/>
    </row>
    <row r="55" spans="11:42">
      <c r="K55" s="712" t="s">
        <v>238</v>
      </c>
      <c r="L55" s="1808"/>
      <c r="M55" s="958" t="s">
        <v>3216</v>
      </c>
      <c r="N55" s="958" t="s">
        <v>4036</v>
      </c>
      <c r="O55" s="958" t="s">
        <v>4037</v>
      </c>
      <c r="P55" s="958" t="s">
        <v>3645</v>
      </c>
      <c r="Q55" s="1006" t="s">
        <v>238</v>
      </c>
      <c r="R55" s="1028">
        <v>21.74</v>
      </c>
      <c r="S55" s="2494" t="s">
        <v>443</v>
      </c>
      <c r="T55" s="1007">
        <v>190</v>
      </c>
      <c r="U55" s="946">
        <v>137</v>
      </c>
      <c r="V55" s="1008">
        <v>111</v>
      </c>
      <c r="W55" s="1007">
        <v>679</v>
      </c>
      <c r="X55" s="946">
        <v>528</v>
      </c>
      <c r="Y55" s="1008">
        <v>457</v>
      </c>
      <c r="Z55" s="2495" t="s">
        <v>238</v>
      </c>
      <c r="AA55" s="1539">
        <v>4130.6000000000004</v>
      </c>
      <c r="AB55" s="958">
        <v>2978.38</v>
      </c>
      <c r="AC55" s="1540">
        <v>2413.14</v>
      </c>
      <c r="AD55" s="1539">
        <v>14761.46</v>
      </c>
      <c r="AE55" s="958">
        <v>11478.72</v>
      </c>
      <c r="AF55" s="1540">
        <v>9935.18</v>
      </c>
      <c r="AG55" s="1565" t="s">
        <v>4004</v>
      </c>
      <c r="AH55" s="1808"/>
      <c r="AI55" s="1808"/>
      <c r="AJ55" s="1808">
        <v>21.74</v>
      </c>
      <c r="AK55" s="2494" t="s">
        <v>443</v>
      </c>
      <c r="AL55" s="1808">
        <v>0</v>
      </c>
      <c r="AM55" s="1808"/>
      <c r="AN55" s="1808"/>
      <c r="AO55" s="1808"/>
      <c r="AP55" s="1808"/>
    </row>
    <row r="56" spans="11:42">
      <c r="K56" s="712" t="s">
        <v>238</v>
      </c>
      <c r="L56" s="1808"/>
      <c r="M56" s="958" t="s">
        <v>3216</v>
      </c>
      <c r="N56" s="958" t="s">
        <v>4038</v>
      </c>
      <c r="O56" s="958" t="s">
        <v>4039</v>
      </c>
      <c r="P56" s="958" t="s">
        <v>3645</v>
      </c>
      <c r="Q56" s="1006" t="s">
        <v>238</v>
      </c>
      <c r="R56" s="1028">
        <v>27.28</v>
      </c>
      <c r="S56" s="2494" t="s">
        <v>443</v>
      </c>
      <c r="T56" s="1007">
        <v>190</v>
      </c>
      <c r="U56" s="946">
        <v>137</v>
      </c>
      <c r="V56" s="1008">
        <v>111</v>
      </c>
      <c r="W56" s="1007">
        <v>679</v>
      </c>
      <c r="X56" s="946">
        <v>528</v>
      </c>
      <c r="Y56" s="1008">
        <v>457</v>
      </c>
      <c r="Z56" s="2495" t="s">
        <v>238</v>
      </c>
      <c r="AA56" s="1539">
        <v>5183.2</v>
      </c>
      <c r="AB56" s="958">
        <v>3737.36</v>
      </c>
      <c r="AC56" s="1540">
        <v>3028.08</v>
      </c>
      <c r="AD56" s="1539">
        <v>18523.12</v>
      </c>
      <c r="AE56" s="958">
        <v>14403.84</v>
      </c>
      <c r="AF56" s="1540">
        <v>12466.96</v>
      </c>
      <c r="AG56" s="1565" t="s">
        <v>4004</v>
      </c>
      <c r="AH56" s="1808"/>
      <c r="AI56" s="1808"/>
      <c r="AJ56" s="1808">
        <v>27.28</v>
      </c>
      <c r="AK56" s="2494" t="s">
        <v>443</v>
      </c>
      <c r="AL56" s="1808">
        <v>0</v>
      </c>
      <c r="AM56" s="1808"/>
      <c r="AN56" s="1808"/>
      <c r="AO56" s="1808"/>
      <c r="AP56" s="1808"/>
    </row>
    <row r="57" spans="11:42">
      <c r="K57" s="712" t="s">
        <v>238</v>
      </c>
      <c r="L57" s="1808"/>
      <c r="M57" s="958" t="s">
        <v>3216</v>
      </c>
      <c r="N57" s="958" t="s">
        <v>4040</v>
      </c>
      <c r="O57" s="958" t="s">
        <v>4041</v>
      </c>
      <c r="P57" s="958" t="s">
        <v>3645</v>
      </c>
      <c r="Q57" s="1006" t="s">
        <v>238</v>
      </c>
      <c r="R57" s="1028">
        <v>21.74</v>
      </c>
      <c r="S57" s="2494" t="s">
        <v>443</v>
      </c>
      <c r="T57" s="1007">
        <v>190</v>
      </c>
      <c r="U57" s="946">
        <v>137</v>
      </c>
      <c r="V57" s="1008">
        <v>111</v>
      </c>
      <c r="W57" s="1007">
        <v>679</v>
      </c>
      <c r="X57" s="946">
        <v>528</v>
      </c>
      <c r="Y57" s="1008">
        <v>457</v>
      </c>
      <c r="Z57" s="2495" t="s">
        <v>238</v>
      </c>
      <c r="AA57" s="1539">
        <v>4130.6000000000004</v>
      </c>
      <c r="AB57" s="958">
        <v>2978.38</v>
      </c>
      <c r="AC57" s="1540">
        <v>2413.14</v>
      </c>
      <c r="AD57" s="1539">
        <v>14761.46</v>
      </c>
      <c r="AE57" s="958">
        <v>11478.72</v>
      </c>
      <c r="AF57" s="1540">
        <v>9935.18</v>
      </c>
      <c r="AG57" s="1565" t="s">
        <v>4004</v>
      </c>
      <c r="AH57" s="1808"/>
      <c r="AI57" s="1808"/>
      <c r="AJ57" s="1808">
        <v>21.74</v>
      </c>
      <c r="AK57" s="2494" t="s">
        <v>443</v>
      </c>
      <c r="AL57" s="1808">
        <v>0</v>
      </c>
      <c r="AM57" s="1808"/>
      <c r="AN57" s="1808"/>
      <c r="AO57" s="1808"/>
      <c r="AP57" s="1808"/>
    </row>
    <row r="58" spans="11:42">
      <c r="K58" s="712" t="s">
        <v>238</v>
      </c>
      <c r="L58" s="1808"/>
      <c r="M58" s="958" t="s">
        <v>3216</v>
      </c>
      <c r="N58" s="958" t="s">
        <v>4042</v>
      </c>
      <c r="O58" s="958" t="s">
        <v>4043</v>
      </c>
      <c r="P58" s="958" t="s">
        <v>3645</v>
      </c>
      <c r="Q58" s="1006" t="s">
        <v>238</v>
      </c>
      <c r="R58" s="1028">
        <v>27.28</v>
      </c>
      <c r="S58" s="2494" t="s">
        <v>443</v>
      </c>
      <c r="T58" s="1007">
        <v>190</v>
      </c>
      <c r="U58" s="946">
        <v>137</v>
      </c>
      <c r="V58" s="1008">
        <v>111</v>
      </c>
      <c r="W58" s="1007">
        <v>679</v>
      </c>
      <c r="X58" s="946">
        <v>528</v>
      </c>
      <c r="Y58" s="1008">
        <v>457</v>
      </c>
      <c r="Z58" s="2495" t="s">
        <v>238</v>
      </c>
      <c r="AA58" s="1539">
        <v>5183.2</v>
      </c>
      <c r="AB58" s="958">
        <v>3737.36</v>
      </c>
      <c r="AC58" s="1540">
        <v>3028.08</v>
      </c>
      <c r="AD58" s="1539">
        <v>18523.12</v>
      </c>
      <c r="AE58" s="958">
        <v>14403.84</v>
      </c>
      <c r="AF58" s="1540">
        <v>12466.96</v>
      </c>
      <c r="AG58" s="1565" t="s">
        <v>4004</v>
      </c>
      <c r="AH58" s="1808"/>
      <c r="AI58" s="1808"/>
      <c r="AJ58" s="1808">
        <v>27.28</v>
      </c>
      <c r="AK58" s="2494" t="s">
        <v>443</v>
      </c>
      <c r="AL58" s="1808">
        <v>0</v>
      </c>
      <c r="AM58" s="1808"/>
      <c r="AN58" s="1808"/>
      <c r="AO58" s="1808"/>
      <c r="AP58" s="1808"/>
    </row>
    <row r="59" spans="11:42">
      <c r="K59" s="712" t="s">
        <v>238</v>
      </c>
      <c r="L59" s="1808"/>
      <c r="M59" s="958" t="s">
        <v>3217</v>
      </c>
      <c r="N59" s="958" t="s">
        <v>4044</v>
      </c>
      <c r="O59" s="958" t="s">
        <v>1516</v>
      </c>
      <c r="P59" s="958" t="s">
        <v>3217</v>
      </c>
      <c r="Q59" s="1006" t="s">
        <v>238</v>
      </c>
      <c r="R59" s="1028">
        <v>2.9</v>
      </c>
      <c r="S59" s="2494" t="s">
        <v>435</v>
      </c>
      <c r="T59" s="1007">
        <v>6757</v>
      </c>
      <c r="U59" s="946">
        <v>5940</v>
      </c>
      <c r="V59" s="1008">
        <v>5181</v>
      </c>
      <c r="W59" s="1007">
        <v>3906</v>
      </c>
      <c r="X59" s="946">
        <v>3876</v>
      </c>
      <c r="Y59" s="1008">
        <v>3888</v>
      </c>
      <c r="Z59" s="2495" t="s">
        <v>238</v>
      </c>
      <c r="AA59" s="1539">
        <v>19595.3</v>
      </c>
      <c r="AB59" s="958">
        <v>17226</v>
      </c>
      <c r="AC59" s="1540">
        <v>15024.9</v>
      </c>
      <c r="AD59" s="1539">
        <v>11327.4</v>
      </c>
      <c r="AE59" s="958">
        <v>11240.4</v>
      </c>
      <c r="AF59" s="1540">
        <v>11275.2</v>
      </c>
      <c r="AG59" s="1565" t="s">
        <v>4045</v>
      </c>
      <c r="AH59" s="1808"/>
      <c r="AI59" s="1808"/>
      <c r="AJ59" s="1808">
        <v>2.9</v>
      </c>
      <c r="AK59" s="2494" t="s">
        <v>435</v>
      </c>
      <c r="AL59" s="1808">
        <v>0</v>
      </c>
      <c r="AM59" s="1808"/>
      <c r="AN59" s="1808"/>
      <c r="AO59" s="1808"/>
      <c r="AP59" s="1808"/>
    </row>
    <row r="60" spans="11:42">
      <c r="K60" s="712" t="s">
        <v>238</v>
      </c>
      <c r="L60" s="1808"/>
      <c r="M60" s="958" t="s">
        <v>3217</v>
      </c>
      <c r="N60" s="958" t="s">
        <v>3219</v>
      </c>
      <c r="O60" s="958" t="s">
        <v>1038</v>
      </c>
      <c r="P60" s="958" t="s">
        <v>3217</v>
      </c>
      <c r="Q60" s="1006" t="s">
        <v>238</v>
      </c>
      <c r="R60" s="1028">
        <v>9.98</v>
      </c>
      <c r="S60" s="2494" t="s">
        <v>435</v>
      </c>
      <c r="T60" s="1007">
        <v>12787</v>
      </c>
      <c r="U60" s="946">
        <v>11960</v>
      </c>
      <c r="V60" s="1008">
        <v>11052</v>
      </c>
      <c r="W60" s="1007">
        <v>5594</v>
      </c>
      <c r="X60" s="946">
        <v>5856</v>
      </c>
      <c r="Y60" s="1008">
        <v>6169</v>
      </c>
      <c r="Z60" s="2495" t="s">
        <v>238</v>
      </c>
      <c r="AA60" s="1539">
        <v>127614.26</v>
      </c>
      <c r="AB60" s="958">
        <v>119360.8</v>
      </c>
      <c r="AC60" s="1540">
        <v>110298.96</v>
      </c>
      <c r="AD60" s="1539">
        <v>55828.12</v>
      </c>
      <c r="AE60" s="958">
        <v>58442.879999999997</v>
      </c>
      <c r="AF60" s="1540">
        <v>61566.62</v>
      </c>
      <c r="AG60" s="1565" t="s">
        <v>616</v>
      </c>
      <c r="AH60" s="1808"/>
      <c r="AI60" s="1808"/>
      <c r="AJ60" s="1808">
        <v>9.98</v>
      </c>
      <c r="AK60" s="2494" t="s">
        <v>435</v>
      </c>
      <c r="AL60" s="1808">
        <v>0</v>
      </c>
      <c r="AM60" s="1808"/>
      <c r="AN60" s="1808"/>
      <c r="AO60" s="1808"/>
      <c r="AP60" s="1808"/>
    </row>
    <row r="61" spans="11:42">
      <c r="K61" s="712" t="s">
        <v>238</v>
      </c>
      <c r="L61" s="1808"/>
      <c r="M61" s="958" t="s">
        <v>3214</v>
      </c>
      <c r="N61" s="958" t="s">
        <v>4046</v>
      </c>
      <c r="O61" s="958" t="s">
        <v>1311</v>
      </c>
      <c r="P61" s="958" t="s">
        <v>3645</v>
      </c>
      <c r="Q61" s="1006" t="s">
        <v>238</v>
      </c>
      <c r="R61" s="1028">
        <v>19460.6037</v>
      </c>
      <c r="S61" s="2494" t="s">
        <v>443</v>
      </c>
      <c r="T61" s="1007">
        <v>0</v>
      </c>
      <c r="U61" s="946">
        <v>7</v>
      </c>
      <c r="V61" s="1008">
        <v>0</v>
      </c>
      <c r="W61" s="1007">
        <v>0</v>
      </c>
      <c r="X61" s="946">
        <v>2</v>
      </c>
      <c r="Y61" s="1008">
        <v>0</v>
      </c>
      <c r="Z61" s="2495" t="s">
        <v>238</v>
      </c>
      <c r="AA61" s="1539">
        <v>0</v>
      </c>
      <c r="AB61" s="958">
        <v>136224.23000000001</v>
      </c>
      <c r="AC61" s="1540">
        <v>0</v>
      </c>
      <c r="AD61" s="1539">
        <v>0</v>
      </c>
      <c r="AE61" s="958">
        <v>38921.21</v>
      </c>
      <c r="AF61" s="1540">
        <v>0</v>
      </c>
      <c r="AG61" s="1565" t="s">
        <v>4004</v>
      </c>
      <c r="AH61" s="1808"/>
      <c r="AI61" s="1808"/>
      <c r="AJ61" s="1808">
        <v>19460.6037</v>
      </c>
      <c r="AK61" s="2494" t="s">
        <v>443</v>
      </c>
      <c r="AL61" s="1808">
        <v>0</v>
      </c>
      <c r="AM61" s="1808"/>
      <c r="AN61" s="1808"/>
      <c r="AO61" s="1808"/>
      <c r="AP61" s="1808"/>
    </row>
    <row r="62" spans="11:42">
      <c r="K62" s="712" t="s">
        <v>238</v>
      </c>
      <c r="L62" s="1808"/>
      <c r="M62" s="958" t="s">
        <v>3214</v>
      </c>
      <c r="N62" s="958" t="s">
        <v>4047</v>
      </c>
      <c r="O62" s="958" t="s">
        <v>1704</v>
      </c>
      <c r="P62" s="958" t="s">
        <v>3645</v>
      </c>
      <c r="Q62" s="1006" t="s">
        <v>238</v>
      </c>
      <c r="R62" s="1028">
        <v>48091.090000000004</v>
      </c>
      <c r="S62" s="2494" t="s">
        <v>443</v>
      </c>
      <c r="T62" s="1007">
        <v>0</v>
      </c>
      <c r="U62" s="946">
        <v>6</v>
      </c>
      <c r="V62" s="1008">
        <v>0</v>
      </c>
      <c r="W62" s="1007">
        <v>0</v>
      </c>
      <c r="X62" s="946">
        <v>2</v>
      </c>
      <c r="Y62" s="1008">
        <v>0</v>
      </c>
      <c r="Z62" s="2495" t="s">
        <v>238</v>
      </c>
      <c r="AA62" s="1539">
        <v>0</v>
      </c>
      <c r="AB62" s="958">
        <v>288546.53999999998</v>
      </c>
      <c r="AC62" s="1540">
        <v>0</v>
      </c>
      <c r="AD62" s="1539">
        <v>0</v>
      </c>
      <c r="AE62" s="958">
        <v>96182.18</v>
      </c>
      <c r="AF62" s="1540">
        <v>0</v>
      </c>
      <c r="AG62" s="1565" t="s">
        <v>4004</v>
      </c>
      <c r="AH62" s="1808"/>
      <c r="AI62" s="1808"/>
      <c r="AJ62" s="1808">
        <v>48091.090000000004</v>
      </c>
      <c r="AK62" s="2494" t="s">
        <v>443</v>
      </c>
      <c r="AL62" s="1808">
        <v>0</v>
      </c>
      <c r="AM62" s="1808"/>
      <c r="AN62" s="1808"/>
      <c r="AO62" s="1808"/>
      <c r="AP62" s="1808"/>
    </row>
    <row r="63" spans="11:42">
      <c r="K63" s="712" t="s">
        <v>238</v>
      </c>
      <c r="L63" s="1808"/>
      <c r="M63" s="958" t="s">
        <v>3214</v>
      </c>
      <c r="N63" s="958" t="s">
        <v>4048</v>
      </c>
      <c r="O63" s="958" t="s">
        <v>732</v>
      </c>
      <c r="P63" s="958" t="s">
        <v>3645</v>
      </c>
      <c r="Q63" s="1006" t="s">
        <v>238</v>
      </c>
      <c r="R63" s="1028">
        <v>41683.550000000003</v>
      </c>
      <c r="S63" s="2494" t="s">
        <v>435</v>
      </c>
      <c r="T63" s="1007">
        <v>0</v>
      </c>
      <c r="U63" s="946">
        <v>0</v>
      </c>
      <c r="V63" s="1008">
        <v>3</v>
      </c>
      <c r="W63" s="1007">
        <v>0</v>
      </c>
      <c r="X63" s="946">
        <v>0</v>
      </c>
      <c r="Y63" s="1008">
        <v>1</v>
      </c>
      <c r="Z63" s="2495" t="s">
        <v>238</v>
      </c>
      <c r="AA63" s="1539">
        <v>0</v>
      </c>
      <c r="AB63" s="958">
        <v>0</v>
      </c>
      <c r="AC63" s="1540">
        <v>125050.65</v>
      </c>
      <c r="AD63" s="1539">
        <v>0</v>
      </c>
      <c r="AE63" s="958">
        <v>0</v>
      </c>
      <c r="AF63" s="1540">
        <v>41683.550000000003</v>
      </c>
      <c r="AG63" s="1565" t="s">
        <v>4045</v>
      </c>
      <c r="AH63" s="1808"/>
      <c r="AI63" s="1808"/>
      <c r="AJ63" s="1808">
        <v>41682.75</v>
      </c>
      <c r="AK63" s="2494" t="s">
        <v>435</v>
      </c>
      <c r="AL63" s="1808">
        <v>0.80000000000291038</v>
      </c>
      <c r="AM63" s="1808"/>
      <c r="AN63" s="1808"/>
      <c r="AO63" s="1808"/>
      <c r="AP63" s="1808"/>
    </row>
    <row r="64" spans="11:42">
      <c r="K64" s="712" t="s">
        <v>238</v>
      </c>
      <c r="L64" s="1808"/>
      <c r="M64" s="958" t="s">
        <v>3214</v>
      </c>
      <c r="N64" s="958" t="s">
        <v>4049</v>
      </c>
      <c r="O64" s="958" t="s">
        <v>1779</v>
      </c>
      <c r="P64" s="958" t="s">
        <v>3645</v>
      </c>
      <c r="Q64" s="1006" t="s">
        <v>238</v>
      </c>
      <c r="R64" s="1028">
        <v>16365.77</v>
      </c>
      <c r="S64" s="2494" t="s">
        <v>443</v>
      </c>
      <c r="T64" s="1007">
        <v>3</v>
      </c>
      <c r="U64" s="946">
        <v>0</v>
      </c>
      <c r="V64" s="1008">
        <v>0</v>
      </c>
      <c r="W64" s="1007">
        <v>1</v>
      </c>
      <c r="X64" s="946">
        <v>0</v>
      </c>
      <c r="Y64" s="1008">
        <v>0</v>
      </c>
      <c r="Z64" s="2495" t="s">
        <v>238</v>
      </c>
      <c r="AA64" s="1539">
        <v>49097.31</v>
      </c>
      <c r="AB64" s="958">
        <v>0</v>
      </c>
      <c r="AC64" s="1540">
        <v>0</v>
      </c>
      <c r="AD64" s="1539">
        <v>16365.77</v>
      </c>
      <c r="AE64" s="958">
        <v>0</v>
      </c>
      <c r="AF64" s="1540">
        <v>0</v>
      </c>
      <c r="AG64" s="1565" t="s">
        <v>4004</v>
      </c>
      <c r="AH64" s="1808"/>
      <c r="AI64" s="1808"/>
      <c r="AJ64" s="1808">
        <v>16365.77</v>
      </c>
      <c r="AK64" s="2494" t="s">
        <v>443</v>
      </c>
      <c r="AL64" s="1808">
        <v>0</v>
      </c>
      <c r="AM64" s="1808"/>
      <c r="AN64" s="1808"/>
      <c r="AO64" s="1808"/>
      <c r="AP64" s="1808"/>
    </row>
    <row r="65" spans="11:42">
      <c r="K65" s="712" t="s">
        <v>238</v>
      </c>
      <c r="L65" s="1808"/>
      <c r="M65" s="958" t="s">
        <v>3214</v>
      </c>
      <c r="N65" s="958" t="s">
        <v>4050</v>
      </c>
      <c r="O65" s="958" t="s">
        <v>680</v>
      </c>
      <c r="P65" s="958" t="s">
        <v>3645</v>
      </c>
      <c r="Q65" s="1006" t="s">
        <v>238</v>
      </c>
      <c r="R65" s="1028">
        <v>32000</v>
      </c>
      <c r="S65" s="2494" t="s">
        <v>443</v>
      </c>
      <c r="T65" s="1007">
        <v>3</v>
      </c>
      <c r="U65" s="946">
        <v>0</v>
      </c>
      <c r="V65" s="1008">
        <v>0</v>
      </c>
      <c r="W65" s="1007">
        <v>1</v>
      </c>
      <c r="X65" s="946">
        <v>0</v>
      </c>
      <c r="Y65" s="1008">
        <v>0</v>
      </c>
      <c r="Z65" s="2495" t="s">
        <v>238</v>
      </c>
      <c r="AA65" s="1539">
        <v>96000</v>
      </c>
      <c r="AB65" s="958">
        <v>0</v>
      </c>
      <c r="AC65" s="1540">
        <v>0</v>
      </c>
      <c r="AD65" s="1539">
        <v>32000</v>
      </c>
      <c r="AE65" s="958">
        <v>0</v>
      </c>
      <c r="AF65" s="1540">
        <v>0</v>
      </c>
      <c r="AG65" s="1565" t="s">
        <v>4004</v>
      </c>
      <c r="AH65" s="1808"/>
      <c r="AI65" s="1808"/>
      <c r="AJ65" s="1808">
        <v>32000</v>
      </c>
      <c r="AK65" s="2494" t="s">
        <v>443</v>
      </c>
      <c r="AL65" s="1808">
        <v>0</v>
      </c>
      <c r="AM65" s="1808"/>
      <c r="AN65" s="1808"/>
      <c r="AO65" s="1808"/>
      <c r="AP65" s="1808"/>
    </row>
    <row r="66" spans="11:42">
      <c r="K66" s="712" t="s">
        <v>238</v>
      </c>
      <c r="L66" s="1808"/>
      <c r="M66" s="958" t="s">
        <v>3214</v>
      </c>
      <c r="N66" s="958" t="s">
        <v>4051</v>
      </c>
      <c r="O66" s="958" t="s">
        <v>1528</v>
      </c>
      <c r="P66" s="958" t="s">
        <v>3645</v>
      </c>
      <c r="Q66" s="1006" t="s">
        <v>238</v>
      </c>
      <c r="R66" s="1028">
        <v>139945.57999999999</v>
      </c>
      <c r="S66" s="2494" t="s">
        <v>443</v>
      </c>
      <c r="T66" s="1007">
        <v>0</v>
      </c>
      <c r="U66" s="946">
        <v>3</v>
      </c>
      <c r="V66" s="1008">
        <v>0</v>
      </c>
      <c r="W66" s="1007">
        <v>0</v>
      </c>
      <c r="X66" s="946">
        <v>1</v>
      </c>
      <c r="Y66" s="1008">
        <v>0</v>
      </c>
      <c r="Z66" s="2495" t="s">
        <v>238</v>
      </c>
      <c r="AA66" s="1539">
        <v>0</v>
      </c>
      <c r="AB66" s="958">
        <v>419836.74</v>
      </c>
      <c r="AC66" s="1540">
        <v>0</v>
      </c>
      <c r="AD66" s="1539">
        <v>0</v>
      </c>
      <c r="AE66" s="958">
        <v>139945.57999999999</v>
      </c>
      <c r="AF66" s="1540">
        <v>0</v>
      </c>
      <c r="AG66" s="1565" t="s">
        <v>4004</v>
      </c>
      <c r="AH66" s="1808"/>
      <c r="AI66" s="1808"/>
      <c r="AJ66" s="1808">
        <v>139945.57999999999</v>
      </c>
      <c r="AK66" s="2494" t="s">
        <v>443</v>
      </c>
      <c r="AL66" s="1808">
        <v>0</v>
      </c>
      <c r="AM66" s="1808"/>
      <c r="AN66" s="1808"/>
      <c r="AO66" s="1808"/>
      <c r="AP66" s="1808"/>
    </row>
    <row r="67" spans="11:42">
      <c r="K67" s="712" t="s">
        <v>238</v>
      </c>
      <c r="L67" s="1808"/>
      <c r="M67" s="958" t="s">
        <v>3214</v>
      </c>
      <c r="N67" s="958" t="s">
        <v>4052</v>
      </c>
      <c r="O67" s="958" t="s">
        <v>4053</v>
      </c>
      <c r="P67" s="958" t="s">
        <v>3645</v>
      </c>
      <c r="Q67" s="1006" t="s">
        <v>238</v>
      </c>
      <c r="R67" s="1028">
        <v>50000</v>
      </c>
      <c r="S67" s="2494" t="s">
        <v>443</v>
      </c>
      <c r="T67" s="1007">
        <v>0</v>
      </c>
      <c r="U67" s="946">
        <v>0</v>
      </c>
      <c r="V67" s="1008">
        <v>4</v>
      </c>
      <c r="W67" s="1007">
        <v>0</v>
      </c>
      <c r="X67" s="946">
        <v>0</v>
      </c>
      <c r="Y67" s="1008">
        <v>1</v>
      </c>
      <c r="Z67" s="2495" t="s">
        <v>238</v>
      </c>
      <c r="AA67" s="1539">
        <v>0</v>
      </c>
      <c r="AB67" s="958">
        <v>0</v>
      </c>
      <c r="AC67" s="1540">
        <v>200000</v>
      </c>
      <c r="AD67" s="1539">
        <v>0</v>
      </c>
      <c r="AE67" s="958">
        <v>0</v>
      </c>
      <c r="AF67" s="1540">
        <v>50000</v>
      </c>
      <c r="AG67" s="1565" t="s">
        <v>4004</v>
      </c>
      <c r="AH67" s="1808"/>
      <c r="AI67" s="1808"/>
      <c r="AJ67" s="1808">
        <v>50000</v>
      </c>
      <c r="AK67" s="2494" t="s">
        <v>443</v>
      </c>
      <c r="AL67" s="1808">
        <v>0</v>
      </c>
      <c r="AM67" s="1808"/>
      <c r="AN67" s="1808"/>
      <c r="AO67" s="1808"/>
      <c r="AP67" s="1808"/>
    </row>
    <row r="68" spans="11:42">
      <c r="K68" s="712" t="s">
        <v>238</v>
      </c>
      <c r="L68" s="1808"/>
      <c r="M68" s="958" t="s">
        <v>3214</v>
      </c>
      <c r="N68" s="958" t="s">
        <v>4054</v>
      </c>
      <c r="O68" s="958" t="s">
        <v>4055</v>
      </c>
      <c r="P68" s="958" t="s">
        <v>3645</v>
      </c>
      <c r="Q68" s="1006" t="s">
        <v>238</v>
      </c>
      <c r="R68" s="1028">
        <v>70275</v>
      </c>
      <c r="S68" s="2494" t="s">
        <v>443</v>
      </c>
      <c r="T68" s="1007">
        <v>2</v>
      </c>
      <c r="U68" s="946">
        <v>0</v>
      </c>
      <c r="V68" s="1008">
        <v>0</v>
      </c>
      <c r="W68" s="1007">
        <v>0</v>
      </c>
      <c r="X68" s="946">
        <v>0</v>
      </c>
      <c r="Y68" s="1008">
        <v>0</v>
      </c>
      <c r="Z68" s="2495" t="s">
        <v>238</v>
      </c>
      <c r="AA68" s="1539">
        <v>140550</v>
      </c>
      <c r="AB68" s="958">
        <v>0</v>
      </c>
      <c r="AC68" s="1540">
        <v>0</v>
      </c>
      <c r="AD68" s="1539">
        <v>0</v>
      </c>
      <c r="AE68" s="958">
        <v>0</v>
      </c>
      <c r="AF68" s="1540">
        <v>0</v>
      </c>
      <c r="AG68" s="1565" t="s">
        <v>4004</v>
      </c>
      <c r="AH68" s="1808"/>
      <c r="AI68" s="1808"/>
      <c r="AJ68" s="1808">
        <v>70275</v>
      </c>
      <c r="AK68" s="2494" t="s">
        <v>443</v>
      </c>
      <c r="AL68" s="1808">
        <v>0</v>
      </c>
      <c r="AM68" s="1808"/>
      <c r="AN68" s="1808"/>
      <c r="AO68" s="1808"/>
      <c r="AP68" s="1808"/>
    </row>
    <row r="69" spans="11:42">
      <c r="K69" s="712" t="s">
        <v>238</v>
      </c>
      <c r="L69" s="1808"/>
      <c r="M69" s="958" t="s">
        <v>3214</v>
      </c>
      <c r="N69" s="958" t="s">
        <v>571</v>
      </c>
      <c r="O69" s="958" t="s">
        <v>1775</v>
      </c>
      <c r="P69" s="958" t="s">
        <v>3645</v>
      </c>
      <c r="Q69" s="1006" t="s">
        <v>238</v>
      </c>
      <c r="R69" s="1028">
        <v>25995</v>
      </c>
      <c r="S69" s="2494" t="s">
        <v>443</v>
      </c>
      <c r="T69" s="1007">
        <v>0</v>
      </c>
      <c r="U69" s="946">
        <v>3</v>
      </c>
      <c r="V69" s="1008">
        <v>0</v>
      </c>
      <c r="W69" s="1007">
        <v>0</v>
      </c>
      <c r="X69" s="946">
        <v>1</v>
      </c>
      <c r="Y69" s="1008">
        <v>0</v>
      </c>
      <c r="Z69" s="2495" t="s">
        <v>238</v>
      </c>
      <c r="AA69" s="1539">
        <v>0</v>
      </c>
      <c r="AB69" s="958">
        <v>77985</v>
      </c>
      <c r="AC69" s="1540">
        <v>0</v>
      </c>
      <c r="AD69" s="1539">
        <v>0</v>
      </c>
      <c r="AE69" s="958">
        <v>25995</v>
      </c>
      <c r="AF69" s="1540">
        <v>0</v>
      </c>
      <c r="AG69" s="1565" t="s">
        <v>4004</v>
      </c>
      <c r="AH69" s="1808"/>
      <c r="AI69" s="1808"/>
      <c r="AJ69" s="1808">
        <v>25995</v>
      </c>
      <c r="AK69" s="2494" t="s">
        <v>443</v>
      </c>
      <c r="AL69" s="1808">
        <v>0</v>
      </c>
      <c r="AM69" s="1808"/>
      <c r="AN69" s="1808"/>
      <c r="AO69" s="1808"/>
      <c r="AP69" s="1808"/>
    </row>
    <row r="70" spans="11:42" ht="16">
      <c r="K70" s="712" t="s">
        <v>238</v>
      </c>
      <c r="L70" s="1808"/>
      <c r="M70" s="958" t="s">
        <v>3214</v>
      </c>
      <c r="N70" s="2496" t="s">
        <v>4056</v>
      </c>
      <c r="O70" s="2496" t="s">
        <v>4057</v>
      </c>
      <c r="P70" s="958" t="s">
        <v>3645</v>
      </c>
      <c r="Q70" s="1006" t="s">
        <v>238</v>
      </c>
      <c r="R70" s="1028">
        <v>40000</v>
      </c>
      <c r="S70" s="2494" t="s">
        <v>443</v>
      </c>
      <c r="T70" s="1007">
        <v>0</v>
      </c>
      <c r="U70" s="946">
        <v>0</v>
      </c>
      <c r="V70" s="1008">
        <v>9</v>
      </c>
      <c r="W70" s="1007">
        <v>0</v>
      </c>
      <c r="X70" s="946">
        <v>0</v>
      </c>
      <c r="Y70" s="1008">
        <v>1</v>
      </c>
      <c r="Z70" s="2495" t="s">
        <v>238</v>
      </c>
      <c r="AA70" s="1539">
        <v>0</v>
      </c>
      <c r="AB70" s="958">
        <v>0</v>
      </c>
      <c r="AC70" s="1540">
        <v>360000</v>
      </c>
      <c r="AD70" s="1539">
        <v>0</v>
      </c>
      <c r="AE70" s="958">
        <v>0</v>
      </c>
      <c r="AF70" s="1540">
        <v>40000</v>
      </c>
      <c r="AG70" s="1565" t="s">
        <v>4004</v>
      </c>
      <c r="AH70" s="1808"/>
      <c r="AI70" s="1808"/>
      <c r="AJ70" s="1808">
        <v>40000</v>
      </c>
      <c r="AK70" s="2494" t="s">
        <v>443</v>
      </c>
      <c r="AL70" s="1808">
        <v>0</v>
      </c>
      <c r="AM70" s="1808"/>
      <c r="AN70" s="1808"/>
      <c r="AO70" s="1808"/>
      <c r="AP70" s="1808"/>
    </row>
    <row r="71" spans="11:42">
      <c r="K71" s="712" t="s">
        <v>238</v>
      </c>
      <c r="L71" s="1808"/>
      <c r="M71" s="958" t="s">
        <v>3214</v>
      </c>
      <c r="N71" s="958" t="s">
        <v>4058</v>
      </c>
      <c r="O71" s="958" t="s">
        <v>1197</v>
      </c>
      <c r="P71" s="958" t="s">
        <v>3645</v>
      </c>
      <c r="Q71" s="1006" t="s">
        <v>238</v>
      </c>
      <c r="R71" s="1028">
        <v>22508.36</v>
      </c>
      <c r="S71" s="2494" t="s">
        <v>443</v>
      </c>
      <c r="T71" s="1007">
        <v>0</v>
      </c>
      <c r="U71" s="946">
        <v>4</v>
      </c>
      <c r="V71" s="1008">
        <v>0</v>
      </c>
      <c r="W71" s="1007">
        <v>0</v>
      </c>
      <c r="X71" s="946">
        <v>1</v>
      </c>
      <c r="Y71" s="1008">
        <v>0</v>
      </c>
      <c r="Z71" s="2495" t="s">
        <v>238</v>
      </c>
      <c r="AA71" s="1539">
        <v>0</v>
      </c>
      <c r="AB71" s="958">
        <v>90033.44</v>
      </c>
      <c r="AC71" s="1540">
        <v>0</v>
      </c>
      <c r="AD71" s="1539">
        <v>0</v>
      </c>
      <c r="AE71" s="958">
        <v>22508.36</v>
      </c>
      <c r="AF71" s="1540">
        <v>0</v>
      </c>
      <c r="AG71" s="1565" t="s">
        <v>4004</v>
      </c>
      <c r="AH71" s="1808"/>
      <c r="AI71" s="1808"/>
      <c r="AJ71" s="1808">
        <v>22508.36</v>
      </c>
      <c r="AK71" s="2494" t="s">
        <v>443</v>
      </c>
      <c r="AL71" s="1808">
        <v>0</v>
      </c>
      <c r="AM71" s="1808"/>
      <c r="AN71" s="1808"/>
      <c r="AO71" s="1808"/>
      <c r="AP71" s="1808"/>
    </row>
    <row r="72" spans="11:42">
      <c r="K72" s="712" t="s">
        <v>238</v>
      </c>
      <c r="L72" s="1808"/>
      <c r="M72" s="958" t="s">
        <v>3214</v>
      </c>
      <c r="N72" s="958" t="s">
        <v>4059</v>
      </c>
      <c r="O72" s="958" t="s">
        <v>787</v>
      </c>
      <c r="P72" s="958" t="s">
        <v>3645</v>
      </c>
      <c r="Q72" s="1006" t="s">
        <v>238</v>
      </c>
      <c r="R72" s="1028">
        <v>138000</v>
      </c>
      <c r="S72" s="2494" t="s">
        <v>443</v>
      </c>
      <c r="T72" s="1007">
        <v>3</v>
      </c>
      <c r="U72" s="946">
        <v>0</v>
      </c>
      <c r="V72" s="1008">
        <v>0</v>
      </c>
      <c r="W72" s="1007">
        <v>1</v>
      </c>
      <c r="X72" s="946">
        <v>0</v>
      </c>
      <c r="Y72" s="1008">
        <v>0</v>
      </c>
      <c r="Z72" s="2495" t="s">
        <v>238</v>
      </c>
      <c r="AA72" s="1539">
        <v>414000</v>
      </c>
      <c r="AB72" s="958">
        <v>0</v>
      </c>
      <c r="AC72" s="1540">
        <v>0</v>
      </c>
      <c r="AD72" s="1539">
        <v>138000</v>
      </c>
      <c r="AE72" s="958">
        <v>0</v>
      </c>
      <c r="AF72" s="1540">
        <v>0</v>
      </c>
      <c r="AG72" s="1565" t="s">
        <v>4004</v>
      </c>
      <c r="AH72" s="1808"/>
      <c r="AI72" s="1808"/>
      <c r="AJ72" s="1808">
        <v>138000</v>
      </c>
      <c r="AK72" s="2494" t="s">
        <v>443</v>
      </c>
      <c r="AL72" s="1808">
        <v>0</v>
      </c>
      <c r="AM72" s="1808"/>
      <c r="AN72" s="1808"/>
      <c r="AO72" s="1808"/>
      <c r="AP72" s="1808"/>
    </row>
    <row r="73" spans="11:42">
      <c r="K73" s="712" t="s">
        <v>238</v>
      </c>
      <c r="L73" s="1808"/>
      <c r="M73" s="958" t="s">
        <v>3214</v>
      </c>
      <c r="N73" s="958" t="s">
        <v>569</v>
      </c>
      <c r="O73" s="958" t="s">
        <v>1467</v>
      </c>
      <c r="P73" s="958" t="s">
        <v>3645</v>
      </c>
      <c r="Q73" s="1006" t="s">
        <v>238</v>
      </c>
      <c r="R73" s="1028">
        <v>85000</v>
      </c>
      <c r="S73" s="2494" t="s">
        <v>443</v>
      </c>
      <c r="T73" s="1007">
        <v>4</v>
      </c>
      <c r="U73" s="946">
        <v>0</v>
      </c>
      <c r="V73" s="1008">
        <v>0</v>
      </c>
      <c r="W73" s="1007">
        <v>1</v>
      </c>
      <c r="X73" s="946">
        <v>0</v>
      </c>
      <c r="Y73" s="1008">
        <v>0</v>
      </c>
      <c r="Z73" s="2495" t="s">
        <v>238</v>
      </c>
      <c r="AA73" s="1539">
        <v>340000</v>
      </c>
      <c r="AB73" s="958">
        <v>0</v>
      </c>
      <c r="AC73" s="1540">
        <v>0</v>
      </c>
      <c r="AD73" s="1539">
        <v>85000</v>
      </c>
      <c r="AE73" s="958">
        <v>0</v>
      </c>
      <c r="AF73" s="1540">
        <v>0</v>
      </c>
      <c r="AG73" s="1565" t="s">
        <v>4004</v>
      </c>
      <c r="AH73" s="1808"/>
      <c r="AI73" s="1808"/>
      <c r="AJ73" s="1808">
        <v>85000</v>
      </c>
      <c r="AK73" s="2494" t="s">
        <v>443</v>
      </c>
      <c r="AL73" s="1808">
        <v>0</v>
      </c>
      <c r="AM73" s="1808"/>
      <c r="AN73" s="1808"/>
      <c r="AO73" s="1808"/>
      <c r="AP73" s="1808"/>
    </row>
    <row r="74" spans="11:42">
      <c r="K74" s="712" t="s">
        <v>238</v>
      </c>
      <c r="L74" s="1808"/>
      <c r="M74" s="958" t="s">
        <v>3214</v>
      </c>
      <c r="N74" s="958" t="s">
        <v>4060</v>
      </c>
      <c r="O74" s="958" t="s">
        <v>1336</v>
      </c>
      <c r="P74" s="958" t="s">
        <v>3645</v>
      </c>
      <c r="Q74" s="1006" t="s">
        <v>238</v>
      </c>
      <c r="R74" s="1028">
        <v>48955.06</v>
      </c>
      <c r="S74" s="2494" t="s">
        <v>443</v>
      </c>
      <c r="T74" s="1007">
        <v>0</v>
      </c>
      <c r="U74" s="946">
        <v>3</v>
      </c>
      <c r="V74" s="1008">
        <v>0</v>
      </c>
      <c r="W74" s="1007">
        <v>0</v>
      </c>
      <c r="X74" s="946">
        <v>1</v>
      </c>
      <c r="Y74" s="1008">
        <v>0</v>
      </c>
      <c r="Z74" s="2495" t="s">
        <v>238</v>
      </c>
      <c r="AA74" s="1539">
        <v>0</v>
      </c>
      <c r="AB74" s="958">
        <v>146865.18</v>
      </c>
      <c r="AC74" s="1540">
        <v>0</v>
      </c>
      <c r="AD74" s="1539">
        <v>0</v>
      </c>
      <c r="AE74" s="958">
        <v>48955.06</v>
      </c>
      <c r="AF74" s="1540">
        <v>0</v>
      </c>
      <c r="AG74" s="1565" t="s">
        <v>4004</v>
      </c>
      <c r="AH74" s="1808"/>
      <c r="AI74" s="1808"/>
      <c r="AJ74" s="1808">
        <v>48955.06</v>
      </c>
      <c r="AK74" s="2494" t="s">
        <v>443</v>
      </c>
      <c r="AL74" s="1808">
        <v>0</v>
      </c>
      <c r="AM74" s="1808"/>
      <c r="AN74" s="1808"/>
      <c r="AO74" s="1808"/>
      <c r="AP74" s="1808"/>
    </row>
    <row r="75" spans="11:42">
      <c r="K75" s="712" t="s">
        <v>238</v>
      </c>
      <c r="L75" s="1808"/>
      <c r="M75" s="958" t="s">
        <v>3214</v>
      </c>
      <c r="N75" s="958" t="s">
        <v>4061</v>
      </c>
      <c r="O75" s="958" t="s">
        <v>1351</v>
      </c>
      <c r="P75" s="958" t="s">
        <v>3645</v>
      </c>
      <c r="Q75" s="1006" t="s">
        <v>238</v>
      </c>
      <c r="R75" s="1028">
        <v>3246.78</v>
      </c>
      <c r="S75" s="2494" t="s">
        <v>443</v>
      </c>
      <c r="T75" s="1007">
        <v>0</v>
      </c>
      <c r="U75" s="946">
        <v>3</v>
      </c>
      <c r="V75" s="1008">
        <v>0</v>
      </c>
      <c r="W75" s="1007">
        <v>0</v>
      </c>
      <c r="X75" s="946">
        <v>1</v>
      </c>
      <c r="Y75" s="1008">
        <v>0</v>
      </c>
      <c r="Z75" s="2495" t="s">
        <v>238</v>
      </c>
      <c r="AA75" s="1539">
        <v>0</v>
      </c>
      <c r="AB75" s="958">
        <v>9740.34</v>
      </c>
      <c r="AC75" s="1540">
        <v>0</v>
      </c>
      <c r="AD75" s="1539">
        <v>0</v>
      </c>
      <c r="AE75" s="958">
        <v>3246.78</v>
      </c>
      <c r="AF75" s="1540">
        <v>0</v>
      </c>
      <c r="AG75" s="1565" t="s">
        <v>4004</v>
      </c>
      <c r="AH75" s="1808"/>
      <c r="AI75" s="1808"/>
      <c r="AJ75" s="1808">
        <v>3246.78</v>
      </c>
      <c r="AK75" s="2494" t="s">
        <v>443</v>
      </c>
      <c r="AL75" s="1808">
        <v>0</v>
      </c>
      <c r="AM75" s="1808"/>
      <c r="AN75" s="1808"/>
      <c r="AO75" s="1808"/>
      <c r="AP75" s="1808"/>
    </row>
    <row r="76" spans="11:42">
      <c r="K76" s="712" t="s">
        <v>238</v>
      </c>
      <c r="L76" s="1808"/>
      <c r="M76" s="958" t="s">
        <v>3214</v>
      </c>
      <c r="N76" s="958" t="s">
        <v>4062</v>
      </c>
      <c r="O76" s="958" t="s">
        <v>1398</v>
      </c>
      <c r="P76" s="958" t="s">
        <v>3645</v>
      </c>
      <c r="Q76" s="1006" t="s">
        <v>238</v>
      </c>
      <c r="R76" s="1028">
        <v>11001.590900000001</v>
      </c>
      <c r="S76" s="2494" t="s">
        <v>443</v>
      </c>
      <c r="T76" s="1007">
        <v>3</v>
      </c>
      <c r="U76" s="946">
        <v>0</v>
      </c>
      <c r="V76" s="1008">
        <v>0</v>
      </c>
      <c r="W76" s="1007">
        <v>1</v>
      </c>
      <c r="X76" s="946">
        <v>0</v>
      </c>
      <c r="Y76" s="1008">
        <v>0</v>
      </c>
      <c r="Z76" s="2495" t="s">
        <v>238</v>
      </c>
      <c r="AA76" s="1539">
        <v>33004.769999999997</v>
      </c>
      <c r="AB76" s="958">
        <v>0</v>
      </c>
      <c r="AC76" s="1540">
        <v>0</v>
      </c>
      <c r="AD76" s="1539">
        <v>11001.59</v>
      </c>
      <c r="AE76" s="958">
        <v>0</v>
      </c>
      <c r="AF76" s="1540">
        <v>0</v>
      </c>
      <c r="AG76" s="1565" t="s">
        <v>4004</v>
      </c>
      <c r="AH76" s="1808"/>
      <c r="AI76" s="1808"/>
      <c r="AJ76" s="1808">
        <v>11001.590900000001</v>
      </c>
      <c r="AK76" s="2494" t="s">
        <v>443</v>
      </c>
      <c r="AL76" s="1808">
        <v>0</v>
      </c>
      <c r="AM76" s="1808"/>
      <c r="AN76" s="1808"/>
      <c r="AO76" s="1808"/>
      <c r="AP76" s="1808"/>
    </row>
    <row r="77" spans="11:42">
      <c r="K77" s="712" t="s">
        <v>238</v>
      </c>
      <c r="L77" s="1808"/>
      <c r="M77" s="958" t="s">
        <v>3214</v>
      </c>
      <c r="N77" s="958" t="s">
        <v>4063</v>
      </c>
      <c r="O77" s="958" t="s">
        <v>4064</v>
      </c>
      <c r="P77" s="958" t="s">
        <v>3645</v>
      </c>
      <c r="Q77" s="1006" t="s">
        <v>238</v>
      </c>
      <c r="R77" s="1028">
        <v>775.43999999999994</v>
      </c>
      <c r="S77" s="2494" t="s">
        <v>443</v>
      </c>
      <c r="T77" s="1007">
        <v>30</v>
      </c>
      <c r="U77" s="946">
        <v>0</v>
      </c>
      <c r="V77" s="1008">
        <v>0</v>
      </c>
      <c r="W77" s="1007">
        <v>10</v>
      </c>
      <c r="X77" s="946">
        <v>0</v>
      </c>
      <c r="Y77" s="1008">
        <v>0</v>
      </c>
      <c r="Z77" s="2495" t="s">
        <v>238</v>
      </c>
      <c r="AA77" s="1539">
        <v>23263.200000000001</v>
      </c>
      <c r="AB77" s="958">
        <v>0</v>
      </c>
      <c r="AC77" s="1540">
        <v>0</v>
      </c>
      <c r="AD77" s="1539">
        <v>7754.4</v>
      </c>
      <c r="AE77" s="958">
        <v>0</v>
      </c>
      <c r="AF77" s="1540">
        <v>0</v>
      </c>
      <c r="AG77" s="1565" t="s">
        <v>4004</v>
      </c>
      <c r="AH77" s="1808"/>
      <c r="AI77" s="1808"/>
      <c r="AJ77" s="1808">
        <v>775.43999999999994</v>
      </c>
      <c r="AK77" s="2494" t="s">
        <v>443</v>
      </c>
      <c r="AL77" s="1808">
        <v>0</v>
      </c>
      <c r="AM77" s="1808"/>
      <c r="AN77" s="1808"/>
      <c r="AO77" s="1808"/>
      <c r="AP77" s="1808"/>
    </row>
    <row r="78" spans="11:42">
      <c r="K78" s="712" t="s">
        <v>238</v>
      </c>
      <c r="L78" s="1808"/>
      <c r="M78" s="958" t="s">
        <v>3214</v>
      </c>
      <c r="N78" s="958" t="s">
        <v>4065</v>
      </c>
      <c r="O78" s="958" t="s">
        <v>4066</v>
      </c>
      <c r="P78" s="958" t="s">
        <v>3645</v>
      </c>
      <c r="Q78" s="1006" t="s">
        <v>238</v>
      </c>
      <c r="R78" s="1028">
        <v>775.43999999999994</v>
      </c>
      <c r="S78" s="2494" t="s">
        <v>443</v>
      </c>
      <c r="T78" s="1007">
        <v>30</v>
      </c>
      <c r="U78" s="946">
        <v>0</v>
      </c>
      <c r="V78" s="1008">
        <v>0</v>
      </c>
      <c r="W78" s="1007">
        <v>10</v>
      </c>
      <c r="X78" s="946">
        <v>0</v>
      </c>
      <c r="Y78" s="1008">
        <v>0</v>
      </c>
      <c r="Z78" s="2495" t="s">
        <v>238</v>
      </c>
      <c r="AA78" s="1539">
        <v>23263.200000000001</v>
      </c>
      <c r="AB78" s="958">
        <v>0</v>
      </c>
      <c r="AC78" s="1540">
        <v>0</v>
      </c>
      <c r="AD78" s="1539">
        <v>7754.4</v>
      </c>
      <c r="AE78" s="958">
        <v>0</v>
      </c>
      <c r="AF78" s="1540">
        <v>0</v>
      </c>
      <c r="AG78" s="1565" t="s">
        <v>4004</v>
      </c>
      <c r="AH78" s="1808"/>
      <c r="AI78" s="1808"/>
      <c r="AJ78" s="1808">
        <v>775.43999999999994</v>
      </c>
      <c r="AK78" s="2494" t="s">
        <v>443</v>
      </c>
      <c r="AL78" s="1808">
        <v>0</v>
      </c>
      <c r="AM78" s="1808"/>
      <c r="AN78" s="1808"/>
      <c r="AO78" s="1808"/>
      <c r="AP78" s="1808"/>
    </row>
    <row r="79" spans="11:42">
      <c r="K79" s="712" t="s">
        <v>238</v>
      </c>
      <c r="L79" s="1808"/>
      <c r="M79" s="958" t="s">
        <v>3214</v>
      </c>
      <c r="N79" s="958" t="s">
        <v>4067</v>
      </c>
      <c r="O79" s="958" t="s">
        <v>4068</v>
      </c>
      <c r="P79" s="958" t="s">
        <v>3645</v>
      </c>
      <c r="Q79" s="1006" t="s">
        <v>238</v>
      </c>
      <c r="R79" s="1028">
        <v>775.43999999999994</v>
      </c>
      <c r="S79" s="2494" t="s">
        <v>443</v>
      </c>
      <c r="T79" s="1007">
        <v>30</v>
      </c>
      <c r="U79" s="946">
        <v>0</v>
      </c>
      <c r="V79" s="1008">
        <v>0</v>
      </c>
      <c r="W79" s="1007">
        <v>10</v>
      </c>
      <c r="X79" s="946">
        <v>0</v>
      </c>
      <c r="Y79" s="1008">
        <v>0</v>
      </c>
      <c r="Z79" s="2495" t="s">
        <v>238</v>
      </c>
      <c r="AA79" s="1539">
        <v>23263.200000000001</v>
      </c>
      <c r="AB79" s="958">
        <v>0</v>
      </c>
      <c r="AC79" s="1540">
        <v>0</v>
      </c>
      <c r="AD79" s="1539">
        <v>7754.4</v>
      </c>
      <c r="AE79" s="958">
        <v>0</v>
      </c>
      <c r="AF79" s="1540">
        <v>0</v>
      </c>
      <c r="AG79" s="1565" t="s">
        <v>4004</v>
      </c>
      <c r="AH79" s="1808"/>
      <c r="AI79" s="1808"/>
      <c r="AJ79" s="1808">
        <v>775.43999999999994</v>
      </c>
      <c r="AK79" s="2494" t="s">
        <v>443</v>
      </c>
      <c r="AL79" s="1808">
        <v>0</v>
      </c>
      <c r="AM79" s="1808"/>
      <c r="AN79" s="1808"/>
      <c r="AO79" s="1808"/>
      <c r="AP79" s="1808"/>
    </row>
    <row r="80" spans="11:42">
      <c r="K80" s="712" t="s">
        <v>238</v>
      </c>
      <c r="L80" s="1808"/>
      <c r="M80" s="958" t="s">
        <v>3214</v>
      </c>
      <c r="N80" s="958" t="s">
        <v>4069</v>
      </c>
      <c r="O80" s="958" t="s">
        <v>1710</v>
      </c>
      <c r="P80" s="958" t="s">
        <v>3645</v>
      </c>
      <c r="Q80" s="1006" t="s">
        <v>238</v>
      </c>
      <c r="R80" s="1028">
        <v>125.11</v>
      </c>
      <c r="S80" s="2494" t="s">
        <v>443</v>
      </c>
      <c r="T80" s="1007">
        <v>12</v>
      </c>
      <c r="U80" s="946">
        <v>0</v>
      </c>
      <c r="V80" s="1008">
        <v>0</v>
      </c>
      <c r="W80" s="1007">
        <v>3</v>
      </c>
      <c r="X80" s="946">
        <v>0</v>
      </c>
      <c r="Y80" s="1008">
        <v>0</v>
      </c>
      <c r="Z80" s="2495" t="s">
        <v>238</v>
      </c>
      <c r="AA80" s="1539">
        <v>1501.32</v>
      </c>
      <c r="AB80" s="958">
        <v>0</v>
      </c>
      <c r="AC80" s="1540">
        <v>0</v>
      </c>
      <c r="AD80" s="1539">
        <v>375.33</v>
      </c>
      <c r="AE80" s="958">
        <v>0</v>
      </c>
      <c r="AF80" s="1540">
        <v>0</v>
      </c>
      <c r="AG80" s="1565" t="s">
        <v>4004</v>
      </c>
      <c r="AH80" s="1808"/>
      <c r="AI80" s="1808"/>
      <c r="AJ80" s="1808">
        <v>125.11</v>
      </c>
      <c r="AK80" s="2494" t="s">
        <v>443</v>
      </c>
      <c r="AL80" s="1808">
        <v>0</v>
      </c>
      <c r="AM80" s="1808"/>
      <c r="AN80" s="1808"/>
      <c r="AO80" s="1808"/>
      <c r="AP80" s="1808"/>
    </row>
    <row r="81" spans="11:42">
      <c r="K81" s="712" t="s">
        <v>238</v>
      </c>
      <c r="L81" s="1808"/>
      <c r="M81" s="958" t="s">
        <v>3214</v>
      </c>
      <c r="N81" s="958" t="s">
        <v>4070</v>
      </c>
      <c r="O81" s="958" t="s">
        <v>1706</v>
      </c>
      <c r="P81" s="958" t="s">
        <v>3645</v>
      </c>
      <c r="Q81" s="1006" t="s">
        <v>238</v>
      </c>
      <c r="R81" s="1028">
        <v>1052.48</v>
      </c>
      <c r="S81" s="2494" t="s">
        <v>435</v>
      </c>
      <c r="T81" s="1007">
        <v>4</v>
      </c>
      <c r="U81" s="946">
        <v>0</v>
      </c>
      <c r="V81" s="1008">
        <v>0</v>
      </c>
      <c r="W81" s="1007">
        <v>1</v>
      </c>
      <c r="X81" s="946">
        <v>0</v>
      </c>
      <c r="Y81" s="1008">
        <v>0</v>
      </c>
      <c r="Z81" s="2495" t="s">
        <v>238</v>
      </c>
      <c r="AA81" s="1539">
        <v>4209.92</v>
      </c>
      <c r="AB81" s="958">
        <v>0</v>
      </c>
      <c r="AC81" s="1540">
        <v>0</v>
      </c>
      <c r="AD81" s="1539">
        <v>1052.48</v>
      </c>
      <c r="AE81" s="958">
        <v>0</v>
      </c>
      <c r="AF81" s="1540">
        <v>0</v>
      </c>
      <c r="AG81" s="1565" t="s">
        <v>4019</v>
      </c>
      <c r="AH81" s="1808"/>
      <c r="AI81" s="1808"/>
      <c r="AJ81" s="1808">
        <v>1052.48</v>
      </c>
      <c r="AK81" s="2494" t="s">
        <v>435</v>
      </c>
      <c r="AL81" s="1808">
        <v>0</v>
      </c>
      <c r="AM81" s="1808"/>
      <c r="AN81" s="1808"/>
      <c r="AO81" s="1808"/>
      <c r="AP81" s="1808"/>
    </row>
    <row r="82" spans="11:42" ht="16" thickBot="1">
      <c r="K82" s="712" t="s">
        <v>238</v>
      </c>
      <c r="L82" s="1808"/>
      <c r="M82" s="958" t="s">
        <v>3214</v>
      </c>
      <c r="N82" s="958" t="s">
        <v>4071</v>
      </c>
      <c r="O82" s="958" t="s">
        <v>1708</v>
      </c>
      <c r="P82" s="958" t="s">
        <v>3645</v>
      </c>
      <c r="Q82" s="1006" t="s">
        <v>238</v>
      </c>
      <c r="R82" s="1028">
        <v>7646.92</v>
      </c>
      <c r="S82" s="2494" t="s">
        <v>435</v>
      </c>
      <c r="T82" s="445">
        <v>3</v>
      </c>
      <c r="U82" s="1034">
        <v>0</v>
      </c>
      <c r="V82" s="1018">
        <v>0</v>
      </c>
      <c r="W82" s="445">
        <v>1</v>
      </c>
      <c r="X82" s="1034">
        <v>0</v>
      </c>
      <c r="Y82" s="1018">
        <v>0</v>
      </c>
      <c r="Z82" s="2495" t="s">
        <v>238</v>
      </c>
      <c r="AA82" s="2497">
        <v>22940.76</v>
      </c>
      <c r="AB82" s="1698">
        <v>0</v>
      </c>
      <c r="AC82" s="2498">
        <v>0</v>
      </c>
      <c r="AD82" s="2497">
        <v>7646.92</v>
      </c>
      <c r="AE82" s="1698">
        <v>0</v>
      </c>
      <c r="AF82" s="2498">
        <v>0</v>
      </c>
      <c r="AG82" s="1565" t="s">
        <v>4019</v>
      </c>
      <c r="AH82" s="1808"/>
      <c r="AI82" s="1808"/>
      <c r="AJ82" s="1808">
        <v>7646.92</v>
      </c>
      <c r="AK82" s="2494" t="s">
        <v>435</v>
      </c>
      <c r="AL82" s="1808">
        <v>0</v>
      </c>
      <c r="AM82" s="1808"/>
      <c r="AN82" s="1808"/>
      <c r="AO82" s="1808"/>
      <c r="AP82" s="1808"/>
    </row>
    <row r="83" spans="11:42">
      <c r="K83" s="712" t="s">
        <v>238</v>
      </c>
      <c r="L83" s="1808"/>
      <c r="M83" s="1808"/>
      <c r="N83" s="1808"/>
      <c r="O83" s="1808"/>
      <c r="P83" s="1808"/>
      <c r="Q83" s="1808"/>
      <c r="R83" s="734"/>
      <c r="S83" s="734"/>
      <c r="T83" s="734"/>
      <c r="U83" s="734"/>
      <c r="V83" s="734"/>
      <c r="W83" s="734"/>
      <c r="X83" s="734"/>
      <c r="Y83" s="1808"/>
      <c r="Z83" s="1808"/>
      <c r="AA83" s="1808"/>
      <c r="AB83" s="1808"/>
      <c r="AC83" s="1808"/>
      <c r="AD83" s="1808"/>
      <c r="AE83" s="1808"/>
      <c r="AF83" s="1808"/>
      <c r="AG83" s="1808"/>
      <c r="AH83" s="1808"/>
      <c r="AI83" s="1808"/>
      <c r="AJ83" s="1808"/>
      <c r="AK83" s="1808"/>
      <c r="AL83" s="1808"/>
      <c r="AM83" s="1808"/>
      <c r="AN83" s="1808"/>
      <c r="AO83" s="1808"/>
      <c r="AP83" s="1808"/>
    </row>
    <row r="84" spans="11:42" ht="19">
      <c r="K84" s="712" t="s">
        <v>238</v>
      </c>
      <c r="L84" s="1808"/>
      <c r="M84" s="1232" t="s">
        <v>97</v>
      </c>
      <c r="N84" s="1808"/>
      <c r="O84" s="1808"/>
      <c r="P84" s="1808"/>
      <c r="Q84" s="1808"/>
      <c r="R84" s="734"/>
      <c r="S84" s="734"/>
      <c r="T84" s="734" t="s">
        <v>178</v>
      </c>
      <c r="U84" s="734"/>
      <c r="V84" s="734"/>
      <c r="W84" s="734" t="s">
        <v>179</v>
      </c>
      <c r="X84" s="734"/>
      <c r="Y84" s="1808"/>
      <c r="Z84" s="1838" t="s">
        <v>1887</v>
      </c>
      <c r="AA84" s="734" t="s">
        <v>178</v>
      </c>
      <c r="AB84" s="734"/>
      <c r="AC84" s="734"/>
      <c r="AD84" s="734" t="s">
        <v>179</v>
      </c>
      <c r="AE84" s="734"/>
      <c r="AF84" s="1808"/>
      <c r="AG84" s="1808"/>
      <c r="AH84" s="1808">
        <f>SUM(AA30:AF82)</f>
        <v>7626355.4600000018</v>
      </c>
      <c r="AI84" s="1808"/>
      <c r="AJ84" s="1808"/>
      <c r="AK84" s="1808"/>
      <c r="AL84" s="1808"/>
      <c r="AM84" s="1808"/>
      <c r="AN84" s="1808"/>
      <c r="AO84" s="1808"/>
      <c r="AP84" s="1808"/>
    </row>
    <row r="85" spans="11:42">
      <c r="K85" s="712" t="s">
        <v>238</v>
      </c>
      <c r="L85" s="1808"/>
      <c r="M85" s="1808"/>
      <c r="N85" s="1808"/>
      <c r="O85" s="1808"/>
      <c r="P85" s="1808"/>
      <c r="Q85" s="845"/>
      <c r="R85" s="845"/>
      <c r="S85" s="734"/>
      <c r="T85" s="1027">
        <v>2021</v>
      </c>
      <c r="U85" s="1027">
        <v>2022</v>
      </c>
      <c r="V85" s="1027">
        <v>2023</v>
      </c>
      <c r="W85" s="1027">
        <v>2021</v>
      </c>
      <c r="X85" s="1027">
        <v>2022</v>
      </c>
      <c r="Y85" s="1027">
        <v>2023</v>
      </c>
      <c r="Z85" s="1808"/>
      <c r="AA85" s="1027">
        <v>2021</v>
      </c>
      <c r="AB85" s="1027">
        <v>2022</v>
      </c>
      <c r="AC85" s="1027">
        <v>2023</v>
      </c>
      <c r="AD85" s="1027">
        <v>2021</v>
      </c>
      <c r="AE85" s="1027">
        <v>2022</v>
      </c>
      <c r="AF85" s="1027">
        <v>2023</v>
      </c>
      <c r="AG85" s="1808"/>
      <c r="AH85" s="836"/>
      <c r="AI85" s="1808"/>
      <c r="AJ85" s="1808"/>
      <c r="AK85" s="1808"/>
      <c r="AL85" s="1808"/>
      <c r="AM85" s="1808"/>
      <c r="AN85" s="1808"/>
      <c r="AO85" s="1808"/>
      <c r="AP85" s="1808"/>
    </row>
    <row r="86" spans="11:42">
      <c r="K86" s="712" t="s">
        <v>238</v>
      </c>
      <c r="L86" s="1808"/>
      <c r="M86" s="958" t="s">
        <v>3213</v>
      </c>
      <c r="N86" s="1565" t="s">
        <v>4004</v>
      </c>
      <c r="O86" s="958"/>
      <c r="P86" s="958"/>
      <c r="Q86" s="958"/>
      <c r="R86" s="946"/>
      <c r="S86" s="2499" t="s">
        <v>443</v>
      </c>
      <c r="T86" s="946">
        <v>519255.44</v>
      </c>
      <c r="U86" s="946">
        <v>340110.32</v>
      </c>
      <c r="V86" s="946">
        <v>307591.52</v>
      </c>
      <c r="W86" s="946">
        <v>202533.28</v>
      </c>
      <c r="X86" s="946">
        <v>202526.03999999998</v>
      </c>
      <c r="Y86" s="946">
        <v>201886.03999999998</v>
      </c>
      <c r="Z86" s="1808"/>
      <c r="AA86" s="946">
        <f>T86</f>
        <v>519255.44</v>
      </c>
      <c r="AB86" s="946">
        <f t="shared" ref="AB86:AF86" si="4">U86</f>
        <v>340110.32</v>
      </c>
      <c r="AC86" s="946">
        <f t="shared" si="4"/>
        <v>307591.52</v>
      </c>
      <c r="AD86" s="946">
        <f t="shared" si="4"/>
        <v>202533.28</v>
      </c>
      <c r="AE86" s="946">
        <f t="shared" si="4"/>
        <v>202526.03999999998</v>
      </c>
      <c r="AF86" s="946">
        <f t="shared" si="4"/>
        <v>201886.03999999998</v>
      </c>
      <c r="AG86" s="1808"/>
      <c r="AH86" s="2515">
        <f>SUM(AA86:AF86)</f>
        <v>1773902.6400000001</v>
      </c>
      <c r="AI86" s="1808"/>
      <c r="AJ86" s="1808">
        <f t="shared" ref="AJ86:AJ102" si="5">AH86/EUR</f>
        <v>90391.311399719023</v>
      </c>
      <c r="AK86" s="1808">
        <f t="shared" ref="AK86:AK102" si="6">AI86/EUR</f>
        <v>0</v>
      </c>
      <c r="AL86" s="1808">
        <v>13958698.14767508</v>
      </c>
      <c r="AM86" s="1808"/>
      <c r="AN86" s="1808"/>
      <c r="AO86" s="1808"/>
      <c r="AP86" s="1808"/>
    </row>
    <row r="87" spans="11:42">
      <c r="K87" s="712" t="s">
        <v>238</v>
      </c>
      <c r="L87" s="1808"/>
      <c r="M87" s="958" t="s">
        <v>3214</v>
      </c>
      <c r="N87" s="1565" t="s">
        <v>4004</v>
      </c>
      <c r="O87" s="958"/>
      <c r="P87" s="958"/>
      <c r="Q87" s="958"/>
      <c r="R87" s="946"/>
      <c r="S87" s="2499" t="s">
        <v>443</v>
      </c>
      <c r="T87" s="946">
        <v>1143943</v>
      </c>
      <c r="U87" s="946">
        <v>1169231.47</v>
      </c>
      <c r="V87" s="946">
        <v>560000</v>
      </c>
      <c r="W87" s="946">
        <v>306005.89000000013</v>
      </c>
      <c r="X87" s="946">
        <v>375754.17</v>
      </c>
      <c r="Y87" s="946">
        <v>90000</v>
      </c>
      <c r="Z87" s="1808"/>
      <c r="AA87" s="946">
        <f t="shared" ref="AA87:AA88" si="7">T87</f>
        <v>1143943</v>
      </c>
      <c r="AB87" s="946">
        <f t="shared" ref="AB87:AB88" si="8">U87</f>
        <v>1169231.47</v>
      </c>
      <c r="AC87" s="946">
        <f t="shared" ref="AC87:AC88" si="9">V87</f>
        <v>560000</v>
      </c>
      <c r="AD87" s="946">
        <f t="shared" ref="AD87:AD88" si="10">W87</f>
        <v>306005.89000000013</v>
      </c>
      <c r="AE87" s="946">
        <f t="shared" ref="AE87:AE88" si="11">X87</f>
        <v>375754.17</v>
      </c>
      <c r="AF87" s="946">
        <f t="shared" ref="AF87:AF88" si="12">Y87</f>
        <v>90000</v>
      </c>
      <c r="AG87" s="1808"/>
      <c r="AH87" s="2515">
        <f t="shared" ref="AH87:AH101" si="13">SUM(AA87:AF87)</f>
        <v>3644934.53</v>
      </c>
      <c r="AI87" s="1808"/>
      <c r="AJ87" s="1808">
        <f t="shared" si="5"/>
        <v>185731.95884798866</v>
      </c>
      <c r="AK87" s="1808">
        <f t="shared" si="6"/>
        <v>0</v>
      </c>
      <c r="AL87" s="1808">
        <f>SUM(AH86:AH99)</f>
        <v>13958754.101016799</v>
      </c>
      <c r="AM87" s="1808"/>
      <c r="AN87" s="1808"/>
      <c r="AO87" s="1808"/>
      <c r="AP87" s="1808"/>
    </row>
    <row r="88" spans="11:42">
      <c r="K88" s="712" t="s">
        <v>238</v>
      </c>
      <c r="L88" s="1808"/>
      <c r="M88" s="958" t="s">
        <v>3216</v>
      </c>
      <c r="N88" s="1565" t="s">
        <v>4004</v>
      </c>
      <c r="O88" s="958"/>
      <c r="P88" s="958"/>
      <c r="Q88" s="958"/>
      <c r="R88" s="946"/>
      <c r="S88" s="2499" t="s">
        <v>443</v>
      </c>
      <c r="T88" s="1383">
        <v>161147.27000000005</v>
      </c>
      <c r="U88" s="1383">
        <v>116787.59000000003</v>
      </c>
      <c r="V88" s="1383">
        <v>94414.959999999992</v>
      </c>
      <c r="W88" s="1383">
        <v>370085.36000000004</v>
      </c>
      <c r="X88" s="1383">
        <v>285678.51</v>
      </c>
      <c r="Y88" s="1383">
        <v>245849.47999999992</v>
      </c>
      <c r="Z88" s="1808"/>
      <c r="AA88" s="946">
        <f t="shared" si="7"/>
        <v>161147.27000000005</v>
      </c>
      <c r="AB88" s="946">
        <f t="shared" si="8"/>
        <v>116787.59000000003</v>
      </c>
      <c r="AC88" s="946">
        <f t="shared" si="9"/>
        <v>94414.959999999992</v>
      </c>
      <c r="AD88" s="946">
        <f t="shared" si="10"/>
        <v>370085.36000000004</v>
      </c>
      <c r="AE88" s="946">
        <f t="shared" si="11"/>
        <v>285678.51</v>
      </c>
      <c r="AF88" s="946">
        <f t="shared" si="12"/>
        <v>245849.47999999992</v>
      </c>
      <c r="AG88" s="1808"/>
      <c r="AH88" s="2515">
        <f t="shared" si="13"/>
        <v>1273963.1700000002</v>
      </c>
      <c r="AI88" s="1808"/>
      <c r="AJ88" s="1808">
        <f t="shared" si="5"/>
        <v>64916.303191951498</v>
      </c>
      <c r="AK88" s="1808">
        <f t="shared" si="6"/>
        <v>0</v>
      </c>
      <c r="AL88" s="1808">
        <f>AL86-AL87</f>
        <v>-55.953341718763113</v>
      </c>
      <c r="AM88" s="1808"/>
      <c r="AN88" s="1808"/>
      <c r="AO88" s="1808"/>
      <c r="AP88" s="1808"/>
    </row>
    <row r="89" spans="11:42">
      <c r="K89" s="712" t="s">
        <v>238</v>
      </c>
      <c r="L89" s="1808"/>
      <c r="M89" s="1808"/>
      <c r="N89" s="1808"/>
      <c r="O89" s="1808"/>
      <c r="P89" s="1808"/>
      <c r="Q89" s="1808"/>
      <c r="R89" s="734"/>
      <c r="S89" s="2500"/>
      <c r="T89" s="1808"/>
      <c r="U89" s="1808"/>
      <c r="V89" s="1808"/>
      <c r="W89" s="1808"/>
      <c r="X89" s="1808"/>
      <c r="Y89" s="1808"/>
      <c r="Z89" s="1808"/>
      <c r="AA89" s="1808"/>
      <c r="AB89" s="1808"/>
      <c r="AC89" s="1808"/>
      <c r="AD89" s="1808"/>
      <c r="AE89" s="1808"/>
      <c r="AF89" s="1808"/>
      <c r="AG89" s="1808"/>
      <c r="AH89" s="2515">
        <f t="shared" si="13"/>
        <v>0</v>
      </c>
      <c r="AI89" s="1808"/>
      <c r="AJ89" s="1808">
        <f t="shared" si="5"/>
        <v>0</v>
      </c>
      <c r="AK89" s="1808">
        <f t="shared" si="6"/>
        <v>0</v>
      </c>
      <c r="AL89" s="1808"/>
      <c r="AM89" s="1808"/>
      <c r="AN89" s="1808"/>
      <c r="AO89" s="1808"/>
      <c r="AP89" s="1808"/>
    </row>
    <row r="90" spans="11:42">
      <c r="K90" s="712" t="s">
        <v>238</v>
      </c>
      <c r="L90" s="1808"/>
      <c r="M90" s="958" t="s">
        <v>3216</v>
      </c>
      <c r="N90" s="958" t="s">
        <v>4072</v>
      </c>
      <c r="O90" s="958"/>
      <c r="P90" s="958"/>
      <c r="Q90" s="958"/>
      <c r="R90" s="946"/>
      <c r="S90" s="2500" t="s">
        <v>447</v>
      </c>
      <c r="T90" s="1383">
        <v>36247.5</v>
      </c>
      <c r="U90" s="1383">
        <v>26415</v>
      </c>
      <c r="V90" s="1383">
        <v>21457.5</v>
      </c>
      <c r="W90" s="1383">
        <v>11497.5</v>
      </c>
      <c r="X90" s="1383">
        <v>8902.5</v>
      </c>
      <c r="Y90" s="1383">
        <v>7650</v>
      </c>
      <c r="Z90" s="1808"/>
      <c r="AA90" s="1383">
        <f t="shared" ref="AA90:AF91" si="14">T90*EUR</f>
        <v>711346.42199249996</v>
      </c>
      <c r="AB90" s="1383">
        <f t="shared" si="14"/>
        <v>518386.52974500001</v>
      </c>
      <c r="AC90" s="1383">
        <f t="shared" si="14"/>
        <v>421097.06462249998</v>
      </c>
      <c r="AD90" s="1383">
        <f t="shared" si="14"/>
        <v>225635.0227425</v>
      </c>
      <c r="AE90" s="1383">
        <f t="shared" si="14"/>
        <v>174708.9184575</v>
      </c>
      <c r="AF90" s="1383">
        <f t="shared" si="14"/>
        <v>150128.97795</v>
      </c>
      <c r="AG90" s="1808"/>
      <c r="AH90" s="2515">
        <f t="shared" si="13"/>
        <v>2201302.9355100002</v>
      </c>
      <c r="AI90" s="1808"/>
      <c r="AJ90" s="1808">
        <f t="shared" si="5"/>
        <v>112170.00000000001</v>
      </c>
      <c r="AK90" s="1808">
        <f t="shared" si="6"/>
        <v>0</v>
      </c>
      <c r="AL90" s="1808"/>
      <c r="AM90" s="1808"/>
      <c r="AN90" s="1808"/>
      <c r="AO90" s="1808"/>
      <c r="AP90" s="1808"/>
    </row>
    <row r="91" spans="11:42" ht="16">
      <c r="K91" s="712" t="s">
        <v>238</v>
      </c>
      <c r="L91" s="2501"/>
      <c r="M91" s="2501" t="s">
        <v>4</v>
      </c>
      <c r="N91" s="2501" t="s">
        <v>4072</v>
      </c>
      <c r="O91" s="2502">
        <v>2.1399999999999999E-2</v>
      </c>
      <c r="P91" s="2501"/>
      <c r="Q91" s="2501"/>
      <c r="R91" s="2503"/>
      <c r="S91" s="2500" t="s">
        <v>447</v>
      </c>
      <c r="T91" s="2504">
        <v>775.7</v>
      </c>
      <c r="U91" s="2504">
        <v>565.28</v>
      </c>
      <c r="V91" s="2504">
        <v>459.19</v>
      </c>
      <c r="W91" s="2504">
        <v>246.05</v>
      </c>
      <c r="X91" s="2504">
        <v>190.51</v>
      </c>
      <c r="Y91" s="2504">
        <v>163.71</v>
      </c>
      <c r="Z91" s="2501"/>
      <c r="AA91" s="2508">
        <f t="shared" si="14"/>
        <v>15222.882117100002</v>
      </c>
      <c r="AB91" s="2508">
        <f t="shared" si="14"/>
        <v>11093.452111839999</v>
      </c>
      <c r="AC91" s="2508">
        <f t="shared" si="14"/>
        <v>9011.4673705700006</v>
      </c>
      <c r="AD91" s="2508">
        <f t="shared" si="14"/>
        <v>4828.65817315</v>
      </c>
      <c r="AE91" s="2508">
        <f t="shared" si="14"/>
        <v>3738.7021685299997</v>
      </c>
      <c r="AF91" s="2508">
        <f t="shared" si="14"/>
        <v>3212.7601281300003</v>
      </c>
      <c r="AG91" s="2509"/>
      <c r="AI91" s="2515">
        <f>SUM(AA91:AF91)</f>
        <v>47107.922069319997</v>
      </c>
      <c r="AJ91" s="1808">
        <f t="shared" si="5"/>
        <v>0</v>
      </c>
      <c r="AK91" s="1808">
        <f t="shared" si="6"/>
        <v>2400.4399999999996</v>
      </c>
      <c r="AL91" s="2501"/>
      <c r="AM91" s="2501"/>
      <c r="AN91" s="2501"/>
      <c r="AO91" s="2501"/>
      <c r="AP91" s="2501"/>
    </row>
    <row r="92" spans="11:42">
      <c r="K92" s="712" t="s">
        <v>238</v>
      </c>
      <c r="L92" s="1808"/>
      <c r="M92" s="1808"/>
      <c r="N92" s="1808"/>
      <c r="O92" s="1808"/>
      <c r="P92" s="1808"/>
      <c r="Q92" s="1808"/>
      <c r="R92" s="734"/>
      <c r="S92" s="2500"/>
      <c r="T92" s="1309"/>
      <c r="U92" s="1309"/>
      <c r="V92" s="1309"/>
      <c r="W92" s="1309"/>
      <c r="X92" s="1309"/>
      <c r="Y92" s="1309"/>
      <c r="Z92" s="1808"/>
      <c r="AA92" s="1309"/>
      <c r="AB92" s="1309"/>
      <c r="AC92" s="1309"/>
      <c r="AD92" s="1309"/>
      <c r="AE92" s="1309"/>
      <c r="AF92" s="1309"/>
      <c r="AG92" s="1808"/>
      <c r="AH92" s="2515">
        <f t="shared" si="13"/>
        <v>0</v>
      </c>
      <c r="AI92" s="1808"/>
      <c r="AJ92" s="1808">
        <f t="shared" si="5"/>
        <v>0</v>
      </c>
      <c r="AK92" s="1808">
        <f t="shared" si="6"/>
        <v>0</v>
      </c>
      <c r="AL92" s="1808"/>
      <c r="AM92" s="1808"/>
      <c r="AN92" s="1808"/>
      <c r="AO92" s="1808"/>
      <c r="AP92" s="1808"/>
    </row>
    <row r="93" spans="11:42">
      <c r="K93" s="712" t="s">
        <v>238</v>
      </c>
      <c r="L93" s="1808"/>
      <c r="M93" s="958" t="s">
        <v>3214</v>
      </c>
      <c r="N93" s="958" t="s">
        <v>4072</v>
      </c>
      <c r="O93" s="958"/>
      <c r="P93" s="958"/>
      <c r="Q93" s="958"/>
      <c r="R93" s="946"/>
      <c r="S93" s="2500" t="s">
        <v>435</v>
      </c>
      <c r="T93" s="1383">
        <v>27150.68</v>
      </c>
      <c r="U93" s="1383">
        <v>0</v>
      </c>
      <c r="V93" s="1383">
        <v>0</v>
      </c>
      <c r="W93" s="1383">
        <v>8699.4</v>
      </c>
      <c r="X93" s="1383">
        <v>0</v>
      </c>
      <c r="Y93" s="1383">
        <v>0</v>
      </c>
      <c r="Z93" s="1808"/>
      <c r="AA93" s="1383">
        <f t="shared" ref="AA93:AF94" si="15">T93*USD</f>
        <v>477007.8533588</v>
      </c>
      <c r="AB93" s="1383">
        <f t="shared" si="15"/>
        <v>0</v>
      </c>
      <c r="AC93" s="1383">
        <f t="shared" si="15"/>
        <v>0</v>
      </c>
      <c r="AD93" s="1383">
        <f t="shared" si="15"/>
        <v>152838.97565399998</v>
      </c>
      <c r="AE93" s="1383">
        <f t="shared" si="15"/>
        <v>0</v>
      </c>
      <c r="AF93" s="1383">
        <f t="shared" si="15"/>
        <v>0</v>
      </c>
      <c r="AG93" s="1808"/>
      <c r="AH93" s="2515">
        <f t="shared" si="13"/>
        <v>629846.82901280001</v>
      </c>
      <c r="AI93" s="1808"/>
      <c r="AJ93" s="1808">
        <f t="shared" si="5"/>
        <v>32094.591648739857</v>
      </c>
      <c r="AK93" s="1808">
        <f t="shared" si="6"/>
        <v>0</v>
      </c>
      <c r="AL93" s="1808"/>
      <c r="AM93" s="1808"/>
      <c r="AN93" s="1808"/>
      <c r="AO93" s="1808"/>
      <c r="AP93" s="1808"/>
    </row>
    <row r="94" spans="11:42" ht="16">
      <c r="K94" s="712" t="s">
        <v>238</v>
      </c>
      <c r="L94" s="1808"/>
      <c r="M94" s="2501" t="s">
        <v>4</v>
      </c>
      <c r="N94" s="2501" t="s">
        <v>4072</v>
      </c>
      <c r="O94" s="2502">
        <v>2.1399999999999999E-2</v>
      </c>
      <c r="P94" s="2501"/>
      <c r="Q94" s="2501"/>
      <c r="R94" s="2503"/>
      <c r="S94" s="2500" t="s">
        <v>435</v>
      </c>
      <c r="T94" s="2504">
        <v>581.02</v>
      </c>
      <c r="U94" s="2504">
        <v>0</v>
      </c>
      <c r="V94" s="2504">
        <v>0</v>
      </c>
      <c r="W94" s="2504">
        <v>186.17</v>
      </c>
      <c r="X94" s="2504">
        <v>0</v>
      </c>
      <c r="Y94" s="2504">
        <v>0</v>
      </c>
      <c r="Z94" s="1808"/>
      <c r="AA94" s="2510">
        <f t="shared" si="15"/>
        <v>10207.888088199999</v>
      </c>
      <c r="AB94" s="2510">
        <f t="shared" si="15"/>
        <v>0</v>
      </c>
      <c r="AC94" s="2510">
        <f t="shared" si="15"/>
        <v>0</v>
      </c>
      <c r="AD94" s="2510">
        <f t="shared" si="15"/>
        <v>3270.8039746999998</v>
      </c>
      <c r="AE94" s="2510">
        <f t="shared" si="15"/>
        <v>0</v>
      </c>
      <c r="AF94" s="2510">
        <f t="shared" si="15"/>
        <v>0</v>
      </c>
      <c r="AG94" s="2511"/>
      <c r="AI94" s="2515">
        <f>SUM(AA94:AF94)</f>
        <v>13478.6920629</v>
      </c>
      <c r="AJ94" s="1808">
        <f t="shared" si="5"/>
        <v>0</v>
      </c>
      <c r="AK94" s="1808">
        <f t="shared" si="6"/>
        <v>686.82272862422428</v>
      </c>
      <c r="AL94" s="1808"/>
      <c r="AM94" s="1808"/>
      <c r="AN94" s="1808"/>
      <c r="AO94" s="1808"/>
      <c r="AP94" s="1808"/>
    </row>
    <row r="95" spans="11:42">
      <c r="K95" s="712" t="s">
        <v>238</v>
      </c>
      <c r="L95" s="1808"/>
      <c r="M95" s="1808"/>
      <c r="N95" s="1808"/>
      <c r="O95" s="1808"/>
      <c r="P95" s="1808"/>
      <c r="Q95" s="1808"/>
      <c r="R95" s="734"/>
      <c r="S95" s="2500"/>
      <c r="T95" s="1309"/>
      <c r="U95" s="1309"/>
      <c r="V95" s="1309"/>
      <c r="W95" s="1309"/>
      <c r="X95" s="1309"/>
      <c r="Y95" s="1309"/>
      <c r="Z95" s="1808"/>
      <c r="AA95" s="1309"/>
      <c r="AB95" s="1309"/>
      <c r="AC95" s="1309"/>
      <c r="AD95" s="1309"/>
      <c r="AE95" s="1309"/>
      <c r="AF95" s="1309"/>
      <c r="AG95" s="1808"/>
      <c r="AH95" s="2515">
        <f t="shared" si="13"/>
        <v>0</v>
      </c>
      <c r="AI95" s="1808"/>
      <c r="AJ95" s="1808">
        <f t="shared" si="5"/>
        <v>0</v>
      </c>
      <c r="AK95" s="1808">
        <f t="shared" si="6"/>
        <v>0</v>
      </c>
      <c r="AL95" s="1808"/>
      <c r="AM95" s="1808"/>
      <c r="AN95" s="1808"/>
      <c r="AO95" s="1808"/>
      <c r="AP95" s="1808"/>
    </row>
    <row r="96" spans="11:42">
      <c r="K96" s="712" t="s">
        <v>238</v>
      </c>
      <c r="L96" s="1808"/>
      <c r="M96" s="958" t="s">
        <v>3214</v>
      </c>
      <c r="N96" s="958" t="s">
        <v>4045</v>
      </c>
      <c r="O96" s="958"/>
      <c r="P96" s="958"/>
      <c r="Q96" s="958"/>
      <c r="R96" s="946"/>
      <c r="S96" s="2500" t="s">
        <v>435</v>
      </c>
      <c r="T96" s="1383">
        <v>0</v>
      </c>
      <c r="U96" s="1383">
        <v>0</v>
      </c>
      <c r="V96" s="1383">
        <v>125050.65</v>
      </c>
      <c r="W96" s="1383">
        <v>0</v>
      </c>
      <c r="X96" s="1383">
        <v>0</v>
      </c>
      <c r="Y96" s="1383">
        <v>41683.550000000003</v>
      </c>
      <c r="Z96" s="1808"/>
      <c r="AA96" s="1383">
        <f t="shared" ref="AA96:AF97" si="16">T96*USD</f>
        <v>0</v>
      </c>
      <c r="AB96" s="1383">
        <f t="shared" si="16"/>
        <v>0</v>
      </c>
      <c r="AC96" s="1383">
        <f t="shared" si="16"/>
        <v>2197003.6152914995</v>
      </c>
      <c r="AD96" s="1383">
        <f t="shared" si="16"/>
        <v>0</v>
      </c>
      <c r="AE96" s="1383">
        <f t="shared" si="16"/>
        <v>0</v>
      </c>
      <c r="AF96" s="1383">
        <f t="shared" si="16"/>
        <v>732334.53843049996</v>
      </c>
      <c r="AG96" s="1808"/>
      <c r="AH96" s="2515">
        <f t="shared" si="13"/>
        <v>2929338.1537219994</v>
      </c>
      <c r="AI96" s="1808"/>
      <c r="AJ96" s="1808">
        <f t="shared" si="5"/>
        <v>149267.89739044709</v>
      </c>
      <c r="AK96" s="1808">
        <f t="shared" si="6"/>
        <v>0</v>
      </c>
      <c r="AL96" s="1808"/>
      <c r="AM96" s="1808"/>
      <c r="AN96" s="1808"/>
      <c r="AO96" s="1808"/>
      <c r="AP96" s="1808"/>
    </row>
    <row r="97" spans="1:42" ht="16">
      <c r="K97" s="712" t="s">
        <v>238</v>
      </c>
      <c r="L97" s="1808"/>
      <c r="M97" s="2501" t="s">
        <v>4</v>
      </c>
      <c r="N97" s="2501" t="s">
        <v>4045</v>
      </c>
      <c r="O97" s="2505">
        <v>5000</v>
      </c>
      <c r="P97" s="2501"/>
      <c r="Q97" s="2501"/>
      <c r="R97" s="2503"/>
      <c r="S97" s="2500" t="s">
        <v>435</v>
      </c>
      <c r="T97" s="2506">
        <v>0</v>
      </c>
      <c r="U97" s="2506">
        <v>0</v>
      </c>
      <c r="V97" s="2506">
        <v>5000</v>
      </c>
      <c r="W97" s="2506">
        <v>0</v>
      </c>
      <c r="X97" s="2506">
        <v>0</v>
      </c>
      <c r="Y97" s="2506">
        <v>5000</v>
      </c>
      <c r="Z97" s="1808"/>
      <c r="AA97" s="2510">
        <f t="shared" si="16"/>
        <v>0</v>
      </c>
      <c r="AB97" s="2510">
        <f t="shared" si="16"/>
        <v>0</v>
      </c>
      <c r="AC97" s="2510">
        <f t="shared" si="16"/>
        <v>87844.549999999988</v>
      </c>
      <c r="AD97" s="2510">
        <f t="shared" si="16"/>
        <v>0</v>
      </c>
      <c r="AE97" s="2510">
        <f t="shared" si="16"/>
        <v>0</v>
      </c>
      <c r="AF97" s="2510">
        <f t="shared" si="16"/>
        <v>87844.549999999988</v>
      </c>
      <c r="AG97" s="2511"/>
      <c r="AI97" s="2515">
        <f>SUM(AA97:AF97)</f>
        <v>175689.09999999998</v>
      </c>
      <c r="AJ97" s="1808">
        <f t="shared" si="5"/>
        <v>0</v>
      </c>
      <c r="AK97" s="1808">
        <f t="shared" si="6"/>
        <v>8952.4463121811314</v>
      </c>
      <c r="AL97" s="1808"/>
      <c r="AM97" s="1808"/>
      <c r="AN97" s="1808"/>
      <c r="AO97" s="1808"/>
      <c r="AP97" s="1808"/>
    </row>
    <row r="98" spans="1:42">
      <c r="K98" s="712" t="s">
        <v>238</v>
      </c>
      <c r="L98" s="1808"/>
      <c r="M98" s="1808"/>
      <c r="N98" s="1808"/>
      <c r="O98" s="1808"/>
      <c r="P98" s="1808"/>
      <c r="Q98" s="1808"/>
      <c r="R98" s="734"/>
      <c r="S98" s="2500"/>
      <c r="T98" s="1309"/>
      <c r="U98" s="1309"/>
      <c r="V98" s="1309"/>
      <c r="W98" s="1309"/>
      <c r="X98" s="1309"/>
      <c r="Y98" s="1309"/>
      <c r="Z98" s="1808"/>
      <c r="AA98" s="1309"/>
      <c r="AB98" s="1309"/>
      <c r="AC98" s="1309"/>
      <c r="AD98" s="1309"/>
      <c r="AE98" s="1309"/>
      <c r="AF98" s="1309"/>
      <c r="AG98" s="1808"/>
      <c r="AH98" s="2515">
        <f t="shared" si="13"/>
        <v>0</v>
      </c>
      <c r="AI98" s="1808"/>
      <c r="AJ98" s="1808">
        <f t="shared" si="5"/>
        <v>0</v>
      </c>
      <c r="AK98" s="1808">
        <f t="shared" si="6"/>
        <v>0</v>
      </c>
      <c r="AL98" s="1808"/>
      <c r="AM98" s="1808"/>
      <c r="AN98" s="1808"/>
      <c r="AO98" s="1808"/>
      <c r="AP98" s="1808"/>
    </row>
    <row r="99" spans="1:42">
      <c r="K99" s="712" t="s">
        <v>238</v>
      </c>
      <c r="L99" s="1808"/>
      <c r="M99" s="958" t="s">
        <v>3217</v>
      </c>
      <c r="N99" s="958" t="s">
        <v>4045</v>
      </c>
      <c r="O99" s="958"/>
      <c r="P99" s="958"/>
      <c r="Q99" s="958"/>
      <c r="R99" s="946"/>
      <c r="S99" s="2500" t="s">
        <v>435</v>
      </c>
      <c r="T99" s="1383">
        <v>19595.3</v>
      </c>
      <c r="U99" s="1383">
        <v>17226</v>
      </c>
      <c r="V99" s="1383">
        <v>15024.9</v>
      </c>
      <c r="W99" s="1383">
        <v>11327.4</v>
      </c>
      <c r="X99" s="1383">
        <v>11240.4</v>
      </c>
      <c r="Y99" s="1383">
        <v>11275.2</v>
      </c>
      <c r="Z99" s="1808"/>
      <c r="AA99" s="1383">
        <f t="shared" ref="AA99:AF100" si="17">T99*USD</f>
        <v>344268.06212299998</v>
      </c>
      <c r="AB99" s="1383">
        <f t="shared" si="17"/>
        <v>302642.04365999997</v>
      </c>
      <c r="AC99" s="1383">
        <f t="shared" si="17"/>
        <v>263971.11585899995</v>
      </c>
      <c r="AD99" s="1383">
        <f t="shared" si="17"/>
        <v>199010.07113399997</v>
      </c>
      <c r="AE99" s="1383">
        <f t="shared" si="17"/>
        <v>197481.57596399999</v>
      </c>
      <c r="AF99" s="1383">
        <f t="shared" si="17"/>
        <v>198092.974032</v>
      </c>
      <c r="AG99" s="1808"/>
      <c r="AH99" s="2515">
        <f t="shared" si="13"/>
        <v>1505465.8427719998</v>
      </c>
      <c r="AI99" s="1808"/>
      <c r="AJ99" s="1808">
        <f t="shared" si="5"/>
        <v>76712.796253375127</v>
      </c>
      <c r="AK99" s="1808">
        <f t="shared" si="6"/>
        <v>0</v>
      </c>
      <c r="AL99" s="1808"/>
      <c r="AM99" s="1808"/>
      <c r="AN99" s="1808"/>
      <c r="AO99" s="1808"/>
      <c r="AP99" s="1808"/>
    </row>
    <row r="100" spans="1:42" ht="16">
      <c r="K100" s="712" t="s">
        <v>238</v>
      </c>
      <c r="L100" s="1808"/>
      <c r="M100" s="1808" t="s">
        <v>4</v>
      </c>
      <c r="N100" s="1808"/>
      <c r="O100" s="2507">
        <v>0.03</v>
      </c>
      <c r="P100" s="1808"/>
      <c r="Q100" s="1808"/>
      <c r="R100" s="734"/>
      <c r="S100" s="2500"/>
      <c r="T100" s="2503">
        <v>587.86</v>
      </c>
      <c r="U100" s="2503">
        <v>516.78</v>
      </c>
      <c r="V100" s="2503">
        <v>450.75</v>
      </c>
      <c r="W100" s="2503">
        <v>339.82</v>
      </c>
      <c r="X100" s="2503">
        <v>337.21</v>
      </c>
      <c r="Y100" s="2503">
        <v>338.26</v>
      </c>
      <c r="Z100" s="1808"/>
      <c r="AA100" s="2510">
        <f t="shared" si="17"/>
        <v>10328.059432599999</v>
      </c>
      <c r="AB100" s="2510">
        <f t="shared" si="17"/>
        <v>9079.2613097999983</v>
      </c>
      <c r="AC100" s="2510">
        <f t="shared" si="17"/>
        <v>7919.1861824999996</v>
      </c>
      <c r="AD100" s="2510">
        <f t="shared" si="17"/>
        <v>5970.2669961999991</v>
      </c>
      <c r="AE100" s="2510">
        <f t="shared" si="17"/>
        <v>5924.4121410999996</v>
      </c>
      <c r="AF100" s="2510">
        <f t="shared" si="17"/>
        <v>5942.8594965999991</v>
      </c>
      <c r="AG100" s="2511"/>
      <c r="AI100" s="2515">
        <f>SUM(AA100:AF100)</f>
        <v>45164.045558800004</v>
      </c>
      <c r="AJ100" s="1808">
        <f t="shared" si="5"/>
        <v>0</v>
      </c>
      <c r="AK100" s="1808">
        <f t="shared" si="6"/>
        <v>2301.3874685797796</v>
      </c>
      <c r="AL100" s="1808"/>
      <c r="AM100" s="1808"/>
      <c r="AN100" s="1808"/>
      <c r="AO100" s="1808"/>
      <c r="AP100" s="1808"/>
    </row>
    <row r="101" spans="1:42">
      <c r="K101" s="712" t="s">
        <v>238</v>
      </c>
      <c r="L101" s="1808"/>
      <c r="M101" s="1808"/>
      <c r="N101" s="1808"/>
      <c r="O101" s="1808"/>
      <c r="P101" s="1808"/>
      <c r="Q101" s="1808"/>
      <c r="R101" s="734"/>
      <c r="S101" s="2500"/>
      <c r="T101" s="1808"/>
      <c r="U101" s="1808"/>
      <c r="V101" s="1808"/>
      <c r="W101" s="1808"/>
      <c r="X101" s="1808"/>
      <c r="Y101" s="1808"/>
      <c r="Z101" s="1808"/>
      <c r="AA101" s="1808"/>
      <c r="AB101" s="1808"/>
      <c r="AC101" s="1808"/>
      <c r="AD101" s="1808"/>
      <c r="AE101" s="1808"/>
      <c r="AF101" s="1808"/>
      <c r="AG101" s="1808"/>
      <c r="AH101" s="2515">
        <f t="shared" si="13"/>
        <v>0</v>
      </c>
      <c r="AI101" s="1808"/>
      <c r="AJ101" s="1808">
        <f t="shared" si="5"/>
        <v>0</v>
      </c>
      <c r="AK101" s="1808">
        <f t="shared" si="6"/>
        <v>0</v>
      </c>
      <c r="AL101" s="1808"/>
      <c r="AM101" s="1808"/>
      <c r="AN101" s="1808"/>
      <c r="AO101" s="1808"/>
      <c r="AP101" s="1808"/>
    </row>
    <row r="102" spans="1:42">
      <c r="K102" s="712" t="s">
        <v>238</v>
      </c>
      <c r="L102" s="1808"/>
      <c r="M102" s="958" t="s">
        <v>3217</v>
      </c>
      <c r="N102" s="958" t="s">
        <v>616</v>
      </c>
      <c r="O102" s="958"/>
      <c r="P102" s="958"/>
      <c r="Q102" s="958"/>
      <c r="R102" s="946"/>
      <c r="S102" s="2500" t="s">
        <v>435</v>
      </c>
      <c r="T102" s="1383">
        <v>127614.26</v>
      </c>
      <c r="U102" s="1383">
        <v>119360.8</v>
      </c>
      <c r="V102" s="1383">
        <v>110298.96</v>
      </c>
      <c r="W102" s="1383">
        <v>55828.12</v>
      </c>
      <c r="X102" s="1383">
        <v>58442.879999999997</v>
      </c>
      <c r="Y102" s="1383">
        <v>61566.62</v>
      </c>
      <c r="Z102" s="1808"/>
      <c r="AA102" s="1383">
        <f t="shared" ref="AA102:AF103" si="18">T102*USD</f>
        <v>2242043.4486566</v>
      </c>
      <c r="AB102" s="1383">
        <f t="shared" si="18"/>
        <v>2097039.152728</v>
      </c>
      <c r="AC102" s="1383">
        <f t="shared" si="18"/>
        <v>1937832.5013335999</v>
      </c>
      <c r="AD102" s="1383">
        <f t="shared" si="18"/>
        <v>980839.21574919997</v>
      </c>
      <c r="AE102" s="1383">
        <f t="shared" si="18"/>
        <v>1026777.6988607999</v>
      </c>
      <c r="AF102" s="1383">
        <f t="shared" si="18"/>
        <v>1081658.4057841999</v>
      </c>
      <c r="AG102" s="1808"/>
      <c r="AH102" s="2515">
        <f>SUM(AA102:AF102)</f>
        <v>9366190.4231123999</v>
      </c>
      <c r="AI102" s="1808"/>
      <c r="AJ102" s="1808">
        <f t="shared" si="5"/>
        <v>477265.33354988351</v>
      </c>
      <c r="AK102" s="1808">
        <f t="shared" si="6"/>
        <v>0</v>
      </c>
      <c r="AL102" s="1808"/>
      <c r="AM102" s="1808"/>
      <c r="AN102" s="1808"/>
      <c r="AO102" s="1808"/>
      <c r="AP102" s="1808"/>
    </row>
    <row r="103" spans="1:42" ht="16">
      <c r="K103" s="712" t="s">
        <v>238</v>
      </c>
      <c r="L103" s="1808"/>
      <c r="M103" s="2501" t="s">
        <v>4</v>
      </c>
      <c r="N103" s="2501"/>
      <c r="O103" s="2507">
        <v>0.03</v>
      </c>
      <c r="P103" s="2501"/>
      <c r="Q103" s="1808"/>
      <c r="R103" s="734"/>
      <c r="S103" s="2500"/>
      <c r="T103" s="2503">
        <v>3828.43</v>
      </c>
      <c r="U103" s="2503">
        <v>3580.82</v>
      </c>
      <c r="V103" s="2503">
        <v>3308.97</v>
      </c>
      <c r="W103" s="2503">
        <v>1674.84</v>
      </c>
      <c r="X103" s="2503">
        <v>1753.29</v>
      </c>
      <c r="Y103" s="2503">
        <v>1847</v>
      </c>
      <c r="Z103" s="1808"/>
      <c r="AA103" s="2510">
        <f t="shared" si="18"/>
        <v>67261.342111299993</v>
      </c>
      <c r="AB103" s="2510">
        <f t="shared" si="18"/>
        <v>62911.104306200003</v>
      </c>
      <c r="AC103" s="2510">
        <f t="shared" si="18"/>
        <v>58134.996122699995</v>
      </c>
      <c r="AD103" s="2510">
        <f t="shared" si="18"/>
        <v>29425.113224399996</v>
      </c>
      <c r="AE103" s="2510">
        <f t="shared" si="18"/>
        <v>30803.394213899999</v>
      </c>
      <c r="AF103" s="2510">
        <f t="shared" si="18"/>
        <v>32449.776769999997</v>
      </c>
      <c r="AI103" s="2515">
        <f>SUM(AA103:AF103)</f>
        <v>280985.72674850002</v>
      </c>
      <c r="AJ103" s="1808"/>
      <c r="AK103" s="1808"/>
      <c r="AL103" s="1808"/>
      <c r="AM103" s="1808"/>
      <c r="AN103" s="1808"/>
      <c r="AO103" s="1808"/>
      <c r="AP103" s="1808"/>
    </row>
    <row r="104" spans="1:42">
      <c r="K104" s="712" t="s">
        <v>238</v>
      </c>
      <c r="L104" s="1808"/>
      <c r="M104" s="1808"/>
      <c r="N104" s="1808"/>
      <c r="O104" s="1808"/>
      <c r="P104" s="1808"/>
      <c r="Q104" s="1808"/>
      <c r="R104" s="734"/>
      <c r="S104" s="734"/>
      <c r="T104" s="1808"/>
      <c r="U104" s="1808"/>
      <c r="V104" s="1808"/>
      <c r="W104" s="1808"/>
      <c r="X104" s="1808"/>
      <c r="Y104" s="1808"/>
      <c r="Z104" s="1808"/>
      <c r="AA104" s="1808"/>
      <c r="AB104" s="1808"/>
      <c r="AC104" s="1808"/>
      <c r="AD104" s="1808"/>
      <c r="AE104" s="1808"/>
      <c r="AF104" s="1808"/>
      <c r="AG104" s="1808"/>
      <c r="AH104" s="1808" t="s">
        <v>3525</v>
      </c>
      <c r="AI104" s="1808"/>
      <c r="AJ104" s="1808"/>
      <c r="AK104" s="1808"/>
      <c r="AL104" s="1808"/>
      <c r="AM104" s="1808"/>
      <c r="AN104" s="1808"/>
      <c r="AO104" s="1808"/>
      <c r="AP104" s="1808"/>
    </row>
    <row r="105" spans="1:42" ht="16" thickBot="1">
      <c r="A105" s="2157">
        <v>111</v>
      </c>
      <c r="B105" s="841">
        <f>AA106</f>
        <v>3392726.8771122</v>
      </c>
      <c r="C105" s="841">
        <f t="shared" ref="C105:D105" si="19">AB106</f>
        <v>2467330.6668266403</v>
      </c>
      <c r="D105" s="841">
        <f t="shared" si="19"/>
        <v>3948853.4793260694</v>
      </c>
      <c r="E105" s="841"/>
      <c r="F105" s="841"/>
      <c r="G105" s="841" t="s">
        <v>351</v>
      </c>
      <c r="H105" s="841" t="s">
        <v>3223</v>
      </c>
      <c r="I105" s="2183"/>
      <c r="J105" s="841" t="s">
        <v>2931</v>
      </c>
      <c r="K105" s="712" t="s">
        <v>238</v>
      </c>
      <c r="M105" s="841" t="s">
        <v>2931</v>
      </c>
    </row>
    <row r="106" spans="1:42" ht="16" thickBot="1">
      <c r="A106" s="2157">
        <v>112</v>
      </c>
      <c r="B106" s="841">
        <f>AD106</f>
        <v>1470178.3286745499</v>
      </c>
      <c r="C106" s="841">
        <f t="shared" ref="C106:D106" si="20">AE106</f>
        <v>1245812.3287311299</v>
      </c>
      <c r="D106" s="841">
        <f t="shared" si="20"/>
        <v>1715292.18003723</v>
      </c>
      <c r="E106" s="841"/>
      <c r="F106" s="841"/>
      <c r="G106" s="841" t="s">
        <v>351</v>
      </c>
      <c r="H106" s="841" t="s">
        <v>3224</v>
      </c>
      <c r="I106" s="2183"/>
      <c r="J106" s="841" t="s">
        <v>2931</v>
      </c>
      <c r="K106" s="712" t="s">
        <v>238</v>
      </c>
      <c r="M106" s="2512" t="s">
        <v>4073</v>
      </c>
      <c r="N106" s="2513" t="s">
        <v>3525</v>
      </c>
      <c r="O106" s="2513"/>
      <c r="P106" s="2513"/>
      <c r="Q106" s="2513"/>
      <c r="R106" s="2513"/>
      <c r="S106" s="2513"/>
      <c r="T106" s="2513"/>
      <c r="U106" s="2513"/>
      <c r="V106" s="2513"/>
      <c r="W106" s="2513"/>
      <c r="X106" s="2513"/>
      <c r="Y106" s="2513"/>
      <c r="Z106" s="2513"/>
      <c r="AA106" s="2514">
        <f>AA86+AA87+AA88+AA90+AA91+AA93+AA94+AA99+AA100+AA96+AA97</f>
        <v>3392726.8771122</v>
      </c>
      <c r="AB106" s="2514">
        <f t="shared" ref="AB106:AF106" si="21">AB86+AB87+AB88+AB90+AB91+AB93+AB94+AB99+AB100+AB96+AB97</f>
        <v>2467330.6668266403</v>
      </c>
      <c r="AC106" s="2514">
        <f t="shared" si="21"/>
        <v>3948853.4793260694</v>
      </c>
      <c r="AD106" s="2514">
        <f t="shared" si="21"/>
        <v>1470178.3286745499</v>
      </c>
      <c r="AE106" s="2514">
        <f t="shared" si="21"/>
        <v>1245812.3287311299</v>
      </c>
      <c r="AF106" s="2514">
        <f t="shared" si="21"/>
        <v>1715292.18003723</v>
      </c>
    </row>
    <row r="107" spans="1:42">
      <c r="K107" s="712" t="s">
        <v>238</v>
      </c>
      <c r="AG107" s="836">
        <v>1188550.2244842602</v>
      </c>
    </row>
    <row r="108" spans="1:42">
      <c r="K108" s="712" t="s">
        <v>238</v>
      </c>
    </row>
    <row r="109" spans="1:42">
      <c r="K109" s="712" t="s">
        <v>238</v>
      </c>
      <c r="M109" s="841" t="s">
        <v>2927</v>
      </c>
      <c r="AH109">
        <f>AH86</f>
        <v>1773902.6400000001</v>
      </c>
    </row>
    <row r="110" spans="1:42" ht="16" thickBot="1">
      <c r="A110" s="2157">
        <v>113</v>
      </c>
      <c r="B110" s="841">
        <f>AA111</f>
        <v>2309304.7907679002</v>
      </c>
      <c r="C110" s="841">
        <f t="shared" ref="C110:D110" si="22">AB111</f>
        <v>2159950.2570341998</v>
      </c>
      <c r="D110" s="841">
        <f t="shared" si="22"/>
        <v>1995967.4974562998</v>
      </c>
      <c r="E110" s="841"/>
      <c r="F110" s="841"/>
      <c r="G110" s="841" t="s">
        <v>351</v>
      </c>
      <c r="H110" s="841" t="s">
        <v>4092</v>
      </c>
      <c r="I110" s="2183"/>
      <c r="J110" s="841" t="s">
        <v>2927</v>
      </c>
      <c r="K110" s="712" t="s">
        <v>238</v>
      </c>
      <c r="AH110">
        <f>AH87+AH93+AH96</f>
        <v>7204119.5127347987</v>
      </c>
    </row>
    <row r="111" spans="1:42" ht="16" thickBot="1">
      <c r="A111" s="2157">
        <v>114</v>
      </c>
      <c r="B111" s="841">
        <f>AD111</f>
        <v>1010264.3289735999</v>
      </c>
      <c r="C111" s="841">
        <f t="shared" ref="C111:D111" si="23">AE111</f>
        <v>1057581.0930746999</v>
      </c>
      <c r="D111" s="841">
        <f t="shared" si="23"/>
        <v>1114108.1825541998</v>
      </c>
      <c r="E111" s="841"/>
      <c r="F111" s="841"/>
      <c r="G111" s="841" t="s">
        <v>351</v>
      </c>
      <c r="H111" s="841" t="s">
        <v>4093</v>
      </c>
      <c r="I111" s="2183"/>
      <c r="J111" s="841" t="s">
        <v>2927</v>
      </c>
      <c r="K111" s="712" t="s">
        <v>238</v>
      </c>
      <c r="L111" s="1808"/>
      <c r="M111" s="2512" t="s">
        <v>4073</v>
      </c>
      <c r="N111" s="2513" t="s">
        <v>3525</v>
      </c>
      <c r="O111" s="2513"/>
      <c r="P111" s="2513"/>
      <c r="Q111" s="2513"/>
      <c r="R111" s="2513"/>
      <c r="S111" s="2513"/>
      <c r="T111" s="2513"/>
      <c r="U111" s="2513"/>
      <c r="V111" s="2513"/>
      <c r="W111" s="2513"/>
      <c r="X111" s="2513"/>
      <c r="Y111" s="2513"/>
      <c r="Z111" s="2513"/>
      <c r="AA111" s="2514">
        <f>AA102+AA103</f>
        <v>2309304.7907679002</v>
      </c>
      <c r="AB111" s="2514">
        <f t="shared" ref="AB111:AF111" si="24">AB102+AB103</f>
        <v>2159950.2570341998</v>
      </c>
      <c r="AC111" s="2514">
        <f t="shared" si="24"/>
        <v>1995967.4974562998</v>
      </c>
      <c r="AD111" s="2514">
        <f t="shared" si="24"/>
        <v>1010264.3289735999</v>
      </c>
      <c r="AE111" s="2514">
        <f t="shared" si="24"/>
        <v>1057581.0930746999</v>
      </c>
      <c r="AF111" s="2514">
        <f t="shared" si="24"/>
        <v>1114108.1825541998</v>
      </c>
      <c r="AG111" s="1808"/>
      <c r="AH111" s="1808">
        <f>AH88+AH90</f>
        <v>3475266.1055100001</v>
      </c>
    </row>
    <row r="112" spans="1:42">
      <c r="K112" s="712" t="s">
        <v>238</v>
      </c>
      <c r="L112" s="1808"/>
      <c r="M112" s="1808"/>
      <c r="N112" s="1808"/>
      <c r="O112" s="1808"/>
      <c r="P112" s="734"/>
      <c r="Q112" s="1808"/>
      <c r="R112" s="1808"/>
      <c r="S112" s="1808"/>
      <c r="T112" s="1808"/>
      <c r="U112" s="1808"/>
      <c r="V112" s="1808"/>
      <c r="W112" s="1808"/>
      <c r="X112" s="1808"/>
      <c r="Y112" s="1808"/>
      <c r="Z112" s="1808"/>
      <c r="AA112" s="1808"/>
      <c r="AB112" s="1808"/>
      <c r="AC112" s="1808"/>
      <c r="AD112" s="1808"/>
      <c r="AE112" s="1808"/>
      <c r="AF112" s="1808"/>
      <c r="AG112" s="1808"/>
      <c r="AH112" s="1808">
        <f>AH99</f>
        <v>1505465.8427719998</v>
      </c>
    </row>
    <row r="113" spans="11:34">
      <c r="K113" s="712" t="s">
        <v>238</v>
      </c>
      <c r="L113" s="1808"/>
      <c r="M113" s="1808"/>
      <c r="N113" s="1808"/>
      <c r="O113" s="1808"/>
      <c r="P113" s="734"/>
      <c r="Q113" s="1808"/>
      <c r="R113" s="1808"/>
      <c r="S113" s="1808"/>
      <c r="T113" s="1808"/>
      <c r="U113" s="1808"/>
      <c r="V113" s="1808"/>
      <c r="W113" s="1808"/>
      <c r="X113" s="1808"/>
      <c r="Y113" s="1808"/>
      <c r="Z113" s="1808"/>
      <c r="AA113" s="1808"/>
      <c r="AB113" s="1808"/>
      <c r="AC113" s="1808"/>
      <c r="AD113" s="1808"/>
      <c r="AE113" s="1808"/>
      <c r="AF113" s="1808"/>
      <c r="AG113" s="1808"/>
      <c r="AH113" s="1808"/>
    </row>
    <row r="114" spans="11:34">
      <c r="K114" s="712" t="s">
        <v>238</v>
      </c>
      <c r="L114" s="1808"/>
      <c r="M114" s="1808"/>
      <c r="N114" s="1808"/>
      <c r="O114" s="1808"/>
      <c r="P114" s="734"/>
      <c r="Q114" s="1808"/>
      <c r="R114" s="1808"/>
      <c r="S114" s="1808"/>
      <c r="T114" s="1808"/>
      <c r="U114" s="1808"/>
      <c r="V114" s="1808"/>
      <c r="W114" s="1808"/>
      <c r="X114" s="1808"/>
      <c r="Y114" s="1808"/>
      <c r="Z114" s="1808"/>
      <c r="AA114" s="1808"/>
      <c r="AB114" s="1808"/>
      <c r="AC114" s="1808"/>
      <c r="AD114" s="1808"/>
      <c r="AE114" s="1808"/>
      <c r="AF114" s="1808"/>
    </row>
    <row r="115" spans="11:34">
      <c r="K115" s="712" t="s">
        <v>238</v>
      </c>
    </row>
    <row r="116" spans="11:34">
      <c r="K116" s="712" t="s">
        <v>238</v>
      </c>
    </row>
    <row r="117" spans="11:34">
      <c r="K117" s="712" t="s">
        <v>238</v>
      </c>
    </row>
    <row r="118" spans="11:34">
      <c r="K118" s="712" t="s">
        <v>238</v>
      </c>
    </row>
    <row r="119" spans="11:34">
      <c r="K119" s="712" t="s">
        <v>238</v>
      </c>
    </row>
    <row r="120" spans="11:34">
      <c r="K120" s="712" t="s">
        <v>238</v>
      </c>
    </row>
    <row r="121" spans="11:34">
      <c r="K121" s="712" t="s">
        <v>238</v>
      </c>
    </row>
    <row r="122" spans="11:34">
      <c r="K122" s="712" t="s">
        <v>238</v>
      </c>
    </row>
    <row r="123" spans="11:34">
      <c r="K123" s="712" t="s">
        <v>238</v>
      </c>
    </row>
    <row r="124" spans="11:34">
      <c r="K124" s="712" t="s">
        <v>238</v>
      </c>
    </row>
    <row r="125" spans="11:34">
      <c r="K125" s="712" t="s">
        <v>238</v>
      </c>
    </row>
    <row r="126" spans="11:34">
      <c r="K126" s="712" t="s">
        <v>238</v>
      </c>
    </row>
    <row r="127" spans="11:34">
      <c r="K127" s="712" t="s">
        <v>238</v>
      </c>
    </row>
    <row r="128" spans="11:34">
      <c r="K128" s="712" t="s">
        <v>238</v>
      </c>
    </row>
    <row r="129" spans="11:11">
      <c r="K129" s="712" t="s">
        <v>238</v>
      </c>
    </row>
    <row r="130" spans="11:11">
      <c r="K130" s="712" t="s">
        <v>238</v>
      </c>
    </row>
    <row r="131" spans="11:11">
      <c r="K131" s="712" t="s">
        <v>238</v>
      </c>
    </row>
    <row r="132" spans="11:11">
      <c r="K132" s="712" t="s">
        <v>238</v>
      </c>
    </row>
    <row r="133" spans="11:11">
      <c r="K133" s="712" t="s">
        <v>238</v>
      </c>
    </row>
    <row r="134" spans="11:11">
      <c r="K134" s="712" t="s">
        <v>238</v>
      </c>
    </row>
    <row r="135" spans="11:11">
      <c r="K135" s="712" t="s">
        <v>238</v>
      </c>
    </row>
    <row r="136" spans="11:11">
      <c r="K136" s="712" t="s">
        <v>238</v>
      </c>
    </row>
    <row r="137" spans="11:11">
      <c r="K137" s="712" t="s">
        <v>238</v>
      </c>
    </row>
    <row r="138" spans="11:11">
      <c r="K138" s="712" t="s">
        <v>238</v>
      </c>
    </row>
    <row r="139" spans="11:11">
      <c r="K139" s="712" t="s">
        <v>238</v>
      </c>
    </row>
    <row r="140" spans="11:11">
      <c r="K140" s="712" t="s">
        <v>238</v>
      </c>
    </row>
    <row r="141" spans="11:11">
      <c r="K141" s="712" t="s">
        <v>238</v>
      </c>
    </row>
    <row r="142" spans="11:11">
      <c r="K142" s="712" t="s">
        <v>238</v>
      </c>
    </row>
    <row r="143" spans="11:11">
      <c r="K143" s="712" t="s">
        <v>238</v>
      </c>
    </row>
    <row r="144" spans="11:11">
      <c r="K144" s="712" t="s">
        <v>238</v>
      </c>
    </row>
    <row r="145" spans="11:11">
      <c r="K145" s="712" t="s">
        <v>238</v>
      </c>
    </row>
    <row r="146" spans="11:11">
      <c r="K146" s="712" t="s">
        <v>238</v>
      </c>
    </row>
    <row r="147" spans="11:11">
      <c r="K147" s="712" t="s">
        <v>238</v>
      </c>
    </row>
    <row r="148" spans="11:11">
      <c r="K148" s="712" t="s">
        <v>238</v>
      </c>
    </row>
    <row r="149" spans="11:11">
      <c r="K149" s="712" t="s">
        <v>238</v>
      </c>
    </row>
    <row r="150" spans="11:11">
      <c r="K150" s="712" t="s">
        <v>238</v>
      </c>
    </row>
    <row r="151" spans="11:11">
      <c r="K151" s="712" t="s">
        <v>238</v>
      </c>
    </row>
    <row r="152" spans="11:11">
      <c r="K152" s="712" t="s">
        <v>238</v>
      </c>
    </row>
    <row r="153" spans="11:11">
      <c r="K153" s="712" t="s">
        <v>238</v>
      </c>
    </row>
    <row r="154" spans="11:11">
      <c r="K154" s="712" t="s">
        <v>238</v>
      </c>
    </row>
    <row r="155" spans="11:11">
      <c r="K155" s="712" t="s">
        <v>238</v>
      </c>
    </row>
    <row r="156" spans="11:11">
      <c r="K156" s="712" t="s">
        <v>238</v>
      </c>
    </row>
    <row r="157" spans="11:11">
      <c r="K157" s="712" t="s">
        <v>238</v>
      </c>
    </row>
    <row r="158" spans="11:11">
      <c r="K158" s="712" t="s">
        <v>238</v>
      </c>
    </row>
    <row r="159" spans="11:11">
      <c r="K159" s="712" t="s">
        <v>238</v>
      </c>
    </row>
    <row r="160" spans="11:11">
      <c r="K160" s="712" t="s">
        <v>238</v>
      </c>
    </row>
    <row r="161" spans="11:11">
      <c r="K161" s="712" t="s">
        <v>238</v>
      </c>
    </row>
    <row r="162" spans="11:11">
      <c r="K162" s="712" t="s">
        <v>238</v>
      </c>
    </row>
    <row r="163" spans="11:11">
      <c r="K163" s="712" t="s">
        <v>238</v>
      </c>
    </row>
    <row r="164" spans="11:11">
      <c r="K164" s="712" t="s">
        <v>238</v>
      </c>
    </row>
    <row r="165" spans="11:11">
      <c r="K165" s="712" t="s">
        <v>238</v>
      </c>
    </row>
    <row r="166" spans="11:11">
      <c r="K166" s="712" t="s">
        <v>238</v>
      </c>
    </row>
    <row r="167" spans="11:11">
      <c r="K167" s="712" t="s">
        <v>238</v>
      </c>
    </row>
    <row r="168" spans="11:11">
      <c r="K168" s="712" t="s">
        <v>238</v>
      </c>
    </row>
    <row r="169" spans="11:11">
      <c r="K169" s="712" t="s">
        <v>238</v>
      </c>
    </row>
    <row r="170" spans="11:11">
      <c r="K170" s="712" t="s">
        <v>238</v>
      </c>
    </row>
    <row r="171" spans="11:11">
      <c r="K171" s="712" t="s">
        <v>238</v>
      </c>
    </row>
    <row r="172" spans="11:11">
      <c r="K172" s="712" t="s">
        <v>238</v>
      </c>
    </row>
    <row r="173" spans="11:11">
      <c r="K173" s="712" t="s">
        <v>238</v>
      </c>
    </row>
    <row r="174" spans="11:11">
      <c r="K174" s="712" t="s">
        <v>238</v>
      </c>
    </row>
    <row r="175" spans="11:11">
      <c r="K175" s="712" t="s">
        <v>238</v>
      </c>
    </row>
    <row r="176" spans="11:11">
      <c r="K176" s="712" t="s">
        <v>238</v>
      </c>
    </row>
    <row r="177" spans="11:11">
      <c r="K177" s="712" t="s">
        <v>238</v>
      </c>
    </row>
    <row r="178" spans="11:11">
      <c r="K178" s="712" t="s">
        <v>238</v>
      </c>
    </row>
    <row r="179" spans="11:11">
      <c r="K179" s="712" t="s">
        <v>238</v>
      </c>
    </row>
    <row r="180" spans="11:11">
      <c r="K180" s="712" t="s">
        <v>238</v>
      </c>
    </row>
    <row r="181" spans="11:11">
      <c r="K181" s="712" t="s">
        <v>238</v>
      </c>
    </row>
    <row r="182" spans="11:11">
      <c r="K182" s="712" t="s">
        <v>238</v>
      </c>
    </row>
    <row r="183" spans="11:11">
      <c r="K183" s="712" t="s">
        <v>238</v>
      </c>
    </row>
    <row r="184" spans="11:11">
      <c r="K184" s="712" t="s">
        <v>238</v>
      </c>
    </row>
    <row r="185" spans="11:11">
      <c r="K185" s="712" t="s">
        <v>238</v>
      </c>
    </row>
    <row r="186" spans="11:11">
      <c r="K186" s="712" t="s">
        <v>238</v>
      </c>
    </row>
    <row r="187" spans="11:11">
      <c r="K187" s="712" t="s">
        <v>238</v>
      </c>
    </row>
    <row r="188" spans="11:11">
      <c r="K188" s="712" t="s">
        <v>238</v>
      </c>
    </row>
    <row r="189" spans="11:11">
      <c r="K189" s="712" t="s">
        <v>238</v>
      </c>
    </row>
    <row r="190" spans="11:11">
      <c r="K190" s="712" t="s">
        <v>238</v>
      </c>
    </row>
    <row r="191" spans="11:11">
      <c r="K191" s="712" t="s">
        <v>238</v>
      </c>
    </row>
    <row r="192" spans="11:11">
      <c r="K192" s="712" t="s">
        <v>238</v>
      </c>
    </row>
    <row r="193" spans="11:11">
      <c r="K193" s="712" t="s">
        <v>238</v>
      </c>
    </row>
    <row r="194" spans="11:11">
      <c r="K194" s="712" t="s">
        <v>238</v>
      </c>
    </row>
    <row r="195" spans="11:11">
      <c r="K195" s="712" t="s">
        <v>238</v>
      </c>
    </row>
    <row r="196" spans="11:11">
      <c r="K196" s="712" t="s">
        <v>238</v>
      </c>
    </row>
    <row r="197" spans="11:11">
      <c r="K197" s="712" t="s">
        <v>238</v>
      </c>
    </row>
    <row r="198" spans="11:11">
      <c r="K198" s="712" t="s">
        <v>238</v>
      </c>
    </row>
    <row r="199" spans="11:11">
      <c r="K199" s="712" t="s">
        <v>238</v>
      </c>
    </row>
    <row r="200" spans="11:11">
      <c r="K200" s="712" t="s">
        <v>238</v>
      </c>
    </row>
    <row r="201" spans="11:11">
      <c r="K201" s="712" t="s">
        <v>238</v>
      </c>
    </row>
    <row r="202" spans="11:11">
      <c r="K202" s="712" t="s">
        <v>238</v>
      </c>
    </row>
    <row r="203" spans="11:11">
      <c r="K203" s="712" t="s">
        <v>238</v>
      </c>
    </row>
    <row r="204" spans="11:11">
      <c r="K204" s="712" t="s">
        <v>238</v>
      </c>
    </row>
    <row r="205" spans="11:11">
      <c r="K205" s="712" t="s">
        <v>238</v>
      </c>
    </row>
    <row r="206" spans="11:11">
      <c r="K206" s="712" t="s">
        <v>238</v>
      </c>
    </row>
    <row r="207" spans="11:11">
      <c r="K207" s="712" t="s">
        <v>238</v>
      </c>
    </row>
    <row r="208" spans="11:11">
      <c r="K208" s="712" t="s">
        <v>238</v>
      </c>
    </row>
    <row r="209" spans="11:11">
      <c r="K209" s="712" t="s">
        <v>238</v>
      </c>
    </row>
    <row r="210" spans="11:11">
      <c r="K210" s="712" t="s">
        <v>238</v>
      </c>
    </row>
    <row r="211" spans="11:11">
      <c r="K211" s="712" t="s">
        <v>238</v>
      </c>
    </row>
    <row r="212" spans="11:11">
      <c r="K212" s="712" t="s">
        <v>238</v>
      </c>
    </row>
    <row r="213" spans="11:11">
      <c r="K213" s="712" t="s">
        <v>238</v>
      </c>
    </row>
    <row r="214" spans="11:11">
      <c r="K214" s="712" t="s">
        <v>238</v>
      </c>
    </row>
    <row r="215" spans="11:11">
      <c r="K215" s="712" t="s">
        <v>238</v>
      </c>
    </row>
    <row r="216" spans="11:11">
      <c r="K216" s="712" t="s">
        <v>238</v>
      </c>
    </row>
    <row r="217" spans="11:11">
      <c r="K217" s="712" t="s">
        <v>238</v>
      </c>
    </row>
    <row r="218" spans="11:11">
      <c r="K218" s="712" t="s">
        <v>238</v>
      </c>
    </row>
    <row r="219" spans="11:11">
      <c r="K219" s="712" t="s">
        <v>238</v>
      </c>
    </row>
    <row r="220" spans="11:11">
      <c r="K220" s="712" t="s">
        <v>238</v>
      </c>
    </row>
    <row r="221" spans="11:11">
      <c r="K221" s="712" t="s">
        <v>238</v>
      </c>
    </row>
    <row r="222" spans="11:11">
      <c r="K222" s="712" t="s">
        <v>238</v>
      </c>
    </row>
    <row r="223" spans="11:11">
      <c r="K223" s="712" t="s">
        <v>238</v>
      </c>
    </row>
    <row r="224" spans="11:11">
      <c r="K224" s="712" t="s">
        <v>238</v>
      </c>
    </row>
    <row r="225" spans="11:11">
      <c r="K225" s="712" t="s">
        <v>238</v>
      </c>
    </row>
    <row r="226" spans="11:11">
      <c r="K226" s="712" t="s">
        <v>238</v>
      </c>
    </row>
    <row r="227" spans="11:11">
      <c r="K227" s="712" t="s">
        <v>238</v>
      </c>
    </row>
    <row r="228" spans="11:11">
      <c r="K228" s="712" t="s">
        <v>238</v>
      </c>
    </row>
    <row r="229" spans="11:11">
      <c r="K229" s="712" t="s">
        <v>238</v>
      </c>
    </row>
    <row r="230" spans="11:11">
      <c r="K230" s="712" t="s">
        <v>238</v>
      </c>
    </row>
    <row r="231" spans="11:11">
      <c r="K231" s="712" t="s">
        <v>238</v>
      </c>
    </row>
    <row r="232" spans="11:11">
      <c r="K232" s="712" t="s">
        <v>238</v>
      </c>
    </row>
    <row r="233" spans="11:11">
      <c r="K233" s="712" t="s">
        <v>238</v>
      </c>
    </row>
    <row r="234" spans="11:11">
      <c r="K234" s="712" t="s">
        <v>238</v>
      </c>
    </row>
    <row r="235" spans="11:11">
      <c r="K235" s="712" t="s">
        <v>238</v>
      </c>
    </row>
    <row r="236" spans="11:11">
      <c r="K236" s="712" t="s">
        <v>238</v>
      </c>
    </row>
    <row r="237" spans="11:11">
      <c r="K237" s="712" t="s">
        <v>238</v>
      </c>
    </row>
    <row r="238" spans="11:11">
      <c r="K238" s="712" t="s">
        <v>238</v>
      </c>
    </row>
    <row r="239" spans="11:11">
      <c r="K239" s="712" t="s">
        <v>238</v>
      </c>
    </row>
    <row r="240" spans="11:11">
      <c r="K240" s="712" t="s">
        <v>238</v>
      </c>
    </row>
    <row r="241" spans="11:11">
      <c r="K241" s="712" t="s">
        <v>238</v>
      </c>
    </row>
    <row r="242" spans="11:11">
      <c r="K242" s="712" t="s">
        <v>238</v>
      </c>
    </row>
    <row r="243" spans="11:11">
      <c r="K243" s="712" t="s">
        <v>238</v>
      </c>
    </row>
    <row r="244" spans="11:11">
      <c r="K244" s="712" t="s">
        <v>238</v>
      </c>
    </row>
    <row r="245" spans="11:11">
      <c r="K245" s="712" t="s">
        <v>238</v>
      </c>
    </row>
    <row r="246" spans="11:11">
      <c r="K246" s="712" t="s">
        <v>238</v>
      </c>
    </row>
    <row r="247" spans="11:11">
      <c r="K247" s="712" t="s">
        <v>238</v>
      </c>
    </row>
    <row r="248" spans="11:11">
      <c r="K248" s="712" t="s">
        <v>238</v>
      </c>
    </row>
    <row r="249" spans="11:11">
      <c r="K249" s="712" t="s">
        <v>238</v>
      </c>
    </row>
    <row r="250" spans="11:11">
      <c r="K250" s="712" t="s">
        <v>238</v>
      </c>
    </row>
    <row r="251" spans="11:11">
      <c r="K251" s="712" t="s">
        <v>238</v>
      </c>
    </row>
    <row r="252" spans="11:11">
      <c r="K252" s="712" t="s">
        <v>238</v>
      </c>
    </row>
    <row r="253" spans="11:11">
      <c r="K253" s="712" t="s">
        <v>238</v>
      </c>
    </row>
    <row r="254" spans="11:11">
      <c r="K254" s="712" t="s">
        <v>238</v>
      </c>
    </row>
    <row r="255" spans="11:11">
      <c r="K255" s="712" t="s">
        <v>238</v>
      </c>
    </row>
    <row r="256" spans="11:11">
      <c r="K256" s="712" t="s">
        <v>238</v>
      </c>
    </row>
    <row r="257" spans="11:11">
      <c r="K257" s="712" t="s">
        <v>238</v>
      </c>
    </row>
    <row r="258" spans="11:11">
      <c r="K258" s="712" t="s">
        <v>238</v>
      </c>
    </row>
    <row r="259" spans="11:11">
      <c r="K259" s="712" t="s">
        <v>238</v>
      </c>
    </row>
    <row r="260" spans="11:11">
      <c r="K260" s="712" t="s">
        <v>238</v>
      </c>
    </row>
    <row r="261" spans="11:11">
      <c r="K261" s="712" t="s">
        <v>238</v>
      </c>
    </row>
    <row r="262" spans="11:11">
      <c r="K262" s="712" t="s">
        <v>238</v>
      </c>
    </row>
    <row r="263" spans="11:11">
      <c r="K263" s="712" t="s">
        <v>238</v>
      </c>
    </row>
    <row r="264" spans="11:11">
      <c r="K264" s="712" t="s">
        <v>238</v>
      </c>
    </row>
    <row r="265" spans="11:11">
      <c r="K265" s="712" t="s">
        <v>238</v>
      </c>
    </row>
    <row r="266" spans="11:11">
      <c r="K266" s="712" t="s">
        <v>238</v>
      </c>
    </row>
    <row r="267" spans="11:11">
      <c r="K267" s="712" t="s">
        <v>238</v>
      </c>
    </row>
    <row r="268" spans="11:11">
      <c r="K268" s="712" t="s">
        <v>238</v>
      </c>
    </row>
    <row r="269" spans="11:11">
      <c r="K269" s="712" t="s">
        <v>238</v>
      </c>
    </row>
    <row r="270" spans="11:11">
      <c r="K270" s="712" t="s">
        <v>238</v>
      </c>
    </row>
    <row r="271" spans="11:11">
      <c r="K271" s="712" t="s">
        <v>238</v>
      </c>
    </row>
    <row r="272" spans="11:11">
      <c r="K272" s="712" t="s">
        <v>238</v>
      </c>
    </row>
    <row r="273" spans="11:11">
      <c r="K273" s="712" t="s">
        <v>238</v>
      </c>
    </row>
    <row r="274" spans="11:11">
      <c r="K274" s="712" t="s">
        <v>238</v>
      </c>
    </row>
    <row r="275" spans="11:11">
      <c r="K275" s="712" t="s">
        <v>238</v>
      </c>
    </row>
    <row r="276" spans="11:11">
      <c r="K276" s="712" t="s">
        <v>238</v>
      </c>
    </row>
    <row r="277" spans="11:11">
      <c r="K277" s="712" t="s">
        <v>238</v>
      </c>
    </row>
    <row r="278" spans="11:11">
      <c r="K278" s="712" t="s">
        <v>238</v>
      </c>
    </row>
    <row r="279" spans="11:11">
      <c r="K279" s="712" t="s">
        <v>238</v>
      </c>
    </row>
    <row r="280" spans="11:11">
      <c r="K280" s="712" t="s">
        <v>238</v>
      </c>
    </row>
    <row r="281" spans="11:11">
      <c r="K281" s="712" t="s">
        <v>238</v>
      </c>
    </row>
    <row r="282" spans="11:11">
      <c r="K282" s="712" t="s">
        <v>238</v>
      </c>
    </row>
    <row r="283" spans="11:11">
      <c r="K283" s="712" t="s">
        <v>238</v>
      </c>
    </row>
    <row r="284" spans="11:11">
      <c r="K284" s="712" t="s">
        <v>238</v>
      </c>
    </row>
    <row r="285" spans="11:11">
      <c r="K285" s="712" t="s">
        <v>238</v>
      </c>
    </row>
    <row r="286" spans="11:11">
      <c r="K286" s="712" t="s">
        <v>238</v>
      </c>
    </row>
    <row r="287" spans="11:11">
      <c r="K287" s="712" t="s">
        <v>238</v>
      </c>
    </row>
    <row r="288" spans="11:11">
      <c r="K288" s="712" t="s">
        <v>238</v>
      </c>
    </row>
    <row r="289" spans="11:11">
      <c r="K289" s="712" t="s">
        <v>238</v>
      </c>
    </row>
    <row r="290" spans="11:11">
      <c r="K290" s="712" t="s">
        <v>238</v>
      </c>
    </row>
    <row r="291" spans="11:11">
      <c r="K291" s="712" t="s">
        <v>238</v>
      </c>
    </row>
    <row r="292" spans="11:11">
      <c r="K292" s="712" t="s">
        <v>238</v>
      </c>
    </row>
    <row r="293" spans="11:11">
      <c r="K293" s="712" t="s">
        <v>238</v>
      </c>
    </row>
    <row r="294" spans="11:11">
      <c r="K294" s="712" t="s">
        <v>238</v>
      </c>
    </row>
    <row r="295" spans="11:11">
      <c r="K295" s="712" t="s">
        <v>238</v>
      </c>
    </row>
    <row r="296" spans="11:11">
      <c r="K296" s="712" t="s">
        <v>238</v>
      </c>
    </row>
    <row r="297" spans="11:11">
      <c r="K297" s="712" t="s">
        <v>238</v>
      </c>
    </row>
    <row r="298" spans="11:11">
      <c r="K298" s="712" t="s">
        <v>238</v>
      </c>
    </row>
    <row r="299" spans="11:11">
      <c r="K299" s="712" t="s">
        <v>238</v>
      </c>
    </row>
    <row r="300" spans="11:11">
      <c r="K300" s="712" t="s">
        <v>238</v>
      </c>
    </row>
    <row r="301" spans="11:11">
      <c r="K301" s="712" t="s">
        <v>238</v>
      </c>
    </row>
    <row r="302" spans="11:11">
      <c r="K302" s="712" t="s">
        <v>238</v>
      </c>
    </row>
    <row r="303" spans="11:11">
      <c r="K303" s="712" t="s">
        <v>238</v>
      </c>
    </row>
    <row r="304" spans="11:11">
      <c r="K304" s="712" t="s">
        <v>238</v>
      </c>
    </row>
    <row r="305" spans="11:11">
      <c r="K305" s="712" t="s">
        <v>238</v>
      </c>
    </row>
    <row r="306" spans="11:11">
      <c r="K306" s="712" t="s">
        <v>238</v>
      </c>
    </row>
    <row r="307" spans="11:11">
      <c r="K307" s="712" t="s">
        <v>238</v>
      </c>
    </row>
    <row r="308" spans="11:11">
      <c r="K308" s="712" t="s">
        <v>238</v>
      </c>
    </row>
    <row r="309" spans="11:11">
      <c r="K309" s="712" t="s">
        <v>238</v>
      </c>
    </row>
    <row r="310" spans="11:11">
      <c r="K310" s="712" t="s">
        <v>238</v>
      </c>
    </row>
    <row r="311" spans="11:11">
      <c r="K311" s="712" t="s">
        <v>238</v>
      </c>
    </row>
    <row r="312" spans="11:11">
      <c r="K312" s="712" t="s">
        <v>238</v>
      </c>
    </row>
    <row r="313" spans="11:11">
      <c r="K313" s="712" t="s">
        <v>238</v>
      </c>
    </row>
    <row r="314" spans="11:11">
      <c r="K314" s="712" t="s">
        <v>238</v>
      </c>
    </row>
    <row r="315" spans="11:11">
      <c r="K315" s="712" t="s">
        <v>238</v>
      </c>
    </row>
    <row r="316" spans="11:11">
      <c r="K316" s="712" t="s">
        <v>238</v>
      </c>
    </row>
    <row r="317" spans="11:11">
      <c r="K317" s="712" t="s">
        <v>238</v>
      </c>
    </row>
    <row r="318" spans="11:11">
      <c r="K318" s="712" t="s">
        <v>238</v>
      </c>
    </row>
    <row r="319" spans="11:11">
      <c r="K319" s="712" t="s">
        <v>238</v>
      </c>
    </row>
    <row r="320" spans="11:11">
      <c r="K320" s="712" t="s">
        <v>238</v>
      </c>
    </row>
    <row r="321" spans="11:11">
      <c r="K321" s="712" t="s">
        <v>238</v>
      </c>
    </row>
    <row r="322" spans="11:11">
      <c r="K322" s="712" t="s">
        <v>238</v>
      </c>
    </row>
    <row r="323" spans="11:11">
      <c r="K323" s="712" t="s">
        <v>238</v>
      </c>
    </row>
    <row r="324" spans="11:11">
      <c r="K324" s="712" t="s">
        <v>238</v>
      </c>
    </row>
    <row r="325" spans="11:11">
      <c r="K325" s="712" t="s">
        <v>238</v>
      </c>
    </row>
    <row r="326" spans="11:11">
      <c r="K326" s="712" t="s">
        <v>238</v>
      </c>
    </row>
    <row r="327" spans="11:11">
      <c r="K327" s="712" t="s">
        <v>238</v>
      </c>
    </row>
    <row r="328" spans="11:11">
      <c r="K328" s="712" t="s">
        <v>238</v>
      </c>
    </row>
    <row r="329" spans="11:11">
      <c r="K329" s="712" t="s">
        <v>238</v>
      </c>
    </row>
    <row r="330" spans="11:11">
      <c r="K330" s="712" t="s">
        <v>238</v>
      </c>
    </row>
    <row r="331" spans="11:11">
      <c r="K331" s="712" t="s">
        <v>238</v>
      </c>
    </row>
    <row r="332" spans="11:11">
      <c r="K332" s="712" t="s">
        <v>238</v>
      </c>
    </row>
    <row r="333" spans="11:11">
      <c r="K333" s="712" t="s">
        <v>238</v>
      </c>
    </row>
    <row r="334" spans="11:11">
      <c r="K334" s="712" t="s">
        <v>238</v>
      </c>
    </row>
    <row r="335" spans="11:11">
      <c r="K335" s="712" t="s">
        <v>238</v>
      </c>
    </row>
    <row r="336" spans="11:11">
      <c r="K336" s="712" t="s">
        <v>238</v>
      </c>
    </row>
    <row r="337" spans="11:11">
      <c r="K337" s="712" t="s">
        <v>238</v>
      </c>
    </row>
    <row r="338" spans="11:11">
      <c r="K338" s="712" t="s">
        <v>238</v>
      </c>
    </row>
    <row r="339" spans="11:11">
      <c r="K339" s="712" t="s">
        <v>238</v>
      </c>
    </row>
    <row r="340" spans="11:11">
      <c r="K340" s="712" t="s">
        <v>238</v>
      </c>
    </row>
    <row r="341" spans="11:11">
      <c r="K341" s="712" t="s">
        <v>238</v>
      </c>
    </row>
    <row r="342" spans="11:11">
      <c r="K342" s="712" t="s">
        <v>238</v>
      </c>
    </row>
    <row r="343" spans="11:11">
      <c r="K343" s="712" t="s">
        <v>238</v>
      </c>
    </row>
    <row r="344" spans="11:11">
      <c r="K344" s="712" t="s">
        <v>238</v>
      </c>
    </row>
    <row r="345" spans="11:11">
      <c r="K345" s="712" t="s">
        <v>238</v>
      </c>
    </row>
    <row r="346" spans="11:11">
      <c r="K346" s="712" t="s">
        <v>238</v>
      </c>
    </row>
    <row r="347" spans="11:11">
      <c r="K347" s="712" t="s">
        <v>238</v>
      </c>
    </row>
    <row r="348" spans="11:11">
      <c r="K348" s="712" t="s">
        <v>238</v>
      </c>
    </row>
    <row r="349" spans="11:11">
      <c r="K349" s="712" t="s">
        <v>238</v>
      </c>
    </row>
    <row r="350" spans="11:11">
      <c r="K350" s="712" t="s">
        <v>238</v>
      </c>
    </row>
    <row r="351" spans="11:11">
      <c r="K351" s="712" t="s">
        <v>238</v>
      </c>
    </row>
    <row r="352" spans="11:11">
      <c r="K352" s="712" t="s">
        <v>238</v>
      </c>
    </row>
    <row r="353" spans="11:11">
      <c r="K353" s="712" t="s">
        <v>238</v>
      </c>
    </row>
    <row r="354" spans="11:11">
      <c r="K354" s="712" t="s">
        <v>238</v>
      </c>
    </row>
    <row r="355" spans="11:11">
      <c r="K355" s="712" t="s">
        <v>238</v>
      </c>
    </row>
    <row r="356" spans="11:11">
      <c r="K356" s="712" t="s">
        <v>238</v>
      </c>
    </row>
    <row r="357" spans="11:11">
      <c r="K357" s="712" t="s">
        <v>238</v>
      </c>
    </row>
    <row r="358" spans="11:11">
      <c r="K358" s="712" t="s">
        <v>238</v>
      </c>
    </row>
    <row r="359" spans="11:11">
      <c r="K359" s="712" t="s">
        <v>238</v>
      </c>
    </row>
    <row r="360" spans="11:11">
      <c r="K360" s="712" t="s">
        <v>238</v>
      </c>
    </row>
    <row r="361" spans="11:11">
      <c r="K361" s="712" t="s">
        <v>238</v>
      </c>
    </row>
    <row r="362" spans="11:11">
      <c r="K362" s="712" t="s">
        <v>238</v>
      </c>
    </row>
    <row r="363" spans="11:11">
      <c r="K363" s="712" t="s">
        <v>238</v>
      </c>
    </row>
    <row r="364" spans="11:11">
      <c r="K364" s="712" t="s">
        <v>238</v>
      </c>
    </row>
    <row r="365" spans="11:11">
      <c r="K365" s="712" t="s">
        <v>238</v>
      </c>
    </row>
    <row r="366" spans="11:11">
      <c r="K366" s="712" t="s">
        <v>238</v>
      </c>
    </row>
    <row r="367" spans="11:11">
      <c r="K367" s="712" t="s">
        <v>238</v>
      </c>
    </row>
    <row r="368" spans="11:11">
      <c r="K368" s="712" t="s">
        <v>238</v>
      </c>
    </row>
    <row r="369" spans="11:11">
      <c r="K369" s="712" t="s">
        <v>238</v>
      </c>
    </row>
    <row r="370" spans="11:11">
      <c r="K370" s="712" t="s">
        <v>238</v>
      </c>
    </row>
    <row r="371" spans="11:11">
      <c r="K371" s="712" t="s">
        <v>238</v>
      </c>
    </row>
    <row r="372" spans="11:11">
      <c r="K372" s="712" t="s">
        <v>238</v>
      </c>
    </row>
    <row r="373" spans="11:11">
      <c r="K373" s="712" t="s">
        <v>238</v>
      </c>
    </row>
    <row r="374" spans="11:11">
      <c r="K374" s="712" t="s">
        <v>238</v>
      </c>
    </row>
    <row r="375" spans="11:11">
      <c r="K375" s="712" t="s">
        <v>238</v>
      </c>
    </row>
    <row r="376" spans="11:11">
      <c r="K376" s="712" t="s">
        <v>238</v>
      </c>
    </row>
    <row r="377" spans="11:11">
      <c r="K377" s="712" t="s">
        <v>238</v>
      </c>
    </row>
    <row r="378" spans="11:11">
      <c r="K378" s="712" t="s">
        <v>238</v>
      </c>
    </row>
    <row r="379" spans="11:11">
      <c r="K379" s="712" t="s">
        <v>238</v>
      </c>
    </row>
    <row r="380" spans="11:11">
      <c r="K380" s="712" t="s">
        <v>238</v>
      </c>
    </row>
    <row r="381" spans="11:11">
      <c r="K381" s="712" t="s">
        <v>238</v>
      </c>
    </row>
    <row r="382" spans="11:11">
      <c r="K382" s="712" t="s">
        <v>238</v>
      </c>
    </row>
    <row r="383" spans="11:11">
      <c r="K383" s="712" t="s">
        <v>238</v>
      </c>
    </row>
    <row r="384" spans="11:11">
      <c r="K384" s="712" t="s">
        <v>238</v>
      </c>
    </row>
    <row r="385" spans="11:11">
      <c r="K385" s="712" t="s">
        <v>238</v>
      </c>
    </row>
    <row r="386" spans="11:11">
      <c r="K386" s="712" t="s">
        <v>238</v>
      </c>
    </row>
    <row r="387" spans="11:11">
      <c r="K387" s="712" t="s">
        <v>238</v>
      </c>
    </row>
    <row r="388" spans="11:11">
      <c r="K388" s="712" t="s">
        <v>238</v>
      </c>
    </row>
    <row r="389" spans="11:11">
      <c r="K389" s="712" t="s">
        <v>238</v>
      </c>
    </row>
    <row r="390" spans="11:11">
      <c r="K390" s="712" t="s">
        <v>238</v>
      </c>
    </row>
    <row r="391" spans="11:11">
      <c r="K391" s="712" t="s">
        <v>238</v>
      </c>
    </row>
    <row r="392" spans="11:11">
      <c r="K392" s="712" t="s">
        <v>238</v>
      </c>
    </row>
    <row r="393" spans="11:11">
      <c r="K393" s="712" t="s">
        <v>238</v>
      </c>
    </row>
    <row r="394" spans="11:11">
      <c r="K394" s="712" t="s">
        <v>238</v>
      </c>
    </row>
    <row r="395" spans="11:11">
      <c r="K395" s="712" t="s">
        <v>238</v>
      </c>
    </row>
    <row r="396" spans="11:11">
      <c r="K396" s="712" t="s">
        <v>238</v>
      </c>
    </row>
    <row r="397" spans="11:11">
      <c r="K397" s="712" t="s">
        <v>238</v>
      </c>
    </row>
    <row r="398" spans="11:11">
      <c r="K398" s="712" t="s">
        <v>238</v>
      </c>
    </row>
    <row r="399" spans="11:11">
      <c r="K399" s="712" t="s">
        <v>238</v>
      </c>
    </row>
    <row r="400" spans="11:11">
      <c r="K400" s="712" t="s">
        <v>238</v>
      </c>
    </row>
    <row r="401" spans="11:11">
      <c r="K401" s="712" t="s">
        <v>238</v>
      </c>
    </row>
    <row r="402" spans="11:11">
      <c r="K402" s="712" t="s">
        <v>238</v>
      </c>
    </row>
    <row r="403" spans="11:11">
      <c r="K403" s="712" t="s">
        <v>238</v>
      </c>
    </row>
    <row r="404" spans="11:11">
      <c r="K404" s="712" t="s">
        <v>238</v>
      </c>
    </row>
    <row r="405" spans="11:11">
      <c r="K405" s="712" t="s">
        <v>238</v>
      </c>
    </row>
    <row r="406" spans="11:11">
      <c r="K406" s="712" t="s">
        <v>238</v>
      </c>
    </row>
    <row r="407" spans="11:11">
      <c r="K407" s="712" t="s">
        <v>238</v>
      </c>
    </row>
    <row r="408" spans="11:11">
      <c r="K408" s="712" t="s">
        <v>238</v>
      </c>
    </row>
    <row r="409" spans="11:11">
      <c r="K409" s="712" t="s">
        <v>238</v>
      </c>
    </row>
    <row r="410" spans="11:11">
      <c r="K410" s="712" t="s">
        <v>238</v>
      </c>
    </row>
    <row r="411" spans="11:11">
      <c r="K411" s="712" t="s">
        <v>238</v>
      </c>
    </row>
    <row r="412" spans="11:11">
      <c r="K412" s="712" t="s">
        <v>238</v>
      </c>
    </row>
    <row r="413" spans="11:11">
      <c r="K413" s="712" t="s">
        <v>238</v>
      </c>
    </row>
    <row r="414" spans="11:11">
      <c r="K414" s="712" t="s">
        <v>238</v>
      </c>
    </row>
    <row r="415" spans="11:11">
      <c r="K415" s="712" t="s">
        <v>238</v>
      </c>
    </row>
    <row r="416" spans="11:11">
      <c r="K416" s="712" t="s">
        <v>238</v>
      </c>
    </row>
    <row r="417" spans="11:11">
      <c r="K417" s="712" t="s">
        <v>238</v>
      </c>
    </row>
    <row r="418" spans="11:11">
      <c r="K418" s="712" t="s">
        <v>238</v>
      </c>
    </row>
    <row r="419" spans="11:11">
      <c r="K419" s="712" t="s">
        <v>238</v>
      </c>
    </row>
    <row r="420" spans="11:11">
      <c r="K420" s="712" t="s">
        <v>238</v>
      </c>
    </row>
    <row r="421" spans="11:11">
      <c r="K421" s="712" t="s">
        <v>238</v>
      </c>
    </row>
    <row r="422" spans="11:11">
      <c r="K422" s="712" t="s">
        <v>238</v>
      </c>
    </row>
    <row r="423" spans="11:11">
      <c r="K423" s="712" t="s">
        <v>238</v>
      </c>
    </row>
    <row r="424" spans="11:11">
      <c r="K424" s="712" t="s">
        <v>238</v>
      </c>
    </row>
    <row r="425" spans="11:11">
      <c r="K425" s="712" t="s">
        <v>238</v>
      </c>
    </row>
    <row r="426" spans="11:11">
      <c r="K426" s="712" t="s">
        <v>238</v>
      </c>
    </row>
    <row r="427" spans="11:11">
      <c r="K427" s="712" t="s">
        <v>238</v>
      </c>
    </row>
    <row r="428" spans="11:11">
      <c r="K428" s="712" t="s">
        <v>238</v>
      </c>
    </row>
    <row r="429" spans="11:11">
      <c r="K429" s="712" t="s">
        <v>238</v>
      </c>
    </row>
    <row r="430" spans="11:11">
      <c r="K430" s="712" t="s">
        <v>238</v>
      </c>
    </row>
    <row r="431" spans="11:11">
      <c r="K431" s="712" t="s">
        <v>238</v>
      </c>
    </row>
    <row r="432" spans="11:11">
      <c r="K432" s="712" t="s">
        <v>238</v>
      </c>
    </row>
    <row r="433" spans="11:11">
      <c r="K433" s="712" t="s">
        <v>238</v>
      </c>
    </row>
    <row r="434" spans="11:11">
      <c r="K434" s="712" t="s">
        <v>238</v>
      </c>
    </row>
    <row r="435" spans="11:11">
      <c r="K435" s="712" t="s">
        <v>238</v>
      </c>
    </row>
    <row r="436" spans="11:11">
      <c r="K436" s="712" t="s">
        <v>238</v>
      </c>
    </row>
    <row r="437" spans="11:11">
      <c r="K437" s="712" t="s">
        <v>238</v>
      </c>
    </row>
    <row r="438" spans="11:11">
      <c r="K438" s="712" t="s">
        <v>238</v>
      </c>
    </row>
    <row r="439" spans="11:11">
      <c r="K439" s="712" t="s">
        <v>238</v>
      </c>
    </row>
    <row r="440" spans="11:11">
      <c r="K440" s="712" t="s">
        <v>238</v>
      </c>
    </row>
    <row r="441" spans="11:11">
      <c r="K441" s="712" t="s">
        <v>238</v>
      </c>
    </row>
    <row r="442" spans="11:11">
      <c r="K442" s="712" t="s">
        <v>238</v>
      </c>
    </row>
    <row r="443" spans="11:11">
      <c r="K443" s="712" t="s">
        <v>238</v>
      </c>
    </row>
    <row r="444" spans="11:11">
      <c r="K444" s="712" t="s">
        <v>238</v>
      </c>
    </row>
    <row r="445" spans="11:11">
      <c r="K445" s="712" t="s">
        <v>238</v>
      </c>
    </row>
    <row r="446" spans="11:11">
      <c r="K446" s="712" t="s">
        <v>238</v>
      </c>
    </row>
    <row r="447" spans="11:11">
      <c r="K447" s="712" t="s">
        <v>238</v>
      </c>
    </row>
    <row r="448" spans="11:11">
      <c r="K448" s="712" t="s">
        <v>238</v>
      </c>
    </row>
    <row r="449" spans="11:11">
      <c r="K449" s="712" t="s">
        <v>238</v>
      </c>
    </row>
    <row r="450" spans="11:11">
      <c r="K450" s="712" t="s">
        <v>238</v>
      </c>
    </row>
    <row r="451" spans="11:11">
      <c r="K451" s="712" t="s">
        <v>238</v>
      </c>
    </row>
    <row r="452" spans="11:11">
      <c r="K452" s="712" t="s">
        <v>238</v>
      </c>
    </row>
    <row r="453" spans="11:11">
      <c r="K453" s="712" t="s">
        <v>238</v>
      </c>
    </row>
    <row r="454" spans="11:11">
      <c r="K454" s="712" t="s">
        <v>238</v>
      </c>
    </row>
    <row r="455" spans="11:11">
      <c r="K455" s="712" t="s">
        <v>238</v>
      </c>
    </row>
    <row r="456" spans="11:11">
      <c r="K456" s="712" t="s">
        <v>238</v>
      </c>
    </row>
    <row r="457" spans="11:11">
      <c r="K457" s="712" t="s">
        <v>238</v>
      </c>
    </row>
    <row r="458" spans="11:11">
      <c r="K458" s="712" t="s">
        <v>238</v>
      </c>
    </row>
    <row r="459" spans="11:11">
      <c r="K459" s="712" t="s">
        <v>238</v>
      </c>
    </row>
    <row r="460" spans="11:11">
      <c r="K460" s="712" t="s">
        <v>238</v>
      </c>
    </row>
    <row r="461" spans="11:11">
      <c r="K461" s="712" t="s">
        <v>238</v>
      </c>
    </row>
    <row r="462" spans="11:11">
      <c r="K462" s="712" t="s">
        <v>238</v>
      </c>
    </row>
    <row r="463" spans="11:11">
      <c r="K463" s="712" t="s">
        <v>238</v>
      </c>
    </row>
    <row r="464" spans="11:11">
      <c r="K464" s="712" t="s">
        <v>238</v>
      </c>
    </row>
    <row r="465" spans="11:11">
      <c r="K465" s="712" t="s">
        <v>238</v>
      </c>
    </row>
    <row r="466" spans="11:11">
      <c r="K466" s="712" t="s">
        <v>238</v>
      </c>
    </row>
    <row r="467" spans="11:11">
      <c r="K467" s="712" t="s">
        <v>238</v>
      </c>
    </row>
    <row r="468" spans="11:11">
      <c r="K468" s="712" t="s">
        <v>238</v>
      </c>
    </row>
    <row r="469" spans="11:11">
      <c r="K469" s="712" t="s">
        <v>238</v>
      </c>
    </row>
    <row r="470" spans="11:11">
      <c r="K470" s="712" t="s">
        <v>238</v>
      </c>
    </row>
    <row r="471" spans="11:11">
      <c r="K471" s="712" t="s">
        <v>238</v>
      </c>
    </row>
    <row r="472" spans="11:11">
      <c r="K472" s="712" t="s">
        <v>238</v>
      </c>
    </row>
    <row r="473" spans="11:11">
      <c r="K473" s="712" t="s">
        <v>238</v>
      </c>
    </row>
    <row r="474" spans="11:11">
      <c r="K474" s="712" t="s">
        <v>238</v>
      </c>
    </row>
    <row r="475" spans="11:11">
      <c r="K475" s="712" t="s">
        <v>238</v>
      </c>
    </row>
    <row r="476" spans="11:11">
      <c r="K476" s="712" t="s">
        <v>238</v>
      </c>
    </row>
    <row r="477" spans="11:11">
      <c r="K477" s="712" t="s">
        <v>238</v>
      </c>
    </row>
    <row r="478" spans="11:11">
      <c r="K478" s="712" t="s">
        <v>238</v>
      </c>
    </row>
    <row r="479" spans="11:11">
      <c r="K479" s="712" t="s">
        <v>238</v>
      </c>
    </row>
    <row r="480" spans="11:11">
      <c r="K480" s="712" t="s">
        <v>238</v>
      </c>
    </row>
    <row r="481" spans="11:11">
      <c r="K481" s="712" t="s">
        <v>238</v>
      </c>
    </row>
    <row r="482" spans="11:11">
      <c r="K482" s="712" t="s">
        <v>238</v>
      </c>
    </row>
    <row r="483" spans="11:11">
      <c r="K483" s="712" t="s">
        <v>238</v>
      </c>
    </row>
    <row r="484" spans="11:11">
      <c r="K484" s="712" t="s">
        <v>238</v>
      </c>
    </row>
    <row r="485" spans="11:11">
      <c r="K485" s="712" t="s">
        <v>238</v>
      </c>
    </row>
    <row r="486" spans="11:11">
      <c r="K486" s="712" t="s">
        <v>238</v>
      </c>
    </row>
    <row r="487" spans="11:11">
      <c r="K487" s="712" t="s">
        <v>238</v>
      </c>
    </row>
    <row r="488" spans="11:11">
      <c r="K488" s="712" t="s">
        <v>238</v>
      </c>
    </row>
    <row r="489" spans="11:11">
      <c r="K489" s="712" t="s">
        <v>238</v>
      </c>
    </row>
    <row r="490" spans="11:11">
      <c r="K490" s="712" t="s">
        <v>238</v>
      </c>
    </row>
    <row r="491" spans="11:11">
      <c r="K491" s="712" t="s">
        <v>238</v>
      </c>
    </row>
    <row r="492" spans="11:11">
      <c r="K492" s="712" t="s">
        <v>238</v>
      </c>
    </row>
    <row r="493" spans="11:11">
      <c r="K493" s="712" t="s">
        <v>238</v>
      </c>
    </row>
    <row r="494" spans="11:11">
      <c r="K494" s="712" t="s">
        <v>238</v>
      </c>
    </row>
    <row r="495" spans="11:11">
      <c r="K495" s="712" t="s">
        <v>238</v>
      </c>
    </row>
    <row r="496" spans="11:11">
      <c r="K496" s="712" t="s">
        <v>238</v>
      </c>
    </row>
    <row r="497" spans="11:11">
      <c r="K497" s="712" t="s">
        <v>238</v>
      </c>
    </row>
    <row r="498" spans="11:11">
      <c r="K498" s="712" t="s">
        <v>238</v>
      </c>
    </row>
    <row r="499" spans="11:11">
      <c r="K499" s="712" t="s">
        <v>238</v>
      </c>
    </row>
    <row r="500" spans="11:11">
      <c r="K500" s="712" t="s">
        <v>238</v>
      </c>
    </row>
    <row r="501" spans="11:11">
      <c r="K501" s="712" t="s">
        <v>238</v>
      </c>
    </row>
    <row r="502" spans="11:11">
      <c r="K502" s="712" t="s">
        <v>238</v>
      </c>
    </row>
    <row r="503" spans="11:11">
      <c r="K503" s="712" t="s">
        <v>238</v>
      </c>
    </row>
    <row r="504" spans="11:11">
      <c r="K504" s="712" t="s">
        <v>238</v>
      </c>
    </row>
  </sheetData>
  <conditionalFormatting sqref="A1:A2">
    <cfRule type="duplicateValues" dxfId="223" priority="43"/>
  </conditionalFormatting>
  <conditionalFormatting sqref="A17">
    <cfRule type="duplicateValues" dxfId="222" priority="38"/>
  </conditionalFormatting>
  <conditionalFormatting sqref="A18">
    <cfRule type="duplicateValues" dxfId="221" priority="37"/>
  </conditionalFormatting>
  <conditionalFormatting sqref="A20">
    <cfRule type="duplicateValues" dxfId="220" priority="36"/>
  </conditionalFormatting>
  <conditionalFormatting sqref="A21">
    <cfRule type="duplicateValues" dxfId="219" priority="35"/>
  </conditionalFormatting>
  <conditionalFormatting sqref="A105">
    <cfRule type="duplicateValues" dxfId="218" priority="34"/>
  </conditionalFormatting>
  <conditionalFormatting sqref="A106">
    <cfRule type="duplicateValues" dxfId="217" priority="33"/>
  </conditionalFormatting>
  <conditionalFormatting sqref="A110">
    <cfRule type="duplicateValues" dxfId="216" priority="32"/>
  </conditionalFormatting>
  <conditionalFormatting sqref="A111">
    <cfRule type="duplicateValues" dxfId="215" priority="31"/>
  </conditionalFormatting>
  <conditionalFormatting sqref="G1:G15 G37:G38 G43:G73 G76:G101 G109:G1048576 G104:G106 G26:G28 G31:G33 G17:G23">
    <cfRule type="containsText" dxfId="214" priority="17" operator="containsText" text="GFATM">
      <formula>NOT(ISERROR(SEARCH("GFATM",G1)))</formula>
    </cfRule>
  </conditionalFormatting>
  <conditionalFormatting sqref="N7">
    <cfRule type="cellIs" dxfId="213" priority="16" operator="equal">
      <formula>0</formula>
    </cfRule>
  </conditionalFormatting>
  <conditionalFormatting sqref="T7">
    <cfRule type="cellIs" dxfId="212" priority="15" operator="equal">
      <formula>0</formula>
    </cfRule>
  </conditionalFormatting>
  <conditionalFormatting sqref="AK30:AK82">
    <cfRule type="containsText" dxfId="211" priority="1" operator="containsText" text="EUR">
      <formula>NOT(ISERROR(SEARCH("EUR",AK30)))</formula>
    </cfRule>
    <cfRule type="containsText" dxfId="210" priority="2" operator="containsText" text="USD">
      <formula>NOT(ISERROR(SEARCH("USD",AK30)))</formula>
    </cfRule>
  </conditionalFormatting>
  <conditionalFormatting sqref="S98:S101 S86:S95">
    <cfRule type="containsText" dxfId="209" priority="11" operator="containsText" text="EUR">
      <formula>NOT(ISERROR(SEARCH("EUR",S86)))</formula>
    </cfRule>
    <cfRule type="containsText" dxfId="208" priority="12" operator="containsText" text="USD">
      <formula>NOT(ISERROR(SEARCH("USD",S86)))</formula>
    </cfRule>
  </conditionalFormatting>
  <conditionalFormatting sqref="S30:S82">
    <cfRule type="containsText" dxfId="207" priority="9" operator="containsText" text="EUR">
      <formula>NOT(ISERROR(SEARCH("EUR",S30)))</formula>
    </cfRule>
    <cfRule type="containsText" dxfId="206" priority="10" operator="containsText" text="USD">
      <formula>NOT(ISERROR(SEARCH("USD",S30)))</formula>
    </cfRule>
  </conditionalFormatting>
  <conditionalFormatting sqref="S90:S92 S86:S87">
    <cfRule type="containsText" dxfId="205" priority="7" operator="containsText" text="EUR">
      <formula>NOT(ISERROR(SEARCH("EUR",S86)))</formula>
    </cfRule>
    <cfRule type="containsText" dxfId="204" priority="8" operator="containsText" text="USD">
      <formula>NOT(ISERROR(SEARCH("USD",S86)))</formula>
    </cfRule>
  </conditionalFormatting>
  <conditionalFormatting sqref="S102:S103">
    <cfRule type="containsText" dxfId="203" priority="5" operator="containsText" text="EUR">
      <formula>NOT(ISERROR(SEARCH("EUR",S102)))</formula>
    </cfRule>
    <cfRule type="containsText" dxfId="202" priority="6" operator="containsText" text="USD">
      <formula>NOT(ISERROR(SEARCH("USD",S102)))</formula>
    </cfRule>
  </conditionalFormatting>
  <conditionalFormatting sqref="S96:S97">
    <cfRule type="containsText" dxfId="201" priority="3" operator="containsText" text="EUR">
      <formula>NOT(ISERROR(SEARCH("EUR",S96)))</formula>
    </cfRule>
    <cfRule type="containsText" dxfId="200" priority="4" operator="containsText" text="USD">
      <formula>NOT(ISERROR(SEARCH("USD",S96)))</formula>
    </cfRule>
  </conditionalFormatting>
  <dataValidations count="2">
    <dataValidation type="list" allowBlank="1" showInputMessage="1" showErrorMessage="1" sqref="G17:G18 G20:G21 G105:G106 G110:G111" xr:uid="{00000000-0002-0000-1600-000000000000}">
      <formula1>TB_sursa_finant_Ro</formula1>
    </dataValidation>
    <dataValidation type="list" allowBlank="1" showInputMessage="1" showErrorMessage="1" sqref="I17:I18 I20:I21 I105:I106 I110:I111" xr:uid="{00000000-0002-0000-1600-000001000000}">
      <formula1>TB_implementare</formula1>
    </dataValidation>
  </dataValidations>
  <hyperlinks>
    <hyperlink ref="O1" location="CUPRINS!A1" display="CUPRINS" xr:uid="{00000000-0004-0000-16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2000000}">
          <x14:formula1>
            <xm:f>Nom_activ_2!$H$2:$H$88</xm:f>
          </x14:formula1>
          <xm:sqref>J17:J18 J20:J21 J105:J106 J110:J111 M105 M109</xm:sqref>
        </x14:dataValidation>
      </x14:dataValidations>
    </ext>
  </extLst>
</worksheet>
</file>

<file path=xl/worksheets/sheet2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I333"/>
  <sheetViews>
    <sheetView topLeftCell="K130" zoomScaleNormal="100" workbookViewId="0">
      <selection activeCell="W100" sqref="W100"/>
    </sheetView>
  </sheetViews>
  <sheetFormatPr baseColWidth="10" defaultColWidth="8.83203125" defaultRowHeight="15" outlineLevelCol="1"/>
  <cols>
    <col min="1" max="1" width="8.83203125" style="960" hidden="1" customWidth="1" outlineLevel="1"/>
    <col min="2" max="6" width="13.5" style="960" hidden="1" customWidth="1" outlineLevel="1"/>
    <col min="7" max="7" width="8.83203125" style="960" hidden="1" customWidth="1" outlineLevel="1"/>
    <col min="8" max="8" width="44.33203125" style="960" hidden="1" customWidth="1" outlineLevel="1"/>
    <col min="9" max="9" width="23.1640625" style="2195" hidden="1" customWidth="1" outlineLevel="1"/>
    <col min="10" max="10" width="56.33203125" style="960" hidden="1" customWidth="1" outlineLevel="1"/>
    <col min="11" max="11" width="1.5" style="735" customWidth="1" collapsed="1"/>
    <col min="12" max="12" width="14.6640625" customWidth="1"/>
    <col min="13" max="13" width="19" customWidth="1"/>
    <col min="14" max="14" width="34.6640625" customWidth="1"/>
    <col min="15" max="15" width="22.6640625" customWidth="1"/>
    <col min="16" max="18" width="14.83203125" customWidth="1"/>
    <col min="19" max="19" width="12.33203125" customWidth="1"/>
    <col min="20" max="20" width="14.83203125" customWidth="1"/>
    <col min="21" max="21" width="2.33203125" customWidth="1"/>
    <col min="22" max="26" width="14.33203125" customWidth="1"/>
    <col min="27" max="27" width="2.33203125" customWidth="1"/>
    <col min="28" max="32" width="14.5" customWidth="1"/>
    <col min="34" max="34" width="1.5" style="735" customWidth="1"/>
    <col min="35" max="35" width="15.5" bestFit="1" customWidth="1"/>
  </cols>
  <sheetData>
    <row r="1" spans="1:35">
      <c r="A1" s="2157" t="s">
        <v>345</v>
      </c>
      <c r="B1" s="859">
        <v>2021</v>
      </c>
      <c r="C1" s="859">
        <v>2022</v>
      </c>
      <c r="D1" s="859">
        <v>2023</v>
      </c>
      <c r="E1" s="859">
        <v>2024</v>
      </c>
      <c r="F1" s="859">
        <v>2025</v>
      </c>
      <c r="G1" s="859" t="s">
        <v>484</v>
      </c>
      <c r="H1" s="859" t="s">
        <v>515</v>
      </c>
      <c r="I1" s="2184" t="s">
        <v>1834</v>
      </c>
      <c r="J1" s="859"/>
      <c r="K1" s="712" t="s">
        <v>238</v>
      </c>
      <c r="L1" s="1532">
        <f ca="1">SUM(B:F)-B1-C1-D1-E1-F1</f>
        <v>208241387.69999993</v>
      </c>
      <c r="M1" s="836">
        <f ca="1">SUM(AI:AI)</f>
        <v>196499806.94</v>
      </c>
      <c r="O1" s="1836" t="s">
        <v>356</v>
      </c>
      <c r="P1" s="2159">
        <f>MAX(Buget_detaliat!$B$7:$B$604)</f>
        <v>247</v>
      </c>
      <c r="AH1" s="712" t="s">
        <v>238</v>
      </c>
      <c r="AI1" t="s">
        <v>2449</v>
      </c>
    </row>
    <row r="2" spans="1:35" ht="19">
      <c r="K2" s="712" t="s">
        <v>238</v>
      </c>
      <c r="M2" s="1232"/>
      <c r="N2" s="431"/>
      <c r="AH2" s="712" t="s">
        <v>238</v>
      </c>
    </row>
    <row r="3" spans="1:35" ht="19">
      <c r="K3" s="712" t="s">
        <v>238</v>
      </c>
      <c r="M3" s="1232"/>
      <c r="N3" s="431"/>
      <c r="AH3" s="712" t="s">
        <v>238</v>
      </c>
    </row>
    <row r="4" spans="1:35" ht="17" thickBot="1">
      <c r="K4" s="712" t="s">
        <v>238</v>
      </c>
      <c r="O4" s="1117" t="s">
        <v>2199</v>
      </c>
      <c r="AH4" s="712" t="s">
        <v>238</v>
      </c>
    </row>
    <row r="5" spans="1:35" ht="43" thickBot="1">
      <c r="K5" s="712" t="s">
        <v>238</v>
      </c>
      <c r="N5" s="1114" t="s">
        <v>2196</v>
      </c>
      <c r="O5" s="1115" t="s">
        <v>2197</v>
      </c>
      <c r="P5" s="1116" t="s">
        <v>2198</v>
      </c>
      <c r="Q5" s="1116">
        <v>174</v>
      </c>
      <c r="AH5" s="712" t="s">
        <v>238</v>
      </c>
    </row>
    <row r="6" spans="1:35">
      <c r="K6" s="712" t="s">
        <v>238</v>
      </c>
      <c r="O6" s="860"/>
      <c r="P6" s="860"/>
      <c r="Q6" s="860"/>
      <c r="R6" s="860"/>
      <c r="S6" s="860"/>
      <c r="T6" s="860"/>
      <c r="U6" s="860"/>
      <c r="V6" s="867"/>
      <c r="AH6" s="712" t="s">
        <v>238</v>
      </c>
    </row>
    <row r="7" spans="1:35">
      <c r="K7" s="712" t="s">
        <v>238</v>
      </c>
      <c r="O7" s="861" t="s">
        <v>2200</v>
      </c>
      <c r="P7" s="845">
        <v>2021</v>
      </c>
      <c r="Q7" s="845">
        <v>2022</v>
      </c>
      <c r="R7" s="845">
        <v>2023</v>
      </c>
      <c r="S7" s="845">
        <v>2024</v>
      </c>
      <c r="T7" s="845">
        <v>2025</v>
      </c>
      <c r="U7" s="860"/>
      <c r="V7" s="867"/>
      <c r="AH7" s="712" t="s">
        <v>238</v>
      </c>
    </row>
    <row r="8" spans="1:35">
      <c r="K8" s="712" t="s">
        <v>238</v>
      </c>
      <c r="O8" s="860"/>
      <c r="P8" s="1711">
        <f>Populatie!O6</f>
        <v>2610271.8077432946</v>
      </c>
      <c r="Q8" s="1711">
        <f>Populatie!P6</f>
        <v>2575257.8384105992</v>
      </c>
      <c r="R8" s="1711">
        <f>Populatie!Q6</f>
        <v>2540713.5435557854</v>
      </c>
      <c r="S8" s="1711">
        <f>Populatie!R6</f>
        <v>2506632.6230043978</v>
      </c>
      <c r="T8" s="1711">
        <f>Populatie!S6</f>
        <v>2473008.8610919979</v>
      </c>
      <c r="U8" s="860"/>
      <c r="V8" s="867"/>
      <c r="AH8" s="712" t="s">
        <v>238</v>
      </c>
    </row>
    <row r="9" spans="1:35">
      <c r="K9" s="712" t="s">
        <v>238</v>
      </c>
      <c r="O9" s="1241" t="s">
        <v>2233</v>
      </c>
      <c r="P9" s="1711">
        <f>Populatie!O8</f>
        <v>2484730</v>
      </c>
      <c r="Q9" s="1711">
        <f>Populatie!P8</f>
        <v>2453831</v>
      </c>
      <c r="R9" s="1711">
        <f>Populatie!Q8</f>
        <v>2423330</v>
      </c>
      <c r="S9" s="1711">
        <f>Populatie!R8</f>
        <v>2393222</v>
      </c>
      <c r="T9" s="1711">
        <f>Populatie!S8</f>
        <v>2363501</v>
      </c>
      <c r="U9" s="860"/>
      <c r="V9" s="867"/>
      <c r="AH9" s="712" t="s">
        <v>238</v>
      </c>
    </row>
    <row r="10" spans="1:35">
      <c r="K10" s="712" t="s">
        <v>238</v>
      </c>
      <c r="P10" s="1687"/>
      <c r="Q10" s="1687"/>
      <c r="R10" s="1687"/>
      <c r="S10" s="1687"/>
      <c r="T10" s="1687"/>
      <c r="U10" s="860"/>
      <c r="V10" s="867"/>
      <c r="AH10" s="712" t="s">
        <v>238</v>
      </c>
    </row>
    <row r="11" spans="1:35" ht="21">
      <c r="K11" s="712" t="s">
        <v>238</v>
      </c>
      <c r="L11" s="1707" t="s">
        <v>2923</v>
      </c>
      <c r="M11" s="1232"/>
      <c r="N11" s="431"/>
      <c r="P11" s="1687"/>
      <c r="Q11" s="1687"/>
      <c r="R11" s="1687"/>
      <c r="S11" s="1687"/>
      <c r="T11" s="1687"/>
      <c r="U11" s="860"/>
      <c r="V11" s="867"/>
      <c r="AH11" s="712" t="s">
        <v>238</v>
      </c>
    </row>
    <row r="12" spans="1:35" s="431" customFormat="1" ht="21">
      <c r="A12" s="1544"/>
      <c r="B12" s="1544"/>
      <c r="C12" s="1544"/>
      <c r="D12" s="1544"/>
      <c r="E12" s="1544"/>
      <c r="F12" s="1544"/>
      <c r="G12" s="1544"/>
      <c r="H12" s="1544"/>
      <c r="I12" s="2205"/>
      <c r="J12" s="1544"/>
      <c r="K12" s="712" t="s">
        <v>238</v>
      </c>
      <c r="L12" s="1707" t="s">
        <v>2992</v>
      </c>
      <c r="P12" s="845"/>
      <c r="Q12" s="845"/>
      <c r="R12" s="845"/>
      <c r="S12" s="845"/>
      <c r="T12" s="845"/>
      <c r="V12" s="431" t="s">
        <v>251</v>
      </c>
      <c r="AB12" s="431" t="s">
        <v>2234</v>
      </c>
      <c r="AH12" s="712" t="s">
        <v>238</v>
      </c>
    </row>
    <row r="13" spans="1:35" s="431" customFormat="1" ht="21">
      <c r="A13" s="1544"/>
      <c r="B13" s="1544"/>
      <c r="C13" s="1544"/>
      <c r="D13" s="1544"/>
      <c r="E13" s="1544"/>
      <c r="F13" s="1544"/>
      <c r="G13" s="1544"/>
      <c r="H13" s="1544"/>
      <c r="I13" s="2205"/>
      <c r="J13" s="1544"/>
      <c r="K13" s="712"/>
      <c r="L13" s="1707" t="s">
        <v>2924</v>
      </c>
      <c r="P13" s="845"/>
      <c r="Q13" s="845"/>
      <c r="R13" s="845"/>
      <c r="S13" s="845"/>
      <c r="T13" s="845"/>
      <c r="AH13" s="712"/>
    </row>
    <row r="14" spans="1:35" ht="16" thickBot="1">
      <c r="K14" s="712" t="s">
        <v>238</v>
      </c>
      <c r="P14" s="845">
        <v>2021</v>
      </c>
      <c r="Q14" s="845">
        <v>2022</v>
      </c>
      <c r="R14" s="845">
        <v>2023</v>
      </c>
      <c r="S14" s="845">
        <v>2024</v>
      </c>
      <c r="T14" s="845">
        <v>2025</v>
      </c>
      <c r="V14" s="734">
        <v>2021</v>
      </c>
      <c r="W14" s="734">
        <v>2022</v>
      </c>
      <c r="X14" s="734">
        <v>2023</v>
      </c>
      <c r="Y14" s="734">
        <v>2024</v>
      </c>
      <c r="Z14" s="734">
        <v>2025</v>
      </c>
      <c r="AA14" s="734"/>
      <c r="AB14" s="734">
        <v>2021</v>
      </c>
      <c r="AC14" s="734">
        <v>2022</v>
      </c>
      <c r="AD14" s="734">
        <v>2023</v>
      </c>
      <c r="AE14" s="734">
        <v>2024</v>
      </c>
      <c r="AF14" s="734">
        <v>2025</v>
      </c>
      <c r="AH14" s="712" t="s">
        <v>238</v>
      </c>
    </row>
    <row r="15" spans="1:35" ht="97" thickBot="1">
      <c r="A15" s="2206">
        <v>1</v>
      </c>
      <c r="B15" s="2207">
        <f t="shared" ref="B15:F17" si="0">AB15</f>
        <v>27404304</v>
      </c>
      <c r="C15" s="2207">
        <f t="shared" si="0"/>
        <v>26899182</v>
      </c>
      <c r="D15" s="2207">
        <f t="shared" si="0"/>
        <v>26399280</v>
      </c>
      <c r="E15" s="2207">
        <f t="shared" si="0"/>
        <v>25905468</v>
      </c>
      <c r="F15" s="2207">
        <f t="shared" si="0"/>
        <v>25417050</v>
      </c>
      <c r="G15" s="2207" t="s">
        <v>338</v>
      </c>
      <c r="H15" s="2207" t="s">
        <v>2923</v>
      </c>
      <c r="I15" s="2183"/>
      <c r="J15" s="2207" t="s">
        <v>2923</v>
      </c>
      <c r="K15" s="712" t="s">
        <v>238</v>
      </c>
      <c r="M15" s="1317" t="s">
        <v>2432</v>
      </c>
      <c r="N15" s="1375">
        <v>0.1</v>
      </c>
      <c r="O15" s="1227" t="s">
        <v>2305</v>
      </c>
      <c r="P15" s="1264">
        <f>ROUND(P9*N15,0)-P16-P201</f>
        <v>157496</v>
      </c>
      <c r="Q15" s="1264">
        <f>ROUND(Q9*N15,0)-Q16-Q201</f>
        <v>154593</v>
      </c>
      <c r="R15" s="1264">
        <f>ROUND(R9*N15,0)-R16-R201</f>
        <v>151720</v>
      </c>
      <c r="S15" s="1264">
        <f>ROUND(S9*N15,0)-S16-S201</f>
        <v>148882</v>
      </c>
      <c r="T15" s="1265">
        <f>ROUND(T9*N15,0)-T16-T201</f>
        <v>146075</v>
      </c>
      <c r="U15" s="734"/>
      <c r="V15" s="1244">
        <v>1</v>
      </c>
      <c r="W15" s="1245">
        <v>1</v>
      </c>
      <c r="X15" s="1245">
        <v>1</v>
      </c>
      <c r="Y15" s="1245">
        <v>1</v>
      </c>
      <c r="Z15" s="1246">
        <v>1</v>
      </c>
      <c r="AA15" s="734"/>
      <c r="AB15" s="1247">
        <f>P15*Q5*V15</f>
        <v>27404304</v>
      </c>
      <c r="AC15" s="1247">
        <f>Q15*Q5*W15</f>
        <v>26899182</v>
      </c>
      <c r="AD15" s="1247">
        <f>R15*Q5*X15</f>
        <v>26399280</v>
      </c>
      <c r="AE15" s="1247">
        <f>S15*Q5*Y15</f>
        <v>25905468</v>
      </c>
      <c r="AF15" s="1247">
        <f>T15*Q5*Z15</f>
        <v>25417050</v>
      </c>
      <c r="AH15" s="712" t="s">
        <v>238</v>
      </c>
    </row>
    <row r="16" spans="1:35" ht="33" thickBot="1">
      <c r="A16" s="2206">
        <v>2</v>
      </c>
      <c r="B16" s="2207">
        <f t="shared" si="0"/>
        <v>1213998</v>
      </c>
      <c r="C16" s="2207">
        <f t="shared" si="0"/>
        <v>1181460</v>
      </c>
      <c r="D16" s="2207">
        <f t="shared" si="0"/>
        <v>1150662</v>
      </c>
      <c r="E16" s="2207">
        <f t="shared" si="0"/>
        <v>1120560</v>
      </c>
      <c r="F16" s="2207">
        <f t="shared" si="0"/>
        <v>1091850</v>
      </c>
      <c r="G16" s="2207" t="s">
        <v>338</v>
      </c>
      <c r="H16" s="2207" t="s">
        <v>2992</v>
      </c>
      <c r="I16" s="2183"/>
      <c r="J16" s="2207" t="s">
        <v>2992</v>
      </c>
      <c r="K16" s="712" t="s">
        <v>238</v>
      </c>
      <c r="M16" s="1316" t="s">
        <v>2307</v>
      </c>
      <c r="N16" s="1724"/>
      <c r="O16" s="1274" t="s">
        <v>2245</v>
      </c>
      <c r="P16" s="1275">
        <f>VLOOKUP(M16,'Estimare cazuri'!A:R,14,0)</f>
        <v>6977</v>
      </c>
      <c r="Q16" s="1275">
        <f>VLOOKUP(M16,'Estimare cazuri'!A:R,15,0)</f>
        <v>6790</v>
      </c>
      <c r="R16" s="1275">
        <f>VLOOKUP(M16,'Estimare cazuri'!A:R,16,0)</f>
        <v>6613</v>
      </c>
      <c r="S16" s="1275">
        <f>VLOOKUP(M16,'Estimare cazuri'!A:R,17,0)</f>
        <v>6440</v>
      </c>
      <c r="T16" s="1276">
        <f>VLOOKUP(M16,'Estimare cazuri'!A:R,18,0)</f>
        <v>6275</v>
      </c>
      <c r="U16" s="734"/>
      <c r="V16" s="1277">
        <v>1</v>
      </c>
      <c r="W16" s="1278">
        <v>1</v>
      </c>
      <c r="X16" s="1278">
        <v>1</v>
      </c>
      <c r="Y16" s="1278">
        <v>1</v>
      </c>
      <c r="Z16" s="1279">
        <v>1</v>
      </c>
      <c r="AA16" s="734"/>
      <c r="AB16" s="1247">
        <f>P16*Q5*V16</f>
        <v>1213998</v>
      </c>
      <c r="AC16" s="1247">
        <f>Q16*Q5*W16</f>
        <v>1181460</v>
      </c>
      <c r="AD16" s="1247">
        <f>R16*Q5*X16</f>
        <v>1150662</v>
      </c>
      <c r="AE16" s="1247">
        <f>S16*Q5*Y16</f>
        <v>1120560</v>
      </c>
      <c r="AF16" s="1247">
        <f>T16*Q5*Z16</f>
        <v>1091850</v>
      </c>
      <c r="AH16" s="712" t="s">
        <v>238</v>
      </c>
    </row>
    <row r="17" spans="1:35" ht="97" thickBot="1">
      <c r="A17" s="2206">
        <v>3</v>
      </c>
      <c r="B17" s="2207">
        <f t="shared" si="0"/>
        <v>8646860.4000000004</v>
      </c>
      <c r="C17" s="2207">
        <f t="shared" si="0"/>
        <v>8539328.4000000004</v>
      </c>
      <c r="D17" s="2207">
        <f t="shared" si="0"/>
        <v>8433188.4000000004</v>
      </c>
      <c r="E17" s="2207">
        <f t="shared" si="0"/>
        <v>8328405.6000000006</v>
      </c>
      <c r="F17" s="2207">
        <f t="shared" si="0"/>
        <v>8224980</v>
      </c>
      <c r="G17" s="2207" t="s">
        <v>338</v>
      </c>
      <c r="H17" s="2207" t="s">
        <v>2924</v>
      </c>
      <c r="I17" s="2183"/>
      <c r="J17" s="2207" t="s">
        <v>2924</v>
      </c>
      <c r="K17" s="712" t="s">
        <v>238</v>
      </c>
      <c r="M17" s="1317" t="s">
        <v>2308</v>
      </c>
      <c r="N17" s="1376">
        <v>0.2</v>
      </c>
      <c r="O17" s="1243" t="s">
        <v>1929</v>
      </c>
      <c r="P17" s="1266">
        <f>ROUND(P9*N17,0)</f>
        <v>496946</v>
      </c>
      <c r="Q17" s="1266">
        <f>ROUND(Q9*N17,0)</f>
        <v>490766</v>
      </c>
      <c r="R17" s="1266">
        <f>ROUND(R9*N17,0)</f>
        <v>484666</v>
      </c>
      <c r="S17" s="1266">
        <f>ROUND(S9*N17,0)</f>
        <v>478644</v>
      </c>
      <c r="T17" s="1267">
        <f>ROUND(T9*N17,0)</f>
        <v>472700</v>
      </c>
      <c r="U17" s="734"/>
      <c r="V17" s="1248">
        <v>0.1</v>
      </c>
      <c r="W17" s="1249">
        <v>0.1</v>
      </c>
      <c r="X17" s="1249">
        <v>0.1</v>
      </c>
      <c r="Y17" s="1249">
        <v>0.1</v>
      </c>
      <c r="Z17" s="1250">
        <v>0.1</v>
      </c>
      <c r="AA17" s="734"/>
      <c r="AB17" s="1247">
        <f>P17*Q5*V17</f>
        <v>8646860.4000000004</v>
      </c>
      <c r="AC17" s="1247">
        <f>Q17*Q5*W17</f>
        <v>8539328.4000000004</v>
      </c>
      <c r="AD17" s="1247">
        <f>R17*Q5*X17</f>
        <v>8433188.4000000004</v>
      </c>
      <c r="AE17" s="1247">
        <f>S17*Q5*Y17</f>
        <v>8328405.6000000006</v>
      </c>
      <c r="AF17" s="1247">
        <f>T17*Q5*Z17</f>
        <v>8224980</v>
      </c>
      <c r="AH17" s="712" t="s">
        <v>238</v>
      </c>
    </row>
    <row r="18" spans="1:35" ht="113" thickBot="1">
      <c r="K18" s="712" t="s">
        <v>238</v>
      </c>
      <c r="M18" s="1309" t="s">
        <v>2238</v>
      </c>
      <c r="N18" s="1374"/>
      <c r="O18" s="1243" t="s">
        <v>1930</v>
      </c>
      <c r="P18" s="1266"/>
      <c r="Q18" s="1266"/>
      <c r="R18" s="1266"/>
      <c r="S18" s="1266"/>
      <c r="T18" s="1267"/>
      <c r="U18" s="734"/>
      <c r="V18" s="1251">
        <v>1</v>
      </c>
      <c r="W18" s="1252">
        <v>1</v>
      </c>
      <c r="X18" s="1252">
        <v>1</v>
      </c>
      <c r="Y18" s="1252">
        <v>1</v>
      </c>
      <c r="Z18" s="1253">
        <v>1</v>
      </c>
      <c r="AA18" s="734"/>
      <c r="AB18" s="1247">
        <f>P18*Q5*V18</f>
        <v>0</v>
      </c>
      <c r="AC18" s="1247">
        <f>Q18*Q5*W18</f>
        <v>0</v>
      </c>
      <c r="AD18" s="1247">
        <f>R18*Q5*X18</f>
        <v>0</v>
      </c>
      <c r="AE18" s="1247">
        <f>S18*Q5*Y18</f>
        <v>0</v>
      </c>
      <c r="AF18" s="1247">
        <f>T18*Q5*Z18</f>
        <v>0</v>
      </c>
      <c r="AH18" s="712" t="s">
        <v>238</v>
      </c>
    </row>
    <row r="19" spans="1:35" ht="97" thickBot="1">
      <c r="K19" s="712" t="s">
        <v>238</v>
      </c>
      <c r="M19" s="1721" t="s">
        <v>2239</v>
      </c>
      <c r="N19" s="1722"/>
      <c r="O19" s="1723" t="s">
        <v>1931</v>
      </c>
      <c r="P19" s="1268"/>
      <c r="Q19" s="1268"/>
      <c r="R19" s="1268"/>
      <c r="S19" s="1268"/>
      <c r="T19" s="1269"/>
      <c r="U19" s="734"/>
      <c r="V19" s="1254">
        <v>1</v>
      </c>
      <c r="W19" s="1255">
        <v>1</v>
      </c>
      <c r="X19" s="1255">
        <v>1</v>
      </c>
      <c r="Y19" s="1255">
        <v>1</v>
      </c>
      <c r="Z19" s="1256">
        <v>1</v>
      </c>
      <c r="AA19" s="734"/>
      <c r="AB19" s="1247">
        <f>P19*Q5*V19</f>
        <v>0</v>
      </c>
      <c r="AC19" s="1247">
        <f>Q19*Q5*W19</f>
        <v>0</v>
      </c>
      <c r="AD19" s="1247">
        <f>R19*Q5*X19</f>
        <v>0</v>
      </c>
      <c r="AE19" s="1247">
        <f>S19*Q5*Y19</f>
        <v>0</v>
      </c>
      <c r="AF19" s="1247">
        <f>T19*Q5*Z19</f>
        <v>0</v>
      </c>
      <c r="AH19" s="712" t="s">
        <v>238</v>
      </c>
      <c r="AI19" s="836">
        <f>SUM(AB15:AF19)</f>
        <v>179956576.80000001</v>
      </c>
    </row>
    <row r="20" spans="1:35">
      <c r="K20" s="712" t="s">
        <v>238</v>
      </c>
      <c r="AH20" s="712" t="s">
        <v>238</v>
      </c>
    </row>
    <row r="21" spans="1:35">
      <c r="K21" s="712" t="s">
        <v>238</v>
      </c>
      <c r="AH21" s="712" t="s">
        <v>238</v>
      </c>
    </row>
    <row r="22" spans="1:35">
      <c r="K22" s="712" t="s">
        <v>238</v>
      </c>
      <c r="AH22" s="712" t="s">
        <v>238</v>
      </c>
    </row>
    <row r="23" spans="1:35">
      <c r="K23" s="712" t="s">
        <v>238</v>
      </c>
      <c r="AH23" s="712" t="s">
        <v>238</v>
      </c>
    </row>
    <row r="24" spans="1:35" ht="21">
      <c r="K24" s="712" t="s">
        <v>238</v>
      </c>
      <c r="L24" s="1707" t="s">
        <v>2925</v>
      </c>
      <c r="M24" s="1491"/>
      <c r="AH24" s="712" t="s">
        <v>238</v>
      </c>
    </row>
    <row r="25" spans="1:35" ht="16">
      <c r="K25" s="712" t="s">
        <v>238</v>
      </c>
      <c r="M25" s="1490"/>
      <c r="AH25" s="712" t="s">
        <v>238</v>
      </c>
    </row>
    <row r="26" spans="1:35">
      <c r="K26" s="712" t="s">
        <v>238</v>
      </c>
      <c r="AH26" s="712" t="s">
        <v>238</v>
      </c>
    </row>
    <row r="27" spans="1:35" ht="21">
      <c r="K27" s="712" t="s">
        <v>238</v>
      </c>
      <c r="L27" s="1751" t="s">
        <v>3045</v>
      </c>
      <c r="AH27" s="712" t="s">
        <v>238</v>
      </c>
    </row>
    <row r="28" spans="1:35">
      <c r="K28" s="712" t="s">
        <v>238</v>
      </c>
      <c r="L28" s="853"/>
      <c r="AH28" s="712" t="s">
        <v>238</v>
      </c>
    </row>
    <row r="29" spans="1:35">
      <c r="K29" s="712" t="s">
        <v>238</v>
      </c>
      <c r="L29" s="853"/>
      <c r="AH29" s="712" t="s">
        <v>238</v>
      </c>
    </row>
    <row r="30" spans="1:35" ht="16" thickBot="1">
      <c r="K30" s="712" t="s">
        <v>238</v>
      </c>
      <c r="L30" s="853"/>
      <c r="AH30" s="712" t="s">
        <v>238</v>
      </c>
    </row>
    <row r="31" spans="1:35" ht="16" thickBot="1">
      <c r="K31" s="712" t="s">
        <v>238</v>
      </c>
      <c r="L31" s="853"/>
      <c r="M31" t="s">
        <v>2171</v>
      </c>
      <c r="P31" s="1500">
        <v>2021</v>
      </c>
      <c r="Q31" s="1501">
        <v>2022</v>
      </c>
      <c r="R31" s="1501">
        <v>2023</v>
      </c>
      <c r="S31" s="1501">
        <v>2024</v>
      </c>
      <c r="T31" s="1502">
        <v>2025</v>
      </c>
      <c r="AH31" s="712" t="s">
        <v>238</v>
      </c>
    </row>
    <row r="32" spans="1:35">
      <c r="K32" s="712" t="s">
        <v>238</v>
      </c>
      <c r="L32" s="853"/>
      <c r="M32" s="1503" t="s">
        <v>2995</v>
      </c>
      <c r="N32" s="1504"/>
      <c r="O32" s="1504"/>
      <c r="P32" s="1713">
        <f>P198</f>
        <v>4</v>
      </c>
      <c r="Q32" s="1713">
        <f>Q198</f>
        <v>4</v>
      </c>
      <c r="R32" s="1713">
        <f>R198</f>
        <v>4</v>
      </c>
      <c r="S32" s="1713">
        <f>S198</f>
        <v>4</v>
      </c>
      <c r="T32" s="1713">
        <f>T198</f>
        <v>4</v>
      </c>
      <c r="AH32" s="712" t="s">
        <v>238</v>
      </c>
    </row>
    <row r="33" spans="1:34">
      <c r="K33" s="712" t="s">
        <v>238</v>
      </c>
      <c r="L33" s="853"/>
      <c r="M33" s="1690" t="s">
        <v>2996</v>
      </c>
      <c r="P33" s="1714">
        <v>2</v>
      </c>
      <c r="Q33" s="1714">
        <v>2</v>
      </c>
      <c r="R33" s="1714">
        <v>2</v>
      </c>
      <c r="S33" s="1714">
        <v>2</v>
      </c>
      <c r="T33" s="1714">
        <v>2</v>
      </c>
      <c r="AH33" s="712" t="s">
        <v>238</v>
      </c>
    </row>
    <row r="34" spans="1:34">
      <c r="K34" s="712" t="s">
        <v>238</v>
      </c>
      <c r="L34" s="853"/>
      <c r="AH34" s="712" t="s">
        <v>238</v>
      </c>
    </row>
    <row r="35" spans="1:34" ht="19">
      <c r="K35" s="712" t="s">
        <v>238</v>
      </c>
      <c r="L35" s="853"/>
      <c r="M35" s="1232"/>
      <c r="P35" t="s">
        <v>2216</v>
      </c>
      <c r="AH35" s="712" t="s">
        <v>238</v>
      </c>
    </row>
    <row r="36" spans="1:34" ht="19">
      <c r="K36" s="712"/>
      <c r="L36" s="853"/>
      <c r="M36" s="2029" t="s">
        <v>3572</v>
      </c>
      <c r="N36" s="958">
        <v>6000</v>
      </c>
      <c r="O36" s="958" t="s">
        <v>3574</v>
      </c>
      <c r="P36" s="958">
        <f>ROUND(N36*USD,2)</f>
        <v>105413.46</v>
      </c>
      <c r="AH36" s="712"/>
    </row>
    <row r="37" spans="1:34">
      <c r="K37" s="712" t="s">
        <v>238</v>
      </c>
      <c r="L37" s="853"/>
      <c r="M37" s="958" t="s">
        <v>3573</v>
      </c>
      <c r="N37" s="958">
        <v>1</v>
      </c>
      <c r="O37" s="958" t="s">
        <v>3574</v>
      </c>
      <c r="P37" s="958">
        <f>ROUND(N37*USD,2)</f>
        <v>17.57</v>
      </c>
      <c r="AH37" s="712" t="s">
        <v>238</v>
      </c>
    </row>
    <row r="38" spans="1:34" s="1808" customFormat="1">
      <c r="A38" s="960"/>
      <c r="B38" s="960"/>
      <c r="C38" s="960"/>
      <c r="D38" s="960"/>
      <c r="E38" s="960"/>
      <c r="F38" s="960"/>
      <c r="G38" s="960"/>
      <c r="H38" s="960"/>
      <c r="I38" s="2195"/>
      <c r="J38" s="960"/>
      <c r="K38" s="712"/>
      <c r="L38" s="853"/>
      <c r="M38" s="958" t="s">
        <v>3576</v>
      </c>
      <c r="N38" s="958">
        <f>N190</f>
        <v>21000</v>
      </c>
      <c r="O38" s="958"/>
      <c r="P38" s="958"/>
      <c r="AH38" s="712"/>
    </row>
    <row r="39" spans="1:34" s="1808" customFormat="1">
      <c r="A39" s="960"/>
      <c r="B39" s="960"/>
      <c r="C39" s="960"/>
      <c r="D39" s="960"/>
      <c r="E39" s="960"/>
      <c r="F39" s="960"/>
      <c r="G39" s="960"/>
      <c r="H39" s="960"/>
      <c r="I39" s="2195"/>
      <c r="J39" s="960"/>
      <c r="K39" s="712"/>
      <c r="L39" s="853"/>
      <c r="P39" s="1808" t="s">
        <v>1842</v>
      </c>
      <c r="Q39" s="1808" t="s">
        <v>1845</v>
      </c>
      <c r="AH39" s="712"/>
    </row>
    <row r="40" spans="1:34" s="1808" customFormat="1">
      <c r="A40" s="960"/>
      <c r="B40" s="960"/>
      <c r="C40" s="960"/>
      <c r="D40" s="960"/>
      <c r="E40" s="960"/>
      <c r="F40" s="960"/>
      <c r="G40" s="960"/>
      <c r="H40" s="960"/>
      <c r="I40" s="2195"/>
      <c r="J40" s="960"/>
      <c r="K40" s="712"/>
      <c r="L40" s="853"/>
      <c r="M40" s="1808" t="s">
        <v>3575</v>
      </c>
      <c r="P40" s="1808">
        <f>P36*P32</f>
        <v>421653.84</v>
      </c>
      <c r="Q40" s="1808">
        <f>P36*P33</f>
        <v>210826.92</v>
      </c>
      <c r="AH40" s="712"/>
    </row>
    <row r="41" spans="1:34" s="1808" customFormat="1">
      <c r="A41" s="960"/>
      <c r="B41" s="960"/>
      <c r="C41" s="960"/>
      <c r="D41" s="960"/>
      <c r="E41" s="960"/>
      <c r="F41" s="960"/>
      <c r="G41" s="960"/>
      <c r="H41" s="960"/>
      <c r="I41" s="2195"/>
      <c r="J41" s="960"/>
      <c r="K41" s="712"/>
      <c r="L41" s="853"/>
      <c r="AH41" s="712"/>
    </row>
    <row r="42" spans="1:34" s="1808" customFormat="1" ht="19">
      <c r="A42" s="960"/>
      <c r="B42" s="960"/>
      <c r="C42" s="960"/>
      <c r="D42" s="960"/>
      <c r="E42" s="960"/>
      <c r="F42" s="960"/>
      <c r="G42" s="960"/>
      <c r="H42" s="960"/>
      <c r="I42" s="2195"/>
      <c r="J42" s="960"/>
      <c r="K42" s="712"/>
      <c r="L42" s="853"/>
      <c r="M42" s="2030" t="s">
        <v>3578</v>
      </c>
      <c r="AH42" s="712"/>
    </row>
    <row r="43" spans="1:34" s="1808" customFormat="1" ht="16" thickBot="1">
      <c r="A43" s="960"/>
      <c r="B43" s="960"/>
      <c r="C43" s="960"/>
      <c r="D43" s="960"/>
      <c r="E43" s="960"/>
      <c r="F43" s="960"/>
      <c r="G43" s="960"/>
      <c r="H43" s="960"/>
      <c r="I43" s="2195"/>
      <c r="J43" s="960"/>
      <c r="K43" s="712"/>
      <c r="L43" s="853"/>
      <c r="V43" s="1808" t="s">
        <v>338</v>
      </c>
      <c r="AB43" s="1808" t="s">
        <v>351</v>
      </c>
      <c r="AH43" s="712"/>
    </row>
    <row r="44" spans="1:34" s="1808" customFormat="1" ht="16" thickBot="1">
      <c r="A44" s="960"/>
      <c r="B44" s="960"/>
      <c r="C44" s="960"/>
      <c r="D44" s="960"/>
      <c r="E44" s="960"/>
      <c r="F44" s="960"/>
      <c r="G44" s="960"/>
      <c r="H44" s="960"/>
      <c r="I44" s="2195"/>
      <c r="J44" s="960"/>
      <c r="K44" s="712"/>
      <c r="L44" s="853"/>
      <c r="M44" s="1808" t="s">
        <v>2171</v>
      </c>
      <c r="P44" s="1500">
        <v>2021</v>
      </c>
      <c r="Q44" s="1501">
        <v>2022</v>
      </c>
      <c r="R44" s="1501">
        <v>2023</v>
      </c>
      <c r="S44" s="1501">
        <v>2024</v>
      </c>
      <c r="T44" s="1502">
        <v>2025</v>
      </c>
      <c r="V44" s="1500">
        <v>2021</v>
      </c>
      <c r="W44" s="1501">
        <v>2022</v>
      </c>
      <c r="X44" s="1501">
        <v>2023</v>
      </c>
      <c r="Y44" s="1501">
        <v>2024</v>
      </c>
      <c r="Z44" s="1502">
        <v>2025</v>
      </c>
      <c r="AB44" s="1500">
        <v>2021</v>
      </c>
      <c r="AC44" s="1501">
        <v>2022</v>
      </c>
      <c r="AD44" s="1501">
        <v>2023</v>
      </c>
      <c r="AE44" s="1501">
        <v>2024</v>
      </c>
      <c r="AF44" s="1502">
        <v>2025</v>
      </c>
      <c r="AH44" s="712"/>
    </row>
    <row r="45" spans="1:34" s="1808" customFormat="1">
      <c r="A45" s="960"/>
      <c r="B45" s="960"/>
      <c r="C45" s="960"/>
      <c r="D45" s="960"/>
      <c r="E45" s="960"/>
      <c r="F45" s="960"/>
      <c r="G45" s="960"/>
      <c r="H45" s="960"/>
      <c r="I45" s="2195"/>
      <c r="J45" s="960"/>
      <c r="K45" s="712"/>
      <c r="L45" s="853"/>
      <c r="M45" s="1808" t="s">
        <v>3577</v>
      </c>
      <c r="P45" s="2028">
        <f>P32</f>
        <v>4</v>
      </c>
      <c r="Q45" s="2028">
        <v>0</v>
      </c>
      <c r="R45" s="2028">
        <v>0</v>
      </c>
      <c r="S45" s="2028">
        <v>0</v>
      </c>
      <c r="T45" s="2028">
        <v>0</v>
      </c>
      <c r="V45" s="2028">
        <f>V32</f>
        <v>0</v>
      </c>
      <c r="W45" s="2028">
        <v>0</v>
      </c>
      <c r="X45" s="2028">
        <v>0</v>
      </c>
      <c r="Y45" s="2028">
        <v>0</v>
      </c>
      <c r="Z45" s="2028">
        <v>0</v>
      </c>
      <c r="AB45" s="2028">
        <f>AB32</f>
        <v>0</v>
      </c>
      <c r="AC45" s="2028">
        <v>0</v>
      </c>
      <c r="AD45" s="2028">
        <v>0</v>
      </c>
      <c r="AE45" s="2028"/>
      <c r="AF45" s="2028"/>
      <c r="AH45" s="712"/>
    </row>
    <row r="46" spans="1:34" s="1808" customFormat="1">
      <c r="A46" s="960"/>
      <c r="B46" s="960"/>
      <c r="C46" s="960"/>
      <c r="D46" s="960"/>
      <c r="E46" s="960"/>
      <c r="F46" s="960"/>
      <c r="G46" s="960"/>
      <c r="H46" s="960"/>
      <c r="I46" s="2195"/>
      <c r="J46" s="960"/>
      <c r="K46" s="712"/>
      <c r="L46" s="853"/>
      <c r="M46" s="2031" t="s">
        <v>2189</v>
      </c>
      <c r="N46" s="2032"/>
      <c r="O46" s="2031">
        <f>P36</f>
        <v>105413.46</v>
      </c>
      <c r="P46" s="2033">
        <f>P45*O46</f>
        <v>421653.84</v>
      </c>
      <c r="Q46" s="2033">
        <f>Q45*O46</f>
        <v>0</v>
      </c>
      <c r="R46" s="2033">
        <f>R45*O46</f>
        <v>0</v>
      </c>
      <c r="S46" s="2033">
        <f>S45*O46</f>
        <v>0</v>
      </c>
      <c r="T46" s="2033">
        <f>T45*O46</f>
        <v>0</v>
      </c>
      <c r="V46" s="2035">
        <f>1-AB46</f>
        <v>0</v>
      </c>
      <c r="W46" s="2035">
        <f>1-AC46</f>
        <v>0</v>
      </c>
      <c r="X46" s="2035">
        <f>1-AD46</f>
        <v>0</v>
      </c>
      <c r="Y46" s="2035">
        <f>1-AE46</f>
        <v>1</v>
      </c>
      <c r="Z46" s="2035">
        <f>1-AF46</f>
        <v>1</v>
      </c>
      <c r="AB46" s="2034">
        <v>1</v>
      </c>
      <c r="AC46" s="2034">
        <v>1</v>
      </c>
      <c r="AD46" s="2034">
        <v>1</v>
      </c>
      <c r="AE46" s="2033"/>
      <c r="AF46" s="2033"/>
      <c r="AH46" s="712"/>
    </row>
    <row r="47" spans="1:34" s="431" customFormat="1">
      <c r="A47" s="1544"/>
      <c r="B47" s="1544"/>
      <c r="C47" s="1544"/>
      <c r="D47" s="1544"/>
      <c r="E47" s="1544"/>
      <c r="F47" s="1544"/>
      <c r="G47" s="1544"/>
      <c r="H47" s="1544"/>
      <c r="I47" s="2205"/>
      <c r="J47" s="1544"/>
      <c r="K47" s="713"/>
      <c r="L47" s="854"/>
      <c r="M47" s="1544"/>
      <c r="N47" s="2028"/>
      <c r="O47" s="1544"/>
      <c r="P47" s="1235"/>
      <c r="Q47" s="1235"/>
      <c r="R47" s="1235"/>
      <c r="S47" s="1235"/>
      <c r="T47" s="1235"/>
      <c r="V47" s="2036">
        <f>P46*V46</f>
        <v>0</v>
      </c>
      <c r="W47" s="2036">
        <f>Q46*W46</f>
        <v>0</v>
      </c>
      <c r="X47" s="2036">
        <f>R46*X46</f>
        <v>0</v>
      </c>
      <c r="Y47" s="2036">
        <f>S46*Y46</f>
        <v>0</v>
      </c>
      <c r="Z47" s="2036">
        <f>T46*Z46</f>
        <v>0</v>
      </c>
      <c r="AB47" s="2036">
        <f>P46*AB46</f>
        <v>421653.84</v>
      </c>
      <c r="AC47" s="2036">
        <f>Q46*AC46</f>
        <v>0</v>
      </c>
      <c r="AD47" s="2036">
        <f>R46*AD46</f>
        <v>0</v>
      </c>
      <c r="AE47" s="2036">
        <f>S46*AE46</f>
        <v>0</v>
      </c>
      <c r="AF47" s="2036">
        <f>T46*AF46</f>
        <v>0</v>
      </c>
      <c r="AH47" s="713"/>
    </row>
    <row r="48" spans="1:34" s="1808" customFormat="1">
      <c r="A48" s="960"/>
      <c r="B48" s="960"/>
      <c r="C48" s="960"/>
      <c r="D48" s="960"/>
      <c r="E48" s="960"/>
      <c r="F48" s="960"/>
      <c r="G48" s="960"/>
      <c r="H48" s="960"/>
      <c r="I48" s="2195"/>
      <c r="J48" s="960"/>
      <c r="K48" s="712"/>
      <c r="L48" s="853"/>
      <c r="M48" s="1081" t="s">
        <v>3579</v>
      </c>
      <c r="N48" s="1025"/>
      <c r="O48" s="1025">
        <f>P37</f>
        <v>17.57</v>
      </c>
      <c r="P48" s="1838">
        <f>N38*P32*O48</f>
        <v>1475880</v>
      </c>
      <c r="Q48" s="1838">
        <f>N38*Q32*O48</f>
        <v>1475880</v>
      </c>
      <c r="R48" s="1838">
        <f>N38*R32*O48</f>
        <v>1475880</v>
      </c>
      <c r="S48" s="1838">
        <f>N38*S32*O48</f>
        <v>1475880</v>
      </c>
      <c r="T48" s="1838">
        <f>N38*T32*O48</f>
        <v>1475880</v>
      </c>
      <c r="V48" s="2035">
        <f>1-AB48</f>
        <v>0</v>
      </c>
      <c r="W48" s="2035">
        <f>1-AC48</f>
        <v>0</v>
      </c>
      <c r="X48" s="2035">
        <f>1-AD48</f>
        <v>0</v>
      </c>
      <c r="Y48" s="2035">
        <f>1-AE48</f>
        <v>1</v>
      </c>
      <c r="Z48" s="2035">
        <f>1-AF48</f>
        <v>1</v>
      </c>
      <c r="AB48" s="2034">
        <v>1</v>
      </c>
      <c r="AC48" s="2034">
        <v>1</v>
      </c>
      <c r="AD48" s="2034">
        <v>1</v>
      </c>
      <c r="AE48" s="2033"/>
      <c r="AF48" s="2033"/>
      <c r="AH48" s="712"/>
    </row>
    <row r="49" spans="1:34" s="1808" customFormat="1" ht="16" thickBot="1">
      <c r="A49" s="960"/>
      <c r="B49" s="960"/>
      <c r="C49" s="960"/>
      <c r="D49" s="960"/>
      <c r="E49" s="960"/>
      <c r="F49" s="960"/>
      <c r="G49" s="960"/>
      <c r="H49" s="960"/>
      <c r="I49" s="2195"/>
      <c r="J49" s="960"/>
      <c r="K49" s="712"/>
      <c r="L49" s="853"/>
      <c r="M49" s="1081"/>
      <c r="N49" s="1025"/>
      <c r="O49" s="1025"/>
      <c r="P49" s="1838"/>
      <c r="Q49" s="1838"/>
      <c r="R49" s="1838"/>
      <c r="S49" s="1838"/>
      <c r="T49" s="1838"/>
      <c r="V49" s="2036">
        <f>P48*V48</f>
        <v>0</v>
      </c>
      <c r="W49" s="2036">
        <f>Q48*W48</f>
        <v>0</v>
      </c>
      <c r="X49" s="2036">
        <f>R48*X48</f>
        <v>0</v>
      </c>
      <c r="Y49" s="2036">
        <f>S48*Y48</f>
        <v>1475880</v>
      </c>
      <c r="Z49" s="2036">
        <f>T48*Z48</f>
        <v>1475880</v>
      </c>
      <c r="AB49" s="2036">
        <f>AB48*P48</f>
        <v>1475880</v>
      </c>
      <c r="AC49" s="2036">
        <f>AC48*Q48</f>
        <v>1475880</v>
      </c>
      <c r="AD49" s="2036">
        <f>AD48*R48</f>
        <v>1475880</v>
      </c>
      <c r="AE49" s="2036">
        <f>AE48*S48</f>
        <v>0</v>
      </c>
      <c r="AF49" s="2036">
        <f>AF48*T48</f>
        <v>0</v>
      </c>
      <c r="AH49" s="712"/>
    </row>
    <row r="50" spans="1:34" s="1808" customFormat="1" ht="16" thickBot="1">
      <c r="A50" s="2157">
        <v>4</v>
      </c>
      <c r="B50" s="841">
        <f>AB50</f>
        <v>1897533.84</v>
      </c>
      <c r="C50" s="841">
        <f>AC50</f>
        <v>1475880</v>
      </c>
      <c r="D50" s="841">
        <f>AD50</f>
        <v>1475880</v>
      </c>
      <c r="E50" s="841">
        <f>AE50</f>
        <v>0</v>
      </c>
      <c r="F50" s="841">
        <f>AF50</f>
        <v>0</v>
      </c>
      <c r="G50" s="841" t="s">
        <v>351</v>
      </c>
      <c r="H50" s="841" t="s">
        <v>3045</v>
      </c>
      <c r="I50" s="2183" t="s">
        <v>3716</v>
      </c>
      <c r="J50" s="841" t="s">
        <v>2925</v>
      </c>
      <c r="K50" s="712"/>
      <c r="L50" s="853"/>
      <c r="M50" s="1710" t="s">
        <v>3044</v>
      </c>
      <c r="N50" s="1709"/>
      <c r="O50" s="1708"/>
      <c r="P50" s="1495">
        <f>P46+P48</f>
        <v>1897533.84</v>
      </c>
      <c r="Q50" s="1495">
        <f>Q46+Q48</f>
        <v>1475880</v>
      </c>
      <c r="R50" s="1495">
        <f>R46+R48</f>
        <v>1475880</v>
      </c>
      <c r="S50" s="1495">
        <f>S46+S48</f>
        <v>1475880</v>
      </c>
      <c r="T50" s="1495">
        <f>T46+T48</f>
        <v>1475880</v>
      </c>
      <c r="V50" s="1495">
        <f>V47+V49</f>
        <v>0</v>
      </c>
      <c r="W50" s="1495">
        <f>W47+W49</f>
        <v>0</v>
      </c>
      <c r="X50" s="1495">
        <f>X47+X49</f>
        <v>0</v>
      </c>
      <c r="Y50" s="1495">
        <f>Y47+Y49</f>
        <v>1475880</v>
      </c>
      <c r="Z50" s="1495">
        <f>Z47+Z49</f>
        <v>1475880</v>
      </c>
      <c r="AB50" s="1495">
        <f>AB47+AB49</f>
        <v>1897533.84</v>
      </c>
      <c r="AC50" s="1495">
        <f>AC47+AC49</f>
        <v>1475880</v>
      </c>
      <c r="AD50" s="1495">
        <f>AD47+AD49</f>
        <v>1475880</v>
      </c>
      <c r="AE50" s="1495">
        <f>AE47+AE49</f>
        <v>0</v>
      </c>
      <c r="AF50" s="1495">
        <f>AF47+AF49</f>
        <v>0</v>
      </c>
      <c r="AH50" s="712"/>
    </row>
    <row r="51" spans="1:34" s="1808" customFormat="1">
      <c r="A51" s="960"/>
      <c r="B51" s="960"/>
      <c r="C51" s="960"/>
      <c r="D51" s="960"/>
      <c r="E51" s="960"/>
      <c r="F51" s="960"/>
      <c r="G51" s="960"/>
      <c r="H51" s="960"/>
      <c r="I51" s="2195"/>
      <c r="J51" s="960"/>
      <c r="K51" s="712"/>
      <c r="L51" s="853"/>
      <c r="AH51" s="712"/>
    </row>
    <row r="52" spans="1:34" s="1808" customFormat="1" ht="19">
      <c r="A52" s="2157">
        <v>216</v>
      </c>
      <c r="B52" s="841">
        <f>V50</f>
        <v>0</v>
      </c>
      <c r="C52" s="841">
        <f>W50</f>
        <v>0</v>
      </c>
      <c r="D52" s="841">
        <f>X50</f>
        <v>0</v>
      </c>
      <c r="E52" s="841">
        <f>Y50</f>
        <v>1475880</v>
      </c>
      <c r="F52" s="841">
        <f>Z50</f>
        <v>1475880</v>
      </c>
      <c r="G52" s="841" t="s">
        <v>338</v>
      </c>
      <c r="H52" s="841" t="s">
        <v>3045</v>
      </c>
      <c r="I52" s="2183"/>
      <c r="J52" s="841" t="s">
        <v>2925</v>
      </c>
      <c r="K52" s="712"/>
      <c r="L52" s="853"/>
      <c r="M52" s="2030" t="s">
        <v>3580</v>
      </c>
      <c r="AH52" s="712"/>
    </row>
    <row r="53" spans="1:34" s="1808" customFormat="1" ht="16" thickBot="1">
      <c r="A53" s="960"/>
      <c r="B53" s="960"/>
      <c r="C53" s="960"/>
      <c r="D53" s="960"/>
      <c r="E53" s="960"/>
      <c r="F53" s="960"/>
      <c r="G53" s="960"/>
      <c r="H53" s="960"/>
      <c r="I53" s="2195"/>
      <c r="J53" s="960"/>
      <c r="K53" s="712"/>
      <c r="L53" s="853"/>
      <c r="V53" s="1808" t="s">
        <v>513</v>
      </c>
      <c r="AB53" s="1808" t="s">
        <v>351</v>
      </c>
      <c r="AH53" s="712"/>
    </row>
    <row r="54" spans="1:34" s="1808" customFormat="1" ht="16" thickBot="1">
      <c r="A54" s="960"/>
      <c r="B54" s="960"/>
      <c r="C54" s="960"/>
      <c r="D54" s="960"/>
      <c r="E54" s="960"/>
      <c r="F54" s="960"/>
      <c r="G54" s="960"/>
      <c r="H54" s="960"/>
      <c r="I54" s="2195"/>
      <c r="J54" s="960"/>
      <c r="K54" s="712"/>
      <c r="L54" s="853"/>
      <c r="M54" s="1808" t="s">
        <v>2171</v>
      </c>
      <c r="P54" s="1500">
        <v>2021</v>
      </c>
      <c r="Q54" s="1501">
        <v>2022</v>
      </c>
      <c r="R54" s="1501">
        <v>2023</v>
      </c>
      <c r="S54" s="1501">
        <v>2024</v>
      </c>
      <c r="T54" s="1502">
        <v>2025</v>
      </c>
      <c r="V54" s="1500">
        <v>2021</v>
      </c>
      <c r="W54" s="1501">
        <v>2022</v>
      </c>
      <c r="X54" s="1501">
        <v>2023</v>
      </c>
      <c r="Y54" s="1501">
        <v>2024</v>
      </c>
      <c r="Z54" s="1502">
        <v>2025</v>
      </c>
      <c r="AB54" s="1500">
        <v>2021</v>
      </c>
      <c r="AC54" s="1501">
        <v>2022</v>
      </c>
      <c r="AD54" s="1501">
        <v>2023</v>
      </c>
      <c r="AE54" s="1501">
        <v>2024</v>
      </c>
      <c r="AF54" s="1502">
        <v>2025</v>
      </c>
      <c r="AH54" s="712"/>
    </row>
    <row r="55" spans="1:34" s="1808" customFormat="1">
      <c r="A55" s="960"/>
      <c r="B55" s="960"/>
      <c r="C55" s="960"/>
      <c r="D55" s="960"/>
      <c r="E55" s="960"/>
      <c r="F55" s="960"/>
      <c r="G55" s="960"/>
      <c r="H55" s="960"/>
      <c r="I55" s="2195"/>
      <c r="J55" s="960"/>
      <c r="K55" s="712"/>
      <c r="L55" s="853"/>
      <c r="M55" s="1808" t="s">
        <v>3577</v>
      </c>
      <c r="P55" s="2028">
        <f>P33</f>
        <v>2</v>
      </c>
      <c r="Q55" s="2028">
        <v>0</v>
      </c>
      <c r="R55" s="2028">
        <v>0</v>
      </c>
      <c r="S55" s="2028">
        <v>0</v>
      </c>
      <c r="T55" s="2028">
        <v>0</v>
      </c>
      <c r="V55" s="2028">
        <f>V40</f>
        <v>0</v>
      </c>
      <c r="W55" s="2028">
        <v>0</v>
      </c>
      <c r="X55" s="2028">
        <v>0</v>
      </c>
      <c r="Y55" s="2028">
        <v>0</v>
      </c>
      <c r="Z55" s="2028">
        <v>0</v>
      </c>
      <c r="AB55" s="2028">
        <f>AB40</f>
        <v>0</v>
      </c>
      <c r="AC55" s="2028">
        <v>0</v>
      </c>
      <c r="AD55" s="2028">
        <v>0</v>
      </c>
      <c r="AE55" s="2028"/>
      <c r="AF55" s="2028"/>
      <c r="AH55" s="712"/>
    </row>
    <row r="56" spans="1:34" s="1808" customFormat="1">
      <c r="A56" s="960"/>
      <c r="B56" s="960"/>
      <c r="C56" s="960"/>
      <c r="D56" s="960"/>
      <c r="E56" s="960"/>
      <c r="F56" s="960"/>
      <c r="G56" s="960"/>
      <c r="H56" s="960"/>
      <c r="I56" s="2195"/>
      <c r="J56" s="960"/>
      <c r="K56" s="712"/>
      <c r="L56" s="853"/>
      <c r="M56" s="2031" t="s">
        <v>2189</v>
      </c>
      <c r="N56" s="2032"/>
      <c r="O56" s="2031">
        <f>P36</f>
        <v>105413.46</v>
      </c>
      <c r="P56" s="2033">
        <f>P55*O56</f>
        <v>210826.92</v>
      </c>
      <c r="Q56" s="2033">
        <f>Q55*O56</f>
        <v>0</v>
      </c>
      <c r="R56" s="2033">
        <f>R55*O56</f>
        <v>0</v>
      </c>
      <c r="S56" s="2033">
        <f>S55*O56</f>
        <v>0</v>
      </c>
      <c r="T56" s="2033">
        <f>T55*O56</f>
        <v>0</v>
      </c>
      <c r="V56" s="2035">
        <f>1-AB56</f>
        <v>0</v>
      </c>
      <c r="W56" s="2035">
        <f>1-AC56</f>
        <v>0</v>
      </c>
      <c r="X56" s="2035">
        <f>1-AD56</f>
        <v>0</v>
      </c>
      <c r="Y56" s="2035">
        <f>1-AE56</f>
        <v>1</v>
      </c>
      <c r="Z56" s="2035">
        <f>1-AF56</f>
        <v>1</v>
      </c>
      <c r="AB56" s="2034">
        <v>1</v>
      </c>
      <c r="AC56" s="2034">
        <v>1</v>
      </c>
      <c r="AD56" s="2034">
        <v>1</v>
      </c>
      <c r="AE56" s="2033"/>
      <c r="AF56" s="2033"/>
      <c r="AH56" s="712"/>
    </row>
    <row r="57" spans="1:34" s="1808" customFormat="1">
      <c r="A57" s="960"/>
      <c r="B57" s="960"/>
      <c r="C57" s="960"/>
      <c r="D57" s="960"/>
      <c r="E57" s="960"/>
      <c r="F57" s="960"/>
      <c r="G57" s="960"/>
      <c r="H57" s="960"/>
      <c r="I57" s="2195"/>
      <c r="J57" s="960"/>
      <c r="K57" s="712"/>
      <c r="L57" s="853"/>
      <c r="M57" s="1544"/>
      <c r="N57" s="2028"/>
      <c r="O57" s="1544"/>
      <c r="P57" s="1235"/>
      <c r="Q57" s="1235"/>
      <c r="R57" s="1235"/>
      <c r="S57" s="1235"/>
      <c r="T57" s="1235"/>
      <c r="U57" s="431"/>
      <c r="V57" s="2036">
        <f>P56*V56</f>
        <v>0</v>
      </c>
      <c r="W57" s="2036">
        <f>Q56*W56</f>
        <v>0</v>
      </c>
      <c r="X57" s="2036">
        <f>R56*X56</f>
        <v>0</v>
      </c>
      <c r="Y57" s="2036">
        <f>S56*Y56</f>
        <v>0</v>
      </c>
      <c r="Z57" s="2036">
        <f>T56*Z56</f>
        <v>0</v>
      </c>
      <c r="AA57" s="431"/>
      <c r="AB57" s="2036">
        <f>P56*AB56</f>
        <v>210826.92</v>
      </c>
      <c r="AC57" s="2036">
        <f>Q56*AC56</f>
        <v>0</v>
      </c>
      <c r="AD57" s="2036">
        <f>R56*AD56</f>
        <v>0</v>
      </c>
      <c r="AE57" s="2036">
        <f>S56*AE56</f>
        <v>0</v>
      </c>
      <c r="AF57" s="2036">
        <f>T56*AF56</f>
        <v>0</v>
      </c>
      <c r="AH57" s="712"/>
    </row>
    <row r="58" spans="1:34" s="1808" customFormat="1">
      <c r="A58" s="2157">
        <v>217</v>
      </c>
      <c r="B58" s="841">
        <f>AB60</f>
        <v>948766.92</v>
      </c>
      <c r="C58" s="841">
        <f>AC60</f>
        <v>737940</v>
      </c>
      <c r="D58" s="841">
        <f>AD60</f>
        <v>737940</v>
      </c>
      <c r="E58" s="841">
        <f>AE60</f>
        <v>0</v>
      </c>
      <c r="F58" s="841">
        <f>AF60</f>
        <v>0</v>
      </c>
      <c r="G58" s="841" t="s">
        <v>351</v>
      </c>
      <c r="H58" s="841" t="s">
        <v>3045</v>
      </c>
      <c r="I58" s="2183" t="s">
        <v>3716</v>
      </c>
      <c r="J58" s="841" t="s">
        <v>2925</v>
      </c>
      <c r="K58" s="712"/>
      <c r="L58" s="853"/>
      <c r="M58" s="1081" t="s">
        <v>3579</v>
      </c>
      <c r="N58" s="1025"/>
      <c r="O58" s="1025">
        <f>P37</f>
        <v>17.57</v>
      </c>
      <c r="P58" s="1838">
        <f>P33*N38*O58</f>
        <v>737940</v>
      </c>
      <c r="Q58" s="1838">
        <f>Q33*N38*O58</f>
        <v>737940</v>
      </c>
      <c r="R58" s="1838">
        <f>R33*N38*O58</f>
        <v>737940</v>
      </c>
      <c r="S58" s="1838">
        <f>S33*N38*O58</f>
        <v>737940</v>
      </c>
      <c r="T58" s="1838">
        <f>T33*N38*O58</f>
        <v>737940</v>
      </c>
      <c r="V58" s="2035">
        <f>1-AB58</f>
        <v>0</v>
      </c>
      <c r="W58" s="2035">
        <f>1-AC58</f>
        <v>0</v>
      </c>
      <c r="X58" s="2035">
        <f>1-AD58</f>
        <v>0</v>
      </c>
      <c r="Y58" s="2035">
        <f>1-AE58</f>
        <v>1</v>
      </c>
      <c r="Z58" s="2035">
        <f>1-AF58</f>
        <v>1</v>
      </c>
      <c r="AB58" s="2034">
        <v>1</v>
      </c>
      <c r="AC58" s="2034">
        <v>1</v>
      </c>
      <c r="AD58" s="2034">
        <v>1</v>
      </c>
      <c r="AE58" s="2033"/>
      <c r="AF58" s="2033"/>
      <c r="AH58" s="712"/>
    </row>
    <row r="59" spans="1:34" s="1808" customFormat="1" ht="16" thickBot="1">
      <c r="A59" s="960"/>
      <c r="B59" s="960"/>
      <c r="C59" s="960"/>
      <c r="D59" s="960"/>
      <c r="E59" s="960"/>
      <c r="F59" s="960"/>
      <c r="G59" s="960"/>
      <c r="H59" s="960"/>
      <c r="I59" s="2195"/>
      <c r="J59" s="960"/>
      <c r="K59" s="712"/>
      <c r="L59" s="853"/>
      <c r="M59" s="1081"/>
      <c r="N59" s="1025"/>
      <c r="O59" s="1025"/>
      <c r="P59" s="1838"/>
      <c r="Q59" s="1838"/>
      <c r="R59" s="1838"/>
      <c r="S59" s="1838"/>
      <c r="T59" s="1838"/>
      <c r="V59" s="2036">
        <f>P58*V58</f>
        <v>0</v>
      </c>
      <c r="W59" s="2036">
        <f>Q58*W58</f>
        <v>0</v>
      </c>
      <c r="X59" s="2036">
        <f>R58*X58</f>
        <v>0</v>
      </c>
      <c r="Y59" s="2036">
        <f>S58*Y58</f>
        <v>737940</v>
      </c>
      <c r="Z59" s="2036">
        <f>T58*Z58</f>
        <v>737940</v>
      </c>
      <c r="AB59" s="2036">
        <f>AB58*P58</f>
        <v>737940</v>
      </c>
      <c r="AC59" s="2036">
        <f>AC58*Q58</f>
        <v>737940</v>
      </c>
      <c r="AD59" s="2036">
        <f>AD58*R58</f>
        <v>737940</v>
      </c>
      <c r="AE59" s="2036">
        <f>AE58*S58</f>
        <v>0</v>
      </c>
      <c r="AF59" s="2036">
        <f>AF58*T58</f>
        <v>0</v>
      </c>
      <c r="AH59" s="712"/>
    </row>
    <row r="60" spans="1:34" s="1808" customFormat="1" ht="16" thickBot="1">
      <c r="A60" s="2157">
        <v>218</v>
      </c>
      <c r="B60" s="841">
        <f>V60</f>
        <v>0</v>
      </c>
      <c r="C60" s="841">
        <f>W60</f>
        <v>0</v>
      </c>
      <c r="D60" s="841">
        <f>X60</f>
        <v>0</v>
      </c>
      <c r="E60" s="841">
        <f>Y60</f>
        <v>737940</v>
      </c>
      <c r="F60" s="841">
        <f>Z60</f>
        <v>737940</v>
      </c>
      <c r="G60" s="841" t="s">
        <v>513</v>
      </c>
      <c r="H60" s="841" t="s">
        <v>3045</v>
      </c>
      <c r="I60" s="2183"/>
      <c r="J60" s="841" t="s">
        <v>2925</v>
      </c>
      <c r="K60" s="712"/>
      <c r="L60" s="853"/>
      <c r="M60" s="1710" t="s">
        <v>3044</v>
      </c>
      <c r="N60" s="1709"/>
      <c r="O60" s="1708"/>
      <c r="P60" s="1495">
        <f>P56+P58</f>
        <v>948766.92</v>
      </c>
      <c r="Q60" s="1495">
        <f>Q56+Q58</f>
        <v>737940</v>
      </c>
      <c r="R60" s="1495">
        <f>R56+R58</f>
        <v>737940</v>
      </c>
      <c r="S60" s="1495">
        <f>S56+S58</f>
        <v>737940</v>
      </c>
      <c r="T60" s="1495">
        <f>T56+T58</f>
        <v>737940</v>
      </c>
      <c r="V60" s="1495">
        <f>V57+V59</f>
        <v>0</v>
      </c>
      <c r="W60" s="1495">
        <f>W57+W59</f>
        <v>0</v>
      </c>
      <c r="X60" s="1495">
        <f>X57+X59</f>
        <v>0</v>
      </c>
      <c r="Y60" s="1495">
        <f>Y57+Y59</f>
        <v>737940</v>
      </c>
      <c r="Z60" s="1495">
        <f>Z57+Z59</f>
        <v>737940</v>
      </c>
      <c r="AB60" s="1495">
        <f>AB57+AB59</f>
        <v>948766.92</v>
      </c>
      <c r="AC60" s="1495">
        <f>AC57+AC59</f>
        <v>737940</v>
      </c>
      <c r="AD60" s="1495">
        <f>AD57+AD59</f>
        <v>737940</v>
      </c>
      <c r="AE60" s="1495">
        <f>AE57+AE59</f>
        <v>0</v>
      </c>
      <c r="AF60" s="1495">
        <f>AF57+AF59</f>
        <v>0</v>
      </c>
      <c r="AH60" s="712"/>
    </row>
    <row r="61" spans="1:34" s="1808" customFormat="1">
      <c r="A61" s="960"/>
      <c r="B61" s="960"/>
      <c r="C61" s="960"/>
      <c r="D61" s="960"/>
      <c r="E61" s="960"/>
      <c r="F61" s="960"/>
      <c r="G61" s="960"/>
      <c r="H61" s="960"/>
      <c r="I61" s="2195"/>
      <c r="J61" s="960"/>
      <c r="K61" s="712"/>
      <c r="AH61" s="712"/>
    </row>
    <row r="62" spans="1:34" s="1808" customFormat="1">
      <c r="A62" s="960"/>
      <c r="B62" s="960"/>
      <c r="C62" s="960"/>
      <c r="D62" s="960"/>
      <c r="E62" s="960"/>
      <c r="F62" s="960"/>
      <c r="G62" s="960"/>
      <c r="H62" s="960"/>
      <c r="I62" s="2195"/>
      <c r="J62" s="960"/>
      <c r="K62" s="712"/>
      <c r="AC62" s="1791">
        <f>SUM(AB60:AD60)/EUR</f>
        <v>123550.75743057104</v>
      </c>
      <c r="AH62" s="712"/>
    </row>
    <row r="63" spans="1:34" s="1808" customFormat="1">
      <c r="A63" s="960"/>
      <c r="B63" s="960"/>
      <c r="C63" s="960"/>
      <c r="D63" s="960"/>
      <c r="E63" s="960"/>
      <c r="F63" s="960"/>
      <c r="G63" s="960"/>
      <c r="H63" s="960"/>
      <c r="I63" s="2195"/>
      <c r="J63" s="960"/>
      <c r="K63" s="712"/>
      <c r="AH63" s="712"/>
    </row>
    <row r="64" spans="1:34">
      <c r="K64" s="712" t="s">
        <v>238</v>
      </c>
      <c r="AH64" s="712" t="s">
        <v>238</v>
      </c>
    </row>
    <row r="65" spans="11:34">
      <c r="K65" s="712" t="s">
        <v>238</v>
      </c>
      <c r="AH65" s="712" t="s">
        <v>238</v>
      </c>
    </row>
    <row r="66" spans="11:34" ht="21">
      <c r="K66" s="712" t="s">
        <v>238</v>
      </c>
      <c r="L66" s="1751" t="s">
        <v>3046</v>
      </c>
      <c r="AH66" s="712" t="s">
        <v>238</v>
      </c>
    </row>
    <row r="67" spans="11:34" ht="19">
      <c r="K67" s="712" t="s">
        <v>238</v>
      </c>
      <c r="M67" s="1232"/>
      <c r="AH67" s="712" t="s">
        <v>238</v>
      </c>
    </row>
    <row r="68" spans="11:34" ht="15" customHeight="1">
      <c r="K68" s="712" t="s">
        <v>238</v>
      </c>
      <c r="R68" s="1745"/>
      <c r="AH68" s="712" t="s">
        <v>238</v>
      </c>
    </row>
    <row r="69" spans="11:34">
      <c r="K69" s="712" t="s">
        <v>238</v>
      </c>
      <c r="R69" s="1745"/>
      <c r="AH69" s="712" t="s">
        <v>238</v>
      </c>
    </row>
    <row r="70" spans="11:34" ht="80">
      <c r="K70" s="712" t="s">
        <v>238</v>
      </c>
      <c r="M70" s="1747" t="s">
        <v>3054</v>
      </c>
      <c r="N70" s="1749"/>
      <c r="O70" s="1565"/>
      <c r="P70" s="1040">
        <v>1</v>
      </c>
      <c r="R70" s="1745"/>
      <c r="AH70" s="712" t="s">
        <v>238</v>
      </c>
    </row>
    <row r="71" spans="11:34" ht="64">
      <c r="K71" s="712" t="s">
        <v>238</v>
      </c>
      <c r="M71" s="1747" t="s">
        <v>3055</v>
      </c>
      <c r="N71" s="1749"/>
      <c r="O71" s="1565"/>
      <c r="P71" s="1040">
        <v>0</v>
      </c>
      <c r="AH71" s="712" t="s">
        <v>238</v>
      </c>
    </row>
    <row r="72" spans="11:34" ht="32">
      <c r="K72" s="712" t="s">
        <v>238</v>
      </c>
      <c r="M72" s="1747" t="s">
        <v>3056</v>
      </c>
      <c r="N72" s="1749"/>
      <c r="O72" s="1565"/>
      <c r="P72" s="1040">
        <v>20</v>
      </c>
      <c r="AH72" s="712" t="s">
        <v>238</v>
      </c>
    </row>
    <row r="73" spans="11:34" ht="32">
      <c r="K73" s="712" t="s">
        <v>238</v>
      </c>
      <c r="M73" s="1747" t="s">
        <v>3057</v>
      </c>
      <c r="N73" s="1749"/>
      <c r="O73" s="1565"/>
      <c r="P73" s="1040">
        <v>2</v>
      </c>
      <c r="AH73" s="712" t="s">
        <v>238</v>
      </c>
    </row>
    <row r="74" spans="11:34" ht="80">
      <c r="K74" s="712" t="s">
        <v>238</v>
      </c>
      <c r="M74" s="1747" t="s">
        <v>3052</v>
      </c>
      <c r="N74" s="1748"/>
      <c r="O74" s="1694">
        <v>0.75</v>
      </c>
      <c r="P74" s="1028">
        <f>ROUND(P72*O74,0)</f>
        <v>15</v>
      </c>
      <c r="AH74" s="712" t="s">
        <v>238</v>
      </c>
    </row>
    <row r="75" spans="11:34" ht="96">
      <c r="K75" s="712" t="s">
        <v>238</v>
      </c>
      <c r="M75" s="1747" t="s">
        <v>3053</v>
      </c>
      <c r="N75" s="1748"/>
      <c r="O75" s="1694">
        <v>0.75</v>
      </c>
      <c r="P75" s="1028">
        <f>ROUND(P72*O75,0)</f>
        <v>15</v>
      </c>
      <c r="AH75" s="712" t="s">
        <v>238</v>
      </c>
    </row>
    <row r="76" spans="11:34">
      <c r="K76" s="712" t="s">
        <v>238</v>
      </c>
      <c r="M76" s="1019" t="s">
        <v>3036</v>
      </c>
      <c r="N76" s="1019"/>
      <c r="O76" s="1695"/>
      <c r="P76" s="1028">
        <f>P73-1</f>
        <v>1</v>
      </c>
      <c r="AH76" s="712" t="s">
        <v>238</v>
      </c>
    </row>
    <row r="77" spans="11:34" ht="16" thickBot="1">
      <c r="K77" s="712" t="s">
        <v>238</v>
      </c>
      <c r="AH77" s="712" t="s">
        <v>238</v>
      </c>
    </row>
    <row r="78" spans="11:34" ht="64">
      <c r="K78" s="712" t="s">
        <v>238</v>
      </c>
      <c r="M78" s="1699" t="s">
        <v>3033</v>
      </c>
      <c r="N78" s="1700" t="s">
        <v>3034</v>
      </c>
      <c r="O78" s="1702" t="s">
        <v>3040</v>
      </c>
      <c r="P78" s="1702" t="s">
        <v>3041</v>
      </c>
      <c r="Q78" s="1702" t="s">
        <v>3042</v>
      </c>
      <c r="R78" s="1700" t="s">
        <v>3035</v>
      </c>
      <c r="S78" s="1702" t="s">
        <v>3039</v>
      </c>
      <c r="T78" s="1701" t="s">
        <v>2189</v>
      </c>
      <c r="V78" s="734"/>
      <c r="AH78" s="712" t="s">
        <v>238</v>
      </c>
    </row>
    <row r="79" spans="11:34">
      <c r="K79" s="712" t="s">
        <v>238</v>
      </c>
      <c r="M79" s="1539" t="s">
        <v>3051</v>
      </c>
      <c r="N79" s="958" t="str">
        <f>IFERROR(VLOOKUP(M79,Price_list!$B$1:$H$187,2,0),"")</f>
        <v>International Consultancy fee (3.1)</v>
      </c>
      <c r="O79" s="958" t="str">
        <f>IFERROR(VLOOKUP(M79,Price_list!$B$1:$H$187,3,0),"")</f>
        <v>cost/zi</v>
      </c>
      <c r="P79" s="946">
        <f>IFERROR(VLOOKUP(M79,Price_list!$B$1:$H$187,4,0),"")</f>
        <v>350</v>
      </c>
      <c r="Q79" s="946" t="str">
        <f>IFERROR(VLOOKUP(M79,Price_list!$B$1:$H$187,5,0),"")</f>
        <v>EUR</v>
      </c>
      <c r="R79" s="958">
        <f t="shared" ref="R79:R96" ca="1" si="1">ROUND(IFERROR(IF(Q79="MDL",P79,P79*INDIRECT(Q79)),0),2)</f>
        <v>6868.65</v>
      </c>
      <c r="S79" s="946">
        <f>P73+V79</f>
        <v>4</v>
      </c>
      <c r="T79" s="1889">
        <f ca="1">IFERROR(P70*R79*S79,"")</f>
        <v>27474.6</v>
      </c>
      <c r="V79" s="734">
        <v>2</v>
      </c>
      <c r="W79">
        <f>EUR</f>
        <v>19.624703</v>
      </c>
      <c r="AH79" s="712" t="s">
        <v>238</v>
      </c>
    </row>
    <row r="80" spans="11:34">
      <c r="K80" s="712" t="s">
        <v>238</v>
      </c>
      <c r="M80" s="1539" t="s">
        <v>3029</v>
      </c>
      <c r="N80" s="958" t="str">
        <f>IFERROR(VLOOKUP(M80,Price_list!$B$1:$H$187,2,0),"")</f>
        <v xml:space="preserve">Travel costs </v>
      </c>
      <c r="O80" s="958" t="str">
        <f>IFERROR(VLOOKUP(M80,Price_list!$B$1:$H$187,3,0),"")</f>
        <v>cost tichet o directie</v>
      </c>
      <c r="P80" s="946">
        <f>IFERROR(VLOOKUP(M80,Price_list!$B$1:$H$187,4,0),"")</f>
        <v>5000</v>
      </c>
      <c r="Q80" s="946" t="str">
        <f>IFERROR(VLOOKUP(M80,Price_list!$B$1:$H$187,5,0),"")</f>
        <v>MDL</v>
      </c>
      <c r="R80" s="958">
        <f t="shared" ca="1" si="1"/>
        <v>5000</v>
      </c>
      <c r="S80" s="1040">
        <v>2</v>
      </c>
      <c r="T80" s="1889">
        <f ca="1">P70*S80*R80</f>
        <v>10000</v>
      </c>
      <c r="V80" s="734"/>
      <c r="AH80" s="712" t="s">
        <v>238</v>
      </c>
    </row>
    <row r="81" spans="11:34">
      <c r="K81" s="712" t="s">
        <v>238</v>
      </c>
      <c r="M81" s="1539" t="s">
        <v>3020</v>
      </c>
      <c r="N81" s="958" t="str">
        <f>IFERROR(VLOOKUP(M81,Price_list!$B$1:$H$187,2,0),"")</f>
        <v xml:space="preserve">Per diem, WHO DSA, average </v>
      </c>
      <c r="O81" s="958" t="str">
        <f>IFERROR(VLOOKUP(M81,Price_list!$B$1:$H$187,3,0),"")</f>
        <v>diurna</v>
      </c>
      <c r="P81" s="946">
        <f>IFERROR(VLOOKUP(M81,Price_list!$B$1:$H$187,4,0),"")</f>
        <v>200</v>
      </c>
      <c r="Q81" s="946" t="str">
        <f>IFERROR(VLOOKUP(M81,Price_list!$B$1:$H$187,5,0),"")</f>
        <v>EUR</v>
      </c>
      <c r="R81" s="958">
        <f t="shared" ca="1" si="1"/>
        <v>3924.94</v>
      </c>
      <c r="S81" s="946">
        <f>P73+2</f>
        <v>4</v>
      </c>
      <c r="T81" s="1889">
        <f ca="1">P70*R81*S81</f>
        <v>15699.76</v>
      </c>
      <c r="V81" s="734"/>
      <c r="AH81" s="712" t="s">
        <v>238</v>
      </c>
    </row>
    <row r="82" spans="11:34">
      <c r="K82" s="712" t="s">
        <v>238</v>
      </c>
      <c r="M82" s="1539" t="s">
        <v>3050</v>
      </c>
      <c r="N82" s="958" t="str">
        <f>IFERROR(VLOOKUP(M82,Price_list!$B$1:$H$187,2,0),"")</f>
        <v>National Consultancy fee (3.1)</v>
      </c>
      <c r="O82" s="958" t="str">
        <f>IFERROR(VLOOKUP(M82,Price_list!$B$1:$H$187,3,0),"")</f>
        <v>cost/zi</v>
      </c>
      <c r="P82" s="946">
        <f>IFERROR(VLOOKUP(M82,Price_list!$B$1:$H$187,4,0),"")</f>
        <v>2000</v>
      </c>
      <c r="Q82" s="946" t="str">
        <f>IFERROR(VLOOKUP(M82,Price_list!$B$1:$H$187,5,0),"")</f>
        <v>MDL</v>
      </c>
      <c r="R82" s="958">
        <f t="shared" ca="1" si="1"/>
        <v>2000</v>
      </c>
      <c r="S82" s="946">
        <f>P73+V82</f>
        <v>4</v>
      </c>
      <c r="T82" s="1889">
        <f ca="1">P71*R82*S82</f>
        <v>0</v>
      </c>
      <c r="V82" s="734">
        <v>2</v>
      </c>
      <c r="AH82" s="712" t="s">
        <v>238</v>
      </c>
    </row>
    <row r="83" spans="11:34">
      <c r="K83" s="712" t="s">
        <v>238</v>
      </c>
      <c r="M83" s="1539"/>
      <c r="N83" s="958" t="str">
        <f>IFERROR(VLOOKUP(M83,Price_list!$B$1:$H$187,2,0),"")</f>
        <v/>
      </c>
      <c r="O83" s="958" t="str">
        <f>IFERROR(VLOOKUP(M83,Price_list!$B$1:$H$187,3,0),"")</f>
        <v/>
      </c>
      <c r="P83" s="946" t="str">
        <f>IFERROR(VLOOKUP(M83,Price_list!$B$1:$H$187,4,0),"")</f>
        <v/>
      </c>
      <c r="Q83" s="946" t="str">
        <f>IFERROR(VLOOKUP(M83,Price_list!$B$1:$H$187,5,0),"")</f>
        <v/>
      </c>
      <c r="R83" s="958">
        <f t="shared" ca="1" si="1"/>
        <v>0</v>
      </c>
      <c r="S83" s="946" t="str">
        <f>IFERROR(VLOOKUP(AD83,M74:O79,3,0),"")</f>
        <v/>
      </c>
      <c r="T83" s="1889" t="str">
        <f>IFERROR(#REF!*S83*P83,"")</f>
        <v/>
      </c>
      <c r="V83" s="734"/>
      <c r="AH83" s="712" t="s">
        <v>238</v>
      </c>
    </row>
    <row r="84" spans="11:34">
      <c r="K84" s="712" t="s">
        <v>238</v>
      </c>
      <c r="M84" s="1539"/>
      <c r="N84" s="958" t="str">
        <f>IFERROR(VLOOKUP(M84,Price_list!$B$1:$H$187,2,0),"")</f>
        <v/>
      </c>
      <c r="O84" s="958" t="str">
        <f>IFERROR(VLOOKUP(M84,Price_list!$B$1:$H$187,3,0),"")</f>
        <v/>
      </c>
      <c r="P84" s="946" t="str">
        <f>IFERROR(VLOOKUP(M84,Price_list!$B$1:$H$187,4,0),"")</f>
        <v/>
      </c>
      <c r="Q84" s="946" t="str">
        <f>IFERROR(VLOOKUP(M84,Price_list!$B$1:$H$187,5,0),"")</f>
        <v/>
      </c>
      <c r="R84" s="958">
        <f t="shared" ca="1" si="1"/>
        <v>0</v>
      </c>
      <c r="S84" s="946" t="str">
        <f>IFERROR(VLOOKUP(AD84,M76:O80,3,0),"")</f>
        <v/>
      </c>
      <c r="T84" s="1889" t="str">
        <f>IFERROR(#REF!*S84*P84,"")</f>
        <v/>
      </c>
      <c r="V84" s="734"/>
      <c r="AH84" s="712" t="s">
        <v>238</v>
      </c>
    </row>
    <row r="85" spans="11:34">
      <c r="K85" s="712" t="s">
        <v>238</v>
      </c>
      <c r="M85" s="1539" t="s">
        <v>3016</v>
      </c>
      <c r="N85" s="958" t="str">
        <f>IFERROR(VLOOKUP(M85,Price_list!$B$1:$H$187,2,0),"")</f>
        <v>Coffe break</v>
      </c>
      <c r="O85" s="958" t="str">
        <f>IFERROR(VLOOKUP(M85,Price_list!$B$1:$H$187,3,0),"")</f>
        <v>unitate</v>
      </c>
      <c r="P85" s="946">
        <f>IFERROR(VLOOKUP(M85,Price_list!$B$1:$H$187,4,0),"")</f>
        <v>75</v>
      </c>
      <c r="Q85" s="946" t="str">
        <f>IFERROR(VLOOKUP(M85,Price_list!$B$1:$H$187,5,0),"")</f>
        <v>MDL</v>
      </c>
      <c r="R85" s="958">
        <f t="shared" ca="1" si="1"/>
        <v>75</v>
      </c>
      <c r="S85" s="946">
        <v>2</v>
      </c>
      <c r="T85" s="1889">
        <f ca="1">S85*R85*P72*P73</f>
        <v>6000</v>
      </c>
      <c r="AH85" s="712" t="s">
        <v>238</v>
      </c>
    </row>
    <row r="86" spans="11:34">
      <c r="K86" s="712" t="s">
        <v>238</v>
      </c>
      <c r="M86" s="1539" t="s">
        <v>3021</v>
      </c>
      <c r="N86" s="958" t="str">
        <f>IFERROR(VLOOKUP(M86,Price_list!$B$1:$H$187,2,0),"")</f>
        <v xml:space="preserve">Meal ( lunch) </v>
      </c>
      <c r="O86" s="958" t="str">
        <f>IFERROR(VLOOKUP(M86,Price_list!$B$1:$H$187,3,0),"")</f>
        <v>unitate</v>
      </c>
      <c r="P86" s="946">
        <f>IFERROR(VLOOKUP(M86,Price_list!$B$1:$H$187,4,0),"")</f>
        <v>220</v>
      </c>
      <c r="Q86" s="946" t="str">
        <f>IFERROR(VLOOKUP(M86,Price_list!$B$1:$H$187,5,0),"")</f>
        <v>MDL</v>
      </c>
      <c r="R86" s="958">
        <f t="shared" ca="1" si="1"/>
        <v>220</v>
      </c>
      <c r="S86" s="946">
        <f>P73</f>
        <v>2</v>
      </c>
      <c r="T86" s="1889">
        <f ca="1">P72*S86*R86</f>
        <v>8800</v>
      </c>
      <c r="AH86" s="712" t="s">
        <v>238</v>
      </c>
    </row>
    <row r="87" spans="11:34">
      <c r="K87" s="712" t="s">
        <v>238</v>
      </c>
      <c r="M87" s="1539" t="s">
        <v>3023</v>
      </c>
      <c r="N87" s="958" t="str">
        <f>IFERROR(VLOOKUP(M87,Price_list!$B$1:$H$187,2,0),"")</f>
        <v>Meal(dinner)</v>
      </c>
      <c r="O87" s="958" t="str">
        <f>IFERROR(VLOOKUP(M87,Price_list!$B$1:$H$187,3,0),"")</f>
        <v>unitate</v>
      </c>
      <c r="P87" s="946">
        <f>IFERROR(VLOOKUP(M87,Price_list!$B$1:$H$187,4,0),"")</f>
        <v>220</v>
      </c>
      <c r="Q87" s="946" t="str">
        <f>IFERROR(VLOOKUP(M87,Price_list!$B$1:$H$187,5,0),"")</f>
        <v>MDL</v>
      </c>
      <c r="R87" s="958">
        <f t="shared" ca="1" si="1"/>
        <v>220</v>
      </c>
      <c r="S87" s="946">
        <f>P76</f>
        <v>1</v>
      </c>
      <c r="T87" s="1889">
        <f ca="1">S87*R87*P74</f>
        <v>3300</v>
      </c>
      <c r="AH87" s="712" t="s">
        <v>238</v>
      </c>
    </row>
    <row r="88" spans="11:34">
      <c r="K88" s="712" t="s">
        <v>238</v>
      </c>
      <c r="M88" s="1539" t="s">
        <v>3024</v>
      </c>
      <c r="N88" s="958" t="str">
        <f>IFERROR(VLOOKUP(M88,Price_list!$B$1:$H$187,2,0),"")</f>
        <v xml:space="preserve">Accomodation </v>
      </c>
      <c r="O88" s="958" t="str">
        <f>IFERROR(VLOOKUP(M88,Price_list!$B$1:$H$187,3,0),"")</f>
        <v>cost/noapte</v>
      </c>
      <c r="P88" s="946">
        <f>IFERROR(VLOOKUP(M88,Price_list!$B$1:$H$187,4,0),"")</f>
        <v>750</v>
      </c>
      <c r="Q88" s="946" t="str">
        <f>IFERROR(VLOOKUP(M88,Price_list!$B$1:$H$187,5,0),"")</f>
        <v>MDL</v>
      </c>
      <c r="R88" s="958">
        <f t="shared" ca="1" si="1"/>
        <v>750</v>
      </c>
      <c r="S88" s="946">
        <f>P76</f>
        <v>1</v>
      </c>
      <c r="T88" s="1889">
        <f ca="1">S88*R88*P74</f>
        <v>11250</v>
      </c>
      <c r="AH88" s="712" t="s">
        <v>238</v>
      </c>
    </row>
    <row r="89" spans="11:34">
      <c r="K89" s="712" t="s">
        <v>238</v>
      </c>
      <c r="M89" s="1539" t="s">
        <v>3030</v>
      </c>
      <c r="N89" s="958" t="str">
        <f>IFERROR(VLOOKUP(M89,Price_list!$B$1:$H$187,2,0),"")</f>
        <v>Travel participants</v>
      </c>
      <c r="O89" s="958" t="str">
        <f>IFERROR(VLOOKUP(M89,Price_list!$B$1:$H$187,3,0),"")</f>
        <v>cost tichet o directie</v>
      </c>
      <c r="P89" s="946">
        <f>IFERROR(VLOOKUP(M89,Price_list!$B$1:$H$187,4,0),"")</f>
        <v>80</v>
      </c>
      <c r="Q89" s="946" t="str">
        <f>IFERROR(VLOOKUP(M89,Price_list!$B$1:$H$187,5,0),"")</f>
        <v>MDL</v>
      </c>
      <c r="R89" s="958">
        <f t="shared" ca="1" si="1"/>
        <v>80</v>
      </c>
      <c r="S89" s="1040">
        <v>2</v>
      </c>
      <c r="T89" s="1889">
        <f ca="1">S89*P75*R89</f>
        <v>2400</v>
      </c>
      <c r="AH89" s="712" t="s">
        <v>238</v>
      </c>
    </row>
    <row r="90" spans="11:34">
      <c r="K90" s="712" t="s">
        <v>238</v>
      </c>
      <c r="M90" s="1539"/>
      <c r="N90" s="958" t="str">
        <f>IFERROR(VLOOKUP(M90,Price_list!$B$1:$H$187,2,0),"")</f>
        <v/>
      </c>
      <c r="O90" s="958" t="str">
        <f>IFERROR(VLOOKUP(M90,Price_list!$B$1:$H$187,3,0),"")</f>
        <v/>
      </c>
      <c r="P90" s="946" t="str">
        <f>IFERROR(VLOOKUP(M90,Price_list!$B$1:$H$187,4,0),"")</f>
        <v/>
      </c>
      <c r="Q90" s="946" t="str">
        <f>IFERROR(VLOOKUP(M90,Price_list!$B$1:$H$187,5,0),"")</f>
        <v/>
      </c>
      <c r="R90" s="958">
        <f t="shared" ca="1" si="1"/>
        <v>0</v>
      </c>
      <c r="S90" s="946" t="str">
        <f>IFERROR(VLOOKUP(AD90,M80:O86,3,0),"")</f>
        <v/>
      </c>
      <c r="T90" s="1889" t="str">
        <f>IFERROR(#REF!*S90*P90,"")</f>
        <v/>
      </c>
      <c r="AH90" s="712" t="s">
        <v>238</v>
      </c>
    </row>
    <row r="91" spans="11:34">
      <c r="K91" s="712" t="s">
        <v>238</v>
      </c>
      <c r="M91" s="1539" t="s">
        <v>3025</v>
      </c>
      <c r="N91" s="958" t="str">
        <f>IFERROR(VLOOKUP(M91,Price_list!$B$1:$H$187,2,0),"")</f>
        <v>Supplies</v>
      </c>
      <c r="O91" s="958" t="str">
        <f>IFERROR(VLOOKUP(M91,Price_list!$B$1:$H$187,3,0),"")</f>
        <v>set/participant</v>
      </c>
      <c r="P91" s="946">
        <f>IFERROR(VLOOKUP(M91,Price_list!$B$1:$H$187,4,0),"")</f>
        <v>140</v>
      </c>
      <c r="Q91" s="946" t="str">
        <f>IFERROR(VLOOKUP(M91,Price_list!$B$1:$H$187,5,0),"")</f>
        <v>MDL</v>
      </c>
      <c r="R91" s="958">
        <f t="shared" ca="1" si="1"/>
        <v>140</v>
      </c>
      <c r="S91" s="946">
        <v>1</v>
      </c>
      <c r="T91" s="1889">
        <f ca="1">S91*R91*P72</f>
        <v>2800</v>
      </c>
      <c r="AH91" s="712" t="s">
        <v>238</v>
      </c>
    </row>
    <row r="92" spans="11:34">
      <c r="K92" s="712" t="s">
        <v>238</v>
      </c>
      <c r="M92" s="1539" t="s">
        <v>3022</v>
      </c>
      <c r="N92" s="958" t="str">
        <f>IFERROR(VLOOKUP(M92,Price_list!$B$1:$H$187,2,0),"")</f>
        <v>Rent of premises</v>
      </c>
      <c r="O92" s="958" t="str">
        <f>IFERROR(VLOOKUP(M92,Price_list!$B$1:$H$187,3,0),"")</f>
        <v>cost/zi</v>
      </c>
      <c r="P92" s="946">
        <f>IFERROR(VLOOKUP(M92,Price_list!$B$1:$H$187,4,0),"")</f>
        <v>1800</v>
      </c>
      <c r="Q92" s="946" t="str">
        <f>IFERROR(VLOOKUP(M92,Price_list!$B$1:$H$187,5,0),"")</f>
        <v>MDL</v>
      </c>
      <c r="R92" s="958">
        <f t="shared" ca="1" si="1"/>
        <v>1800</v>
      </c>
      <c r="S92" s="946">
        <f>P73</f>
        <v>2</v>
      </c>
      <c r="T92" s="1889">
        <f ca="1">S92*R92</f>
        <v>3600</v>
      </c>
      <c r="AH92" s="712" t="s">
        <v>238</v>
      </c>
    </row>
    <row r="93" spans="11:34">
      <c r="K93" s="712" t="s">
        <v>238</v>
      </c>
      <c r="M93" s="1539" t="s">
        <v>3031</v>
      </c>
      <c r="N93" s="958" t="str">
        <f>IFERROR(VLOOKUP(M93,Price_list!$B$1:$H$187,2,0),"")</f>
        <v>Interpreter's fee, per day</v>
      </c>
      <c r="O93" s="958" t="str">
        <f>IFERROR(VLOOKUP(M93,Price_list!$B$1:$H$187,3,0),"")</f>
        <v>cost/zi</v>
      </c>
      <c r="P93" s="946">
        <f>IFERROR(VLOOKUP(M93,Price_list!$B$1:$H$187,4,0),"")</f>
        <v>2000</v>
      </c>
      <c r="Q93" s="946" t="str">
        <f>IFERROR(VLOOKUP(M93,Price_list!$B$1:$H$187,5,0),"")</f>
        <v>MDL</v>
      </c>
      <c r="R93" s="958">
        <f t="shared" ca="1" si="1"/>
        <v>2000</v>
      </c>
      <c r="S93" s="946">
        <f>IF(P70&gt;0,P73,0)</f>
        <v>2</v>
      </c>
      <c r="T93" s="1889">
        <f ca="1">S93*R93</f>
        <v>4000</v>
      </c>
      <c r="AH93" s="712" t="s">
        <v>238</v>
      </c>
    </row>
    <row r="94" spans="11:34">
      <c r="K94" s="712" t="s">
        <v>238</v>
      </c>
      <c r="M94" s="1539"/>
      <c r="N94" s="958" t="str">
        <f>IFERROR(VLOOKUP(M94,Price_list!$B$1:$H$187,2,0),"")</f>
        <v/>
      </c>
      <c r="O94" s="958" t="str">
        <f>IFERROR(VLOOKUP(M94,Price_list!$B$1:$H$187,3,0),"")</f>
        <v/>
      </c>
      <c r="P94" s="946" t="str">
        <f>IFERROR(VLOOKUP(M94,Price_list!$B$1:$H$187,4,0),"")</f>
        <v/>
      </c>
      <c r="Q94" s="946" t="str">
        <f>IFERROR(VLOOKUP(M94,Price_list!$B$1:$H$187,5,0),"")</f>
        <v/>
      </c>
      <c r="R94" s="958">
        <f t="shared" ca="1" si="1"/>
        <v>0</v>
      </c>
      <c r="S94" s="946" t="str">
        <f>IFERROR(VLOOKUP(AD94,M85:O89,3,0),"")</f>
        <v/>
      </c>
      <c r="T94" s="1889" t="str">
        <f>IFERROR(#REF!*S94*P94,"")</f>
        <v/>
      </c>
      <c r="AH94" s="712" t="s">
        <v>238</v>
      </c>
    </row>
    <row r="95" spans="11:34">
      <c r="K95" s="712" t="s">
        <v>238</v>
      </c>
      <c r="M95" s="1539"/>
      <c r="N95" s="958" t="str">
        <f>IFERROR(VLOOKUP(M95,Price_list!$B$1:$H$187,2,0),"")</f>
        <v/>
      </c>
      <c r="O95" s="958" t="str">
        <f>IFERROR(VLOOKUP(M95,Price_list!$B$1:$H$187,3,0),"")</f>
        <v/>
      </c>
      <c r="P95" s="946" t="str">
        <f>IFERROR(VLOOKUP(M95,Price_list!$B$1:$H$187,4,0),"")</f>
        <v/>
      </c>
      <c r="Q95" s="946" t="str">
        <f>IFERROR(VLOOKUP(M95,Price_list!$B$1:$H$187,5,0),"")</f>
        <v/>
      </c>
      <c r="R95" s="958">
        <f t="shared" ca="1" si="1"/>
        <v>0</v>
      </c>
      <c r="S95" s="946" t="str">
        <f>IFERROR(VLOOKUP(AD95,M86:O91,3,0),"")</f>
        <v/>
      </c>
      <c r="T95" s="1889" t="str">
        <f>IFERROR(#REF!*S95*P95,"")</f>
        <v/>
      </c>
      <c r="AH95" s="712" t="s">
        <v>238</v>
      </c>
    </row>
    <row r="96" spans="11:34">
      <c r="K96" s="712" t="s">
        <v>238</v>
      </c>
      <c r="M96" s="1539"/>
      <c r="N96" s="958" t="str">
        <f>IFERROR(VLOOKUP(M96,Price_list!$B$1:$H$187,2,0),"")</f>
        <v/>
      </c>
      <c r="O96" s="958" t="str">
        <f>IFERROR(VLOOKUP(M96,Price_list!$B$1:$H$187,3,0),"")</f>
        <v/>
      </c>
      <c r="P96" s="946" t="str">
        <f>IFERROR(VLOOKUP(M96,Price_list!$B$1:$H$187,4,0),"")</f>
        <v/>
      </c>
      <c r="Q96" s="946" t="str">
        <f>IFERROR(VLOOKUP(M96,Price_list!$B$1:$H$187,5,0),"")</f>
        <v/>
      </c>
      <c r="R96" s="958">
        <f t="shared" ca="1" si="1"/>
        <v>0</v>
      </c>
      <c r="S96" s="946" t="str">
        <f>IFERROR(VLOOKUP(AD96,M87:O92,3,0),"")</f>
        <v/>
      </c>
      <c r="T96" s="1889" t="str">
        <f>IFERROR(#REF!*S96*P96,"")</f>
        <v/>
      </c>
      <c r="AH96" s="712" t="s">
        <v>238</v>
      </c>
    </row>
    <row r="97" spans="1:35" s="708" customFormat="1" ht="16" thickBot="1">
      <c r="A97" s="2208"/>
      <c r="B97" s="2208"/>
      <c r="C97" s="2208"/>
      <c r="D97" s="2208"/>
      <c r="E97" s="2208"/>
      <c r="F97" s="2208"/>
      <c r="G97" s="2208"/>
      <c r="H97" s="2208"/>
      <c r="I97" s="2209"/>
      <c r="J97" s="2208"/>
      <c r="K97" s="712" t="s">
        <v>238</v>
      </c>
      <c r="L97"/>
      <c r="M97" s="1697"/>
      <c r="N97" s="1698" t="str">
        <f>IFERROR(VLOOKUP(M97,Price_list!$B$1:$H$187,2,0),"")</f>
        <v/>
      </c>
      <c r="O97" s="1698" t="str">
        <f>IFERROR(VLOOKUP(M97,Price_list!$B$1:$H$187,3,0),"")</f>
        <v/>
      </c>
      <c r="P97" s="1034" t="str">
        <f>IFERROR(VLOOKUP(M97,Price_list!$B$1:$H$187,4,0),"")</f>
        <v/>
      </c>
      <c r="Q97" s="1034" t="str">
        <f>IFERROR(VLOOKUP(M97,Price_list!$B$1:$H$187,5,0),"")</f>
        <v/>
      </c>
      <c r="R97" s="1698"/>
      <c r="S97" s="1034" t="str">
        <f>IFERROR(VLOOKUP(AD97,M88:O93,3,0),"")</f>
        <v/>
      </c>
      <c r="T97" s="1703">
        <f ca="1">SUM(T79:T96)</f>
        <v>95324.36</v>
      </c>
      <c r="AD97"/>
      <c r="AH97" s="712" t="s">
        <v>238</v>
      </c>
    </row>
    <row r="98" spans="1:35" s="1740" customFormat="1">
      <c r="A98" s="2210"/>
      <c r="B98" s="2210"/>
      <c r="C98" s="2210"/>
      <c r="D98" s="2210"/>
      <c r="E98" s="2210"/>
      <c r="F98" s="2210"/>
      <c r="G98" s="2210"/>
      <c r="H98" s="2210"/>
      <c r="I98" s="2211"/>
      <c r="J98" s="2210"/>
      <c r="K98" s="1739" t="s">
        <v>238</v>
      </c>
      <c r="M98" s="1741" t="s">
        <v>3037</v>
      </c>
      <c r="N98" s="1742" t="s">
        <v>3006</v>
      </c>
      <c r="O98" s="1743"/>
      <c r="P98" s="1744">
        <v>7.0000000000000007E-2</v>
      </c>
      <c r="Q98" s="1741"/>
      <c r="R98" s="1741"/>
      <c r="S98" s="1741"/>
      <c r="T98" s="1741">
        <f ca="1">ROUND(T97*P98,2)</f>
        <v>6672.71</v>
      </c>
      <c r="AH98" s="1739" t="s">
        <v>238</v>
      </c>
    </row>
    <row r="99" spans="1:35" ht="16" thickBot="1">
      <c r="K99" s="712" t="s">
        <v>238</v>
      </c>
      <c r="AH99" s="712" t="s">
        <v>238</v>
      </c>
    </row>
    <row r="100" spans="1:35" ht="16" thickBot="1">
      <c r="K100" s="712" t="s">
        <v>238</v>
      </c>
      <c r="M100" s="1704" t="s">
        <v>3038</v>
      </c>
      <c r="N100" s="1705"/>
      <c r="O100" s="1705"/>
      <c r="P100" s="1705"/>
      <c r="Q100" s="1705"/>
      <c r="R100" s="1705"/>
      <c r="S100" s="1705"/>
      <c r="T100" s="1706">
        <f ca="1">T98+T97</f>
        <v>101997.07</v>
      </c>
      <c r="AH100" s="712" t="s">
        <v>238</v>
      </c>
    </row>
    <row r="101" spans="1:35">
      <c r="K101" s="712" t="s">
        <v>238</v>
      </c>
      <c r="AH101" s="712" t="s">
        <v>238</v>
      </c>
    </row>
    <row r="102" spans="1:35" ht="16" thickBot="1">
      <c r="K102" s="712" t="s">
        <v>238</v>
      </c>
      <c r="AH102" s="712" t="s">
        <v>238</v>
      </c>
    </row>
    <row r="103" spans="1:35" ht="16" thickBot="1">
      <c r="K103" s="712" t="s">
        <v>238</v>
      </c>
      <c r="M103" t="s">
        <v>2171</v>
      </c>
      <c r="P103" s="1500">
        <v>2021</v>
      </c>
      <c r="Q103" s="1501">
        <v>2022</v>
      </c>
      <c r="R103" s="1501">
        <v>2023</v>
      </c>
      <c r="S103" s="1501">
        <v>2024</v>
      </c>
      <c r="T103" s="1502">
        <v>2025</v>
      </c>
      <c r="AH103" s="712" t="s">
        <v>238</v>
      </c>
    </row>
    <row r="104" spans="1:35" ht="16" thickBot="1">
      <c r="K104" s="712" t="s">
        <v>238</v>
      </c>
      <c r="M104" s="1503" t="s">
        <v>3043</v>
      </c>
      <c r="N104" s="1504"/>
      <c r="O104" s="1504"/>
      <c r="P104" s="1713">
        <v>1</v>
      </c>
      <c r="Q104" s="1713">
        <v>1</v>
      </c>
      <c r="R104" s="1713">
        <v>0</v>
      </c>
      <c r="S104" s="1713">
        <v>0</v>
      </c>
      <c r="T104" s="1713">
        <v>0</v>
      </c>
      <c r="AH104" s="712" t="s">
        <v>238</v>
      </c>
    </row>
    <row r="105" spans="1:35" ht="16" thickBot="1">
      <c r="A105" s="2157">
        <v>5</v>
      </c>
      <c r="B105" s="841">
        <f ca="1">P105</f>
        <v>101997.07</v>
      </c>
      <c r="C105" s="841">
        <f ca="1">Q105</f>
        <v>101997.07</v>
      </c>
      <c r="D105" s="841">
        <f ca="1">R105</f>
        <v>0</v>
      </c>
      <c r="E105" s="841">
        <f ca="1">S105</f>
        <v>0</v>
      </c>
      <c r="F105" s="841">
        <f ca="1">T105</f>
        <v>0</v>
      </c>
      <c r="G105" s="841" t="s">
        <v>351</v>
      </c>
      <c r="H105" s="841" t="s">
        <v>3046</v>
      </c>
      <c r="I105" s="2183" t="s">
        <v>3716</v>
      </c>
      <c r="J105" s="841" t="s">
        <v>2925</v>
      </c>
      <c r="K105" s="712" t="s">
        <v>238</v>
      </c>
      <c r="M105" s="1710" t="s">
        <v>3044</v>
      </c>
      <c r="N105" s="1709"/>
      <c r="O105" s="1708"/>
      <c r="P105" s="1495">
        <f ca="1">T100*P104</f>
        <v>101997.07</v>
      </c>
      <c r="Q105" s="1495">
        <f ca="1">T100*Q104</f>
        <v>101997.07</v>
      </c>
      <c r="R105" s="1495">
        <f ca="1">T100*R104</f>
        <v>0</v>
      </c>
      <c r="S105" s="1495">
        <f ca="1">T100*S104</f>
        <v>0</v>
      </c>
      <c r="T105" s="1495">
        <f ca="1">T100*T104</f>
        <v>0</v>
      </c>
      <c r="AH105" s="712" t="s">
        <v>238</v>
      </c>
      <c r="AI105">
        <f ca="1">SUM(P105:T105)</f>
        <v>203994.14</v>
      </c>
    </row>
    <row r="106" spans="1:35">
      <c r="K106" s="712" t="s">
        <v>238</v>
      </c>
      <c r="P106" s="845"/>
      <c r="AH106" s="712" t="s">
        <v>238</v>
      </c>
    </row>
    <row r="107" spans="1:35">
      <c r="K107" s="712" t="s">
        <v>238</v>
      </c>
      <c r="AH107" s="712" t="s">
        <v>238</v>
      </c>
    </row>
    <row r="108" spans="1:35" ht="21">
      <c r="K108" s="712" t="s">
        <v>238</v>
      </c>
      <c r="L108" s="1751" t="s">
        <v>3047</v>
      </c>
      <c r="AH108" s="712" t="s">
        <v>238</v>
      </c>
    </row>
    <row r="109" spans="1:35" ht="21">
      <c r="K109" s="712" t="s">
        <v>238</v>
      </c>
      <c r="M109" s="1707"/>
      <c r="AH109" s="712"/>
    </row>
    <row r="110" spans="1:35" ht="32">
      <c r="K110" s="712" t="s">
        <v>238</v>
      </c>
      <c r="M110" t="s">
        <v>2155</v>
      </c>
      <c r="Q110" s="959" t="s">
        <v>3060</v>
      </c>
      <c r="AH110" s="712"/>
    </row>
    <row r="111" spans="1:35" ht="80">
      <c r="K111" s="712"/>
      <c r="M111" s="1747" t="s">
        <v>3054</v>
      </c>
      <c r="N111" s="1749"/>
      <c r="O111" s="1565"/>
      <c r="P111" s="1750">
        <v>0</v>
      </c>
      <c r="Q111" s="1383">
        <v>0</v>
      </c>
      <c r="AH111" s="712"/>
    </row>
    <row r="112" spans="1:35" ht="64">
      <c r="K112" s="712"/>
      <c r="M112" s="1747" t="s">
        <v>3055</v>
      </c>
      <c r="N112" s="1749"/>
      <c r="O112" s="1565"/>
      <c r="P112" s="1750">
        <v>2</v>
      </c>
      <c r="Q112" s="1383">
        <v>10</v>
      </c>
      <c r="AH112" s="712"/>
    </row>
    <row r="113" spans="11:34">
      <c r="K113" s="712"/>
      <c r="AH113" s="712"/>
    </row>
    <row r="114" spans="11:34">
      <c r="K114" s="712"/>
      <c r="M114" t="s">
        <v>3059</v>
      </c>
      <c r="AH114" s="712"/>
    </row>
    <row r="115" spans="11:34" ht="32">
      <c r="K115" s="712"/>
      <c r="M115" s="1747" t="s">
        <v>3061</v>
      </c>
      <c r="N115" s="1749"/>
      <c r="O115" s="1565"/>
      <c r="P115" s="1750">
        <v>0</v>
      </c>
      <c r="Q115" s="1383"/>
      <c r="AH115" s="712"/>
    </row>
    <row r="116" spans="11:34" ht="64">
      <c r="K116" s="712"/>
      <c r="M116" s="1747" t="s">
        <v>3062</v>
      </c>
      <c r="N116" s="1749"/>
      <c r="O116" s="1565"/>
      <c r="P116" s="1750">
        <v>0</v>
      </c>
      <c r="Q116" s="1383"/>
      <c r="AH116" s="712"/>
    </row>
    <row r="117" spans="11:34">
      <c r="K117" s="712"/>
      <c r="AH117" s="712"/>
    </row>
    <row r="118" spans="11:34">
      <c r="K118" s="712"/>
      <c r="AH118" s="712"/>
    </row>
    <row r="119" spans="11:34" ht="16" thickBot="1">
      <c r="K119" s="712"/>
      <c r="M119" t="s">
        <v>3058</v>
      </c>
      <c r="AH119" s="712"/>
    </row>
    <row r="120" spans="11:34" ht="78" customHeight="1">
      <c r="K120" s="712" t="s">
        <v>238</v>
      </c>
      <c r="M120" s="1699" t="s">
        <v>3033</v>
      </c>
      <c r="N120" s="1700" t="s">
        <v>3034</v>
      </c>
      <c r="O120" s="1702" t="s">
        <v>3040</v>
      </c>
      <c r="P120" s="1702" t="s">
        <v>3041</v>
      </c>
      <c r="Q120" s="1702" t="s">
        <v>3042</v>
      </c>
      <c r="R120" s="1700" t="s">
        <v>3035</v>
      </c>
      <c r="S120" s="1702" t="s">
        <v>3067</v>
      </c>
      <c r="T120" s="1701" t="s">
        <v>2189</v>
      </c>
      <c r="AH120" s="712"/>
    </row>
    <row r="121" spans="11:34">
      <c r="K121" s="712" t="s">
        <v>238</v>
      </c>
      <c r="M121" s="1539" t="s">
        <v>3051</v>
      </c>
      <c r="N121" s="958" t="str">
        <f>IFERROR(VLOOKUP(M121,Price_list!$B$1:$H$187,2,0),"")</f>
        <v>International Consultancy fee (3.1)</v>
      </c>
      <c r="O121" s="958" t="str">
        <f>IFERROR(VLOOKUP(M121,Price_list!$B$1:$H$187,3,0),"")</f>
        <v>cost/zi</v>
      </c>
      <c r="P121" s="946">
        <f>IFERROR(VLOOKUP(M121,Price_list!$B$1:$H$187,4,0),"")</f>
        <v>350</v>
      </c>
      <c r="Q121" s="946" t="str">
        <f>IFERROR(VLOOKUP(M121,Price_list!$B$1:$H$187,5,0),"")</f>
        <v>EUR</v>
      </c>
      <c r="R121" s="958">
        <f t="shared" ref="R121:R127" ca="1" si="2">ROUND(IFERROR(IF(Q121="MDL",P121,P121*INDIRECT(Q121)),0),2)</f>
        <v>6868.65</v>
      </c>
      <c r="S121" s="946">
        <f>P111*Q111</f>
        <v>0</v>
      </c>
      <c r="T121" s="1390">
        <f t="shared" ref="T121:T127" ca="1" si="3">S121*R121</f>
        <v>0</v>
      </c>
      <c r="AH121" s="712"/>
    </row>
    <row r="122" spans="11:34">
      <c r="K122" s="712" t="s">
        <v>238</v>
      </c>
      <c r="M122" s="1539" t="s">
        <v>3050</v>
      </c>
      <c r="N122" s="958" t="str">
        <f>IFERROR(VLOOKUP(M122,Price_list!$B$1:$H$187,2,0),"")</f>
        <v>National Consultancy fee (3.1)</v>
      </c>
      <c r="O122" s="958" t="str">
        <f>IFERROR(VLOOKUP(M122,Price_list!$B$1:$H$187,3,0),"")</f>
        <v>cost/zi</v>
      </c>
      <c r="P122" s="946">
        <f>IFERROR(VLOOKUP(M122,Price_list!$B$1:$H$187,4,0),"")</f>
        <v>2000</v>
      </c>
      <c r="Q122" s="946" t="str">
        <f>IFERROR(VLOOKUP(M122,Price_list!$B$1:$H$187,5,0),"")</f>
        <v>MDL</v>
      </c>
      <c r="R122" s="958">
        <f t="shared" ca="1" si="2"/>
        <v>2000</v>
      </c>
      <c r="S122" s="946">
        <f>P112*Q112</f>
        <v>20</v>
      </c>
      <c r="T122" s="1390">
        <f t="shared" ca="1" si="3"/>
        <v>40000</v>
      </c>
      <c r="AH122" s="712"/>
    </row>
    <row r="123" spans="11:34">
      <c r="K123" s="712" t="s">
        <v>238</v>
      </c>
      <c r="M123" s="1539" t="s">
        <v>3063</v>
      </c>
      <c r="N123" s="958" t="str">
        <f>IFERROR(VLOOKUP(M123,Price_list!$B$1:$H$187,2,0),"")</f>
        <v>Translation per page</v>
      </c>
      <c r="O123" s="958" t="str">
        <f>IFERROR(VLOOKUP(M123,Price_list!$B$1:$H$187,3,0),"")</f>
        <v>pagina</v>
      </c>
      <c r="P123" s="946">
        <f>IFERROR(VLOOKUP(M123,Price_list!$B$1:$H$187,4,0),"")</f>
        <v>150</v>
      </c>
      <c r="Q123" s="946" t="str">
        <f>IFERROR(VLOOKUP(M123,Price_list!$B$1:$H$187,5,0),"")</f>
        <v>MDL</v>
      </c>
      <c r="R123" s="958">
        <f t="shared" ca="1" si="2"/>
        <v>150</v>
      </c>
      <c r="S123" s="946">
        <f>P115</f>
        <v>0</v>
      </c>
      <c r="T123" s="1390">
        <f t="shared" ca="1" si="3"/>
        <v>0</v>
      </c>
      <c r="AH123" s="712" t="s">
        <v>238</v>
      </c>
    </row>
    <row r="124" spans="11:34">
      <c r="K124" s="712" t="s">
        <v>238</v>
      </c>
      <c r="M124" s="1539" t="s">
        <v>3068</v>
      </c>
      <c r="N124" s="958" t="str">
        <f>IFERROR(VLOOKUP(M124,Price_list!$B$1:$H$187,2,0),"")</f>
        <v xml:space="preserve">Formatting, design, printing </v>
      </c>
      <c r="O124" s="958" t="str">
        <f>IFERROR(VLOOKUP(M124,Price_list!$B$1:$H$187,3,0),"")</f>
        <v>pagina</v>
      </c>
      <c r="P124" s="946">
        <f>IFERROR(VLOOKUP(M124,Price_list!$B$1:$H$187,4,0),"")</f>
        <v>2</v>
      </c>
      <c r="Q124" s="946" t="str">
        <f>IFERROR(VLOOKUP(M124,Price_list!$B$1:$H$187,5,0),"")</f>
        <v>MDL</v>
      </c>
      <c r="R124" s="958">
        <f t="shared" ca="1" si="2"/>
        <v>2</v>
      </c>
      <c r="S124" s="946">
        <f>P115*P116</f>
        <v>0</v>
      </c>
      <c r="T124" s="1390">
        <f t="shared" ca="1" si="3"/>
        <v>0</v>
      </c>
      <c r="AH124" s="712"/>
    </row>
    <row r="125" spans="11:34">
      <c r="K125" s="712" t="s">
        <v>238</v>
      </c>
      <c r="M125" s="1539"/>
      <c r="N125" s="958" t="str">
        <f>IFERROR(VLOOKUP(M125,Price_list!$B$1:$H$187,2,0),"")</f>
        <v/>
      </c>
      <c r="O125" s="958" t="str">
        <f>IFERROR(VLOOKUP(M125,Price_list!$B$1:$H$187,3,0),"")</f>
        <v/>
      </c>
      <c r="P125" s="946" t="str">
        <f>IFERROR(VLOOKUP(M125,Price_list!$B$1:$H$187,4,0),"")</f>
        <v/>
      </c>
      <c r="Q125" s="946" t="str">
        <f>IFERROR(VLOOKUP(M125,Price_list!$B$1:$H$187,5,0),"")</f>
        <v/>
      </c>
      <c r="R125" s="958">
        <f t="shared" ca="1" si="2"/>
        <v>0</v>
      </c>
      <c r="S125" s="946"/>
      <c r="T125" s="1390">
        <f t="shared" ca="1" si="3"/>
        <v>0</v>
      </c>
      <c r="AH125" s="712"/>
    </row>
    <row r="126" spans="11:34">
      <c r="K126" s="712" t="s">
        <v>238</v>
      </c>
      <c r="M126" s="1539"/>
      <c r="N126" s="958" t="str">
        <f>IFERROR(VLOOKUP(M126,Price_list!$B$1:$H$187,2,0),"")</f>
        <v/>
      </c>
      <c r="O126" s="958" t="str">
        <f>IFERROR(VLOOKUP(M126,Price_list!$B$1:$H$187,3,0),"")</f>
        <v/>
      </c>
      <c r="P126" s="946" t="str">
        <f>IFERROR(VLOOKUP(M126,Price_list!$B$1:$H$187,4,0),"")</f>
        <v/>
      </c>
      <c r="Q126" s="946" t="str">
        <f>IFERROR(VLOOKUP(M126,Price_list!$B$1:$H$187,5,0),"")</f>
        <v/>
      </c>
      <c r="R126" s="958">
        <f t="shared" ca="1" si="2"/>
        <v>0</v>
      </c>
      <c r="S126" s="946"/>
      <c r="T126" s="1390">
        <f t="shared" ca="1" si="3"/>
        <v>0</v>
      </c>
      <c r="AH126" s="712"/>
    </row>
    <row r="127" spans="11:34" ht="16" thickBot="1">
      <c r="K127" s="712" t="s">
        <v>238</v>
      </c>
      <c r="M127" s="1539"/>
      <c r="N127" s="958" t="str">
        <f>IFERROR(VLOOKUP(M127,Price_list!$B$1:$H$187,2,0),"")</f>
        <v/>
      </c>
      <c r="O127" s="958" t="str">
        <f>IFERROR(VLOOKUP(M127,Price_list!$B$1:$H$187,3,0),"")</f>
        <v/>
      </c>
      <c r="P127" s="946" t="str">
        <f>IFERROR(VLOOKUP(M127,Price_list!$B$1:$H$187,4,0),"")</f>
        <v/>
      </c>
      <c r="Q127" s="946" t="str">
        <f>IFERROR(VLOOKUP(M127,Price_list!$B$1:$H$187,5,0),"")</f>
        <v/>
      </c>
      <c r="R127" s="958">
        <f t="shared" ca="1" si="2"/>
        <v>0</v>
      </c>
      <c r="S127" s="946"/>
      <c r="T127" s="1390">
        <f t="shared" ca="1" si="3"/>
        <v>0</v>
      </c>
      <c r="AH127" s="712"/>
    </row>
    <row r="128" spans="11:34" ht="16" thickBot="1">
      <c r="K128" s="712" t="s">
        <v>238</v>
      </c>
      <c r="M128" s="1704"/>
      <c r="N128" s="1705"/>
      <c r="O128" s="1705"/>
      <c r="P128" s="1705"/>
      <c r="Q128" s="1705"/>
      <c r="R128" s="1705"/>
      <c r="S128" s="1705"/>
      <c r="T128" s="1706">
        <f ca="1">SUM(T121:T127)</f>
        <v>40000</v>
      </c>
      <c r="AH128" s="712"/>
    </row>
    <row r="129" spans="1:34">
      <c r="K129" s="712" t="s">
        <v>238</v>
      </c>
      <c r="AH129" s="712"/>
    </row>
    <row r="130" spans="1:34" ht="16" thickBot="1">
      <c r="K130" s="712" t="s">
        <v>238</v>
      </c>
      <c r="AH130" s="712"/>
    </row>
    <row r="131" spans="1:34" ht="16" thickBot="1">
      <c r="K131" s="712" t="s">
        <v>238</v>
      </c>
      <c r="M131" t="s">
        <v>2171</v>
      </c>
      <c r="P131" s="1500">
        <v>2021</v>
      </c>
      <c r="Q131" s="1501">
        <v>2022</v>
      </c>
      <c r="R131" s="1501">
        <v>2023</v>
      </c>
      <c r="S131" s="1501">
        <v>2024</v>
      </c>
      <c r="T131" s="1502">
        <v>2025</v>
      </c>
      <c r="AH131" s="712"/>
    </row>
    <row r="132" spans="1:34" ht="16" thickBot="1">
      <c r="K132" s="712" t="s">
        <v>238</v>
      </c>
      <c r="M132" s="1503"/>
      <c r="N132" s="1504"/>
      <c r="O132" s="1504"/>
      <c r="P132" s="1713">
        <v>1</v>
      </c>
      <c r="Q132" s="1713">
        <v>0</v>
      </c>
      <c r="R132" s="1713">
        <v>0</v>
      </c>
      <c r="S132" s="1713">
        <v>0</v>
      </c>
      <c r="T132" s="1713">
        <v>0</v>
      </c>
      <c r="AH132" s="712"/>
    </row>
    <row r="133" spans="1:34" ht="16" thickBot="1">
      <c r="A133" s="2157">
        <v>6</v>
      </c>
      <c r="B133" s="841">
        <f ca="1">P133</f>
        <v>40000</v>
      </c>
      <c r="C133" s="841">
        <f ca="1">Q133</f>
        <v>0</v>
      </c>
      <c r="D133" s="841">
        <f ca="1">R133</f>
        <v>0</v>
      </c>
      <c r="E133" s="841">
        <f ca="1">S133</f>
        <v>0</v>
      </c>
      <c r="F133" s="841">
        <f ca="1">T133</f>
        <v>0</v>
      </c>
      <c r="G133" s="841" t="s">
        <v>351</v>
      </c>
      <c r="H133" s="841" t="s">
        <v>3047</v>
      </c>
      <c r="I133" s="2183" t="s">
        <v>3716</v>
      </c>
      <c r="J133" s="841" t="s">
        <v>2925</v>
      </c>
      <c r="K133" s="712" t="s">
        <v>238</v>
      </c>
      <c r="M133" s="1710" t="s">
        <v>3044</v>
      </c>
      <c r="N133" s="1709"/>
      <c r="O133" s="1708"/>
      <c r="P133" s="1495">
        <f ca="1">T128*P132</f>
        <v>40000</v>
      </c>
      <c r="Q133" s="1495">
        <f ca="1">T128*Q132</f>
        <v>0</v>
      </c>
      <c r="R133" s="1495">
        <f ca="1">T128*R132</f>
        <v>0</v>
      </c>
      <c r="S133" s="1495">
        <f ca="1">T128*S132</f>
        <v>0</v>
      </c>
      <c r="T133" s="1495">
        <f ca="1">T128*T132</f>
        <v>0</v>
      </c>
      <c r="AH133" s="712"/>
    </row>
    <row r="134" spans="1:34">
      <c r="K134" s="712"/>
      <c r="AH134" s="712"/>
    </row>
    <row r="135" spans="1:34" ht="21">
      <c r="K135" s="712" t="s">
        <v>238</v>
      </c>
      <c r="L135" s="1751" t="s">
        <v>3070</v>
      </c>
      <c r="AH135" s="712" t="s">
        <v>238</v>
      </c>
    </row>
    <row r="136" spans="1:34" ht="18">
      <c r="K136" s="712" t="s">
        <v>238</v>
      </c>
      <c r="N136" s="869"/>
      <c r="O136" s="869"/>
      <c r="P136" s="869"/>
      <c r="Q136" s="869"/>
      <c r="R136" s="869"/>
      <c r="S136" s="869"/>
      <c r="AH136" s="712" t="s">
        <v>238</v>
      </c>
    </row>
    <row r="137" spans="1:34" ht="19">
      <c r="K137" s="712" t="s">
        <v>238</v>
      </c>
      <c r="M137" s="1232" t="s">
        <v>2994</v>
      </c>
      <c r="N137" s="2682" t="s">
        <v>1889</v>
      </c>
      <c r="O137" s="2682"/>
      <c r="P137" s="2682"/>
      <c r="Q137" s="2682"/>
      <c r="R137" s="860"/>
      <c r="S137" s="860"/>
      <c r="AH137" s="712" t="s">
        <v>238</v>
      </c>
    </row>
    <row r="138" spans="1:34">
      <c r="K138" s="712" t="s">
        <v>238</v>
      </c>
      <c r="M138" s="2683" t="s">
        <v>1890</v>
      </c>
      <c r="N138" s="2683"/>
      <c r="O138" s="2683"/>
      <c r="P138" s="2683"/>
      <c r="Q138" s="2683"/>
      <c r="R138" s="2683"/>
      <c r="S138" s="2683"/>
      <c r="AH138" s="712" t="s">
        <v>238</v>
      </c>
    </row>
    <row r="139" spans="1:34" ht="16" thickBot="1">
      <c r="K139" s="712" t="s">
        <v>238</v>
      </c>
      <c r="M139" s="860"/>
      <c r="N139" s="2684"/>
      <c r="O139" s="2684"/>
      <c r="P139" s="2684"/>
      <c r="Q139" s="2684"/>
      <c r="R139" s="860"/>
      <c r="S139" s="861"/>
      <c r="AH139" s="712" t="s">
        <v>238</v>
      </c>
    </row>
    <row r="140" spans="1:34" ht="16" thickBot="1">
      <c r="K140" s="712" t="s">
        <v>238</v>
      </c>
      <c r="M140" s="913"/>
      <c r="N140" s="2676" t="s">
        <v>1891</v>
      </c>
      <c r="O140" s="2677"/>
      <c r="P140" s="2677"/>
      <c r="Q140" s="2678"/>
      <c r="R140" s="862"/>
      <c r="S140" s="862"/>
      <c r="AH140" s="712" t="s">
        <v>238</v>
      </c>
    </row>
    <row r="141" spans="1:34">
      <c r="K141" s="712" t="s">
        <v>238</v>
      </c>
      <c r="M141" s="914"/>
      <c r="N141" s="911" t="s">
        <v>1892</v>
      </c>
      <c r="O141" s="911" t="s">
        <v>1893</v>
      </c>
      <c r="P141" s="911" t="s">
        <v>1894</v>
      </c>
      <c r="Q141" s="911" t="s">
        <v>1895</v>
      </c>
      <c r="R141" s="860"/>
      <c r="S141" s="860"/>
      <c r="AH141" s="712" t="s">
        <v>238</v>
      </c>
    </row>
    <row r="142" spans="1:34">
      <c r="K142" s="712" t="s">
        <v>238</v>
      </c>
      <c r="M142" s="890" t="s">
        <v>1896</v>
      </c>
      <c r="N142" s="1725">
        <v>10</v>
      </c>
      <c r="O142" s="902">
        <v>10</v>
      </c>
      <c r="P142" s="902">
        <v>10</v>
      </c>
      <c r="Q142" s="902" t="s">
        <v>238</v>
      </c>
      <c r="R142" s="860"/>
      <c r="S142" s="860"/>
      <c r="AH142" s="712" t="s">
        <v>238</v>
      </c>
    </row>
    <row r="143" spans="1:34" ht="16" thickBot="1">
      <c r="K143" s="712" t="s">
        <v>238</v>
      </c>
      <c r="M143" s="891" t="s">
        <v>1897</v>
      </c>
      <c r="N143" s="912">
        <v>1.52</v>
      </c>
      <c r="O143" s="912">
        <v>0.88</v>
      </c>
      <c r="P143" s="912">
        <v>0.67</v>
      </c>
      <c r="Q143" s="912" t="s">
        <v>238</v>
      </c>
      <c r="R143" s="860"/>
      <c r="S143" s="860"/>
      <c r="AH143" s="712" t="s">
        <v>238</v>
      </c>
    </row>
    <row r="144" spans="1:34" ht="16" thickBot="1">
      <c r="K144" s="712" t="s">
        <v>238</v>
      </c>
      <c r="M144" s="880" t="s">
        <v>1895</v>
      </c>
      <c r="N144" s="915">
        <f>N142*N143</f>
        <v>15.2</v>
      </c>
      <c r="O144" s="916">
        <f>O142*O143</f>
        <v>8.8000000000000007</v>
      </c>
      <c r="P144" s="916">
        <f>P142*P143</f>
        <v>6.7</v>
      </c>
      <c r="Q144" s="917">
        <f>N144+O144+P144</f>
        <v>30.7</v>
      </c>
      <c r="R144" s="860"/>
      <c r="S144" s="860"/>
      <c r="AH144" s="712" t="s">
        <v>238</v>
      </c>
    </row>
    <row r="145" spans="11:34">
      <c r="K145" s="712" t="s">
        <v>238</v>
      </c>
      <c r="M145" s="2685"/>
      <c r="N145" s="2685"/>
      <c r="O145" s="2685"/>
      <c r="P145" s="2685"/>
      <c r="Q145" s="2685"/>
      <c r="R145" s="860"/>
      <c r="S145" s="860"/>
      <c r="T145" s="868"/>
      <c r="U145" s="868"/>
      <c r="AH145" s="712" t="s">
        <v>238</v>
      </c>
    </row>
    <row r="146" spans="11:34" ht="16" thickBot="1">
      <c r="K146" s="712" t="s">
        <v>238</v>
      </c>
      <c r="M146" s="2679" t="s">
        <v>1898</v>
      </c>
      <c r="N146" s="2679"/>
      <c r="O146" s="2679"/>
      <c r="P146" s="2679"/>
      <c r="Q146" s="2679"/>
      <c r="R146" s="2679"/>
      <c r="S146" s="861"/>
      <c r="AH146" s="712" t="s">
        <v>238</v>
      </c>
    </row>
    <row r="147" spans="11:34" ht="16" thickBot="1">
      <c r="K147" s="712" t="s">
        <v>238</v>
      </c>
      <c r="M147" s="871" t="s">
        <v>1899</v>
      </c>
      <c r="N147" s="872" t="s">
        <v>1900</v>
      </c>
      <c r="O147" s="883" t="s">
        <v>1901</v>
      </c>
      <c r="P147" s="883" t="s">
        <v>1900</v>
      </c>
      <c r="Q147" s="873" t="s">
        <v>1902</v>
      </c>
      <c r="R147" s="874" t="s">
        <v>1903</v>
      </c>
      <c r="S147" s="860"/>
      <c r="AH147" s="712" t="s">
        <v>238</v>
      </c>
    </row>
    <row r="148" spans="11:34" ht="16" thickBot="1">
      <c r="K148" s="712" t="s">
        <v>238</v>
      </c>
      <c r="M148" s="875" t="s">
        <v>1904</v>
      </c>
      <c r="N148" s="881" t="s">
        <v>1905</v>
      </c>
      <c r="O148" s="884">
        <v>90</v>
      </c>
      <c r="P148" s="884" t="s">
        <v>1906</v>
      </c>
      <c r="Q148" s="864">
        <v>1</v>
      </c>
      <c r="R148" s="876">
        <f>SUM(O148/1000)*Q148</f>
        <v>0.09</v>
      </c>
      <c r="S148" s="860"/>
      <c r="AH148" s="712" t="s">
        <v>238</v>
      </c>
    </row>
    <row r="149" spans="11:34" ht="16" thickBot="1">
      <c r="K149" s="712" t="s">
        <v>238</v>
      </c>
      <c r="M149" s="877" t="s">
        <v>1907</v>
      </c>
      <c r="N149" s="881" t="s">
        <v>1908</v>
      </c>
      <c r="O149" s="885">
        <v>68</v>
      </c>
      <c r="P149" s="885" t="s">
        <v>1909</v>
      </c>
      <c r="Q149" s="863">
        <v>1</v>
      </c>
      <c r="R149" s="876">
        <f>SUM(O149/1000)*Q149</f>
        <v>6.8000000000000005E-2</v>
      </c>
      <c r="S149" s="860"/>
      <c r="AH149" s="712" t="s">
        <v>238</v>
      </c>
    </row>
    <row r="150" spans="11:34">
      <c r="K150" s="712" t="s">
        <v>238</v>
      </c>
      <c r="M150" s="877" t="s">
        <v>1910</v>
      </c>
      <c r="N150" s="881" t="s">
        <v>1911</v>
      </c>
      <c r="O150" s="886">
        <v>50000</v>
      </c>
      <c r="P150" s="886" t="s">
        <v>1912</v>
      </c>
      <c r="Q150" s="864">
        <v>10</v>
      </c>
      <c r="R150" s="876">
        <v>5.47</v>
      </c>
      <c r="S150" s="860"/>
      <c r="AH150" s="712" t="s">
        <v>238</v>
      </c>
    </row>
    <row r="151" spans="11:34" ht="16" thickBot="1">
      <c r="K151" s="712" t="s">
        <v>238</v>
      </c>
      <c r="M151" s="878" t="s">
        <v>1895</v>
      </c>
      <c r="N151" s="882" t="s">
        <v>238</v>
      </c>
      <c r="O151" s="887" t="s">
        <v>238</v>
      </c>
      <c r="P151" s="887" t="s">
        <v>238</v>
      </c>
      <c r="Q151" s="865" t="s">
        <v>238</v>
      </c>
      <c r="R151" s="879">
        <f>SUM(R148:R150)</f>
        <v>5.6280000000000001</v>
      </c>
      <c r="S151" s="860"/>
      <c r="AH151" s="712" t="s">
        <v>238</v>
      </c>
    </row>
    <row r="152" spans="11:34" ht="16" thickBot="1">
      <c r="K152" s="712" t="s">
        <v>238</v>
      </c>
      <c r="M152" s="880" t="s">
        <v>1913</v>
      </c>
      <c r="N152" s="2680"/>
      <c r="O152" s="2681"/>
      <c r="P152" s="2681"/>
      <c r="Q152" s="2681"/>
      <c r="R152" s="1494">
        <f>SUM(Q144+R151)</f>
        <v>36.328000000000003</v>
      </c>
      <c r="S152" s="866"/>
      <c r="AH152" s="712" t="s">
        <v>238</v>
      </c>
    </row>
    <row r="153" spans="11:34">
      <c r="K153" s="712" t="s">
        <v>238</v>
      </c>
      <c r="M153" s="1492"/>
      <c r="N153" s="1493"/>
      <c r="O153" s="1493"/>
      <c r="P153" s="1493"/>
      <c r="Q153" s="1493"/>
      <c r="R153" s="1493"/>
      <c r="S153" s="866"/>
      <c r="AH153" s="712" t="s">
        <v>238</v>
      </c>
    </row>
    <row r="154" spans="11:34" ht="18">
      <c r="K154" s="712" t="s">
        <v>238</v>
      </c>
      <c r="M154" s="869" t="s">
        <v>1928</v>
      </c>
      <c r="N154" s="869"/>
      <c r="O154" s="869"/>
      <c r="P154" s="869"/>
      <c r="Q154" s="869"/>
      <c r="R154" s="1493"/>
      <c r="S154" s="866"/>
      <c r="AH154" s="712" t="s">
        <v>238</v>
      </c>
    </row>
    <row r="155" spans="11:34">
      <c r="K155" s="712" t="s">
        <v>238</v>
      </c>
      <c r="M155" s="860"/>
      <c r="N155" s="870" t="s">
        <v>1889</v>
      </c>
      <c r="O155" s="870"/>
      <c r="P155" s="870"/>
      <c r="Q155" s="870"/>
      <c r="R155" s="1493"/>
      <c r="S155" s="866"/>
      <c r="AH155" s="712" t="s">
        <v>238</v>
      </c>
    </row>
    <row r="156" spans="11:34">
      <c r="K156" s="712" t="s">
        <v>238</v>
      </c>
      <c r="M156" s="919" t="s">
        <v>1914</v>
      </c>
      <c r="N156" s="908"/>
      <c r="O156" s="908"/>
      <c r="P156" s="908"/>
      <c r="Q156" s="908"/>
      <c r="R156" s="1493"/>
      <c r="S156" s="866"/>
      <c r="AH156" s="712" t="s">
        <v>238</v>
      </c>
    </row>
    <row r="157" spans="11:34" ht="17" thickBot="1">
      <c r="K157" s="712" t="s">
        <v>238</v>
      </c>
      <c r="M157" s="860"/>
      <c r="N157" s="909"/>
      <c r="O157" s="909"/>
      <c r="P157" s="909"/>
      <c r="Q157" s="909"/>
      <c r="R157" s="1493"/>
      <c r="S157" s="866"/>
      <c r="AH157" s="712" t="s">
        <v>238</v>
      </c>
    </row>
    <row r="158" spans="11:34" ht="16" thickBot="1">
      <c r="K158" s="712" t="s">
        <v>238</v>
      </c>
      <c r="M158" s="913"/>
      <c r="N158" s="2676" t="s">
        <v>1891</v>
      </c>
      <c r="O158" s="2677"/>
      <c r="P158" s="2677"/>
      <c r="Q158" s="2678"/>
      <c r="R158" s="1493"/>
      <c r="S158" s="866"/>
      <c r="AH158" s="712" t="s">
        <v>238</v>
      </c>
    </row>
    <row r="159" spans="11:34">
      <c r="K159" s="712" t="s">
        <v>238</v>
      </c>
      <c r="M159" s="914" t="s">
        <v>1915</v>
      </c>
      <c r="N159" s="911"/>
      <c r="O159" s="911"/>
      <c r="P159" s="911"/>
      <c r="Q159" s="911"/>
      <c r="R159" s="1493"/>
      <c r="S159" s="866"/>
      <c r="AH159" s="712" t="s">
        <v>238</v>
      </c>
    </row>
    <row r="160" spans="11:34">
      <c r="K160" s="712" t="s">
        <v>238</v>
      </c>
      <c r="M160" s="890" t="s">
        <v>1916</v>
      </c>
      <c r="N160" s="902">
        <v>0.97</v>
      </c>
      <c r="O160" s="902"/>
      <c r="P160" s="902"/>
      <c r="Q160" s="902" t="s">
        <v>238</v>
      </c>
      <c r="R160" s="1493"/>
      <c r="S160" s="866"/>
      <c r="AH160" s="712" t="s">
        <v>238</v>
      </c>
    </row>
    <row r="161" spans="11:34" ht="16" thickBot="1">
      <c r="K161" s="712" t="s">
        <v>238</v>
      </c>
      <c r="M161" s="891" t="s">
        <v>1897</v>
      </c>
      <c r="N161" s="912">
        <v>0.64</v>
      </c>
      <c r="O161" s="912"/>
      <c r="P161" s="912"/>
      <c r="Q161" s="912" t="s">
        <v>238</v>
      </c>
      <c r="R161" s="1493"/>
      <c r="S161" s="866"/>
      <c r="AH161" s="712" t="s">
        <v>238</v>
      </c>
    </row>
    <row r="162" spans="11:34" ht="16" thickBot="1">
      <c r="K162" s="712" t="s">
        <v>238</v>
      </c>
      <c r="M162" s="880" t="s">
        <v>1895</v>
      </c>
      <c r="N162" s="915">
        <f>N160*N161</f>
        <v>0.62080000000000002</v>
      </c>
      <c r="O162" s="916"/>
      <c r="P162" s="916"/>
      <c r="Q162" s="917">
        <f>N162+O162+P162</f>
        <v>0.62080000000000002</v>
      </c>
      <c r="R162" s="1493"/>
      <c r="S162" s="866"/>
      <c r="AH162" s="712" t="s">
        <v>238</v>
      </c>
    </row>
    <row r="163" spans="11:34">
      <c r="K163" s="712" t="s">
        <v>238</v>
      </c>
      <c r="M163" s="1492"/>
      <c r="N163" s="1493"/>
      <c r="O163" s="1493"/>
      <c r="P163" s="1493"/>
      <c r="Q163" s="1493"/>
      <c r="R163" s="1493"/>
      <c r="S163" s="866"/>
      <c r="AH163" s="712" t="s">
        <v>238</v>
      </c>
    </row>
    <row r="164" spans="11:34">
      <c r="K164" s="712" t="s">
        <v>238</v>
      </c>
      <c r="M164" s="860"/>
      <c r="N164" s="860"/>
      <c r="O164" s="860"/>
      <c r="P164" s="860"/>
      <c r="Q164" s="860"/>
      <c r="R164" s="860"/>
      <c r="S164" s="860"/>
      <c r="AH164" s="712" t="s">
        <v>238</v>
      </c>
    </row>
    <row r="165" spans="11:34" ht="16" thickBot="1">
      <c r="K165" s="712" t="s">
        <v>238</v>
      </c>
      <c r="M165" s="918" t="s">
        <v>1917</v>
      </c>
      <c r="N165" s="910"/>
      <c r="O165" s="910"/>
      <c r="P165" s="910"/>
      <c r="Q165" s="910"/>
      <c r="R165" s="910"/>
      <c r="AH165" s="712" t="s">
        <v>238</v>
      </c>
    </row>
    <row r="166" spans="11:34" ht="16" thickBot="1">
      <c r="K166" s="712" t="s">
        <v>238</v>
      </c>
      <c r="M166" s="871" t="s">
        <v>1899</v>
      </c>
      <c r="N166" s="888" t="s">
        <v>1900</v>
      </c>
      <c r="O166" s="883" t="s">
        <v>1901</v>
      </c>
      <c r="P166" s="888" t="s">
        <v>1900</v>
      </c>
      <c r="Q166" s="894" t="s">
        <v>1918</v>
      </c>
      <c r="R166" s="895" t="s">
        <v>1919</v>
      </c>
      <c r="AH166" s="712" t="s">
        <v>238</v>
      </c>
    </row>
    <row r="167" spans="11:34">
      <c r="K167" s="712" t="s">
        <v>238</v>
      </c>
      <c r="M167" s="890" t="s">
        <v>1920</v>
      </c>
      <c r="N167" s="898" t="s">
        <v>1921</v>
      </c>
      <c r="O167" s="1715">
        <v>18.75</v>
      </c>
      <c r="P167" s="901" t="s">
        <v>1922</v>
      </c>
      <c r="Q167" s="1729">
        <v>0.18</v>
      </c>
      <c r="R167" s="1730">
        <f>SUM(O167*Q167)</f>
        <v>3.375</v>
      </c>
      <c r="AH167" s="712" t="s">
        <v>238</v>
      </c>
    </row>
    <row r="168" spans="11:34">
      <c r="K168" s="712" t="s">
        <v>238</v>
      </c>
      <c r="M168" s="891" t="s">
        <v>1923</v>
      </c>
      <c r="N168" s="899" t="s">
        <v>1924</v>
      </c>
      <c r="O168" s="1716">
        <v>70</v>
      </c>
      <c r="P168" s="902" t="s">
        <v>1922</v>
      </c>
      <c r="Q168" s="1726">
        <v>1E-3</v>
      </c>
      <c r="R168" s="1731">
        <f>SUM(O168*Q168)</f>
        <v>7.0000000000000007E-2</v>
      </c>
      <c r="AH168" s="712" t="s">
        <v>238</v>
      </c>
    </row>
    <row r="169" spans="11:34" ht="29">
      <c r="K169" s="712" t="s">
        <v>238</v>
      </c>
      <c r="M169" s="892" t="s">
        <v>1925</v>
      </c>
      <c r="N169" s="899" t="s">
        <v>1911</v>
      </c>
      <c r="O169" s="1717">
        <v>3800</v>
      </c>
      <c r="P169" s="903" t="s">
        <v>1926</v>
      </c>
      <c r="Q169" s="1727">
        <v>0.38</v>
      </c>
      <c r="R169" s="1731">
        <v>0.38</v>
      </c>
      <c r="AH169" s="712" t="s">
        <v>238</v>
      </c>
    </row>
    <row r="170" spans="11:34">
      <c r="K170" s="712" t="s">
        <v>238</v>
      </c>
      <c r="M170" s="891" t="s">
        <v>1927</v>
      </c>
      <c r="N170" s="899" t="s">
        <v>1911</v>
      </c>
      <c r="O170" s="886"/>
      <c r="P170" s="903"/>
      <c r="Q170" s="1728"/>
      <c r="R170" s="1731">
        <v>0.47</v>
      </c>
      <c r="AH170" s="712" t="s">
        <v>238</v>
      </c>
    </row>
    <row r="171" spans="11:34" ht="16" thickBot="1">
      <c r="K171" s="712" t="s">
        <v>238</v>
      </c>
      <c r="M171" s="893" t="s">
        <v>1895</v>
      </c>
      <c r="N171" s="900" t="s">
        <v>238</v>
      </c>
      <c r="O171" s="887" t="s">
        <v>238</v>
      </c>
      <c r="P171" s="904" t="s">
        <v>238</v>
      </c>
      <c r="Q171" s="900" t="s">
        <v>238</v>
      </c>
      <c r="R171" s="905">
        <f>SUM(R167:R170)</f>
        <v>4.2949999999999999</v>
      </c>
      <c r="AH171" s="712" t="s">
        <v>238</v>
      </c>
    </row>
    <row r="172" spans="11:34" ht="16" thickBot="1">
      <c r="K172" s="712" t="s">
        <v>238</v>
      </c>
      <c r="M172" s="889" t="s">
        <v>1913</v>
      </c>
      <c r="N172" s="896"/>
      <c r="O172" s="897"/>
      <c r="P172" s="897"/>
      <c r="Q172" s="897"/>
      <c r="R172" s="1495">
        <f>SUM(Q162+R171)</f>
        <v>4.9157999999999999</v>
      </c>
      <c r="AH172" s="712" t="s">
        <v>238</v>
      </c>
    </row>
    <row r="173" spans="11:34" ht="16" thickBot="1">
      <c r="K173" s="712" t="s">
        <v>238</v>
      </c>
      <c r="AH173" s="712" t="s">
        <v>238</v>
      </c>
    </row>
    <row r="174" spans="11:34" ht="16" thickBot="1">
      <c r="K174" s="712" t="s">
        <v>238</v>
      </c>
      <c r="R174" s="1495">
        <f>R152+R172</f>
        <v>41.2438</v>
      </c>
      <c r="AH174" s="712" t="s">
        <v>238</v>
      </c>
    </row>
    <row r="175" spans="11:34">
      <c r="K175" s="712" t="s">
        <v>238</v>
      </c>
      <c r="AH175" s="712" t="s">
        <v>238</v>
      </c>
    </row>
    <row r="176" spans="11:34">
      <c r="K176" s="712" t="s">
        <v>238</v>
      </c>
      <c r="AH176" s="712" t="s">
        <v>238</v>
      </c>
    </row>
    <row r="177" spans="11:34">
      <c r="K177" s="712" t="s">
        <v>238</v>
      </c>
      <c r="N177" s="845" t="s">
        <v>2416</v>
      </c>
      <c r="O177" s="845" t="s">
        <v>1912</v>
      </c>
      <c r="AH177" s="712" t="s">
        <v>238</v>
      </c>
    </row>
    <row r="178" spans="11:34">
      <c r="K178" s="712" t="s">
        <v>238</v>
      </c>
      <c r="M178" s="958" t="s">
        <v>2414</v>
      </c>
      <c r="N178" s="1040">
        <v>10</v>
      </c>
      <c r="O178" s="946">
        <f>N178*60</f>
        <v>600</v>
      </c>
      <c r="AH178" s="712" t="s">
        <v>238</v>
      </c>
    </row>
    <row r="179" spans="11:34">
      <c r="K179" s="712" t="s">
        <v>238</v>
      </c>
      <c r="M179" s="958" t="s">
        <v>2415</v>
      </c>
      <c r="N179" s="1499">
        <f>O178/N142*1.4</f>
        <v>84</v>
      </c>
      <c r="AH179" s="712" t="s">
        <v>238</v>
      </c>
    </row>
    <row r="180" spans="11:34">
      <c r="K180" s="712" t="s">
        <v>238</v>
      </c>
      <c r="M180" s="958" t="s">
        <v>2417</v>
      </c>
      <c r="N180" s="1040">
        <v>5</v>
      </c>
      <c r="AH180" s="712" t="s">
        <v>238</v>
      </c>
    </row>
    <row r="181" spans="11:34">
      <c r="K181" s="712" t="s">
        <v>238</v>
      </c>
      <c r="M181" s="958" t="s">
        <v>2418</v>
      </c>
      <c r="N181" s="1040">
        <v>250</v>
      </c>
      <c r="AH181" s="712" t="s">
        <v>238</v>
      </c>
    </row>
    <row r="182" spans="11:34">
      <c r="K182" s="712" t="s">
        <v>238</v>
      </c>
      <c r="M182" s="958" t="s">
        <v>2419</v>
      </c>
      <c r="N182" s="1585">
        <v>1</v>
      </c>
      <c r="O182" t="s">
        <v>2420</v>
      </c>
      <c r="AH182" s="712" t="s">
        <v>238</v>
      </c>
    </row>
    <row r="183" spans="11:34">
      <c r="K183" s="712" t="s">
        <v>238</v>
      </c>
      <c r="M183" s="1496" t="s">
        <v>2425</v>
      </c>
      <c r="N183" s="946">
        <f>N181*N182</f>
        <v>250</v>
      </c>
      <c r="AH183" s="712" t="s">
        <v>238</v>
      </c>
    </row>
    <row r="184" spans="11:34">
      <c r="K184" s="712" t="s">
        <v>238</v>
      </c>
      <c r="N184" s="734"/>
      <c r="AH184" s="712" t="s">
        <v>238</v>
      </c>
    </row>
    <row r="185" spans="11:34">
      <c r="K185" s="712" t="s">
        <v>238</v>
      </c>
      <c r="M185" s="958" t="s">
        <v>2421</v>
      </c>
      <c r="N185" s="946">
        <f>ROUNDUP(N183/N180,)</f>
        <v>50</v>
      </c>
      <c r="AH185" s="712" t="s">
        <v>238</v>
      </c>
    </row>
    <row r="186" spans="11:34">
      <c r="K186" s="712" t="s">
        <v>238</v>
      </c>
      <c r="M186" s="958" t="s">
        <v>2422</v>
      </c>
      <c r="N186" s="946">
        <v>220</v>
      </c>
      <c r="O186" t="s">
        <v>2426</v>
      </c>
      <c r="AH186" s="712" t="s">
        <v>238</v>
      </c>
    </row>
    <row r="187" spans="11:34" ht="16" thickBot="1">
      <c r="K187" s="712" t="s">
        <v>238</v>
      </c>
      <c r="M187" s="958" t="s">
        <v>2423</v>
      </c>
      <c r="N187" s="1718">
        <f>N186*N185</f>
        <v>11000</v>
      </c>
      <c r="AH187" s="712" t="s">
        <v>238</v>
      </c>
    </row>
    <row r="188" spans="11:34" ht="16" thickBot="1">
      <c r="K188" s="712" t="s">
        <v>238</v>
      </c>
      <c r="M188" s="1498" t="s">
        <v>2424</v>
      </c>
      <c r="N188" s="1719">
        <f>N187*R172</f>
        <v>54073.8</v>
      </c>
      <c r="AH188" s="712" t="s">
        <v>238</v>
      </c>
    </row>
    <row r="189" spans="11:34">
      <c r="K189" s="712" t="s">
        <v>238</v>
      </c>
      <c r="N189" s="734"/>
      <c r="AH189" s="712" t="s">
        <v>238</v>
      </c>
    </row>
    <row r="190" spans="11:34" ht="16" thickBot="1">
      <c r="K190" s="712" t="s">
        <v>238</v>
      </c>
      <c r="M190" s="958" t="s">
        <v>2427</v>
      </c>
      <c r="N190" s="1718">
        <f>N179*N183</f>
        <v>21000</v>
      </c>
      <c r="AH190" s="712" t="s">
        <v>238</v>
      </c>
    </row>
    <row r="191" spans="11:34" ht="16" thickBot="1">
      <c r="K191" s="712" t="s">
        <v>238</v>
      </c>
      <c r="M191" s="1498" t="s">
        <v>2428</v>
      </c>
      <c r="N191" s="1719">
        <f>N190*R152</f>
        <v>762888.00000000012</v>
      </c>
      <c r="AH191" s="712" t="s">
        <v>238</v>
      </c>
    </row>
    <row r="192" spans="11:34" ht="16" thickBot="1">
      <c r="K192" s="712" t="s">
        <v>238</v>
      </c>
      <c r="N192" s="734"/>
      <c r="AH192" s="712" t="s">
        <v>238</v>
      </c>
    </row>
    <row r="193" spans="1:35" ht="16" thickBot="1">
      <c r="K193" s="712" t="s">
        <v>238</v>
      </c>
      <c r="M193" s="1497" t="s">
        <v>2429</v>
      </c>
      <c r="N193" s="1720">
        <f>N191+N188</f>
        <v>816961.80000000016</v>
      </c>
      <c r="AH193" s="712" t="s">
        <v>238</v>
      </c>
    </row>
    <row r="194" spans="1:35">
      <c r="K194" s="712" t="s">
        <v>238</v>
      </c>
      <c r="AH194" s="712" t="s">
        <v>238</v>
      </c>
    </row>
    <row r="195" spans="1:35">
      <c r="K195" s="712" t="s">
        <v>238</v>
      </c>
      <c r="AH195" s="712" t="s">
        <v>238</v>
      </c>
    </row>
    <row r="196" spans="1:35" ht="16" thickBot="1">
      <c r="K196" s="712" t="s">
        <v>238</v>
      </c>
      <c r="AH196" s="712" t="s">
        <v>238</v>
      </c>
    </row>
    <row r="197" spans="1:35" ht="16" thickBot="1">
      <c r="K197" s="712" t="s">
        <v>238</v>
      </c>
      <c r="M197" t="s">
        <v>2171</v>
      </c>
      <c r="P197" s="1500">
        <v>2021</v>
      </c>
      <c r="Q197" s="1501">
        <v>2022</v>
      </c>
      <c r="R197" s="1501">
        <v>2023</v>
      </c>
      <c r="S197" s="1501">
        <v>2024</v>
      </c>
      <c r="T197" s="1502">
        <v>2025</v>
      </c>
      <c r="AH197" s="712" t="s">
        <v>238</v>
      </c>
    </row>
    <row r="198" spans="1:35" ht="16" thickBot="1">
      <c r="K198" s="712" t="s">
        <v>238</v>
      </c>
      <c r="M198" s="1503" t="s">
        <v>2430</v>
      </c>
      <c r="N198" s="1504"/>
      <c r="O198" s="1504"/>
      <c r="P198" s="1712">
        <v>4</v>
      </c>
      <c r="Q198" s="1712">
        <v>4</v>
      </c>
      <c r="R198" s="1712">
        <v>4</v>
      </c>
      <c r="S198" s="1712">
        <v>4</v>
      </c>
      <c r="T198" s="1712">
        <v>4</v>
      </c>
      <c r="AH198" s="712" t="s">
        <v>238</v>
      </c>
    </row>
    <row r="199" spans="1:35" ht="16" thickBot="1">
      <c r="A199" s="2157">
        <v>7</v>
      </c>
      <c r="B199" s="841">
        <f>P199</f>
        <v>3267847.2000000007</v>
      </c>
      <c r="C199" s="841">
        <f>Q199</f>
        <v>3267847.2000000007</v>
      </c>
      <c r="D199" s="841">
        <f>R199</f>
        <v>3267847.2000000007</v>
      </c>
      <c r="E199" s="841">
        <f>S199</f>
        <v>3267847.2000000007</v>
      </c>
      <c r="F199" s="841">
        <f>T199</f>
        <v>3267847.2000000007</v>
      </c>
      <c r="G199" s="841" t="s">
        <v>338</v>
      </c>
      <c r="H199" s="841" t="s">
        <v>3070</v>
      </c>
      <c r="I199" s="2183"/>
      <c r="J199" s="841" t="s">
        <v>2925</v>
      </c>
      <c r="K199" s="712" t="s">
        <v>238</v>
      </c>
      <c r="M199" s="1710" t="s">
        <v>2189</v>
      </c>
      <c r="N199" s="1709"/>
      <c r="O199" s="1708"/>
      <c r="P199" s="1495">
        <f>N193*P198</f>
        <v>3267847.2000000007</v>
      </c>
      <c r="Q199" s="1495">
        <f>N193*Q198</f>
        <v>3267847.2000000007</v>
      </c>
      <c r="R199" s="1495">
        <f>N193*R198</f>
        <v>3267847.2000000007</v>
      </c>
      <c r="S199" s="1495">
        <f>N193*S198</f>
        <v>3267847.2000000007</v>
      </c>
      <c r="T199" s="1495">
        <f>N193*T198</f>
        <v>3267847.2000000007</v>
      </c>
      <c r="AH199" s="712" t="s">
        <v>238</v>
      </c>
      <c r="AI199">
        <f>SUM(P199:T199)</f>
        <v>16339236.000000004</v>
      </c>
    </row>
    <row r="200" spans="1:35">
      <c r="K200" s="712" t="s">
        <v>238</v>
      </c>
      <c r="P200" s="734"/>
      <c r="Q200" s="734"/>
      <c r="R200" s="734"/>
      <c r="S200" s="734"/>
      <c r="T200" s="734"/>
      <c r="AH200" s="712" t="s">
        <v>238</v>
      </c>
    </row>
    <row r="201" spans="1:35">
      <c r="K201" s="712" t="s">
        <v>238</v>
      </c>
      <c r="M201" t="s">
        <v>2431</v>
      </c>
      <c r="P201" s="734">
        <f>$N$190*P198</f>
        <v>84000</v>
      </c>
      <c r="Q201" s="734">
        <f>$N$190*Q198</f>
        <v>84000</v>
      </c>
      <c r="R201" s="734">
        <f>$N$190*R198</f>
        <v>84000</v>
      </c>
      <c r="S201" s="734">
        <f>$N$190*S198</f>
        <v>84000</v>
      </c>
      <c r="T201" s="734">
        <f>$N$190*T198</f>
        <v>84000</v>
      </c>
      <c r="AH201" s="712" t="s">
        <v>238</v>
      </c>
    </row>
    <row r="202" spans="1:35">
      <c r="K202" s="712" t="s">
        <v>238</v>
      </c>
      <c r="AH202" s="712" t="s">
        <v>238</v>
      </c>
    </row>
    <row r="203" spans="1:35">
      <c r="K203" s="712" t="s">
        <v>238</v>
      </c>
    </row>
    <row r="204" spans="1:35">
      <c r="K204" s="712" t="s">
        <v>238</v>
      </c>
    </row>
    <row r="205" spans="1:35">
      <c r="K205" s="712" t="s">
        <v>238</v>
      </c>
    </row>
    <row r="206" spans="1:35">
      <c r="K206" s="712" t="s">
        <v>238</v>
      </c>
    </row>
    <row r="207" spans="1:35">
      <c r="K207" s="712" t="s">
        <v>238</v>
      </c>
    </row>
    <row r="208" spans="1:35">
      <c r="K208" s="712" t="s">
        <v>238</v>
      </c>
    </row>
    <row r="209" spans="11:11">
      <c r="K209" s="712" t="s">
        <v>238</v>
      </c>
    </row>
    <row r="210" spans="11:11">
      <c r="K210" s="712" t="s">
        <v>238</v>
      </c>
    </row>
    <row r="211" spans="11:11">
      <c r="K211" s="712" t="s">
        <v>238</v>
      </c>
    </row>
    <row r="212" spans="11:11">
      <c r="K212" s="712" t="s">
        <v>238</v>
      </c>
    </row>
    <row r="213" spans="11:11">
      <c r="K213" s="712" t="s">
        <v>238</v>
      </c>
    </row>
    <row r="214" spans="11:11">
      <c r="K214" s="712" t="s">
        <v>238</v>
      </c>
    </row>
    <row r="215" spans="11:11">
      <c r="K215" s="712" t="s">
        <v>238</v>
      </c>
    </row>
    <row r="216" spans="11:11">
      <c r="K216" s="712" t="s">
        <v>238</v>
      </c>
    </row>
    <row r="217" spans="11:11">
      <c r="K217" s="712" t="s">
        <v>238</v>
      </c>
    </row>
    <row r="218" spans="11:11">
      <c r="K218" s="712" t="s">
        <v>238</v>
      </c>
    </row>
    <row r="219" spans="11:11">
      <c r="K219" s="712" t="s">
        <v>238</v>
      </c>
    </row>
    <row r="220" spans="11:11">
      <c r="K220" s="712" t="s">
        <v>238</v>
      </c>
    </row>
    <row r="221" spans="11:11">
      <c r="K221" s="712" t="s">
        <v>238</v>
      </c>
    </row>
    <row r="222" spans="11:11">
      <c r="K222" s="712" t="s">
        <v>238</v>
      </c>
    </row>
    <row r="223" spans="11:11">
      <c r="K223" s="712" t="s">
        <v>238</v>
      </c>
    </row>
    <row r="224" spans="11:11">
      <c r="K224" s="712" t="s">
        <v>238</v>
      </c>
    </row>
    <row r="225" spans="11:11">
      <c r="K225" s="712" t="s">
        <v>238</v>
      </c>
    </row>
    <row r="226" spans="11:11">
      <c r="K226" s="712" t="s">
        <v>238</v>
      </c>
    </row>
    <row r="227" spans="11:11">
      <c r="K227" s="712" t="s">
        <v>238</v>
      </c>
    </row>
    <row r="228" spans="11:11">
      <c r="K228" s="712" t="s">
        <v>238</v>
      </c>
    </row>
    <row r="229" spans="11:11">
      <c r="K229" s="712" t="s">
        <v>238</v>
      </c>
    </row>
    <row r="230" spans="11:11">
      <c r="K230" s="712" t="s">
        <v>238</v>
      </c>
    </row>
    <row r="231" spans="11:11">
      <c r="K231" s="712" t="s">
        <v>238</v>
      </c>
    </row>
    <row r="232" spans="11:11">
      <c r="K232" s="712" t="s">
        <v>238</v>
      </c>
    </row>
    <row r="233" spans="11:11">
      <c r="K233" s="712" t="s">
        <v>238</v>
      </c>
    </row>
    <row r="234" spans="11:11">
      <c r="K234" s="712" t="s">
        <v>238</v>
      </c>
    </row>
    <row r="235" spans="11:11">
      <c r="K235" s="712" t="s">
        <v>238</v>
      </c>
    </row>
    <row r="236" spans="11:11">
      <c r="K236" s="712" t="s">
        <v>238</v>
      </c>
    </row>
    <row r="237" spans="11:11">
      <c r="K237" s="712" t="s">
        <v>238</v>
      </c>
    </row>
    <row r="238" spans="11:11">
      <c r="K238" s="712" t="s">
        <v>238</v>
      </c>
    </row>
    <row r="239" spans="11:11">
      <c r="K239" s="712" t="s">
        <v>238</v>
      </c>
    </row>
    <row r="240" spans="11:11">
      <c r="K240" s="712" t="s">
        <v>238</v>
      </c>
    </row>
    <row r="241" spans="11:11">
      <c r="K241" s="712" t="s">
        <v>238</v>
      </c>
    </row>
    <row r="242" spans="11:11">
      <c r="K242" s="712" t="s">
        <v>238</v>
      </c>
    </row>
    <row r="243" spans="11:11">
      <c r="K243" s="712" t="s">
        <v>238</v>
      </c>
    </row>
    <row r="244" spans="11:11">
      <c r="K244" s="712" t="s">
        <v>238</v>
      </c>
    </row>
    <row r="245" spans="11:11">
      <c r="K245" s="712" t="s">
        <v>238</v>
      </c>
    </row>
    <row r="246" spans="11:11">
      <c r="K246" s="712" t="s">
        <v>238</v>
      </c>
    </row>
    <row r="247" spans="11:11">
      <c r="K247" s="712" t="s">
        <v>238</v>
      </c>
    </row>
    <row r="248" spans="11:11">
      <c r="K248" s="712" t="s">
        <v>238</v>
      </c>
    </row>
    <row r="249" spans="11:11">
      <c r="K249" s="712" t="s">
        <v>238</v>
      </c>
    </row>
    <row r="250" spans="11:11">
      <c r="K250" s="712" t="s">
        <v>238</v>
      </c>
    </row>
    <row r="251" spans="11:11">
      <c r="K251" s="712" t="s">
        <v>238</v>
      </c>
    </row>
    <row r="252" spans="11:11">
      <c r="K252" s="712" t="s">
        <v>238</v>
      </c>
    </row>
    <row r="253" spans="11:11">
      <c r="K253" s="712" t="s">
        <v>238</v>
      </c>
    </row>
    <row r="254" spans="11:11">
      <c r="K254" s="712" t="s">
        <v>238</v>
      </c>
    </row>
    <row r="255" spans="11:11">
      <c r="K255" s="712" t="s">
        <v>238</v>
      </c>
    </row>
    <row r="256" spans="11:11">
      <c r="K256" s="712" t="s">
        <v>238</v>
      </c>
    </row>
    <row r="257" spans="11:34">
      <c r="K257" s="712" t="s">
        <v>238</v>
      </c>
    </row>
    <row r="258" spans="11:34">
      <c r="K258" s="712" t="s">
        <v>238</v>
      </c>
    </row>
    <row r="259" spans="11:34">
      <c r="K259" s="712" t="s">
        <v>238</v>
      </c>
    </row>
    <row r="260" spans="11:34">
      <c r="K260" s="712" t="s">
        <v>238</v>
      </c>
    </row>
    <row r="261" spans="11:34">
      <c r="K261" s="712" t="s">
        <v>238</v>
      </c>
    </row>
    <row r="262" spans="11:34">
      <c r="K262" s="712" t="s">
        <v>238</v>
      </c>
    </row>
    <row r="263" spans="11:34">
      <c r="K263" s="712" t="s">
        <v>238</v>
      </c>
      <c r="AH263" s="712" t="s">
        <v>238</v>
      </c>
    </row>
    <row r="264" spans="11:34">
      <c r="K264" s="712" t="s">
        <v>238</v>
      </c>
      <c r="AH264" s="712" t="s">
        <v>238</v>
      </c>
    </row>
    <row r="265" spans="11:34">
      <c r="K265" s="712" t="s">
        <v>238</v>
      </c>
    </row>
    <row r="266" spans="11:34">
      <c r="K266" s="712" t="s">
        <v>238</v>
      </c>
    </row>
    <row r="267" spans="11:34">
      <c r="K267" s="712" t="s">
        <v>238</v>
      </c>
    </row>
    <row r="268" spans="11:34">
      <c r="K268" s="712" t="s">
        <v>238</v>
      </c>
    </row>
    <row r="269" spans="11:34">
      <c r="K269" s="712" t="s">
        <v>238</v>
      </c>
    </row>
    <row r="270" spans="11:34">
      <c r="K270" s="712" t="s">
        <v>238</v>
      </c>
    </row>
    <row r="271" spans="11:34">
      <c r="K271" s="712" t="s">
        <v>238</v>
      </c>
    </row>
    <row r="272" spans="11:34">
      <c r="K272" s="712" t="s">
        <v>238</v>
      </c>
    </row>
    <row r="273" spans="11:11">
      <c r="K273" s="712" t="s">
        <v>238</v>
      </c>
    </row>
    <row r="274" spans="11:11">
      <c r="K274" s="712" t="s">
        <v>238</v>
      </c>
    </row>
    <row r="275" spans="11:11">
      <c r="K275" s="712" t="s">
        <v>238</v>
      </c>
    </row>
    <row r="276" spans="11:11">
      <c r="K276" s="712" t="s">
        <v>238</v>
      </c>
    </row>
    <row r="277" spans="11:11">
      <c r="K277" s="712" t="s">
        <v>238</v>
      </c>
    </row>
    <row r="278" spans="11:11">
      <c r="K278" s="712" t="s">
        <v>238</v>
      </c>
    </row>
    <row r="279" spans="11:11">
      <c r="K279" s="712" t="s">
        <v>238</v>
      </c>
    </row>
    <row r="280" spans="11:11">
      <c r="K280" s="712" t="s">
        <v>238</v>
      </c>
    </row>
    <row r="281" spans="11:11">
      <c r="K281" s="712" t="s">
        <v>238</v>
      </c>
    </row>
    <row r="282" spans="11:11">
      <c r="K282" s="712" t="s">
        <v>238</v>
      </c>
    </row>
    <row r="283" spans="11:11">
      <c r="K283" s="712" t="s">
        <v>238</v>
      </c>
    </row>
    <row r="284" spans="11:11">
      <c r="K284" s="712" t="s">
        <v>238</v>
      </c>
    </row>
    <row r="285" spans="11:11">
      <c r="K285" s="712" t="s">
        <v>238</v>
      </c>
    </row>
    <row r="286" spans="11:11">
      <c r="K286" s="712" t="s">
        <v>238</v>
      </c>
    </row>
    <row r="287" spans="11:11">
      <c r="K287" s="712" t="s">
        <v>238</v>
      </c>
    </row>
    <row r="288" spans="11:11">
      <c r="K288" s="712" t="s">
        <v>238</v>
      </c>
    </row>
    <row r="289" spans="11:11">
      <c r="K289" s="712" t="s">
        <v>238</v>
      </c>
    </row>
    <row r="290" spans="11:11">
      <c r="K290" s="712" t="s">
        <v>238</v>
      </c>
    </row>
    <row r="291" spans="11:11">
      <c r="K291" s="712" t="s">
        <v>238</v>
      </c>
    </row>
    <row r="292" spans="11:11">
      <c r="K292" s="712" t="s">
        <v>238</v>
      </c>
    </row>
    <row r="293" spans="11:11">
      <c r="K293" s="712" t="s">
        <v>238</v>
      </c>
    </row>
    <row r="294" spans="11:11">
      <c r="K294" s="712" t="s">
        <v>238</v>
      </c>
    </row>
    <row r="295" spans="11:11">
      <c r="K295" s="712" t="s">
        <v>238</v>
      </c>
    </row>
    <row r="296" spans="11:11">
      <c r="K296" s="712" t="s">
        <v>238</v>
      </c>
    </row>
    <row r="297" spans="11:11">
      <c r="K297" s="712" t="s">
        <v>238</v>
      </c>
    </row>
    <row r="298" spans="11:11">
      <c r="K298" s="712" t="s">
        <v>238</v>
      </c>
    </row>
    <row r="299" spans="11:11">
      <c r="K299" s="712" t="s">
        <v>238</v>
      </c>
    </row>
    <row r="300" spans="11:11">
      <c r="K300" s="712" t="s">
        <v>238</v>
      </c>
    </row>
    <row r="301" spans="11:11">
      <c r="K301" s="712" t="s">
        <v>238</v>
      </c>
    </row>
    <row r="302" spans="11:11">
      <c r="K302" s="712" t="s">
        <v>238</v>
      </c>
    </row>
    <row r="303" spans="11:11">
      <c r="K303" s="712" t="s">
        <v>238</v>
      </c>
    </row>
    <row r="304" spans="11:11">
      <c r="K304" s="712" t="s">
        <v>238</v>
      </c>
    </row>
    <row r="305" spans="11:11">
      <c r="K305" s="712" t="s">
        <v>238</v>
      </c>
    </row>
    <row r="306" spans="11:11">
      <c r="K306" s="712" t="s">
        <v>238</v>
      </c>
    </row>
    <row r="307" spans="11:11">
      <c r="K307" s="712" t="s">
        <v>238</v>
      </c>
    </row>
    <row r="308" spans="11:11">
      <c r="K308" s="712" t="s">
        <v>238</v>
      </c>
    </row>
    <row r="309" spans="11:11">
      <c r="K309" s="712" t="s">
        <v>238</v>
      </c>
    </row>
    <row r="310" spans="11:11">
      <c r="K310" s="712" t="s">
        <v>238</v>
      </c>
    </row>
    <row r="311" spans="11:11">
      <c r="K311" s="712" t="s">
        <v>238</v>
      </c>
    </row>
    <row r="312" spans="11:11">
      <c r="K312" s="712" t="s">
        <v>238</v>
      </c>
    </row>
    <row r="313" spans="11:11">
      <c r="K313" s="712" t="s">
        <v>238</v>
      </c>
    </row>
    <row r="314" spans="11:11">
      <c r="K314" s="712" t="s">
        <v>238</v>
      </c>
    </row>
    <row r="315" spans="11:11">
      <c r="K315" s="712" t="s">
        <v>238</v>
      </c>
    </row>
    <row r="316" spans="11:11">
      <c r="K316" s="712" t="s">
        <v>238</v>
      </c>
    </row>
    <row r="317" spans="11:11">
      <c r="K317" s="712" t="s">
        <v>238</v>
      </c>
    </row>
    <row r="318" spans="11:11">
      <c r="K318" s="712" t="s">
        <v>238</v>
      </c>
    </row>
    <row r="319" spans="11:11">
      <c r="K319" s="712" t="s">
        <v>238</v>
      </c>
    </row>
    <row r="320" spans="11:11">
      <c r="K320" s="712" t="s">
        <v>238</v>
      </c>
    </row>
    <row r="321" spans="11:11">
      <c r="K321" s="712" t="s">
        <v>238</v>
      </c>
    </row>
    <row r="322" spans="11:11">
      <c r="K322" s="712" t="s">
        <v>238</v>
      </c>
    </row>
    <row r="323" spans="11:11">
      <c r="K323" s="712" t="s">
        <v>238</v>
      </c>
    </row>
    <row r="324" spans="11:11">
      <c r="K324" s="712" t="s">
        <v>238</v>
      </c>
    </row>
    <row r="325" spans="11:11">
      <c r="K325" s="712" t="s">
        <v>238</v>
      </c>
    </row>
    <row r="326" spans="11:11">
      <c r="K326" s="712" t="s">
        <v>238</v>
      </c>
    </row>
    <row r="327" spans="11:11">
      <c r="K327" s="712" t="s">
        <v>238</v>
      </c>
    </row>
    <row r="328" spans="11:11">
      <c r="K328" s="712" t="s">
        <v>238</v>
      </c>
    </row>
    <row r="329" spans="11:11">
      <c r="K329" s="712" t="s">
        <v>238</v>
      </c>
    </row>
    <row r="330" spans="11:11">
      <c r="K330" s="712" t="s">
        <v>238</v>
      </c>
    </row>
    <row r="331" spans="11:11">
      <c r="K331" s="712" t="s">
        <v>238</v>
      </c>
    </row>
    <row r="332" spans="11:11">
      <c r="K332" s="712" t="s">
        <v>238</v>
      </c>
    </row>
    <row r="333" spans="11:11">
      <c r="K333" s="712" t="s">
        <v>238</v>
      </c>
    </row>
  </sheetData>
  <mergeCells count="8">
    <mergeCell ref="N158:Q158"/>
    <mergeCell ref="M146:R146"/>
    <mergeCell ref="N152:Q152"/>
    <mergeCell ref="N137:Q137"/>
    <mergeCell ref="M138:S138"/>
    <mergeCell ref="N139:Q139"/>
    <mergeCell ref="N140:Q140"/>
    <mergeCell ref="M145:Q145"/>
  </mergeCells>
  <conditionalFormatting sqref="A17">
    <cfRule type="duplicateValues" dxfId="199" priority="19"/>
  </conditionalFormatting>
  <conditionalFormatting sqref="A15">
    <cfRule type="duplicateValues" dxfId="198" priority="18"/>
  </conditionalFormatting>
  <conditionalFormatting sqref="A16">
    <cfRule type="duplicateValues" dxfId="197" priority="17"/>
  </conditionalFormatting>
  <conditionalFormatting sqref="A199">
    <cfRule type="duplicateValues" dxfId="196" priority="16"/>
  </conditionalFormatting>
  <conditionalFormatting sqref="A1">
    <cfRule type="duplicateValues" dxfId="195" priority="196"/>
  </conditionalFormatting>
  <conditionalFormatting sqref="A50">
    <cfRule type="duplicateValues" dxfId="194" priority="15"/>
  </conditionalFormatting>
  <conditionalFormatting sqref="A105">
    <cfRule type="duplicateValues" dxfId="193" priority="12"/>
  </conditionalFormatting>
  <conditionalFormatting sqref="Q120">
    <cfRule type="containsText" dxfId="192" priority="10" operator="containsText" text="USD">
      <formula>NOT(ISERROR(SEARCH("USD",Q120)))</formula>
    </cfRule>
    <cfRule type="containsText" dxfId="191" priority="11" operator="containsText" text="EUR">
      <formula>NOT(ISERROR(SEARCH("EUR",Q120)))</formula>
    </cfRule>
  </conditionalFormatting>
  <conditionalFormatting sqref="A133">
    <cfRule type="duplicateValues" dxfId="190" priority="9"/>
  </conditionalFormatting>
  <conditionalFormatting sqref="Q78">
    <cfRule type="containsText" dxfId="189" priority="5" operator="containsText" text="USD">
      <formula>NOT(ISERROR(SEARCH("USD",Q78)))</formula>
    </cfRule>
    <cfRule type="containsText" dxfId="188" priority="6" operator="containsText" text="EUR">
      <formula>NOT(ISERROR(SEARCH("EUR",Q78)))</formula>
    </cfRule>
  </conditionalFormatting>
  <conditionalFormatting sqref="A52">
    <cfRule type="duplicateValues" dxfId="187" priority="4"/>
  </conditionalFormatting>
  <conditionalFormatting sqref="A58">
    <cfRule type="duplicateValues" dxfId="186" priority="3"/>
  </conditionalFormatting>
  <conditionalFormatting sqref="A60">
    <cfRule type="duplicateValues" dxfId="185" priority="2"/>
  </conditionalFormatting>
  <conditionalFormatting sqref="G1:G1048576">
    <cfRule type="containsText" dxfId="184" priority="1" operator="containsText" text="gfatm">
      <formula>NOT(ISERROR(SEARCH("gfatm",G1)))</formula>
    </cfRule>
  </conditionalFormatting>
  <dataValidations count="3">
    <dataValidation type="list" allowBlank="1" showInputMessage="1" showErrorMessage="1" sqref="I15:I17 I199 I50 I105 I133 I52 I58 I60" xr:uid="{00000000-0002-0000-1700-000000000000}">
      <formula1>TB_implementare</formula1>
    </dataValidation>
    <dataValidation type="list" allowBlank="1" showInputMessage="1" showErrorMessage="1" sqref="G15:G17 G199 G50 G105 G133 G52 G58 G60" xr:uid="{00000000-0002-0000-1700-000001000000}">
      <formula1>TB_sursa_finant_Ro</formula1>
    </dataValidation>
    <dataValidation type="list" allowBlank="1" showInputMessage="1" showErrorMessage="1" sqref="M121:M127 M79:M97" xr:uid="{00000000-0002-0000-1700-000002000000}">
      <formula1>Denumire_produs_ro</formula1>
    </dataValidation>
  </dataValidations>
  <hyperlinks>
    <hyperlink ref="O1" location="CUPRINS!A1" display="CUPRINS" xr:uid="{00000000-0004-0000-17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3000000}">
          <x14:formula1>
            <xm:f>Nom_activ_2!$H$2:$H$88</xm:f>
          </x14:formula1>
          <xm:sqref>J133 J105 J50 J199 J15:J17 J52 J58 J60</xm:sqref>
        </x14:dataValidation>
      </x14:dataValidations>
    </ext>
  </extLst>
</worksheet>
</file>

<file path=xl/worksheets/sheet2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C1:S65"/>
  <sheetViews>
    <sheetView zoomScale="70" zoomScaleNormal="70" workbookViewId="0">
      <selection activeCell="M55" sqref="M55"/>
    </sheetView>
  </sheetViews>
  <sheetFormatPr baseColWidth="10" defaultColWidth="8.83203125" defaultRowHeight="15"/>
  <cols>
    <col min="3" max="3" width="46.6640625" bestFit="1" customWidth="1"/>
    <col min="4" max="4" width="52.33203125" customWidth="1"/>
    <col min="5" max="5" width="7.33203125" bestFit="1" customWidth="1"/>
    <col min="6" max="6" width="10.83203125" bestFit="1" customWidth="1"/>
    <col min="7" max="7" width="10.6640625" customWidth="1"/>
    <col min="8" max="8" width="9.5" bestFit="1" customWidth="1"/>
    <col min="9" max="9" width="16.5" bestFit="1" customWidth="1"/>
    <col min="10" max="10" width="14" bestFit="1" customWidth="1"/>
    <col min="11" max="11" width="20.5" customWidth="1"/>
    <col min="12" max="12" width="1.83203125" customWidth="1"/>
    <col min="13" max="13" width="79" customWidth="1"/>
    <col min="14" max="14" width="15" customWidth="1"/>
    <col min="15" max="15" width="16.33203125" bestFit="1" customWidth="1"/>
    <col min="16" max="16" width="14.83203125" bestFit="1" customWidth="1"/>
    <col min="17" max="17" width="21.1640625" customWidth="1"/>
    <col min="18" max="18" width="17.33203125" customWidth="1"/>
    <col min="19" max="19" width="15.83203125" style="907" customWidth="1"/>
  </cols>
  <sheetData>
    <row r="1" spans="3:18" ht="16" thickBot="1"/>
    <row r="2" spans="3:18" ht="32">
      <c r="C2" s="1766" t="s">
        <v>3054</v>
      </c>
      <c r="D2" s="1696"/>
      <c r="E2" s="1767"/>
      <c r="F2" s="1220"/>
      <c r="G2" s="966"/>
      <c r="H2" s="1768"/>
      <c r="I2" s="966"/>
      <c r="J2" s="967"/>
    </row>
    <row r="3" spans="3:18" ht="32">
      <c r="C3" s="1769" t="s">
        <v>3055</v>
      </c>
      <c r="D3" s="1693"/>
      <c r="E3" s="958"/>
      <c r="F3" s="1040"/>
      <c r="G3" s="960"/>
      <c r="H3" s="960"/>
      <c r="I3" s="960"/>
      <c r="J3" s="62"/>
    </row>
    <row r="4" spans="3:18" ht="32">
      <c r="C4" s="1769" t="s">
        <v>3056</v>
      </c>
      <c r="D4" s="1693"/>
      <c r="E4" s="958"/>
      <c r="F4" s="1040"/>
      <c r="G4" s="960"/>
      <c r="H4" s="960"/>
      <c r="I4" s="960"/>
      <c r="J4" s="62"/>
    </row>
    <row r="5" spans="3:18" ht="32">
      <c r="C5" s="1769" t="s">
        <v>3057</v>
      </c>
      <c r="D5" s="1693"/>
      <c r="E5" s="958"/>
      <c r="F5" s="1040"/>
      <c r="G5" s="960"/>
      <c r="H5" s="960"/>
      <c r="I5" s="960"/>
      <c r="J5" s="62"/>
    </row>
    <row r="6" spans="3:18" ht="32">
      <c r="C6" s="1769" t="s">
        <v>3052</v>
      </c>
      <c r="D6" s="1693"/>
      <c r="E6" s="1694"/>
      <c r="F6" s="1028">
        <f>ROUND(F4*E6,0)</f>
        <v>0</v>
      </c>
      <c r="G6" s="960"/>
      <c r="H6" s="960"/>
      <c r="I6" s="960"/>
      <c r="J6" s="62"/>
    </row>
    <row r="7" spans="3:18" ht="32">
      <c r="C7" s="1769" t="s">
        <v>3053</v>
      </c>
      <c r="D7" s="1693"/>
      <c r="E7" s="1694"/>
      <c r="F7" s="1028">
        <f>ROUND(F4*E7,0)</f>
        <v>0</v>
      </c>
      <c r="G7" s="960"/>
      <c r="H7" s="960"/>
      <c r="I7" s="960"/>
      <c r="J7" s="62"/>
    </row>
    <row r="8" spans="3:18">
      <c r="C8" s="1770" t="s">
        <v>3036</v>
      </c>
      <c r="D8" s="1019"/>
      <c r="E8" s="1695"/>
      <c r="F8" s="1028">
        <f>F5-1</f>
        <v>-1</v>
      </c>
      <c r="G8" s="960"/>
      <c r="H8" s="960"/>
      <c r="I8" s="960"/>
      <c r="J8" s="62"/>
    </row>
    <row r="9" spans="3:18" ht="16" thickBot="1">
      <c r="C9" s="1049"/>
      <c r="D9" s="960"/>
      <c r="E9" s="960"/>
      <c r="F9" s="960"/>
      <c r="G9" s="960"/>
      <c r="H9" s="960"/>
      <c r="I9" s="960"/>
      <c r="J9" s="62"/>
    </row>
    <row r="10" spans="3:18" ht="57">
      <c r="C10" s="1699" t="s">
        <v>3033</v>
      </c>
      <c r="D10" s="1700" t="s">
        <v>3034</v>
      </c>
      <c r="E10" s="1702" t="s">
        <v>3040</v>
      </c>
      <c r="F10" s="1702" t="s">
        <v>3041</v>
      </c>
      <c r="G10" s="1702" t="s">
        <v>3042</v>
      </c>
      <c r="H10" s="1700" t="s">
        <v>3035</v>
      </c>
      <c r="I10" s="1702" t="s">
        <v>3039</v>
      </c>
      <c r="J10" s="1701" t="s">
        <v>2189</v>
      </c>
      <c r="M10" s="2104"/>
      <c r="N10" s="2104"/>
      <c r="O10" s="2104" t="s">
        <v>3598</v>
      </c>
      <c r="P10" s="2104" t="s">
        <v>3378</v>
      </c>
      <c r="Q10" s="2105" t="s">
        <v>3599</v>
      </c>
      <c r="R10" s="2105" t="s">
        <v>3627</v>
      </c>
    </row>
    <row r="11" spans="3:18">
      <c r="C11" s="1539" t="s">
        <v>3051</v>
      </c>
      <c r="D11" s="958" t="str">
        <f>IFERROR(VLOOKUP(C11,Price_list!$B$1:$H$187,2,0),"")</f>
        <v>International Consultancy fee (3.1)</v>
      </c>
      <c r="E11" s="958" t="str">
        <f>IFERROR(VLOOKUP(C11,Price_list!$B$1:$H$187,3,0),"")</f>
        <v>cost/zi</v>
      </c>
      <c r="F11" s="946">
        <f>IFERROR(VLOOKUP(C11,Price_list!$B$1:$H$187,4,0),"")</f>
        <v>350</v>
      </c>
      <c r="G11" s="946" t="str">
        <f>IFERROR(VLOOKUP(C11,Price_list!$B$1:$H$187,5,0),"")</f>
        <v>EUR</v>
      </c>
      <c r="H11" s="958">
        <f ca="1">ROUND(IFERROR(IF(G11="MDL",F11,F11*INDIRECT(G11)),0),2)</f>
        <v>6868.65</v>
      </c>
      <c r="I11" s="946">
        <f>F5</f>
        <v>0</v>
      </c>
      <c r="J11" s="1889">
        <f ca="1">IFERROR(F2*H11*I11,"")</f>
        <v>0</v>
      </c>
    </row>
    <row r="12" spans="3:18">
      <c r="C12" s="1539" t="s">
        <v>3029</v>
      </c>
      <c r="D12" s="958" t="str">
        <f>IFERROR(VLOOKUP(C12,Price_list!$B$1:$H$187,2,0),"")</f>
        <v xml:space="preserve">Travel costs </v>
      </c>
      <c r="E12" s="958" t="str">
        <f>IFERROR(VLOOKUP(C12,Price_list!$B$1:$H$187,3,0),"")</f>
        <v>cost tichet o directie</v>
      </c>
      <c r="F12" s="946">
        <f>IFERROR(VLOOKUP(C12,Price_list!$B$1:$H$187,4,0),"")</f>
        <v>5000</v>
      </c>
      <c r="G12" s="946" t="str">
        <f>IFERROR(VLOOKUP(C12,Price_list!$B$1:$H$187,5,0),"")</f>
        <v>MDL</v>
      </c>
      <c r="H12" s="958">
        <f t="shared" ref="H12:H28" ca="1" si="0">ROUND(IFERROR(IF(G12="MDL",F12,F12*INDIRECT(G12)),0),2)</f>
        <v>5000</v>
      </c>
      <c r="I12" s="1040">
        <v>2</v>
      </c>
      <c r="J12" s="1889">
        <f ca="1">F2*I12*H12</f>
        <v>0</v>
      </c>
    </row>
    <row r="13" spans="3:18">
      <c r="C13" s="1539" t="s">
        <v>3020</v>
      </c>
      <c r="D13" s="958" t="str">
        <f>IFERROR(VLOOKUP(C13,Price_list!$B$1:$H$187,2,0),"")</f>
        <v xml:space="preserve">Per diem, WHO DSA, average </v>
      </c>
      <c r="E13" s="958" t="str">
        <f>IFERROR(VLOOKUP(C13,Price_list!$B$1:$H$187,3,0),"")</f>
        <v>diurna</v>
      </c>
      <c r="F13" s="946">
        <f>IFERROR(VLOOKUP(C13,Price_list!$B$1:$H$187,4,0),"")</f>
        <v>200</v>
      </c>
      <c r="G13" s="946" t="str">
        <f>IFERROR(VLOOKUP(C13,Price_list!$B$1:$H$187,5,0),"")</f>
        <v>EUR</v>
      </c>
      <c r="H13" s="958">
        <f t="shared" ca="1" si="0"/>
        <v>3924.94</v>
      </c>
      <c r="I13" s="946">
        <f>F5+1</f>
        <v>1</v>
      </c>
      <c r="J13" s="1889">
        <f ca="1">F2*H13*I13</f>
        <v>0</v>
      </c>
    </row>
    <row r="14" spans="3:18">
      <c r="C14" s="1539" t="s">
        <v>3050</v>
      </c>
      <c r="D14" s="958" t="str">
        <f>IFERROR(VLOOKUP(C14,Price_list!$B$1:$H$187,2,0),"")</f>
        <v>National Consultancy fee (3.1)</v>
      </c>
      <c r="E14" s="958" t="str">
        <f>IFERROR(VLOOKUP(C14,Price_list!$B$1:$H$187,3,0),"")</f>
        <v>cost/zi</v>
      </c>
      <c r="F14" s="946">
        <f>IFERROR(VLOOKUP(C14,Price_list!$B$1:$H$187,4,0),"")</f>
        <v>2000</v>
      </c>
      <c r="G14" s="946" t="str">
        <f>IFERROR(VLOOKUP(C14,Price_list!$B$1:$H$187,5,0),"")</f>
        <v>MDL</v>
      </c>
      <c r="H14" s="958">
        <f t="shared" ca="1" si="0"/>
        <v>2000</v>
      </c>
      <c r="I14" s="946">
        <f>F5</f>
        <v>0</v>
      </c>
      <c r="J14" s="1889">
        <f ca="1">F3*H14*I14</f>
        <v>0</v>
      </c>
      <c r="M14" s="2117"/>
      <c r="N14" s="2117"/>
      <c r="O14" s="2117"/>
      <c r="P14" s="2117"/>
    </row>
    <row r="15" spans="3:18" ht="18">
      <c r="C15" s="1539"/>
      <c r="D15" s="958" t="str">
        <f>IFERROR(VLOOKUP(C15,Price_list!$B$1:$H$187,2,0),"")</f>
        <v/>
      </c>
      <c r="E15" s="958" t="str">
        <f>IFERROR(VLOOKUP(C15,Price_list!$B$1:$H$187,3,0),"")</f>
        <v/>
      </c>
      <c r="F15" s="946" t="str">
        <f>IFERROR(VLOOKUP(C15,Price_list!$B$1:$H$187,4,0),"")</f>
        <v/>
      </c>
      <c r="G15" s="946" t="str">
        <f>IFERROR(VLOOKUP(C15,Price_list!$B$1:$H$187,5,0),"")</f>
        <v/>
      </c>
      <c r="H15" s="958"/>
      <c r="I15" s="946"/>
      <c r="J15" s="1889"/>
      <c r="M15" s="2118" t="s">
        <v>3600</v>
      </c>
      <c r="N15" s="2119"/>
      <c r="O15" s="2119"/>
      <c r="P15" s="2119"/>
      <c r="Q15" s="2104"/>
      <c r="R15" s="2104"/>
    </row>
    <row r="16" spans="3:18" ht="18">
      <c r="C16" s="1539"/>
      <c r="D16" s="958" t="str">
        <f>IFERROR(VLOOKUP(C16,Price_list!$B$1:$H$187,2,0),"")</f>
        <v/>
      </c>
      <c r="E16" s="958" t="str">
        <f>IFERROR(VLOOKUP(C16,Price_list!$B$1:$H$187,3,0),"")</f>
        <v/>
      </c>
      <c r="F16" s="946" t="str">
        <f>IFERROR(VLOOKUP(C16,Price_list!$B$1:$H$187,4,0),"")</f>
        <v/>
      </c>
      <c r="G16" s="946" t="str">
        <f>IFERROR(VLOOKUP(C16,Price_list!$B$1:$H$187,5,0),"")</f>
        <v/>
      </c>
      <c r="H16" s="958"/>
      <c r="I16" s="946"/>
      <c r="J16" s="1889"/>
      <c r="M16" s="2120"/>
      <c r="N16" s="2119"/>
      <c r="O16" s="2119"/>
      <c r="P16" s="2119"/>
      <c r="Q16" s="2104"/>
      <c r="R16" s="2104"/>
    </row>
    <row r="17" spans="3:19" ht="18">
      <c r="C17" s="1539" t="s">
        <v>3016</v>
      </c>
      <c r="D17" s="958" t="str">
        <f>IFERROR(VLOOKUP(C17,Price_list!$B$1:$H$187,2,0),"")</f>
        <v>Coffe break</v>
      </c>
      <c r="E17" s="958" t="str">
        <f>IFERROR(VLOOKUP(C17,Price_list!$B$1:$H$187,3,0),"")</f>
        <v>unitate</v>
      </c>
      <c r="F17" s="946">
        <f>IFERROR(VLOOKUP(C17,Price_list!$B$1:$H$187,4,0),"")</f>
        <v>75</v>
      </c>
      <c r="G17" s="946" t="str">
        <f>IFERROR(VLOOKUP(C17,Price_list!$B$1:$H$187,5,0),"")</f>
        <v>MDL</v>
      </c>
      <c r="H17" s="958">
        <f t="shared" ca="1" si="0"/>
        <v>75</v>
      </c>
      <c r="I17" s="946">
        <v>2</v>
      </c>
      <c r="J17" s="1889">
        <f ca="1">I17*H17*F4*F5</f>
        <v>0</v>
      </c>
      <c r="M17" s="2120" t="s">
        <v>3601</v>
      </c>
      <c r="N17" s="2119" t="s">
        <v>3602</v>
      </c>
      <c r="O17" s="2119">
        <v>4</v>
      </c>
      <c r="P17" s="2119">
        <v>55</v>
      </c>
      <c r="Q17" s="2104">
        <f>P17*O17</f>
        <v>220</v>
      </c>
      <c r="R17" s="2104">
        <f>Q17*20</f>
        <v>4400</v>
      </c>
      <c r="S17" s="735">
        <f t="shared" ref="S17:S24" si="1">R17/O17</f>
        <v>1100</v>
      </c>
    </row>
    <row r="18" spans="3:19" ht="18">
      <c r="C18" s="1539" t="s">
        <v>3021</v>
      </c>
      <c r="D18" s="958" t="str">
        <f>IFERROR(VLOOKUP(C18,Price_list!$B$1:$H$187,2,0),"")</f>
        <v xml:space="preserve">Meal ( lunch) </v>
      </c>
      <c r="E18" s="958" t="str">
        <f>IFERROR(VLOOKUP(C18,Price_list!$B$1:$H$187,3,0),"")</f>
        <v>unitate</v>
      </c>
      <c r="F18" s="946">
        <f>IFERROR(VLOOKUP(C18,Price_list!$B$1:$H$187,4,0),"")</f>
        <v>220</v>
      </c>
      <c r="G18" s="946" t="str">
        <f>IFERROR(VLOOKUP(C18,Price_list!$B$1:$H$187,5,0),"")</f>
        <v>MDL</v>
      </c>
      <c r="H18" s="958">
        <f t="shared" ca="1" si="0"/>
        <v>220</v>
      </c>
      <c r="I18" s="946">
        <f>F5</f>
        <v>0</v>
      </c>
      <c r="J18" s="1889">
        <f ca="1">F4*I18*H18</f>
        <v>0</v>
      </c>
      <c r="M18" s="2120" t="s">
        <v>3603</v>
      </c>
      <c r="N18" s="2119" t="s">
        <v>3604</v>
      </c>
      <c r="O18" s="2119">
        <v>20</v>
      </c>
      <c r="P18" s="2119">
        <v>8</v>
      </c>
      <c r="Q18" s="2108">
        <f t="shared" ref="Q18:Q24" si="2">P18*O18</f>
        <v>160</v>
      </c>
      <c r="R18" s="2104">
        <f t="shared" ref="R18:R24" si="3">Q18*20</f>
        <v>3200</v>
      </c>
      <c r="S18" s="735">
        <f t="shared" si="1"/>
        <v>160</v>
      </c>
    </row>
    <row r="19" spans="3:19" ht="18">
      <c r="C19" s="1539" t="s">
        <v>3023</v>
      </c>
      <c r="D19" s="958" t="str">
        <f>IFERROR(VLOOKUP(C19,Price_list!$B$1:$H$187,2,0),"")</f>
        <v>Meal(dinner)</v>
      </c>
      <c r="E19" s="958" t="str">
        <f>IFERROR(VLOOKUP(C19,Price_list!$B$1:$H$187,3,0),"")</f>
        <v>unitate</v>
      </c>
      <c r="F19" s="946">
        <f>IFERROR(VLOOKUP(C19,Price_list!$B$1:$H$187,4,0),"")</f>
        <v>220</v>
      </c>
      <c r="G19" s="946" t="str">
        <f>IFERROR(VLOOKUP(C19,Price_list!$B$1:$H$187,5,0),"")</f>
        <v>MDL</v>
      </c>
      <c r="H19" s="958">
        <f t="shared" ca="1" si="0"/>
        <v>220</v>
      </c>
      <c r="I19" s="946">
        <f>F8</f>
        <v>-1</v>
      </c>
      <c r="J19" s="1889">
        <f ca="1">I19*H19*F6</f>
        <v>0</v>
      </c>
      <c r="M19" s="2120" t="s">
        <v>3605</v>
      </c>
      <c r="N19" s="2119" t="s">
        <v>3604</v>
      </c>
      <c r="O19" s="2119">
        <v>50</v>
      </c>
      <c r="P19" s="2119">
        <v>4</v>
      </c>
      <c r="Q19" s="2108">
        <f t="shared" si="2"/>
        <v>200</v>
      </c>
      <c r="R19" s="2104">
        <f t="shared" si="3"/>
        <v>4000</v>
      </c>
      <c r="S19" s="2123">
        <f t="shared" si="1"/>
        <v>80</v>
      </c>
    </row>
    <row r="20" spans="3:19" ht="18">
      <c r="C20" s="1539" t="s">
        <v>3024</v>
      </c>
      <c r="D20" s="958" t="str">
        <f>IFERROR(VLOOKUP(C20,Price_list!$B$1:$H$187,2,0),"")</f>
        <v xml:space="preserve">Accomodation </v>
      </c>
      <c r="E20" s="958" t="str">
        <f>IFERROR(VLOOKUP(C20,Price_list!$B$1:$H$187,3,0),"")</f>
        <v>cost/noapte</v>
      </c>
      <c r="F20" s="946">
        <f>IFERROR(VLOOKUP(C20,Price_list!$B$1:$H$187,4,0),"")</f>
        <v>750</v>
      </c>
      <c r="G20" s="946" t="str">
        <f>IFERROR(VLOOKUP(C20,Price_list!$B$1:$H$187,5,0),"")</f>
        <v>MDL</v>
      </c>
      <c r="H20" s="958">
        <f t="shared" ca="1" si="0"/>
        <v>750</v>
      </c>
      <c r="I20" s="946">
        <f>F8</f>
        <v>-1</v>
      </c>
      <c r="J20" s="1889">
        <f ca="1">I20*H20*F6</f>
        <v>0</v>
      </c>
      <c r="M20" s="2119" t="s">
        <v>3606</v>
      </c>
      <c r="N20" s="2119" t="s">
        <v>3604</v>
      </c>
      <c r="O20" s="2119">
        <v>25</v>
      </c>
      <c r="P20" s="2119">
        <v>9</v>
      </c>
      <c r="Q20" s="2108">
        <f t="shared" si="2"/>
        <v>225</v>
      </c>
      <c r="R20" s="2104">
        <f t="shared" si="3"/>
        <v>4500</v>
      </c>
      <c r="S20" s="2123">
        <f t="shared" si="1"/>
        <v>180</v>
      </c>
    </row>
    <row r="21" spans="3:19" ht="29">
      <c r="C21" s="1539" t="s">
        <v>3030</v>
      </c>
      <c r="D21" s="958" t="str">
        <f>IFERROR(VLOOKUP(C21,Price_list!$B$1:$H$187,2,0),"")</f>
        <v>Travel participants</v>
      </c>
      <c r="E21" s="958" t="str">
        <f>IFERROR(VLOOKUP(C21,Price_list!$B$1:$H$187,3,0),"")</f>
        <v>cost tichet o directie</v>
      </c>
      <c r="F21" s="946">
        <f>IFERROR(VLOOKUP(C21,Price_list!$B$1:$H$187,4,0),"")</f>
        <v>80</v>
      </c>
      <c r="G21" s="946" t="str">
        <f>IFERROR(VLOOKUP(C21,Price_list!$B$1:$H$187,5,0),"")</f>
        <v>MDL</v>
      </c>
      <c r="H21" s="958">
        <f t="shared" ca="1" si="0"/>
        <v>80</v>
      </c>
      <c r="I21" s="1040">
        <v>2</v>
      </c>
      <c r="J21" s="1889">
        <f ca="1">I21*F7*H21</f>
        <v>0</v>
      </c>
      <c r="M21" s="2121" t="s">
        <v>3607</v>
      </c>
      <c r="N21" s="2119" t="s">
        <v>3608</v>
      </c>
      <c r="O21" s="2119">
        <v>25</v>
      </c>
      <c r="P21" s="2119">
        <v>2</v>
      </c>
      <c r="Q21" s="2104">
        <f t="shared" si="2"/>
        <v>50</v>
      </c>
      <c r="R21" s="2104">
        <f t="shared" si="3"/>
        <v>1000</v>
      </c>
      <c r="S21" s="2123">
        <f t="shared" si="1"/>
        <v>40</v>
      </c>
    </row>
    <row r="22" spans="3:19" ht="18">
      <c r="C22" s="1539"/>
      <c r="D22" s="958" t="str">
        <f>IFERROR(VLOOKUP(C22,Price_list!$B$1:$H$187,2,0),"")</f>
        <v/>
      </c>
      <c r="E22" s="958"/>
      <c r="F22" s="946"/>
      <c r="G22" s="946"/>
      <c r="H22" s="958"/>
      <c r="I22" s="946"/>
      <c r="J22" s="1889"/>
      <c r="M22" s="2122" t="s">
        <v>3609</v>
      </c>
      <c r="N22" s="2119" t="s">
        <v>3610</v>
      </c>
      <c r="O22" s="2119">
        <v>1</v>
      </c>
      <c r="P22" s="2119">
        <v>40</v>
      </c>
      <c r="Q22" s="2104">
        <f t="shared" si="2"/>
        <v>40</v>
      </c>
      <c r="R22" s="2104">
        <f t="shared" si="3"/>
        <v>800</v>
      </c>
      <c r="S22" s="2123">
        <f t="shared" si="1"/>
        <v>800</v>
      </c>
    </row>
    <row r="23" spans="3:19" ht="29">
      <c r="C23" s="1539" t="s">
        <v>3025</v>
      </c>
      <c r="D23" s="958" t="str">
        <f>IFERROR(VLOOKUP(C23,Price_list!$B$1:$H$187,2,0),"")</f>
        <v>Supplies</v>
      </c>
      <c r="E23" s="958" t="str">
        <f>IFERROR(VLOOKUP(C23,Price_list!$B$1:$H$187,3,0),"")</f>
        <v>set/participant</v>
      </c>
      <c r="F23" s="946">
        <f>IFERROR(VLOOKUP(C23,Price_list!$B$1:$H$187,4,0),"")</f>
        <v>140</v>
      </c>
      <c r="G23" s="946" t="str">
        <f>IFERROR(VLOOKUP(C23,Price_list!$B$1:$H$187,5,0),"")</f>
        <v>MDL</v>
      </c>
      <c r="H23" s="958">
        <f t="shared" ca="1" si="0"/>
        <v>140</v>
      </c>
      <c r="I23" s="946">
        <v>1</v>
      </c>
      <c r="J23" s="1889">
        <f ca="1">I23*H23*F4</f>
        <v>0</v>
      </c>
      <c r="M23" s="2121" t="s">
        <v>3611</v>
      </c>
      <c r="N23" s="2119" t="s">
        <v>3612</v>
      </c>
      <c r="O23" s="2119">
        <v>60</v>
      </c>
      <c r="P23" s="2119">
        <v>0.3</v>
      </c>
      <c r="Q23" s="2104">
        <f t="shared" si="2"/>
        <v>18</v>
      </c>
      <c r="R23" s="2104">
        <f t="shared" si="3"/>
        <v>360</v>
      </c>
      <c r="S23" s="735">
        <f t="shared" si="1"/>
        <v>6</v>
      </c>
    </row>
    <row r="24" spans="3:19" ht="18">
      <c r="C24" s="1539" t="s">
        <v>3022</v>
      </c>
      <c r="D24" s="958" t="str">
        <f>IFERROR(VLOOKUP(C24,Price_list!$B$1:$H$187,2,0),"")</f>
        <v>Rent of premises</v>
      </c>
      <c r="E24" s="958" t="str">
        <f>IFERROR(VLOOKUP(C24,Price_list!$B$1:$H$187,3,0),"")</f>
        <v>cost/zi</v>
      </c>
      <c r="F24" s="946">
        <f>IFERROR(VLOOKUP(C24,Price_list!$B$1:$H$187,4,0),"")</f>
        <v>1800</v>
      </c>
      <c r="G24" s="946" t="str">
        <f>IFERROR(VLOOKUP(C24,Price_list!$B$1:$H$187,5,0),"")</f>
        <v>MDL</v>
      </c>
      <c r="H24" s="958">
        <f t="shared" ca="1" si="0"/>
        <v>1800</v>
      </c>
      <c r="I24" s="946">
        <f>F5</f>
        <v>0</v>
      </c>
      <c r="J24" s="1889">
        <f ca="1">I24*H24</f>
        <v>0</v>
      </c>
      <c r="M24" s="2121" t="s">
        <v>3613</v>
      </c>
      <c r="N24" s="2119"/>
      <c r="O24" s="2119">
        <v>5</v>
      </c>
      <c r="P24" s="2119">
        <v>9</v>
      </c>
      <c r="Q24" s="2104">
        <f t="shared" si="2"/>
        <v>45</v>
      </c>
      <c r="R24" s="2104">
        <f t="shared" si="3"/>
        <v>900</v>
      </c>
      <c r="S24" s="735">
        <f t="shared" si="1"/>
        <v>180</v>
      </c>
    </row>
    <row r="25" spans="3:19" ht="18">
      <c r="C25" s="1539" t="s">
        <v>3031</v>
      </c>
      <c r="D25" s="958" t="str">
        <f>IFERROR(VLOOKUP(C25,Price_list!$B$1:$H$187,2,0),"")</f>
        <v>Interpreter's fee, per day</v>
      </c>
      <c r="E25" s="958" t="str">
        <f>IFERROR(VLOOKUP(C25,Price_list!$B$1:$H$187,3,0),"")</f>
        <v>cost/zi</v>
      </c>
      <c r="F25" s="946">
        <f>IFERROR(VLOOKUP(C25,Price_list!$B$1:$H$187,4,0),"")</f>
        <v>2000</v>
      </c>
      <c r="G25" s="946" t="str">
        <f>IFERROR(VLOOKUP(C25,Price_list!$B$1:$H$187,5,0),"")</f>
        <v>MDL</v>
      </c>
      <c r="H25" s="958">
        <f t="shared" ca="1" si="0"/>
        <v>2000</v>
      </c>
      <c r="I25" s="946">
        <f>IF(F2&gt;0,F5,0)</f>
        <v>0</v>
      </c>
      <c r="J25" s="1889">
        <f ca="1">I25*H25</f>
        <v>0</v>
      </c>
      <c r="M25" s="2686" t="s">
        <v>3614</v>
      </c>
      <c r="N25" s="2686"/>
      <c r="O25" s="2686"/>
      <c r="P25" s="2686"/>
      <c r="Q25" s="2106">
        <f>Q17+Q18+Q19+Q20+Q21+Q22+Q23+Q24</f>
        <v>958</v>
      </c>
      <c r="R25" s="2107">
        <f>Q25*20</f>
        <v>19160</v>
      </c>
    </row>
    <row r="26" spans="3:19">
      <c r="C26" s="1539"/>
      <c r="D26" s="958" t="str">
        <f>IFERROR(VLOOKUP(C26,Price_list!$B$1:$H$187,2,0),"")</f>
        <v/>
      </c>
      <c r="E26" s="958" t="str">
        <f>IFERROR(VLOOKUP(C26,Price_list!$B$1:$H$187,3,0),"")</f>
        <v/>
      </c>
      <c r="F26" s="946" t="str">
        <f>IFERROR(VLOOKUP(C26,Price_list!$B$1:$H$187,4,0),"")</f>
        <v/>
      </c>
      <c r="G26" s="946" t="str">
        <f>IFERROR(VLOOKUP(C26,Price_list!$B$1:$H$187,5,0),"")</f>
        <v/>
      </c>
      <c r="H26" s="958">
        <f t="shared" ca="1" si="0"/>
        <v>0</v>
      </c>
      <c r="I26" s="946" t="str">
        <f>IFERROR(VLOOKUP(S26,C17:E21,3,0),"")</f>
        <v/>
      </c>
      <c r="J26" s="1889" t="str">
        <f>IFERROR(#REF!*I26*F26,"")</f>
        <v/>
      </c>
    </row>
    <row r="27" spans="3:19">
      <c r="C27" s="1539"/>
      <c r="D27" s="958" t="str">
        <f>IFERROR(VLOOKUP(C27,Price_list!$B$1:$H$187,2,0),"")</f>
        <v/>
      </c>
      <c r="E27" s="958" t="str">
        <f>IFERROR(VLOOKUP(C27,Price_list!$B$1:$H$187,3,0),"")</f>
        <v/>
      </c>
      <c r="F27" s="946" t="str">
        <f>IFERROR(VLOOKUP(C27,Price_list!$B$1:$H$187,4,0),"")</f>
        <v/>
      </c>
      <c r="G27" s="946" t="str">
        <f>IFERROR(VLOOKUP(C27,Price_list!$B$1:$H$187,5,0),"")</f>
        <v/>
      </c>
      <c r="H27" s="958">
        <f t="shared" ca="1" si="0"/>
        <v>0</v>
      </c>
      <c r="I27" s="946" t="str">
        <f>IFERROR(VLOOKUP(S27,C18:E23,3,0),"")</f>
        <v/>
      </c>
      <c r="J27" s="1889" t="str">
        <f>IFERROR(#REF!*I27*F27,"")</f>
        <v/>
      </c>
    </row>
    <row r="28" spans="3:19">
      <c r="C28" s="1539"/>
      <c r="D28" s="958" t="str">
        <f>IFERROR(VLOOKUP(C28,Price_list!$B$1:$H$187,2,0),"")</f>
        <v/>
      </c>
      <c r="E28" s="958" t="str">
        <f>IFERROR(VLOOKUP(C28,Price_list!$B$1:$H$187,3,0),"")</f>
        <v/>
      </c>
      <c r="F28" s="946" t="str">
        <f>IFERROR(VLOOKUP(C28,Price_list!$B$1:$H$187,4,0),"")</f>
        <v/>
      </c>
      <c r="G28" s="946" t="str">
        <f>IFERROR(VLOOKUP(C28,Price_list!$B$1:$H$187,5,0),"")</f>
        <v/>
      </c>
      <c r="H28" s="958">
        <f t="shared" ca="1" si="0"/>
        <v>0</v>
      </c>
      <c r="I28" s="946" t="str">
        <f>IFERROR(VLOOKUP(S28,C19:E24,3,0),"")</f>
        <v/>
      </c>
      <c r="J28" s="1889" t="str">
        <f>IFERROR(#REF!*I28*F28,"")</f>
        <v/>
      </c>
    </row>
    <row r="29" spans="3:19" ht="16" thickBot="1">
      <c r="C29" s="1697"/>
      <c r="D29" s="1698" t="str">
        <f>IFERROR(VLOOKUP(C29,Price_list!$B$1:$H$187,2,0),"")</f>
        <v/>
      </c>
      <c r="E29" s="1698" t="str">
        <f>IFERROR(VLOOKUP(C29,Price_list!$B$1:$H$187,3,0),"")</f>
        <v/>
      </c>
      <c r="F29" s="1034" t="str">
        <f>IFERROR(VLOOKUP(C29,Price_list!$B$1:$H$187,4,0),"")</f>
        <v/>
      </c>
      <c r="G29" s="1034" t="str">
        <f>IFERROR(VLOOKUP(C29,Price_list!$B$1:$H$187,5,0),"")</f>
        <v/>
      </c>
      <c r="H29" s="1698"/>
      <c r="I29" s="1034" t="str">
        <f>IFERROR(VLOOKUP(S29,C20:E25,3,0),"")</f>
        <v/>
      </c>
      <c r="J29" s="1703">
        <f ca="1">SUM(J11:J28)</f>
        <v>0</v>
      </c>
    </row>
    <row r="30" spans="3:19">
      <c r="C30" s="1771" t="s">
        <v>3037</v>
      </c>
      <c r="D30" s="1742" t="s">
        <v>3006</v>
      </c>
      <c r="E30" s="1743"/>
      <c r="F30" s="1772">
        <v>7.0000000000000007E-2</v>
      </c>
      <c r="G30" s="1773"/>
      <c r="H30" s="1773"/>
      <c r="I30" s="1773"/>
      <c r="J30" s="1774">
        <f ca="1">ROUND(J29*F30,2)</f>
        <v>0</v>
      </c>
    </row>
    <row r="31" spans="3:19" ht="16" thickBot="1">
      <c r="C31" s="1049"/>
      <c r="D31" s="960"/>
      <c r="E31" s="960"/>
      <c r="F31" s="960"/>
      <c r="G31" s="960"/>
      <c r="H31" s="960"/>
      <c r="I31" s="960"/>
      <c r="J31" s="62"/>
    </row>
    <row r="32" spans="3:19" ht="16" thickBot="1">
      <c r="C32" s="1704" t="s">
        <v>3038</v>
      </c>
      <c r="D32" s="1761"/>
      <c r="E32" s="1761"/>
      <c r="F32" s="1761"/>
      <c r="G32" s="1761"/>
      <c r="H32" s="1761"/>
      <c r="I32" s="1761"/>
      <c r="J32" s="1706">
        <f ca="1">J30+J29</f>
        <v>0</v>
      </c>
    </row>
    <row r="33" spans="3:10">
      <c r="C33" s="1049"/>
      <c r="D33" s="960"/>
      <c r="E33" s="960"/>
      <c r="F33" s="960"/>
      <c r="G33" s="960"/>
      <c r="H33" s="960"/>
      <c r="I33" s="960"/>
      <c r="J33" s="62"/>
    </row>
    <row r="34" spans="3:10" ht="16" thickBot="1">
      <c r="C34" s="1049"/>
      <c r="D34" s="960"/>
      <c r="E34" s="960"/>
      <c r="F34" s="960"/>
      <c r="G34" s="960"/>
      <c r="H34" s="960"/>
      <c r="I34" s="960"/>
      <c r="J34" s="62"/>
    </row>
    <row r="35" spans="3:10" ht="16" thickBot="1">
      <c r="C35" s="1049" t="s">
        <v>2171</v>
      </c>
      <c r="D35" s="960"/>
      <c r="E35" s="960"/>
      <c r="F35" s="1500">
        <v>2021</v>
      </c>
      <c r="G35" s="1762">
        <v>2022</v>
      </c>
      <c r="H35" s="1762">
        <v>2023</v>
      </c>
      <c r="I35" s="1762">
        <v>2024</v>
      </c>
      <c r="J35" s="1763">
        <v>2025</v>
      </c>
    </row>
    <row r="36" spans="3:10" ht="16" thickBot="1">
      <c r="C36" s="1764" t="s">
        <v>3043</v>
      </c>
      <c r="D36" s="1504"/>
      <c r="E36" s="1504"/>
      <c r="F36" s="1713">
        <v>1</v>
      </c>
      <c r="G36" s="1713">
        <v>1</v>
      </c>
      <c r="H36" s="1713">
        <v>1</v>
      </c>
      <c r="I36" s="1713">
        <v>0</v>
      </c>
      <c r="J36" s="1765">
        <v>0</v>
      </c>
    </row>
    <row r="37" spans="3:10" ht="16" thickBot="1">
      <c r="C37" s="1710" t="s">
        <v>3044</v>
      </c>
      <c r="D37" s="1732"/>
      <c r="E37" s="1708"/>
      <c r="F37" s="1495">
        <f ca="1">J32*F36</f>
        <v>0</v>
      </c>
      <c r="G37" s="1495">
        <f ca="1">J32*G36</f>
        <v>0</v>
      </c>
      <c r="H37" s="1495">
        <f ca="1">J32*H36</f>
        <v>0</v>
      </c>
      <c r="I37" s="1495">
        <f ca="1">J32*I36</f>
        <v>0</v>
      </c>
      <c r="J37" s="1495">
        <f ca="1">J32*J36</f>
        <v>0</v>
      </c>
    </row>
    <row r="41" spans="3:10" ht="16" thickBot="1"/>
    <row r="42" spans="3:10" ht="48">
      <c r="C42" s="1758" t="s">
        <v>2155</v>
      </c>
      <c r="D42" s="966"/>
      <c r="E42" s="966"/>
      <c r="F42" s="966"/>
      <c r="G42" s="1759" t="s">
        <v>3060</v>
      </c>
      <c r="H42" s="966"/>
      <c r="I42" s="966"/>
      <c r="J42" s="967"/>
    </row>
    <row r="43" spans="3:10" ht="32">
      <c r="C43" s="1760" t="s">
        <v>3054</v>
      </c>
      <c r="D43" s="1749"/>
      <c r="E43" s="1565"/>
      <c r="F43" s="1750"/>
      <c r="G43" s="1383"/>
      <c r="H43" s="960"/>
      <c r="I43" s="960"/>
      <c r="J43" s="62"/>
    </row>
    <row r="44" spans="3:10" ht="32">
      <c r="C44" s="1760" t="s">
        <v>3055</v>
      </c>
      <c r="D44" s="1749"/>
      <c r="E44" s="1565"/>
      <c r="F44" s="1750"/>
      <c r="G44" s="1383"/>
      <c r="H44" s="960"/>
      <c r="I44" s="960"/>
      <c r="J44" s="62"/>
    </row>
    <row r="45" spans="3:10">
      <c r="C45" s="1049"/>
      <c r="D45" s="960"/>
      <c r="E45" s="960"/>
      <c r="F45" s="960"/>
      <c r="G45" s="960"/>
      <c r="H45" s="960"/>
      <c r="I45" s="960"/>
      <c r="J45" s="62"/>
    </row>
    <row r="46" spans="3:10">
      <c r="C46" s="1049" t="s">
        <v>3059</v>
      </c>
      <c r="D46" s="960"/>
      <c r="E46" s="960"/>
      <c r="F46" s="960"/>
      <c r="G46" s="960"/>
      <c r="H46" s="960"/>
      <c r="I46" s="960"/>
      <c r="J46" s="62"/>
    </row>
    <row r="47" spans="3:10" ht="32">
      <c r="C47" s="1760" t="s">
        <v>3061</v>
      </c>
      <c r="D47" s="1749"/>
      <c r="E47" s="1565"/>
      <c r="F47" s="1750">
        <v>10</v>
      </c>
      <c r="G47" s="1383"/>
      <c r="H47" s="960"/>
      <c r="I47" s="960"/>
      <c r="J47" s="62"/>
    </row>
    <row r="48" spans="3:10" ht="32">
      <c r="C48" s="1760" t="s">
        <v>3062</v>
      </c>
      <c r="D48" s="1749"/>
      <c r="E48" s="1565"/>
      <c r="F48" s="1750">
        <v>50</v>
      </c>
      <c r="G48" s="1383"/>
      <c r="H48" s="960"/>
      <c r="I48" s="960"/>
      <c r="J48" s="62"/>
    </row>
    <row r="49" spans="3:10">
      <c r="C49" s="1049"/>
      <c r="D49" s="960"/>
      <c r="E49" s="960"/>
      <c r="F49" s="960"/>
      <c r="G49" s="960"/>
      <c r="H49" s="960"/>
      <c r="I49" s="960"/>
      <c r="J49" s="62"/>
    </row>
    <row r="50" spans="3:10">
      <c r="C50" s="1049"/>
      <c r="D50" s="960"/>
      <c r="E50" s="960"/>
      <c r="F50" s="960"/>
      <c r="G50" s="960"/>
      <c r="H50" s="960"/>
      <c r="I50" s="960"/>
      <c r="J50" s="62"/>
    </row>
    <row r="51" spans="3:10" ht="16" thickBot="1">
      <c r="C51" s="1049" t="s">
        <v>3058</v>
      </c>
      <c r="D51" s="960"/>
      <c r="E51" s="960"/>
      <c r="F51" s="960"/>
      <c r="G51" s="960"/>
      <c r="H51" s="960"/>
      <c r="I51" s="960"/>
      <c r="J51" s="62"/>
    </row>
    <row r="52" spans="3:10" ht="32">
      <c r="C52" s="1699" t="s">
        <v>3033</v>
      </c>
      <c r="D52" s="1700" t="s">
        <v>3034</v>
      </c>
      <c r="E52" s="1702" t="s">
        <v>3040</v>
      </c>
      <c r="F52" s="1702" t="s">
        <v>3041</v>
      </c>
      <c r="G52" s="1702" t="s">
        <v>3042</v>
      </c>
      <c r="H52" s="1700" t="s">
        <v>3035</v>
      </c>
      <c r="I52" s="1702" t="s">
        <v>3067</v>
      </c>
      <c r="J52" s="1701" t="s">
        <v>2189</v>
      </c>
    </row>
    <row r="53" spans="3:10">
      <c r="C53" s="1539" t="s">
        <v>3051</v>
      </c>
      <c r="D53" s="958" t="str">
        <f>IFERROR(VLOOKUP(C53,Price_list!$B$1:$H$187,2,0),"")</f>
        <v>International Consultancy fee (3.1)</v>
      </c>
      <c r="E53" s="958" t="str">
        <f>IFERROR(VLOOKUP(C53,Price_list!$B$1:$H$187,3,0),"")</f>
        <v>cost/zi</v>
      </c>
      <c r="F53" s="946">
        <f>IFERROR(VLOOKUP(C53,Price_list!$B$1:$H$187,4,0),"")</f>
        <v>350</v>
      </c>
      <c r="G53" s="946" t="str">
        <f>IFERROR(VLOOKUP(C53,Price_list!$B$1:$H$187,5,0),"")</f>
        <v>EUR</v>
      </c>
      <c r="H53" s="958">
        <f t="shared" ref="H53:H59" ca="1" si="4">ROUND(IFERROR(IF(G53="MDL",F53,F53*INDIRECT(G53)),0),2)</f>
        <v>6868.65</v>
      </c>
      <c r="I53" s="946">
        <f>F43*G43</f>
        <v>0</v>
      </c>
      <c r="J53" s="1390">
        <f ca="1">I53*H53</f>
        <v>0</v>
      </c>
    </row>
    <row r="54" spans="3:10">
      <c r="C54" s="1539" t="s">
        <v>3050</v>
      </c>
      <c r="D54" s="958" t="str">
        <f>IFERROR(VLOOKUP(C54,Price_list!$B$1:$H$187,2,0),"")</f>
        <v>National Consultancy fee (3.1)</v>
      </c>
      <c r="E54" s="958" t="str">
        <f>IFERROR(VLOOKUP(C54,Price_list!$B$1:$H$187,3,0),"")</f>
        <v>cost/zi</v>
      </c>
      <c r="F54" s="946">
        <f>IFERROR(VLOOKUP(C54,Price_list!$B$1:$H$187,4,0),"")</f>
        <v>2000</v>
      </c>
      <c r="G54" s="946" t="str">
        <f>IFERROR(VLOOKUP(C54,Price_list!$B$1:$H$187,5,0),"")</f>
        <v>MDL</v>
      </c>
      <c r="H54" s="958">
        <f t="shared" ca="1" si="4"/>
        <v>2000</v>
      </c>
      <c r="I54" s="946">
        <f>F44*G44</f>
        <v>0</v>
      </c>
      <c r="J54" s="1390">
        <f ca="1">I54*H54</f>
        <v>0</v>
      </c>
    </row>
    <row r="55" spans="3:10">
      <c r="C55" s="1539" t="s">
        <v>3063</v>
      </c>
      <c r="D55" s="958" t="str">
        <f>IFERROR(VLOOKUP(C55,Price_list!$B$1:$H$187,2,0),"")</f>
        <v>Translation per page</v>
      </c>
      <c r="E55" s="958" t="str">
        <f>IFERROR(VLOOKUP(C55,Price_list!$B$1:$H$187,3,0),"")</f>
        <v>pagina</v>
      </c>
      <c r="F55" s="946">
        <f>IFERROR(VLOOKUP(C55,Price_list!$B$1:$H$187,4,0),"")</f>
        <v>150</v>
      </c>
      <c r="G55" s="946" t="str">
        <f>IFERROR(VLOOKUP(C55,Price_list!$B$1:$H$187,5,0),"")</f>
        <v>MDL</v>
      </c>
      <c r="H55" s="958">
        <f t="shared" ca="1" si="4"/>
        <v>150</v>
      </c>
      <c r="I55" s="946">
        <f>F47</f>
        <v>10</v>
      </c>
      <c r="J55" s="1390">
        <f t="shared" ref="J55:J58" ca="1" si="5">I55*H55</f>
        <v>1500</v>
      </c>
    </row>
    <row r="56" spans="3:10">
      <c r="C56" s="1539" t="s">
        <v>3068</v>
      </c>
      <c r="D56" s="958" t="str">
        <f>IFERROR(VLOOKUP(C56,Price_list!$B$1:$H$187,2,0),"")</f>
        <v xml:space="preserve">Formatting, design, printing </v>
      </c>
      <c r="E56" s="958" t="str">
        <f>IFERROR(VLOOKUP(C56,Price_list!$B$1:$H$187,3,0),"")</f>
        <v>pagina</v>
      </c>
      <c r="F56" s="946">
        <f>IFERROR(VLOOKUP(C56,Price_list!$B$1:$H$187,4,0),"")</f>
        <v>2</v>
      </c>
      <c r="G56" s="946" t="str">
        <f>IFERROR(VLOOKUP(C56,Price_list!$B$1:$H$187,5,0),"")</f>
        <v>MDL</v>
      </c>
      <c r="H56" s="958">
        <f t="shared" ca="1" si="4"/>
        <v>2</v>
      </c>
      <c r="I56" s="946">
        <f>F47*F48</f>
        <v>500</v>
      </c>
      <c r="J56" s="1390">
        <f t="shared" ca="1" si="5"/>
        <v>1000</v>
      </c>
    </row>
    <row r="57" spans="3:10">
      <c r="C57" s="1539"/>
      <c r="D57" s="958" t="str">
        <f>IFERROR(VLOOKUP(C57,Price_list!$B$1:$H$187,2,0),"")</f>
        <v/>
      </c>
      <c r="E57" s="958" t="str">
        <f>IFERROR(VLOOKUP(C57,Price_list!$B$1:$H$187,3,0),"")</f>
        <v/>
      </c>
      <c r="F57" s="946" t="str">
        <f>IFERROR(VLOOKUP(C57,Price_list!$B$1:$H$187,4,0),"")</f>
        <v/>
      </c>
      <c r="G57" s="946" t="str">
        <f>IFERROR(VLOOKUP(C57,Price_list!$B$1:$H$187,5,0),"")</f>
        <v/>
      </c>
      <c r="H57" s="958">
        <f t="shared" ca="1" si="4"/>
        <v>0</v>
      </c>
      <c r="I57" s="946"/>
      <c r="J57" s="1390">
        <f t="shared" ca="1" si="5"/>
        <v>0</v>
      </c>
    </row>
    <row r="58" spans="3:10">
      <c r="C58" s="1539"/>
      <c r="D58" s="958" t="str">
        <f>IFERROR(VLOOKUP(C58,Price_list!$B$1:$H$187,2,0),"")</f>
        <v/>
      </c>
      <c r="E58" s="958" t="str">
        <f>IFERROR(VLOOKUP(C58,Price_list!$B$1:$H$187,3,0),"")</f>
        <v/>
      </c>
      <c r="F58" s="946" t="str">
        <f>IFERROR(VLOOKUP(C58,Price_list!$B$1:$H$187,4,0),"")</f>
        <v/>
      </c>
      <c r="G58" s="946" t="str">
        <f>IFERROR(VLOOKUP(C58,Price_list!$B$1:$H$187,5,0),"")</f>
        <v/>
      </c>
      <c r="H58" s="958">
        <f t="shared" ca="1" si="4"/>
        <v>0</v>
      </c>
      <c r="I58" s="946"/>
      <c r="J58" s="1390">
        <f t="shared" ca="1" si="5"/>
        <v>0</v>
      </c>
    </row>
    <row r="59" spans="3:10" ht="16" thickBot="1">
      <c r="C59" s="1539"/>
      <c r="D59" s="958" t="str">
        <f>IFERROR(VLOOKUP(C59,Price_list!$B$1:$H$187,2,0),"")</f>
        <v/>
      </c>
      <c r="E59" s="958" t="str">
        <f>IFERROR(VLOOKUP(C59,Price_list!$B$1:$H$187,3,0),"")</f>
        <v/>
      </c>
      <c r="F59" s="946" t="str">
        <f>IFERROR(VLOOKUP(C59,Price_list!$B$1:$H$187,4,0),"")</f>
        <v/>
      </c>
      <c r="G59" s="946" t="str">
        <f>IFERROR(VLOOKUP(C59,Price_list!$B$1:$H$187,5,0),"")</f>
        <v/>
      </c>
      <c r="H59" s="958">
        <f t="shared" ca="1" si="4"/>
        <v>0</v>
      </c>
      <c r="I59" s="946"/>
      <c r="J59" s="1390">
        <f ca="1">I59*H59</f>
        <v>0</v>
      </c>
    </row>
    <row r="60" spans="3:10" ht="16" thickBot="1">
      <c r="C60" s="1704"/>
      <c r="D60" s="1761"/>
      <c r="E60" s="1761"/>
      <c r="F60" s="1761"/>
      <c r="G60" s="1761"/>
      <c r="H60" s="1761"/>
      <c r="I60" s="1761"/>
      <c r="J60" s="1706">
        <f ca="1">SUM(J53:J59)</f>
        <v>2500</v>
      </c>
    </row>
    <row r="61" spans="3:10">
      <c r="C61" s="1049"/>
      <c r="D61" s="960"/>
      <c r="E61" s="960"/>
      <c r="F61" s="960"/>
      <c r="G61" s="960"/>
      <c r="H61" s="960"/>
      <c r="I61" s="960"/>
      <c r="J61" s="62"/>
    </row>
    <row r="62" spans="3:10" ht="16" thickBot="1">
      <c r="C62" s="1049"/>
      <c r="D62" s="960"/>
      <c r="E62" s="960"/>
      <c r="F62" s="960"/>
      <c r="G62" s="960"/>
      <c r="H62" s="960"/>
      <c r="I62" s="960"/>
      <c r="J62" s="62"/>
    </row>
    <row r="63" spans="3:10" ht="16" thickBot="1">
      <c r="C63" s="1049" t="s">
        <v>2171</v>
      </c>
      <c r="D63" s="960"/>
      <c r="E63" s="960"/>
      <c r="F63" s="1500">
        <v>2021</v>
      </c>
      <c r="G63" s="1762">
        <v>2022</v>
      </c>
      <c r="H63" s="1762">
        <v>2023</v>
      </c>
      <c r="I63" s="1762">
        <v>2024</v>
      </c>
      <c r="J63" s="1763">
        <v>2025</v>
      </c>
    </row>
    <row r="64" spans="3:10" ht="16" thickBot="1">
      <c r="C64" s="1764"/>
      <c r="D64" s="1504"/>
      <c r="E64" s="1504"/>
      <c r="F64" s="1713">
        <v>1</v>
      </c>
      <c r="G64" s="1713">
        <v>0</v>
      </c>
      <c r="H64" s="1713">
        <v>0</v>
      </c>
      <c r="I64" s="1713">
        <v>0</v>
      </c>
      <c r="J64" s="1765">
        <v>0</v>
      </c>
    </row>
    <row r="65" spans="3:10" ht="16" thickBot="1">
      <c r="C65" s="1710" t="s">
        <v>3044</v>
      </c>
      <c r="D65" s="1732"/>
      <c r="E65" s="1708"/>
      <c r="F65" s="1495">
        <f ca="1">J60*F64</f>
        <v>2500</v>
      </c>
      <c r="G65" s="1495">
        <f ca="1">J60*G64</f>
        <v>0</v>
      </c>
      <c r="H65" s="1495">
        <f ca="1">J60*H64</f>
        <v>0</v>
      </c>
      <c r="I65" s="1495">
        <f ca="1">J60*I64</f>
        <v>0</v>
      </c>
      <c r="J65" s="1495">
        <f ca="1">J60*J64</f>
        <v>0</v>
      </c>
    </row>
  </sheetData>
  <mergeCells count="1">
    <mergeCell ref="M25:P25"/>
  </mergeCells>
  <conditionalFormatting sqref="G10">
    <cfRule type="containsText" dxfId="183" priority="1" operator="containsText" text="USD">
      <formula>NOT(ISERROR(SEARCH("USD",G10)))</formula>
    </cfRule>
    <cfRule type="containsText" dxfId="182" priority="2" operator="containsText" text="EUR">
      <formula>NOT(ISERROR(SEARCH("EUR",G10)))</formula>
    </cfRule>
  </conditionalFormatting>
  <dataValidations count="1">
    <dataValidation type="list" allowBlank="1" showInputMessage="1" showErrorMessage="1" sqref="C53:C59 C11:C29" xr:uid="{00000000-0002-0000-1800-000000000000}">
      <formula1>Denumire_produs_ro</formula1>
    </dataValidation>
  </dataValidations>
  <pageMargins left="0.7" right="0.7" top="0.75" bottom="0.75" header="0.3" footer="0.3"/>
</worksheet>
</file>

<file path=xl/worksheets/sheet2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P473"/>
  <sheetViews>
    <sheetView topLeftCell="K79" zoomScale="85" zoomScaleNormal="85" workbookViewId="0">
      <selection activeCell="M108" sqref="M108:U125"/>
    </sheetView>
  </sheetViews>
  <sheetFormatPr baseColWidth="10" defaultColWidth="8.83203125" defaultRowHeight="15" outlineLevelCol="1"/>
  <cols>
    <col min="1" max="1" width="16" style="960" hidden="1" customWidth="1" outlineLevel="1"/>
    <col min="2" max="6" width="12.6640625" style="960" hidden="1" customWidth="1" outlineLevel="1"/>
    <col min="7" max="7" width="23.5" style="960" hidden="1" customWidth="1" outlineLevel="1"/>
    <col min="8" max="8" width="82.5" style="960" hidden="1" customWidth="1" outlineLevel="1"/>
    <col min="9" max="9" width="13.6640625" style="960" hidden="1" customWidth="1" outlineLevel="1"/>
    <col min="10" max="10" width="58.83203125" style="960" hidden="1" customWidth="1" outlineLevel="1"/>
    <col min="11" max="11" width="2.33203125" bestFit="1" customWidth="1" collapsed="1"/>
    <col min="12" max="12" width="22.5" customWidth="1"/>
    <col min="13" max="13" width="32.5" customWidth="1"/>
    <col min="14" max="14" width="33.5" customWidth="1"/>
    <col min="15" max="15" width="30.33203125" customWidth="1"/>
    <col min="16" max="16" width="32.5" customWidth="1"/>
    <col min="17" max="17" width="31.83203125" bestFit="1" customWidth="1"/>
    <col min="18" max="18" width="15.33203125" bestFit="1" customWidth="1"/>
    <col min="19" max="19" width="11.5" bestFit="1" customWidth="1"/>
    <col min="20" max="20" width="23" customWidth="1"/>
    <col min="21" max="21" width="27.83203125" customWidth="1"/>
    <col min="22" max="29" width="16.6640625" customWidth="1"/>
    <col min="30" max="32" width="16.6640625" style="1808" customWidth="1"/>
    <col min="33" max="34" width="12.6640625" style="1808" bestFit="1" customWidth="1"/>
    <col min="35" max="37" width="9.1640625" style="1808"/>
    <col min="42" max="42" width="2.6640625" bestFit="1" customWidth="1"/>
  </cols>
  <sheetData>
    <row r="1" spans="1:42">
      <c r="A1" s="2157" t="s">
        <v>345</v>
      </c>
      <c r="B1" s="859">
        <v>2021</v>
      </c>
      <c r="C1" s="859">
        <v>2022</v>
      </c>
      <c r="D1" s="859">
        <v>2023</v>
      </c>
      <c r="E1" s="859">
        <v>2024</v>
      </c>
      <c r="F1" s="859">
        <v>2025</v>
      </c>
      <c r="G1" s="859" t="s">
        <v>484</v>
      </c>
      <c r="H1" s="859" t="s">
        <v>515</v>
      </c>
      <c r="I1" s="859" t="s">
        <v>1834</v>
      </c>
      <c r="J1" s="859"/>
      <c r="K1" s="712" t="s">
        <v>238</v>
      </c>
      <c r="L1" s="1532">
        <f ca="1">SUM(B:F)-B1-C1-D1-E1-F1</f>
        <v>65794984.585000008</v>
      </c>
      <c r="M1" s="836">
        <f>SUM(AQ:AQ)</f>
        <v>0</v>
      </c>
      <c r="N1" s="1808"/>
      <c r="O1" s="1836" t="s">
        <v>356</v>
      </c>
      <c r="P1" s="2159">
        <f>MAX(Buget_detaliat!B7:B604)</f>
        <v>247</v>
      </c>
    </row>
    <row r="2" spans="1:42">
      <c r="K2" s="712" t="s">
        <v>238</v>
      </c>
    </row>
    <row r="3" spans="1:42">
      <c r="K3" s="712" t="s">
        <v>238</v>
      </c>
    </row>
    <row r="4" spans="1:42">
      <c r="K4" s="712" t="s">
        <v>238</v>
      </c>
    </row>
    <row r="5" spans="1:42">
      <c r="K5" s="712" t="s">
        <v>238</v>
      </c>
      <c r="AP5" s="712" t="s">
        <v>238</v>
      </c>
    </row>
    <row r="6" spans="1:42" ht="21">
      <c r="K6" s="712" t="s">
        <v>238</v>
      </c>
      <c r="L6" s="2385" t="s">
        <v>3879</v>
      </c>
      <c r="M6" s="2182"/>
      <c r="N6" s="2182"/>
      <c r="O6" s="2182"/>
      <c r="P6" s="2182"/>
      <c r="Q6" s="2182"/>
      <c r="R6" s="2182"/>
      <c r="S6" s="2182"/>
      <c r="T6" s="2182"/>
      <c r="U6" s="2182"/>
      <c r="V6" s="2182"/>
      <c r="W6" s="2182"/>
      <c r="X6" s="2182"/>
      <c r="Y6" s="2182"/>
      <c r="Z6" s="2182"/>
      <c r="AA6" s="2182"/>
      <c r="AB6" s="2182"/>
      <c r="AC6" s="2182"/>
      <c r="AD6" s="2182"/>
      <c r="AE6" s="2182"/>
      <c r="AF6" s="2182"/>
      <c r="AG6" s="2182"/>
      <c r="AH6" s="2182"/>
      <c r="AI6" s="2182"/>
      <c r="AJ6" s="2182"/>
      <c r="AK6" s="2182"/>
      <c r="AL6" s="2182"/>
      <c r="AM6" s="2182"/>
      <c r="AN6" s="2182"/>
      <c r="AO6" s="2182"/>
      <c r="AP6" s="712" t="s">
        <v>238</v>
      </c>
    </row>
    <row r="7" spans="1:42">
      <c r="K7" s="712" t="s">
        <v>238</v>
      </c>
      <c r="AP7" s="712" t="s">
        <v>238</v>
      </c>
    </row>
    <row r="8" spans="1:42" s="1808" customFormat="1" ht="16" thickBot="1">
      <c r="A8" s="960"/>
      <c r="B8" s="960"/>
      <c r="C8" s="960"/>
      <c r="D8" s="960"/>
      <c r="E8" s="960"/>
      <c r="F8" s="960"/>
      <c r="G8" s="960"/>
      <c r="H8" s="960"/>
      <c r="I8" s="960"/>
      <c r="J8" s="960"/>
      <c r="K8" s="712" t="s">
        <v>238</v>
      </c>
      <c r="Q8" s="734"/>
      <c r="AP8" s="712"/>
    </row>
    <row r="9" spans="1:42" s="1808" customFormat="1" ht="17">
      <c r="A9" s="960"/>
      <c r="B9" s="960"/>
      <c r="C9" s="960"/>
      <c r="D9" s="960"/>
      <c r="E9" s="960"/>
      <c r="F9" s="960"/>
      <c r="G9" s="960"/>
      <c r="H9" s="960"/>
      <c r="I9" s="960"/>
      <c r="J9" s="960"/>
      <c r="K9" s="712" t="s">
        <v>238</v>
      </c>
      <c r="O9" s="2323" t="s">
        <v>3629</v>
      </c>
      <c r="P9" s="2324" t="s">
        <v>3630</v>
      </c>
      <c r="Q9" s="2324" t="s">
        <v>604</v>
      </c>
      <c r="R9" s="2324" t="s">
        <v>3631</v>
      </c>
      <c r="S9" s="2325" t="s">
        <v>99</v>
      </c>
      <c r="T9" s="2324" t="s">
        <v>3632</v>
      </c>
      <c r="U9" s="2326" t="s">
        <v>3633</v>
      </c>
      <c r="V9" s="2332" t="s">
        <v>3496</v>
      </c>
      <c r="W9" s="2208"/>
      <c r="X9"/>
      <c r="Y9"/>
      <c r="Z9"/>
      <c r="AA9"/>
      <c r="AB9"/>
      <c r="AC9"/>
      <c r="AD9"/>
      <c r="AP9" s="712"/>
    </row>
    <row r="10" spans="1:42" s="1808" customFormat="1" ht="16">
      <c r="A10" s="960"/>
      <c r="B10" s="960"/>
      <c r="C10" s="960"/>
      <c r="D10" s="960"/>
      <c r="E10" s="960"/>
      <c r="F10" s="960"/>
      <c r="G10" s="960"/>
      <c r="H10" s="960"/>
      <c r="I10" s="960"/>
      <c r="J10" s="960"/>
      <c r="K10" s="712" t="s">
        <v>238</v>
      </c>
      <c r="O10" s="1565" t="s">
        <v>3634</v>
      </c>
      <c r="P10" s="2327" t="str">
        <f>VLOOKUP(O10,Price[],2,0)</f>
        <v>Consultation of the outreach worker</v>
      </c>
      <c r="Q10" s="958" t="str">
        <f>VLOOKUP(O10,Price[],3,0)</f>
        <v>consultation/minute</v>
      </c>
      <c r="R10" s="958">
        <f>VLOOKUP(O10,Price[],4,0)</f>
        <v>0.32</v>
      </c>
      <c r="S10" s="946" t="str">
        <f>VLOOKUP(O10,Price[],5,0)</f>
        <v>MDL</v>
      </c>
      <c r="T10" s="2317">
        <v>20</v>
      </c>
      <c r="U10" s="2317">
        <v>2</v>
      </c>
      <c r="V10" s="1006">
        <f>IF(T10="",R10*U10,R10*T10*U10)</f>
        <v>12.8</v>
      </c>
      <c r="W10" s="2208" t="s">
        <v>3329</v>
      </c>
      <c r="X10"/>
      <c r="Y10"/>
      <c r="Z10"/>
      <c r="AA10"/>
      <c r="AB10"/>
      <c r="AC10"/>
      <c r="AD10"/>
      <c r="AP10" s="712"/>
    </row>
    <row r="11" spans="1:42" s="1808" customFormat="1" ht="16">
      <c r="A11" s="960"/>
      <c r="B11" s="960"/>
      <c r="C11" s="960"/>
      <c r="D11" s="960"/>
      <c r="E11" s="960"/>
      <c r="F11" s="960"/>
      <c r="G11" s="960"/>
      <c r="H11" s="960"/>
      <c r="I11" s="960"/>
      <c r="J11" s="960"/>
      <c r="K11" s="712" t="s">
        <v>238</v>
      </c>
      <c r="O11" s="1565" t="s">
        <v>3634</v>
      </c>
      <c r="P11" s="2327" t="str">
        <f>VLOOKUP(O11,Price[],2,0)</f>
        <v>Consultation of the outreach worker</v>
      </c>
      <c r="Q11" s="958" t="str">
        <f>VLOOKUP(O11,Price[],3,0)</f>
        <v>consultation/minute</v>
      </c>
      <c r="R11" s="958">
        <f>VLOOKUP(O11,Price[],4,0)</f>
        <v>0.32</v>
      </c>
      <c r="S11" s="946" t="str">
        <f>VLOOKUP(O11,Price[],5,0)</f>
        <v>MDL</v>
      </c>
      <c r="T11" s="2317">
        <v>30</v>
      </c>
      <c r="U11" s="2317">
        <v>1</v>
      </c>
      <c r="V11" s="1006">
        <f>IF(T11="",R11*U11,R11*T11*U11)</f>
        <v>9.6</v>
      </c>
      <c r="W11" s="2208" t="s">
        <v>3881</v>
      </c>
      <c r="X11"/>
      <c r="Y11"/>
      <c r="Z11"/>
      <c r="AA11"/>
      <c r="AB11"/>
      <c r="AC11"/>
      <c r="AD11"/>
      <c r="AP11" s="712"/>
    </row>
    <row r="12" spans="1:42" s="1808" customFormat="1" ht="16">
      <c r="A12" s="960"/>
      <c r="B12" s="960"/>
      <c r="C12" s="960"/>
      <c r="D12" s="960"/>
      <c r="E12" s="960"/>
      <c r="F12" s="960"/>
      <c r="G12" s="960"/>
      <c r="H12" s="960"/>
      <c r="I12" s="960"/>
      <c r="J12" s="960"/>
      <c r="K12" s="712" t="s">
        <v>238</v>
      </c>
      <c r="O12" s="1565" t="s">
        <v>3634</v>
      </c>
      <c r="P12" s="2327" t="str">
        <f>VLOOKUP(O12,Price[],2,0)</f>
        <v>Consultation of the outreach worker</v>
      </c>
      <c r="Q12" s="958" t="str">
        <f>VLOOKUP(O12,Price[],3,0)</f>
        <v>consultation/minute</v>
      </c>
      <c r="R12" s="958">
        <f>VLOOKUP(O12,Price[],4,0)</f>
        <v>0.32</v>
      </c>
      <c r="S12" s="946" t="str">
        <f>VLOOKUP(O12,Price[],5,0)</f>
        <v>MDL</v>
      </c>
      <c r="T12" s="2317">
        <v>20</v>
      </c>
      <c r="U12" s="2317">
        <v>1</v>
      </c>
      <c r="V12" s="1006">
        <f t="shared" ref="V12:V25" si="0">IF(T12="",R12*U12,R12*T12*U12)</f>
        <v>6.4</v>
      </c>
      <c r="W12" s="2208" t="s">
        <v>3333</v>
      </c>
      <c r="X12"/>
      <c r="Y12"/>
      <c r="Z12"/>
      <c r="AA12"/>
      <c r="AB12"/>
      <c r="AC12"/>
      <c r="AD12"/>
      <c r="AP12" s="712"/>
    </row>
    <row r="13" spans="1:42" s="1808" customFormat="1" ht="16">
      <c r="A13" s="960"/>
      <c r="B13" s="960"/>
      <c r="C13" s="960"/>
      <c r="D13" s="960"/>
      <c r="E13" s="960"/>
      <c r="F13" s="960"/>
      <c r="G13" s="960"/>
      <c r="H13" s="960"/>
      <c r="I13" s="960"/>
      <c r="J13" s="960"/>
      <c r="K13" s="712" t="s">
        <v>238</v>
      </c>
      <c r="O13" s="1565" t="s">
        <v>3634</v>
      </c>
      <c r="P13" s="2327" t="str">
        <f>VLOOKUP(O13,Price[],2,0)</f>
        <v>Consultation of the outreach worker</v>
      </c>
      <c r="Q13" s="958" t="str">
        <f>VLOOKUP(O13,Price[],3,0)</f>
        <v>consultation/minute</v>
      </c>
      <c r="R13" s="958">
        <f>VLOOKUP(O13,Price[],4,0)</f>
        <v>0.32</v>
      </c>
      <c r="S13" s="946" t="str">
        <f>VLOOKUP(O13,Price[],5,0)</f>
        <v>MDL</v>
      </c>
      <c r="T13" s="2317">
        <v>60</v>
      </c>
      <c r="U13" s="2317">
        <v>0</v>
      </c>
      <c r="V13" s="1006">
        <f t="shared" si="0"/>
        <v>0</v>
      </c>
      <c r="W13" s="2208" t="s">
        <v>3335</v>
      </c>
      <c r="X13"/>
      <c r="Y13"/>
      <c r="Z13"/>
      <c r="AA13"/>
      <c r="AB13"/>
      <c r="AC13"/>
      <c r="AD13"/>
      <c r="AP13" s="712"/>
    </row>
    <row r="14" spans="1:42" s="1808" customFormat="1" ht="16">
      <c r="A14" s="960"/>
      <c r="B14" s="960"/>
      <c r="C14" s="960"/>
      <c r="D14" s="960"/>
      <c r="E14" s="960"/>
      <c r="F14" s="960"/>
      <c r="G14" s="960"/>
      <c r="H14" s="960"/>
      <c r="I14" s="960"/>
      <c r="J14" s="960"/>
      <c r="K14" s="712" t="s">
        <v>238</v>
      </c>
      <c r="O14" s="1565" t="s">
        <v>3634</v>
      </c>
      <c r="P14" s="2327" t="str">
        <f>VLOOKUP(O14,Price[],2,0)</f>
        <v>Consultation of the outreach worker</v>
      </c>
      <c r="Q14" s="958" t="str">
        <f>VLOOKUP(O14,Price[],3,0)</f>
        <v>consultation/minute</v>
      </c>
      <c r="R14" s="958">
        <f>VLOOKUP(O14,Price[],4,0)</f>
        <v>0.32</v>
      </c>
      <c r="S14" s="946" t="str">
        <f>VLOOKUP(O14,Price[],5,0)</f>
        <v>MDL</v>
      </c>
      <c r="T14" s="2317">
        <v>60</v>
      </c>
      <c r="U14" s="2317">
        <v>1</v>
      </c>
      <c r="V14" s="1006">
        <f t="shared" si="0"/>
        <v>19.2</v>
      </c>
      <c r="W14" s="2208" t="s">
        <v>3337</v>
      </c>
      <c r="X14"/>
      <c r="Y14"/>
      <c r="Z14"/>
      <c r="AA14"/>
      <c r="AB14"/>
      <c r="AC14"/>
      <c r="AD14"/>
      <c r="AP14" s="712"/>
    </row>
    <row r="15" spans="1:42" s="1808" customFormat="1" ht="16">
      <c r="A15" s="960"/>
      <c r="B15" s="960"/>
      <c r="C15" s="960"/>
      <c r="D15" s="960"/>
      <c r="E15" s="960"/>
      <c r="F15" s="960"/>
      <c r="G15" s="960"/>
      <c r="H15" s="960"/>
      <c r="I15" s="960"/>
      <c r="J15" s="960"/>
      <c r="K15" s="712" t="s">
        <v>238</v>
      </c>
      <c r="O15" s="1565" t="s">
        <v>3634</v>
      </c>
      <c r="P15" s="2327" t="str">
        <f>VLOOKUP(O15,Price[],2,0)</f>
        <v>Consultation of the outreach worker</v>
      </c>
      <c r="Q15" s="958" t="str">
        <f>VLOOKUP(O15,Price[],3,0)</f>
        <v>consultation/minute</v>
      </c>
      <c r="R15" s="958">
        <f>VLOOKUP(O15,Price[],4,0)</f>
        <v>0.32</v>
      </c>
      <c r="S15" s="946" t="str">
        <f>VLOOKUP(O15,Price[],5,0)</f>
        <v>MDL</v>
      </c>
      <c r="T15" s="2317">
        <v>240</v>
      </c>
      <c r="U15" s="2317">
        <v>1</v>
      </c>
      <c r="V15" s="1006">
        <f t="shared" ref="V15:V16" si="1">IF(T15="",R15*U15,R15*T15*U15)</f>
        <v>76.8</v>
      </c>
      <c r="W15" s="2208" t="s">
        <v>3626</v>
      </c>
      <c r="X15"/>
      <c r="Y15"/>
      <c r="Z15"/>
      <c r="AA15"/>
      <c r="AB15"/>
      <c r="AC15"/>
      <c r="AD15"/>
      <c r="AE15" s="1081"/>
      <c r="AP15" s="712"/>
    </row>
    <row r="16" spans="1:42" s="1808" customFormat="1" ht="16">
      <c r="A16" s="960"/>
      <c r="B16" s="960"/>
      <c r="C16" s="960"/>
      <c r="D16" s="960"/>
      <c r="E16" s="960"/>
      <c r="F16" s="960"/>
      <c r="G16" s="960"/>
      <c r="H16" s="960"/>
      <c r="I16" s="960"/>
      <c r="J16" s="960"/>
      <c r="K16" s="712" t="s">
        <v>238</v>
      </c>
      <c r="O16" s="2311" t="s">
        <v>3699</v>
      </c>
      <c r="P16" s="2327" t="str">
        <f>VLOOKUP(O16,Price[],2,0)</f>
        <v>Transportation to Xray</v>
      </c>
      <c r="Q16" s="958" t="str">
        <f>VLOOKUP(O16,Price[],3,0)</f>
        <v>per benficiary one way</v>
      </c>
      <c r="R16" s="958">
        <f>VLOOKUP(O16,Price[],4,0)</f>
        <v>50</v>
      </c>
      <c r="S16" s="946" t="str">
        <f>VLOOKUP(O16,Price[],5,0)</f>
        <v>MDL</v>
      </c>
      <c r="T16" s="2317">
        <v>1</v>
      </c>
      <c r="U16" s="2317">
        <v>4</v>
      </c>
      <c r="V16" s="1006">
        <f t="shared" si="1"/>
        <v>200</v>
      </c>
      <c r="W16" s="2208" t="s">
        <v>3341</v>
      </c>
      <c r="X16"/>
      <c r="Y16"/>
      <c r="Z16"/>
      <c r="AA16"/>
      <c r="AB16"/>
      <c r="AC16"/>
      <c r="AD16"/>
      <c r="AP16" s="712"/>
    </row>
    <row r="17" spans="1:42" s="1808" customFormat="1" ht="16">
      <c r="A17" s="960"/>
      <c r="B17" s="960"/>
      <c r="C17" s="960"/>
      <c r="D17" s="960"/>
      <c r="E17" s="960"/>
      <c r="F17" s="960"/>
      <c r="G17" s="960"/>
      <c r="H17" s="960"/>
      <c r="I17" s="960"/>
      <c r="J17" s="960"/>
      <c r="K17" s="712" t="s">
        <v>238</v>
      </c>
      <c r="O17" s="1565" t="s">
        <v>3667</v>
      </c>
      <c r="P17" s="2327" t="str">
        <f>VLOOKUP(O17,Price[],2,0)</f>
        <v>Consultation of the social worker</v>
      </c>
      <c r="Q17" s="958" t="str">
        <f>VLOOKUP(O17,Price[],3,0)</f>
        <v>consultation/minute</v>
      </c>
      <c r="R17" s="958">
        <f>VLOOKUP(O17,Price[],4,0)</f>
        <v>0.62</v>
      </c>
      <c r="S17" s="946" t="str">
        <f>VLOOKUP(O17,Price[],5,0)</f>
        <v>MDL</v>
      </c>
      <c r="T17" s="2317">
        <v>60</v>
      </c>
      <c r="U17" s="2317">
        <v>2</v>
      </c>
      <c r="V17" s="1006">
        <f t="shared" si="0"/>
        <v>74.400000000000006</v>
      </c>
      <c r="W17" s="2333" t="s">
        <v>3343</v>
      </c>
      <c r="X17"/>
      <c r="Y17"/>
      <c r="Z17"/>
      <c r="AA17"/>
      <c r="AB17"/>
      <c r="AC17"/>
      <c r="AD17"/>
      <c r="AP17" s="712"/>
    </row>
    <row r="18" spans="1:42" s="1808" customFormat="1" ht="16">
      <c r="A18" s="960"/>
      <c r="B18" s="960"/>
      <c r="C18" s="960"/>
      <c r="D18" s="960"/>
      <c r="E18" s="960"/>
      <c r="F18" s="960"/>
      <c r="G18" s="960"/>
      <c r="H18" s="960"/>
      <c r="I18" s="960"/>
      <c r="J18" s="960"/>
      <c r="K18" s="712" t="s">
        <v>238</v>
      </c>
      <c r="O18" s="1565" t="s">
        <v>3635</v>
      </c>
      <c r="P18" s="2327" t="str">
        <f>VLOOKUP(O18,Price[],2,0)</f>
        <v>Group sessions</v>
      </c>
      <c r="Q18" s="958" t="str">
        <f>VLOOKUP(O18,Price[],3,0)</f>
        <v>per person/minute</v>
      </c>
      <c r="R18" s="958">
        <f>VLOOKUP(O18,Price[],4,0)</f>
        <v>2.4E-2</v>
      </c>
      <c r="S18" s="946" t="str">
        <f>VLOOKUP(O18,Price[],5,0)</f>
        <v>MDL</v>
      </c>
      <c r="T18" s="2317">
        <v>30</v>
      </c>
      <c r="U18" s="2317">
        <v>2</v>
      </c>
      <c r="V18" s="1006">
        <f t="shared" si="0"/>
        <v>1.44</v>
      </c>
      <c r="W18" s="2208" t="s">
        <v>3345</v>
      </c>
      <c r="X18"/>
      <c r="Y18"/>
      <c r="Z18"/>
      <c r="AA18"/>
      <c r="AB18"/>
      <c r="AC18"/>
      <c r="AD18"/>
      <c r="AP18" s="712"/>
    </row>
    <row r="19" spans="1:42" s="1808" customFormat="1" ht="16">
      <c r="A19" s="960"/>
      <c r="B19" s="960"/>
      <c r="C19" s="960"/>
      <c r="D19" s="960"/>
      <c r="E19" s="960"/>
      <c r="F19" s="960"/>
      <c r="G19" s="960"/>
      <c r="H19" s="960"/>
      <c r="I19" s="960"/>
      <c r="J19" s="960"/>
      <c r="K19" s="712" t="s">
        <v>238</v>
      </c>
      <c r="O19" s="2338" t="s">
        <v>3636</v>
      </c>
      <c r="P19" s="2339" t="str">
        <f>VLOOKUP(O19,Price[],2,0)</f>
        <v>Informational materials</v>
      </c>
      <c r="Q19" s="2340" t="str">
        <f>VLOOKUP(O19,Price[],3,0)</f>
        <v>kit</v>
      </c>
      <c r="R19" s="958">
        <f>VLOOKUP(O19,Price[],4,0)</f>
        <v>5</v>
      </c>
      <c r="S19" s="946" t="str">
        <f>VLOOKUP(O19,Price[],5,0)</f>
        <v>MDL</v>
      </c>
      <c r="T19" s="2317"/>
      <c r="U19" s="2317">
        <v>4</v>
      </c>
      <c r="V19" s="1006">
        <f t="shared" si="0"/>
        <v>20</v>
      </c>
      <c r="W19" s="2208"/>
      <c r="X19"/>
      <c r="Y19"/>
      <c r="Z19"/>
      <c r="AA19"/>
      <c r="AB19"/>
      <c r="AC19"/>
      <c r="AD19"/>
      <c r="AP19" s="712"/>
    </row>
    <row r="20" spans="1:42" s="1808" customFormat="1" ht="16">
      <c r="A20" s="960"/>
      <c r="B20" s="960"/>
      <c r="C20" s="960"/>
      <c r="D20" s="960"/>
      <c r="E20" s="960"/>
      <c r="F20" s="960"/>
      <c r="G20" s="960"/>
      <c r="H20" s="960"/>
      <c r="I20" s="960"/>
      <c r="J20" s="960"/>
      <c r="K20" s="712" t="s">
        <v>238</v>
      </c>
      <c r="O20" s="1565" t="s">
        <v>3669</v>
      </c>
      <c r="P20" s="2327" t="str">
        <f>VLOOKUP(O20,Price[],2,0)</f>
        <v>Psychologist consultantion</v>
      </c>
      <c r="Q20" s="958" t="str">
        <f>VLOOKUP(O20,Price[],3,0)</f>
        <v>consultation/minute</v>
      </c>
      <c r="R20" s="958">
        <f>VLOOKUP(O20,Price[],4,0)</f>
        <v>0.69</v>
      </c>
      <c r="S20" s="946" t="str">
        <f>VLOOKUP(O20,Price[],5,0)</f>
        <v>MDL</v>
      </c>
      <c r="T20" s="2317">
        <v>30</v>
      </c>
      <c r="U20" s="2317">
        <v>1</v>
      </c>
      <c r="V20" s="1006">
        <f t="shared" si="0"/>
        <v>20.7</v>
      </c>
      <c r="W20"/>
      <c r="X20"/>
      <c r="Y20"/>
      <c r="Z20"/>
      <c r="AA20"/>
      <c r="AB20"/>
      <c r="AC20"/>
      <c r="AD20"/>
      <c r="AP20" s="712"/>
    </row>
    <row r="21" spans="1:42" s="1808" customFormat="1" ht="16">
      <c r="A21" s="960"/>
      <c r="B21" s="960"/>
      <c r="C21" s="960"/>
      <c r="D21" s="960"/>
      <c r="E21" s="960"/>
      <c r="F21" s="960"/>
      <c r="G21" s="960"/>
      <c r="H21" s="960"/>
      <c r="I21" s="960"/>
      <c r="J21" s="960"/>
      <c r="K21" s="712" t="s">
        <v>238</v>
      </c>
      <c r="O21" s="1565" t="s">
        <v>3637</v>
      </c>
      <c r="P21" s="2327" t="str">
        <f>VLOOKUP(O21,Price[],2,0)</f>
        <v>Project manager</v>
      </c>
      <c r="Q21" s="958" t="str">
        <f>VLOOKUP(O21,Price[],3,0)</f>
        <v>per benficiary</v>
      </c>
      <c r="R21" s="958">
        <f>VLOOKUP(O21,Price[],4,0)</f>
        <v>42.26</v>
      </c>
      <c r="S21" s="946" t="str">
        <f>VLOOKUP(O21,Price[],5,0)</f>
        <v>MDL</v>
      </c>
      <c r="T21" s="958"/>
      <c r="U21" s="946">
        <v>1</v>
      </c>
      <c r="V21" s="1006">
        <f t="shared" si="0"/>
        <v>42.26</v>
      </c>
      <c r="W21"/>
      <c r="X21"/>
      <c r="Y21"/>
      <c r="Z21"/>
      <c r="AA21"/>
      <c r="AB21"/>
      <c r="AC21"/>
      <c r="AD21"/>
      <c r="AP21" s="712"/>
    </row>
    <row r="22" spans="1:42" s="1808" customFormat="1" ht="16">
      <c r="A22" s="960"/>
      <c r="B22" s="960"/>
      <c r="C22" s="960"/>
      <c r="D22" s="960"/>
      <c r="E22" s="960"/>
      <c r="F22" s="960"/>
      <c r="G22" s="960"/>
      <c r="H22" s="960"/>
      <c r="I22" s="960"/>
      <c r="J22" s="960"/>
      <c r="K22" s="712" t="s">
        <v>238</v>
      </c>
      <c r="O22" s="1565" t="s">
        <v>3638</v>
      </c>
      <c r="P22" s="2327" t="str">
        <f>VLOOKUP(O22,Price[],2,0)</f>
        <v>Accountant</v>
      </c>
      <c r="Q22" s="958" t="str">
        <f>VLOOKUP(O22,Price[],3,0)</f>
        <v>per benficiary</v>
      </c>
      <c r="R22" s="958">
        <f>VLOOKUP(O22,Price[],4,0)</f>
        <v>30.65</v>
      </c>
      <c r="S22" s="946" t="str">
        <f>VLOOKUP(O22,Price[],5,0)</f>
        <v>MDL</v>
      </c>
      <c r="T22" s="958"/>
      <c r="U22" s="946">
        <v>1</v>
      </c>
      <c r="V22" s="1006">
        <f t="shared" si="0"/>
        <v>30.65</v>
      </c>
      <c r="W22"/>
      <c r="X22"/>
      <c r="Y22"/>
      <c r="Z22"/>
      <c r="AA22"/>
      <c r="AB22"/>
      <c r="AC22"/>
      <c r="AD22"/>
      <c r="AP22" s="712"/>
    </row>
    <row r="23" spans="1:42" s="1808" customFormat="1" ht="16">
      <c r="A23" s="960"/>
      <c r="B23" s="960"/>
      <c r="C23" s="960"/>
      <c r="D23" s="960"/>
      <c r="E23" s="960"/>
      <c r="F23" s="960"/>
      <c r="G23" s="960"/>
      <c r="H23" s="960"/>
      <c r="I23" s="960"/>
      <c r="J23" s="960"/>
      <c r="K23" s="712" t="s">
        <v>238</v>
      </c>
      <c r="O23" s="1565" t="s">
        <v>3639</v>
      </c>
      <c r="P23" s="2327" t="str">
        <f>VLOOKUP(O23,Price[],2,0)</f>
        <v>Driver</v>
      </c>
      <c r="Q23" s="958" t="str">
        <f>VLOOKUP(O23,Price[],3,0)</f>
        <v>per benficiary</v>
      </c>
      <c r="R23" s="958">
        <f>VLOOKUP(O23,Price[],4,0)</f>
        <v>17.03</v>
      </c>
      <c r="S23" s="946" t="str">
        <f>VLOOKUP(O23,Price[],5,0)</f>
        <v>MDL</v>
      </c>
      <c r="T23" s="958"/>
      <c r="U23" s="946">
        <v>1</v>
      </c>
      <c r="V23" s="1006">
        <f t="shared" si="0"/>
        <v>17.03</v>
      </c>
      <c r="W23"/>
      <c r="X23"/>
      <c r="Y23"/>
      <c r="Z23"/>
      <c r="AA23"/>
      <c r="AB23"/>
      <c r="AC23"/>
      <c r="AD23"/>
      <c r="AP23" s="712"/>
    </row>
    <row r="24" spans="1:42" s="1808" customFormat="1" ht="16">
      <c r="A24" s="960"/>
      <c r="B24" s="960"/>
      <c r="C24" s="960"/>
      <c r="D24" s="960"/>
      <c r="E24" s="960"/>
      <c r="F24" s="960"/>
      <c r="G24" s="960"/>
      <c r="H24" s="960"/>
      <c r="I24" s="960"/>
      <c r="J24" s="960"/>
      <c r="K24" s="712" t="s">
        <v>238</v>
      </c>
      <c r="O24" s="1565" t="s">
        <v>3640</v>
      </c>
      <c r="P24" s="2327" t="str">
        <f>VLOOKUP(O24,Price[],2,0)</f>
        <v>Cleaner</v>
      </c>
      <c r="Q24" s="958" t="str">
        <f>VLOOKUP(O24,Price[],3,0)</f>
        <v>per benficiary</v>
      </c>
      <c r="R24" s="958">
        <f>VLOOKUP(O24,Price[],4,0)</f>
        <v>12.94</v>
      </c>
      <c r="S24" s="946" t="str">
        <f>VLOOKUP(O24,Price[],5,0)</f>
        <v>MDL</v>
      </c>
      <c r="T24" s="958"/>
      <c r="U24" s="946">
        <v>1</v>
      </c>
      <c r="V24" s="1006">
        <f t="shared" si="0"/>
        <v>12.94</v>
      </c>
      <c r="W24"/>
      <c r="X24"/>
      <c r="Y24"/>
      <c r="Z24"/>
      <c r="AA24"/>
      <c r="AB24"/>
      <c r="AC24"/>
      <c r="AD24"/>
      <c r="AP24" s="712"/>
    </row>
    <row r="25" spans="1:42" s="1808" customFormat="1" ht="17" thickBot="1">
      <c r="A25" s="960"/>
      <c r="B25" s="960"/>
      <c r="C25" s="960"/>
      <c r="D25" s="960"/>
      <c r="E25" s="960"/>
      <c r="F25" s="960"/>
      <c r="G25" s="960"/>
      <c r="H25" s="960"/>
      <c r="I25" s="960"/>
      <c r="J25" s="960"/>
      <c r="K25" s="712" t="s">
        <v>238</v>
      </c>
      <c r="O25" s="2328" t="s">
        <v>3267</v>
      </c>
      <c r="P25" s="2329" t="str">
        <f>VLOOKUP(O25,Price[],2,0)</f>
        <v>Utilities</v>
      </c>
      <c r="Q25" s="1080" t="str">
        <f>VLOOKUP(O25,Price[],3,0)</f>
        <v>per benficiary</v>
      </c>
      <c r="R25" s="1080">
        <f>VLOOKUP(O25,Price[],4,0)</f>
        <v>68.739999999999995</v>
      </c>
      <c r="S25" s="1718" t="str">
        <f>VLOOKUP(O25,Price[],5,0)</f>
        <v>MDL</v>
      </c>
      <c r="T25" s="1080"/>
      <c r="U25" s="1718">
        <v>1</v>
      </c>
      <c r="V25" s="2330">
        <f t="shared" si="0"/>
        <v>68.739999999999995</v>
      </c>
      <c r="W25"/>
      <c r="X25"/>
      <c r="Y25"/>
      <c r="Z25"/>
      <c r="AA25"/>
      <c r="AB25"/>
      <c r="AC25"/>
      <c r="AD25"/>
      <c r="AP25" s="712"/>
    </row>
    <row r="26" spans="1:42" s="1808" customFormat="1" ht="17" thickBot="1">
      <c r="A26" s="960"/>
      <c r="B26" s="960"/>
      <c r="C26" s="960"/>
      <c r="D26" s="960"/>
      <c r="E26" s="960"/>
      <c r="F26" s="960"/>
      <c r="G26" s="960"/>
      <c r="H26" s="960"/>
      <c r="I26" s="960"/>
      <c r="J26" s="960"/>
      <c r="K26" s="712" t="s">
        <v>238</v>
      </c>
      <c r="O26" s="545"/>
      <c r="P26" s="545"/>
      <c r="Q26" s="545"/>
      <c r="R26" s="545"/>
      <c r="S26" s="2318"/>
      <c r="T26" s="545"/>
      <c r="U26" s="545"/>
      <c r="V26" s="2331">
        <f>SUM(V10:V25)</f>
        <v>612.96</v>
      </c>
      <c r="W26"/>
      <c r="X26"/>
      <c r="Y26"/>
      <c r="Z26"/>
      <c r="AA26"/>
      <c r="AB26"/>
      <c r="AC26"/>
      <c r="AD26"/>
      <c r="AP26" s="712"/>
    </row>
    <row r="27" spans="1:42" s="1808" customFormat="1" ht="16" thickBot="1">
      <c r="A27" s="960"/>
      <c r="B27" s="960"/>
      <c r="C27" s="960"/>
      <c r="D27" s="960"/>
      <c r="E27" s="960"/>
      <c r="F27" s="960"/>
      <c r="G27" s="960"/>
      <c r="H27" s="960"/>
      <c r="I27" s="960"/>
      <c r="J27" s="960"/>
      <c r="K27" s="712" t="s">
        <v>238</v>
      </c>
      <c r="M27" s="853"/>
      <c r="N27" s="853"/>
      <c r="O27" s="853"/>
      <c r="P27" s="853"/>
      <c r="Q27" s="853"/>
      <c r="R27" s="853"/>
      <c r="S27" s="853"/>
      <c r="T27" s="853"/>
      <c r="U27" s="853"/>
      <c r="AP27" s="712"/>
    </row>
    <row r="28" spans="1:42" s="1808" customFormat="1" ht="19" thickBot="1">
      <c r="A28" s="960"/>
      <c r="B28" s="960"/>
      <c r="C28" s="960"/>
      <c r="D28" s="960"/>
      <c r="E28" s="960"/>
      <c r="F28" s="960"/>
      <c r="G28" s="960"/>
      <c r="H28" s="960"/>
      <c r="I28" s="960"/>
      <c r="J28" s="960"/>
      <c r="K28" s="712" t="s">
        <v>238</v>
      </c>
      <c r="N28" s="2312" t="s">
        <v>178</v>
      </c>
      <c r="O28" s="966"/>
      <c r="P28" s="966"/>
      <c r="Q28" s="966"/>
      <c r="R28" s="967"/>
      <c r="S28" s="2312" t="s">
        <v>179</v>
      </c>
      <c r="T28" s="966"/>
      <c r="U28" s="966"/>
      <c r="V28" s="966"/>
      <c r="W28" s="967"/>
      <c r="AP28" s="712"/>
    </row>
    <row r="29" spans="1:42" s="1808" customFormat="1" ht="17" thickBot="1">
      <c r="A29" s="960"/>
      <c r="B29" s="960"/>
      <c r="C29" s="960"/>
      <c r="D29" s="960"/>
      <c r="E29" s="960"/>
      <c r="F29" s="960"/>
      <c r="G29" s="960"/>
      <c r="H29" s="960"/>
      <c r="I29" s="960"/>
      <c r="J29" s="960"/>
      <c r="K29" s="712" t="s">
        <v>238</v>
      </c>
      <c r="N29" s="2313">
        <v>2021</v>
      </c>
      <c r="O29" s="2314">
        <v>2022</v>
      </c>
      <c r="P29" s="2314">
        <v>2023</v>
      </c>
      <c r="Q29" s="2314">
        <v>2024</v>
      </c>
      <c r="R29" s="2314">
        <v>2025</v>
      </c>
      <c r="S29" s="2314">
        <v>2021</v>
      </c>
      <c r="T29" s="2314">
        <v>2022</v>
      </c>
      <c r="U29" s="2314">
        <v>2023</v>
      </c>
      <c r="V29" s="2314">
        <v>2024</v>
      </c>
      <c r="W29" s="2315">
        <v>2025</v>
      </c>
      <c r="AP29" s="712"/>
    </row>
    <row r="30" spans="1:42" s="1808" customFormat="1" ht="16">
      <c r="A30" s="960"/>
      <c r="B30" s="960"/>
      <c r="C30" s="960"/>
      <c r="D30" s="960"/>
      <c r="E30" s="960"/>
      <c r="F30" s="960"/>
      <c r="G30" s="960"/>
      <c r="H30" s="960"/>
      <c r="I30" s="960"/>
      <c r="J30" s="960"/>
      <c r="K30" s="712" t="s">
        <v>238</v>
      </c>
      <c r="M30" s="959" t="s">
        <v>3344</v>
      </c>
      <c r="N30" s="2316">
        <v>3000</v>
      </c>
      <c r="O30" s="2316">
        <v>4000</v>
      </c>
      <c r="P30" s="2316">
        <v>5000</v>
      </c>
      <c r="Q30" s="2316">
        <v>5000</v>
      </c>
      <c r="R30" s="2316">
        <v>5000</v>
      </c>
      <c r="S30" s="2316">
        <v>2400</v>
      </c>
      <c r="T30" s="2316">
        <v>2800</v>
      </c>
      <c r="U30" s="2316">
        <v>2800</v>
      </c>
      <c r="V30" s="2316">
        <v>2800</v>
      </c>
      <c r="W30" s="2316">
        <v>2800</v>
      </c>
      <c r="AP30" s="712"/>
    </row>
    <row r="31" spans="1:42" s="1808" customFormat="1" ht="16">
      <c r="A31" s="960"/>
      <c r="B31" s="960"/>
      <c r="C31" s="960"/>
      <c r="D31" s="960"/>
      <c r="E31" s="960"/>
      <c r="F31" s="960"/>
      <c r="G31" s="960"/>
      <c r="H31" s="960"/>
      <c r="I31" s="960"/>
      <c r="J31" s="960"/>
      <c r="K31" s="712" t="s">
        <v>238</v>
      </c>
      <c r="M31" s="959" t="s">
        <v>3366</v>
      </c>
      <c r="N31" s="2317">
        <v>3400</v>
      </c>
      <c r="O31" s="2317">
        <v>3400</v>
      </c>
      <c r="P31" s="2317">
        <v>3400</v>
      </c>
      <c r="Q31" s="2317">
        <v>3400</v>
      </c>
      <c r="R31" s="2317">
        <v>3400</v>
      </c>
      <c r="S31" s="2317">
        <v>500</v>
      </c>
      <c r="T31" s="2317">
        <v>500</v>
      </c>
      <c r="U31" s="2317">
        <v>600</v>
      </c>
      <c r="V31" s="2317">
        <v>600</v>
      </c>
      <c r="W31" s="2317">
        <v>600</v>
      </c>
      <c r="AP31" s="712"/>
    </row>
    <row r="32" spans="1:42" s="1808" customFormat="1" ht="16">
      <c r="A32" s="960"/>
      <c r="B32" s="960"/>
      <c r="C32" s="960"/>
      <c r="D32" s="960"/>
      <c r="E32" s="960"/>
      <c r="F32" s="960"/>
      <c r="G32" s="960"/>
      <c r="H32" s="960"/>
      <c r="I32" s="960"/>
      <c r="J32" s="960"/>
      <c r="K32" s="712" t="s">
        <v>238</v>
      </c>
      <c r="M32" s="959" t="s">
        <v>3876</v>
      </c>
      <c r="N32" s="2317">
        <v>0</v>
      </c>
      <c r="O32" s="2317">
        <v>1000</v>
      </c>
      <c r="P32" s="2317">
        <v>1000</v>
      </c>
      <c r="Q32" s="2317">
        <v>1000</v>
      </c>
      <c r="R32" s="2317">
        <v>1000</v>
      </c>
      <c r="S32" s="2317"/>
      <c r="T32" s="2317"/>
      <c r="U32" s="2317"/>
      <c r="V32" s="2317"/>
      <c r="W32" s="2317"/>
      <c r="AP32" s="712"/>
    </row>
    <row r="33" spans="1:42" s="1808" customFormat="1" ht="16">
      <c r="A33" s="960"/>
      <c r="B33" s="960"/>
      <c r="C33" s="960"/>
      <c r="D33" s="960"/>
      <c r="E33" s="960"/>
      <c r="F33" s="960"/>
      <c r="G33" s="960"/>
      <c r="H33" s="960"/>
      <c r="I33" s="960"/>
      <c r="J33" s="960"/>
      <c r="K33" s="712" t="s">
        <v>238</v>
      </c>
      <c r="M33" s="959" t="s">
        <v>3877</v>
      </c>
      <c r="N33" s="2317">
        <v>0</v>
      </c>
      <c r="O33" s="2317">
        <v>3500</v>
      </c>
      <c r="P33" s="2317">
        <v>3500</v>
      </c>
      <c r="Q33" s="2317">
        <v>3500</v>
      </c>
      <c r="R33" s="2317">
        <v>3500</v>
      </c>
      <c r="S33" s="2317"/>
      <c r="T33" s="2317"/>
      <c r="U33" s="2317"/>
      <c r="V33" s="2317"/>
      <c r="W33" s="2317"/>
      <c r="AP33" s="712"/>
    </row>
    <row r="34" spans="1:42" s="1808" customFormat="1" ht="16">
      <c r="A34" s="960"/>
      <c r="B34" s="960"/>
      <c r="C34" s="960"/>
      <c r="D34" s="960"/>
      <c r="E34" s="960"/>
      <c r="F34" s="960"/>
      <c r="G34" s="960"/>
      <c r="H34" s="960"/>
      <c r="I34" s="960"/>
      <c r="J34" s="960"/>
      <c r="K34" s="712" t="s">
        <v>238</v>
      </c>
      <c r="M34" s="959" t="s">
        <v>3878</v>
      </c>
      <c r="N34" s="2317">
        <v>0</v>
      </c>
      <c r="O34" s="2317">
        <v>500</v>
      </c>
      <c r="P34" s="2317">
        <v>500</v>
      </c>
      <c r="Q34" s="2317">
        <v>500</v>
      </c>
      <c r="R34" s="2317">
        <v>500</v>
      </c>
      <c r="S34" s="2317"/>
      <c r="T34" s="2317"/>
      <c r="U34" s="2317"/>
      <c r="V34" s="2317"/>
      <c r="W34" s="2317"/>
      <c r="AP34" s="712"/>
    </row>
    <row r="35" spans="1:42" s="1808" customFormat="1" ht="17" thickBot="1">
      <c r="A35" s="960"/>
      <c r="B35" s="960"/>
      <c r="C35" s="960"/>
      <c r="D35" s="960"/>
      <c r="E35" s="960"/>
      <c r="F35" s="960"/>
      <c r="G35" s="960"/>
      <c r="H35" s="960"/>
      <c r="I35" s="960"/>
      <c r="J35" s="960"/>
      <c r="K35" s="712" t="s">
        <v>238</v>
      </c>
      <c r="M35" s="2319"/>
      <c r="N35" s="545"/>
      <c r="O35" s="545"/>
      <c r="P35" s="545"/>
      <c r="Q35" s="545"/>
      <c r="R35" s="545"/>
      <c r="S35" s="545"/>
      <c r="T35" s="545"/>
      <c r="U35" s="545"/>
      <c r="V35" s="545"/>
      <c r="W35" s="545"/>
      <c r="AP35" s="712"/>
    </row>
    <row r="36" spans="1:42" s="1808" customFormat="1" ht="19" thickBot="1">
      <c r="A36" s="960"/>
      <c r="B36" s="960"/>
      <c r="C36" s="960"/>
      <c r="D36" s="960"/>
      <c r="E36" s="960"/>
      <c r="F36" s="960"/>
      <c r="G36" s="960"/>
      <c r="H36" s="960"/>
      <c r="I36" s="960"/>
      <c r="J36" s="960"/>
      <c r="K36" s="712" t="s">
        <v>238</v>
      </c>
      <c r="N36" s="2312" t="s">
        <v>178</v>
      </c>
      <c r="O36" s="966"/>
      <c r="P36" s="966"/>
      <c r="Q36" s="966"/>
      <c r="R36" s="967"/>
      <c r="S36" s="2312" t="s">
        <v>179</v>
      </c>
      <c r="T36" s="966"/>
      <c r="U36" s="966"/>
      <c r="V36" s="966"/>
      <c r="W36" s="967"/>
      <c r="AP36" s="712"/>
    </row>
    <row r="37" spans="1:42" s="1808" customFormat="1" ht="16" thickBot="1">
      <c r="A37" s="960"/>
      <c r="B37" s="960"/>
      <c r="C37" s="960"/>
      <c r="D37" s="960"/>
      <c r="E37" s="960"/>
      <c r="F37" s="960"/>
      <c r="G37" s="960"/>
      <c r="H37" s="960"/>
      <c r="I37" s="960"/>
      <c r="J37" s="960"/>
      <c r="K37" s="712" t="s">
        <v>238</v>
      </c>
      <c r="N37" s="2320">
        <v>2021</v>
      </c>
      <c r="O37" s="2321">
        <v>2022</v>
      </c>
      <c r="P37" s="2321">
        <v>2023</v>
      </c>
      <c r="Q37" s="2321">
        <v>2024</v>
      </c>
      <c r="R37" s="2322">
        <v>2025</v>
      </c>
      <c r="S37" s="2320">
        <v>2021</v>
      </c>
      <c r="T37" s="2321">
        <v>2022</v>
      </c>
      <c r="U37" s="2321">
        <v>2023</v>
      </c>
      <c r="V37" s="2321">
        <v>2024</v>
      </c>
      <c r="W37" s="2322">
        <v>2025</v>
      </c>
      <c r="AP37" s="712"/>
    </row>
    <row r="38" spans="1:42" s="1808" customFormat="1" ht="17" thickBot="1">
      <c r="A38" s="960"/>
      <c r="B38" s="960"/>
      <c r="C38" s="960"/>
      <c r="D38" s="960"/>
      <c r="E38" s="960"/>
      <c r="F38" s="960"/>
      <c r="G38" s="960"/>
      <c r="H38" s="960"/>
      <c r="I38" s="960"/>
      <c r="J38" s="960"/>
      <c r="K38" s="712" t="s">
        <v>238</v>
      </c>
      <c r="N38" s="2313">
        <f>SUM(N30:N34)</f>
        <v>6400</v>
      </c>
      <c r="O38" s="2314">
        <f t="shared" ref="O38:W38" si="2">SUM(O30:O34)</f>
        <v>12400</v>
      </c>
      <c r="P38" s="2314">
        <f t="shared" si="2"/>
        <v>13400</v>
      </c>
      <c r="Q38" s="2314">
        <f t="shared" si="2"/>
        <v>13400</v>
      </c>
      <c r="R38" s="2314">
        <f t="shared" si="2"/>
        <v>13400</v>
      </c>
      <c r="S38" s="2314">
        <f t="shared" si="2"/>
        <v>2900</v>
      </c>
      <c r="T38" s="2314">
        <f t="shared" si="2"/>
        <v>3300</v>
      </c>
      <c r="U38" s="2314">
        <f t="shared" si="2"/>
        <v>3400</v>
      </c>
      <c r="V38" s="2314">
        <f t="shared" si="2"/>
        <v>3400</v>
      </c>
      <c r="W38" s="2315">
        <f t="shared" si="2"/>
        <v>3400</v>
      </c>
      <c r="AP38" s="712"/>
    </row>
    <row r="39" spans="1:42" s="1808" customFormat="1">
      <c r="A39" s="960"/>
      <c r="B39" s="960"/>
      <c r="C39" s="960"/>
      <c r="D39" s="960"/>
      <c r="E39" s="960"/>
      <c r="F39" s="960"/>
      <c r="G39" s="960"/>
      <c r="H39" s="960"/>
      <c r="I39" s="960"/>
      <c r="J39" s="960"/>
      <c r="K39" s="712" t="s">
        <v>238</v>
      </c>
      <c r="M39" s="2335" t="s">
        <v>3880</v>
      </c>
      <c r="N39" s="2336">
        <v>0.7</v>
      </c>
      <c r="O39" s="2336">
        <v>0.83</v>
      </c>
      <c r="P39" s="2336">
        <v>0.83</v>
      </c>
      <c r="Q39" s="2336">
        <v>0</v>
      </c>
      <c r="R39" s="2336">
        <v>0</v>
      </c>
      <c r="S39" s="2336">
        <v>1</v>
      </c>
      <c r="T39" s="2336">
        <v>1</v>
      </c>
      <c r="U39" s="2336">
        <v>1</v>
      </c>
      <c r="V39" s="2336"/>
      <c r="W39" s="2336"/>
      <c r="AP39" s="712"/>
    </row>
    <row r="40" spans="1:42" s="1808" customFormat="1">
      <c r="A40" s="960"/>
      <c r="B40" s="960"/>
      <c r="C40" s="960"/>
      <c r="D40" s="960"/>
      <c r="E40" s="960"/>
      <c r="F40" s="960"/>
      <c r="G40" s="960"/>
      <c r="H40" s="960"/>
      <c r="I40" s="960"/>
      <c r="J40" s="960"/>
      <c r="K40" s="712" t="s">
        <v>238</v>
      </c>
      <c r="M40" s="2335" t="s">
        <v>338</v>
      </c>
      <c r="N40" s="1880">
        <f>1-N39</f>
        <v>0.30000000000000004</v>
      </c>
      <c r="O40" s="1880">
        <f t="shared" ref="O40:R40" si="3">1-O39</f>
        <v>0.17000000000000004</v>
      </c>
      <c r="P40" s="1880">
        <f t="shared" si="3"/>
        <v>0.17000000000000004</v>
      </c>
      <c r="Q40" s="1880">
        <f t="shared" si="3"/>
        <v>1</v>
      </c>
      <c r="R40" s="1880">
        <f t="shared" si="3"/>
        <v>1</v>
      </c>
      <c r="S40" s="1880">
        <f t="shared" ref="S40:T40" si="4">1-S39</f>
        <v>0</v>
      </c>
      <c r="T40" s="1880">
        <f t="shared" si="4"/>
        <v>0</v>
      </c>
      <c r="U40" s="1880">
        <f t="shared" ref="U40" si="5">1-U39</f>
        <v>0</v>
      </c>
      <c r="V40" s="1880">
        <v>0</v>
      </c>
      <c r="W40" s="1880">
        <v>0</v>
      </c>
      <c r="AP40" s="712"/>
    </row>
    <row r="41" spans="1:42" s="1808" customFormat="1">
      <c r="A41" s="960"/>
      <c r="B41" s="960"/>
      <c r="C41" s="960"/>
      <c r="D41" s="960"/>
      <c r="E41" s="960"/>
      <c r="F41" s="960"/>
      <c r="G41" s="960"/>
      <c r="H41" s="960"/>
      <c r="I41" s="960"/>
      <c r="J41" s="960"/>
      <c r="K41" s="712" t="s">
        <v>238</v>
      </c>
      <c r="M41" s="2335" t="s">
        <v>3882</v>
      </c>
      <c r="N41" s="2334">
        <f>N38-(N42+N43)</f>
        <v>0</v>
      </c>
      <c r="O41" s="2334">
        <f t="shared" ref="O41:W41" si="6">O38-(O42+O43)</f>
        <v>0</v>
      </c>
      <c r="P41" s="2334">
        <f t="shared" si="6"/>
        <v>0</v>
      </c>
      <c r="Q41" s="2334">
        <f t="shared" si="6"/>
        <v>0</v>
      </c>
      <c r="R41" s="2334">
        <f t="shared" si="6"/>
        <v>0</v>
      </c>
      <c r="S41" s="2334">
        <f t="shared" si="6"/>
        <v>0</v>
      </c>
      <c r="T41" s="2334">
        <f t="shared" si="6"/>
        <v>0</v>
      </c>
      <c r="U41" s="2334">
        <f t="shared" si="6"/>
        <v>0</v>
      </c>
      <c r="V41" s="2334">
        <f>V38-(V42+V43)</f>
        <v>0</v>
      </c>
      <c r="W41" s="2334">
        <f t="shared" si="6"/>
        <v>0</v>
      </c>
      <c r="AP41" s="712"/>
    </row>
    <row r="42" spans="1:42" s="1808" customFormat="1">
      <c r="A42" s="960"/>
      <c r="B42" s="960"/>
      <c r="C42" s="960"/>
      <c r="D42" s="960"/>
      <c r="E42" s="960"/>
      <c r="F42" s="960"/>
      <c r="G42" s="960"/>
      <c r="H42" s="960"/>
      <c r="I42" s="960"/>
      <c r="J42" s="960"/>
      <c r="K42" s="712" t="s">
        <v>238</v>
      </c>
      <c r="M42" s="2335" t="s">
        <v>3883</v>
      </c>
      <c r="N42" s="1028">
        <f t="shared" ref="N42:W42" si="7">ROUND(N39*N38,0)</f>
        <v>4480</v>
      </c>
      <c r="O42" s="1028">
        <f t="shared" si="7"/>
        <v>10292</v>
      </c>
      <c r="P42" s="1028">
        <f t="shared" si="7"/>
        <v>11122</v>
      </c>
      <c r="Q42" s="1028">
        <f t="shared" si="7"/>
        <v>0</v>
      </c>
      <c r="R42" s="1028">
        <f t="shared" si="7"/>
        <v>0</v>
      </c>
      <c r="S42" s="1028">
        <f t="shared" si="7"/>
        <v>2900</v>
      </c>
      <c r="T42" s="1028">
        <f t="shared" si="7"/>
        <v>3300</v>
      </c>
      <c r="U42" s="1028">
        <f t="shared" si="7"/>
        <v>3400</v>
      </c>
      <c r="V42" s="1028">
        <f t="shared" si="7"/>
        <v>0</v>
      </c>
      <c r="W42" s="1028">
        <f t="shared" si="7"/>
        <v>0</v>
      </c>
      <c r="AP42" s="712"/>
    </row>
    <row r="43" spans="1:42" s="1808" customFormat="1">
      <c r="A43" s="960"/>
      <c r="B43" s="960"/>
      <c r="C43" s="960"/>
      <c r="D43" s="960"/>
      <c r="E43" s="960"/>
      <c r="F43" s="960"/>
      <c r="G43" s="960"/>
      <c r="H43" s="960"/>
      <c r="I43" s="960"/>
      <c r="J43" s="960"/>
      <c r="K43" s="712" t="s">
        <v>238</v>
      </c>
      <c r="M43" s="2335" t="s">
        <v>3886</v>
      </c>
      <c r="N43" s="1028">
        <f t="shared" ref="N43:W43" si="8">N38-N42</f>
        <v>1920</v>
      </c>
      <c r="O43" s="1028">
        <f t="shared" si="8"/>
        <v>2108</v>
      </c>
      <c r="P43" s="1028">
        <f t="shared" si="8"/>
        <v>2278</v>
      </c>
      <c r="Q43" s="1028">
        <f t="shared" si="8"/>
        <v>13400</v>
      </c>
      <c r="R43" s="1028">
        <f t="shared" si="8"/>
        <v>13400</v>
      </c>
      <c r="S43" s="1028">
        <f t="shared" si="8"/>
        <v>0</v>
      </c>
      <c r="T43" s="1028">
        <f t="shared" si="8"/>
        <v>0</v>
      </c>
      <c r="U43" s="1028">
        <f t="shared" si="8"/>
        <v>0</v>
      </c>
      <c r="V43" s="1028">
        <f t="shared" si="8"/>
        <v>3400</v>
      </c>
      <c r="W43" s="1028">
        <f t="shared" si="8"/>
        <v>3400</v>
      </c>
      <c r="AP43" s="712"/>
    </row>
    <row r="44" spans="1:42" s="1808" customFormat="1">
      <c r="A44" s="2157">
        <v>8</v>
      </c>
      <c r="B44" s="841">
        <f>N47</f>
        <v>1176883.2000000002</v>
      </c>
      <c r="C44" s="841">
        <f>O47</f>
        <v>1292119.6800000002</v>
      </c>
      <c r="D44" s="841">
        <f>P47</f>
        <v>1396322.8800000001</v>
      </c>
      <c r="E44" s="2337">
        <f>Q47</f>
        <v>8213664.0000000009</v>
      </c>
      <c r="F44" s="2337">
        <f>R47</f>
        <v>8213664.0000000009</v>
      </c>
      <c r="G44" s="841" t="s">
        <v>338</v>
      </c>
      <c r="H44" s="841" t="s">
        <v>3625</v>
      </c>
      <c r="I44" s="841"/>
      <c r="J44" s="841" t="s">
        <v>2925</v>
      </c>
      <c r="K44" s="712" t="s">
        <v>238</v>
      </c>
      <c r="M44" s="853"/>
      <c r="N44" s="853"/>
      <c r="AP44" s="712"/>
    </row>
    <row r="45" spans="1:42" s="1808" customFormat="1">
      <c r="A45" s="960"/>
      <c r="B45" s="960"/>
      <c r="C45" s="960"/>
      <c r="D45" s="960"/>
      <c r="E45" s="960"/>
      <c r="F45" s="960"/>
      <c r="G45" s="960"/>
      <c r="H45" s="960"/>
      <c r="I45" s="960"/>
      <c r="J45" s="960"/>
      <c r="K45" s="712" t="s">
        <v>238</v>
      </c>
      <c r="M45" s="853"/>
      <c r="N45" s="853"/>
      <c r="AP45" s="712"/>
    </row>
    <row r="46" spans="1:42" s="1808" customFormat="1" ht="31.25" customHeight="1">
      <c r="A46" s="2157">
        <v>9</v>
      </c>
      <c r="B46" s="841">
        <f>N46</f>
        <v>2746060.8000000003</v>
      </c>
      <c r="C46" s="841">
        <f>O46</f>
        <v>6308584.3200000003</v>
      </c>
      <c r="D46" s="841">
        <f>P46</f>
        <v>6817341.1200000001</v>
      </c>
      <c r="E46" s="841">
        <f>Q46</f>
        <v>0</v>
      </c>
      <c r="F46" s="841">
        <f>R46</f>
        <v>0</v>
      </c>
      <c r="G46" s="841" t="s">
        <v>351</v>
      </c>
      <c r="H46" s="2160" t="s">
        <v>3887</v>
      </c>
      <c r="I46" s="841" t="s">
        <v>3717</v>
      </c>
      <c r="J46" s="841" t="s">
        <v>2925</v>
      </c>
      <c r="K46" s="712" t="s">
        <v>238</v>
      </c>
      <c r="M46" s="1808" t="s">
        <v>3884</v>
      </c>
      <c r="N46" s="1787">
        <f>N42*V26</f>
        <v>2746060.8000000003</v>
      </c>
      <c r="O46" s="1787">
        <f>O42*V26</f>
        <v>6308584.3200000003</v>
      </c>
      <c r="P46" s="1787">
        <f>P42*V26</f>
        <v>6817341.1200000001</v>
      </c>
      <c r="Q46" s="1787">
        <f>Q42*V26</f>
        <v>0</v>
      </c>
      <c r="R46" s="1787">
        <f>R42*V26</f>
        <v>0</v>
      </c>
      <c r="S46" s="1787">
        <f>S42*V26</f>
        <v>1777584</v>
      </c>
      <c r="T46" s="1787">
        <f>T42*V26</f>
        <v>2022768.0000000002</v>
      </c>
      <c r="U46" s="1787">
        <f>U42*V26</f>
        <v>2084064.0000000002</v>
      </c>
      <c r="V46" s="1787">
        <f>V42*V26</f>
        <v>0</v>
      </c>
      <c r="W46" s="1787">
        <f>W42*V26</f>
        <v>0</v>
      </c>
      <c r="AP46" s="712"/>
    </row>
    <row r="47" spans="1:42" s="1808" customFormat="1" ht="31.25" customHeight="1">
      <c r="A47" s="2157">
        <v>221</v>
      </c>
      <c r="B47" s="841">
        <f t="shared" ref="B47:F48" si="9">S46</f>
        <v>1777584</v>
      </c>
      <c r="C47" s="841">
        <f t="shared" si="9"/>
        <v>2022768.0000000002</v>
      </c>
      <c r="D47" s="841">
        <f t="shared" si="9"/>
        <v>2084064.0000000002</v>
      </c>
      <c r="E47" s="841">
        <f t="shared" si="9"/>
        <v>0</v>
      </c>
      <c r="F47" s="841">
        <f t="shared" si="9"/>
        <v>0</v>
      </c>
      <c r="G47" s="841" t="s">
        <v>351</v>
      </c>
      <c r="H47" s="2160" t="s">
        <v>3888</v>
      </c>
      <c r="I47" s="841" t="s">
        <v>3717</v>
      </c>
      <c r="J47" s="841" t="s">
        <v>2925</v>
      </c>
      <c r="K47" s="712" t="s">
        <v>238</v>
      </c>
      <c r="M47" s="1808" t="s">
        <v>3885</v>
      </c>
      <c r="N47" s="1787">
        <f>N43*V26</f>
        <v>1176883.2000000002</v>
      </c>
      <c r="O47" s="1787">
        <f>O43*V26</f>
        <v>1292119.6800000002</v>
      </c>
      <c r="P47" s="1787">
        <f>P43*V26</f>
        <v>1396322.8800000001</v>
      </c>
      <c r="Q47" s="1787">
        <f>Q43*V26</f>
        <v>8213664.0000000009</v>
      </c>
      <c r="R47" s="1787">
        <f>R43*V26</f>
        <v>8213664.0000000009</v>
      </c>
      <c r="S47" s="1787">
        <f>S43*V26</f>
        <v>0</v>
      </c>
      <c r="T47" s="1787">
        <f>T43*V26</f>
        <v>0</v>
      </c>
      <c r="U47" s="1787">
        <f>U43*V26</f>
        <v>0</v>
      </c>
      <c r="V47" s="1787">
        <f>V43*V26</f>
        <v>2084064.0000000002</v>
      </c>
      <c r="W47" s="1787">
        <f>W43*V26</f>
        <v>2084064.0000000002</v>
      </c>
      <c r="AP47" s="712"/>
    </row>
    <row r="48" spans="1:42" s="1808" customFormat="1" ht="48">
      <c r="A48" s="2157">
        <v>236</v>
      </c>
      <c r="B48" s="841">
        <f t="shared" si="9"/>
        <v>0</v>
      </c>
      <c r="C48" s="841">
        <f t="shared" si="9"/>
        <v>0</v>
      </c>
      <c r="D48" s="841">
        <f t="shared" si="9"/>
        <v>0</v>
      </c>
      <c r="E48" s="841">
        <f t="shared" si="9"/>
        <v>2084064.0000000002</v>
      </c>
      <c r="F48" s="841">
        <f t="shared" si="9"/>
        <v>2084064.0000000002</v>
      </c>
      <c r="G48" s="841" t="s">
        <v>513</v>
      </c>
      <c r="H48" s="2160" t="s">
        <v>3888</v>
      </c>
      <c r="I48" s="841"/>
      <c r="J48" s="841" t="s">
        <v>2925</v>
      </c>
      <c r="K48" s="712" t="s">
        <v>238</v>
      </c>
      <c r="M48" s="1081" t="s">
        <v>3882</v>
      </c>
      <c r="N48" s="2343">
        <f>N41*V26</f>
        <v>0</v>
      </c>
      <c r="O48" s="2343">
        <f>O41*V26</f>
        <v>0</v>
      </c>
      <c r="P48" s="2343">
        <f>P41*V26</f>
        <v>0</v>
      </c>
      <c r="Q48" s="2343">
        <f>Q41*V26</f>
        <v>0</v>
      </c>
      <c r="R48" s="2343">
        <f>R41*V26</f>
        <v>0</v>
      </c>
      <c r="S48" s="2343">
        <f>S41*V26</f>
        <v>0</v>
      </c>
      <c r="T48" s="2343">
        <f>T41*V26</f>
        <v>0</v>
      </c>
      <c r="U48" s="2343">
        <f>U41*V26</f>
        <v>0</v>
      </c>
      <c r="V48" s="2343">
        <f>V41*V26</f>
        <v>0</v>
      </c>
      <c r="W48" s="2343">
        <f>W41*V26</f>
        <v>0</v>
      </c>
      <c r="AP48" s="712"/>
    </row>
    <row r="49" spans="1:42">
      <c r="A49"/>
      <c r="B49"/>
      <c r="C49"/>
      <c r="D49"/>
      <c r="E49"/>
      <c r="F49"/>
      <c r="G49"/>
      <c r="H49"/>
      <c r="I49"/>
      <c r="J49"/>
      <c r="K49" s="712" t="s">
        <v>238</v>
      </c>
      <c r="AD49"/>
      <c r="AE49"/>
      <c r="AF49"/>
      <c r="AG49"/>
      <c r="AH49"/>
      <c r="AI49"/>
      <c r="AJ49"/>
      <c r="AK49"/>
      <c r="AP49" s="712" t="s">
        <v>238</v>
      </c>
    </row>
    <row r="50" spans="1:42">
      <c r="A50"/>
      <c r="B50"/>
      <c r="C50"/>
      <c r="D50"/>
      <c r="E50"/>
      <c r="F50"/>
      <c r="G50"/>
      <c r="H50"/>
      <c r="I50"/>
      <c r="J50"/>
      <c r="K50" s="712" t="s">
        <v>238</v>
      </c>
      <c r="AD50"/>
      <c r="AE50"/>
      <c r="AF50"/>
      <c r="AG50"/>
      <c r="AH50"/>
      <c r="AI50"/>
      <c r="AJ50"/>
      <c r="AK50"/>
      <c r="AP50" s="712" t="s">
        <v>238</v>
      </c>
    </row>
    <row r="51" spans="1:42" s="1808" customFormat="1">
      <c r="K51" s="712" t="s">
        <v>238</v>
      </c>
      <c r="L51"/>
      <c r="M51"/>
      <c r="N51"/>
      <c r="O51"/>
      <c r="P51"/>
      <c r="Q51"/>
      <c r="R51"/>
      <c r="S51"/>
      <c r="T51"/>
      <c r="U51"/>
      <c r="V51"/>
      <c r="W51"/>
      <c r="AP51" s="712" t="s">
        <v>238</v>
      </c>
    </row>
    <row r="52" spans="1:42" ht="24">
      <c r="A52"/>
      <c r="B52"/>
      <c r="C52"/>
      <c r="D52"/>
      <c r="E52"/>
      <c r="F52"/>
      <c r="G52"/>
      <c r="H52"/>
      <c r="I52"/>
      <c r="J52"/>
      <c r="K52" s="712" t="s">
        <v>238</v>
      </c>
      <c r="L52" s="2384" t="s">
        <v>2976</v>
      </c>
      <c r="M52" s="2182"/>
      <c r="N52" s="2182"/>
      <c r="O52" s="2182"/>
      <c r="P52" s="2182"/>
      <c r="Q52" s="2182"/>
      <c r="R52" s="2182"/>
      <c r="S52" s="2182"/>
      <c r="T52" s="2182"/>
      <c r="U52" s="2182"/>
      <c r="V52" s="2182"/>
      <c r="W52" s="2182"/>
      <c r="X52" s="2182"/>
      <c r="Y52" s="2182"/>
      <c r="Z52" s="2182"/>
      <c r="AA52" s="2182"/>
      <c r="AB52" s="2182"/>
      <c r="AC52" s="2182"/>
      <c r="AD52" s="2182"/>
      <c r="AE52" s="2182"/>
      <c r="AF52" s="2182"/>
      <c r="AG52" s="2182"/>
      <c r="AH52" s="2182"/>
      <c r="AI52" s="2182"/>
      <c r="AJ52" s="2182"/>
      <c r="AK52" s="2182"/>
      <c r="AL52" s="2182"/>
      <c r="AM52" s="2182"/>
      <c r="AN52" s="2182"/>
      <c r="AO52" s="2182"/>
      <c r="AP52" s="712" t="s">
        <v>238</v>
      </c>
    </row>
    <row r="53" spans="1:42">
      <c r="A53"/>
      <c r="B53"/>
      <c r="C53"/>
      <c r="D53"/>
      <c r="E53"/>
      <c r="F53"/>
      <c r="G53"/>
      <c r="H53"/>
      <c r="I53"/>
      <c r="J53"/>
      <c r="K53" s="712" t="s">
        <v>238</v>
      </c>
      <c r="M53" t="s">
        <v>3875</v>
      </c>
      <c r="AD53"/>
      <c r="AE53"/>
      <c r="AF53"/>
      <c r="AG53"/>
      <c r="AH53"/>
      <c r="AI53"/>
      <c r="AJ53"/>
      <c r="AK53"/>
      <c r="AP53" s="712" t="s">
        <v>238</v>
      </c>
    </row>
    <row r="54" spans="1:42" ht="21">
      <c r="A54"/>
      <c r="B54"/>
      <c r="C54"/>
      <c r="D54"/>
      <c r="E54"/>
      <c r="F54"/>
      <c r="G54"/>
      <c r="H54"/>
      <c r="I54"/>
      <c r="J54"/>
      <c r="K54" s="712" t="s">
        <v>238</v>
      </c>
      <c r="L54" s="2114" t="s">
        <v>3890</v>
      </c>
      <c r="AD54"/>
      <c r="AE54"/>
      <c r="AF54"/>
      <c r="AG54"/>
      <c r="AH54"/>
      <c r="AI54"/>
      <c r="AJ54"/>
      <c r="AK54"/>
      <c r="AP54" s="712" t="s">
        <v>238</v>
      </c>
    </row>
    <row r="55" spans="1:42">
      <c r="A55"/>
      <c r="B55"/>
      <c r="C55"/>
      <c r="D55"/>
      <c r="E55"/>
      <c r="F55"/>
      <c r="G55"/>
      <c r="H55"/>
      <c r="I55"/>
      <c r="J55"/>
      <c r="K55" s="712" t="s">
        <v>238</v>
      </c>
      <c r="AD55"/>
      <c r="AE55"/>
      <c r="AF55"/>
      <c r="AG55"/>
      <c r="AH55"/>
      <c r="AI55"/>
      <c r="AJ55"/>
      <c r="AK55"/>
      <c r="AP55" s="712" t="s">
        <v>238</v>
      </c>
    </row>
    <row r="56" spans="1:42" s="1808" customFormat="1" ht="19">
      <c r="K56" s="712"/>
      <c r="N56" s="1879" t="s">
        <v>297</v>
      </c>
      <c r="O56" s="442"/>
      <c r="P56" s="442"/>
      <c r="Q56" s="442"/>
      <c r="R56"/>
      <c r="S56" s="442"/>
      <c r="T56" s="442"/>
      <c r="U56" s="442"/>
      <c r="V56" s="442"/>
      <c r="W56" s="442"/>
      <c r="X56" s="442"/>
      <c r="Y56" s="442"/>
      <c r="Z56" s="442"/>
      <c r="AP56" s="712" t="s">
        <v>238</v>
      </c>
    </row>
    <row r="57" spans="1:42" s="1808" customFormat="1" ht="21">
      <c r="K57" s="712"/>
      <c r="N57" s="499"/>
      <c r="O57" s="442"/>
      <c r="P57" s="442"/>
      <c r="Q57" s="442"/>
      <c r="R57" s="500"/>
      <c r="S57" s="442"/>
      <c r="T57" s="442"/>
      <c r="U57" s="442"/>
      <c r="V57" s="442"/>
      <c r="W57" s="442"/>
      <c r="X57" s="442"/>
      <c r="Y57" s="442"/>
      <c r="Z57" s="442"/>
      <c r="AP57" s="712" t="s">
        <v>238</v>
      </c>
    </row>
    <row r="58" spans="1:42" s="1808" customFormat="1" ht="21">
      <c r="K58" s="712"/>
      <c r="M58" s="499" t="s">
        <v>306</v>
      </c>
      <c r="N58" s="442"/>
      <c r="O58" s="442"/>
      <c r="P58" s="442"/>
      <c r="Q58" s="500"/>
      <c r="R58" s="442"/>
      <c r="S58" s="442"/>
      <c r="T58" s="442"/>
      <c r="U58" s="442"/>
      <c r="V58" s="442"/>
      <c r="W58" s="442"/>
      <c r="X58" s="442"/>
      <c r="Y58" s="442"/>
      <c r="AP58" s="712" t="s">
        <v>238</v>
      </c>
    </row>
    <row r="59" spans="1:42" s="1808" customFormat="1" ht="22" thickBot="1">
      <c r="K59" s="712"/>
      <c r="M59" s="421"/>
      <c r="N59" s="442"/>
      <c r="O59" s="526"/>
      <c r="P59" s="526"/>
      <c r="Q59" s="526"/>
      <c r="R59" s="526"/>
      <c r="S59" s="526"/>
      <c r="T59" s="526"/>
      <c r="U59" s="526"/>
      <c r="V59" s="499" t="s">
        <v>501</v>
      </c>
      <c r="W59" s="442"/>
      <c r="X59" s="526"/>
      <c r="Y59" s="526"/>
      <c r="Z59" s="526"/>
      <c r="AA59" s="526"/>
      <c r="AB59" s="526"/>
      <c r="AC59" s="526"/>
      <c r="AP59" s="712" t="s">
        <v>238</v>
      </c>
    </row>
    <row r="60" spans="1:42" s="1808" customFormat="1" ht="17" thickBot="1">
      <c r="K60" s="712"/>
      <c r="M60" s="526"/>
      <c r="N60" s="527" t="s">
        <v>197</v>
      </c>
      <c r="O60" s="528"/>
      <c r="P60" s="528"/>
      <c r="Q60" s="528"/>
      <c r="R60" s="528"/>
      <c r="S60" s="528"/>
      <c r="T60" s="529"/>
      <c r="V60" s="526"/>
      <c r="W60" s="527" t="s">
        <v>200</v>
      </c>
      <c r="X60" s="528"/>
      <c r="Y60" s="528"/>
      <c r="Z60" s="528"/>
      <c r="AA60" s="528"/>
      <c r="AB60" s="528"/>
      <c r="AC60" s="529"/>
      <c r="AP60" s="712" t="s">
        <v>238</v>
      </c>
    </row>
    <row r="61" spans="1:42" s="1808" customFormat="1" ht="17" thickBot="1">
      <c r="K61" s="712"/>
      <c r="M61" s="526"/>
      <c r="N61" s="530"/>
      <c r="O61" s="528"/>
      <c r="P61" s="531">
        <v>14</v>
      </c>
      <c r="Q61" s="531">
        <v>15</v>
      </c>
      <c r="R61" s="531">
        <v>16</v>
      </c>
      <c r="S61" s="531">
        <v>17</v>
      </c>
      <c r="T61" s="532">
        <v>18</v>
      </c>
      <c r="V61" s="526"/>
      <c r="W61" s="530"/>
      <c r="X61" s="528"/>
      <c r="Y61" s="531">
        <v>14</v>
      </c>
      <c r="Z61" s="531">
        <v>15</v>
      </c>
      <c r="AA61" s="531">
        <v>16</v>
      </c>
      <c r="AB61" s="531">
        <v>17</v>
      </c>
      <c r="AC61" s="532">
        <v>18</v>
      </c>
      <c r="AP61" s="712" t="s">
        <v>238</v>
      </c>
    </row>
    <row r="62" spans="1:42" s="1808" customFormat="1" ht="16">
      <c r="K62" s="712"/>
      <c r="M62" s="526"/>
      <c r="N62" s="533"/>
      <c r="O62" s="534"/>
      <c r="P62" s="535">
        <v>2021</v>
      </c>
      <c r="Q62" s="535">
        <v>2022</v>
      </c>
      <c r="R62" s="535">
        <v>2023</v>
      </c>
      <c r="S62" s="535">
        <v>2024</v>
      </c>
      <c r="T62" s="536">
        <v>2025</v>
      </c>
      <c r="V62" s="526"/>
      <c r="W62" s="533"/>
      <c r="X62" s="534"/>
      <c r="Y62" s="535">
        <v>2021</v>
      </c>
      <c r="Z62" s="535">
        <v>2022</v>
      </c>
      <c r="AA62" s="535">
        <v>2023</v>
      </c>
      <c r="AB62" s="535">
        <v>2024</v>
      </c>
      <c r="AC62" s="536">
        <v>2025</v>
      </c>
      <c r="AP62" s="712" t="s">
        <v>238</v>
      </c>
    </row>
    <row r="63" spans="1:42" s="1808" customFormat="1" ht="16">
      <c r="K63" s="712"/>
      <c r="M63" s="526"/>
      <c r="N63" s="537" t="s">
        <v>286</v>
      </c>
      <c r="O63" s="538" t="s">
        <v>270</v>
      </c>
      <c r="P63" s="539">
        <f>VLOOKUP(N63,estim_5years,P61,0)</f>
        <v>1771</v>
      </c>
      <c r="Q63" s="539">
        <f>VLOOKUP(N63,estim_5years,Q61,0)</f>
        <v>1717</v>
      </c>
      <c r="R63" s="539">
        <f>VLOOKUP(N63,estim_5years,R61,0)</f>
        <v>1665</v>
      </c>
      <c r="S63" s="539">
        <f>VLOOKUP(N63,estim_5years,S61,0)</f>
        <v>1617</v>
      </c>
      <c r="T63" s="540">
        <f>VLOOKUP(N63,estim_5years,T61,0)</f>
        <v>1571</v>
      </c>
      <c r="V63" s="526"/>
      <c r="W63" s="537" t="s">
        <v>292</v>
      </c>
      <c r="X63" s="538" t="s">
        <v>270</v>
      </c>
      <c r="Y63" s="539">
        <f>VLOOKUP(W63,estim_5years,Y61,0)</f>
        <v>292</v>
      </c>
      <c r="Z63" s="539">
        <f>VLOOKUP(W63,estim_5years,Z61,0)</f>
        <v>283</v>
      </c>
      <c r="AA63" s="539">
        <f>VLOOKUP(W63,estim_5years,AA61,0)</f>
        <v>278</v>
      </c>
      <c r="AB63" s="539">
        <f>VLOOKUP(W63,estim_5years,AB61,0)</f>
        <v>274</v>
      </c>
      <c r="AC63" s="540">
        <f>VLOOKUP(W63,estim_5years,AC61,0)</f>
        <v>269</v>
      </c>
      <c r="AP63" s="712" t="s">
        <v>238</v>
      </c>
    </row>
    <row r="64" spans="1:42" s="1808" customFormat="1" ht="16">
      <c r="K64" s="712"/>
      <c r="M64" s="526"/>
      <c r="N64" s="537" t="s">
        <v>287</v>
      </c>
      <c r="O64" s="538" t="s">
        <v>221</v>
      </c>
      <c r="P64" s="539">
        <f>VLOOKUP(N64,estim_5years,P61,0)</f>
        <v>166</v>
      </c>
      <c r="Q64" s="539">
        <f>VLOOKUP(N64,estim_5years,Q61,0)</f>
        <v>161</v>
      </c>
      <c r="R64" s="539">
        <f>VLOOKUP(N64,estim_5years,R61,0)</f>
        <v>157</v>
      </c>
      <c r="S64" s="539">
        <f>VLOOKUP(N64,estim_5years,S61,0)</f>
        <v>153</v>
      </c>
      <c r="T64" s="540">
        <f>VLOOKUP(N64,estim_5years,T61,0)</f>
        <v>149</v>
      </c>
      <c r="V64" s="526"/>
      <c r="W64" s="537" t="s">
        <v>293</v>
      </c>
      <c r="X64" s="538" t="s">
        <v>221</v>
      </c>
      <c r="Y64" s="539">
        <f>VLOOKUP(W64,estim_5years,Y61,0)</f>
        <v>34</v>
      </c>
      <c r="Z64" s="539">
        <f>VLOOKUP(W64,estim_5years,Z61,0)</f>
        <v>34</v>
      </c>
      <c r="AA64" s="539">
        <f>VLOOKUP(W64,estim_5years,AA61,0)</f>
        <v>33</v>
      </c>
      <c r="AB64" s="539">
        <f>VLOOKUP(W64,estim_5years,AB61,0)</f>
        <v>34</v>
      </c>
      <c r="AC64" s="540">
        <f>VLOOKUP(W64,estim_5years,AC61,0)</f>
        <v>34</v>
      </c>
      <c r="AP64" s="712" t="s">
        <v>238</v>
      </c>
    </row>
    <row r="65" spans="11:42" s="1808" customFormat="1" ht="16">
      <c r="K65" s="712"/>
      <c r="M65" s="526"/>
      <c r="N65" s="537" t="s">
        <v>288</v>
      </c>
      <c r="O65" s="538" t="s">
        <v>222</v>
      </c>
      <c r="P65" s="539">
        <f>VLOOKUP(N65,estim_5years,P61,0)</f>
        <v>447</v>
      </c>
      <c r="Q65" s="539">
        <f>VLOOKUP(N65,estim_5years,Q61,0)</f>
        <v>432</v>
      </c>
      <c r="R65" s="539">
        <f>VLOOKUP(N65,estim_5years,R61,0)</f>
        <v>419</v>
      </c>
      <c r="S65" s="539">
        <f>VLOOKUP(N65,estim_5years,S61,0)</f>
        <v>407</v>
      </c>
      <c r="T65" s="540">
        <f>VLOOKUP(N65,estim_5years,T61,0)</f>
        <v>395</v>
      </c>
      <c r="V65" s="526"/>
      <c r="W65" s="537" t="s">
        <v>294</v>
      </c>
      <c r="X65" s="538" t="s">
        <v>222</v>
      </c>
      <c r="Y65" s="539">
        <f>VLOOKUP(W65,estim_5years,Y61,0)</f>
        <v>194</v>
      </c>
      <c r="Z65" s="539">
        <f>VLOOKUP(W65,estim_5years,Z61,0)</f>
        <v>194</v>
      </c>
      <c r="AA65" s="539">
        <f>VLOOKUP(W65,estim_5years,AA61,0)</f>
        <v>195</v>
      </c>
      <c r="AB65" s="539">
        <f>VLOOKUP(W65,estim_5years,AB61,0)</f>
        <v>197</v>
      </c>
      <c r="AC65" s="540">
        <f>VLOOKUP(W65,estim_5years,AC61,0)</f>
        <v>200</v>
      </c>
      <c r="AP65" s="712" t="s">
        <v>238</v>
      </c>
    </row>
    <row r="66" spans="11:42" s="1808" customFormat="1" ht="17" thickBot="1">
      <c r="K66" s="712"/>
      <c r="M66" s="526"/>
      <c r="N66" s="541" t="s">
        <v>289</v>
      </c>
      <c r="O66" s="542" t="s">
        <v>223</v>
      </c>
      <c r="P66" s="543">
        <f>VLOOKUP(N66,estim_5years,P61,0)</f>
        <v>143</v>
      </c>
      <c r="Q66" s="543">
        <f>VLOOKUP(N66,estim_5years,Q61,0)</f>
        <v>137</v>
      </c>
      <c r="R66" s="543">
        <f>VLOOKUP(N66,estim_5years,R61,0)</f>
        <v>132</v>
      </c>
      <c r="S66" s="543">
        <f>VLOOKUP(N66,estim_5years,S61,0)</f>
        <v>127</v>
      </c>
      <c r="T66" s="544">
        <f>VLOOKUP(N66,estim_5years,T61,0)</f>
        <v>124</v>
      </c>
      <c r="V66" s="526"/>
      <c r="W66" s="541" t="s">
        <v>295</v>
      </c>
      <c r="X66" s="542" t="s">
        <v>223</v>
      </c>
      <c r="Y66" s="543">
        <f>VLOOKUP(W66,estim_5years,Y61,0)</f>
        <v>88</v>
      </c>
      <c r="Z66" s="543">
        <f>VLOOKUP(W66,estim_5years,Z61,0)</f>
        <v>88</v>
      </c>
      <c r="AA66" s="543">
        <f>VLOOKUP(W66,estim_5years,AA61,0)</f>
        <v>90</v>
      </c>
      <c r="AB66" s="543">
        <f>VLOOKUP(W66,estim_5years,AB61,0)</f>
        <v>94</v>
      </c>
      <c r="AC66" s="544">
        <f>VLOOKUP(W66,estim_5years,AC61,0)</f>
        <v>96</v>
      </c>
      <c r="AP66" s="712" t="s">
        <v>238</v>
      </c>
    </row>
    <row r="67" spans="11:42" s="1808" customFormat="1" ht="16">
      <c r="K67" s="712"/>
      <c r="M67" s="526"/>
      <c r="N67" s="526"/>
      <c r="O67" s="526"/>
      <c r="P67" s="526"/>
      <c r="Q67" s="526"/>
      <c r="R67" s="526"/>
      <c r="S67" s="526"/>
      <c r="T67" s="526"/>
      <c r="V67" s="526"/>
      <c r="W67" s="526"/>
      <c r="X67" s="526"/>
      <c r="Y67" s="526"/>
      <c r="Z67" s="526"/>
      <c r="AA67" s="526"/>
      <c r="AB67" s="526"/>
      <c r="AC67" s="526"/>
      <c r="AP67" s="712" t="s">
        <v>238</v>
      </c>
    </row>
    <row r="68" spans="11:42" s="1808" customFormat="1" ht="17" thickBot="1">
      <c r="K68" s="712"/>
      <c r="M68" s="545" t="s">
        <v>299</v>
      </c>
      <c r="N68" s="546" t="s">
        <v>307</v>
      </c>
      <c r="O68" s="526"/>
      <c r="P68" s="526"/>
      <c r="Q68" s="526"/>
      <c r="R68" s="526"/>
      <c r="S68" s="526"/>
      <c r="T68" s="526"/>
      <c r="V68" s="545" t="s">
        <v>299</v>
      </c>
      <c r="W68" s="546" t="s">
        <v>307</v>
      </c>
      <c r="X68" s="526"/>
      <c r="Y68" s="526"/>
      <c r="Z68" s="526"/>
      <c r="AA68" s="526"/>
      <c r="AB68" s="526"/>
      <c r="AC68" s="526"/>
      <c r="AP68" s="712" t="s">
        <v>238</v>
      </c>
    </row>
    <row r="69" spans="11:42" s="1808" customFormat="1" ht="16">
      <c r="K69" s="712"/>
      <c r="M69" s="546" t="s">
        <v>300</v>
      </c>
      <c r="N69" s="547">
        <v>3.3000000000000002E-2</v>
      </c>
      <c r="O69" s="548" t="s">
        <v>270</v>
      </c>
      <c r="P69" s="534">
        <f>ROUNDUP(P63*N69,0)</f>
        <v>59</v>
      </c>
      <c r="Q69" s="534">
        <f>ROUNDUP(Q63*N69,0)</f>
        <v>57</v>
      </c>
      <c r="R69" s="534">
        <f>ROUNDUP(R63*N69,0)</f>
        <v>55</v>
      </c>
      <c r="S69" s="534">
        <f>ROUNDUP(S63*N69,0)</f>
        <v>54</v>
      </c>
      <c r="T69" s="549">
        <f>ROUNDUP(T63*N69,0)</f>
        <v>52</v>
      </c>
      <c r="V69" s="546" t="s">
        <v>301</v>
      </c>
      <c r="W69" s="547">
        <v>0.01</v>
      </c>
      <c r="X69" s="548" t="s">
        <v>270</v>
      </c>
      <c r="Y69" s="534">
        <f>ROUNDUP(Y63*W69,0)</f>
        <v>3</v>
      </c>
      <c r="Z69" s="534">
        <f>ROUNDUP(Z63*W69,0)</f>
        <v>3</v>
      </c>
      <c r="AA69" s="534">
        <f>ROUNDUP(AA63*W69,0)</f>
        <v>3</v>
      </c>
      <c r="AB69" s="534">
        <f>ROUNDUP(AB63*W69,0)</f>
        <v>3</v>
      </c>
      <c r="AC69" s="549">
        <f>ROUNDUP(AC63*W69,0)</f>
        <v>3</v>
      </c>
      <c r="AP69" s="712" t="s">
        <v>238</v>
      </c>
    </row>
    <row r="70" spans="11:42" s="1808" customFormat="1" ht="16">
      <c r="K70" s="712"/>
      <c r="M70" s="546"/>
      <c r="N70" s="550"/>
      <c r="O70" s="551" t="s">
        <v>221</v>
      </c>
      <c r="P70" s="552"/>
      <c r="Q70" s="552"/>
      <c r="R70" s="552"/>
      <c r="S70" s="552"/>
      <c r="T70" s="553"/>
      <c r="V70" s="546"/>
      <c r="W70" s="550"/>
      <c r="X70" s="551" t="s">
        <v>221</v>
      </c>
      <c r="Y70" s="552"/>
      <c r="Z70" s="552"/>
      <c r="AA70" s="552"/>
      <c r="AB70" s="552"/>
      <c r="AC70" s="553"/>
      <c r="AP70" s="712" t="s">
        <v>238</v>
      </c>
    </row>
    <row r="71" spans="11:42" s="1808" customFormat="1" ht="16">
      <c r="K71" s="712"/>
      <c r="M71" s="546" t="s">
        <v>301</v>
      </c>
      <c r="N71" s="554">
        <v>4.4999999999999998E-2</v>
      </c>
      <c r="O71" s="551" t="s">
        <v>222</v>
      </c>
      <c r="P71" s="552">
        <f>ROUNDUP(P65*N71,0)</f>
        <v>21</v>
      </c>
      <c r="Q71" s="552">
        <f>ROUNDUP(Q65*N71,0)</f>
        <v>20</v>
      </c>
      <c r="R71" s="552">
        <f>ROUNDUP(R65*N71,0)</f>
        <v>19</v>
      </c>
      <c r="S71" s="552">
        <f>ROUNDUP(S65*N71,0)</f>
        <v>19</v>
      </c>
      <c r="T71" s="553">
        <f>ROUNDUP(T65*N71,0)</f>
        <v>18</v>
      </c>
      <c r="V71" s="546" t="s">
        <v>301</v>
      </c>
      <c r="W71" s="554">
        <v>1.2999999999999999E-2</v>
      </c>
      <c r="X71" s="551" t="s">
        <v>222</v>
      </c>
      <c r="Y71" s="552">
        <f>ROUNDUP(Y65*W71,0)</f>
        <v>3</v>
      </c>
      <c r="Z71" s="552">
        <f>ROUNDUP(Z65*W71,0)</f>
        <v>3</v>
      </c>
      <c r="AA71" s="552">
        <f>ROUNDUP(AA65*W71,0)</f>
        <v>3</v>
      </c>
      <c r="AB71" s="552">
        <f>ROUNDUP(AB65*W71,0)</f>
        <v>3</v>
      </c>
      <c r="AC71" s="553">
        <f>ROUNDUP(AC65*W71,0)</f>
        <v>3</v>
      </c>
      <c r="AP71" s="712" t="s">
        <v>238</v>
      </c>
    </row>
    <row r="72" spans="11:42" s="1808" customFormat="1" ht="17" thickBot="1">
      <c r="K72" s="712"/>
      <c r="M72" s="526"/>
      <c r="N72" s="550"/>
      <c r="O72" s="555" t="s">
        <v>223</v>
      </c>
      <c r="P72" s="556">
        <f>ROUNDUP(P66*N72,0)</f>
        <v>0</v>
      </c>
      <c r="Q72" s="556">
        <f>ROUNDUP(Q66*N72,0)</f>
        <v>0</v>
      </c>
      <c r="R72" s="556">
        <f>ROUNDUP(R66*N72,0)</f>
        <v>0</v>
      </c>
      <c r="S72" s="556">
        <f>ROUNDUP(S66*N72,0)</f>
        <v>0</v>
      </c>
      <c r="T72" s="557">
        <f>ROUNDUP(T66*N72,0)</f>
        <v>0</v>
      </c>
      <c r="V72" s="526"/>
      <c r="W72" s="550"/>
      <c r="X72" s="555" t="s">
        <v>223</v>
      </c>
      <c r="Y72" s="556">
        <f>ROUNDUP(Y66*W72,0)</f>
        <v>0</v>
      </c>
      <c r="Z72" s="556">
        <f>ROUNDUP(Z66*W72,0)</f>
        <v>0</v>
      </c>
      <c r="AA72" s="556">
        <f>ROUNDUP(AA66*W72,0)</f>
        <v>0</v>
      </c>
      <c r="AB72" s="556">
        <f>ROUNDUP(AB66*W72,0)</f>
        <v>0</v>
      </c>
      <c r="AC72" s="557">
        <f>ROUNDUP(AC66*W72,0)</f>
        <v>0</v>
      </c>
      <c r="AP72" s="712" t="s">
        <v>238</v>
      </c>
    </row>
    <row r="73" spans="11:42" s="1808" customFormat="1" ht="16">
      <c r="K73" s="712"/>
      <c r="M73" s="526"/>
      <c r="N73" s="526"/>
      <c r="O73" s="526"/>
      <c r="P73" s="526"/>
      <c r="Q73" s="526"/>
      <c r="R73" s="526"/>
      <c r="S73" s="526"/>
      <c r="T73" s="526"/>
      <c r="V73" s="526"/>
      <c r="W73" s="526"/>
      <c r="X73" s="526"/>
      <c r="Y73" s="526"/>
      <c r="Z73" s="526"/>
      <c r="AA73" s="526"/>
      <c r="AB73" s="526"/>
      <c r="AC73" s="526"/>
      <c r="AP73" s="712" t="s">
        <v>238</v>
      </c>
    </row>
    <row r="74" spans="11:42" s="1808" customFormat="1" ht="17" thickBot="1">
      <c r="K74" s="712"/>
      <c r="M74" s="545" t="s">
        <v>302</v>
      </c>
      <c r="N74" s="526"/>
      <c r="O74" s="526"/>
      <c r="P74" s="526"/>
      <c r="Q74" s="526"/>
      <c r="R74" s="526"/>
      <c r="S74" s="526"/>
      <c r="T74" s="526"/>
      <c r="V74" s="545" t="s">
        <v>3269</v>
      </c>
      <c r="W74" s="526"/>
      <c r="X74" s="526"/>
      <c r="Y74" s="526"/>
      <c r="Z74" s="526"/>
      <c r="AA74" s="526"/>
      <c r="AB74" s="526"/>
      <c r="AC74" s="526"/>
      <c r="AP74" s="712" t="s">
        <v>238</v>
      </c>
    </row>
    <row r="75" spans="11:42" s="1808" customFormat="1" ht="16">
      <c r="K75" s="712"/>
      <c r="M75" s="526"/>
      <c r="N75" s="526"/>
      <c r="O75" s="548" t="s">
        <v>270</v>
      </c>
      <c r="P75" s="534">
        <f t="shared" ref="P75:T78" si="10">P63-P69-P81</f>
        <v>1656</v>
      </c>
      <c r="Q75" s="534">
        <f t="shared" si="10"/>
        <v>1605</v>
      </c>
      <c r="R75" s="534">
        <f t="shared" si="10"/>
        <v>1557</v>
      </c>
      <c r="S75" s="534">
        <f t="shared" si="10"/>
        <v>1511</v>
      </c>
      <c r="T75" s="534">
        <f t="shared" si="10"/>
        <v>1469</v>
      </c>
      <c r="V75" s="526"/>
      <c r="W75" s="526"/>
      <c r="X75" s="548" t="s">
        <v>270</v>
      </c>
      <c r="Y75" s="534">
        <f t="shared" ref="Y75:AC78" si="11">Y63-Y69-Y81</f>
        <v>272</v>
      </c>
      <c r="Z75" s="534">
        <f t="shared" si="11"/>
        <v>264</v>
      </c>
      <c r="AA75" s="534">
        <f t="shared" si="11"/>
        <v>259</v>
      </c>
      <c r="AB75" s="534">
        <f t="shared" si="11"/>
        <v>255</v>
      </c>
      <c r="AC75" s="534">
        <f t="shared" si="11"/>
        <v>251</v>
      </c>
      <c r="AP75" s="712" t="s">
        <v>238</v>
      </c>
    </row>
    <row r="76" spans="11:42" s="1808" customFormat="1" ht="16">
      <c r="K76" s="712"/>
      <c r="M76" s="526"/>
      <c r="N76" s="526"/>
      <c r="O76" s="551" t="s">
        <v>221</v>
      </c>
      <c r="P76" s="552">
        <f t="shared" si="10"/>
        <v>166</v>
      </c>
      <c r="Q76" s="552">
        <f t="shared" si="10"/>
        <v>161</v>
      </c>
      <c r="R76" s="552">
        <f t="shared" si="10"/>
        <v>157</v>
      </c>
      <c r="S76" s="552">
        <f t="shared" si="10"/>
        <v>153</v>
      </c>
      <c r="T76" s="553">
        <f t="shared" si="10"/>
        <v>149</v>
      </c>
      <c r="V76" s="526"/>
      <c r="W76" s="526"/>
      <c r="X76" s="551" t="s">
        <v>221</v>
      </c>
      <c r="Y76" s="552">
        <f t="shared" si="11"/>
        <v>34</v>
      </c>
      <c r="Z76" s="552">
        <f t="shared" si="11"/>
        <v>34</v>
      </c>
      <c r="AA76" s="552">
        <f t="shared" si="11"/>
        <v>33</v>
      </c>
      <c r="AB76" s="552">
        <f t="shared" si="11"/>
        <v>34</v>
      </c>
      <c r="AC76" s="553">
        <f t="shared" si="11"/>
        <v>34</v>
      </c>
      <c r="AP76" s="712" t="s">
        <v>238</v>
      </c>
    </row>
    <row r="77" spans="11:42" s="1808" customFormat="1" ht="16">
      <c r="K77" s="712"/>
      <c r="M77" s="526"/>
      <c r="N77" s="526"/>
      <c r="O77" s="551" t="s">
        <v>222</v>
      </c>
      <c r="P77" s="552">
        <f t="shared" si="10"/>
        <v>406</v>
      </c>
      <c r="Q77" s="552">
        <f t="shared" si="10"/>
        <v>393</v>
      </c>
      <c r="R77" s="552">
        <f t="shared" si="10"/>
        <v>381</v>
      </c>
      <c r="S77" s="552">
        <f t="shared" si="10"/>
        <v>370</v>
      </c>
      <c r="T77" s="553">
        <f t="shared" si="10"/>
        <v>359</v>
      </c>
      <c r="V77" s="526"/>
      <c r="W77" s="526"/>
      <c r="X77" s="551" t="s">
        <v>222</v>
      </c>
      <c r="Y77" s="552">
        <f t="shared" si="11"/>
        <v>166</v>
      </c>
      <c r="Z77" s="552">
        <f t="shared" si="11"/>
        <v>166</v>
      </c>
      <c r="AA77" s="552">
        <f t="shared" si="11"/>
        <v>167</v>
      </c>
      <c r="AB77" s="552">
        <f t="shared" si="11"/>
        <v>169</v>
      </c>
      <c r="AC77" s="553">
        <f t="shared" si="11"/>
        <v>171</v>
      </c>
      <c r="AP77" s="712" t="s">
        <v>238</v>
      </c>
    </row>
    <row r="78" spans="11:42" s="1808" customFormat="1" ht="17" thickBot="1">
      <c r="K78" s="712"/>
      <c r="M78" s="526"/>
      <c r="N78" s="526"/>
      <c r="O78" s="555" t="s">
        <v>223</v>
      </c>
      <c r="P78" s="556">
        <f t="shared" si="10"/>
        <v>143</v>
      </c>
      <c r="Q78" s="556">
        <f t="shared" si="10"/>
        <v>137</v>
      </c>
      <c r="R78" s="556">
        <f t="shared" si="10"/>
        <v>132</v>
      </c>
      <c r="S78" s="556">
        <f t="shared" si="10"/>
        <v>127</v>
      </c>
      <c r="T78" s="557">
        <f t="shared" si="10"/>
        <v>124</v>
      </c>
      <c r="V78" s="526"/>
      <c r="W78" s="526"/>
      <c r="X78" s="555" t="s">
        <v>223</v>
      </c>
      <c r="Y78" s="556">
        <f t="shared" si="11"/>
        <v>88</v>
      </c>
      <c r="Z78" s="556">
        <f t="shared" si="11"/>
        <v>88</v>
      </c>
      <c r="AA78" s="556">
        <f t="shared" si="11"/>
        <v>90</v>
      </c>
      <c r="AB78" s="556">
        <f t="shared" si="11"/>
        <v>94</v>
      </c>
      <c r="AC78" s="557">
        <f t="shared" si="11"/>
        <v>96</v>
      </c>
      <c r="AP78" s="712" t="s">
        <v>238</v>
      </c>
    </row>
    <row r="79" spans="11:42" s="1808" customFormat="1" ht="16">
      <c r="K79" s="712"/>
      <c r="M79" s="526"/>
      <c r="N79" s="526"/>
      <c r="O79" s="526"/>
      <c r="P79" s="526"/>
      <c r="Q79" s="526"/>
      <c r="R79" s="526"/>
      <c r="S79" s="526"/>
      <c r="T79" s="526"/>
      <c r="V79" s="526"/>
      <c r="W79" s="526"/>
      <c r="X79" s="526"/>
      <c r="Y79" s="526"/>
      <c r="Z79" s="526"/>
      <c r="AA79" s="526"/>
      <c r="AB79" s="526"/>
      <c r="AC79" s="526"/>
      <c r="AP79" s="712" t="s">
        <v>238</v>
      </c>
    </row>
    <row r="80" spans="11:42" s="1808" customFormat="1" ht="17" thickBot="1">
      <c r="K80" s="712"/>
      <c r="M80" s="545" t="s">
        <v>303</v>
      </c>
      <c r="N80" s="526"/>
      <c r="O80" s="526"/>
      <c r="P80" s="526"/>
      <c r="Q80" s="526"/>
      <c r="R80" s="526"/>
      <c r="S80" s="526"/>
      <c r="T80" s="526"/>
      <c r="V80" s="545" t="s">
        <v>3268</v>
      </c>
      <c r="W80" s="526"/>
      <c r="X80" s="526"/>
      <c r="Y80" s="526"/>
      <c r="Z80" s="526"/>
      <c r="AA80" s="526"/>
      <c r="AB80" s="526"/>
      <c r="AC80" s="526"/>
      <c r="AP80" s="712" t="s">
        <v>238</v>
      </c>
    </row>
    <row r="81" spans="1:42" s="1808" customFormat="1" ht="16">
      <c r="K81" s="712"/>
      <c r="M81" s="546" t="s">
        <v>300</v>
      </c>
      <c r="N81" s="547">
        <v>3.3000000000000002E-2</v>
      </c>
      <c r="O81" s="548" t="s">
        <v>270</v>
      </c>
      <c r="P81" s="534">
        <f>ROUND(N81*(P63-P69),0)</f>
        <v>56</v>
      </c>
      <c r="Q81" s="534">
        <f>ROUND(N81*(Q63-Q69),0)</f>
        <v>55</v>
      </c>
      <c r="R81" s="534">
        <f>ROUND(N81*(R63-R69),0)</f>
        <v>53</v>
      </c>
      <c r="S81" s="534">
        <f>ROUND(N81*(S63-S69),0)</f>
        <v>52</v>
      </c>
      <c r="T81" s="549">
        <f>ROUND(N81*(T63-T69),0)</f>
        <v>50</v>
      </c>
      <c r="V81" s="546" t="s">
        <v>301</v>
      </c>
      <c r="W81" s="547">
        <v>5.8000000000000003E-2</v>
      </c>
      <c r="X81" s="548" t="s">
        <v>270</v>
      </c>
      <c r="Y81" s="534">
        <f>ROUND(W81*(Y63-Y69),0)</f>
        <v>17</v>
      </c>
      <c r="Z81" s="534">
        <f>ROUND(W81*(Z63-Z69),0)</f>
        <v>16</v>
      </c>
      <c r="AA81" s="534">
        <f>ROUND(W81*(AA63-AA69),0)</f>
        <v>16</v>
      </c>
      <c r="AB81" s="534">
        <f>ROUND(W81*(AB63-AB69),0)</f>
        <v>16</v>
      </c>
      <c r="AC81" s="549">
        <f>ROUND(W81*(AC63-AC69),0)</f>
        <v>15</v>
      </c>
      <c r="AP81" s="712" t="s">
        <v>238</v>
      </c>
    </row>
    <row r="82" spans="1:42" s="1808" customFormat="1" ht="16">
      <c r="K82" s="712"/>
      <c r="M82" s="546"/>
      <c r="N82" s="550"/>
      <c r="O82" s="551" t="s">
        <v>221</v>
      </c>
      <c r="P82" s="552">
        <f>ROUND(N82*(P64-P70),0)</f>
        <v>0</v>
      </c>
      <c r="Q82" s="552">
        <f>ROUND(N82*(Q64-Q70),0)</f>
        <v>0</v>
      </c>
      <c r="R82" s="552">
        <f>ROUND(N82*(R64-R70),0)</f>
        <v>0</v>
      </c>
      <c r="S82" s="552">
        <f>ROUND(N82*(S64-S70),0)</f>
        <v>0</v>
      </c>
      <c r="T82" s="553">
        <f>ROUND(N82*(T64-T70),0)</f>
        <v>0</v>
      </c>
      <c r="V82" s="546"/>
      <c r="W82" s="550"/>
      <c r="X82" s="551" t="s">
        <v>221</v>
      </c>
      <c r="Y82" s="552">
        <f>ROUND(W82*(Y64-Y70),0)</f>
        <v>0</v>
      </c>
      <c r="Z82" s="552">
        <f>ROUND(W82*(Z64-Z70),0)</f>
        <v>0</v>
      </c>
      <c r="AA82" s="552">
        <f>ROUND(W82*(AA64-AA70),0)</f>
        <v>0</v>
      </c>
      <c r="AB82" s="552">
        <f>ROUND(W82*(AB64-AB70),0)</f>
        <v>0</v>
      </c>
      <c r="AC82" s="553">
        <f>ROUND(W82*(AC64-AC70),0)</f>
        <v>0</v>
      </c>
      <c r="AP82" s="712" t="s">
        <v>238</v>
      </c>
    </row>
    <row r="83" spans="1:42" s="1808" customFormat="1" ht="16">
      <c r="K83" s="712"/>
      <c r="M83" s="546" t="s">
        <v>300</v>
      </c>
      <c r="N83" s="554">
        <v>4.7E-2</v>
      </c>
      <c r="O83" s="551" t="s">
        <v>222</v>
      </c>
      <c r="P83" s="552">
        <f>ROUND(N83*(P65-P71),0)</f>
        <v>20</v>
      </c>
      <c r="Q83" s="552">
        <f>ROUND(N83*(Q65-Q71),0)</f>
        <v>19</v>
      </c>
      <c r="R83" s="552">
        <f>ROUND(N83*(R65-R71),0)</f>
        <v>19</v>
      </c>
      <c r="S83" s="552">
        <f>ROUND(N83*(S65-S71),0)</f>
        <v>18</v>
      </c>
      <c r="T83" s="553">
        <f>ROUND(N83*(T65-T71),0)</f>
        <v>18</v>
      </c>
      <c r="V83" s="546" t="s">
        <v>300</v>
      </c>
      <c r="W83" s="554">
        <v>0.13</v>
      </c>
      <c r="X83" s="551" t="s">
        <v>222</v>
      </c>
      <c r="Y83" s="552">
        <f>ROUND(W83*(Y65-Y71),0)</f>
        <v>25</v>
      </c>
      <c r="Z83" s="552">
        <f>ROUND(W83*(Z65-Z71),0)</f>
        <v>25</v>
      </c>
      <c r="AA83" s="552">
        <f>ROUND(W83*(AA65-AA71),0)</f>
        <v>25</v>
      </c>
      <c r="AB83" s="552">
        <f>ROUND(W83*(AB65-AB71),0)</f>
        <v>25</v>
      </c>
      <c r="AC83" s="553">
        <f>ROUND(W83*(AC65-AC71),0)</f>
        <v>26</v>
      </c>
      <c r="AP83" s="712" t="s">
        <v>238</v>
      </c>
    </row>
    <row r="84" spans="1:42" s="1808" customFormat="1" ht="17" thickBot="1">
      <c r="K84" s="712"/>
      <c r="M84" s="526"/>
      <c r="N84" s="526"/>
      <c r="O84" s="555" t="s">
        <v>223</v>
      </c>
      <c r="P84" s="556">
        <f>ROUND(N84*(P66-P72),0)</f>
        <v>0</v>
      </c>
      <c r="Q84" s="556">
        <f>ROUND(N84*(Q66-Q72),0)</f>
        <v>0</v>
      </c>
      <c r="R84" s="556">
        <f>ROUND(N84*(R66-R72),0)</f>
        <v>0</v>
      </c>
      <c r="S84" s="556">
        <f>ROUND(N84*(S66-S72),0)</f>
        <v>0</v>
      </c>
      <c r="T84" s="557">
        <f>ROUND(N84*(T66-T72),0)</f>
        <v>0</v>
      </c>
      <c r="V84" s="526"/>
      <c r="W84" s="526"/>
      <c r="X84" s="555" t="s">
        <v>223</v>
      </c>
      <c r="Y84" s="556">
        <f>ROUND(W84*(Y66-Y72),0)</f>
        <v>0</v>
      </c>
      <c r="Z84" s="556">
        <f>ROUND(W84*(Z66-Z72),0)</f>
        <v>0</v>
      </c>
      <c r="AA84" s="556">
        <f>ROUND(W84*(AA66-AA72),0)</f>
        <v>0</v>
      </c>
      <c r="AB84" s="556">
        <f>ROUND(W84*(AB66-AB72),0)</f>
        <v>0</v>
      </c>
      <c r="AC84" s="557">
        <f>ROUND(W84*(AC66-AC72),0)</f>
        <v>0</v>
      </c>
      <c r="AP84" s="712" t="s">
        <v>238</v>
      </c>
    </row>
    <row r="85" spans="1:42" s="1808" customFormat="1">
      <c r="K85" s="712"/>
      <c r="AP85" s="712" t="s">
        <v>238</v>
      </c>
    </row>
    <row r="86" spans="1:42">
      <c r="A86"/>
      <c r="B86"/>
      <c r="C86"/>
      <c r="D86"/>
      <c r="E86"/>
      <c r="F86"/>
      <c r="G86"/>
      <c r="H86"/>
      <c r="I86"/>
      <c r="J86"/>
      <c r="K86" s="712" t="s">
        <v>238</v>
      </c>
      <c r="AD86"/>
      <c r="AE86"/>
      <c r="AF86"/>
      <c r="AG86"/>
      <c r="AH86"/>
      <c r="AI86"/>
      <c r="AJ86"/>
      <c r="AK86"/>
      <c r="AP86" s="712" t="s">
        <v>238</v>
      </c>
    </row>
    <row r="87" spans="1:42" s="1808" customFormat="1">
      <c r="K87" s="712"/>
      <c r="M87"/>
      <c r="N87"/>
      <c r="V87"/>
      <c r="W87"/>
      <c r="X87"/>
      <c r="Y87"/>
      <c r="Z87"/>
      <c r="AA87"/>
      <c r="AB87"/>
      <c r="AC87"/>
      <c r="AD87"/>
      <c r="AE87"/>
      <c r="AF87"/>
      <c r="AP87" s="712"/>
    </row>
    <row r="88" spans="1:42" s="1808" customFormat="1">
      <c r="K88" s="712"/>
      <c r="M88"/>
      <c r="N88"/>
      <c r="V88"/>
      <c r="W88"/>
      <c r="X88"/>
      <c r="Y88"/>
      <c r="Z88"/>
      <c r="AA88"/>
      <c r="AB88"/>
      <c r="AC88"/>
      <c r="AD88"/>
      <c r="AE88"/>
      <c r="AF88"/>
      <c r="AP88" s="712"/>
    </row>
    <row r="89" spans="1:42" s="1808" customFormat="1" ht="19">
      <c r="K89" s="712"/>
      <c r="M89" s="1879" t="s">
        <v>3701</v>
      </c>
      <c r="U89" s="1081"/>
      <c r="V89" s="1081"/>
      <c r="W89"/>
      <c r="X89"/>
      <c r="Y89"/>
      <c r="Z89"/>
      <c r="AA89"/>
      <c r="AB89"/>
      <c r="AC89"/>
      <c r="AD89"/>
      <c r="AE89"/>
      <c r="AF89"/>
      <c r="AP89" s="712"/>
    </row>
    <row r="90" spans="1:42" s="1808" customFormat="1">
      <c r="K90" s="712"/>
      <c r="P90" s="1411"/>
      <c r="V90" s="1081"/>
      <c r="W90"/>
      <c r="X90"/>
      <c r="Y90"/>
      <c r="Z90"/>
      <c r="AA90"/>
      <c r="AB90"/>
      <c r="AC90"/>
      <c r="AD90"/>
      <c r="AE90"/>
      <c r="AF90"/>
      <c r="AP90" s="712"/>
    </row>
    <row r="91" spans="1:42" s="1808" customFormat="1" ht="17">
      <c r="K91" s="712"/>
      <c r="M91" s="2154" t="s">
        <v>3629</v>
      </c>
      <c r="N91" s="2154" t="s">
        <v>3630</v>
      </c>
      <c r="O91" s="2154" t="s">
        <v>604</v>
      </c>
      <c r="P91" s="2373" t="s">
        <v>3631</v>
      </c>
      <c r="Q91" s="2154" t="s">
        <v>99</v>
      </c>
      <c r="R91" s="2154" t="s">
        <v>3632</v>
      </c>
      <c r="S91" s="2155" t="s">
        <v>3633</v>
      </c>
      <c r="T91" s="2364" t="s">
        <v>3044</v>
      </c>
      <c r="U91" s="2479" t="s">
        <v>98</v>
      </c>
      <c r="V91" s="1081"/>
      <c r="W91"/>
      <c r="X91"/>
      <c r="Y91"/>
      <c r="Z91"/>
      <c r="AA91"/>
      <c r="AB91"/>
      <c r="AC91"/>
      <c r="AD91"/>
      <c r="AE91"/>
      <c r="AF91"/>
      <c r="AP91" s="712"/>
    </row>
    <row r="92" spans="1:42" s="1808" customFormat="1" ht="16">
      <c r="K92" s="712"/>
      <c r="M92" s="2125" t="s">
        <v>3669</v>
      </c>
      <c r="N92" s="2126" t="str">
        <f>VLOOKUP(M92,Price[],2,0)</f>
        <v>Psychologist consultantion</v>
      </c>
      <c r="O92" s="2126" t="str">
        <f>VLOOKUP(M92,Price[],3,0)</f>
        <v>consultation/minute</v>
      </c>
      <c r="P92" s="2374">
        <f>VLOOKUP(M92,Price[],4,0)</f>
        <v>0.69</v>
      </c>
      <c r="Q92" s="2126" t="str">
        <f>VLOOKUP(M92,Price[],5,0)</f>
        <v>MDL</v>
      </c>
      <c r="R92" s="2127">
        <v>60</v>
      </c>
      <c r="S92" s="2480">
        <v>1</v>
      </c>
      <c r="T92" s="2365">
        <f>IF(R92="",P92*S92,P92*R92*S92)</f>
        <v>41.4</v>
      </c>
      <c r="U92" s="1486" t="s">
        <v>3258</v>
      </c>
      <c r="V92" s="1081"/>
      <c r="W92"/>
      <c r="X92"/>
      <c r="Y92"/>
      <c r="Z92"/>
      <c r="AA92"/>
      <c r="AB92"/>
      <c r="AC92"/>
      <c r="AD92"/>
      <c r="AE92"/>
      <c r="AF92"/>
      <c r="AP92" s="712"/>
    </row>
    <row r="93" spans="1:42" s="1808" customFormat="1" ht="16">
      <c r="K93" s="712"/>
      <c r="M93" s="2125" t="s">
        <v>3669</v>
      </c>
      <c r="N93" s="2126" t="str">
        <f>VLOOKUP(M93,Price[],2,0)</f>
        <v>Psychologist consultantion</v>
      </c>
      <c r="O93" s="2126" t="str">
        <f>VLOOKUP(M93,Price[],3,0)</f>
        <v>consultation/minute</v>
      </c>
      <c r="P93" s="2374">
        <f>VLOOKUP(M93,Price[],4,0)</f>
        <v>0.69</v>
      </c>
      <c r="Q93" s="2126" t="str">
        <f>VLOOKUP(M93,Price[],5,0)</f>
        <v>MDL</v>
      </c>
      <c r="R93" s="2127">
        <v>60</v>
      </c>
      <c r="S93" s="2480">
        <v>3</v>
      </c>
      <c r="T93" s="2365">
        <f t="shared" ref="T93:T105" si="12">IF(R93="",P93*S93,P93*R93*S93)</f>
        <v>124.19999999999999</v>
      </c>
      <c r="U93" s="1486" t="s">
        <v>3711</v>
      </c>
      <c r="V93" s="1081"/>
      <c r="W93"/>
      <c r="X93"/>
      <c r="Y93"/>
      <c r="Z93"/>
      <c r="AA93"/>
      <c r="AB93"/>
      <c r="AC93"/>
      <c r="AD93"/>
      <c r="AE93"/>
      <c r="AF93"/>
      <c r="AP93" s="712"/>
    </row>
    <row r="94" spans="1:42" s="1808" customFormat="1" ht="16">
      <c r="K94" s="712"/>
      <c r="M94" s="2125" t="s">
        <v>3669</v>
      </c>
      <c r="N94" s="2126" t="str">
        <f>VLOOKUP(M94,Price[],2,0)</f>
        <v>Psychologist consultantion</v>
      </c>
      <c r="O94" s="2126" t="str">
        <f>VLOOKUP(M94,Price[],3,0)</f>
        <v>consultation/minute</v>
      </c>
      <c r="P94" s="2374">
        <f>VLOOKUP(M94,Price[],4,0)</f>
        <v>0.69</v>
      </c>
      <c r="Q94" s="2126" t="str">
        <f>VLOOKUP(M94,Price[],5,0)</f>
        <v>MDL</v>
      </c>
      <c r="R94" s="2127">
        <v>60</v>
      </c>
      <c r="S94" s="2480">
        <v>3</v>
      </c>
      <c r="T94" s="2365">
        <f t="shared" si="12"/>
        <v>124.19999999999999</v>
      </c>
      <c r="U94" s="1486" t="s">
        <v>3259</v>
      </c>
      <c r="V94" s="1081"/>
      <c r="W94"/>
      <c r="X94"/>
      <c r="Y94"/>
      <c r="Z94"/>
      <c r="AA94"/>
      <c r="AB94"/>
      <c r="AC94"/>
      <c r="AD94"/>
      <c r="AE94"/>
      <c r="AF94"/>
      <c r="AP94" s="712"/>
    </row>
    <row r="95" spans="1:42" s="1808" customFormat="1" ht="16">
      <c r="K95" s="712"/>
      <c r="M95" s="2125" t="s">
        <v>3669</v>
      </c>
      <c r="N95" s="2126" t="str">
        <f>VLOOKUP(M95,Price[],2,0)</f>
        <v>Psychologist consultantion</v>
      </c>
      <c r="O95" s="2126" t="str">
        <f>VLOOKUP(M95,Price[],3,0)</f>
        <v>consultation/minute</v>
      </c>
      <c r="P95" s="2374">
        <f>VLOOKUP(M95,Price[],4,0)</f>
        <v>0.69</v>
      </c>
      <c r="Q95" s="2126" t="str">
        <f>VLOOKUP(M95,Price[],5,0)</f>
        <v>MDL</v>
      </c>
      <c r="R95" s="2127">
        <v>60</v>
      </c>
      <c r="S95" s="2480">
        <v>2</v>
      </c>
      <c r="T95" s="2365">
        <f t="shared" si="12"/>
        <v>82.8</v>
      </c>
      <c r="U95" s="1486" t="s">
        <v>3260</v>
      </c>
      <c r="V95" s="1081"/>
      <c r="W95"/>
      <c r="X95"/>
      <c r="Y95"/>
      <c r="Z95"/>
      <c r="AA95"/>
      <c r="AB95"/>
      <c r="AC95"/>
      <c r="AD95"/>
      <c r="AE95"/>
      <c r="AF95"/>
      <c r="AP95" s="712"/>
    </row>
    <row r="96" spans="1:42" s="1808" customFormat="1" ht="16">
      <c r="K96" s="712"/>
      <c r="M96" s="2125" t="s">
        <v>3669</v>
      </c>
      <c r="N96" s="2126" t="str">
        <f>VLOOKUP(M96,Price[],2,0)</f>
        <v>Psychologist consultantion</v>
      </c>
      <c r="O96" s="2126" t="str">
        <f>VLOOKUP(M96,Price[],3,0)</f>
        <v>consultation/minute</v>
      </c>
      <c r="P96" s="2374">
        <f>VLOOKUP(M96,Price[],4,0)</f>
        <v>0.69</v>
      </c>
      <c r="Q96" s="2126" t="str">
        <f>VLOOKUP(M96,Price[],5,0)</f>
        <v>MDL</v>
      </c>
      <c r="R96" s="2127">
        <v>30</v>
      </c>
      <c r="S96" s="2480">
        <v>2</v>
      </c>
      <c r="T96" s="2365">
        <f t="shared" si="12"/>
        <v>41.4</v>
      </c>
      <c r="U96" s="1486" t="s">
        <v>3261</v>
      </c>
      <c r="V96" s="1081"/>
      <c r="W96"/>
      <c r="X96"/>
      <c r="Y96"/>
      <c r="Z96"/>
      <c r="AA96"/>
      <c r="AB96"/>
      <c r="AC96"/>
      <c r="AD96"/>
      <c r="AE96"/>
      <c r="AF96"/>
      <c r="AP96" s="712"/>
    </row>
    <row r="97" spans="11:42" s="1808" customFormat="1" ht="16">
      <c r="K97" s="712"/>
      <c r="L97"/>
      <c r="M97" s="2125" t="s">
        <v>3667</v>
      </c>
      <c r="N97" s="2126" t="str">
        <f>VLOOKUP(M97,Price[],2,0)</f>
        <v>Consultation of the social worker</v>
      </c>
      <c r="O97" s="2126" t="str">
        <f>VLOOKUP(M97,Price[],3,0)</f>
        <v>consultation/minute</v>
      </c>
      <c r="P97" s="2374">
        <f>VLOOKUP(M97,Price[],4,0)</f>
        <v>0.62</v>
      </c>
      <c r="Q97" s="2126" t="str">
        <f>VLOOKUP(M97,Price[],5,0)</f>
        <v>MDL</v>
      </c>
      <c r="R97" s="2127">
        <v>120</v>
      </c>
      <c r="S97" s="2480">
        <v>1</v>
      </c>
      <c r="T97" s="2365">
        <f t="shared" si="12"/>
        <v>74.400000000000006</v>
      </c>
      <c r="U97" s="1486" t="s">
        <v>3262</v>
      </c>
      <c r="V97" s="1081"/>
      <c r="W97"/>
      <c r="X97"/>
      <c r="Y97"/>
      <c r="Z97"/>
      <c r="AA97"/>
      <c r="AB97"/>
      <c r="AC97"/>
      <c r="AD97"/>
      <c r="AE97"/>
      <c r="AF97"/>
      <c r="AP97" s="712"/>
    </row>
    <row r="98" spans="11:42" s="1808" customFormat="1" ht="16">
      <c r="K98" s="712"/>
      <c r="L98"/>
      <c r="M98" s="2125" t="s">
        <v>3667</v>
      </c>
      <c r="N98" s="2126" t="str">
        <f>VLOOKUP(M98,Price[],2,0)</f>
        <v>Consultation of the social worker</v>
      </c>
      <c r="O98" s="2126" t="str">
        <f>VLOOKUP(M98,Price[],3,0)</f>
        <v>consultation/minute</v>
      </c>
      <c r="P98" s="2374">
        <f>VLOOKUP(M98,Price[],4,0)</f>
        <v>0.62</v>
      </c>
      <c r="Q98" s="2126" t="str">
        <f>VLOOKUP(M98,Price[],5,0)</f>
        <v>MDL</v>
      </c>
      <c r="R98" s="2127">
        <v>120</v>
      </c>
      <c r="S98" s="2480">
        <v>3</v>
      </c>
      <c r="T98" s="2365">
        <f t="shared" si="12"/>
        <v>223.20000000000002</v>
      </c>
      <c r="U98" s="1486" t="s">
        <v>3263</v>
      </c>
      <c r="V98" s="1081"/>
      <c r="W98"/>
      <c r="X98"/>
      <c r="Y98"/>
      <c r="Z98"/>
      <c r="AA98"/>
      <c r="AB98"/>
      <c r="AC98"/>
      <c r="AD98"/>
      <c r="AE98"/>
      <c r="AF98"/>
      <c r="AP98" s="712"/>
    </row>
    <row r="99" spans="11:42" s="1808" customFormat="1" ht="16">
      <c r="K99" s="712"/>
      <c r="L99"/>
      <c r="M99" s="2166" t="s">
        <v>3709</v>
      </c>
      <c r="N99" s="2167" t="str">
        <f>VLOOKUP(M99,Price[],2,0)</f>
        <v>DOT_assistent</v>
      </c>
      <c r="O99" s="2167" t="str">
        <f>VLOOKUP(M99,Price[],3,0)</f>
        <v>per person/minute</v>
      </c>
      <c r="P99" s="2375">
        <f>VLOOKUP(M99,Price[],4,0)</f>
        <v>0.32050000000000001</v>
      </c>
      <c r="Q99" s="2167" t="str">
        <f>VLOOKUP(M99,Price[],5,0)</f>
        <v>MDL</v>
      </c>
      <c r="R99" s="2168">
        <v>60</v>
      </c>
      <c r="S99" s="2481">
        <v>60</v>
      </c>
      <c r="T99" s="2482">
        <f t="shared" si="12"/>
        <v>1153.8</v>
      </c>
      <c r="U99" s="1486" t="s">
        <v>3493</v>
      </c>
      <c r="V99" s="1081"/>
      <c r="W99"/>
      <c r="X99"/>
      <c r="Y99"/>
      <c r="Z99"/>
      <c r="AA99"/>
      <c r="AB99"/>
      <c r="AC99"/>
      <c r="AD99"/>
      <c r="AE99"/>
      <c r="AF99"/>
      <c r="AP99" s="712"/>
    </row>
    <row r="100" spans="11:42" s="1808" customFormat="1" ht="17" thickBot="1">
      <c r="K100" s="712"/>
      <c r="L100"/>
      <c r="M100" s="2483" t="s">
        <v>3675</v>
      </c>
      <c r="N100" s="2342" t="str">
        <f>VLOOKUP(M100,Price[],2,0)</f>
        <v>Informational materials</v>
      </c>
      <c r="O100" s="2342" t="str">
        <f>VLOOKUP(M100,Price[],3,0)</f>
        <v>kit</v>
      </c>
      <c r="P100" s="2375">
        <f>VLOOKUP(M100,Price[],4,0)</f>
        <v>5</v>
      </c>
      <c r="Q100" s="2167" t="str">
        <f>VLOOKUP(M100,Price[],5,0)</f>
        <v>MDL</v>
      </c>
      <c r="R100" s="2168">
        <v>1</v>
      </c>
      <c r="S100" s="2481">
        <v>1</v>
      </c>
      <c r="T100" s="2366">
        <f t="shared" si="12"/>
        <v>5</v>
      </c>
      <c r="U100" s="414"/>
      <c r="V100" s="1081"/>
      <c r="W100"/>
      <c r="X100"/>
      <c r="Y100"/>
      <c r="Z100"/>
      <c r="AA100"/>
      <c r="AB100"/>
      <c r="AC100"/>
      <c r="AD100"/>
      <c r="AE100"/>
      <c r="AF100"/>
      <c r="AP100" s="712"/>
    </row>
    <row r="101" spans="11:42" s="1808" customFormat="1" ht="16">
      <c r="K101" s="712"/>
      <c r="L101"/>
      <c r="M101" s="2170" t="s">
        <v>3637</v>
      </c>
      <c r="N101" s="2171" t="str">
        <f>VLOOKUP(M101,Price[],2,0)</f>
        <v>Project manager</v>
      </c>
      <c r="O101" s="2171" t="str">
        <f>VLOOKUP(M101,Price[],3,0)</f>
        <v>per benficiary</v>
      </c>
      <c r="P101" s="2376">
        <f>VLOOKUP(M101,Price[],4,0)</f>
        <v>42.26</v>
      </c>
      <c r="Q101" s="2171" t="str">
        <f>VLOOKUP(M101,Price[],5,0)</f>
        <v>MDL</v>
      </c>
      <c r="R101" s="2170"/>
      <c r="S101" s="2381">
        <v>1</v>
      </c>
      <c r="T101" s="2367">
        <f t="shared" si="12"/>
        <v>42.26</v>
      </c>
      <c r="V101" s="1081"/>
      <c r="W101"/>
      <c r="X101"/>
      <c r="Y101"/>
      <c r="Z101"/>
      <c r="AA101"/>
      <c r="AB101"/>
      <c r="AC101"/>
      <c r="AD101"/>
      <c r="AE101"/>
      <c r="AF101"/>
      <c r="AP101" s="712"/>
    </row>
    <row r="102" spans="11:42" s="1808" customFormat="1" ht="16">
      <c r="K102" s="712"/>
      <c r="L102"/>
      <c r="M102" s="2125" t="s">
        <v>3638</v>
      </c>
      <c r="N102" s="2126" t="str">
        <f>VLOOKUP(M102,Price[],2,0)</f>
        <v>Accountant</v>
      </c>
      <c r="O102" s="2126" t="str">
        <f>VLOOKUP(M102,Price[],3,0)</f>
        <v>per benficiary</v>
      </c>
      <c r="P102" s="2374">
        <f>VLOOKUP(M102,Price[],4,0)</f>
        <v>30.65</v>
      </c>
      <c r="Q102" s="2126" t="str">
        <f>VLOOKUP(M102,Price[],5,0)</f>
        <v>MDL</v>
      </c>
      <c r="R102" s="2125"/>
      <c r="S102" s="2382">
        <v>1</v>
      </c>
      <c r="T102" s="2365">
        <f t="shared" si="12"/>
        <v>30.65</v>
      </c>
      <c r="V102" s="1081"/>
      <c r="W102"/>
      <c r="X102"/>
      <c r="Y102"/>
      <c r="Z102"/>
      <c r="AA102"/>
      <c r="AB102"/>
      <c r="AC102"/>
      <c r="AD102"/>
      <c r="AE102"/>
      <c r="AF102"/>
      <c r="AP102" s="712"/>
    </row>
    <row r="103" spans="11:42" s="1808" customFormat="1" ht="16">
      <c r="K103" s="712"/>
      <c r="M103" s="2125" t="s">
        <v>3639</v>
      </c>
      <c r="N103" s="2126" t="str">
        <f>VLOOKUP(M103,Price[],2,0)</f>
        <v>Driver</v>
      </c>
      <c r="O103" s="2126" t="str">
        <f>VLOOKUP(M103,Price[],3,0)</f>
        <v>per benficiary</v>
      </c>
      <c r="P103" s="2374">
        <f>VLOOKUP(M103,Price[],4,0)</f>
        <v>17.03</v>
      </c>
      <c r="Q103" s="2126" t="str">
        <f>VLOOKUP(M103,Price[],5,0)</f>
        <v>MDL</v>
      </c>
      <c r="R103" s="2125"/>
      <c r="S103" s="2382">
        <v>1</v>
      </c>
      <c r="T103" s="2365">
        <f t="shared" si="12"/>
        <v>17.03</v>
      </c>
      <c r="V103" s="1081"/>
      <c r="W103"/>
      <c r="X103"/>
      <c r="Y103"/>
      <c r="Z103"/>
      <c r="AA103"/>
      <c r="AB103"/>
      <c r="AC103"/>
      <c r="AD103"/>
      <c r="AE103"/>
      <c r="AF103"/>
      <c r="AP103" s="712"/>
    </row>
    <row r="104" spans="11:42" s="1808" customFormat="1" ht="16">
      <c r="K104" s="712"/>
      <c r="M104" s="2125" t="s">
        <v>3640</v>
      </c>
      <c r="N104" s="2126" t="str">
        <f>VLOOKUP(M104,Price[],2,0)</f>
        <v>Cleaner</v>
      </c>
      <c r="O104" s="2126" t="str">
        <f>VLOOKUP(M104,Price[],3,0)</f>
        <v>per benficiary</v>
      </c>
      <c r="P104" s="2374">
        <f>VLOOKUP(M104,Price[],4,0)</f>
        <v>12.94</v>
      </c>
      <c r="Q104" s="2126" t="str">
        <f>VLOOKUP(M104,Price[],5,0)</f>
        <v>MDL</v>
      </c>
      <c r="R104" s="2125"/>
      <c r="S104" s="2382">
        <v>1</v>
      </c>
      <c r="T104" s="2365">
        <f t="shared" si="12"/>
        <v>12.94</v>
      </c>
      <c r="V104" s="1081"/>
      <c r="W104"/>
      <c r="X104"/>
      <c r="Y104"/>
      <c r="Z104"/>
      <c r="AA104"/>
      <c r="AB104"/>
      <c r="AC104"/>
      <c r="AD104"/>
      <c r="AE104"/>
      <c r="AF104"/>
      <c r="AP104" s="712"/>
    </row>
    <row r="105" spans="11:42" s="1808" customFormat="1" ht="17" thickBot="1">
      <c r="K105" s="712"/>
      <c r="M105" s="2174" t="s">
        <v>3267</v>
      </c>
      <c r="N105" s="2175" t="str">
        <f>VLOOKUP(M105,Price[],2,0)</f>
        <v>Utilities</v>
      </c>
      <c r="O105" s="2175" t="str">
        <f>VLOOKUP(M105,Price[],3,0)</f>
        <v>per benficiary</v>
      </c>
      <c r="P105" s="2377">
        <f>VLOOKUP(M105,Price[],4,0)</f>
        <v>68.739999999999995</v>
      </c>
      <c r="Q105" s="2175" t="str">
        <f>VLOOKUP(M105,Price[],5,0)</f>
        <v>MDL</v>
      </c>
      <c r="R105" s="2176"/>
      <c r="S105" s="2383">
        <v>1</v>
      </c>
      <c r="T105" s="2368">
        <f t="shared" si="12"/>
        <v>68.739999999999995</v>
      </c>
      <c r="V105" s="1081"/>
      <c r="W105"/>
      <c r="X105"/>
      <c r="Y105"/>
      <c r="Z105"/>
      <c r="AA105"/>
      <c r="AB105"/>
      <c r="AC105"/>
      <c r="AD105"/>
      <c r="AE105"/>
      <c r="AF105"/>
      <c r="AP105" s="712"/>
    </row>
    <row r="106" spans="11:42" s="1808" customFormat="1" ht="16" thickBot="1">
      <c r="K106" s="712"/>
      <c r="M106" s="431"/>
      <c r="N106" s="431"/>
      <c r="O106" s="431"/>
      <c r="P106" s="2378"/>
      <c r="Q106" s="431"/>
      <c r="R106" s="431"/>
      <c r="S106" s="431"/>
      <c r="T106" s="2484">
        <f>SUM(T92:T105)</f>
        <v>2042.0200000000002</v>
      </c>
      <c r="U106" s="431"/>
      <c r="V106" s="1081"/>
      <c r="W106"/>
      <c r="X106"/>
      <c r="Y106"/>
      <c r="Z106"/>
      <c r="AA106"/>
      <c r="AB106"/>
      <c r="AC106"/>
      <c r="AD106"/>
      <c r="AE106"/>
      <c r="AF106"/>
      <c r="AP106" s="712"/>
    </row>
    <row r="107" spans="11:42" s="1808" customFormat="1">
      <c r="K107" s="712"/>
      <c r="P107" s="1411"/>
      <c r="V107"/>
      <c r="W107"/>
      <c r="AP107" s="712"/>
    </row>
    <row r="108" spans="11:42" s="1808" customFormat="1" ht="19">
      <c r="K108" s="712"/>
      <c r="M108" s="1879" t="s">
        <v>3702</v>
      </c>
      <c r="P108" s="1411"/>
      <c r="T108" s="734"/>
      <c r="V108"/>
      <c r="W108"/>
      <c r="AP108" s="712"/>
    </row>
    <row r="109" spans="11:42" s="1808" customFormat="1">
      <c r="K109" s="712"/>
      <c r="P109" s="1411"/>
      <c r="T109" s="734"/>
      <c r="AP109" s="712"/>
    </row>
    <row r="110" spans="11:42" s="1808" customFormat="1" ht="17">
      <c r="K110" s="712"/>
      <c r="M110" s="2154" t="s">
        <v>3629</v>
      </c>
      <c r="N110" s="2154" t="s">
        <v>3630</v>
      </c>
      <c r="O110" s="2154" t="s">
        <v>604</v>
      </c>
      <c r="P110" s="2373" t="s">
        <v>3631</v>
      </c>
      <c r="Q110" s="2154" t="s">
        <v>99</v>
      </c>
      <c r="R110" s="2154" t="s">
        <v>3632</v>
      </c>
      <c r="S110" s="2155" t="s">
        <v>3633</v>
      </c>
      <c r="T110" s="2162" t="s">
        <v>3044</v>
      </c>
      <c r="U110" s="2479" t="s">
        <v>98</v>
      </c>
      <c r="AP110" s="712"/>
    </row>
    <row r="111" spans="11:42" s="1968" customFormat="1" ht="19">
      <c r="K111" s="2348"/>
      <c r="M111" s="2125" t="s">
        <v>3669</v>
      </c>
      <c r="N111" s="2126" t="str">
        <f>VLOOKUP(M111,Price[],2,0)</f>
        <v>Psychologist consultantion</v>
      </c>
      <c r="O111" s="2126" t="str">
        <f>VLOOKUP(M111,Price[],3,0)</f>
        <v>consultation/minute</v>
      </c>
      <c r="P111" s="2374">
        <f>VLOOKUP(M111,Price[],4,0)</f>
        <v>0.69</v>
      </c>
      <c r="Q111" s="2126" t="str">
        <f>VLOOKUP(M111,Price[],5,0)</f>
        <v>MDL</v>
      </c>
      <c r="R111" s="2127">
        <v>60</v>
      </c>
      <c r="S111" s="2480">
        <v>1</v>
      </c>
      <c r="T111" s="2128">
        <f>IF(R111="",P111*S111,P111*R111*S111)</f>
        <v>41.4</v>
      </c>
      <c r="U111" s="1808" t="s">
        <v>3258</v>
      </c>
      <c r="AP111" s="2348"/>
    </row>
    <row r="112" spans="11:42" s="1968" customFormat="1" ht="19">
      <c r="K112" s="2348"/>
      <c r="M112" s="2125" t="s">
        <v>3669</v>
      </c>
      <c r="N112" s="2126" t="str">
        <f>VLOOKUP(M112,Price[],2,0)</f>
        <v>Psychologist consultantion</v>
      </c>
      <c r="O112" s="2126" t="str">
        <f>VLOOKUP(M112,Price[],3,0)</f>
        <v>consultation/minute</v>
      </c>
      <c r="P112" s="2374">
        <f>VLOOKUP(M112,Price[],4,0)</f>
        <v>0.69</v>
      </c>
      <c r="Q112" s="2126" t="str">
        <f>VLOOKUP(M112,Price[],5,0)</f>
        <v>MDL</v>
      </c>
      <c r="R112" s="2127">
        <v>60</v>
      </c>
      <c r="S112" s="2480">
        <v>9</v>
      </c>
      <c r="T112" s="2128">
        <f t="shared" ref="T112:T124" si="13">IF(R112="",P112*S112,P112*R112*S112)</f>
        <v>372.59999999999997</v>
      </c>
      <c r="U112" s="1808" t="s">
        <v>3712</v>
      </c>
      <c r="AP112" s="2348"/>
    </row>
    <row r="113" spans="11:42" s="1968" customFormat="1" ht="19">
      <c r="K113" s="2348"/>
      <c r="M113" s="2125" t="s">
        <v>3669</v>
      </c>
      <c r="N113" s="2126" t="str">
        <f>VLOOKUP(M113,Price[],2,0)</f>
        <v>Psychologist consultantion</v>
      </c>
      <c r="O113" s="2126" t="str">
        <f>VLOOKUP(M113,Price[],3,0)</f>
        <v>consultation/minute</v>
      </c>
      <c r="P113" s="2374">
        <f>VLOOKUP(M113,Price[],4,0)</f>
        <v>0.69</v>
      </c>
      <c r="Q113" s="2126" t="str">
        <f>VLOOKUP(M113,Price[],5,0)</f>
        <v>MDL</v>
      </c>
      <c r="R113" s="2127">
        <v>60</v>
      </c>
      <c r="S113" s="2480">
        <v>9</v>
      </c>
      <c r="T113" s="2128">
        <f t="shared" si="13"/>
        <v>372.59999999999997</v>
      </c>
      <c r="U113" s="1808" t="s">
        <v>3259</v>
      </c>
      <c r="AP113" s="2348"/>
    </row>
    <row r="114" spans="11:42" s="1968" customFormat="1" ht="19">
      <c r="K114" s="2348"/>
      <c r="M114" s="2125" t="s">
        <v>3669</v>
      </c>
      <c r="N114" s="2126" t="str">
        <f>VLOOKUP(M114,Price[],2,0)</f>
        <v>Psychologist consultantion</v>
      </c>
      <c r="O114" s="2126" t="str">
        <f>VLOOKUP(M114,Price[],3,0)</f>
        <v>consultation/minute</v>
      </c>
      <c r="P114" s="2374">
        <f>VLOOKUP(M114,Price[],4,0)</f>
        <v>0.69</v>
      </c>
      <c r="Q114" s="2126" t="str">
        <f>VLOOKUP(M114,Price[],5,0)</f>
        <v>MDL</v>
      </c>
      <c r="R114" s="2127">
        <v>60</v>
      </c>
      <c r="S114" s="2480">
        <v>3</v>
      </c>
      <c r="T114" s="2128">
        <f t="shared" si="13"/>
        <v>124.19999999999999</v>
      </c>
      <c r="U114" s="1808" t="s">
        <v>3260</v>
      </c>
      <c r="AP114" s="2348"/>
    </row>
    <row r="115" spans="11:42" s="1968" customFormat="1" ht="19">
      <c r="K115" s="2348"/>
      <c r="M115" s="2125" t="s">
        <v>3669</v>
      </c>
      <c r="N115" s="2126" t="str">
        <f>VLOOKUP(M115,Price[],2,0)</f>
        <v>Psychologist consultantion</v>
      </c>
      <c r="O115" s="2126" t="str">
        <f>VLOOKUP(M115,Price[],3,0)</f>
        <v>consultation/minute</v>
      </c>
      <c r="P115" s="2374">
        <f>VLOOKUP(M115,Price[],4,0)</f>
        <v>0.69</v>
      </c>
      <c r="Q115" s="2126" t="str">
        <f>VLOOKUP(M115,Price[],5,0)</f>
        <v>MDL</v>
      </c>
      <c r="R115" s="2127">
        <v>30</v>
      </c>
      <c r="S115" s="2480">
        <v>3</v>
      </c>
      <c r="T115" s="2128">
        <f t="shared" si="13"/>
        <v>62.099999999999994</v>
      </c>
      <c r="U115" s="1808" t="s">
        <v>3261</v>
      </c>
      <c r="AP115" s="2348"/>
    </row>
    <row r="116" spans="11:42" s="1968" customFormat="1" ht="19">
      <c r="K116" s="2348"/>
      <c r="M116" s="2125" t="s">
        <v>3667</v>
      </c>
      <c r="N116" s="2126" t="str">
        <f>VLOOKUP(M116,Price[],2,0)</f>
        <v>Consultation of the social worker</v>
      </c>
      <c r="O116" s="2126" t="str">
        <f>VLOOKUP(M116,Price[],3,0)</f>
        <v>consultation/minute</v>
      </c>
      <c r="P116" s="2374">
        <f>VLOOKUP(M116,Price[],4,0)</f>
        <v>0.62</v>
      </c>
      <c r="Q116" s="2126" t="str">
        <f>VLOOKUP(M116,Price[],5,0)</f>
        <v>MDL</v>
      </c>
      <c r="R116" s="2127">
        <v>120</v>
      </c>
      <c r="S116" s="2480">
        <v>1</v>
      </c>
      <c r="T116" s="2128">
        <f t="shared" si="13"/>
        <v>74.400000000000006</v>
      </c>
      <c r="U116" s="1808" t="s">
        <v>3262</v>
      </c>
      <c r="AP116" s="2348"/>
    </row>
    <row r="117" spans="11:42" s="1968" customFormat="1" ht="19">
      <c r="K117" s="2348"/>
      <c r="M117" s="2125" t="s">
        <v>3667</v>
      </c>
      <c r="N117" s="2126" t="str">
        <f>VLOOKUP(M117,Price[],2,0)</f>
        <v>Consultation of the social worker</v>
      </c>
      <c r="O117" s="2126" t="str">
        <f>VLOOKUP(M117,Price[],3,0)</f>
        <v>consultation/minute</v>
      </c>
      <c r="P117" s="2374">
        <f>VLOOKUP(M117,Price[],4,0)</f>
        <v>0.62</v>
      </c>
      <c r="Q117" s="2126" t="str">
        <f>VLOOKUP(M117,Price[],5,0)</f>
        <v>MDL</v>
      </c>
      <c r="R117" s="2127">
        <v>120</v>
      </c>
      <c r="S117" s="2480">
        <v>9</v>
      </c>
      <c r="T117" s="2128">
        <f t="shared" si="13"/>
        <v>669.6</v>
      </c>
      <c r="U117" s="1808" t="s">
        <v>3263</v>
      </c>
      <c r="AP117" s="2348"/>
    </row>
    <row r="118" spans="11:42" s="1968" customFormat="1" ht="19">
      <c r="K118" s="2348"/>
      <c r="M118" s="2166" t="s">
        <v>3709</v>
      </c>
      <c r="N118" s="2167" t="str">
        <f>VLOOKUP(M118,Price[],2,0)</f>
        <v>DOT_assistent</v>
      </c>
      <c r="O118" s="2167" t="str">
        <f>VLOOKUP(M118,Price[],3,0)</f>
        <v>per person/minute</v>
      </c>
      <c r="P118" s="2375">
        <f>VLOOKUP(M118,Price[],4,0)</f>
        <v>0.32050000000000001</v>
      </c>
      <c r="Q118" s="2167" t="str">
        <f>VLOOKUP(M118,Price[],5,0)</f>
        <v>MDL</v>
      </c>
      <c r="R118" s="2168">
        <v>60</v>
      </c>
      <c r="S118" s="2481">
        <v>180</v>
      </c>
      <c r="T118" s="2169">
        <f t="shared" si="13"/>
        <v>3461.4</v>
      </c>
      <c r="U118" s="1808" t="s">
        <v>3493</v>
      </c>
      <c r="AP118" s="2348"/>
    </row>
    <row r="119" spans="11:42" s="2344" customFormat="1" ht="20" thickBot="1">
      <c r="K119" s="2345"/>
      <c r="M119" s="2341" t="s">
        <v>3675</v>
      </c>
      <c r="N119" s="2342" t="str">
        <f>VLOOKUP(M119,Price[],2,0)</f>
        <v>Informational materials</v>
      </c>
      <c r="O119" s="2342" t="str">
        <f>VLOOKUP(M119,Price[],3,0)</f>
        <v>kit</v>
      </c>
      <c r="P119" s="2375">
        <f>VLOOKUP(M119,Price[],4,0)</f>
        <v>5</v>
      </c>
      <c r="Q119" s="2167" t="str">
        <f>VLOOKUP(M119,Price[],5,0)</f>
        <v>MDL</v>
      </c>
      <c r="R119" s="2168">
        <v>1</v>
      </c>
      <c r="S119" s="2481">
        <v>1</v>
      </c>
      <c r="T119" s="2169">
        <f t="shared" si="13"/>
        <v>5</v>
      </c>
      <c r="U119" s="2370"/>
      <c r="AP119" s="2345"/>
    </row>
    <row r="120" spans="11:42" s="2344" customFormat="1" ht="19">
      <c r="K120" s="2345"/>
      <c r="M120" s="2170" t="s">
        <v>3637</v>
      </c>
      <c r="N120" s="2171" t="str">
        <f>VLOOKUP(M120,Price[],2,0)</f>
        <v>Project manager</v>
      </c>
      <c r="O120" s="2171" t="str">
        <f>VLOOKUP(M120,Price[],3,0)</f>
        <v>per benficiary</v>
      </c>
      <c r="P120" s="2376">
        <f>VLOOKUP(M120,Price[],4,0)</f>
        <v>42.26</v>
      </c>
      <c r="Q120" s="2171" t="str">
        <f>VLOOKUP(M120,Price[],5,0)</f>
        <v>MDL</v>
      </c>
      <c r="R120" s="2170"/>
      <c r="S120" s="2381">
        <v>1.75</v>
      </c>
      <c r="T120" s="2172">
        <f>IF(R120="",P120*S120,P120*R120*S120)</f>
        <v>73.954999999999998</v>
      </c>
      <c r="U120" s="1081"/>
      <c r="AP120" s="2345"/>
    </row>
    <row r="121" spans="11:42" s="1968" customFormat="1" ht="19">
      <c r="K121" s="2348"/>
      <c r="M121" s="2125" t="s">
        <v>3638</v>
      </c>
      <c r="N121" s="2126" t="str">
        <f>VLOOKUP(M121,Price[],2,0)</f>
        <v>Accountant</v>
      </c>
      <c r="O121" s="2126" t="str">
        <f>VLOOKUP(M121,Price[],3,0)</f>
        <v>per benficiary</v>
      </c>
      <c r="P121" s="2374">
        <f>VLOOKUP(M121,Price[],4,0)</f>
        <v>30.65</v>
      </c>
      <c r="Q121" s="2126" t="str">
        <f>VLOOKUP(M121,Price[],5,0)</f>
        <v>MDL</v>
      </c>
      <c r="R121" s="2125"/>
      <c r="S121" s="2382">
        <v>1.75</v>
      </c>
      <c r="T121" s="2173">
        <f t="shared" si="13"/>
        <v>53.637499999999996</v>
      </c>
      <c r="U121" s="1081"/>
      <c r="AP121" s="2348"/>
    </row>
    <row r="122" spans="11:42" s="1968" customFormat="1" ht="19">
      <c r="K122" s="2348"/>
      <c r="M122" s="2125" t="s">
        <v>3639</v>
      </c>
      <c r="N122" s="2126" t="str">
        <f>VLOOKUP(M122,Price[],2,0)</f>
        <v>Driver</v>
      </c>
      <c r="O122" s="2126" t="str">
        <f>VLOOKUP(M122,Price[],3,0)</f>
        <v>per benficiary</v>
      </c>
      <c r="P122" s="2374">
        <f>VLOOKUP(M122,Price[],4,0)</f>
        <v>17.03</v>
      </c>
      <c r="Q122" s="2126" t="str">
        <f>VLOOKUP(M122,Price[],5,0)</f>
        <v>MDL</v>
      </c>
      <c r="R122" s="2125"/>
      <c r="S122" s="2382">
        <v>1.75</v>
      </c>
      <c r="T122" s="2173">
        <f t="shared" si="13"/>
        <v>29.802500000000002</v>
      </c>
      <c r="U122" s="1081"/>
      <c r="AP122" s="2348"/>
    </row>
    <row r="123" spans="11:42" s="1968" customFormat="1" ht="19">
      <c r="K123" s="2348"/>
      <c r="M123" s="2125" t="s">
        <v>3640</v>
      </c>
      <c r="N123" s="2126" t="str">
        <f>VLOOKUP(M123,Price[],2,0)</f>
        <v>Cleaner</v>
      </c>
      <c r="O123" s="2126" t="str">
        <f>VLOOKUP(M123,Price[],3,0)</f>
        <v>per benficiary</v>
      </c>
      <c r="P123" s="2374">
        <f>VLOOKUP(M123,Price[],4,0)</f>
        <v>12.94</v>
      </c>
      <c r="Q123" s="2126" t="str">
        <f>VLOOKUP(M123,Price[],5,0)</f>
        <v>MDL</v>
      </c>
      <c r="R123" s="2125"/>
      <c r="S123" s="2382">
        <v>1.75</v>
      </c>
      <c r="T123" s="2173">
        <f t="shared" si="13"/>
        <v>22.645</v>
      </c>
      <c r="U123" s="1081"/>
      <c r="AP123" s="2348"/>
    </row>
    <row r="124" spans="11:42" s="1968" customFormat="1" ht="20" thickBot="1">
      <c r="K124" s="2348"/>
      <c r="M124" s="2174" t="s">
        <v>3267</v>
      </c>
      <c r="N124" s="2175" t="str">
        <f>VLOOKUP(M124,Price[],2,0)</f>
        <v>Utilities</v>
      </c>
      <c r="O124" s="2175" t="str">
        <f>VLOOKUP(M124,Price[],3,0)</f>
        <v>per benficiary</v>
      </c>
      <c r="P124" s="2377">
        <f>VLOOKUP(M124,Price[],4,0)</f>
        <v>68.739999999999995</v>
      </c>
      <c r="Q124" s="2175" t="str">
        <f>VLOOKUP(M124,Price[],5,0)</f>
        <v>MDL</v>
      </c>
      <c r="R124" s="2176"/>
      <c r="S124" s="2383">
        <v>1.75</v>
      </c>
      <c r="T124" s="2177">
        <f t="shared" si="13"/>
        <v>120.29499999999999</v>
      </c>
      <c r="U124" s="1081"/>
      <c r="AP124" s="2348"/>
    </row>
    <row r="125" spans="11:42" s="1808" customFormat="1" ht="16" thickBot="1">
      <c r="K125" s="712"/>
      <c r="M125" s="431"/>
      <c r="N125" s="431"/>
      <c r="O125" s="431"/>
      <c r="P125" s="431"/>
      <c r="Q125" s="431"/>
      <c r="R125" s="431"/>
      <c r="S125" s="431"/>
      <c r="T125" s="2372">
        <f>SUM(T111:T124)</f>
        <v>5483.6350000000002</v>
      </c>
      <c r="U125" s="1561"/>
      <c r="AP125" s="712"/>
    </row>
    <row r="126" spans="11:42" s="1808" customFormat="1">
      <c r="K126" s="712"/>
      <c r="S126" s="431"/>
      <c r="T126" s="2161"/>
      <c r="U126" s="431"/>
      <c r="V126" s="431"/>
      <c r="W126" s="431"/>
      <c r="X126" s="431"/>
      <c r="Y126" s="431"/>
      <c r="Z126" s="431"/>
      <c r="AP126" s="712"/>
    </row>
    <row r="127" spans="11:42" s="1808" customFormat="1" ht="19">
      <c r="K127" s="712"/>
      <c r="S127" s="431"/>
      <c r="T127" s="2161"/>
      <c r="U127" s="1968"/>
      <c r="AP127" s="712"/>
    </row>
    <row r="128" spans="11:42" s="1808" customFormat="1" ht="20" thickBot="1">
      <c r="K128" s="712"/>
      <c r="M128" s="1968"/>
      <c r="N128" s="2352" t="s">
        <v>178</v>
      </c>
      <c r="O128" s="2065" t="s">
        <v>3892</v>
      </c>
      <c r="P128" s="2065"/>
      <c r="Q128" s="2065"/>
      <c r="R128" s="2065"/>
      <c r="S128" s="431"/>
      <c r="T128" s="2352" t="s">
        <v>178</v>
      </c>
      <c r="U128" s="2065" t="s">
        <v>3893</v>
      </c>
      <c r="V128" s="2065"/>
      <c r="W128" s="2065"/>
      <c r="X128" s="2065"/>
      <c r="AP128" s="712"/>
    </row>
    <row r="129" spans="1:42" s="1808" customFormat="1" ht="20" thickBot="1">
      <c r="K129" s="712"/>
      <c r="M129" s="1968"/>
      <c r="N129" s="2353">
        <v>2021</v>
      </c>
      <c r="O129" s="2354">
        <v>2022</v>
      </c>
      <c r="P129" s="2354">
        <v>2023</v>
      </c>
      <c r="Q129" s="2354">
        <v>2024</v>
      </c>
      <c r="R129" s="2355">
        <v>2025</v>
      </c>
      <c r="S129" s="431"/>
      <c r="T129" s="2353">
        <v>2021</v>
      </c>
      <c r="U129" s="2354">
        <v>2022</v>
      </c>
      <c r="V129" s="2354">
        <v>2023</v>
      </c>
      <c r="W129" s="2354">
        <v>2024</v>
      </c>
      <c r="X129" s="2355">
        <v>2025</v>
      </c>
      <c r="AP129" s="712"/>
    </row>
    <row r="130" spans="1:42" s="1808" customFormat="1" ht="19">
      <c r="K130" s="712"/>
      <c r="M130" s="1968"/>
      <c r="N130" s="2358">
        <f>P69+P70+P75+P76</f>
        <v>1881</v>
      </c>
      <c r="O130" s="2359">
        <f>Q69+Q70+Q75+Q76</f>
        <v>1823</v>
      </c>
      <c r="P130" s="2359">
        <f>R69+R70+R75+R76</f>
        <v>1769</v>
      </c>
      <c r="Q130" s="2359">
        <f>S69+S70+S75+S76</f>
        <v>1718</v>
      </c>
      <c r="R130" s="2359">
        <f>T69+T70+T75+T76</f>
        <v>1670</v>
      </c>
      <c r="S130" s="431"/>
      <c r="T130" s="2358">
        <f>P71+P72+P77+P78</f>
        <v>570</v>
      </c>
      <c r="U130" s="2359">
        <f>Q71+Q72+Q77+Q78</f>
        <v>550</v>
      </c>
      <c r="V130" s="2359">
        <f>R71+R72+R77+R78</f>
        <v>532</v>
      </c>
      <c r="W130" s="2359">
        <f>S71+S72+S77+S78</f>
        <v>516</v>
      </c>
      <c r="X130" s="2359">
        <f>T71+T72+T77+T78</f>
        <v>501</v>
      </c>
      <c r="AP130" s="712"/>
    </row>
    <row r="131" spans="1:42" s="1808" customFormat="1" ht="19">
      <c r="K131" s="712"/>
      <c r="M131" s="1968" t="s">
        <v>3889</v>
      </c>
      <c r="N131" s="2349">
        <v>0.2</v>
      </c>
      <c r="O131" s="2349">
        <v>0.25</v>
      </c>
      <c r="P131" s="2349">
        <v>0.3</v>
      </c>
      <c r="Q131" s="2349">
        <v>0.3</v>
      </c>
      <c r="R131" s="2349">
        <v>0.3</v>
      </c>
      <c r="S131" s="431"/>
      <c r="T131" s="2349">
        <v>0.2</v>
      </c>
      <c r="U131" s="2349">
        <v>0.25</v>
      </c>
      <c r="V131" s="2349">
        <v>0.3</v>
      </c>
      <c r="W131" s="2349">
        <v>0.3</v>
      </c>
      <c r="X131" s="2349">
        <v>0.3</v>
      </c>
      <c r="AP131" s="712"/>
    </row>
    <row r="132" spans="1:42" s="1808" customFormat="1" ht="19">
      <c r="K132" s="712"/>
      <c r="M132" s="1968"/>
      <c r="N132" s="2360">
        <f>ROUND(N130*N131,0)</f>
        <v>376</v>
      </c>
      <c r="O132" s="2360">
        <f t="shared" ref="O132:R132" si="14">ROUND(O130*O131,0)</f>
        <v>456</v>
      </c>
      <c r="P132" s="2360">
        <f t="shared" si="14"/>
        <v>531</v>
      </c>
      <c r="Q132" s="2360">
        <f t="shared" si="14"/>
        <v>515</v>
      </c>
      <c r="R132" s="2360">
        <f t="shared" si="14"/>
        <v>501</v>
      </c>
      <c r="S132" s="431"/>
      <c r="T132" s="2360">
        <f>ROUND(T130*T131,0)</f>
        <v>114</v>
      </c>
      <c r="U132" s="2360">
        <f t="shared" ref="U132" si="15">ROUND(U130*U131,0)</f>
        <v>138</v>
      </c>
      <c r="V132" s="2360">
        <f t="shared" ref="V132" si="16">ROUND(V130*V131,0)</f>
        <v>160</v>
      </c>
      <c r="W132" s="2360">
        <f t="shared" ref="W132" si="17">ROUND(W130*W131,0)</f>
        <v>155</v>
      </c>
      <c r="X132" s="2360">
        <f t="shared" ref="X132" si="18">ROUND(X130*X131,0)</f>
        <v>150</v>
      </c>
      <c r="AP132" s="712"/>
    </row>
    <row r="133" spans="1:42" s="1808" customFormat="1" ht="19">
      <c r="K133" s="712"/>
      <c r="M133" s="2350" t="s">
        <v>3880</v>
      </c>
      <c r="N133" s="2361">
        <v>1</v>
      </c>
      <c r="O133" s="2361">
        <v>1</v>
      </c>
      <c r="P133" s="2361">
        <v>1</v>
      </c>
      <c r="Q133" s="2361">
        <v>0</v>
      </c>
      <c r="R133" s="2361">
        <v>0</v>
      </c>
      <c r="S133" s="431"/>
      <c r="T133" s="2361">
        <v>1</v>
      </c>
      <c r="U133" s="2361">
        <v>1</v>
      </c>
      <c r="V133" s="2361">
        <v>1</v>
      </c>
      <c r="W133" s="2361">
        <v>0</v>
      </c>
      <c r="X133" s="2361">
        <v>0</v>
      </c>
      <c r="AP133" s="712"/>
    </row>
    <row r="134" spans="1:42" s="1808" customFormat="1" ht="19">
      <c r="K134" s="712"/>
      <c r="M134" s="2350" t="s">
        <v>338</v>
      </c>
      <c r="N134" s="2349">
        <f>1-N133</f>
        <v>0</v>
      </c>
      <c r="O134" s="2349">
        <f t="shared" ref="O134" si="19">1-O133</f>
        <v>0</v>
      </c>
      <c r="P134" s="2349">
        <f t="shared" ref="P134" si="20">1-P133</f>
        <v>0</v>
      </c>
      <c r="Q134" s="2349">
        <f t="shared" ref="Q134" si="21">1-Q133</f>
        <v>1</v>
      </c>
      <c r="R134" s="2349">
        <f t="shared" ref="R134" si="22">1-R133</f>
        <v>1</v>
      </c>
      <c r="S134" s="431"/>
      <c r="T134" s="2349">
        <f>1-T133</f>
        <v>0</v>
      </c>
      <c r="U134" s="2349">
        <f t="shared" ref="U134" si="23">1-U133</f>
        <v>0</v>
      </c>
      <c r="V134" s="2349">
        <f t="shared" ref="V134" si="24">1-V133</f>
        <v>0</v>
      </c>
      <c r="W134" s="2349">
        <f t="shared" ref="W134" si="25">1-W133</f>
        <v>1</v>
      </c>
      <c r="X134" s="2349">
        <f t="shared" ref="X134" si="26">1-X133</f>
        <v>1</v>
      </c>
      <c r="AP134" s="712"/>
    </row>
    <row r="135" spans="1:42" s="1808" customFormat="1" ht="19">
      <c r="K135" s="712"/>
      <c r="M135" s="2350" t="s">
        <v>3882</v>
      </c>
      <c r="N135" s="2362">
        <f>N132-(N136+N137)</f>
        <v>0</v>
      </c>
      <c r="O135" s="2362">
        <f t="shared" ref="O135:R135" si="27">O132-(O136+O137)</f>
        <v>0</v>
      </c>
      <c r="P135" s="2362">
        <f t="shared" si="27"/>
        <v>0</v>
      </c>
      <c r="Q135" s="2362">
        <f t="shared" si="27"/>
        <v>0</v>
      </c>
      <c r="R135" s="2362">
        <f t="shared" si="27"/>
        <v>0</v>
      </c>
      <c r="S135" s="431"/>
      <c r="T135" s="2362">
        <f>T132-(T136+T137)</f>
        <v>0</v>
      </c>
      <c r="U135" s="2362">
        <f t="shared" ref="U135" si="28">U132-(U136+U137)</f>
        <v>0</v>
      </c>
      <c r="V135" s="2362">
        <f t="shared" ref="V135" si="29">V132-(V136+V137)</f>
        <v>0</v>
      </c>
      <c r="W135" s="2362">
        <f t="shared" ref="W135" si="30">W132-(W136+W137)</f>
        <v>0</v>
      </c>
      <c r="X135" s="2362">
        <f t="shared" ref="X135" si="31">X132-(X136+X137)</f>
        <v>0</v>
      </c>
      <c r="AP135" s="712"/>
    </row>
    <row r="136" spans="1:42" s="1808" customFormat="1" ht="19">
      <c r="K136" s="712"/>
      <c r="M136" s="2346" t="s">
        <v>3883</v>
      </c>
      <c r="N136" s="2357">
        <f>ROUND(N133*N132,0)</f>
        <v>376</v>
      </c>
      <c r="O136" s="2357">
        <f t="shared" ref="O136:R136" si="32">ROUND(O133*O132,0)</f>
        <v>456</v>
      </c>
      <c r="P136" s="2357">
        <f t="shared" si="32"/>
        <v>531</v>
      </c>
      <c r="Q136" s="2357">
        <f t="shared" si="32"/>
        <v>0</v>
      </c>
      <c r="R136" s="2357">
        <f t="shared" si="32"/>
        <v>0</v>
      </c>
      <c r="S136" s="431"/>
      <c r="T136" s="2357">
        <f>ROUND(T133*T132,0)</f>
        <v>114</v>
      </c>
      <c r="U136" s="2357">
        <f t="shared" ref="U136:X136" si="33">ROUND(U133*U132,0)</f>
        <v>138</v>
      </c>
      <c r="V136" s="2357">
        <f t="shared" si="33"/>
        <v>160</v>
      </c>
      <c r="W136" s="2357">
        <f t="shared" si="33"/>
        <v>0</v>
      </c>
      <c r="X136" s="2357">
        <f t="shared" si="33"/>
        <v>0</v>
      </c>
      <c r="AP136" s="712"/>
    </row>
    <row r="137" spans="1:42" s="1808" customFormat="1" ht="19">
      <c r="K137" s="712"/>
      <c r="M137" s="2346" t="s">
        <v>3886</v>
      </c>
      <c r="N137" s="2347">
        <f>N132-N136</f>
        <v>0</v>
      </c>
      <c r="O137" s="2347">
        <f t="shared" ref="O137:R137" si="34">O132-O136</f>
        <v>0</v>
      </c>
      <c r="P137" s="2347">
        <f t="shared" si="34"/>
        <v>0</v>
      </c>
      <c r="Q137" s="2347">
        <f t="shared" si="34"/>
        <v>515</v>
      </c>
      <c r="R137" s="2347">
        <f t="shared" si="34"/>
        <v>501</v>
      </c>
      <c r="S137" s="431"/>
      <c r="T137" s="2347">
        <f>T132-T136</f>
        <v>0</v>
      </c>
      <c r="U137" s="2347">
        <f t="shared" ref="U137" si="35">U132-U136</f>
        <v>0</v>
      </c>
      <c r="V137" s="2347">
        <f t="shared" ref="V137" si="36">V132-V136</f>
        <v>0</v>
      </c>
      <c r="W137" s="2347">
        <f t="shared" ref="W137" si="37">W132-W136</f>
        <v>155</v>
      </c>
      <c r="X137" s="2347">
        <f t="shared" ref="X137" si="38">X132-X136</f>
        <v>150</v>
      </c>
      <c r="AP137" s="712"/>
    </row>
    <row r="138" spans="1:42" s="1808" customFormat="1" ht="19">
      <c r="K138" s="712"/>
      <c r="M138" s="2351"/>
      <c r="N138" s="2351" t="str">
        <f>IF(SUM(N133:N134)=1,"","verificati % dintre surse, nu este=100%")</f>
        <v/>
      </c>
      <c r="O138" s="2351" t="str">
        <f t="shared" ref="O138:X138" si="39">IF(SUM(O133:O134)=1,"","verificati % dintre surse, nu este=100%")</f>
        <v/>
      </c>
      <c r="P138" s="2351" t="str">
        <f t="shared" si="39"/>
        <v/>
      </c>
      <c r="Q138" s="2351" t="str">
        <f t="shared" si="39"/>
        <v/>
      </c>
      <c r="R138" s="2351" t="str">
        <f t="shared" si="39"/>
        <v/>
      </c>
      <c r="S138" s="2351"/>
      <c r="T138" s="2351" t="str">
        <f t="shared" si="39"/>
        <v/>
      </c>
      <c r="U138" s="2351" t="str">
        <f t="shared" si="39"/>
        <v/>
      </c>
      <c r="V138" s="2351" t="str">
        <f t="shared" si="39"/>
        <v/>
      </c>
      <c r="W138" s="2351" t="str">
        <f t="shared" si="39"/>
        <v/>
      </c>
      <c r="X138" s="2351" t="str">
        <f t="shared" si="39"/>
        <v/>
      </c>
      <c r="AP138" s="712"/>
    </row>
    <row r="139" spans="1:42" s="1808" customFormat="1" ht="19">
      <c r="K139" s="712"/>
      <c r="M139" s="2351"/>
      <c r="N139" s="2351"/>
      <c r="O139" s="1968"/>
      <c r="P139" s="1968"/>
      <c r="Q139" s="1968"/>
      <c r="R139" s="1968"/>
      <c r="S139" s="431"/>
      <c r="T139" s="2351"/>
      <c r="U139" s="1968"/>
      <c r="V139" s="1968"/>
      <c r="W139" s="1968"/>
      <c r="X139" s="1968"/>
      <c r="AP139" s="712"/>
    </row>
    <row r="140" spans="1:42" s="1808" customFormat="1" ht="19">
      <c r="K140" s="712"/>
      <c r="M140" s="1968" t="s">
        <v>3884</v>
      </c>
      <c r="N140" s="2356">
        <f>N136*T106</f>
        <v>767799.52000000014</v>
      </c>
      <c r="O140" s="2356">
        <f>O136*T106</f>
        <v>931161.12000000011</v>
      </c>
      <c r="P140" s="2356">
        <f>P136*T106</f>
        <v>1084312.6200000001</v>
      </c>
      <c r="Q140" s="2356">
        <f>Q136*T106</f>
        <v>0</v>
      </c>
      <c r="R140" s="2356">
        <f>R136*T106</f>
        <v>0</v>
      </c>
      <c r="S140" s="431"/>
      <c r="T140" s="2356">
        <f>T136*T125</f>
        <v>625134.39</v>
      </c>
      <c r="U140" s="2356">
        <f>U136*T125</f>
        <v>756741.63</v>
      </c>
      <c r="V140" s="2356">
        <f>V136*T125</f>
        <v>877381.60000000009</v>
      </c>
      <c r="W140" s="2356">
        <f>W136*T125</f>
        <v>0</v>
      </c>
      <c r="X140" s="2356">
        <f>X136*T125</f>
        <v>0</v>
      </c>
      <c r="AP140" s="712"/>
    </row>
    <row r="141" spans="1:42" s="1808" customFormat="1" ht="19">
      <c r="K141" s="712"/>
      <c r="M141" s="1968" t="s">
        <v>3885</v>
      </c>
      <c r="N141" s="2356">
        <f>N137*T106</f>
        <v>0</v>
      </c>
      <c r="O141" s="2356">
        <f>O137*T106</f>
        <v>0</v>
      </c>
      <c r="P141" s="2356">
        <f>P137*T106</f>
        <v>0</v>
      </c>
      <c r="Q141" s="2356">
        <f>Q137*T106</f>
        <v>1051640.3</v>
      </c>
      <c r="R141" s="2356">
        <f>R137*T106</f>
        <v>1023052.0200000001</v>
      </c>
      <c r="S141" s="431"/>
      <c r="T141" s="2356">
        <f>T137*T125</f>
        <v>0</v>
      </c>
      <c r="U141" s="2356">
        <f>U137*T125</f>
        <v>0</v>
      </c>
      <c r="V141" s="2356">
        <f>V137*T125</f>
        <v>0</v>
      </c>
      <c r="W141" s="2356">
        <f>W137*T125</f>
        <v>849963.42500000005</v>
      </c>
      <c r="X141" s="2356">
        <f>X137*T125</f>
        <v>822545.25</v>
      </c>
      <c r="AP141" s="712"/>
    </row>
    <row r="142" spans="1:42" s="1808" customFormat="1">
      <c r="K142" s="712"/>
      <c r="M142" s="1081" t="s">
        <v>3882</v>
      </c>
      <c r="N142" s="2343">
        <f>N135*T106</f>
        <v>0</v>
      </c>
      <c r="O142" s="2343">
        <f>O135*T106</f>
        <v>0</v>
      </c>
      <c r="P142" s="2343">
        <f>P135*T106</f>
        <v>0</v>
      </c>
      <c r="Q142" s="2343">
        <f>Q135*T106</f>
        <v>0</v>
      </c>
      <c r="R142" s="2343">
        <f>R135*T106</f>
        <v>0</v>
      </c>
      <c r="S142" s="431"/>
      <c r="T142" s="2343">
        <f>T135*T125</f>
        <v>0</v>
      </c>
      <c r="U142" s="2343">
        <f>U135*T125</f>
        <v>0</v>
      </c>
      <c r="V142" s="2343">
        <f>V135*T125</f>
        <v>0</v>
      </c>
      <c r="W142" s="2343">
        <f>W135*T125</f>
        <v>0</v>
      </c>
      <c r="X142" s="2343">
        <f>X135*T125</f>
        <v>0</v>
      </c>
      <c r="AP142" s="712"/>
    </row>
    <row r="143" spans="1:42" s="1808" customFormat="1" ht="16" thickBot="1">
      <c r="K143" s="712"/>
      <c r="M143" s="431"/>
      <c r="N143" s="431"/>
      <c r="O143" s="431"/>
      <c r="P143" s="431"/>
      <c r="Q143" s="431"/>
      <c r="R143" s="431"/>
      <c r="S143" s="431"/>
      <c r="T143" s="2161"/>
      <c r="U143" s="1544"/>
      <c r="AP143" s="712"/>
    </row>
    <row r="144" spans="1:42" s="1808" customFormat="1" ht="20" thickBot="1">
      <c r="A144" s="730">
        <v>189</v>
      </c>
      <c r="B144" s="733">
        <f>N144</f>
        <v>1392933.9100000001</v>
      </c>
      <c r="C144" s="733">
        <f t="shared" ref="C144:F144" si="40">O144</f>
        <v>1687902.75</v>
      </c>
      <c r="D144" s="733">
        <f t="shared" si="40"/>
        <v>1961694.2200000002</v>
      </c>
      <c r="E144" s="733">
        <f t="shared" si="40"/>
        <v>0</v>
      </c>
      <c r="F144" s="733">
        <f t="shared" si="40"/>
        <v>0</v>
      </c>
      <c r="G144" s="733" t="s">
        <v>351</v>
      </c>
      <c r="H144" s="842" t="s">
        <v>3981</v>
      </c>
      <c r="I144" s="843" t="s">
        <v>3717</v>
      </c>
      <c r="J144" s="841" t="s">
        <v>2976</v>
      </c>
      <c r="K144" s="712"/>
      <c r="M144" s="1968" t="s">
        <v>3884</v>
      </c>
      <c r="N144" s="2363">
        <f>N140+T140</f>
        <v>1392933.9100000001</v>
      </c>
      <c r="O144" s="2363">
        <f t="shared" ref="O144:R144" si="41">O140+U140</f>
        <v>1687902.75</v>
      </c>
      <c r="P144" s="2363">
        <f t="shared" si="41"/>
        <v>1961694.2200000002</v>
      </c>
      <c r="Q144" s="2363">
        <f t="shared" si="41"/>
        <v>0</v>
      </c>
      <c r="R144" s="2363">
        <f t="shared" si="41"/>
        <v>0</v>
      </c>
      <c r="S144" s="431"/>
      <c r="T144" s="2161"/>
      <c r="U144" s="1544"/>
      <c r="AP144" s="712"/>
    </row>
    <row r="145" spans="1:42" s="1808" customFormat="1" ht="20" thickBot="1">
      <c r="A145"/>
      <c r="B145"/>
      <c r="C145"/>
      <c r="D145"/>
      <c r="E145"/>
      <c r="F145"/>
      <c r="G145"/>
      <c r="H145"/>
      <c r="I145"/>
      <c r="J145"/>
      <c r="K145" s="712"/>
      <c r="M145" s="1968" t="s">
        <v>3885</v>
      </c>
      <c r="N145" s="2363">
        <f>N141+T141</f>
        <v>0</v>
      </c>
      <c r="O145" s="2363">
        <f t="shared" ref="O145:O146" si="42">O141+U141</f>
        <v>0</v>
      </c>
      <c r="P145" s="2363">
        <f t="shared" ref="P145:P146" si="43">P141+V141</f>
        <v>0</v>
      </c>
      <c r="Q145" s="2363">
        <f t="shared" ref="Q145:Q146" si="44">Q141+W141</f>
        <v>1901603.7250000001</v>
      </c>
      <c r="R145" s="2363">
        <f t="shared" ref="R145:R146" si="45">R141+X141</f>
        <v>1845597.27</v>
      </c>
      <c r="S145" s="431"/>
      <c r="T145" s="2161"/>
      <c r="U145" s="1544"/>
      <c r="AP145" s="712"/>
    </row>
    <row r="146" spans="1:42" s="1808" customFormat="1" ht="16" thickBot="1">
      <c r="A146" s="730">
        <v>190</v>
      </c>
      <c r="B146" s="733">
        <f>N145</f>
        <v>0</v>
      </c>
      <c r="C146" s="733">
        <f t="shared" ref="C146:F146" si="46">O145</f>
        <v>0</v>
      </c>
      <c r="D146" s="733">
        <f t="shared" si="46"/>
        <v>0</v>
      </c>
      <c r="E146" s="733">
        <f t="shared" si="46"/>
        <v>1901603.7250000001</v>
      </c>
      <c r="F146" s="733">
        <f t="shared" si="46"/>
        <v>1845597.27</v>
      </c>
      <c r="G146" s="733" t="s">
        <v>338</v>
      </c>
      <c r="H146" s="842" t="s">
        <v>3981</v>
      </c>
      <c r="I146" s="843"/>
      <c r="J146" s="841" t="s">
        <v>2976</v>
      </c>
      <c r="K146" s="712"/>
      <c r="M146" s="1081" t="s">
        <v>3882</v>
      </c>
      <c r="N146" s="2343">
        <f>N142+T142</f>
        <v>0</v>
      </c>
      <c r="O146" s="2343">
        <f t="shared" si="42"/>
        <v>0</v>
      </c>
      <c r="P146" s="2343">
        <f t="shared" si="43"/>
        <v>0</v>
      </c>
      <c r="Q146" s="2343">
        <f t="shared" si="44"/>
        <v>0</v>
      </c>
      <c r="R146" s="2343">
        <f t="shared" si="45"/>
        <v>0</v>
      </c>
      <c r="S146" s="431"/>
      <c r="T146" s="431"/>
      <c r="U146" s="431"/>
      <c r="V146"/>
      <c r="W146"/>
      <c r="X146"/>
      <c r="Y146"/>
      <c r="Z146"/>
      <c r="AA146"/>
      <c r="AB146"/>
      <c r="AC146"/>
      <c r="AD146"/>
      <c r="AE146"/>
      <c r="AF146"/>
      <c r="AG146" s="2156"/>
      <c r="AH146" s="2156"/>
      <c r="AP146" s="712"/>
    </row>
    <row r="147" spans="1:42" s="1808" customFormat="1">
      <c r="K147" s="712"/>
      <c r="M147"/>
      <c r="N147"/>
      <c r="O147" s="431"/>
      <c r="P147" s="431"/>
      <c r="Q147" s="431"/>
      <c r="R147" s="431"/>
      <c r="S147" s="431"/>
      <c r="T147" s="431"/>
      <c r="U147" s="431"/>
      <c r="V147"/>
      <c r="W147"/>
      <c r="X147"/>
      <c r="Y147"/>
      <c r="Z147"/>
      <c r="AA147"/>
      <c r="AB147"/>
      <c r="AC147"/>
      <c r="AD147"/>
      <c r="AE147"/>
      <c r="AF147"/>
      <c r="AG147" s="2156"/>
      <c r="AH147" s="2156"/>
      <c r="AP147" s="712"/>
    </row>
    <row r="148" spans="1:42" s="1808" customFormat="1">
      <c r="K148" s="712"/>
      <c r="V148" s="734"/>
      <c r="AP148" s="712"/>
    </row>
    <row r="149" spans="1:42" s="1808" customFormat="1">
      <c r="K149" s="712"/>
      <c r="V149" s="836">
        <v>2310776.2649999997</v>
      </c>
      <c r="W149" s="836">
        <v>2236071.5149999997</v>
      </c>
      <c r="X149" s="836">
        <v>2169627.6199999996</v>
      </c>
      <c r="Y149" s="836">
        <v>0</v>
      </c>
      <c r="Z149" s="836">
        <v>0</v>
      </c>
      <c r="AA149" s="836"/>
      <c r="AB149" s="836">
        <v>0</v>
      </c>
      <c r="AC149" s="836">
        <v>0</v>
      </c>
      <c r="AD149" s="836">
        <v>0</v>
      </c>
      <c r="AE149" s="836">
        <v>2103183.7250000001</v>
      </c>
      <c r="AF149" s="836">
        <v>2041310.6699999997</v>
      </c>
      <c r="AP149" s="712"/>
    </row>
    <row r="150" spans="1:42" s="1808" customFormat="1">
      <c r="K150" s="712"/>
      <c r="L150" s="853"/>
      <c r="AP150" s="712"/>
    </row>
    <row r="151" spans="1:42" s="1808" customFormat="1" ht="21">
      <c r="K151" s="712"/>
      <c r="L151" s="2114" t="s">
        <v>3891</v>
      </c>
      <c r="AP151" s="712"/>
    </row>
    <row r="152" spans="1:42" s="1808" customFormat="1" ht="21">
      <c r="K152" s="712"/>
      <c r="M152" s="502"/>
      <c r="N152" s="502"/>
      <c r="O152" s="442"/>
      <c r="P152" s="1914"/>
      <c r="Q152" s="1914"/>
      <c r="R152" s="1914"/>
      <c r="S152" s="1914"/>
      <c r="T152" s="1914"/>
      <c r="AP152" s="712"/>
    </row>
    <row r="153" spans="1:42" s="1808" customFormat="1" ht="19">
      <c r="K153" s="712"/>
      <c r="S153" s="431"/>
      <c r="T153" s="2161"/>
      <c r="U153" s="1968"/>
      <c r="Y153"/>
      <c r="Z153"/>
      <c r="AA153"/>
      <c r="AB153"/>
      <c r="AC153"/>
      <c r="AD153"/>
      <c r="AE153"/>
      <c r="AF153"/>
      <c r="AG153"/>
      <c r="AP153" s="712"/>
    </row>
    <row r="154" spans="1:42" s="1808" customFormat="1" ht="20" thickBot="1">
      <c r="K154" s="712"/>
      <c r="M154" s="1968"/>
      <c r="N154" s="2352" t="s">
        <v>179</v>
      </c>
      <c r="O154" s="2065" t="s">
        <v>3892</v>
      </c>
      <c r="P154" s="2065"/>
      <c r="Q154" s="2065"/>
      <c r="R154" s="2065"/>
      <c r="S154" s="431"/>
      <c r="T154" s="2352" t="s">
        <v>179</v>
      </c>
      <c r="U154" s="2065" t="s">
        <v>3893</v>
      </c>
      <c r="V154" s="2065"/>
      <c r="W154" s="2065"/>
      <c r="X154" s="2065"/>
      <c r="Y154"/>
      <c r="Z154"/>
      <c r="AA154"/>
      <c r="AB154"/>
      <c r="AC154"/>
      <c r="AD154"/>
      <c r="AE154"/>
      <c r="AF154"/>
      <c r="AG154"/>
      <c r="AP154" s="712"/>
    </row>
    <row r="155" spans="1:42" s="1808" customFormat="1" ht="20" thickBot="1">
      <c r="K155" s="712"/>
      <c r="M155" s="1968"/>
      <c r="N155" s="2353">
        <v>2021</v>
      </c>
      <c r="O155" s="2354">
        <v>2022</v>
      </c>
      <c r="P155" s="2354">
        <v>2023</v>
      </c>
      <c r="Q155" s="2354">
        <v>2024</v>
      </c>
      <c r="R155" s="2355">
        <v>2025</v>
      </c>
      <c r="S155" s="431"/>
      <c r="T155" s="2353">
        <v>2021</v>
      </c>
      <c r="U155" s="2354">
        <v>2022</v>
      </c>
      <c r="V155" s="2354">
        <v>2023</v>
      </c>
      <c r="W155" s="2354">
        <v>2024</v>
      </c>
      <c r="X155" s="2355">
        <v>2025</v>
      </c>
      <c r="Y155"/>
      <c r="Z155"/>
      <c r="AA155"/>
      <c r="AB155"/>
      <c r="AC155"/>
      <c r="AD155"/>
      <c r="AE155"/>
      <c r="AF155"/>
      <c r="AG155"/>
      <c r="AP155" s="712"/>
    </row>
    <row r="156" spans="1:42" s="1808" customFormat="1" ht="19">
      <c r="K156" s="712"/>
      <c r="M156" s="1968"/>
      <c r="N156" s="2358">
        <f>Y69+Y70+Y75+Y76</f>
        <v>309</v>
      </c>
      <c r="O156" s="2359">
        <f t="shared" ref="O156:R156" si="47">Z69+Z70+Z75+Z76</f>
        <v>301</v>
      </c>
      <c r="P156" s="2359">
        <f t="shared" si="47"/>
        <v>295</v>
      </c>
      <c r="Q156" s="2359">
        <f t="shared" si="47"/>
        <v>292</v>
      </c>
      <c r="R156" s="2359">
        <f t="shared" si="47"/>
        <v>288</v>
      </c>
      <c r="S156" s="431"/>
      <c r="T156" s="2358">
        <f>Y71+Y72+Y77+Y78</f>
        <v>257</v>
      </c>
      <c r="U156" s="2359">
        <f t="shared" ref="U156:X156" si="48">Z71+Z72+Z77+Z78</f>
        <v>257</v>
      </c>
      <c r="V156" s="2359">
        <f t="shared" si="48"/>
        <v>260</v>
      </c>
      <c r="W156" s="2359">
        <f t="shared" si="48"/>
        <v>266</v>
      </c>
      <c r="X156" s="2359">
        <f t="shared" si="48"/>
        <v>270</v>
      </c>
      <c r="Y156"/>
      <c r="Z156"/>
      <c r="AA156"/>
      <c r="AB156"/>
      <c r="AC156"/>
      <c r="AD156"/>
      <c r="AE156"/>
      <c r="AF156"/>
      <c r="AG156"/>
      <c r="AP156" s="712"/>
    </row>
    <row r="157" spans="1:42" s="1808" customFormat="1" ht="19">
      <c r="K157" s="712"/>
      <c r="M157" s="1968" t="s">
        <v>3889</v>
      </c>
      <c r="N157" s="2349">
        <v>0.2</v>
      </c>
      <c r="O157" s="2349">
        <v>0.25</v>
      </c>
      <c r="P157" s="2349">
        <v>0.3</v>
      </c>
      <c r="Q157" s="2349">
        <v>0.3</v>
      </c>
      <c r="R157" s="2349">
        <v>0.3</v>
      </c>
      <c r="S157" s="431"/>
      <c r="T157" s="2349">
        <v>0.2</v>
      </c>
      <c r="U157" s="2349">
        <v>0.25</v>
      </c>
      <c r="V157" s="2349">
        <v>0.3</v>
      </c>
      <c r="W157" s="2349">
        <v>0.3</v>
      </c>
      <c r="X157" s="2349">
        <v>0.3</v>
      </c>
      <c r="Y157"/>
      <c r="Z157"/>
      <c r="AA157"/>
      <c r="AB157"/>
      <c r="AC157"/>
      <c r="AD157"/>
      <c r="AE157"/>
      <c r="AF157"/>
      <c r="AG157"/>
      <c r="AP157" s="712"/>
    </row>
    <row r="158" spans="1:42" s="1808" customFormat="1" ht="19">
      <c r="K158" s="712"/>
      <c r="M158" s="1968"/>
      <c r="N158" s="2360">
        <f>ROUND(N156*N157,0)</f>
        <v>62</v>
      </c>
      <c r="O158" s="2360">
        <f t="shared" ref="O158" si="49">ROUND(O156*O157,0)</f>
        <v>75</v>
      </c>
      <c r="P158" s="2360">
        <f t="shared" ref="P158" si="50">ROUND(P156*P157,0)</f>
        <v>89</v>
      </c>
      <c r="Q158" s="2360">
        <f t="shared" ref="Q158" si="51">ROUND(Q156*Q157,0)</f>
        <v>88</v>
      </c>
      <c r="R158" s="2360">
        <f t="shared" ref="R158" si="52">ROUND(R156*R157,0)</f>
        <v>86</v>
      </c>
      <c r="S158" s="431"/>
      <c r="T158" s="2360">
        <f>ROUND(T156*T157,0)</f>
        <v>51</v>
      </c>
      <c r="U158" s="2360">
        <f t="shared" ref="U158" si="53">ROUND(U156*U157,0)</f>
        <v>64</v>
      </c>
      <c r="V158" s="2360">
        <f t="shared" ref="V158" si="54">ROUND(V156*V157,0)</f>
        <v>78</v>
      </c>
      <c r="W158" s="2360">
        <f t="shared" ref="W158" si="55">ROUND(W156*W157,0)</f>
        <v>80</v>
      </c>
      <c r="X158" s="2360">
        <f t="shared" ref="X158" si="56">ROUND(X156*X157,0)</f>
        <v>81</v>
      </c>
      <c r="Y158"/>
      <c r="Z158"/>
      <c r="AA158"/>
      <c r="AB158"/>
      <c r="AC158"/>
      <c r="AD158"/>
      <c r="AE158"/>
      <c r="AF158"/>
      <c r="AG158"/>
      <c r="AP158" s="712"/>
    </row>
    <row r="159" spans="1:42" s="1808" customFormat="1" ht="19">
      <c r="K159" s="712"/>
      <c r="M159" s="2350" t="s">
        <v>3880</v>
      </c>
      <c r="N159" s="2361">
        <v>1</v>
      </c>
      <c r="O159" s="2361">
        <v>1</v>
      </c>
      <c r="P159" s="2361">
        <v>1</v>
      </c>
      <c r="Q159" s="2361">
        <v>0</v>
      </c>
      <c r="R159" s="2361">
        <v>0</v>
      </c>
      <c r="S159" s="431"/>
      <c r="T159" s="2361">
        <v>1</v>
      </c>
      <c r="U159" s="2361">
        <v>1</v>
      </c>
      <c r="V159" s="2361">
        <v>1</v>
      </c>
      <c r="W159" s="2361">
        <v>0</v>
      </c>
      <c r="X159" s="2361">
        <v>0</v>
      </c>
      <c r="Y159"/>
      <c r="Z159"/>
      <c r="AA159"/>
      <c r="AB159"/>
      <c r="AC159"/>
      <c r="AD159"/>
      <c r="AE159"/>
      <c r="AF159"/>
      <c r="AG159"/>
      <c r="AP159" s="712"/>
    </row>
    <row r="160" spans="1:42" s="1808" customFormat="1" ht="19">
      <c r="K160" s="712"/>
      <c r="M160" s="2350" t="s">
        <v>338</v>
      </c>
      <c r="N160" s="2349">
        <f>1-N159</f>
        <v>0</v>
      </c>
      <c r="O160" s="2349">
        <f t="shared" ref="O160" si="57">1-O159</f>
        <v>0</v>
      </c>
      <c r="P160" s="2349">
        <f t="shared" ref="P160" si="58">1-P159</f>
        <v>0</v>
      </c>
      <c r="Q160" s="2349">
        <f t="shared" ref="Q160" si="59">1-Q159</f>
        <v>1</v>
      </c>
      <c r="R160" s="2349">
        <f t="shared" ref="R160" si="60">1-R159</f>
        <v>1</v>
      </c>
      <c r="S160" s="431"/>
      <c r="T160" s="2349">
        <f>1-T159</f>
        <v>0</v>
      </c>
      <c r="U160" s="2349">
        <f t="shared" ref="U160" si="61">1-U159</f>
        <v>0</v>
      </c>
      <c r="V160" s="2349">
        <f t="shared" ref="V160" si="62">1-V159</f>
        <v>0</v>
      </c>
      <c r="W160" s="2349">
        <f t="shared" ref="W160" si="63">1-W159</f>
        <v>1</v>
      </c>
      <c r="X160" s="2349">
        <f t="shared" ref="X160" si="64">1-X159</f>
        <v>1</v>
      </c>
      <c r="Y160"/>
      <c r="Z160"/>
      <c r="AA160"/>
      <c r="AB160"/>
      <c r="AC160"/>
      <c r="AD160"/>
      <c r="AE160"/>
      <c r="AF160"/>
      <c r="AG160"/>
      <c r="AP160" s="712"/>
    </row>
    <row r="161" spans="1:42" s="1808" customFormat="1" ht="19">
      <c r="K161" s="712"/>
      <c r="M161" s="2350" t="s">
        <v>3882</v>
      </c>
      <c r="N161" s="2362">
        <f>N158-(N162+N163)</f>
        <v>0</v>
      </c>
      <c r="O161" s="2362">
        <f t="shared" ref="O161" si="65">O158-(O162+O163)</f>
        <v>0</v>
      </c>
      <c r="P161" s="2362">
        <f t="shared" ref="P161" si="66">P158-(P162+P163)</f>
        <v>0</v>
      </c>
      <c r="Q161" s="2362">
        <f t="shared" ref="Q161" si="67">Q158-(Q162+Q163)</f>
        <v>0</v>
      </c>
      <c r="R161" s="2362">
        <f t="shared" ref="R161" si="68">R158-(R162+R163)</f>
        <v>0</v>
      </c>
      <c r="S161" s="431"/>
      <c r="T161" s="2362">
        <f>T158-(T162+T163)</f>
        <v>0</v>
      </c>
      <c r="U161" s="2362">
        <f t="shared" ref="U161" si="69">U158-(U162+U163)</f>
        <v>0</v>
      </c>
      <c r="V161" s="2362">
        <f t="shared" ref="V161" si="70">V158-(V162+V163)</f>
        <v>0</v>
      </c>
      <c r="W161" s="2362">
        <f t="shared" ref="W161" si="71">W158-(W162+W163)</f>
        <v>0</v>
      </c>
      <c r="X161" s="2362">
        <f t="shared" ref="X161" si="72">X158-(X162+X163)</f>
        <v>0</v>
      </c>
      <c r="Y161"/>
      <c r="Z161"/>
      <c r="AA161"/>
      <c r="AB161"/>
      <c r="AC161"/>
      <c r="AD161"/>
      <c r="AE161"/>
      <c r="AF161"/>
      <c r="AG161"/>
      <c r="AP161" s="712"/>
    </row>
    <row r="162" spans="1:42" s="1808" customFormat="1" ht="19">
      <c r="K162" s="712"/>
      <c r="M162" s="2346" t="s">
        <v>3883</v>
      </c>
      <c r="N162" s="2357">
        <f>ROUND(N159*N158,0)</f>
        <v>62</v>
      </c>
      <c r="O162" s="2357">
        <f t="shared" ref="O162:R162" si="73">ROUND(O159*O158,0)</f>
        <v>75</v>
      </c>
      <c r="P162" s="2357">
        <f t="shared" si="73"/>
        <v>89</v>
      </c>
      <c r="Q162" s="2357">
        <f t="shared" si="73"/>
        <v>0</v>
      </c>
      <c r="R162" s="2357">
        <f t="shared" si="73"/>
        <v>0</v>
      </c>
      <c r="S162" s="431"/>
      <c r="T162" s="2357">
        <f>ROUND(T159*T158,0)</f>
        <v>51</v>
      </c>
      <c r="U162" s="2357">
        <f t="shared" ref="U162:X162" si="74">ROUND(U159*U158,0)</f>
        <v>64</v>
      </c>
      <c r="V162" s="2357">
        <f t="shared" si="74"/>
        <v>78</v>
      </c>
      <c r="W162" s="2357">
        <f t="shared" si="74"/>
        <v>0</v>
      </c>
      <c r="X162" s="2357">
        <f t="shared" si="74"/>
        <v>0</v>
      </c>
      <c r="Y162"/>
      <c r="Z162"/>
      <c r="AA162"/>
      <c r="AB162"/>
      <c r="AC162"/>
      <c r="AD162"/>
      <c r="AE162"/>
      <c r="AF162"/>
      <c r="AG162"/>
      <c r="AP162" s="712"/>
    </row>
    <row r="163" spans="1:42" s="1808" customFormat="1" ht="19">
      <c r="K163" s="712"/>
      <c r="M163" s="2346" t="s">
        <v>3886</v>
      </c>
      <c r="N163" s="2347">
        <f>N158-N162</f>
        <v>0</v>
      </c>
      <c r="O163" s="2347">
        <f t="shared" ref="O163" si="75">O158-O162</f>
        <v>0</v>
      </c>
      <c r="P163" s="2347">
        <f t="shared" ref="P163" si="76">P158-P162</f>
        <v>0</v>
      </c>
      <c r="Q163" s="2347">
        <f t="shared" ref="Q163" si="77">Q158-Q162</f>
        <v>88</v>
      </c>
      <c r="R163" s="2347">
        <f t="shared" ref="R163" si="78">R158-R162</f>
        <v>86</v>
      </c>
      <c r="S163" s="431"/>
      <c r="T163" s="2347">
        <f>T158-T162</f>
        <v>0</v>
      </c>
      <c r="U163" s="2347">
        <f t="shared" ref="U163" si="79">U158-U162</f>
        <v>0</v>
      </c>
      <c r="V163" s="2347">
        <f t="shared" ref="V163" si="80">V158-V162</f>
        <v>0</v>
      </c>
      <c r="W163" s="2347">
        <f t="shared" ref="W163" si="81">W158-W162</f>
        <v>80</v>
      </c>
      <c r="X163" s="2347">
        <f t="shared" ref="X163" si="82">X158-X162</f>
        <v>81</v>
      </c>
      <c r="Y163"/>
      <c r="Z163"/>
      <c r="AA163"/>
      <c r="AB163"/>
      <c r="AC163"/>
      <c r="AD163"/>
      <c r="AE163"/>
      <c r="AF163"/>
      <c r="AG163"/>
      <c r="AP163" s="712"/>
    </row>
    <row r="164" spans="1:42" s="1808" customFormat="1" ht="19">
      <c r="K164" s="712"/>
      <c r="M164" s="2351"/>
      <c r="N164" s="2351" t="str">
        <f>IF(SUM(N159:N160)=1,"","verificati % dintre surse, nu este=100%")</f>
        <v/>
      </c>
      <c r="O164" s="2351" t="str">
        <f t="shared" ref="O164:X164" si="83">IF(SUM(O159:O160)=1,"","verificati % dintre surse, nu este=100%")</f>
        <v/>
      </c>
      <c r="P164" s="2351" t="str">
        <f t="shared" si="83"/>
        <v/>
      </c>
      <c r="Q164" s="2351" t="str">
        <f t="shared" si="83"/>
        <v/>
      </c>
      <c r="R164" s="2351" t="str">
        <f t="shared" si="83"/>
        <v/>
      </c>
      <c r="S164" s="2351"/>
      <c r="T164" s="2351" t="str">
        <f t="shared" si="83"/>
        <v/>
      </c>
      <c r="U164" s="2351" t="str">
        <f t="shared" si="83"/>
        <v/>
      </c>
      <c r="V164" s="2351" t="str">
        <f t="shared" si="83"/>
        <v/>
      </c>
      <c r="W164" s="2351" t="str">
        <f t="shared" si="83"/>
        <v/>
      </c>
      <c r="X164" s="2351" t="str">
        <f t="shared" si="83"/>
        <v/>
      </c>
      <c r="Y164"/>
      <c r="Z164"/>
      <c r="AA164"/>
      <c r="AB164"/>
      <c r="AC164"/>
      <c r="AD164"/>
      <c r="AE164"/>
      <c r="AF164"/>
      <c r="AG164"/>
      <c r="AP164" s="712"/>
    </row>
    <row r="165" spans="1:42" s="1808" customFormat="1" ht="19">
      <c r="K165" s="712"/>
      <c r="L165"/>
      <c r="M165" s="2351"/>
      <c r="N165" s="2351"/>
      <c r="O165" s="1968"/>
      <c r="P165" s="1968"/>
      <c r="Q165" s="1968"/>
      <c r="R165" s="1968"/>
      <c r="S165" s="431"/>
      <c r="T165" s="2351"/>
      <c r="U165" s="1968"/>
      <c r="V165" s="1968"/>
      <c r="W165" s="1968"/>
      <c r="X165" s="1968"/>
      <c r="Y165"/>
      <c r="Z165"/>
      <c r="AA165"/>
      <c r="AB165"/>
      <c r="AC165"/>
      <c r="AD165"/>
      <c r="AE165"/>
      <c r="AF165"/>
      <c r="AG165"/>
      <c r="AP165" s="712"/>
    </row>
    <row r="166" spans="1:42" s="1808" customFormat="1" ht="19">
      <c r="K166" s="712"/>
      <c r="L166"/>
      <c r="M166" s="1968" t="s">
        <v>3884</v>
      </c>
      <c r="N166" s="2356">
        <f>N162*T106</f>
        <v>126605.24000000002</v>
      </c>
      <c r="O166" s="2356">
        <f>O162*T106</f>
        <v>153151.50000000003</v>
      </c>
      <c r="P166" s="2356">
        <f>P162*T106</f>
        <v>181739.78000000003</v>
      </c>
      <c r="Q166" s="2356">
        <f>Q162*T106</f>
        <v>0</v>
      </c>
      <c r="R166" s="2356">
        <f>R162*T106</f>
        <v>0</v>
      </c>
      <c r="S166" s="431"/>
      <c r="T166" s="2356">
        <f>T162*T125</f>
        <v>279665.38500000001</v>
      </c>
      <c r="U166" s="2356">
        <f>U162*T125</f>
        <v>350952.64</v>
      </c>
      <c r="V166" s="2356">
        <f>V162*T125</f>
        <v>427723.53</v>
      </c>
      <c r="W166" s="2356">
        <f>W162*T125</f>
        <v>0</v>
      </c>
      <c r="X166" s="2356">
        <f>X162*T125</f>
        <v>0</v>
      </c>
      <c r="Y166"/>
      <c r="Z166"/>
      <c r="AA166"/>
      <c r="AB166"/>
      <c r="AC166"/>
      <c r="AD166"/>
      <c r="AE166"/>
      <c r="AF166"/>
      <c r="AG166"/>
      <c r="AP166" s="712"/>
    </row>
    <row r="167" spans="1:42" s="1808" customFormat="1" ht="19">
      <c r="K167" s="712"/>
      <c r="L167"/>
      <c r="M167" s="1968" t="s">
        <v>3885</v>
      </c>
      <c r="N167" s="2356">
        <f>N163*T106</f>
        <v>0</v>
      </c>
      <c r="O167" s="2356">
        <f>O163*T106</f>
        <v>0</v>
      </c>
      <c r="P167" s="2356">
        <f>P163*T106</f>
        <v>0</v>
      </c>
      <c r="Q167" s="2356">
        <f>Q163*T106</f>
        <v>179697.76</v>
      </c>
      <c r="R167" s="2356">
        <f>R163*T106</f>
        <v>175613.72000000003</v>
      </c>
      <c r="S167" s="431"/>
      <c r="T167" s="2356">
        <f>T163*T125</f>
        <v>0</v>
      </c>
      <c r="U167" s="2356">
        <f>U163*T125</f>
        <v>0</v>
      </c>
      <c r="V167" s="2356">
        <f>V163*T125</f>
        <v>0</v>
      </c>
      <c r="W167" s="2356">
        <f>W163*T125</f>
        <v>438690.80000000005</v>
      </c>
      <c r="X167" s="2356">
        <f>X163*T125</f>
        <v>444174.435</v>
      </c>
      <c r="Y167"/>
      <c r="Z167"/>
      <c r="AA167"/>
      <c r="AB167"/>
      <c r="AC167"/>
      <c r="AD167"/>
      <c r="AE167"/>
      <c r="AF167"/>
      <c r="AG167"/>
      <c r="AP167" s="712"/>
    </row>
    <row r="168" spans="1:42" s="1808" customFormat="1">
      <c r="K168" s="712"/>
      <c r="L168"/>
      <c r="M168" s="1081" t="s">
        <v>3882</v>
      </c>
      <c r="N168" s="2343">
        <f>N161*T132</f>
        <v>0</v>
      </c>
      <c r="O168" s="2343">
        <f>O161*T132</f>
        <v>0</v>
      </c>
      <c r="P168" s="2343">
        <f>P161*T132</f>
        <v>0</v>
      </c>
      <c r="Q168" s="2343">
        <f>Q161*T132</f>
        <v>0</v>
      </c>
      <c r="R168" s="2343">
        <f>R161*T132</f>
        <v>0</v>
      </c>
      <c r="S168" s="431"/>
      <c r="T168" s="2343">
        <f>T161*T151</f>
        <v>0</v>
      </c>
      <c r="U168" s="2343">
        <f>U161*T151</f>
        <v>0</v>
      </c>
      <c r="V168" s="2343">
        <f>V161*T151</f>
        <v>0</v>
      </c>
      <c r="W168" s="2343">
        <f>W161*T151</f>
        <v>0</v>
      </c>
      <c r="X168" s="2343">
        <f>X161*T151</f>
        <v>0</v>
      </c>
      <c r="Y168"/>
      <c r="Z168"/>
      <c r="AA168"/>
      <c r="AB168"/>
      <c r="AC168"/>
      <c r="AD168"/>
      <c r="AE168"/>
      <c r="AF168"/>
      <c r="AG168"/>
      <c r="AP168" s="712"/>
    </row>
    <row r="169" spans="1:42" s="1808" customFormat="1" ht="16" thickBot="1">
      <c r="K169" s="712"/>
      <c r="L169"/>
      <c r="M169" s="431"/>
      <c r="N169" s="431"/>
      <c r="O169" s="431"/>
      <c r="P169" s="431"/>
      <c r="Q169" s="431"/>
      <c r="R169" s="431"/>
      <c r="S169" s="431"/>
      <c r="T169" s="2161"/>
      <c r="U169" s="1544"/>
      <c r="Y169"/>
      <c r="Z169"/>
      <c r="AA169"/>
      <c r="AB169"/>
      <c r="AC169"/>
      <c r="AD169"/>
      <c r="AE169"/>
      <c r="AF169"/>
      <c r="AG169"/>
      <c r="AP169" s="712"/>
    </row>
    <row r="170" spans="1:42" s="1808" customFormat="1" ht="20" thickBot="1">
      <c r="A170" s="730">
        <v>136</v>
      </c>
      <c r="B170" s="733">
        <f>N170</f>
        <v>406270.625</v>
      </c>
      <c r="C170" s="733">
        <f t="shared" ref="C170:F170" si="84">O170</f>
        <v>504104.14</v>
      </c>
      <c r="D170" s="733">
        <f t="shared" si="84"/>
        <v>609463.31000000006</v>
      </c>
      <c r="E170" s="733">
        <f t="shared" si="84"/>
        <v>0</v>
      </c>
      <c r="F170" s="733">
        <f t="shared" si="84"/>
        <v>0</v>
      </c>
      <c r="G170" s="733" t="s">
        <v>351</v>
      </c>
      <c r="H170" s="842" t="s">
        <v>3980</v>
      </c>
      <c r="I170" s="843" t="s">
        <v>3717</v>
      </c>
      <c r="J170" s="841" t="s">
        <v>2976</v>
      </c>
      <c r="K170" s="712"/>
      <c r="L170"/>
      <c r="M170" s="1968" t="s">
        <v>3884</v>
      </c>
      <c r="N170" s="2363">
        <f>N166+T166</f>
        <v>406270.625</v>
      </c>
      <c r="O170" s="2363">
        <f t="shared" ref="O170:O172" si="85">O166+U166</f>
        <v>504104.14</v>
      </c>
      <c r="P170" s="2363">
        <f t="shared" ref="P170:P172" si="86">P166+V166</f>
        <v>609463.31000000006</v>
      </c>
      <c r="Q170" s="2363">
        <f t="shared" ref="Q170:Q172" si="87">Q166+W166</f>
        <v>0</v>
      </c>
      <c r="R170" s="2363">
        <f t="shared" ref="R170:R172" si="88">R166+X166</f>
        <v>0</v>
      </c>
      <c r="S170" s="431"/>
      <c r="T170" s="2161"/>
      <c r="U170" s="1544"/>
      <c r="Y170"/>
      <c r="Z170"/>
      <c r="AA170"/>
      <c r="AB170"/>
      <c r="AC170"/>
      <c r="AD170"/>
      <c r="AE170"/>
      <c r="AF170"/>
      <c r="AG170"/>
      <c r="AP170" s="712"/>
    </row>
    <row r="171" spans="1:42" s="1808" customFormat="1" ht="20" thickBot="1">
      <c r="K171" s="712"/>
      <c r="L171"/>
      <c r="M171" s="1968" t="s">
        <v>3885</v>
      </c>
      <c r="N171" s="2363">
        <f>N167+T167</f>
        <v>0</v>
      </c>
      <c r="O171" s="2363">
        <f t="shared" si="85"/>
        <v>0</v>
      </c>
      <c r="P171" s="2363">
        <f t="shared" si="86"/>
        <v>0</v>
      </c>
      <c r="Q171" s="2363">
        <f t="shared" si="87"/>
        <v>618388.56000000006</v>
      </c>
      <c r="R171" s="2363">
        <f t="shared" si="88"/>
        <v>619788.15500000003</v>
      </c>
      <c r="S171" s="431"/>
      <c r="T171" s="2161"/>
      <c r="U171" s="1544"/>
      <c r="Y171"/>
      <c r="Z171"/>
      <c r="AA171"/>
      <c r="AB171"/>
      <c r="AC171"/>
      <c r="AD171"/>
      <c r="AE171"/>
      <c r="AF171"/>
      <c r="AG171"/>
      <c r="AP171" s="712"/>
    </row>
    <row r="172" spans="1:42" s="1808" customFormat="1" ht="16" thickBot="1">
      <c r="A172" s="730">
        <v>200</v>
      </c>
      <c r="B172" s="733">
        <f>N171</f>
        <v>0</v>
      </c>
      <c r="C172" s="733">
        <f t="shared" ref="C172:F172" si="89">O171</f>
        <v>0</v>
      </c>
      <c r="D172" s="733">
        <f t="shared" si="89"/>
        <v>0</v>
      </c>
      <c r="E172" s="733">
        <f t="shared" si="89"/>
        <v>618388.56000000006</v>
      </c>
      <c r="F172" s="733">
        <f t="shared" si="89"/>
        <v>619788.15500000003</v>
      </c>
      <c r="G172" s="733" t="s">
        <v>513</v>
      </c>
      <c r="H172" s="842" t="s">
        <v>3980</v>
      </c>
      <c r="I172" s="843"/>
      <c r="J172" s="841" t="s">
        <v>2976</v>
      </c>
      <c r="K172" s="712"/>
      <c r="L172"/>
      <c r="M172" s="1081" t="s">
        <v>3882</v>
      </c>
      <c r="N172" s="2343">
        <f>N168+T168</f>
        <v>0</v>
      </c>
      <c r="O172" s="2343">
        <f t="shared" si="85"/>
        <v>0</v>
      </c>
      <c r="P172" s="2343">
        <f t="shared" si="86"/>
        <v>0</v>
      </c>
      <c r="Q172" s="2343">
        <f t="shared" si="87"/>
        <v>0</v>
      </c>
      <c r="R172" s="2343">
        <f t="shared" si="88"/>
        <v>0</v>
      </c>
      <c r="S172" s="431"/>
      <c r="T172" s="431"/>
      <c r="U172" s="431"/>
      <c r="Y172"/>
      <c r="Z172"/>
      <c r="AA172"/>
      <c r="AB172"/>
      <c r="AC172"/>
      <c r="AD172"/>
      <c r="AE172"/>
      <c r="AF172"/>
      <c r="AG172"/>
      <c r="AP172" s="712"/>
    </row>
    <row r="173" spans="1:42" s="1808" customFormat="1">
      <c r="K173" s="712"/>
      <c r="L173"/>
      <c r="O173" s="431"/>
      <c r="P173" s="431"/>
      <c r="Q173" s="431"/>
      <c r="R173" s="431"/>
      <c r="S173" s="431"/>
      <c r="T173" s="431"/>
      <c r="U173" s="431"/>
      <c r="Y173"/>
      <c r="Z173"/>
      <c r="AA173"/>
      <c r="AB173"/>
      <c r="AC173"/>
      <c r="AD173"/>
      <c r="AE173"/>
      <c r="AF173"/>
      <c r="AG173"/>
      <c r="AP173" s="712"/>
    </row>
    <row r="174" spans="1:42" s="1808" customFormat="1">
      <c r="K174" s="712"/>
      <c r="L174"/>
      <c r="M174"/>
      <c r="N174"/>
      <c r="O174"/>
      <c r="P174"/>
      <c r="Q174"/>
      <c r="R174"/>
      <c r="S174"/>
      <c r="T174"/>
      <c r="U174"/>
      <c r="V174"/>
      <c r="W174"/>
      <c r="X174"/>
      <c r="Y174"/>
      <c r="Z174"/>
      <c r="AA174"/>
      <c r="AB174"/>
      <c r="AC174"/>
      <c r="AD174"/>
      <c r="AE174"/>
      <c r="AF174"/>
      <c r="AG174"/>
      <c r="AH174"/>
      <c r="AP174" s="712" t="s">
        <v>238</v>
      </c>
    </row>
    <row r="175" spans="1:42" s="1808" customFormat="1" ht="24">
      <c r="K175" s="712" t="s">
        <v>238</v>
      </c>
      <c r="L175" s="2384" t="s">
        <v>2979</v>
      </c>
      <c r="M175" s="2182"/>
      <c r="N175" s="2182"/>
      <c r="O175" s="2182"/>
      <c r="P175" s="2182"/>
      <c r="Q175" s="2182"/>
      <c r="R175" s="2182"/>
      <c r="S175" s="2182"/>
      <c r="T175" s="2182"/>
      <c r="U175" s="2182"/>
      <c r="V175" s="2182"/>
      <c r="W175" s="2182"/>
      <c r="X175" s="2182"/>
      <c r="Y175" s="2182"/>
      <c r="Z175" s="2182"/>
      <c r="AA175" s="2182"/>
      <c r="AB175" s="2182"/>
      <c r="AC175" s="2182"/>
      <c r="AD175" s="2182"/>
      <c r="AE175" s="2182"/>
      <c r="AF175" s="2182"/>
      <c r="AG175" s="2182"/>
      <c r="AH175" s="2182"/>
      <c r="AI175" s="2182"/>
      <c r="AJ175" s="2182"/>
      <c r="AK175" s="2182"/>
      <c r="AL175" s="2182"/>
      <c r="AM175" s="2182"/>
      <c r="AN175" s="2182"/>
      <c r="AO175" s="2182"/>
      <c r="AP175" s="712"/>
    </row>
    <row r="176" spans="1:42">
      <c r="A176"/>
      <c r="B176"/>
      <c r="C176"/>
      <c r="D176"/>
      <c r="E176"/>
      <c r="F176"/>
      <c r="G176"/>
      <c r="H176"/>
      <c r="I176"/>
      <c r="J176"/>
      <c r="K176" s="712" t="s">
        <v>238</v>
      </c>
      <c r="AD176"/>
      <c r="AE176"/>
      <c r="AF176"/>
      <c r="AG176"/>
      <c r="AH176"/>
      <c r="AI176"/>
      <c r="AJ176"/>
      <c r="AK176"/>
    </row>
    <row r="177" spans="1:29" s="853" customFormat="1">
      <c r="A177"/>
      <c r="B177"/>
      <c r="C177"/>
      <c r="D177"/>
      <c r="E177"/>
      <c r="F177"/>
      <c r="G177"/>
      <c r="H177"/>
      <c r="I177"/>
      <c r="J177"/>
      <c r="K177" s="712" t="s">
        <v>238</v>
      </c>
      <c r="L177" s="1775" t="s">
        <v>3713</v>
      </c>
      <c r="M177"/>
      <c r="N177"/>
      <c r="O177"/>
      <c r="P177"/>
      <c r="Q177"/>
      <c r="R177" s="853" t="s">
        <v>3585</v>
      </c>
    </row>
    <row r="178" spans="1:29" s="853" customFormat="1">
      <c r="A178" s="1808"/>
      <c r="B178" s="1808"/>
      <c r="C178" s="1808"/>
      <c r="D178" s="1808"/>
      <c r="E178" s="1808"/>
      <c r="F178" s="1808"/>
      <c r="G178" s="1808"/>
      <c r="H178" s="1808"/>
      <c r="I178" s="1808"/>
      <c r="J178" s="1808"/>
      <c r="K178" s="712"/>
      <c r="L178" s="1775"/>
      <c r="M178" s="1808"/>
      <c r="N178" s="1808"/>
      <c r="O178" s="1808"/>
      <c r="P178" s="1808"/>
      <c r="Q178" s="1808"/>
    </row>
    <row r="179" spans="1:29" s="853" customFormat="1">
      <c r="A179" s="1808"/>
      <c r="B179" s="1808"/>
      <c r="C179" s="1808"/>
      <c r="D179" s="1808"/>
      <c r="E179" s="1808"/>
      <c r="F179" s="1808"/>
      <c r="G179" s="1808"/>
      <c r="H179" s="1808"/>
      <c r="I179" s="1808"/>
      <c r="J179" s="1808"/>
      <c r="K179" s="712"/>
      <c r="L179" s="1775"/>
      <c r="M179" s="1808"/>
      <c r="N179" s="1808"/>
      <c r="O179" s="1808"/>
      <c r="P179" s="1808"/>
      <c r="Q179" s="1808"/>
    </row>
    <row r="180" spans="1:29" s="1808" customFormat="1" ht="21">
      <c r="K180" s="712"/>
      <c r="L180" s="1775"/>
      <c r="M180" s="2386" t="s">
        <v>3894</v>
      </c>
      <c r="N180" s="502"/>
      <c r="O180" s="442"/>
      <c r="P180" s="1914"/>
      <c r="Q180" s="1914"/>
      <c r="R180" s="1914"/>
      <c r="S180" s="1914"/>
      <c r="T180" s="1914"/>
      <c r="V180" s="2386" t="s">
        <v>3905</v>
      </c>
      <c r="W180"/>
      <c r="X180"/>
      <c r="Y180"/>
      <c r="Z180"/>
      <c r="AA180"/>
      <c r="AB180"/>
    </row>
    <row r="181" spans="1:29" s="1808" customFormat="1" ht="19">
      <c r="K181" s="712"/>
      <c r="L181" s="1775"/>
      <c r="M181" s="1879" t="s">
        <v>3701</v>
      </c>
      <c r="V181" s="1879" t="s">
        <v>3701</v>
      </c>
    </row>
    <row r="182" spans="1:29" s="1808" customFormat="1">
      <c r="K182" s="712"/>
      <c r="L182" s="1775"/>
      <c r="P182" s="1411"/>
      <c r="Y182" s="1411"/>
    </row>
    <row r="183" spans="1:29" s="1808" customFormat="1" ht="17">
      <c r="K183" s="712"/>
      <c r="L183" s="1775"/>
      <c r="M183" s="2154" t="s">
        <v>3629</v>
      </c>
      <c r="N183" s="2154" t="s">
        <v>3630</v>
      </c>
      <c r="O183" s="2154" t="s">
        <v>604</v>
      </c>
      <c r="P183" s="2373" t="s">
        <v>3631</v>
      </c>
      <c r="Q183" s="2154" t="s">
        <v>99</v>
      </c>
      <c r="R183" s="2154" t="s">
        <v>3632</v>
      </c>
      <c r="S183" s="2155" t="s">
        <v>3633</v>
      </c>
      <c r="T183" s="2364" t="s">
        <v>3044</v>
      </c>
      <c r="U183" s="2371" t="s">
        <v>98</v>
      </c>
      <c r="V183" s="2154" t="s">
        <v>3629</v>
      </c>
      <c r="W183" s="2154" t="s">
        <v>3630</v>
      </c>
      <c r="X183" s="2154" t="s">
        <v>604</v>
      </c>
      <c r="Y183" s="2373" t="s">
        <v>3631</v>
      </c>
      <c r="Z183" s="2154" t="s">
        <v>99</v>
      </c>
      <c r="AA183" s="2154" t="s">
        <v>3632</v>
      </c>
      <c r="AB183" s="2155" t="s">
        <v>3633</v>
      </c>
      <c r="AC183" s="2364" t="s">
        <v>3044</v>
      </c>
    </row>
    <row r="184" spans="1:29" s="1808" customFormat="1" ht="16">
      <c r="K184" s="712"/>
      <c r="L184" s="1775"/>
      <c r="M184" s="2125" t="s">
        <v>3669</v>
      </c>
      <c r="N184" s="2126" t="str">
        <f>VLOOKUP(M184,Price[],2,0)</f>
        <v>Psychologist consultantion</v>
      </c>
      <c r="O184" s="2126" t="str">
        <f>VLOOKUP(M184,Price[],3,0)</f>
        <v>consultation/minute</v>
      </c>
      <c r="P184" s="2374">
        <f>VLOOKUP(M184,Price[],4,0)</f>
        <v>0.69</v>
      </c>
      <c r="Q184" s="2126" t="str">
        <f>VLOOKUP(M184,Price[],5,0)</f>
        <v>MDL</v>
      </c>
      <c r="R184" s="2127">
        <v>60</v>
      </c>
      <c r="S184" s="2127">
        <v>1</v>
      </c>
      <c r="T184" s="2365">
        <f>IF(R184="",P184*S184,P184*R184*S184)</f>
        <v>41.4</v>
      </c>
      <c r="U184" s="2369" t="s">
        <v>3258</v>
      </c>
      <c r="V184" s="2125" t="s">
        <v>3669</v>
      </c>
      <c r="W184" s="2126" t="str">
        <f>VLOOKUP(M184,Price[],2,0)</f>
        <v>Psychologist consultantion</v>
      </c>
      <c r="X184" s="2126" t="str">
        <f>VLOOKUP(M184,Price[],3,0)</f>
        <v>consultation/minute</v>
      </c>
      <c r="Y184" s="2374">
        <f>VLOOKUP(M184,Price[],4,0)</f>
        <v>0.69</v>
      </c>
      <c r="Z184" s="2126" t="str">
        <f>VLOOKUP(M184,Price[],5,0)</f>
        <v>MDL</v>
      </c>
      <c r="AA184" s="2127">
        <v>60</v>
      </c>
      <c r="AB184" s="2127">
        <v>1</v>
      </c>
      <c r="AC184" s="2365">
        <f>IF(AA184="",Y184*AB184,Y184*AA184*AB184)</f>
        <v>41.4</v>
      </c>
    </row>
    <row r="185" spans="1:29" s="1808" customFormat="1" ht="16">
      <c r="K185" s="712"/>
      <c r="L185" s="1775"/>
      <c r="M185" s="2125" t="s">
        <v>3669</v>
      </c>
      <c r="N185" s="2126" t="str">
        <f>VLOOKUP(M185,Price[],2,0)</f>
        <v>Psychologist consultantion</v>
      </c>
      <c r="O185" s="2126" t="str">
        <f>VLOOKUP(M185,Price[],3,0)</f>
        <v>consultation/minute</v>
      </c>
      <c r="P185" s="2374">
        <f>VLOOKUP(M185,Price[],4,0)</f>
        <v>0.69</v>
      </c>
      <c r="Q185" s="2126" t="str">
        <f>VLOOKUP(M185,Price[],5,0)</f>
        <v>MDL</v>
      </c>
      <c r="R185" s="2127">
        <v>60</v>
      </c>
      <c r="S185" s="2127">
        <v>5</v>
      </c>
      <c r="T185" s="2365">
        <f t="shared" ref="T185:T200" si="90">IF(R185="",P185*S185,P185*R185*S185)</f>
        <v>207</v>
      </c>
      <c r="U185" s="2369" t="s">
        <v>3895</v>
      </c>
      <c r="V185" s="2125" t="s">
        <v>3669</v>
      </c>
      <c r="W185" s="2126" t="str">
        <f>VLOOKUP(M185,Price[],2,0)</f>
        <v>Psychologist consultantion</v>
      </c>
      <c r="X185" s="2126" t="str">
        <f>VLOOKUP(M185,Price[],3,0)</f>
        <v>consultation/minute</v>
      </c>
      <c r="Y185" s="2374">
        <f>VLOOKUP(M185,Price[],4,0)</f>
        <v>0.69</v>
      </c>
      <c r="Z185" s="2126" t="str">
        <f>VLOOKUP(M185,Price[],5,0)</f>
        <v>MDL</v>
      </c>
      <c r="AA185" s="2127">
        <v>60</v>
      </c>
      <c r="AB185" s="2127">
        <v>5</v>
      </c>
      <c r="AC185" s="2365">
        <f t="shared" ref="AC185:AC200" si="91">IF(AA185="",Y185*AB185,Y185*AA185*AB185)</f>
        <v>207</v>
      </c>
    </row>
    <row r="186" spans="1:29" s="1808" customFormat="1" ht="16">
      <c r="K186" s="712"/>
      <c r="L186" s="1775"/>
      <c r="M186" s="2125" t="s">
        <v>3669</v>
      </c>
      <c r="N186" s="2126" t="str">
        <f>VLOOKUP(M186,Price[],2,0)</f>
        <v>Psychologist consultantion</v>
      </c>
      <c r="O186" s="2126" t="str">
        <f>VLOOKUP(M186,Price[],3,0)</f>
        <v>consultation/minute</v>
      </c>
      <c r="P186" s="2374">
        <f>VLOOKUP(M186,Price[],4,0)</f>
        <v>0.69</v>
      </c>
      <c r="Q186" s="2126" t="str">
        <f>VLOOKUP(M186,Price[],5,0)</f>
        <v>MDL</v>
      </c>
      <c r="R186" s="2127">
        <v>60</v>
      </c>
      <c r="S186" s="2127">
        <v>5</v>
      </c>
      <c r="T186" s="2365">
        <f t="shared" si="90"/>
        <v>207</v>
      </c>
      <c r="U186" s="2369" t="s">
        <v>3896</v>
      </c>
      <c r="V186" s="2125" t="s">
        <v>3669</v>
      </c>
      <c r="W186" s="2126" t="str">
        <f>VLOOKUP(M186,Price[],2,0)</f>
        <v>Psychologist consultantion</v>
      </c>
      <c r="X186" s="2126" t="str">
        <f>VLOOKUP(M186,Price[],3,0)</f>
        <v>consultation/minute</v>
      </c>
      <c r="Y186" s="2374">
        <f>VLOOKUP(M186,Price[],4,0)</f>
        <v>0.69</v>
      </c>
      <c r="Z186" s="2126" t="str">
        <f>VLOOKUP(M186,Price[],5,0)</f>
        <v>MDL</v>
      </c>
      <c r="AA186" s="2127">
        <v>60</v>
      </c>
      <c r="AB186" s="2127">
        <v>0</v>
      </c>
      <c r="AC186" s="2365">
        <f t="shared" si="91"/>
        <v>0</v>
      </c>
    </row>
    <row r="187" spans="1:29" s="1808" customFormat="1" ht="16">
      <c r="K187" s="712"/>
      <c r="L187" s="1775"/>
      <c r="M187" s="2125" t="s">
        <v>3669</v>
      </c>
      <c r="N187" s="2126" t="str">
        <f>VLOOKUP(M187,Price[],2,0)</f>
        <v>Psychologist consultantion</v>
      </c>
      <c r="O187" s="2126" t="str">
        <f>VLOOKUP(M187,Price[],3,0)</f>
        <v>consultation/minute</v>
      </c>
      <c r="P187" s="2374">
        <f>VLOOKUP(M187,Price[],4,0)</f>
        <v>0.69</v>
      </c>
      <c r="Q187" s="2126" t="str">
        <f>VLOOKUP(M187,Price[],5,0)</f>
        <v>MDL</v>
      </c>
      <c r="R187" s="2127">
        <v>60</v>
      </c>
      <c r="S187" s="2127">
        <v>4</v>
      </c>
      <c r="T187" s="2365">
        <f t="shared" si="90"/>
        <v>165.6</v>
      </c>
      <c r="U187" s="2369" t="s">
        <v>3897</v>
      </c>
      <c r="V187" s="2125" t="s">
        <v>3669</v>
      </c>
      <c r="W187" s="2126" t="str">
        <f>VLOOKUP(M187,Price[],2,0)</f>
        <v>Psychologist consultantion</v>
      </c>
      <c r="X187" s="2126" t="str">
        <f>VLOOKUP(M187,Price[],3,0)</f>
        <v>consultation/minute</v>
      </c>
      <c r="Y187" s="2374">
        <f>VLOOKUP(M187,Price[],4,0)</f>
        <v>0.69</v>
      </c>
      <c r="Z187" s="2126" t="str">
        <f>VLOOKUP(M187,Price[],5,0)</f>
        <v>MDL</v>
      </c>
      <c r="AA187" s="2127">
        <v>60</v>
      </c>
      <c r="AB187" s="2127">
        <v>4</v>
      </c>
      <c r="AC187" s="2365">
        <f t="shared" si="91"/>
        <v>165.6</v>
      </c>
    </row>
    <row r="188" spans="1:29" s="1808" customFormat="1" ht="16">
      <c r="K188" s="712"/>
      <c r="L188" s="1775"/>
      <c r="M188" s="2125" t="s">
        <v>3667</v>
      </c>
      <c r="N188" s="2126" t="str">
        <f>VLOOKUP(M188,Price[],2,0)</f>
        <v>Consultation of the social worker</v>
      </c>
      <c r="O188" s="2126" t="str">
        <f>VLOOKUP(M188,Price[],3,0)</f>
        <v>consultation/minute</v>
      </c>
      <c r="P188" s="2374">
        <f>VLOOKUP(M188,Price[],4,0)</f>
        <v>0.62</v>
      </c>
      <c r="Q188" s="2126" t="str">
        <f>VLOOKUP(M188,Price[],5,0)</f>
        <v>MDL</v>
      </c>
      <c r="R188" s="2127">
        <v>60</v>
      </c>
      <c r="S188" s="2127">
        <v>4</v>
      </c>
      <c r="T188" s="2365">
        <f t="shared" si="90"/>
        <v>148.80000000000001</v>
      </c>
      <c r="U188" s="2369" t="s">
        <v>3898</v>
      </c>
      <c r="V188" s="2125" t="s">
        <v>3667</v>
      </c>
      <c r="W188" s="2126" t="str">
        <f>VLOOKUP(M188,Price[],2,0)</f>
        <v>Consultation of the social worker</v>
      </c>
      <c r="X188" s="2126" t="str">
        <f>VLOOKUP(M188,Price[],3,0)</f>
        <v>consultation/minute</v>
      </c>
      <c r="Y188" s="2374">
        <f>VLOOKUP(M188,Price[],4,0)</f>
        <v>0.62</v>
      </c>
      <c r="Z188" s="2126" t="str">
        <f>VLOOKUP(M188,Price[],5,0)</f>
        <v>MDL</v>
      </c>
      <c r="AA188" s="2127">
        <v>60</v>
      </c>
      <c r="AB188" s="2127">
        <v>0</v>
      </c>
      <c r="AC188" s="2365">
        <f t="shared" si="91"/>
        <v>0</v>
      </c>
    </row>
    <row r="189" spans="1:29" s="1808" customFormat="1" ht="16">
      <c r="K189" s="712"/>
      <c r="L189" s="1775"/>
      <c r="M189" s="2125" t="s">
        <v>3669</v>
      </c>
      <c r="N189" s="2126" t="str">
        <f>VLOOKUP(M189,Price[],2,0)</f>
        <v>Psychologist consultantion</v>
      </c>
      <c r="O189" s="2126" t="str">
        <f>VLOOKUP(M189,Price[],3,0)</f>
        <v>consultation/minute</v>
      </c>
      <c r="P189" s="2374">
        <f>VLOOKUP(M189,Price[],4,0)</f>
        <v>0.69</v>
      </c>
      <c r="Q189" s="2126" t="str">
        <f>VLOOKUP(M189,Price[],5,0)</f>
        <v>MDL</v>
      </c>
      <c r="R189" s="2127">
        <v>60</v>
      </c>
      <c r="S189" s="2127">
        <v>2</v>
      </c>
      <c r="T189" s="2365">
        <f t="shared" si="90"/>
        <v>82.8</v>
      </c>
      <c r="U189" s="1081" t="s">
        <v>3899</v>
      </c>
      <c r="V189" s="2125" t="s">
        <v>3669</v>
      </c>
      <c r="W189" s="2126" t="str">
        <f>VLOOKUP(M189,Price[],2,0)</f>
        <v>Psychologist consultantion</v>
      </c>
      <c r="X189" s="2126" t="str">
        <f>VLOOKUP(M189,Price[],3,0)</f>
        <v>consultation/minute</v>
      </c>
      <c r="Y189" s="2374">
        <f>VLOOKUP(M189,Price[],4,0)</f>
        <v>0.69</v>
      </c>
      <c r="Z189" s="2126" t="str">
        <f>VLOOKUP(M189,Price[],5,0)</f>
        <v>MDL</v>
      </c>
      <c r="AA189" s="2127">
        <v>60</v>
      </c>
      <c r="AB189" s="2127">
        <v>0</v>
      </c>
      <c r="AC189" s="2365">
        <f t="shared" si="91"/>
        <v>0</v>
      </c>
    </row>
    <row r="190" spans="1:29" s="1808" customFormat="1" ht="16">
      <c r="K190" s="712"/>
      <c r="L190" s="1775"/>
      <c r="M190" s="2125" t="s">
        <v>3667</v>
      </c>
      <c r="N190" s="2126" t="str">
        <f>VLOOKUP(M190,Price[],2,0)</f>
        <v>Consultation of the social worker</v>
      </c>
      <c r="O190" s="2126" t="str">
        <f>VLOOKUP(M190,Price[],3,0)</f>
        <v>consultation/minute</v>
      </c>
      <c r="P190" s="2374">
        <f>VLOOKUP(M190,Price[],4,0)</f>
        <v>0.62</v>
      </c>
      <c r="Q190" s="2126" t="str">
        <f>VLOOKUP(M190,Price[],5,0)</f>
        <v>MDL</v>
      </c>
      <c r="R190" s="2127">
        <v>60</v>
      </c>
      <c r="S190" s="2379">
        <v>1</v>
      </c>
      <c r="T190" s="2365">
        <f t="shared" si="90"/>
        <v>37.200000000000003</v>
      </c>
      <c r="U190" s="1081" t="s">
        <v>3900</v>
      </c>
      <c r="V190" s="2125" t="s">
        <v>3667</v>
      </c>
      <c r="W190" s="2126" t="str">
        <f>VLOOKUP(M190,Price[],2,0)</f>
        <v>Consultation of the social worker</v>
      </c>
      <c r="X190" s="2126" t="str">
        <f>VLOOKUP(M190,Price[],3,0)</f>
        <v>consultation/minute</v>
      </c>
      <c r="Y190" s="2374">
        <f>VLOOKUP(M190,Price[],4,0)</f>
        <v>0.62</v>
      </c>
      <c r="Z190" s="2126" t="str">
        <f>VLOOKUP(M190,Price[],5,0)</f>
        <v>MDL</v>
      </c>
      <c r="AA190" s="2127">
        <v>60</v>
      </c>
      <c r="AB190" s="2379">
        <v>0</v>
      </c>
      <c r="AC190" s="2365">
        <f t="shared" si="91"/>
        <v>0</v>
      </c>
    </row>
    <row r="191" spans="1:29" s="1808" customFormat="1" ht="16">
      <c r="K191" s="712"/>
      <c r="L191" s="1775"/>
      <c r="M191" s="2125" t="s">
        <v>3667</v>
      </c>
      <c r="N191" s="2126" t="str">
        <f>VLOOKUP(M191,Price[],2,0)</f>
        <v>Consultation of the social worker</v>
      </c>
      <c r="O191" s="2126" t="str">
        <f>VLOOKUP(M191,Price[],3,0)</f>
        <v>consultation/minute</v>
      </c>
      <c r="P191" s="2374">
        <f>VLOOKUP(M191,Price[],4,0)</f>
        <v>0.62</v>
      </c>
      <c r="Q191" s="2126" t="str">
        <f>VLOOKUP(M191,Price[],5,0)</f>
        <v>MDL</v>
      </c>
      <c r="R191" s="2127">
        <v>60</v>
      </c>
      <c r="S191" s="2379">
        <v>8</v>
      </c>
      <c r="T191" s="2365">
        <f t="shared" si="90"/>
        <v>297.60000000000002</v>
      </c>
      <c r="U191" s="1081" t="s">
        <v>3901</v>
      </c>
      <c r="V191" s="2125" t="s">
        <v>3667</v>
      </c>
      <c r="W191" s="2126" t="str">
        <f>VLOOKUP(M191,Price[],2,0)</f>
        <v>Consultation of the social worker</v>
      </c>
      <c r="X191" s="2126" t="str">
        <f>VLOOKUP(M191,Price[],3,0)</f>
        <v>consultation/minute</v>
      </c>
      <c r="Y191" s="2374">
        <f>VLOOKUP(M191,Price[],4,0)</f>
        <v>0.62</v>
      </c>
      <c r="Z191" s="2126" t="str">
        <f>VLOOKUP(M191,Price[],5,0)</f>
        <v>MDL</v>
      </c>
      <c r="AA191" s="2127">
        <v>60</v>
      </c>
      <c r="AB191" s="2380"/>
      <c r="AC191" s="2365">
        <f t="shared" si="91"/>
        <v>0</v>
      </c>
    </row>
    <row r="192" spans="1:29" s="1808" customFormat="1" ht="48">
      <c r="K192" s="712"/>
      <c r="L192" s="1775"/>
      <c r="M192" s="2125" t="s">
        <v>3667</v>
      </c>
      <c r="N192" s="2126" t="str">
        <f>VLOOKUP(M192,Price[],2,0)</f>
        <v>Consultation of the social worker</v>
      </c>
      <c r="O192" s="2126" t="str">
        <f>VLOOKUP(M192,Price[],3,0)</f>
        <v>consultation/minute</v>
      </c>
      <c r="P192" s="2374">
        <f>VLOOKUP(M192,Price[],4,0)</f>
        <v>0.62</v>
      </c>
      <c r="Q192" s="2126" t="str">
        <f>VLOOKUP(M192,Price[],5,0)</f>
        <v>MDL</v>
      </c>
      <c r="R192" s="2127">
        <v>60</v>
      </c>
      <c r="S192" s="2379">
        <v>8</v>
      </c>
      <c r="T192" s="2365">
        <f t="shared" si="90"/>
        <v>297.60000000000002</v>
      </c>
      <c r="U192" s="2370" t="s">
        <v>3902</v>
      </c>
      <c r="V192" s="2125" t="s">
        <v>3667</v>
      </c>
      <c r="W192" s="2126" t="str">
        <f>VLOOKUP(M192,Price[],2,0)</f>
        <v>Consultation of the social worker</v>
      </c>
      <c r="X192" s="2126" t="str">
        <f>VLOOKUP(M192,Price[],3,0)</f>
        <v>consultation/minute</v>
      </c>
      <c r="Y192" s="2374">
        <f>VLOOKUP(M192,Price[],4,0)</f>
        <v>0.62</v>
      </c>
      <c r="Z192" s="2126" t="str">
        <f>VLOOKUP(M192,Price[],5,0)</f>
        <v>MDL</v>
      </c>
      <c r="AA192" s="2127">
        <v>60</v>
      </c>
      <c r="AB192" s="2380"/>
      <c r="AC192" s="2365">
        <f t="shared" si="91"/>
        <v>0</v>
      </c>
    </row>
    <row r="193" spans="11:29" s="1808" customFormat="1" ht="16">
      <c r="K193" s="712"/>
      <c r="L193" s="1775"/>
      <c r="M193" s="2125" t="s">
        <v>3667</v>
      </c>
      <c r="N193" s="2126" t="str">
        <f>VLOOKUP(M193,Price[],2,0)</f>
        <v>Consultation of the social worker</v>
      </c>
      <c r="O193" s="2126" t="str">
        <f>VLOOKUP(M193,Price[],3,0)</f>
        <v>consultation/minute</v>
      </c>
      <c r="P193" s="2374">
        <f>VLOOKUP(M193,Price[],4,0)</f>
        <v>0.62</v>
      </c>
      <c r="Q193" s="2126" t="str">
        <f>VLOOKUP(M193,Price[],5,0)</f>
        <v>MDL</v>
      </c>
      <c r="R193" s="2127">
        <v>60</v>
      </c>
      <c r="S193" s="2379">
        <v>8</v>
      </c>
      <c r="T193" s="2365">
        <f t="shared" si="90"/>
        <v>297.60000000000002</v>
      </c>
      <c r="U193" s="1081" t="s">
        <v>3903</v>
      </c>
      <c r="V193" s="2125" t="s">
        <v>3667</v>
      </c>
      <c r="W193" s="2126" t="str">
        <f>VLOOKUP(M193,Price[],2,0)</f>
        <v>Consultation of the social worker</v>
      </c>
      <c r="X193" s="2126" t="str">
        <f>VLOOKUP(M193,Price[],3,0)</f>
        <v>consultation/minute</v>
      </c>
      <c r="Y193" s="2374">
        <f>VLOOKUP(M193,Price[],4,0)</f>
        <v>0.62</v>
      </c>
      <c r="Z193" s="2126" t="str">
        <f>VLOOKUP(M193,Price[],5,0)</f>
        <v>MDL</v>
      </c>
      <c r="AA193" s="2127">
        <v>60</v>
      </c>
      <c r="AB193" s="2380">
        <v>8</v>
      </c>
      <c r="AC193" s="2365">
        <f t="shared" si="91"/>
        <v>297.60000000000002</v>
      </c>
    </row>
    <row r="194" spans="11:29" s="1808" customFormat="1" ht="16">
      <c r="K194" s="712"/>
      <c r="L194" s="1775"/>
      <c r="M194" s="2125" t="s">
        <v>3667</v>
      </c>
      <c r="N194" s="2126" t="str">
        <f>VLOOKUP(M194,Price[],2,0)</f>
        <v>Consultation of the social worker</v>
      </c>
      <c r="O194" s="2126" t="str">
        <f>VLOOKUP(M194,Price[],3,0)</f>
        <v>consultation/minute</v>
      </c>
      <c r="P194" s="2374">
        <f>VLOOKUP(M194,Price[],4,0)</f>
        <v>0.62</v>
      </c>
      <c r="Q194" s="2126" t="str">
        <f>VLOOKUP(M194,Price[],5,0)</f>
        <v>MDL</v>
      </c>
      <c r="R194" s="2127">
        <v>60</v>
      </c>
      <c r="S194" s="2379">
        <v>4</v>
      </c>
      <c r="T194" s="2365">
        <f t="shared" ref="T194" si="92">IF(R194="",P194*S194,P194*R194*S194)</f>
        <v>148.80000000000001</v>
      </c>
      <c r="U194" s="1081" t="s">
        <v>3904</v>
      </c>
      <c r="V194" s="2125" t="s">
        <v>3667</v>
      </c>
      <c r="W194" s="2126" t="str">
        <f>VLOOKUP(M194,Price[],2,0)</f>
        <v>Consultation of the social worker</v>
      </c>
      <c r="X194" s="2126" t="str">
        <f>VLOOKUP(M194,Price[],3,0)</f>
        <v>consultation/minute</v>
      </c>
      <c r="Y194" s="2374">
        <f>VLOOKUP(M194,Price[],4,0)</f>
        <v>0.62</v>
      </c>
      <c r="Z194" s="2126" t="str">
        <f>VLOOKUP(M194,Price[],5,0)</f>
        <v>MDL</v>
      </c>
      <c r="AA194" s="2127">
        <v>60</v>
      </c>
      <c r="AB194" s="2380"/>
      <c r="AC194" s="2365">
        <f t="shared" si="91"/>
        <v>0</v>
      </c>
    </row>
    <row r="195" spans="11:29" s="1808" customFormat="1" ht="17" thickBot="1">
      <c r="K195" s="712"/>
      <c r="L195" s="1775"/>
      <c r="M195" s="2341" t="s">
        <v>3675</v>
      </c>
      <c r="N195" s="2342" t="str">
        <f>VLOOKUP(M195,Price[],2,0)</f>
        <v>Informational materials</v>
      </c>
      <c r="O195" s="2342" t="str">
        <f>VLOOKUP(M195,Price[],3,0)</f>
        <v>kit</v>
      </c>
      <c r="P195" s="2375">
        <f>VLOOKUP(M195,Price[],4,0)</f>
        <v>5</v>
      </c>
      <c r="Q195" s="2167" t="str">
        <f>VLOOKUP(M195,Price[],5,0)</f>
        <v>MDL</v>
      </c>
      <c r="R195" s="2168">
        <v>1</v>
      </c>
      <c r="S195" s="2380">
        <v>1</v>
      </c>
      <c r="T195" s="2365">
        <f t="shared" si="90"/>
        <v>5</v>
      </c>
      <c r="V195" s="2341" t="s">
        <v>3675</v>
      </c>
      <c r="W195" s="2126" t="str">
        <f>VLOOKUP(M195,Price[],2,0)</f>
        <v>Informational materials</v>
      </c>
      <c r="X195" s="2126" t="str">
        <f>VLOOKUP(M195,Price[],3,0)</f>
        <v>kit</v>
      </c>
      <c r="Y195" s="2374">
        <f>VLOOKUP(M195,Price[],4,0)</f>
        <v>5</v>
      </c>
      <c r="Z195" s="2126" t="str">
        <f>VLOOKUP(M195,Price[],5,0)</f>
        <v>MDL</v>
      </c>
      <c r="AA195" s="2168">
        <v>1</v>
      </c>
      <c r="AB195" s="2380">
        <v>1</v>
      </c>
      <c r="AC195" s="2365">
        <f t="shared" si="91"/>
        <v>5</v>
      </c>
    </row>
    <row r="196" spans="11:29" s="1808" customFormat="1" ht="16">
      <c r="K196" s="712"/>
      <c r="L196" s="1775"/>
      <c r="M196" s="2170" t="s">
        <v>3637</v>
      </c>
      <c r="N196" s="2171" t="str">
        <f>VLOOKUP(M196,Price[],2,0)</f>
        <v>Project manager</v>
      </c>
      <c r="O196" s="2171" t="str">
        <f>VLOOKUP(M196,Price[],3,0)</f>
        <v>per benficiary</v>
      </c>
      <c r="P196" s="2376">
        <f>VLOOKUP(M196,Price[],4,0)</f>
        <v>42.26</v>
      </c>
      <c r="Q196" s="2171" t="str">
        <f>VLOOKUP(M196,Price[],5,0)</f>
        <v>MDL</v>
      </c>
      <c r="R196" s="2170"/>
      <c r="S196" s="2381">
        <v>1</v>
      </c>
      <c r="T196" s="2367">
        <f t="shared" si="90"/>
        <v>42.26</v>
      </c>
      <c r="V196" s="2170" t="s">
        <v>3637</v>
      </c>
      <c r="W196" s="2171" t="str">
        <f>VLOOKUP(M196,Price[],2,0)</f>
        <v>Project manager</v>
      </c>
      <c r="X196" s="2171" t="str">
        <f>VLOOKUP(M196,Price[],3,0)</f>
        <v>per benficiary</v>
      </c>
      <c r="Y196" s="2376">
        <f>VLOOKUP(M196,Price[],4,0)</f>
        <v>42.26</v>
      </c>
      <c r="Z196" s="2171" t="str">
        <f>VLOOKUP(M196,Price[],5,0)</f>
        <v>MDL</v>
      </c>
      <c r="AA196" s="2170"/>
      <c r="AB196" s="2381">
        <v>1</v>
      </c>
      <c r="AC196" s="2367">
        <f t="shared" si="91"/>
        <v>42.26</v>
      </c>
    </row>
    <row r="197" spans="11:29" s="1808" customFormat="1" ht="16">
      <c r="K197" s="712"/>
      <c r="L197" s="1775"/>
      <c r="M197" s="2125" t="s">
        <v>3638</v>
      </c>
      <c r="N197" s="2126" t="str">
        <f>VLOOKUP(M197,Price[],2,0)</f>
        <v>Accountant</v>
      </c>
      <c r="O197" s="2126" t="str">
        <f>VLOOKUP(M197,Price[],3,0)</f>
        <v>per benficiary</v>
      </c>
      <c r="P197" s="2374">
        <f>VLOOKUP(M197,Price[],4,0)</f>
        <v>30.65</v>
      </c>
      <c r="Q197" s="2126" t="str">
        <f>VLOOKUP(M197,Price[],5,0)</f>
        <v>MDL</v>
      </c>
      <c r="R197" s="2125"/>
      <c r="S197" s="2382">
        <v>1</v>
      </c>
      <c r="T197" s="2365">
        <f t="shared" si="90"/>
        <v>30.65</v>
      </c>
      <c r="V197" s="2125" t="s">
        <v>3638</v>
      </c>
      <c r="W197" s="2126" t="str">
        <f>VLOOKUP(M197,Price[],2,0)</f>
        <v>Accountant</v>
      </c>
      <c r="X197" s="2126" t="str">
        <f>VLOOKUP(M197,Price[],3,0)</f>
        <v>per benficiary</v>
      </c>
      <c r="Y197" s="2374">
        <f>VLOOKUP(M197,Price[],4,0)</f>
        <v>30.65</v>
      </c>
      <c r="Z197" s="2126" t="str">
        <f>VLOOKUP(M197,Price[],5,0)</f>
        <v>MDL</v>
      </c>
      <c r="AA197" s="2125"/>
      <c r="AB197" s="2382">
        <v>1</v>
      </c>
      <c r="AC197" s="2365">
        <f t="shared" si="91"/>
        <v>30.65</v>
      </c>
    </row>
    <row r="198" spans="11:29" s="1808" customFormat="1" ht="16">
      <c r="K198" s="712"/>
      <c r="L198" s="1775"/>
      <c r="M198" s="2125" t="s">
        <v>3639</v>
      </c>
      <c r="N198" s="2126" t="str">
        <f>VLOOKUP(M198,Price[],2,0)</f>
        <v>Driver</v>
      </c>
      <c r="O198" s="2126" t="str">
        <f>VLOOKUP(M198,Price[],3,0)</f>
        <v>per benficiary</v>
      </c>
      <c r="P198" s="2374">
        <f>VLOOKUP(M198,Price[],4,0)</f>
        <v>17.03</v>
      </c>
      <c r="Q198" s="2126" t="str">
        <f>VLOOKUP(M198,Price[],5,0)</f>
        <v>MDL</v>
      </c>
      <c r="R198" s="2125"/>
      <c r="S198" s="2382">
        <v>1</v>
      </c>
      <c r="T198" s="2365">
        <f t="shared" si="90"/>
        <v>17.03</v>
      </c>
      <c r="U198" s="1081"/>
      <c r="V198" s="2125" t="s">
        <v>3639</v>
      </c>
      <c r="W198" s="2126" t="str">
        <f>VLOOKUP(M198,Price[],2,0)</f>
        <v>Driver</v>
      </c>
      <c r="X198" s="2126" t="str">
        <f>VLOOKUP(M198,Price[],3,0)</f>
        <v>per benficiary</v>
      </c>
      <c r="Y198" s="2374">
        <f>VLOOKUP(M198,Price[],4,0)</f>
        <v>17.03</v>
      </c>
      <c r="Z198" s="2126" t="str">
        <f>VLOOKUP(M198,Price[],5,0)</f>
        <v>MDL</v>
      </c>
      <c r="AA198" s="2125"/>
      <c r="AB198" s="2382">
        <v>1</v>
      </c>
      <c r="AC198" s="2365">
        <f t="shared" si="91"/>
        <v>17.03</v>
      </c>
    </row>
    <row r="199" spans="11:29" s="1808" customFormat="1" ht="16">
      <c r="K199" s="712"/>
      <c r="L199" s="1775"/>
      <c r="M199" s="2125" t="s">
        <v>3640</v>
      </c>
      <c r="N199" s="2126" t="str">
        <f>VLOOKUP(M199,Price[],2,0)</f>
        <v>Cleaner</v>
      </c>
      <c r="O199" s="2126" t="str">
        <f>VLOOKUP(M199,Price[],3,0)</f>
        <v>per benficiary</v>
      </c>
      <c r="P199" s="2374">
        <f>VLOOKUP(M199,Price[],4,0)</f>
        <v>12.94</v>
      </c>
      <c r="Q199" s="2126" t="str">
        <f>VLOOKUP(M199,Price[],5,0)</f>
        <v>MDL</v>
      </c>
      <c r="R199" s="2125"/>
      <c r="S199" s="2382">
        <v>1</v>
      </c>
      <c r="T199" s="2365">
        <f t="shared" si="90"/>
        <v>12.94</v>
      </c>
      <c r="U199" s="1081"/>
      <c r="V199" s="2125" t="s">
        <v>3640</v>
      </c>
      <c r="W199" s="2126" t="str">
        <f>VLOOKUP(M199,Price[],2,0)</f>
        <v>Cleaner</v>
      </c>
      <c r="X199" s="2126" t="str">
        <f>VLOOKUP(M199,Price[],3,0)</f>
        <v>per benficiary</v>
      </c>
      <c r="Y199" s="2374">
        <f>VLOOKUP(M199,Price[],4,0)</f>
        <v>12.94</v>
      </c>
      <c r="Z199" s="2126" t="str">
        <f>VLOOKUP(M199,Price[],5,0)</f>
        <v>MDL</v>
      </c>
      <c r="AA199" s="2125"/>
      <c r="AB199" s="2382">
        <v>1</v>
      </c>
      <c r="AC199" s="2365">
        <f t="shared" si="91"/>
        <v>12.94</v>
      </c>
    </row>
    <row r="200" spans="11:29" s="1808" customFormat="1" ht="17" thickBot="1">
      <c r="K200" s="712"/>
      <c r="L200" s="1775"/>
      <c r="M200" s="2174" t="s">
        <v>3267</v>
      </c>
      <c r="N200" s="2175" t="str">
        <f>VLOOKUP(M200,Price[],2,0)</f>
        <v>Utilities</v>
      </c>
      <c r="O200" s="2175" t="str">
        <f>VLOOKUP(M200,Price[],3,0)</f>
        <v>per benficiary</v>
      </c>
      <c r="P200" s="2377">
        <f>VLOOKUP(M200,Price[],4,0)</f>
        <v>68.739999999999995</v>
      </c>
      <c r="Q200" s="2175" t="str">
        <f>VLOOKUP(M200,Price[],5,0)</f>
        <v>MDL</v>
      </c>
      <c r="R200" s="2176"/>
      <c r="S200" s="2383">
        <v>1</v>
      </c>
      <c r="T200" s="2368">
        <f t="shared" si="90"/>
        <v>68.739999999999995</v>
      </c>
      <c r="U200" s="1081"/>
      <c r="V200" s="2174" t="s">
        <v>3267</v>
      </c>
      <c r="W200" s="2175" t="str">
        <f>VLOOKUP(M200,Price[],2,0)</f>
        <v>Utilities</v>
      </c>
      <c r="X200" s="2175" t="str">
        <f>VLOOKUP(M200,Price[],3,0)</f>
        <v>per benficiary</v>
      </c>
      <c r="Y200" s="2377">
        <f>VLOOKUP(M200,Price[],4,0)</f>
        <v>68.739999999999995</v>
      </c>
      <c r="Z200" s="2175" t="str">
        <f>VLOOKUP(M200,Price[],5,0)</f>
        <v>MDL</v>
      </c>
      <c r="AA200" s="2176"/>
      <c r="AB200" s="2383">
        <v>1</v>
      </c>
      <c r="AC200" s="2368">
        <f t="shared" si="91"/>
        <v>68.739999999999995</v>
      </c>
    </row>
    <row r="201" spans="11:29" s="1808" customFormat="1" ht="16" thickBot="1">
      <c r="K201" s="712"/>
      <c r="L201" s="1775"/>
      <c r="M201" s="431"/>
      <c r="N201" s="431"/>
      <c r="O201" s="431"/>
      <c r="P201" s="2378"/>
      <c r="Q201" s="431"/>
      <c r="R201" s="431"/>
      <c r="S201" s="431"/>
      <c r="T201" s="2372">
        <f>SUM(T184:T200)</f>
        <v>2108.02</v>
      </c>
      <c r="U201" s="1561"/>
      <c r="V201" s="431"/>
      <c r="W201" s="431"/>
      <c r="X201" s="431"/>
      <c r="Y201" s="2378"/>
      <c r="Z201" s="431"/>
      <c r="AA201" s="431"/>
      <c r="AB201" s="431"/>
      <c r="AC201" s="2372">
        <f>SUM(AC184:AC200)</f>
        <v>888.22</v>
      </c>
    </row>
    <row r="202" spans="11:29" s="1808" customFormat="1">
      <c r="K202" s="712"/>
      <c r="L202" s="1775"/>
      <c r="P202" s="1411"/>
      <c r="Y202" s="1411"/>
    </row>
    <row r="203" spans="11:29" s="1808" customFormat="1" ht="19">
      <c r="K203" s="712"/>
      <c r="L203" s="1775"/>
      <c r="M203" s="1879" t="s">
        <v>3702</v>
      </c>
      <c r="P203" s="1411"/>
      <c r="T203" s="734"/>
      <c r="V203" s="1879" t="s">
        <v>3702</v>
      </c>
      <c r="Y203" s="1411"/>
      <c r="AC203" s="734"/>
    </row>
    <row r="204" spans="11:29" s="1808" customFormat="1">
      <c r="K204" s="712"/>
      <c r="L204" s="1775"/>
      <c r="P204" s="1411"/>
      <c r="T204" s="734"/>
      <c r="Y204" s="1411"/>
      <c r="AC204" s="734"/>
    </row>
    <row r="205" spans="11:29" s="1808" customFormat="1" ht="17">
      <c r="K205" s="712"/>
      <c r="L205" s="1775"/>
      <c r="M205" s="2154" t="s">
        <v>3629</v>
      </c>
      <c r="N205" s="2154" t="s">
        <v>3630</v>
      </c>
      <c r="O205" s="2154" t="s">
        <v>604</v>
      </c>
      <c r="P205" s="2373" t="s">
        <v>3631</v>
      </c>
      <c r="Q205" s="2154" t="s">
        <v>99</v>
      </c>
      <c r="R205" s="2154" t="s">
        <v>3632</v>
      </c>
      <c r="S205" s="2155" t="s">
        <v>3633</v>
      </c>
      <c r="T205" s="2364" t="s">
        <v>3044</v>
      </c>
      <c r="U205" s="2371" t="s">
        <v>98</v>
      </c>
      <c r="V205" s="2154" t="s">
        <v>3629</v>
      </c>
      <c r="W205" s="2154" t="s">
        <v>3630</v>
      </c>
      <c r="X205" s="2154" t="s">
        <v>604</v>
      </c>
      <c r="Y205" s="2373" t="s">
        <v>3631</v>
      </c>
      <c r="Z205" s="2154" t="s">
        <v>99</v>
      </c>
      <c r="AA205" s="2154" t="s">
        <v>3632</v>
      </c>
      <c r="AB205" s="2155" t="s">
        <v>3633</v>
      </c>
      <c r="AC205" s="2364" t="s">
        <v>3044</v>
      </c>
    </row>
    <row r="206" spans="11:29" s="1808" customFormat="1" ht="16">
      <c r="K206" s="712"/>
      <c r="L206" s="1775"/>
      <c r="M206" s="2125" t="s">
        <v>3669</v>
      </c>
      <c r="N206" s="2126" t="str">
        <f>VLOOKUP(M206,Price[],2,0)</f>
        <v>Psychologist consultantion</v>
      </c>
      <c r="O206" s="2126" t="str">
        <f>VLOOKUP(M206,Price[],3,0)</f>
        <v>consultation/minute</v>
      </c>
      <c r="P206" s="2374">
        <f>VLOOKUP(M206,Price[],4,0)</f>
        <v>0.69</v>
      </c>
      <c r="Q206" s="2126" t="str">
        <f>VLOOKUP(M206,Price[],5,0)</f>
        <v>MDL</v>
      </c>
      <c r="R206" s="2127">
        <v>60</v>
      </c>
      <c r="S206" s="2127">
        <v>1</v>
      </c>
      <c r="T206" s="2365">
        <f>IF(R206="",P206*S206,P206*R206*S206)</f>
        <v>41.4</v>
      </c>
      <c r="U206" s="2369" t="s">
        <v>3258</v>
      </c>
      <c r="V206" s="2125" t="s">
        <v>3669</v>
      </c>
      <c r="W206" s="2126" t="str">
        <f>VLOOKUP(M206,Price[],2,0)</f>
        <v>Psychologist consultantion</v>
      </c>
      <c r="X206" s="2126" t="str">
        <f>VLOOKUP(M206,Price[],3,0)</f>
        <v>consultation/minute</v>
      </c>
      <c r="Y206" s="2374">
        <f>VLOOKUP(M206,Price[],4,0)</f>
        <v>0.69</v>
      </c>
      <c r="Z206" s="2126" t="str">
        <f>VLOOKUP(M206,Price[],5,0)</f>
        <v>MDL</v>
      </c>
      <c r="AA206" s="2127">
        <v>60</v>
      </c>
      <c r="AB206" s="2127">
        <v>1</v>
      </c>
      <c r="AC206" s="2365">
        <f>IF(AA206="",Y206*AB206,Y206*AA206*AB206)</f>
        <v>41.4</v>
      </c>
    </row>
    <row r="207" spans="11:29" s="1808" customFormat="1" ht="16">
      <c r="K207" s="712"/>
      <c r="L207" s="1775"/>
      <c r="M207" s="2125" t="s">
        <v>3669</v>
      </c>
      <c r="N207" s="2126" t="str">
        <f>VLOOKUP(M207,Price[],2,0)</f>
        <v>Psychologist consultantion</v>
      </c>
      <c r="O207" s="2126" t="str">
        <f>VLOOKUP(M207,Price[],3,0)</f>
        <v>consultation/minute</v>
      </c>
      <c r="P207" s="2374">
        <f>VLOOKUP(M207,Price[],4,0)</f>
        <v>0.69</v>
      </c>
      <c r="Q207" s="2126" t="str">
        <f>VLOOKUP(M207,Price[],5,0)</f>
        <v>MDL</v>
      </c>
      <c r="R207" s="2127">
        <v>60</v>
      </c>
      <c r="S207" s="2127">
        <v>15</v>
      </c>
      <c r="T207" s="2365">
        <f t="shared" ref="T207:T222" si="93">IF(R207="",P207*S207,P207*R207*S207)</f>
        <v>621</v>
      </c>
      <c r="U207" s="2369" t="s">
        <v>3895</v>
      </c>
      <c r="V207" s="2125" t="s">
        <v>3669</v>
      </c>
      <c r="W207" s="2126" t="str">
        <f>VLOOKUP(M207,Price[],2,0)</f>
        <v>Psychologist consultantion</v>
      </c>
      <c r="X207" s="2126" t="str">
        <f>VLOOKUP(M207,Price[],3,0)</f>
        <v>consultation/minute</v>
      </c>
      <c r="Y207" s="2374">
        <f>VLOOKUP(M207,Price[],4,0)</f>
        <v>0.69</v>
      </c>
      <c r="Z207" s="2126" t="str">
        <f>VLOOKUP(M207,Price[],5,0)</f>
        <v>MDL</v>
      </c>
      <c r="AA207" s="2127">
        <v>60</v>
      </c>
      <c r="AB207" s="2127">
        <v>15</v>
      </c>
      <c r="AC207" s="2365">
        <f t="shared" ref="AC207:AC222" si="94">IF(AA207="",Y207*AB207,Y207*AA207*AB207)</f>
        <v>621</v>
      </c>
    </row>
    <row r="208" spans="11:29" s="1808" customFormat="1" ht="16">
      <c r="K208" s="712"/>
      <c r="L208" s="1775"/>
      <c r="M208" s="2125" t="s">
        <v>3669</v>
      </c>
      <c r="N208" s="2126" t="str">
        <f>VLOOKUP(M208,Price[],2,0)</f>
        <v>Psychologist consultantion</v>
      </c>
      <c r="O208" s="2126" t="str">
        <f>VLOOKUP(M208,Price[],3,0)</f>
        <v>consultation/minute</v>
      </c>
      <c r="P208" s="2374">
        <f>VLOOKUP(M208,Price[],4,0)</f>
        <v>0.69</v>
      </c>
      <c r="Q208" s="2126" t="str">
        <f>VLOOKUP(M208,Price[],5,0)</f>
        <v>MDL</v>
      </c>
      <c r="R208" s="2127">
        <v>60</v>
      </c>
      <c r="S208" s="2127">
        <v>10</v>
      </c>
      <c r="T208" s="2365">
        <f t="shared" si="93"/>
        <v>414</v>
      </c>
      <c r="U208" s="2369" t="s">
        <v>3896</v>
      </c>
      <c r="V208" s="2125" t="s">
        <v>3669</v>
      </c>
      <c r="W208" s="2126" t="str">
        <f>VLOOKUP(M208,Price[],2,0)</f>
        <v>Psychologist consultantion</v>
      </c>
      <c r="X208" s="2126" t="str">
        <f>VLOOKUP(M208,Price[],3,0)</f>
        <v>consultation/minute</v>
      </c>
      <c r="Y208" s="2374">
        <f>VLOOKUP(M208,Price[],4,0)</f>
        <v>0.69</v>
      </c>
      <c r="Z208" s="2126" t="str">
        <f>VLOOKUP(M208,Price[],5,0)</f>
        <v>MDL</v>
      </c>
      <c r="AA208" s="2127">
        <v>60</v>
      </c>
      <c r="AB208" s="2127"/>
      <c r="AC208" s="2365">
        <f t="shared" si="94"/>
        <v>0</v>
      </c>
    </row>
    <row r="209" spans="11:29" s="1808" customFormat="1" ht="16">
      <c r="K209" s="712"/>
      <c r="L209" s="1775"/>
      <c r="M209" s="2125" t="s">
        <v>3669</v>
      </c>
      <c r="N209" s="2126" t="str">
        <f>VLOOKUP(M209,Price[],2,0)</f>
        <v>Psychologist consultantion</v>
      </c>
      <c r="O209" s="2126" t="str">
        <f>VLOOKUP(M209,Price[],3,0)</f>
        <v>consultation/minute</v>
      </c>
      <c r="P209" s="2374">
        <f>VLOOKUP(M209,Price[],4,0)</f>
        <v>0.69</v>
      </c>
      <c r="Q209" s="2126" t="str">
        <f>VLOOKUP(M209,Price[],5,0)</f>
        <v>MDL</v>
      </c>
      <c r="R209" s="2127">
        <v>60</v>
      </c>
      <c r="S209" s="2127">
        <v>6</v>
      </c>
      <c r="T209" s="2365">
        <f t="shared" si="93"/>
        <v>248.39999999999998</v>
      </c>
      <c r="U209" s="2369" t="s">
        <v>3897</v>
      </c>
      <c r="V209" s="2125" t="s">
        <v>3669</v>
      </c>
      <c r="W209" s="2126" t="str">
        <f>VLOOKUP(M209,Price[],2,0)</f>
        <v>Psychologist consultantion</v>
      </c>
      <c r="X209" s="2126" t="str">
        <f>VLOOKUP(M209,Price[],3,0)</f>
        <v>consultation/minute</v>
      </c>
      <c r="Y209" s="2374">
        <f>VLOOKUP(M209,Price[],4,0)</f>
        <v>0.69</v>
      </c>
      <c r="Z209" s="2126" t="str">
        <f>VLOOKUP(M209,Price[],5,0)</f>
        <v>MDL</v>
      </c>
      <c r="AA209" s="2127">
        <v>60</v>
      </c>
      <c r="AB209" s="2127">
        <v>6</v>
      </c>
      <c r="AC209" s="2365">
        <f t="shared" si="94"/>
        <v>248.39999999999998</v>
      </c>
    </row>
    <row r="210" spans="11:29" s="1808" customFormat="1" ht="16">
      <c r="K210" s="712"/>
      <c r="L210" s="1775"/>
      <c r="M210" s="2125" t="s">
        <v>3667</v>
      </c>
      <c r="N210" s="2126" t="str">
        <f>VLOOKUP(M210,Price[],2,0)</f>
        <v>Consultation of the social worker</v>
      </c>
      <c r="O210" s="2126" t="str">
        <f>VLOOKUP(M210,Price[],3,0)</f>
        <v>consultation/minute</v>
      </c>
      <c r="P210" s="2374">
        <f>VLOOKUP(M210,Price[],4,0)</f>
        <v>0.62</v>
      </c>
      <c r="Q210" s="2126" t="str">
        <f>VLOOKUP(M210,Price[],5,0)</f>
        <v>MDL</v>
      </c>
      <c r="R210" s="2127">
        <v>60</v>
      </c>
      <c r="S210" s="2127">
        <v>4</v>
      </c>
      <c r="T210" s="2365">
        <f t="shared" si="93"/>
        <v>148.80000000000001</v>
      </c>
      <c r="U210" s="2369" t="s">
        <v>3898</v>
      </c>
      <c r="V210" s="2125" t="s">
        <v>3667</v>
      </c>
      <c r="W210" s="2126" t="str">
        <f>VLOOKUP(M210,Price[],2,0)</f>
        <v>Consultation of the social worker</v>
      </c>
      <c r="X210" s="2126" t="str">
        <f>VLOOKUP(M210,Price[],3,0)</f>
        <v>consultation/minute</v>
      </c>
      <c r="Y210" s="2374">
        <f>VLOOKUP(M210,Price[],4,0)</f>
        <v>0.62</v>
      </c>
      <c r="Z210" s="2126" t="str">
        <f>VLOOKUP(M210,Price[],5,0)</f>
        <v>MDL</v>
      </c>
      <c r="AA210" s="2127">
        <v>60</v>
      </c>
      <c r="AB210" s="2127"/>
      <c r="AC210" s="2365">
        <f t="shared" si="94"/>
        <v>0</v>
      </c>
    </row>
    <row r="211" spans="11:29" s="1808" customFormat="1" ht="16">
      <c r="K211" s="712"/>
      <c r="L211" s="1775"/>
      <c r="M211" s="2125" t="s">
        <v>3669</v>
      </c>
      <c r="N211" s="2126" t="str">
        <f>VLOOKUP(M211,Price[],2,0)</f>
        <v>Psychologist consultantion</v>
      </c>
      <c r="O211" s="2126" t="str">
        <f>VLOOKUP(M211,Price[],3,0)</f>
        <v>consultation/minute</v>
      </c>
      <c r="P211" s="2374">
        <f>VLOOKUP(M211,Price[],4,0)</f>
        <v>0.69</v>
      </c>
      <c r="Q211" s="2126" t="str">
        <f>VLOOKUP(M211,Price[],5,0)</f>
        <v>MDL</v>
      </c>
      <c r="R211" s="2127">
        <v>60</v>
      </c>
      <c r="S211" s="2127">
        <v>2</v>
      </c>
      <c r="T211" s="2365">
        <f t="shared" si="93"/>
        <v>82.8</v>
      </c>
      <c r="U211" s="1081" t="s">
        <v>3899</v>
      </c>
      <c r="V211" s="2125" t="s">
        <v>3669</v>
      </c>
      <c r="W211" s="2126" t="str">
        <f>VLOOKUP(M211,Price[],2,0)</f>
        <v>Psychologist consultantion</v>
      </c>
      <c r="X211" s="2126" t="str">
        <f>VLOOKUP(M211,Price[],3,0)</f>
        <v>consultation/minute</v>
      </c>
      <c r="Y211" s="2374">
        <f>VLOOKUP(M211,Price[],4,0)</f>
        <v>0.69</v>
      </c>
      <c r="Z211" s="2126" t="str">
        <f>VLOOKUP(M211,Price[],5,0)</f>
        <v>MDL</v>
      </c>
      <c r="AA211" s="2127">
        <v>60</v>
      </c>
      <c r="AB211" s="2127"/>
      <c r="AC211" s="2365">
        <f t="shared" si="94"/>
        <v>0</v>
      </c>
    </row>
    <row r="212" spans="11:29" s="1808" customFormat="1" ht="16">
      <c r="K212" s="712"/>
      <c r="L212" s="1775"/>
      <c r="M212" s="2125" t="s">
        <v>3667</v>
      </c>
      <c r="N212" s="2126" t="str">
        <f>VLOOKUP(M212,Price[],2,0)</f>
        <v>Consultation of the social worker</v>
      </c>
      <c r="O212" s="2126" t="str">
        <f>VLOOKUP(M212,Price[],3,0)</f>
        <v>consultation/minute</v>
      </c>
      <c r="P212" s="2374">
        <f>VLOOKUP(M212,Price[],4,0)</f>
        <v>0.62</v>
      </c>
      <c r="Q212" s="2126" t="str">
        <f>VLOOKUP(M212,Price[],5,0)</f>
        <v>MDL</v>
      </c>
      <c r="R212" s="2127">
        <v>60</v>
      </c>
      <c r="S212" s="2379">
        <v>1</v>
      </c>
      <c r="T212" s="2365">
        <f t="shared" si="93"/>
        <v>37.200000000000003</v>
      </c>
      <c r="U212" s="1081" t="s">
        <v>3900</v>
      </c>
      <c r="V212" s="2125" t="s">
        <v>3667</v>
      </c>
      <c r="W212" s="2126" t="str">
        <f>VLOOKUP(M212,Price[],2,0)</f>
        <v>Consultation of the social worker</v>
      </c>
      <c r="X212" s="2126" t="str">
        <f>VLOOKUP(M212,Price[],3,0)</f>
        <v>consultation/minute</v>
      </c>
      <c r="Y212" s="2374">
        <f>VLOOKUP(M212,Price[],4,0)</f>
        <v>0.62</v>
      </c>
      <c r="Z212" s="2126" t="str">
        <f>VLOOKUP(M212,Price[],5,0)</f>
        <v>MDL</v>
      </c>
      <c r="AA212" s="2127">
        <v>60</v>
      </c>
      <c r="AB212" s="2379"/>
      <c r="AC212" s="2365">
        <f t="shared" si="94"/>
        <v>0</v>
      </c>
    </row>
    <row r="213" spans="11:29" s="1808" customFormat="1" ht="16">
      <c r="K213" s="712"/>
      <c r="L213" s="1775"/>
      <c r="M213" s="2125" t="s">
        <v>3667</v>
      </c>
      <c r="N213" s="2126" t="str">
        <f>VLOOKUP(M213,Price[],2,0)</f>
        <v>Consultation of the social worker</v>
      </c>
      <c r="O213" s="2126" t="str">
        <f>VLOOKUP(M213,Price[],3,0)</f>
        <v>consultation/minute</v>
      </c>
      <c r="P213" s="2374">
        <f>VLOOKUP(M213,Price[],4,0)</f>
        <v>0.62</v>
      </c>
      <c r="Q213" s="2126" t="str">
        <f>VLOOKUP(M213,Price[],5,0)</f>
        <v>MDL</v>
      </c>
      <c r="R213" s="2127">
        <v>60</v>
      </c>
      <c r="S213" s="2379">
        <v>8</v>
      </c>
      <c r="T213" s="2365">
        <f t="shared" si="93"/>
        <v>297.60000000000002</v>
      </c>
      <c r="U213" s="1081" t="s">
        <v>3901</v>
      </c>
      <c r="V213" s="2125" t="s">
        <v>3667</v>
      </c>
      <c r="W213" s="2126" t="str">
        <f>VLOOKUP(M213,Price[],2,0)</f>
        <v>Consultation of the social worker</v>
      </c>
      <c r="X213" s="2126" t="str">
        <f>VLOOKUP(M213,Price[],3,0)</f>
        <v>consultation/minute</v>
      </c>
      <c r="Y213" s="2374">
        <f>VLOOKUP(M213,Price[],4,0)</f>
        <v>0.62</v>
      </c>
      <c r="Z213" s="2126" t="str">
        <f>VLOOKUP(M213,Price[],5,0)</f>
        <v>MDL</v>
      </c>
      <c r="AA213" s="2127">
        <v>60</v>
      </c>
      <c r="AB213" s="2380"/>
      <c r="AC213" s="2365">
        <f t="shared" si="94"/>
        <v>0</v>
      </c>
    </row>
    <row r="214" spans="11:29" s="1808" customFormat="1" ht="48">
      <c r="K214" s="712"/>
      <c r="L214" s="1775"/>
      <c r="M214" s="2125" t="s">
        <v>3667</v>
      </c>
      <c r="N214" s="2126" t="str">
        <f>VLOOKUP(M214,Price[],2,0)</f>
        <v>Consultation of the social worker</v>
      </c>
      <c r="O214" s="2126" t="str">
        <f>VLOOKUP(M214,Price[],3,0)</f>
        <v>consultation/minute</v>
      </c>
      <c r="P214" s="2374">
        <f>VLOOKUP(M214,Price[],4,0)</f>
        <v>0.62</v>
      </c>
      <c r="Q214" s="2126" t="str">
        <f>VLOOKUP(M214,Price[],5,0)</f>
        <v>MDL</v>
      </c>
      <c r="R214" s="2127">
        <v>60</v>
      </c>
      <c r="S214" s="2379">
        <v>8</v>
      </c>
      <c r="T214" s="2365">
        <f t="shared" si="93"/>
        <v>297.60000000000002</v>
      </c>
      <c r="U214" s="2370" t="s">
        <v>3902</v>
      </c>
      <c r="V214" s="2125" t="s">
        <v>3667</v>
      </c>
      <c r="W214" s="2126" t="str">
        <f>VLOOKUP(M214,Price[],2,0)</f>
        <v>Consultation of the social worker</v>
      </c>
      <c r="X214" s="2126" t="str">
        <f>VLOOKUP(M214,Price[],3,0)</f>
        <v>consultation/minute</v>
      </c>
      <c r="Y214" s="2374">
        <f>VLOOKUP(M214,Price[],4,0)</f>
        <v>0.62</v>
      </c>
      <c r="Z214" s="2126" t="str">
        <f>VLOOKUP(M214,Price[],5,0)</f>
        <v>MDL</v>
      </c>
      <c r="AA214" s="2127">
        <v>60</v>
      </c>
      <c r="AB214" s="2380">
        <v>8</v>
      </c>
      <c r="AC214" s="2365">
        <f t="shared" si="94"/>
        <v>297.60000000000002</v>
      </c>
    </row>
    <row r="215" spans="11:29" s="1808" customFormat="1" ht="16">
      <c r="K215" s="712"/>
      <c r="L215" s="1775"/>
      <c r="M215" s="2125" t="s">
        <v>3667</v>
      </c>
      <c r="N215" s="2126" t="str">
        <f>VLOOKUP(M215,Price[],2,0)</f>
        <v>Consultation of the social worker</v>
      </c>
      <c r="O215" s="2126" t="str">
        <f>VLOOKUP(M215,Price[],3,0)</f>
        <v>consultation/minute</v>
      </c>
      <c r="P215" s="2374">
        <f>VLOOKUP(M215,Price[],4,0)</f>
        <v>0.62</v>
      </c>
      <c r="Q215" s="2126" t="str">
        <f>VLOOKUP(M215,Price[],5,0)</f>
        <v>MDL</v>
      </c>
      <c r="R215" s="2127">
        <v>60</v>
      </c>
      <c r="S215" s="2379">
        <v>8</v>
      </c>
      <c r="T215" s="2365">
        <f t="shared" si="93"/>
        <v>297.60000000000002</v>
      </c>
      <c r="U215" s="1081" t="s">
        <v>3903</v>
      </c>
      <c r="V215" s="2125" t="s">
        <v>3667</v>
      </c>
      <c r="W215" s="2126" t="str">
        <f>VLOOKUP(M215,Price[],2,0)</f>
        <v>Consultation of the social worker</v>
      </c>
      <c r="X215" s="2126" t="str">
        <f>VLOOKUP(M215,Price[],3,0)</f>
        <v>consultation/minute</v>
      </c>
      <c r="Y215" s="2374">
        <f>VLOOKUP(M215,Price[],4,0)</f>
        <v>0.62</v>
      </c>
      <c r="Z215" s="2126" t="str">
        <f>VLOOKUP(M215,Price[],5,0)</f>
        <v>MDL</v>
      </c>
      <c r="AA215" s="2127">
        <v>60</v>
      </c>
      <c r="AB215" s="2380"/>
      <c r="AC215" s="2365">
        <f t="shared" si="94"/>
        <v>0</v>
      </c>
    </row>
    <row r="216" spans="11:29" s="1808" customFormat="1" ht="16">
      <c r="K216" s="712"/>
      <c r="L216" s="1775"/>
      <c r="M216" s="2125" t="s">
        <v>3667</v>
      </c>
      <c r="N216" s="2126" t="str">
        <f>VLOOKUP(M216,Price[],2,0)</f>
        <v>Consultation of the social worker</v>
      </c>
      <c r="O216" s="2126" t="str">
        <f>VLOOKUP(M216,Price[],3,0)</f>
        <v>consultation/minute</v>
      </c>
      <c r="P216" s="2374">
        <f>VLOOKUP(M216,Price[],4,0)</f>
        <v>0.62</v>
      </c>
      <c r="Q216" s="2126" t="str">
        <f>VLOOKUP(M216,Price[],5,0)</f>
        <v>MDL</v>
      </c>
      <c r="R216" s="2127">
        <v>60</v>
      </c>
      <c r="S216" s="2379">
        <v>12</v>
      </c>
      <c r="T216" s="2365">
        <f t="shared" si="93"/>
        <v>446.40000000000003</v>
      </c>
      <c r="U216" s="1081" t="s">
        <v>3904</v>
      </c>
      <c r="V216" s="2125" t="s">
        <v>3667</v>
      </c>
      <c r="W216" s="2126" t="str">
        <f>VLOOKUP(M216,Price[],2,0)</f>
        <v>Consultation of the social worker</v>
      </c>
      <c r="X216" s="2126" t="str">
        <f>VLOOKUP(M216,Price[],3,0)</f>
        <v>consultation/minute</v>
      </c>
      <c r="Y216" s="2374">
        <f>VLOOKUP(M216,Price[],4,0)</f>
        <v>0.62</v>
      </c>
      <c r="Z216" s="2126" t="str">
        <f>VLOOKUP(M216,Price[],5,0)</f>
        <v>MDL</v>
      </c>
      <c r="AA216" s="2127">
        <v>60</v>
      </c>
      <c r="AB216" s="2380"/>
      <c r="AC216" s="2365">
        <f t="shared" si="94"/>
        <v>0</v>
      </c>
    </row>
    <row r="217" spans="11:29" s="1808" customFormat="1" ht="17" thickBot="1">
      <c r="K217" s="712"/>
      <c r="L217" s="1775"/>
      <c r="M217" s="2341" t="s">
        <v>3675</v>
      </c>
      <c r="N217" s="2342" t="str">
        <f>VLOOKUP(M217,Price[],2,0)</f>
        <v>Informational materials</v>
      </c>
      <c r="O217" s="2342" t="str">
        <f>VLOOKUP(M217,Price[],3,0)</f>
        <v>kit</v>
      </c>
      <c r="P217" s="2375">
        <f>VLOOKUP(M217,Price[],4,0)</f>
        <v>5</v>
      </c>
      <c r="Q217" s="2167" t="str">
        <f>VLOOKUP(M217,Price[],5,0)</f>
        <v>MDL</v>
      </c>
      <c r="R217" s="2168">
        <v>1</v>
      </c>
      <c r="S217" s="2380">
        <v>1</v>
      </c>
      <c r="T217" s="2365">
        <f t="shared" si="93"/>
        <v>5</v>
      </c>
      <c r="V217" s="2341" t="s">
        <v>3675</v>
      </c>
      <c r="W217" s="2126" t="str">
        <f>VLOOKUP(M217,Price[],2,0)</f>
        <v>Informational materials</v>
      </c>
      <c r="X217" s="2126" t="str">
        <f>VLOOKUP(M217,Price[],3,0)</f>
        <v>kit</v>
      </c>
      <c r="Y217" s="2374">
        <f>VLOOKUP(M217,Price[],4,0)</f>
        <v>5</v>
      </c>
      <c r="Z217" s="2126" t="str">
        <f>VLOOKUP(M217,Price[],5,0)</f>
        <v>MDL</v>
      </c>
      <c r="AA217" s="2168">
        <v>1</v>
      </c>
      <c r="AB217" s="2380">
        <v>1</v>
      </c>
      <c r="AC217" s="2365">
        <f t="shared" si="94"/>
        <v>5</v>
      </c>
    </row>
    <row r="218" spans="11:29" s="1808" customFormat="1" ht="16">
      <c r="K218" s="712"/>
      <c r="L218" s="1775"/>
      <c r="M218" s="2170" t="s">
        <v>3637</v>
      </c>
      <c r="N218" s="2171" t="str">
        <f>VLOOKUP(M218,Price[],2,0)</f>
        <v>Project manager</v>
      </c>
      <c r="O218" s="2171" t="str">
        <f>VLOOKUP(M218,Price[],3,0)</f>
        <v>per benficiary</v>
      </c>
      <c r="P218" s="2376">
        <f>VLOOKUP(M218,Price[],4,0)</f>
        <v>42.26</v>
      </c>
      <c r="Q218" s="2171" t="str">
        <f>VLOOKUP(M218,Price[],5,0)</f>
        <v>MDL</v>
      </c>
      <c r="R218" s="2170"/>
      <c r="S218" s="2381">
        <v>1.5</v>
      </c>
      <c r="T218" s="2367">
        <f t="shared" si="93"/>
        <v>63.39</v>
      </c>
      <c r="V218" s="2170" t="s">
        <v>3637</v>
      </c>
      <c r="W218" s="2171" t="str">
        <f>VLOOKUP(M218,Price[],2,0)</f>
        <v>Project manager</v>
      </c>
      <c r="X218" s="2171" t="str">
        <f>VLOOKUP(M218,Price[],3,0)</f>
        <v>per benficiary</v>
      </c>
      <c r="Y218" s="2376">
        <f>VLOOKUP(M218,Price[],4,0)</f>
        <v>42.26</v>
      </c>
      <c r="Z218" s="2171" t="str">
        <f>VLOOKUP(M218,Price[],5,0)</f>
        <v>MDL</v>
      </c>
      <c r="AA218" s="2170"/>
      <c r="AB218" s="2381">
        <v>1.5</v>
      </c>
      <c r="AC218" s="2367">
        <f t="shared" si="94"/>
        <v>63.39</v>
      </c>
    </row>
    <row r="219" spans="11:29" s="1808" customFormat="1" ht="16">
      <c r="K219" s="712"/>
      <c r="L219" s="1775"/>
      <c r="M219" s="2125" t="s">
        <v>3638</v>
      </c>
      <c r="N219" s="2126" t="str">
        <f>VLOOKUP(M219,Price[],2,0)</f>
        <v>Accountant</v>
      </c>
      <c r="O219" s="2126" t="str">
        <f>VLOOKUP(M219,Price[],3,0)</f>
        <v>per benficiary</v>
      </c>
      <c r="P219" s="2374">
        <f>VLOOKUP(M219,Price[],4,0)</f>
        <v>30.65</v>
      </c>
      <c r="Q219" s="2126" t="str">
        <f>VLOOKUP(M219,Price[],5,0)</f>
        <v>MDL</v>
      </c>
      <c r="R219" s="2125"/>
      <c r="S219" s="2382">
        <v>1.5</v>
      </c>
      <c r="T219" s="2365">
        <f t="shared" si="93"/>
        <v>45.974999999999994</v>
      </c>
      <c r="V219" s="2125" t="s">
        <v>3638</v>
      </c>
      <c r="W219" s="2126" t="str">
        <f>VLOOKUP(M219,Price[],2,0)</f>
        <v>Accountant</v>
      </c>
      <c r="X219" s="2126" t="str">
        <f>VLOOKUP(M219,Price[],3,0)</f>
        <v>per benficiary</v>
      </c>
      <c r="Y219" s="2374">
        <f>VLOOKUP(M219,Price[],4,0)</f>
        <v>30.65</v>
      </c>
      <c r="Z219" s="2126" t="str">
        <f>VLOOKUP(M219,Price[],5,0)</f>
        <v>MDL</v>
      </c>
      <c r="AA219" s="2125"/>
      <c r="AB219" s="2382">
        <v>1.5</v>
      </c>
      <c r="AC219" s="2365">
        <f t="shared" si="94"/>
        <v>45.974999999999994</v>
      </c>
    </row>
    <row r="220" spans="11:29" s="1808" customFormat="1" ht="16">
      <c r="K220" s="712"/>
      <c r="L220" s="1775"/>
      <c r="M220" s="2125" t="s">
        <v>3639</v>
      </c>
      <c r="N220" s="2126" t="str">
        <f>VLOOKUP(M220,Price[],2,0)</f>
        <v>Driver</v>
      </c>
      <c r="O220" s="2126" t="str">
        <f>VLOOKUP(M220,Price[],3,0)</f>
        <v>per benficiary</v>
      </c>
      <c r="P220" s="2374">
        <f>VLOOKUP(M220,Price[],4,0)</f>
        <v>17.03</v>
      </c>
      <c r="Q220" s="2126" t="str">
        <f>VLOOKUP(M220,Price[],5,0)</f>
        <v>MDL</v>
      </c>
      <c r="R220" s="2125"/>
      <c r="S220" s="2382">
        <v>1.5</v>
      </c>
      <c r="T220" s="2365">
        <f t="shared" si="93"/>
        <v>25.545000000000002</v>
      </c>
      <c r="U220" s="1081"/>
      <c r="V220" s="2125" t="s">
        <v>3639</v>
      </c>
      <c r="W220" s="2126" t="str">
        <f>VLOOKUP(M220,Price[],2,0)</f>
        <v>Driver</v>
      </c>
      <c r="X220" s="2126" t="str">
        <f>VLOOKUP(M220,Price[],3,0)</f>
        <v>per benficiary</v>
      </c>
      <c r="Y220" s="2374">
        <f>VLOOKUP(M220,Price[],4,0)</f>
        <v>17.03</v>
      </c>
      <c r="Z220" s="2126" t="str">
        <f>VLOOKUP(M220,Price[],5,0)</f>
        <v>MDL</v>
      </c>
      <c r="AA220" s="2125"/>
      <c r="AB220" s="2382">
        <v>1.5</v>
      </c>
      <c r="AC220" s="2365">
        <f t="shared" si="94"/>
        <v>25.545000000000002</v>
      </c>
    </row>
    <row r="221" spans="11:29" s="1808" customFormat="1" ht="16">
      <c r="K221" s="712"/>
      <c r="L221" s="1775"/>
      <c r="M221" s="2125" t="s">
        <v>3640</v>
      </c>
      <c r="N221" s="2126" t="str">
        <f>VLOOKUP(M221,Price[],2,0)</f>
        <v>Cleaner</v>
      </c>
      <c r="O221" s="2126" t="str">
        <f>VLOOKUP(M221,Price[],3,0)</f>
        <v>per benficiary</v>
      </c>
      <c r="P221" s="2374">
        <f>VLOOKUP(M221,Price[],4,0)</f>
        <v>12.94</v>
      </c>
      <c r="Q221" s="2126" t="str">
        <f>VLOOKUP(M221,Price[],5,0)</f>
        <v>MDL</v>
      </c>
      <c r="R221" s="2125"/>
      <c r="S221" s="2382">
        <v>1.5</v>
      </c>
      <c r="T221" s="2365">
        <f t="shared" si="93"/>
        <v>19.41</v>
      </c>
      <c r="U221" s="1081"/>
      <c r="V221" s="2125" t="s">
        <v>3640</v>
      </c>
      <c r="W221" s="2126" t="str">
        <f>VLOOKUP(M221,Price[],2,0)</f>
        <v>Cleaner</v>
      </c>
      <c r="X221" s="2126" t="str">
        <f>VLOOKUP(M221,Price[],3,0)</f>
        <v>per benficiary</v>
      </c>
      <c r="Y221" s="2374">
        <f>VLOOKUP(M221,Price[],4,0)</f>
        <v>12.94</v>
      </c>
      <c r="Z221" s="2126" t="str">
        <f>VLOOKUP(M221,Price[],5,0)</f>
        <v>MDL</v>
      </c>
      <c r="AA221" s="2125"/>
      <c r="AB221" s="2382">
        <v>1.5</v>
      </c>
      <c r="AC221" s="2365">
        <f t="shared" si="94"/>
        <v>19.41</v>
      </c>
    </row>
    <row r="222" spans="11:29" s="1808" customFormat="1" ht="17" thickBot="1">
      <c r="K222" s="712"/>
      <c r="L222" s="1775"/>
      <c r="M222" s="2174" t="s">
        <v>3267</v>
      </c>
      <c r="N222" s="2175" t="str">
        <f>VLOOKUP(M222,Price[],2,0)</f>
        <v>Utilities</v>
      </c>
      <c r="O222" s="2175" t="str">
        <f>VLOOKUP(M222,Price[],3,0)</f>
        <v>per benficiary</v>
      </c>
      <c r="P222" s="2377">
        <f>VLOOKUP(M222,Price[],4,0)</f>
        <v>68.739999999999995</v>
      </c>
      <c r="Q222" s="2175" t="str">
        <f>VLOOKUP(M222,Price[],5,0)</f>
        <v>MDL</v>
      </c>
      <c r="R222" s="2176"/>
      <c r="S222" s="2383">
        <v>1.5</v>
      </c>
      <c r="T222" s="2368">
        <f t="shared" si="93"/>
        <v>103.10999999999999</v>
      </c>
      <c r="U222" s="1081"/>
      <c r="V222" s="2174" t="s">
        <v>3267</v>
      </c>
      <c r="W222" s="2175" t="str">
        <f>VLOOKUP(M222,Price[],2,0)</f>
        <v>Utilities</v>
      </c>
      <c r="X222" s="2175" t="str">
        <f>VLOOKUP(M222,Price[],3,0)</f>
        <v>per benficiary</v>
      </c>
      <c r="Y222" s="2377">
        <f>VLOOKUP(M222,Price[],4,0)</f>
        <v>68.739999999999995</v>
      </c>
      <c r="Z222" s="2175" t="str">
        <f>VLOOKUP(M222,Price[],5,0)</f>
        <v>MDL</v>
      </c>
      <c r="AA222" s="2176"/>
      <c r="AB222" s="2383">
        <v>1.5</v>
      </c>
      <c r="AC222" s="2368">
        <f t="shared" si="94"/>
        <v>103.10999999999999</v>
      </c>
    </row>
    <row r="223" spans="11:29" s="1808" customFormat="1" ht="16" thickBot="1">
      <c r="K223" s="712"/>
      <c r="L223" s="1775"/>
      <c r="M223" s="431"/>
      <c r="N223" s="431"/>
      <c r="O223" s="431"/>
      <c r="P223" s="2378"/>
      <c r="Q223" s="431"/>
      <c r="R223" s="431"/>
      <c r="S223" s="431"/>
      <c r="T223" s="2372">
        <f>SUM(T206:T222)</f>
        <v>3195.23</v>
      </c>
      <c r="U223" s="1561"/>
      <c r="V223" s="431"/>
      <c r="W223" s="431"/>
      <c r="X223" s="431"/>
      <c r="Y223" s="2378"/>
      <c r="Z223" s="431"/>
      <c r="AA223" s="431"/>
      <c r="AB223" s="431"/>
      <c r="AC223" s="2372">
        <f>SUM(AC206:AC222)</f>
        <v>1470.8300000000002</v>
      </c>
    </row>
    <row r="224" spans="11:29" s="1808" customFormat="1">
      <c r="K224" s="712"/>
      <c r="L224" s="1775"/>
      <c r="M224" s="431"/>
      <c r="N224" s="431"/>
      <c r="O224" s="431"/>
      <c r="P224" s="2378"/>
      <c r="Q224" s="431"/>
      <c r="R224" s="431"/>
      <c r="S224" s="431"/>
      <c r="T224" s="2161"/>
      <c r="U224" s="1561"/>
      <c r="V224" s="431"/>
      <c r="W224" s="431"/>
      <c r="X224" s="431"/>
      <c r="Y224" s="2378"/>
      <c r="Z224" s="431"/>
      <c r="AA224" s="431"/>
      <c r="AB224" s="431"/>
      <c r="AC224" s="2161"/>
    </row>
    <row r="225" spans="11:24" s="1808" customFormat="1" ht="21">
      <c r="K225" s="712"/>
      <c r="L225" s="1775"/>
      <c r="M225" s="431"/>
      <c r="N225" s="2386" t="s">
        <v>3894</v>
      </c>
      <c r="O225" s="431"/>
      <c r="P225" s="431"/>
      <c r="Q225" s="431"/>
      <c r="R225" s="431"/>
      <c r="S225" s="431"/>
      <c r="T225" s="2386" t="s">
        <v>3905</v>
      </c>
      <c r="U225" s="1561"/>
    </row>
    <row r="226" spans="11:24" s="1808" customFormat="1" ht="20" thickBot="1">
      <c r="K226" s="712"/>
      <c r="L226" s="1775" t="s">
        <v>3936</v>
      </c>
      <c r="M226" s="2392">
        <v>1.1499999999999999</v>
      </c>
      <c r="N226" s="2352"/>
      <c r="O226" s="2065" t="s">
        <v>3892</v>
      </c>
      <c r="P226" s="2065"/>
      <c r="Q226" s="2065"/>
      <c r="R226" s="2065"/>
      <c r="S226" s="431"/>
      <c r="T226" s="2352"/>
      <c r="U226" s="2065" t="s">
        <v>3892</v>
      </c>
      <c r="V226" s="2065"/>
      <c r="W226" s="2065"/>
      <c r="X226" s="2065"/>
    </row>
    <row r="227" spans="11:24" s="1808" customFormat="1" ht="20" thickBot="1">
      <c r="K227" s="712"/>
      <c r="L227" s="1775"/>
      <c r="M227" s="1968"/>
      <c r="N227" s="2387">
        <v>2021</v>
      </c>
      <c r="O227" s="2388">
        <v>2022</v>
      </c>
      <c r="P227" s="2388">
        <v>2023</v>
      </c>
      <c r="Q227" s="2388">
        <v>2024</v>
      </c>
      <c r="R227" s="2389">
        <v>2025</v>
      </c>
      <c r="S227" s="431"/>
      <c r="T227" s="2353">
        <v>2021</v>
      </c>
      <c r="U227" s="2354">
        <v>2022</v>
      </c>
      <c r="V227" s="2354">
        <v>2023</v>
      </c>
      <c r="W227" s="2354">
        <v>2024</v>
      </c>
      <c r="X227" s="2355">
        <v>2025</v>
      </c>
    </row>
    <row r="228" spans="11:24" s="1808" customFormat="1" ht="19">
      <c r="K228" s="712"/>
      <c r="L228" s="1775"/>
      <c r="M228" s="1968"/>
      <c r="N228" s="2390">
        <f>ROUND((P81+Y81)*M226,0)</f>
        <v>84</v>
      </c>
      <c r="O228" s="2390">
        <f>ROUND((Q81+Z81)*M226,0)</f>
        <v>82</v>
      </c>
      <c r="P228" s="2390">
        <f>ROUND((R81+AA81)*M226,0)</f>
        <v>79</v>
      </c>
      <c r="Q228" s="2390">
        <f>ROUND((S81+AB81)*M226,0)</f>
        <v>78</v>
      </c>
      <c r="R228" s="2390">
        <f>ROUND((T81+AC81)*M226,0)</f>
        <v>75</v>
      </c>
      <c r="S228" s="431"/>
      <c r="T228" s="2391">
        <v>30</v>
      </c>
      <c r="U228" s="2391">
        <v>30</v>
      </c>
      <c r="V228" s="2391">
        <v>30</v>
      </c>
      <c r="W228" s="2391">
        <v>30</v>
      </c>
      <c r="X228" s="2391">
        <v>30</v>
      </c>
    </row>
    <row r="229" spans="11:24" s="1808" customFormat="1" ht="19">
      <c r="K229" s="712"/>
      <c r="L229" s="1775"/>
      <c r="M229" s="1968" t="s">
        <v>3889</v>
      </c>
      <c r="N229" s="2349">
        <v>1</v>
      </c>
      <c r="O229" s="2349">
        <v>1</v>
      </c>
      <c r="P229" s="2349">
        <v>1</v>
      </c>
      <c r="Q229" s="2349">
        <v>1</v>
      </c>
      <c r="R229" s="2349">
        <v>1</v>
      </c>
      <c r="S229" s="431"/>
      <c r="T229" s="2349">
        <v>1</v>
      </c>
      <c r="U229" s="2349">
        <v>1</v>
      </c>
      <c r="V229" s="2349">
        <v>1</v>
      </c>
      <c r="W229" s="2349">
        <v>1</v>
      </c>
      <c r="X229" s="2349">
        <v>1</v>
      </c>
    </row>
    <row r="230" spans="11:24" s="1808" customFormat="1" ht="19">
      <c r="K230" s="712"/>
      <c r="L230" s="1775"/>
      <c r="M230" s="1968"/>
      <c r="N230" s="2360">
        <f>ROUND(N228*N229,0)</f>
        <v>84</v>
      </c>
      <c r="O230" s="2360">
        <f t="shared" ref="O230:R230" si="95">ROUND(O228*O229,0)</f>
        <v>82</v>
      </c>
      <c r="P230" s="2360">
        <f t="shared" si="95"/>
        <v>79</v>
      </c>
      <c r="Q230" s="2360">
        <f t="shared" si="95"/>
        <v>78</v>
      </c>
      <c r="R230" s="2360">
        <f t="shared" si="95"/>
        <v>75</v>
      </c>
      <c r="S230" s="431"/>
      <c r="T230" s="2360">
        <f>ROUND(T228*T229,0)</f>
        <v>30</v>
      </c>
      <c r="U230" s="2360">
        <f t="shared" ref="U230:X230" si="96">ROUND(U228*U229,0)</f>
        <v>30</v>
      </c>
      <c r="V230" s="2360">
        <f t="shared" si="96"/>
        <v>30</v>
      </c>
      <c r="W230" s="2360">
        <f t="shared" si="96"/>
        <v>30</v>
      </c>
      <c r="X230" s="2360">
        <f t="shared" si="96"/>
        <v>30</v>
      </c>
    </row>
    <row r="231" spans="11:24" s="1808" customFormat="1" ht="19">
      <c r="K231" s="712"/>
      <c r="L231" s="1775"/>
      <c r="M231" s="2350" t="s">
        <v>3880</v>
      </c>
      <c r="N231" s="2361">
        <v>1</v>
      </c>
      <c r="O231" s="2361">
        <v>1</v>
      </c>
      <c r="P231" s="2361">
        <v>1</v>
      </c>
      <c r="Q231" s="2361">
        <v>0</v>
      </c>
      <c r="R231" s="2361">
        <v>0</v>
      </c>
      <c r="S231" s="431"/>
      <c r="T231" s="2361">
        <v>1</v>
      </c>
      <c r="U231" s="2361">
        <v>1</v>
      </c>
      <c r="V231" s="2361">
        <v>1</v>
      </c>
      <c r="W231" s="2361">
        <v>0</v>
      </c>
      <c r="X231" s="2361">
        <v>0</v>
      </c>
    </row>
    <row r="232" spans="11:24" s="1808" customFormat="1" ht="19">
      <c r="K232" s="712"/>
      <c r="L232" s="1775"/>
      <c r="M232" s="2350" t="s">
        <v>3906</v>
      </c>
      <c r="N232" s="2349">
        <f>1-N231</f>
        <v>0</v>
      </c>
      <c r="O232" s="2349">
        <f t="shared" ref="O232:R232" si="97">1-O231</f>
        <v>0</v>
      </c>
      <c r="P232" s="2349">
        <f t="shared" si="97"/>
        <v>0</v>
      </c>
      <c r="Q232" s="2349">
        <f t="shared" si="97"/>
        <v>1</v>
      </c>
      <c r="R232" s="2349">
        <f t="shared" si="97"/>
        <v>1</v>
      </c>
      <c r="S232" s="431"/>
      <c r="T232" s="2349">
        <f>1-T231</f>
        <v>0</v>
      </c>
      <c r="U232" s="2349">
        <f t="shared" ref="U232:X232" si="98">1-U231</f>
        <v>0</v>
      </c>
      <c r="V232" s="2349">
        <f t="shared" si="98"/>
        <v>0</v>
      </c>
      <c r="W232" s="2349">
        <f t="shared" si="98"/>
        <v>1</v>
      </c>
      <c r="X232" s="2349">
        <f t="shared" si="98"/>
        <v>1</v>
      </c>
    </row>
    <row r="233" spans="11:24" s="1808" customFormat="1" ht="19">
      <c r="K233" s="712"/>
      <c r="L233" s="1775"/>
      <c r="M233" s="2350" t="s">
        <v>3882</v>
      </c>
      <c r="N233" s="2362">
        <f>N230-(N234+N235)</f>
        <v>0</v>
      </c>
      <c r="O233" s="2362">
        <f t="shared" ref="O233:R233" si="99">O230-(O234+O235)</f>
        <v>0</v>
      </c>
      <c r="P233" s="2362">
        <f t="shared" si="99"/>
        <v>0</v>
      </c>
      <c r="Q233" s="2362">
        <f t="shared" si="99"/>
        <v>0</v>
      </c>
      <c r="R233" s="2362">
        <f t="shared" si="99"/>
        <v>0</v>
      </c>
      <c r="S233" s="431"/>
      <c r="T233" s="2362">
        <f>T230-(T234+T235)</f>
        <v>0</v>
      </c>
      <c r="U233" s="2362">
        <f t="shared" ref="U233:X233" si="100">U230-(U234+U235)</f>
        <v>0</v>
      </c>
      <c r="V233" s="2362">
        <f t="shared" si="100"/>
        <v>0</v>
      </c>
      <c r="W233" s="2362">
        <f t="shared" si="100"/>
        <v>0</v>
      </c>
      <c r="X233" s="2362">
        <f t="shared" si="100"/>
        <v>0</v>
      </c>
    </row>
    <row r="234" spans="11:24" s="1808" customFormat="1" ht="19">
      <c r="K234" s="712"/>
      <c r="L234" s="1775"/>
      <c r="M234" s="2346" t="s">
        <v>3883</v>
      </c>
      <c r="N234" s="2357">
        <f>ROUND(N231*N230,0)</f>
        <v>84</v>
      </c>
      <c r="O234" s="2357">
        <f t="shared" ref="O234:R234" si="101">ROUND(O231*O230,0)</f>
        <v>82</v>
      </c>
      <c r="P234" s="2357">
        <f t="shared" si="101"/>
        <v>79</v>
      </c>
      <c r="Q234" s="2357">
        <f t="shared" si="101"/>
        <v>0</v>
      </c>
      <c r="R234" s="2357">
        <f t="shared" si="101"/>
        <v>0</v>
      </c>
      <c r="S234" s="431"/>
      <c r="T234" s="2357">
        <f>ROUND(T231*T230,0)</f>
        <v>30</v>
      </c>
      <c r="U234" s="2357">
        <f t="shared" ref="U234:X234" si="102">ROUND(U231*U230,0)</f>
        <v>30</v>
      </c>
      <c r="V234" s="2357">
        <f t="shared" si="102"/>
        <v>30</v>
      </c>
      <c r="W234" s="2357">
        <f t="shared" si="102"/>
        <v>0</v>
      </c>
      <c r="X234" s="2357">
        <f t="shared" si="102"/>
        <v>0</v>
      </c>
    </row>
    <row r="235" spans="11:24" s="1808" customFormat="1" ht="19">
      <c r="K235" s="712"/>
      <c r="L235" s="1775"/>
      <c r="M235" s="2346" t="s">
        <v>3886</v>
      </c>
      <c r="N235" s="2347">
        <f>N230-N234</f>
        <v>0</v>
      </c>
      <c r="O235" s="2347">
        <f t="shared" ref="O235:R235" si="103">O230-O234</f>
        <v>0</v>
      </c>
      <c r="P235" s="2347">
        <f t="shared" si="103"/>
        <v>0</v>
      </c>
      <c r="Q235" s="2347">
        <f t="shared" si="103"/>
        <v>78</v>
      </c>
      <c r="R235" s="2347">
        <f t="shared" si="103"/>
        <v>75</v>
      </c>
      <c r="S235" s="431"/>
      <c r="T235" s="2347">
        <f>T230-T234</f>
        <v>0</v>
      </c>
      <c r="U235" s="2347">
        <f t="shared" ref="U235:X235" si="104">U230-U234</f>
        <v>0</v>
      </c>
      <c r="V235" s="2347">
        <f t="shared" si="104"/>
        <v>0</v>
      </c>
      <c r="W235" s="2347">
        <f t="shared" si="104"/>
        <v>30</v>
      </c>
      <c r="X235" s="2347">
        <f t="shared" si="104"/>
        <v>30</v>
      </c>
    </row>
    <row r="236" spans="11:24" s="1808" customFormat="1" ht="19">
      <c r="K236" s="712"/>
      <c r="L236" s="1775"/>
      <c r="M236" s="2351"/>
      <c r="N236" s="2351" t="str">
        <f>IF(SUM(N231:N232)=1,"","verificati % dintre surse, nu este=100%")</f>
        <v/>
      </c>
      <c r="O236" s="2351" t="str">
        <f t="shared" ref="O236:R236" si="105">IF(SUM(O231:O232)=1,"","verificati % dintre surse, nu este=100%")</f>
        <v/>
      </c>
      <c r="P236" s="2351" t="str">
        <f t="shared" si="105"/>
        <v/>
      </c>
      <c r="Q236" s="2351" t="str">
        <f t="shared" si="105"/>
        <v/>
      </c>
      <c r="R236" s="2351" t="str">
        <f t="shared" si="105"/>
        <v/>
      </c>
      <c r="S236" s="2351"/>
      <c r="T236" s="2351" t="str">
        <f t="shared" ref="T236:X236" si="106">IF(SUM(T231:T232)=1,"","verificati % dintre surse, nu este=100%")</f>
        <v/>
      </c>
      <c r="U236" s="2351" t="str">
        <f t="shared" si="106"/>
        <v/>
      </c>
      <c r="V236" s="2351" t="str">
        <f t="shared" si="106"/>
        <v/>
      </c>
      <c r="W236" s="2351" t="str">
        <f t="shared" si="106"/>
        <v/>
      </c>
      <c r="X236" s="2351" t="str">
        <f t="shared" si="106"/>
        <v/>
      </c>
    </row>
    <row r="237" spans="11:24" s="1808" customFormat="1" ht="19">
      <c r="K237" s="712"/>
      <c r="L237" s="1775"/>
      <c r="M237" s="2351"/>
      <c r="N237" s="2351"/>
      <c r="O237" s="1968"/>
      <c r="P237" s="1968"/>
      <c r="Q237" s="1968"/>
      <c r="R237" s="1968"/>
      <c r="S237" s="431"/>
      <c r="T237" s="2351"/>
      <c r="U237" s="1968"/>
      <c r="V237" s="1968"/>
      <c r="W237" s="1968"/>
      <c r="X237" s="1968"/>
    </row>
    <row r="238" spans="11:24" s="1808" customFormat="1" ht="19">
      <c r="K238" s="712"/>
      <c r="L238" s="1775"/>
      <c r="M238" s="1968" t="s">
        <v>3884</v>
      </c>
      <c r="N238" s="2356">
        <f>N234*T201</f>
        <v>177073.68</v>
      </c>
      <c r="O238" s="2356">
        <f>O234*T201</f>
        <v>172857.63999999998</v>
      </c>
      <c r="P238" s="2356">
        <f>P234*T201</f>
        <v>166533.57999999999</v>
      </c>
      <c r="Q238" s="2356">
        <f>Q234*T201</f>
        <v>0</v>
      </c>
      <c r="R238" s="2356">
        <f>R234*T201</f>
        <v>0</v>
      </c>
      <c r="S238" s="431"/>
      <c r="T238" s="2356">
        <f>T234*AC201</f>
        <v>26646.600000000002</v>
      </c>
      <c r="U238" s="2356">
        <f>U234*AC201</f>
        <v>26646.600000000002</v>
      </c>
      <c r="V238" s="2356">
        <f>V234*AC201</f>
        <v>26646.600000000002</v>
      </c>
      <c r="W238" s="2356">
        <f>W234*AC201</f>
        <v>0</v>
      </c>
      <c r="X238" s="2356">
        <f>X234*AC201</f>
        <v>0</v>
      </c>
    </row>
    <row r="239" spans="11:24" s="1808" customFormat="1" ht="19">
      <c r="K239" s="712"/>
      <c r="L239" s="1775"/>
      <c r="M239" s="1968" t="s">
        <v>3885</v>
      </c>
      <c r="N239" s="2356">
        <f>N235*T201</f>
        <v>0</v>
      </c>
      <c r="O239" s="2356">
        <f>O235*T201</f>
        <v>0</v>
      </c>
      <c r="P239" s="2356">
        <f>P235*T201</f>
        <v>0</v>
      </c>
      <c r="Q239" s="2356">
        <f>Q235*T201</f>
        <v>164425.56</v>
      </c>
      <c r="R239" s="2356">
        <f>R235*T201</f>
        <v>158101.5</v>
      </c>
      <c r="S239" s="431"/>
      <c r="T239" s="2356">
        <f>T235*AC201</f>
        <v>0</v>
      </c>
      <c r="U239" s="2356">
        <f>U235*AC201</f>
        <v>0</v>
      </c>
      <c r="V239" s="2356">
        <f>V235*AC201</f>
        <v>0</v>
      </c>
      <c r="W239" s="2356">
        <f>W235*AC201</f>
        <v>26646.600000000002</v>
      </c>
      <c r="X239" s="2356">
        <f>X235*AC201</f>
        <v>26646.600000000002</v>
      </c>
    </row>
    <row r="240" spans="11:24" s="1808" customFormat="1">
      <c r="K240" s="712"/>
      <c r="L240" s="1775"/>
      <c r="M240" s="1081" t="s">
        <v>3882</v>
      </c>
      <c r="N240" s="2343">
        <f>N233*T201</f>
        <v>0</v>
      </c>
      <c r="O240" s="2343">
        <f>O233*T201</f>
        <v>0</v>
      </c>
      <c r="P240" s="2343">
        <f>P233*T201</f>
        <v>0</v>
      </c>
      <c r="Q240" s="2343">
        <f>Q233*T201</f>
        <v>0</v>
      </c>
      <c r="R240" s="2343">
        <f>R233*T201</f>
        <v>0</v>
      </c>
      <c r="S240" s="431"/>
      <c r="T240" s="2343">
        <f>T233*AC201</f>
        <v>0</v>
      </c>
      <c r="U240" s="2343">
        <f>U233*AC201</f>
        <v>0</v>
      </c>
      <c r="V240" s="2343">
        <f>V233*AC201</f>
        <v>0</v>
      </c>
      <c r="W240" s="2343">
        <f>W233*AC201</f>
        <v>0</v>
      </c>
      <c r="X240" s="2343">
        <f>X233*AC201</f>
        <v>0</v>
      </c>
    </row>
    <row r="241" spans="11:24" s="1808" customFormat="1">
      <c r="K241" s="712"/>
      <c r="L241" s="1775"/>
      <c r="M241" s="431"/>
      <c r="N241" s="431"/>
      <c r="O241" s="431"/>
      <c r="P241" s="431"/>
      <c r="Q241" s="431"/>
      <c r="R241" s="431"/>
      <c r="S241" s="431"/>
    </row>
    <row r="242" spans="11:24" s="1808" customFormat="1" ht="19">
      <c r="K242" s="712"/>
      <c r="L242" s="1775"/>
      <c r="M242" s="1968" t="s">
        <v>3884</v>
      </c>
      <c r="N242" s="2356">
        <f t="shared" ref="N242:R244" si="107">N238+T238</f>
        <v>203720.28</v>
      </c>
      <c r="O242" s="2356">
        <f t="shared" si="107"/>
        <v>199504.24</v>
      </c>
      <c r="P242" s="2356">
        <f t="shared" si="107"/>
        <v>193180.18</v>
      </c>
      <c r="Q242" s="2356">
        <f t="shared" si="107"/>
        <v>0</v>
      </c>
      <c r="R242" s="2356">
        <f t="shared" si="107"/>
        <v>0</v>
      </c>
      <c r="S242" s="431"/>
      <c r="T242" s="2161"/>
      <c r="U242" s="1544"/>
    </row>
    <row r="243" spans="11:24" s="1808" customFormat="1" ht="19">
      <c r="K243" s="712"/>
      <c r="L243" s="1775"/>
      <c r="M243" s="1968" t="s">
        <v>3907</v>
      </c>
      <c r="N243" s="2356">
        <f t="shared" si="107"/>
        <v>0</v>
      </c>
      <c r="O243" s="2356">
        <f t="shared" si="107"/>
        <v>0</v>
      </c>
      <c r="P243" s="2356">
        <f t="shared" si="107"/>
        <v>0</v>
      </c>
      <c r="Q243" s="2356">
        <f t="shared" si="107"/>
        <v>191072.16</v>
      </c>
      <c r="R243" s="2356">
        <f t="shared" si="107"/>
        <v>184748.1</v>
      </c>
      <c r="S243" s="431"/>
      <c r="T243" s="2161"/>
      <c r="U243" s="1544"/>
    </row>
    <row r="244" spans="11:24" s="1808" customFormat="1">
      <c r="K244" s="712"/>
      <c r="L244" s="1775"/>
      <c r="M244" s="1081" t="s">
        <v>3882</v>
      </c>
      <c r="N244" s="2343">
        <f t="shared" si="107"/>
        <v>0</v>
      </c>
      <c r="O244" s="2343">
        <f t="shared" si="107"/>
        <v>0</v>
      </c>
      <c r="P244" s="2343">
        <f t="shared" si="107"/>
        <v>0</v>
      </c>
      <c r="Q244" s="2343">
        <f t="shared" si="107"/>
        <v>0</v>
      </c>
      <c r="R244" s="2343">
        <f t="shared" si="107"/>
        <v>0</v>
      </c>
      <c r="S244" s="431"/>
      <c r="T244" s="431"/>
      <c r="U244" s="431"/>
    </row>
    <row r="245" spans="11:24" s="1808" customFormat="1">
      <c r="K245" s="712"/>
      <c r="L245" s="1775"/>
      <c r="M245" s="431"/>
      <c r="N245" s="431"/>
      <c r="O245" s="431"/>
      <c r="P245" s="431"/>
      <c r="Q245" s="431"/>
      <c r="R245" s="431"/>
      <c r="S245" s="431"/>
      <c r="T245" s="2161"/>
      <c r="U245" s="1561"/>
    </row>
    <row r="246" spans="11:24" s="1808" customFormat="1">
      <c r="K246" s="712"/>
      <c r="L246" s="1775"/>
      <c r="M246" s="431"/>
      <c r="N246" s="431"/>
      <c r="O246" s="431"/>
      <c r="P246" s="431"/>
      <c r="Q246" s="431"/>
      <c r="R246" s="431"/>
      <c r="S246" s="431"/>
      <c r="T246" s="2161"/>
      <c r="U246" s="1561"/>
    </row>
    <row r="247" spans="11:24" s="1808" customFormat="1">
      <c r="K247" s="712"/>
      <c r="L247" s="1775"/>
      <c r="M247" s="431"/>
      <c r="N247" s="431"/>
      <c r="O247" s="431"/>
      <c r="P247" s="431"/>
      <c r="Q247" s="431"/>
      <c r="R247" s="431"/>
      <c r="S247" s="431"/>
      <c r="T247" s="2161"/>
      <c r="U247" s="1561"/>
    </row>
    <row r="248" spans="11:24" s="1808" customFormat="1" ht="21">
      <c r="K248" s="712"/>
      <c r="L248" s="1775"/>
      <c r="M248" s="431"/>
      <c r="N248" s="2386" t="s">
        <v>3894</v>
      </c>
      <c r="O248" s="431"/>
      <c r="P248" s="431"/>
      <c r="Q248" s="431"/>
      <c r="R248" s="431"/>
      <c r="S248" s="431"/>
      <c r="T248" s="2386" t="s">
        <v>3905</v>
      </c>
      <c r="U248" s="1561"/>
    </row>
    <row r="249" spans="11:24" s="1808" customFormat="1" ht="20" thickBot="1">
      <c r="K249" s="712"/>
      <c r="L249" s="1775" t="s">
        <v>3936</v>
      </c>
      <c r="M249" s="2392">
        <v>1.1499999999999999</v>
      </c>
      <c r="N249" s="2352"/>
      <c r="O249" s="2065" t="s">
        <v>3893</v>
      </c>
      <c r="P249" s="2065"/>
      <c r="Q249" s="2065"/>
      <c r="R249" s="2065"/>
      <c r="S249" s="431"/>
      <c r="T249" s="2352"/>
      <c r="U249" s="2065" t="s">
        <v>3893</v>
      </c>
      <c r="V249" s="2065"/>
      <c r="W249" s="2065"/>
      <c r="X249" s="2065"/>
    </row>
    <row r="250" spans="11:24" s="1808" customFormat="1" ht="20" thickBot="1">
      <c r="K250" s="712"/>
      <c r="L250" s="1775"/>
      <c r="M250" s="1968"/>
      <c r="N250" s="2353">
        <v>2021</v>
      </c>
      <c r="O250" s="2354">
        <v>2022</v>
      </c>
      <c r="P250" s="2354">
        <v>2023</v>
      </c>
      <c r="Q250" s="2354">
        <v>2024</v>
      </c>
      <c r="R250" s="2355">
        <v>2025</v>
      </c>
      <c r="S250" s="431"/>
      <c r="T250" s="2353">
        <v>2021</v>
      </c>
      <c r="U250" s="2354">
        <v>2022</v>
      </c>
      <c r="V250" s="2354">
        <v>2023</v>
      </c>
      <c r="W250" s="2354">
        <v>2024</v>
      </c>
      <c r="X250" s="2355">
        <v>2025</v>
      </c>
    </row>
    <row r="251" spans="11:24" s="1808" customFormat="1" ht="19">
      <c r="K251" s="712"/>
      <c r="L251" s="1775"/>
      <c r="M251" s="1968"/>
      <c r="N251" s="2358">
        <f>ROUND((P83+Y83)*M249,0)</f>
        <v>52</v>
      </c>
      <c r="O251" s="2359">
        <f>ROUND((Q83+Z83)*M249,0)</f>
        <v>51</v>
      </c>
      <c r="P251" s="2359">
        <f>ROUND((R83+AA83)*M249,0)</f>
        <v>51</v>
      </c>
      <c r="Q251" s="2359">
        <f>ROUND((S83+AB83)*M249,0)</f>
        <v>49</v>
      </c>
      <c r="R251" s="2359">
        <f>ROUND((T83+AC83)*M249,0)</f>
        <v>51</v>
      </c>
      <c r="S251" s="431"/>
      <c r="T251" s="2391">
        <v>20</v>
      </c>
      <c r="U251" s="2391">
        <v>20</v>
      </c>
      <c r="V251" s="2391">
        <v>20</v>
      </c>
      <c r="W251" s="2391">
        <v>20</v>
      </c>
      <c r="X251" s="2391">
        <v>20</v>
      </c>
    </row>
    <row r="252" spans="11:24" s="1808" customFormat="1" ht="19">
      <c r="K252" s="712"/>
      <c r="L252" s="1775"/>
      <c r="M252" s="1968" t="s">
        <v>3889</v>
      </c>
      <c r="N252" s="2349">
        <v>1</v>
      </c>
      <c r="O252" s="2349">
        <v>1</v>
      </c>
      <c r="P252" s="2349">
        <v>1</v>
      </c>
      <c r="Q252" s="2349">
        <v>1</v>
      </c>
      <c r="R252" s="2349">
        <v>1</v>
      </c>
      <c r="S252" s="431"/>
      <c r="T252" s="2349">
        <v>1</v>
      </c>
      <c r="U252" s="2349">
        <v>1</v>
      </c>
      <c r="V252" s="2349">
        <v>1</v>
      </c>
      <c r="W252" s="2349">
        <v>1</v>
      </c>
      <c r="X252" s="2349">
        <v>1</v>
      </c>
    </row>
    <row r="253" spans="11:24" s="1808" customFormat="1" ht="19">
      <c r="K253" s="712"/>
      <c r="L253" s="1775"/>
      <c r="M253" s="1968"/>
      <c r="N253" s="2360">
        <f>ROUND(N251*N252,0)</f>
        <v>52</v>
      </c>
      <c r="O253" s="2360">
        <f t="shared" ref="O253:R253" si="108">ROUND(O251*O252,0)</f>
        <v>51</v>
      </c>
      <c r="P253" s="2360">
        <f t="shared" si="108"/>
        <v>51</v>
      </c>
      <c r="Q253" s="2360">
        <f t="shared" si="108"/>
        <v>49</v>
      </c>
      <c r="R253" s="2360">
        <f t="shared" si="108"/>
        <v>51</v>
      </c>
      <c r="S253" s="431"/>
      <c r="T253" s="2360">
        <f>ROUND(T251*T252,0)</f>
        <v>20</v>
      </c>
      <c r="U253" s="2360">
        <f t="shared" ref="U253:X253" si="109">ROUND(U251*U252,0)</f>
        <v>20</v>
      </c>
      <c r="V253" s="2360">
        <f t="shared" si="109"/>
        <v>20</v>
      </c>
      <c r="W253" s="2360">
        <f t="shared" si="109"/>
        <v>20</v>
      </c>
      <c r="X253" s="2360">
        <f t="shared" si="109"/>
        <v>20</v>
      </c>
    </row>
    <row r="254" spans="11:24" s="1808" customFormat="1" ht="19">
      <c r="K254" s="712"/>
      <c r="L254" s="1775"/>
      <c r="M254" s="2350" t="s">
        <v>3880</v>
      </c>
      <c r="N254" s="2361">
        <v>1</v>
      </c>
      <c r="O254" s="2361">
        <v>1</v>
      </c>
      <c r="P254" s="2361">
        <v>1</v>
      </c>
      <c r="Q254" s="2361">
        <v>0</v>
      </c>
      <c r="R254" s="2361">
        <v>0</v>
      </c>
      <c r="S254" s="431"/>
      <c r="T254" s="2361">
        <v>1</v>
      </c>
      <c r="U254" s="2361">
        <v>1</v>
      </c>
      <c r="V254" s="2361">
        <v>1</v>
      </c>
      <c r="W254" s="2361">
        <v>0</v>
      </c>
      <c r="X254" s="2361">
        <v>0</v>
      </c>
    </row>
    <row r="255" spans="11:24" s="1808" customFormat="1" ht="19">
      <c r="K255" s="712"/>
      <c r="L255" s="1775"/>
      <c r="M255" s="2350" t="s">
        <v>3906</v>
      </c>
      <c r="N255" s="2349">
        <f>1-N254</f>
        <v>0</v>
      </c>
      <c r="O255" s="2349">
        <f t="shared" ref="O255:R255" si="110">1-O254</f>
        <v>0</v>
      </c>
      <c r="P255" s="2349">
        <f t="shared" si="110"/>
        <v>0</v>
      </c>
      <c r="Q255" s="2349">
        <f t="shared" si="110"/>
        <v>1</v>
      </c>
      <c r="R255" s="2349">
        <f t="shared" si="110"/>
        <v>1</v>
      </c>
      <c r="S255" s="431"/>
      <c r="T255" s="2349">
        <f>1-T254</f>
        <v>0</v>
      </c>
      <c r="U255" s="2349">
        <f t="shared" ref="U255:X255" si="111">1-U254</f>
        <v>0</v>
      </c>
      <c r="V255" s="2349">
        <f t="shared" si="111"/>
        <v>0</v>
      </c>
      <c r="W255" s="2349">
        <f t="shared" si="111"/>
        <v>1</v>
      </c>
      <c r="X255" s="2349">
        <f t="shared" si="111"/>
        <v>1</v>
      </c>
    </row>
    <row r="256" spans="11:24" s="1808" customFormat="1" ht="19">
      <c r="K256" s="712"/>
      <c r="L256" s="1775"/>
      <c r="M256" s="2350" t="s">
        <v>3882</v>
      </c>
      <c r="N256" s="2362">
        <f>N253-(N257+N258)</f>
        <v>0</v>
      </c>
      <c r="O256" s="2362">
        <f t="shared" ref="O256:R256" si="112">O253-(O257+O258)</f>
        <v>0</v>
      </c>
      <c r="P256" s="2362">
        <f t="shared" si="112"/>
        <v>0</v>
      </c>
      <c r="Q256" s="2362">
        <f t="shared" si="112"/>
        <v>0</v>
      </c>
      <c r="R256" s="2362">
        <f t="shared" si="112"/>
        <v>0</v>
      </c>
      <c r="S256" s="431"/>
      <c r="T256" s="2362">
        <f>T253-(T257+T258)</f>
        <v>0</v>
      </c>
      <c r="U256" s="2362">
        <f t="shared" ref="U256:X256" si="113">U253-(U257+U258)</f>
        <v>0</v>
      </c>
      <c r="V256" s="2362">
        <f t="shared" si="113"/>
        <v>0</v>
      </c>
      <c r="W256" s="2362">
        <f t="shared" si="113"/>
        <v>0</v>
      </c>
      <c r="X256" s="2362">
        <f t="shared" si="113"/>
        <v>0</v>
      </c>
    </row>
    <row r="257" spans="1:24" s="1808" customFormat="1" ht="19">
      <c r="K257" s="712"/>
      <c r="L257" s="1775"/>
      <c r="M257" s="2346" t="s">
        <v>3883</v>
      </c>
      <c r="N257" s="2357">
        <f>ROUND(N254*N253,0)</f>
        <v>52</v>
      </c>
      <c r="O257" s="2357">
        <f t="shared" ref="O257:R257" si="114">ROUND(O254*O253,0)</f>
        <v>51</v>
      </c>
      <c r="P257" s="2357">
        <f t="shared" si="114"/>
        <v>51</v>
      </c>
      <c r="Q257" s="2357">
        <f t="shared" si="114"/>
        <v>0</v>
      </c>
      <c r="R257" s="2357">
        <f t="shared" si="114"/>
        <v>0</v>
      </c>
      <c r="S257" s="431"/>
      <c r="T257" s="2357">
        <f>ROUND(T254*T253,0)</f>
        <v>20</v>
      </c>
      <c r="U257" s="2357">
        <f t="shared" ref="U257:X257" si="115">ROUND(U254*U253,0)</f>
        <v>20</v>
      </c>
      <c r="V257" s="2357">
        <f t="shared" si="115"/>
        <v>20</v>
      </c>
      <c r="W257" s="2357">
        <f t="shared" si="115"/>
        <v>0</v>
      </c>
      <c r="X257" s="2357">
        <f t="shared" si="115"/>
        <v>0</v>
      </c>
    </row>
    <row r="258" spans="1:24" s="1808" customFormat="1" ht="19">
      <c r="K258" s="712"/>
      <c r="L258" s="1775"/>
      <c r="M258" s="2346" t="s">
        <v>3886</v>
      </c>
      <c r="N258" s="2347">
        <f>N253-N257</f>
        <v>0</v>
      </c>
      <c r="O258" s="2347">
        <f t="shared" ref="O258:R258" si="116">O253-O257</f>
        <v>0</v>
      </c>
      <c r="P258" s="2347">
        <f t="shared" si="116"/>
        <v>0</v>
      </c>
      <c r="Q258" s="2347">
        <f t="shared" si="116"/>
        <v>49</v>
      </c>
      <c r="R258" s="2347">
        <f t="shared" si="116"/>
        <v>51</v>
      </c>
      <c r="S258" s="431"/>
      <c r="T258" s="2347">
        <f>T253-T257</f>
        <v>0</v>
      </c>
      <c r="U258" s="2347">
        <f t="shared" ref="U258:X258" si="117">U253-U257</f>
        <v>0</v>
      </c>
      <c r="V258" s="2347">
        <f t="shared" si="117"/>
        <v>0</v>
      </c>
      <c r="W258" s="2347">
        <f t="shared" si="117"/>
        <v>20</v>
      </c>
      <c r="X258" s="2347">
        <f t="shared" si="117"/>
        <v>20</v>
      </c>
    </row>
    <row r="259" spans="1:24" s="1808" customFormat="1" ht="19">
      <c r="K259" s="712"/>
      <c r="L259" s="1775"/>
      <c r="M259" s="2351"/>
      <c r="N259" s="2351" t="str">
        <f>IF(SUM(N254:N255)=1,"","verificati % dintre surse, nu este=100%")</f>
        <v/>
      </c>
      <c r="O259" s="2351" t="str">
        <f t="shared" ref="O259:R259" si="118">IF(SUM(O254:O255)=1,"","verificati % dintre surse, nu este=100%")</f>
        <v/>
      </c>
      <c r="P259" s="2351" t="str">
        <f t="shared" si="118"/>
        <v/>
      </c>
      <c r="Q259" s="2351" t="str">
        <f t="shared" si="118"/>
        <v/>
      </c>
      <c r="R259" s="2351" t="str">
        <f t="shared" si="118"/>
        <v/>
      </c>
      <c r="S259" s="2351"/>
      <c r="T259" s="2351" t="str">
        <f t="shared" ref="T259:X259" si="119">IF(SUM(T254:T255)=1,"","verificati % dintre surse, nu este=100%")</f>
        <v/>
      </c>
      <c r="U259" s="2351" t="str">
        <f t="shared" si="119"/>
        <v/>
      </c>
      <c r="V259" s="2351" t="str">
        <f t="shared" si="119"/>
        <v/>
      </c>
      <c r="W259" s="2351" t="str">
        <f t="shared" si="119"/>
        <v/>
      </c>
      <c r="X259" s="2351" t="str">
        <f t="shared" si="119"/>
        <v/>
      </c>
    </row>
    <row r="260" spans="1:24" s="1808" customFormat="1" ht="19">
      <c r="K260" s="712"/>
      <c r="L260" s="1775"/>
      <c r="M260" s="2351"/>
      <c r="N260" s="2351"/>
      <c r="O260" s="1968"/>
      <c r="P260" s="1968"/>
      <c r="Q260" s="1968"/>
      <c r="R260" s="1968"/>
      <c r="S260" s="431"/>
      <c r="T260" s="2351"/>
      <c r="U260" s="1968"/>
      <c r="V260" s="1968"/>
      <c r="W260" s="1968"/>
      <c r="X260" s="1968"/>
    </row>
    <row r="261" spans="1:24" s="1808" customFormat="1" ht="19">
      <c r="K261" s="712"/>
      <c r="L261" s="1775"/>
      <c r="M261" s="1968" t="s">
        <v>3884</v>
      </c>
      <c r="N261" s="2356">
        <f>N257*T223</f>
        <v>166151.96</v>
      </c>
      <c r="O261" s="2356">
        <f>O257*T223</f>
        <v>162956.73000000001</v>
      </c>
      <c r="P261" s="2356">
        <f>P257*T223</f>
        <v>162956.73000000001</v>
      </c>
      <c r="Q261" s="2356">
        <f>Q257*T223</f>
        <v>0</v>
      </c>
      <c r="R261" s="2356">
        <f>R257*T223</f>
        <v>0</v>
      </c>
      <c r="S261" s="431"/>
      <c r="T261" s="2356">
        <f>T257*AC223</f>
        <v>29416.600000000002</v>
      </c>
      <c r="U261" s="2356">
        <f>U257*AC223</f>
        <v>29416.600000000002</v>
      </c>
      <c r="V261" s="2356">
        <f>V257*AC223</f>
        <v>29416.600000000002</v>
      </c>
      <c r="W261" s="2356">
        <f>W257*AC223</f>
        <v>0</v>
      </c>
      <c r="X261" s="2356">
        <f>X257*AC223</f>
        <v>0</v>
      </c>
    </row>
    <row r="262" spans="1:24" s="1808" customFormat="1" ht="19">
      <c r="K262" s="712"/>
      <c r="L262" s="1775"/>
      <c r="M262" s="1968" t="s">
        <v>3885</v>
      </c>
      <c r="N262" s="2356">
        <f>N258*T223</f>
        <v>0</v>
      </c>
      <c r="O262" s="2356">
        <f>O258*T223</f>
        <v>0</v>
      </c>
      <c r="P262" s="2356">
        <f>P258*T223</f>
        <v>0</v>
      </c>
      <c r="Q262" s="2356">
        <f>Q258*T223</f>
        <v>156566.26999999999</v>
      </c>
      <c r="R262" s="2356">
        <f>R258*T223</f>
        <v>162956.73000000001</v>
      </c>
      <c r="S262" s="431"/>
      <c r="T262" s="2356">
        <f>T258*AC224</f>
        <v>0</v>
      </c>
      <c r="U262" s="2356">
        <f>U258*AC224</f>
        <v>0</v>
      </c>
      <c r="V262" s="2356">
        <f>V258*AC224</f>
        <v>0</v>
      </c>
      <c r="W262" s="2356">
        <f>W258*AC224</f>
        <v>0</v>
      </c>
      <c r="X262" s="2356">
        <f>X258*AC224</f>
        <v>0</v>
      </c>
    </row>
    <row r="263" spans="1:24" s="1808" customFormat="1">
      <c r="K263" s="712"/>
      <c r="L263" s="1775"/>
      <c r="M263" s="1081" t="s">
        <v>3882</v>
      </c>
      <c r="N263" s="2343">
        <f>N256*T224</f>
        <v>0</v>
      </c>
      <c r="O263" s="2343">
        <f>O256*T224</f>
        <v>0</v>
      </c>
      <c r="P263" s="2343">
        <f>P256*T224</f>
        <v>0</v>
      </c>
      <c r="Q263" s="2343">
        <f>Q256*T224</f>
        <v>0</v>
      </c>
      <c r="R263" s="2343">
        <f>R256*T224</f>
        <v>0</v>
      </c>
      <c r="S263" s="431"/>
      <c r="T263" s="2343">
        <f>T256*AC224</f>
        <v>0</v>
      </c>
      <c r="U263" s="2343">
        <f>U256*AC224</f>
        <v>0</v>
      </c>
      <c r="V263" s="2343">
        <f>V256*AC224</f>
        <v>0</v>
      </c>
      <c r="W263" s="2343">
        <f>W256*AC224</f>
        <v>0</v>
      </c>
      <c r="X263" s="2343">
        <f>X256*AC224</f>
        <v>0</v>
      </c>
    </row>
    <row r="264" spans="1:24" s="1808" customFormat="1">
      <c r="K264" s="712"/>
      <c r="L264" s="1775"/>
      <c r="M264" s="431"/>
      <c r="N264" s="431"/>
      <c r="O264" s="431"/>
      <c r="P264" s="431"/>
      <c r="Q264" s="431"/>
      <c r="R264" s="431"/>
      <c r="S264" s="431"/>
    </row>
    <row r="265" spans="1:24" s="1808" customFormat="1" ht="19">
      <c r="K265" s="712"/>
      <c r="L265" s="1775"/>
      <c r="M265" s="1968" t="s">
        <v>3884</v>
      </c>
      <c r="N265" s="2356">
        <f t="shared" ref="N265:R267" si="120">N261+T261</f>
        <v>195568.56</v>
      </c>
      <c r="O265" s="2356">
        <f t="shared" si="120"/>
        <v>192373.33000000002</v>
      </c>
      <c r="P265" s="2356">
        <f t="shared" si="120"/>
        <v>192373.33000000002</v>
      </c>
      <c r="Q265" s="2356">
        <f t="shared" si="120"/>
        <v>0</v>
      </c>
      <c r="R265" s="2356">
        <f t="shared" si="120"/>
        <v>0</v>
      </c>
      <c r="S265" s="431"/>
      <c r="T265" s="2161"/>
      <c r="U265" s="1544"/>
    </row>
    <row r="266" spans="1:24" s="1808" customFormat="1" ht="19">
      <c r="K266" s="712"/>
      <c r="L266" s="1775"/>
      <c r="M266" s="1968" t="s">
        <v>3907</v>
      </c>
      <c r="N266" s="2356">
        <f t="shared" si="120"/>
        <v>0</v>
      </c>
      <c r="O266" s="2356">
        <f t="shared" si="120"/>
        <v>0</v>
      </c>
      <c r="P266" s="2356">
        <f t="shared" si="120"/>
        <v>0</v>
      </c>
      <c r="Q266" s="2356">
        <f t="shared" si="120"/>
        <v>156566.26999999999</v>
      </c>
      <c r="R266" s="2356">
        <f t="shared" si="120"/>
        <v>162956.73000000001</v>
      </c>
      <c r="S266" s="431"/>
      <c r="T266" s="2161"/>
      <c r="U266" s="1544"/>
    </row>
    <row r="267" spans="1:24" s="1808" customFormat="1">
      <c r="K267" s="712"/>
      <c r="L267" s="1775"/>
      <c r="M267" s="1081" t="s">
        <v>3882</v>
      </c>
      <c r="N267" s="2343">
        <f t="shared" si="120"/>
        <v>0</v>
      </c>
      <c r="O267" s="2343">
        <f t="shared" si="120"/>
        <v>0</v>
      </c>
      <c r="P267" s="2343">
        <f t="shared" si="120"/>
        <v>0</v>
      </c>
      <c r="Q267" s="2343">
        <f t="shared" si="120"/>
        <v>0</v>
      </c>
      <c r="R267" s="2343">
        <f t="shared" si="120"/>
        <v>0</v>
      </c>
      <c r="S267" s="431"/>
      <c r="T267" s="431"/>
      <c r="U267" s="431"/>
    </row>
    <row r="268" spans="1:24" s="1808" customFormat="1" ht="16" thickBot="1">
      <c r="K268" s="712"/>
      <c r="L268" s="1775"/>
      <c r="M268" s="431"/>
      <c r="N268" s="431"/>
      <c r="O268" s="431"/>
      <c r="P268" s="431"/>
      <c r="Q268" s="431"/>
      <c r="R268" s="431"/>
      <c r="S268" s="431"/>
      <c r="T268" s="2161"/>
      <c r="U268" s="1561"/>
    </row>
    <row r="269" spans="1:24" s="1808" customFormat="1" ht="20" thickBot="1">
      <c r="A269" s="730">
        <v>196</v>
      </c>
      <c r="B269" s="733">
        <f>N269</f>
        <v>399288.83999999997</v>
      </c>
      <c r="C269" s="733">
        <f t="shared" ref="C269:F269" si="121">O269</f>
        <v>391877.57</v>
      </c>
      <c r="D269" s="733">
        <f t="shared" si="121"/>
        <v>385553.51</v>
      </c>
      <c r="E269" s="733">
        <f t="shared" si="121"/>
        <v>0</v>
      </c>
      <c r="F269" s="733">
        <f t="shared" si="121"/>
        <v>0</v>
      </c>
      <c r="G269" s="733" t="s">
        <v>351</v>
      </c>
      <c r="H269" s="842" t="s">
        <v>3519</v>
      </c>
      <c r="I269" s="843" t="s">
        <v>3717</v>
      </c>
      <c r="J269" s="841" t="s">
        <v>2979</v>
      </c>
      <c r="K269" s="712"/>
      <c r="L269" s="1775"/>
      <c r="M269" s="1968" t="s">
        <v>3884</v>
      </c>
      <c r="N269" s="2363">
        <f>N242+N265</f>
        <v>399288.83999999997</v>
      </c>
      <c r="O269" s="2363">
        <f t="shared" ref="O269:R269" si="122">O242+O265</f>
        <v>391877.57</v>
      </c>
      <c r="P269" s="2363">
        <f t="shared" si="122"/>
        <v>385553.51</v>
      </c>
      <c r="Q269" s="2363">
        <f t="shared" si="122"/>
        <v>0</v>
      </c>
      <c r="R269" s="2363">
        <f t="shared" si="122"/>
        <v>0</v>
      </c>
      <c r="S269" s="431"/>
      <c r="T269" s="2161"/>
      <c r="U269" s="1561"/>
    </row>
    <row r="270" spans="1:24" s="1808" customFormat="1" ht="20" thickBot="1">
      <c r="K270" s="712"/>
      <c r="L270" s="1775"/>
      <c r="M270" s="1968" t="s">
        <v>3907</v>
      </c>
      <c r="N270" s="2363">
        <f t="shared" ref="N270:R271" si="123">N243+N266</f>
        <v>0</v>
      </c>
      <c r="O270" s="2363">
        <f t="shared" si="123"/>
        <v>0</v>
      </c>
      <c r="P270" s="2363">
        <f t="shared" si="123"/>
        <v>0</v>
      </c>
      <c r="Q270" s="2363">
        <f t="shared" si="123"/>
        <v>347638.43</v>
      </c>
      <c r="R270" s="2363">
        <f t="shared" si="123"/>
        <v>347704.83</v>
      </c>
      <c r="S270" s="431"/>
      <c r="T270" s="2161"/>
      <c r="U270" s="1561"/>
    </row>
    <row r="271" spans="1:24" s="1808" customFormat="1">
      <c r="K271" s="712"/>
      <c r="L271" s="1775"/>
      <c r="M271" s="1081" t="s">
        <v>3882</v>
      </c>
      <c r="N271" s="2343">
        <f t="shared" si="123"/>
        <v>0</v>
      </c>
      <c r="O271" s="2343">
        <f t="shared" si="123"/>
        <v>0</v>
      </c>
      <c r="P271" s="2343">
        <f t="shared" si="123"/>
        <v>0</v>
      </c>
      <c r="Q271" s="2343">
        <f t="shared" si="123"/>
        <v>0</v>
      </c>
      <c r="R271" s="2343">
        <f t="shared" si="123"/>
        <v>0</v>
      </c>
      <c r="S271" s="431"/>
      <c r="T271" s="2161"/>
      <c r="U271" s="1561"/>
    </row>
    <row r="272" spans="1:24" s="1808" customFormat="1">
      <c r="K272" s="712"/>
      <c r="L272" s="1775"/>
      <c r="M272" s="431"/>
      <c r="N272" s="431"/>
      <c r="O272" s="431"/>
      <c r="P272" s="431"/>
      <c r="Q272" s="431"/>
      <c r="R272" s="431"/>
      <c r="S272" s="431"/>
      <c r="T272" s="2161"/>
      <c r="U272" s="1561"/>
    </row>
    <row r="273" spans="1:42" s="1808" customFormat="1">
      <c r="K273" s="712"/>
      <c r="L273" s="1775"/>
      <c r="M273" s="431"/>
      <c r="N273" s="431"/>
      <c r="O273" s="431"/>
      <c r="P273" s="431"/>
      <c r="Q273" s="431"/>
      <c r="R273" s="431"/>
      <c r="S273" s="431"/>
      <c r="T273" s="2161"/>
      <c r="U273" s="1561"/>
    </row>
    <row r="274" spans="1:42">
      <c r="K274" s="712" t="s">
        <v>238</v>
      </c>
      <c r="AP274" s="712" t="s">
        <v>238</v>
      </c>
    </row>
    <row r="275" spans="1:42" s="1808" customFormat="1" ht="24">
      <c r="K275" s="712" t="s">
        <v>238</v>
      </c>
      <c r="L275" s="2384" t="s">
        <v>2978</v>
      </c>
      <c r="M275" s="2182"/>
      <c r="N275" s="2182"/>
      <c r="O275" s="2182"/>
      <c r="P275" s="2182"/>
      <c r="Q275" s="2182"/>
      <c r="R275" s="2182"/>
      <c r="S275" s="2182"/>
      <c r="T275" s="2182"/>
      <c r="U275" s="2182"/>
      <c r="V275" s="2182"/>
      <c r="W275" s="2182"/>
      <c r="X275" s="2182"/>
      <c r="Y275" s="2182"/>
      <c r="Z275" s="2182"/>
      <c r="AA275" s="2182"/>
      <c r="AB275" s="2182"/>
      <c r="AC275" s="2182"/>
      <c r="AD275" s="2182"/>
      <c r="AE275" s="2182"/>
      <c r="AF275" s="2182"/>
      <c r="AG275" s="2182"/>
      <c r="AH275" s="2182"/>
      <c r="AI275" s="2182"/>
      <c r="AJ275" s="2182"/>
      <c r="AK275" s="2182"/>
      <c r="AL275" s="2182"/>
      <c r="AM275" s="2182"/>
      <c r="AN275" s="2182"/>
      <c r="AO275" s="2182"/>
      <c r="AP275" s="712"/>
    </row>
    <row r="276" spans="1:42">
      <c r="A276"/>
      <c r="B276"/>
      <c r="C276"/>
      <c r="D276"/>
      <c r="E276"/>
      <c r="F276"/>
      <c r="G276"/>
      <c r="H276"/>
      <c r="I276" s="1313"/>
      <c r="J276"/>
      <c r="K276" s="712" t="s">
        <v>238</v>
      </c>
      <c r="AD276"/>
      <c r="AE276"/>
      <c r="AF276"/>
      <c r="AG276"/>
      <c r="AH276"/>
      <c r="AI276"/>
      <c r="AJ276"/>
      <c r="AK276"/>
    </row>
    <row r="277" spans="1:42">
      <c r="A277"/>
      <c r="B277"/>
      <c r="C277"/>
      <c r="D277"/>
      <c r="E277"/>
      <c r="F277"/>
      <c r="G277"/>
      <c r="H277"/>
      <c r="I277" s="1313"/>
      <c r="J277"/>
      <c r="K277" s="712" t="s">
        <v>238</v>
      </c>
      <c r="L277" s="1775" t="s">
        <v>3518</v>
      </c>
      <c r="AD277"/>
      <c r="AE277"/>
      <c r="AF277"/>
      <c r="AG277"/>
      <c r="AH277"/>
      <c r="AI277"/>
      <c r="AJ277"/>
      <c r="AK277"/>
    </row>
    <row r="278" spans="1:42" s="1808" customFormat="1">
      <c r="I278" s="1313"/>
      <c r="K278" s="712" t="s">
        <v>238</v>
      </c>
      <c r="L278" s="1775"/>
      <c r="Q278"/>
      <c r="R278"/>
      <c r="S278"/>
      <c r="T278"/>
      <c r="U278"/>
    </row>
    <row r="279" spans="1:42" ht="14.5" customHeight="1">
      <c r="A279"/>
      <c r="B279"/>
      <c r="C279"/>
      <c r="D279"/>
      <c r="E279"/>
      <c r="F279"/>
      <c r="G279"/>
      <c r="H279"/>
      <c r="I279" s="1313"/>
      <c r="J279"/>
      <c r="K279" s="712" t="s">
        <v>238</v>
      </c>
      <c r="N279" s="2485" t="s">
        <v>2828</v>
      </c>
      <c r="O279" s="2485"/>
      <c r="P279" s="2485"/>
      <c r="AD279"/>
      <c r="AE279"/>
      <c r="AF279"/>
      <c r="AG279"/>
      <c r="AH279"/>
      <c r="AI279"/>
      <c r="AJ279"/>
      <c r="AK279"/>
    </row>
    <row r="280" spans="1:42">
      <c r="A280"/>
      <c r="B280"/>
      <c r="C280"/>
      <c r="D280"/>
      <c r="E280"/>
      <c r="F280"/>
      <c r="G280"/>
      <c r="H280"/>
      <c r="I280" s="1313"/>
      <c r="J280"/>
      <c r="K280" s="712" t="s">
        <v>238</v>
      </c>
      <c r="N280" s="2486" t="s">
        <v>3071</v>
      </c>
      <c r="O280" s="2486" t="s">
        <v>3072</v>
      </c>
      <c r="P280" s="2486" t="s">
        <v>2482</v>
      </c>
      <c r="AD280"/>
      <c r="AE280"/>
      <c r="AF280"/>
      <c r="AG280"/>
      <c r="AH280"/>
      <c r="AI280"/>
      <c r="AJ280"/>
      <c r="AK280"/>
    </row>
    <row r="281" spans="1:42">
      <c r="A281"/>
      <c r="B281"/>
      <c r="C281"/>
      <c r="D281"/>
      <c r="E281"/>
      <c r="F281"/>
      <c r="G281"/>
      <c r="H281"/>
      <c r="I281" s="1313"/>
      <c r="J281"/>
      <c r="K281" s="712" t="s">
        <v>238</v>
      </c>
      <c r="N281" s="1752" t="s">
        <v>3074</v>
      </c>
      <c r="O281" s="2487">
        <v>0.5</v>
      </c>
      <c r="P281" s="1753">
        <f>ROUND(P285*O281,0)</f>
        <v>245309</v>
      </c>
      <c r="AD281"/>
      <c r="AE281"/>
      <c r="AF281"/>
      <c r="AG281"/>
      <c r="AH281"/>
      <c r="AI281"/>
      <c r="AJ281"/>
      <c r="AK281"/>
    </row>
    <row r="282" spans="1:42" ht="30">
      <c r="A282"/>
      <c r="B282"/>
      <c r="C282"/>
      <c r="D282"/>
      <c r="E282"/>
      <c r="F282"/>
      <c r="G282"/>
      <c r="H282"/>
      <c r="I282" s="1313"/>
      <c r="J282"/>
      <c r="K282" s="712" t="s">
        <v>238</v>
      </c>
      <c r="N282" s="1752" t="s">
        <v>3075</v>
      </c>
      <c r="O282" s="2487">
        <v>0.2</v>
      </c>
      <c r="P282" s="1753">
        <f>ROUND(P285*O282,0)</f>
        <v>98124</v>
      </c>
      <c r="AD282"/>
      <c r="AE282"/>
      <c r="AF282"/>
      <c r="AG282"/>
      <c r="AH282"/>
      <c r="AI282"/>
      <c r="AJ282"/>
      <c r="AK282"/>
    </row>
    <row r="283" spans="1:42" ht="30">
      <c r="A283"/>
      <c r="B283"/>
      <c r="C283"/>
      <c r="D283"/>
      <c r="E283"/>
      <c r="F283"/>
      <c r="G283"/>
      <c r="H283"/>
      <c r="I283" s="1313"/>
      <c r="J283"/>
      <c r="K283" s="712" t="s">
        <v>238</v>
      </c>
      <c r="N283" s="1754" t="s">
        <v>3076</v>
      </c>
      <c r="O283" s="2487">
        <v>0.2</v>
      </c>
      <c r="P283" s="1753">
        <f>ROUND(P285*O283,0)</f>
        <v>98124</v>
      </c>
      <c r="AD283"/>
      <c r="AE283"/>
      <c r="AF283"/>
      <c r="AG283"/>
      <c r="AH283"/>
      <c r="AI283"/>
      <c r="AJ283"/>
      <c r="AK283"/>
    </row>
    <row r="284" spans="1:42">
      <c r="A284"/>
      <c r="B284"/>
      <c r="C284"/>
      <c r="D284"/>
      <c r="E284"/>
      <c r="F284"/>
      <c r="G284"/>
      <c r="H284"/>
      <c r="I284" s="1313"/>
      <c r="J284"/>
      <c r="K284" s="712" t="s">
        <v>238</v>
      </c>
      <c r="N284" s="1752" t="s">
        <v>3077</v>
      </c>
      <c r="O284" s="2487">
        <v>0.1</v>
      </c>
      <c r="P284" s="1753">
        <f>P285-P281-P282-P283</f>
        <v>49060.575000000012</v>
      </c>
      <c r="AD284"/>
      <c r="AE284"/>
      <c r="AF284"/>
      <c r="AG284"/>
      <c r="AH284"/>
      <c r="AI284"/>
      <c r="AJ284"/>
      <c r="AK284"/>
    </row>
    <row r="285" spans="1:42">
      <c r="A285"/>
      <c r="B285"/>
      <c r="C285"/>
      <c r="D285"/>
      <c r="E285"/>
      <c r="F285"/>
      <c r="G285"/>
      <c r="H285"/>
      <c r="I285" s="1313"/>
      <c r="J285"/>
      <c r="K285" s="712" t="s">
        <v>238</v>
      </c>
      <c r="N285" s="2488" t="s">
        <v>3078</v>
      </c>
      <c r="O285" s="2489"/>
      <c r="P285" s="2489">
        <f>O288*EUR</f>
        <v>490617.57500000001</v>
      </c>
      <c r="Q285" s="1808"/>
      <c r="R285" s="1808"/>
      <c r="S285" s="1808"/>
      <c r="T285" s="1808"/>
      <c r="U285" s="1808"/>
      <c r="AD285"/>
      <c r="AE285"/>
      <c r="AF285"/>
      <c r="AG285"/>
      <c r="AH285"/>
      <c r="AI285"/>
      <c r="AJ285"/>
      <c r="AK285"/>
    </row>
    <row r="286" spans="1:42" s="1808" customFormat="1" ht="16" thickBot="1">
      <c r="I286" s="1313"/>
      <c r="K286" s="712" t="s">
        <v>238</v>
      </c>
      <c r="N286"/>
      <c r="O286"/>
      <c r="P286"/>
      <c r="Q286"/>
      <c r="R286"/>
      <c r="S286"/>
    </row>
    <row r="287" spans="1:42" s="1808" customFormat="1" ht="16" thickBot="1">
      <c r="I287" s="1313"/>
      <c r="K287" s="712" t="s">
        <v>238</v>
      </c>
      <c r="N287"/>
      <c r="O287" t="s">
        <v>3545</v>
      </c>
      <c r="P287" s="960"/>
      <c r="Q287" s="1500">
        <v>2021</v>
      </c>
      <c r="R287" s="1762">
        <v>2022</v>
      </c>
      <c r="S287" s="1762">
        <v>2023</v>
      </c>
      <c r="T287" s="1762">
        <v>2024</v>
      </c>
      <c r="U287" s="1763">
        <v>2025</v>
      </c>
    </row>
    <row r="288" spans="1:42" s="1808" customFormat="1" ht="16" thickBot="1">
      <c r="I288" s="1313"/>
      <c r="K288" s="712" t="s">
        <v>238</v>
      </c>
      <c r="N288"/>
      <c r="O288" s="946">
        <v>25000</v>
      </c>
      <c r="P288" s="946" t="s">
        <v>3114</v>
      </c>
      <c r="Q288" s="1971">
        <v>0</v>
      </c>
      <c r="R288" s="1971">
        <v>1</v>
      </c>
      <c r="S288" s="1039">
        <v>1</v>
      </c>
      <c r="T288" s="1713">
        <v>0</v>
      </c>
      <c r="U288" s="1765">
        <v>0</v>
      </c>
    </row>
    <row r="289" spans="1:42" s="1808" customFormat="1" ht="16" thickBot="1">
      <c r="A289" s="730">
        <v>195</v>
      </c>
      <c r="B289" s="733">
        <f>Q289</f>
        <v>0</v>
      </c>
      <c r="C289" s="733">
        <f>R289</f>
        <v>490618</v>
      </c>
      <c r="D289" s="733">
        <f>S289</f>
        <v>490618</v>
      </c>
      <c r="E289" s="733">
        <f>T289</f>
        <v>0</v>
      </c>
      <c r="F289" s="733">
        <f>U289</f>
        <v>0</v>
      </c>
      <c r="G289" s="733" t="s">
        <v>351</v>
      </c>
      <c r="H289" s="842" t="s">
        <v>3518</v>
      </c>
      <c r="I289" s="2188" t="s">
        <v>3717</v>
      </c>
      <c r="J289" s="841" t="s">
        <v>2978</v>
      </c>
      <c r="K289" s="712" t="s">
        <v>238</v>
      </c>
      <c r="N289" s="1710" t="s">
        <v>3044</v>
      </c>
      <c r="O289" s="1732"/>
      <c r="P289" s="1708"/>
      <c r="Q289" s="1495">
        <f>ROUND((O288*EUR),0)*Q288</f>
        <v>0</v>
      </c>
      <c r="R289" s="1495">
        <f>ROUND((O288*EUR),0)*R288</f>
        <v>490618</v>
      </c>
      <c r="S289" s="1495">
        <f>ROUND((O288*EUR),0)*S288</f>
        <v>490618</v>
      </c>
      <c r="T289" s="1495">
        <f>ROUND((O288*EUR),0)*T288</f>
        <v>0</v>
      </c>
      <c r="U289" s="1495">
        <f>ROUND((O288*EUR),0)*U288</f>
        <v>0</v>
      </c>
    </row>
    <row r="290" spans="1:42" s="1808" customFormat="1">
      <c r="I290" s="1313"/>
      <c r="K290" s="712" t="s">
        <v>238</v>
      </c>
      <c r="N290"/>
      <c r="O290"/>
      <c r="P290"/>
      <c r="Q290"/>
      <c r="R290"/>
      <c r="S290"/>
    </row>
    <row r="291" spans="1:42">
      <c r="K291" s="712" t="s">
        <v>238</v>
      </c>
      <c r="AD291"/>
      <c r="AE291"/>
      <c r="AF291"/>
      <c r="AG291"/>
      <c r="AH291"/>
      <c r="AI291"/>
      <c r="AJ291"/>
      <c r="AK291"/>
    </row>
    <row r="292" spans="1:42" s="1808" customFormat="1" ht="24">
      <c r="K292" s="712" t="s">
        <v>238</v>
      </c>
      <c r="L292" s="2384" t="s">
        <v>3931</v>
      </c>
      <c r="M292" s="2182"/>
      <c r="N292" s="2182"/>
      <c r="O292" s="2182"/>
      <c r="P292" s="2182"/>
      <c r="Q292" s="2182"/>
      <c r="R292" s="2182"/>
      <c r="S292" s="2182"/>
      <c r="T292" s="2182"/>
      <c r="U292" s="2182"/>
      <c r="V292" s="2182"/>
      <c r="W292" s="2182"/>
      <c r="X292" s="2182"/>
      <c r="Y292" s="2182"/>
      <c r="Z292" s="2182"/>
      <c r="AA292" s="2182"/>
      <c r="AB292" s="2182"/>
      <c r="AC292" s="2182"/>
      <c r="AD292" s="2182"/>
      <c r="AE292" s="2182"/>
      <c r="AF292" s="2182"/>
      <c r="AG292" s="2182"/>
      <c r="AH292" s="2182"/>
      <c r="AI292" s="2182"/>
      <c r="AJ292" s="2182"/>
      <c r="AK292" s="2182"/>
      <c r="AL292" s="2182"/>
      <c r="AM292" s="2182"/>
      <c r="AN292" s="2182"/>
      <c r="AO292" s="2182"/>
      <c r="AP292" s="712" t="s">
        <v>238</v>
      </c>
    </row>
    <row r="293" spans="1:42">
      <c r="K293" s="712" t="s">
        <v>238</v>
      </c>
      <c r="AP293" s="712" t="s">
        <v>238</v>
      </c>
    </row>
    <row r="294" spans="1:42">
      <c r="K294" s="712" t="s">
        <v>238</v>
      </c>
      <c r="AP294" s="712" t="s">
        <v>238</v>
      </c>
    </row>
    <row r="295" spans="1:42" ht="21.5" customHeight="1" thickBot="1">
      <c r="K295" s="712" t="s">
        <v>238</v>
      </c>
      <c r="N295" s="1808"/>
      <c r="O295" s="1808"/>
      <c r="P295" s="1808"/>
      <c r="Q295" s="1808"/>
      <c r="R295" s="1808" t="s">
        <v>447</v>
      </c>
      <c r="S295" s="414"/>
      <c r="AP295" s="712" t="s">
        <v>238</v>
      </c>
    </row>
    <row r="296" spans="1:42" ht="49" thickBot="1">
      <c r="K296" s="712" t="s">
        <v>238</v>
      </c>
      <c r="N296" s="2690" t="s">
        <v>3909</v>
      </c>
      <c r="O296" s="2691"/>
      <c r="P296" s="2691"/>
      <c r="Q296" s="2691"/>
      <c r="R296" s="2692"/>
      <c r="S296" s="2393" t="s">
        <v>3910</v>
      </c>
      <c r="AP296" s="712" t="s">
        <v>238</v>
      </c>
    </row>
    <row r="297" spans="1:42" ht="14.5" customHeight="1">
      <c r="K297" s="712" t="s">
        <v>238</v>
      </c>
      <c r="N297" s="2394"/>
      <c r="O297" s="2395"/>
      <c r="P297" s="2395"/>
      <c r="Q297" s="2395"/>
      <c r="R297" s="2396"/>
      <c r="S297" s="414"/>
      <c r="AP297" s="712" t="s">
        <v>238</v>
      </c>
    </row>
    <row r="298" spans="1:42">
      <c r="K298" s="712" t="s">
        <v>238</v>
      </c>
      <c r="N298" s="2693" t="s">
        <v>3911</v>
      </c>
      <c r="O298" s="2694"/>
      <c r="P298" s="2694"/>
      <c r="Q298" s="2694"/>
      <c r="R298" s="2695"/>
      <c r="S298" s="414"/>
      <c r="AP298" s="712" t="s">
        <v>238</v>
      </c>
    </row>
    <row r="299" spans="1:42">
      <c r="K299" s="712" t="s">
        <v>238</v>
      </c>
      <c r="N299" s="2397" t="s">
        <v>3912</v>
      </c>
      <c r="O299" s="2398">
        <v>2</v>
      </c>
      <c r="P299" s="2398">
        <v>1000</v>
      </c>
      <c r="Q299" s="2398">
        <v>12</v>
      </c>
      <c r="R299" s="2399">
        <f>O299*P299*Q299</f>
        <v>24000</v>
      </c>
      <c r="S299" s="414"/>
      <c r="AP299" s="712" t="s">
        <v>238</v>
      </c>
    </row>
    <row r="300" spans="1:42">
      <c r="K300" s="712" t="s">
        <v>238</v>
      </c>
      <c r="N300" s="2400" t="s">
        <v>2483</v>
      </c>
      <c r="O300" s="2401"/>
      <c r="P300" s="2401">
        <f>P299</f>
        <v>1000</v>
      </c>
      <c r="Q300" s="2401"/>
      <c r="R300" s="2402">
        <f>R299</f>
        <v>24000</v>
      </c>
      <c r="S300" s="414"/>
      <c r="AP300" s="712" t="s">
        <v>238</v>
      </c>
    </row>
    <row r="301" spans="1:42" ht="14.5" customHeight="1">
      <c r="K301" s="712" t="s">
        <v>238</v>
      </c>
      <c r="N301" s="2400"/>
      <c r="O301" s="2401"/>
      <c r="P301" s="2401"/>
      <c r="Q301" s="2401"/>
      <c r="R301" s="2402"/>
      <c r="S301" s="414"/>
      <c r="AP301" s="712" t="s">
        <v>238</v>
      </c>
    </row>
    <row r="302" spans="1:42">
      <c r="K302" s="712" t="s">
        <v>238</v>
      </c>
      <c r="N302" s="2693" t="s">
        <v>3913</v>
      </c>
      <c r="O302" s="2694"/>
      <c r="P302" s="2694"/>
      <c r="Q302" s="2694"/>
      <c r="R302" s="2695"/>
      <c r="S302" s="414"/>
      <c r="AP302" s="712" t="s">
        <v>238</v>
      </c>
    </row>
    <row r="303" spans="1:42" ht="45">
      <c r="K303" s="712" t="s">
        <v>238</v>
      </c>
      <c r="N303" s="2403" t="s">
        <v>3914</v>
      </c>
      <c r="O303" s="2404">
        <v>1</v>
      </c>
      <c r="P303" s="2404">
        <v>500</v>
      </c>
      <c r="Q303" s="2404">
        <v>12</v>
      </c>
      <c r="R303" s="2405">
        <v>6000</v>
      </c>
      <c r="S303" s="2214"/>
      <c r="AP303" s="712" t="s">
        <v>238</v>
      </c>
    </row>
    <row r="304" spans="1:42">
      <c r="K304" s="712" t="s">
        <v>238</v>
      </c>
      <c r="N304" s="2406" t="s">
        <v>3915</v>
      </c>
      <c r="O304" s="2404">
        <v>1</v>
      </c>
      <c r="P304" s="2407">
        <v>300</v>
      </c>
      <c r="Q304" s="2404">
        <v>12</v>
      </c>
      <c r="R304" s="2405">
        <v>3600</v>
      </c>
      <c r="S304" s="2214"/>
      <c r="AP304" s="712" t="s">
        <v>238</v>
      </c>
    </row>
    <row r="305" spans="11:42">
      <c r="K305" s="712" t="s">
        <v>238</v>
      </c>
      <c r="N305" s="2406" t="s">
        <v>3916</v>
      </c>
      <c r="O305" s="2404">
        <v>1</v>
      </c>
      <c r="P305" s="2404">
        <v>150</v>
      </c>
      <c r="Q305" s="2404">
        <v>12</v>
      </c>
      <c r="R305" s="2405">
        <v>1800</v>
      </c>
      <c r="S305" s="2214"/>
      <c r="AP305" s="712" t="s">
        <v>238</v>
      </c>
    </row>
    <row r="306" spans="11:42">
      <c r="K306" s="712" t="s">
        <v>238</v>
      </c>
      <c r="N306" s="2406" t="s">
        <v>3917</v>
      </c>
      <c r="O306" s="2404">
        <v>1</v>
      </c>
      <c r="P306" s="2404">
        <v>30</v>
      </c>
      <c r="Q306" s="2404">
        <v>12</v>
      </c>
      <c r="R306" s="2405">
        <v>360</v>
      </c>
      <c r="S306" s="2214"/>
      <c r="AP306" s="712" t="s">
        <v>238</v>
      </c>
    </row>
    <row r="307" spans="11:42">
      <c r="K307" s="712" t="s">
        <v>238</v>
      </c>
      <c r="N307" s="2406" t="s">
        <v>3918</v>
      </c>
      <c r="O307" s="2404">
        <v>1</v>
      </c>
      <c r="P307" s="2404">
        <v>130</v>
      </c>
      <c r="Q307" s="2404">
        <v>12</v>
      </c>
      <c r="R307" s="2405">
        <v>1560</v>
      </c>
      <c r="S307" s="2214"/>
      <c r="AP307" s="712" t="s">
        <v>238</v>
      </c>
    </row>
    <row r="308" spans="11:42">
      <c r="K308" s="712" t="s">
        <v>238</v>
      </c>
      <c r="N308" s="2406" t="s">
        <v>3919</v>
      </c>
      <c r="O308" s="2404">
        <v>1</v>
      </c>
      <c r="P308" s="2404">
        <v>20</v>
      </c>
      <c r="Q308" s="2404">
        <v>12</v>
      </c>
      <c r="R308" s="2405">
        <v>240</v>
      </c>
      <c r="S308" s="2214"/>
      <c r="AP308" s="712" t="s">
        <v>238</v>
      </c>
    </row>
    <row r="309" spans="11:42" ht="32">
      <c r="K309" s="712" t="s">
        <v>238</v>
      </c>
      <c r="N309" s="2408" t="s">
        <v>3920</v>
      </c>
      <c r="O309" s="2409"/>
      <c r="P309" s="2409">
        <v>1336</v>
      </c>
      <c r="Q309" s="2409"/>
      <c r="R309" s="2490">
        <v>0</v>
      </c>
      <c r="S309" s="2393" t="s">
        <v>3992</v>
      </c>
      <c r="AP309" s="712" t="s">
        <v>238</v>
      </c>
    </row>
    <row r="310" spans="11:42" ht="14.5" customHeight="1">
      <c r="K310" s="712" t="s">
        <v>238</v>
      </c>
      <c r="N310" s="2410"/>
      <c r="O310" s="2411"/>
      <c r="P310" s="2411"/>
      <c r="Q310" s="2411"/>
      <c r="R310" s="2412"/>
      <c r="S310" s="414"/>
      <c r="AP310" s="712" t="s">
        <v>238</v>
      </c>
    </row>
    <row r="311" spans="11:42">
      <c r="K311" s="712" t="s">
        <v>238</v>
      </c>
      <c r="N311" s="2696" t="s">
        <v>3909</v>
      </c>
      <c r="O311" s="2697"/>
      <c r="P311" s="2697"/>
      <c r="Q311" s="2697"/>
      <c r="R311" s="2698"/>
      <c r="S311" s="414"/>
      <c r="AP311" s="712" t="s">
        <v>238</v>
      </c>
    </row>
    <row r="312" spans="11:42">
      <c r="K312" s="712" t="s">
        <v>238</v>
      </c>
      <c r="N312" s="2413"/>
      <c r="O312" s="2401"/>
      <c r="P312" s="2401"/>
      <c r="Q312" s="2401"/>
      <c r="R312" s="2402"/>
      <c r="S312" s="414"/>
      <c r="AP312" s="712" t="s">
        <v>238</v>
      </c>
    </row>
    <row r="313" spans="11:42">
      <c r="K313" s="712" t="s">
        <v>238</v>
      </c>
      <c r="N313" s="2693" t="s">
        <v>3921</v>
      </c>
      <c r="O313" s="2694"/>
      <c r="P313" s="2694"/>
      <c r="Q313" s="2694"/>
      <c r="R313" s="2695"/>
      <c r="S313" s="414"/>
      <c r="AP313" s="712" t="s">
        <v>238</v>
      </c>
    </row>
    <row r="314" spans="11:42">
      <c r="K314" s="712" t="s">
        <v>238</v>
      </c>
      <c r="N314" s="2414" t="s">
        <v>3922</v>
      </c>
      <c r="O314" s="2398">
        <v>9</v>
      </c>
      <c r="P314" s="2398">
        <v>2000</v>
      </c>
      <c r="Q314" s="2398"/>
      <c r="R314" s="2399">
        <f>O314*P314</f>
        <v>18000</v>
      </c>
      <c r="S314" s="414"/>
      <c r="AP314" s="712" t="s">
        <v>238</v>
      </c>
    </row>
    <row r="315" spans="11:42">
      <c r="K315" s="712" t="s">
        <v>238</v>
      </c>
      <c r="N315" s="2400" t="s">
        <v>2483</v>
      </c>
      <c r="O315" s="2401"/>
      <c r="P315" s="2401"/>
      <c r="Q315" s="2401"/>
      <c r="R315" s="2402">
        <f>R314</f>
        <v>18000</v>
      </c>
      <c r="S315" s="414"/>
      <c r="AP315" s="712" t="s">
        <v>238</v>
      </c>
    </row>
    <row r="316" spans="11:42" ht="14.5" customHeight="1">
      <c r="K316" s="712" t="s">
        <v>238</v>
      </c>
      <c r="N316" s="2400"/>
      <c r="O316" s="2401"/>
      <c r="P316" s="2401"/>
      <c r="Q316" s="2401"/>
      <c r="R316" s="2402"/>
      <c r="S316" s="414"/>
      <c r="AP316" s="712" t="s">
        <v>238</v>
      </c>
    </row>
    <row r="317" spans="11:42">
      <c r="K317" s="712" t="s">
        <v>238</v>
      </c>
      <c r="N317" s="2693" t="s">
        <v>3923</v>
      </c>
      <c r="O317" s="2694"/>
      <c r="P317" s="2694"/>
      <c r="Q317" s="2694"/>
      <c r="R317" s="2695"/>
      <c r="S317" s="414"/>
      <c r="AP317" s="712" t="s">
        <v>238</v>
      </c>
    </row>
    <row r="318" spans="11:42">
      <c r="K318" s="712" t="s">
        <v>238</v>
      </c>
      <c r="N318" s="2414" t="s">
        <v>3924</v>
      </c>
      <c r="O318" s="2398">
        <v>100</v>
      </c>
      <c r="P318" s="2415">
        <v>20</v>
      </c>
      <c r="Q318" s="2398"/>
      <c r="R318" s="2399">
        <f>O318*P318</f>
        <v>2000</v>
      </c>
      <c r="S318" s="414"/>
      <c r="AP318" s="712" t="s">
        <v>238</v>
      </c>
    </row>
    <row r="319" spans="11:42" ht="16" thickBot="1">
      <c r="K319" s="712" t="s">
        <v>238</v>
      </c>
      <c r="N319" s="2416" t="s">
        <v>2483</v>
      </c>
      <c r="O319" s="2417"/>
      <c r="P319" s="2417"/>
      <c r="Q319" s="2417"/>
      <c r="R319" s="2418">
        <f>R318</f>
        <v>2000</v>
      </c>
      <c r="S319" s="414"/>
      <c r="AP319" s="712" t="s">
        <v>238</v>
      </c>
    </row>
    <row r="320" spans="11:42" ht="20" thickBot="1">
      <c r="K320" s="712" t="s">
        <v>238</v>
      </c>
      <c r="N320" s="2344"/>
      <c r="O320" s="2344"/>
      <c r="P320" s="2344"/>
      <c r="Q320" s="2344"/>
      <c r="R320" s="2419">
        <f>R300+R309+R315+R319</f>
        <v>44000</v>
      </c>
      <c r="S320" s="2420"/>
      <c r="AP320" s="712" t="s">
        <v>238</v>
      </c>
    </row>
    <row r="321" spans="1:42" ht="16" thickBot="1">
      <c r="K321" s="712" t="s">
        <v>238</v>
      </c>
      <c r="N321" s="1808"/>
      <c r="O321" s="1808"/>
      <c r="P321" s="960"/>
      <c r="Q321" s="1500">
        <v>2021</v>
      </c>
      <c r="R321" s="1762">
        <v>2022</v>
      </c>
      <c r="S321" s="1762">
        <v>2023</v>
      </c>
      <c r="T321" s="1762">
        <v>2024</v>
      </c>
      <c r="U321" s="1763">
        <v>2025</v>
      </c>
      <c r="AP321" s="712" t="s">
        <v>238</v>
      </c>
    </row>
    <row r="322" spans="1:42" s="1808" customFormat="1" ht="16" thickBot="1">
      <c r="A322" s="960"/>
      <c r="B322" s="960"/>
      <c r="C322" s="960"/>
      <c r="D322" s="960"/>
      <c r="E322" s="960"/>
      <c r="F322" s="960"/>
      <c r="G322" s="960"/>
      <c r="H322" s="960"/>
      <c r="I322" s="960"/>
      <c r="J322" s="960"/>
      <c r="K322" s="712"/>
      <c r="O322" s="2432">
        <f>R320</f>
        <v>44000</v>
      </c>
      <c r="P322" s="946" t="s">
        <v>3114</v>
      </c>
      <c r="Q322" s="2433">
        <v>1</v>
      </c>
      <c r="R322" s="2433">
        <v>1</v>
      </c>
      <c r="S322" s="1395">
        <v>1</v>
      </c>
      <c r="T322" s="1713">
        <v>0</v>
      </c>
      <c r="U322" s="1765">
        <v>0</v>
      </c>
      <c r="AP322" s="712"/>
    </row>
    <row r="323" spans="1:42" s="1808" customFormat="1" ht="16" thickBot="1">
      <c r="A323" s="730">
        <v>145</v>
      </c>
      <c r="B323" s="733">
        <f>Q323</f>
        <v>863487</v>
      </c>
      <c r="C323" s="733">
        <f>R323</f>
        <v>863487</v>
      </c>
      <c r="D323" s="733">
        <f>S323</f>
        <v>863487</v>
      </c>
      <c r="E323" s="733">
        <f>T323</f>
        <v>0</v>
      </c>
      <c r="F323" s="733">
        <f>U323</f>
        <v>0</v>
      </c>
      <c r="G323" s="733" t="s">
        <v>351</v>
      </c>
      <c r="H323" s="842" t="s">
        <v>3931</v>
      </c>
      <c r="I323" s="2188" t="s">
        <v>3717</v>
      </c>
      <c r="J323" s="841" t="s">
        <v>2978</v>
      </c>
      <c r="K323" s="712"/>
      <c r="N323" s="1710" t="s">
        <v>3044</v>
      </c>
      <c r="O323" s="1732"/>
      <c r="P323" s="1708"/>
      <c r="Q323" s="1884">
        <f>ROUND((O322*EUR),0)*Q322</f>
        <v>863487</v>
      </c>
      <c r="R323" s="1884">
        <f>ROUND((O322*EUR),0)*R322</f>
        <v>863487</v>
      </c>
      <c r="S323" s="1884">
        <f>ROUND((O322*EUR),0)*S322</f>
        <v>863487</v>
      </c>
      <c r="T323" s="1884">
        <f>ROUND((O322*EUR),0)*T322</f>
        <v>0</v>
      </c>
      <c r="U323" s="1884">
        <f>ROUND((O322*EUR),0)*U322</f>
        <v>0</v>
      </c>
      <c r="AP323" s="712"/>
    </row>
    <row r="324" spans="1:42" s="1808" customFormat="1">
      <c r="A324" s="960"/>
      <c r="B324" s="960"/>
      <c r="C324" s="960"/>
      <c r="D324" s="960"/>
      <c r="E324" s="960"/>
      <c r="F324" s="960"/>
      <c r="G324" s="960"/>
      <c r="H324" s="960"/>
      <c r="I324" s="960"/>
      <c r="J324" s="960"/>
      <c r="K324" s="712"/>
      <c r="R324" s="2421"/>
      <c r="S324" s="414"/>
      <c r="AP324" s="712"/>
    </row>
    <row r="325" spans="1:42" s="1808" customFormat="1">
      <c r="A325" s="960"/>
      <c r="B325" s="960"/>
      <c r="C325" s="960"/>
      <c r="D325" s="960"/>
      <c r="E325" s="960"/>
      <c r="F325" s="960"/>
      <c r="G325" s="960"/>
      <c r="H325" s="960"/>
      <c r="I325" s="960"/>
      <c r="J325" s="960"/>
      <c r="K325" s="712"/>
      <c r="R325" s="2421"/>
      <c r="S325" s="414"/>
      <c r="AP325" s="712"/>
    </row>
    <row r="326" spans="1:42" s="1808" customFormat="1" ht="24">
      <c r="K326" s="712" t="s">
        <v>238</v>
      </c>
      <c r="L326" s="2384" t="s">
        <v>3930</v>
      </c>
      <c r="M326" s="2182"/>
      <c r="N326" s="2182"/>
      <c r="O326" s="2182"/>
      <c r="P326" s="2182"/>
      <c r="Q326" s="2182"/>
      <c r="R326" s="2182"/>
      <c r="S326" s="2182"/>
      <c r="T326" s="2182"/>
      <c r="U326" s="2182"/>
      <c r="V326" s="2182"/>
      <c r="W326" s="2182"/>
      <c r="X326" s="2182"/>
      <c r="Y326" s="2182"/>
      <c r="Z326" s="2182"/>
      <c r="AA326" s="2182"/>
      <c r="AB326" s="2182"/>
      <c r="AC326" s="2182"/>
      <c r="AD326" s="2182"/>
      <c r="AE326" s="2182"/>
      <c r="AF326" s="2182"/>
      <c r="AG326" s="2182"/>
      <c r="AH326" s="2182"/>
      <c r="AI326" s="2182"/>
      <c r="AJ326" s="2182"/>
      <c r="AK326" s="2182"/>
      <c r="AL326" s="2182"/>
      <c r="AM326" s="2182"/>
      <c r="AN326" s="2182"/>
      <c r="AO326" s="2182"/>
      <c r="AP326" s="712" t="s">
        <v>238</v>
      </c>
    </row>
    <row r="327" spans="1:42" ht="21.5" customHeight="1" thickBot="1">
      <c r="K327" s="712" t="s">
        <v>238</v>
      </c>
      <c r="N327" s="1808"/>
      <c r="O327" s="1808"/>
      <c r="P327" s="1808"/>
      <c r="Q327" s="1808"/>
      <c r="R327" s="2421"/>
      <c r="S327" s="414"/>
      <c r="AP327" s="712" t="s">
        <v>238</v>
      </c>
    </row>
    <row r="328" spans="1:42" ht="22" thickBot="1">
      <c r="K328" s="712" t="s">
        <v>238</v>
      </c>
      <c r="N328" s="2687" t="s">
        <v>3925</v>
      </c>
      <c r="O328" s="2688"/>
      <c r="P328" s="2688"/>
      <c r="Q328" s="2688"/>
      <c r="R328" s="2689"/>
      <c r="S328" s="414"/>
      <c r="AP328" s="712" t="s">
        <v>238</v>
      </c>
    </row>
    <row r="329" spans="1:42">
      <c r="K329" s="712" t="s">
        <v>238</v>
      </c>
      <c r="N329" s="2422" t="s">
        <v>3926</v>
      </c>
      <c r="O329" s="2423">
        <v>0.6</v>
      </c>
      <c r="P329" s="2423">
        <v>7200</v>
      </c>
      <c r="Q329" s="2423">
        <v>1</v>
      </c>
      <c r="R329" s="2424">
        <v>7200</v>
      </c>
      <c r="S329" s="414"/>
      <c r="AP329" s="712" t="s">
        <v>238</v>
      </c>
    </row>
    <row r="330" spans="1:42">
      <c r="K330" s="712" t="s">
        <v>238</v>
      </c>
      <c r="N330" s="2425" t="s">
        <v>3927</v>
      </c>
      <c r="O330" s="2426">
        <v>0.2</v>
      </c>
      <c r="P330" s="2426">
        <v>1200</v>
      </c>
      <c r="Q330" s="2426">
        <v>1</v>
      </c>
      <c r="R330" s="2427">
        <v>1200</v>
      </c>
      <c r="S330" s="414"/>
      <c r="AP330" s="712" t="s">
        <v>238</v>
      </c>
    </row>
    <row r="331" spans="1:42">
      <c r="K331" s="712" t="s">
        <v>238</v>
      </c>
      <c r="N331" s="2425" t="s">
        <v>3928</v>
      </c>
      <c r="O331" s="2426">
        <v>0.2</v>
      </c>
      <c r="P331" s="2426">
        <v>2400</v>
      </c>
      <c r="Q331" s="2426">
        <v>1</v>
      </c>
      <c r="R331" s="2427">
        <v>2400</v>
      </c>
      <c r="S331" s="414"/>
      <c r="AP331" s="712" t="s">
        <v>238</v>
      </c>
    </row>
    <row r="332" spans="1:42" ht="16" thickBot="1">
      <c r="K332" s="712" t="s">
        <v>238</v>
      </c>
      <c r="N332" s="2428" t="s">
        <v>3376</v>
      </c>
      <c r="O332" s="2429"/>
      <c r="P332" s="2429"/>
      <c r="Q332" s="2429"/>
      <c r="R332" s="2430">
        <f>SUM(R329:R331)</f>
        <v>10800</v>
      </c>
      <c r="S332" s="414"/>
      <c r="AP332" s="712" t="s">
        <v>238</v>
      </c>
    </row>
    <row r="333" spans="1:42" ht="20">
      <c r="K333" s="712" t="s">
        <v>238</v>
      </c>
      <c r="N333" s="2431" t="s">
        <v>3929</v>
      </c>
      <c r="O333" s="2344">
        <v>1</v>
      </c>
      <c r="P333" s="2344"/>
      <c r="Q333" s="2344" t="s">
        <v>447</v>
      </c>
      <c r="R333" s="2419">
        <f>O333*R332</f>
        <v>10800</v>
      </c>
      <c r="S333" s="2420"/>
      <c r="AP333" s="712" t="s">
        <v>238</v>
      </c>
    </row>
    <row r="334" spans="1:42" ht="16" thickBot="1">
      <c r="K334" s="712" t="s">
        <v>238</v>
      </c>
      <c r="AP334" s="712" t="s">
        <v>238</v>
      </c>
    </row>
    <row r="335" spans="1:42" ht="16" thickBot="1">
      <c r="K335" s="712" t="s">
        <v>238</v>
      </c>
      <c r="N335" s="1808"/>
      <c r="O335" s="1808"/>
      <c r="P335" s="960"/>
      <c r="Q335" s="1500">
        <v>2021</v>
      </c>
      <c r="R335" s="1762">
        <v>2022</v>
      </c>
      <c r="S335" s="1762">
        <v>2023</v>
      </c>
      <c r="T335" s="1762">
        <v>2024</v>
      </c>
      <c r="U335" s="1763">
        <v>2025</v>
      </c>
      <c r="AP335" s="712" t="s">
        <v>238</v>
      </c>
    </row>
    <row r="336" spans="1:42" ht="16" thickBot="1">
      <c r="K336" s="712" t="s">
        <v>238</v>
      </c>
      <c r="N336" s="1808"/>
      <c r="O336" s="2432">
        <f>R333</f>
        <v>10800</v>
      </c>
      <c r="P336" s="946" t="s">
        <v>3114</v>
      </c>
      <c r="Q336" s="2433">
        <v>0</v>
      </c>
      <c r="R336" s="2433">
        <v>0</v>
      </c>
      <c r="S336" s="2433">
        <v>0</v>
      </c>
      <c r="T336" s="1713">
        <v>0</v>
      </c>
      <c r="U336" s="1765">
        <v>0</v>
      </c>
      <c r="AP336" s="712" t="s">
        <v>238</v>
      </c>
    </row>
    <row r="337" spans="1:42" ht="16" thickBot="1">
      <c r="A337" s="730">
        <v>146</v>
      </c>
      <c r="B337" s="733">
        <f>Q337</f>
        <v>0</v>
      </c>
      <c r="C337" s="733">
        <f>R337</f>
        <v>0</v>
      </c>
      <c r="D337" s="733">
        <f>S337</f>
        <v>0</v>
      </c>
      <c r="E337" s="733">
        <f>T337</f>
        <v>0</v>
      </c>
      <c r="F337" s="733">
        <f>U337</f>
        <v>0</v>
      </c>
      <c r="G337" s="733" t="s">
        <v>351</v>
      </c>
      <c r="H337" s="842" t="s">
        <v>3930</v>
      </c>
      <c r="I337" s="2188" t="s">
        <v>3717</v>
      </c>
      <c r="J337" s="841" t="s">
        <v>2978</v>
      </c>
      <c r="K337" s="712" t="s">
        <v>238</v>
      </c>
      <c r="N337" s="1710" t="s">
        <v>3044</v>
      </c>
      <c r="O337" s="1732"/>
      <c r="P337" s="1708"/>
      <c r="Q337" s="1884">
        <f>ROUND((O336*EUR),0)*Q336</f>
        <v>0</v>
      </c>
      <c r="R337" s="1884">
        <f>ROUND((O336*EUR),0)*R336</f>
        <v>0</v>
      </c>
      <c r="S337" s="1884">
        <f>ROUND((O336*EUR),0)*S336</f>
        <v>0</v>
      </c>
      <c r="T337" s="1884">
        <f>ROUND((O336*EUR),0)*T336</f>
        <v>0</v>
      </c>
      <c r="U337" s="1884">
        <f>ROUND((O336*EUR),0)*U336</f>
        <v>0</v>
      </c>
      <c r="AP337" s="712" t="s">
        <v>238</v>
      </c>
    </row>
    <row r="338" spans="1:42">
      <c r="K338" s="712" t="s">
        <v>238</v>
      </c>
      <c r="AP338" s="712" t="s">
        <v>238</v>
      </c>
    </row>
    <row r="339" spans="1:42">
      <c r="K339" s="712" t="s">
        <v>238</v>
      </c>
      <c r="AP339" s="712" t="s">
        <v>238</v>
      </c>
    </row>
    <row r="340" spans="1:42">
      <c r="K340" s="712" t="s">
        <v>238</v>
      </c>
      <c r="AP340" s="712" t="s">
        <v>238</v>
      </c>
    </row>
    <row r="341" spans="1:42">
      <c r="K341" s="712" t="s">
        <v>238</v>
      </c>
      <c r="AP341" s="712" t="s">
        <v>238</v>
      </c>
    </row>
    <row r="342" spans="1:42">
      <c r="K342" s="712" t="s">
        <v>238</v>
      </c>
      <c r="AP342" s="712" t="s">
        <v>238</v>
      </c>
    </row>
    <row r="343" spans="1:42" s="1808" customFormat="1">
      <c r="A343" s="960"/>
      <c r="B343" s="960"/>
      <c r="C343" s="960"/>
      <c r="D343" s="960"/>
      <c r="E343" s="960"/>
      <c r="F343" s="960"/>
      <c r="G343" s="960"/>
      <c r="H343" s="960"/>
      <c r="I343" s="2164"/>
      <c r="J343" s="960"/>
      <c r="K343" s="712"/>
      <c r="L343" s="1775"/>
    </row>
    <row r="344" spans="1:42" s="1808" customFormat="1">
      <c r="A344" s="960"/>
      <c r="B344" s="960"/>
      <c r="C344" s="960"/>
      <c r="D344" s="960"/>
      <c r="E344" s="960"/>
      <c r="F344" s="960"/>
      <c r="G344" s="960"/>
      <c r="H344" s="960"/>
      <c r="I344" s="2164"/>
      <c r="J344" s="960"/>
      <c r="K344" s="712"/>
    </row>
    <row r="345" spans="1:42" s="1808" customFormat="1">
      <c r="A345" s="960"/>
      <c r="B345" s="960"/>
      <c r="C345" s="960"/>
      <c r="D345" s="960"/>
      <c r="E345" s="960"/>
      <c r="F345" s="960"/>
      <c r="G345" s="960"/>
      <c r="H345" s="960"/>
      <c r="I345" s="2164"/>
      <c r="J345" s="960"/>
      <c r="K345" s="712"/>
      <c r="L345" s="1808" t="s">
        <v>3951</v>
      </c>
    </row>
    <row r="346" spans="1:42" s="1808" customFormat="1">
      <c r="A346" s="960"/>
      <c r="B346" s="960"/>
      <c r="C346" s="960"/>
      <c r="D346" s="960"/>
      <c r="E346" s="960"/>
      <c r="F346" s="960"/>
      <c r="G346" s="960"/>
      <c r="H346" s="960"/>
      <c r="I346" s="2164"/>
      <c r="J346" s="960"/>
      <c r="K346" s="712"/>
    </row>
    <row r="347" spans="1:42" s="1808" customFormat="1" ht="16" thickBot="1">
      <c r="A347" s="960"/>
      <c r="B347" s="960"/>
      <c r="C347" s="960"/>
      <c r="D347" s="960"/>
      <c r="E347" s="960"/>
      <c r="F347" s="960"/>
      <c r="G347" s="960"/>
      <c r="H347" s="960"/>
      <c r="I347" s="2164"/>
      <c r="J347" s="960"/>
      <c r="K347" s="712"/>
    </row>
    <row r="348" spans="1:42" s="1808" customFormat="1" ht="16" thickBot="1">
      <c r="A348" s="960"/>
      <c r="B348" s="960"/>
      <c r="C348" s="960"/>
      <c r="D348" s="960"/>
      <c r="E348" s="960"/>
      <c r="F348" s="960"/>
      <c r="G348" s="960"/>
      <c r="H348" s="960"/>
      <c r="I348" s="2164"/>
      <c r="J348" s="960"/>
      <c r="K348" s="712"/>
      <c r="N348" s="1049" t="s">
        <v>2171</v>
      </c>
      <c r="O348" s="960"/>
      <c r="P348" s="960"/>
      <c r="Q348" s="1500">
        <v>2021</v>
      </c>
      <c r="R348" s="1762">
        <v>2022</v>
      </c>
      <c r="S348" s="1762">
        <v>2023</v>
      </c>
      <c r="T348" s="1762">
        <v>2024</v>
      </c>
      <c r="U348" s="1763">
        <v>2025</v>
      </c>
    </row>
    <row r="349" spans="1:42" s="1808" customFormat="1" ht="16" thickBot="1">
      <c r="A349" s="960"/>
      <c r="B349" s="960"/>
      <c r="C349" s="960"/>
      <c r="D349" s="960"/>
      <c r="E349" s="960"/>
      <c r="F349" s="960"/>
      <c r="G349" s="960"/>
      <c r="H349" s="960"/>
      <c r="I349" s="2164"/>
      <c r="J349" s="960"/>
      <c r="K349" s="712"/>
      <c r="N349" s="1764"/>
      <c r="O349" s="1504"/>
      <c r="P349" s="1504">
        <v>20000</v>
      </c>
      <c r="Q349" s="1713">
        <v>5</v>
      </c>
      <c r="R349" s="1713">
        <v>0</v>
      </c>
      <c r="S349" s="1713">
        <v>0</v>
      </c>
      <c r="T349" s="1713">
        <v>0</v>
      </c>
      <c r="U349" s="1765">
        <v>0</v>
      </c>
    </row>
    <row r="350" spans="1:42" s="1808" customFormat="1" ht="16" thickBot="1">
      <c r="A350" s="2157">
        <v>170</v>
      </c>
      <c r="B350" s="841">
        <f>Q350</f>
        <v>100000</v>
      </c>
      <c r="C350" s="841">
        <f>R350</f>
        <v>0</v>
      </c>
      <c r="D350" s="841">
        <f>S350</f>
        <v>0</v>
      </c>
      <c r="E350" s="841">
        <f>T350</f>
        <v>0</v>
      </c>
      <c r="F350" s="841">
        <f>U350</f>
        <v>0</v>
      </c>
      <c r="G350" s="841" t="s">
        <v>351</v>
      </c>
      <c r="H350" s="841" t="s">
        <v>3951</v>
      </c>
      <c r="I350" s="2180" t="s">
        <v>3717</v>
      </c>
      <c r="J350" s="841" t="s">
        <v>2978</v>
      </c>
      <c r="K350" s="712"/>
      <c r="N350" s="1710" t="s">
        <v>3044</v>
      </c>
      <c r="O350" s="1732"/>
      <c r="P350" s="1708"/>
      <c r="Q350" s="1495">
        <f>Q349*P349</f>
        <v>100000</v>
      </c>
      <c r="R350" s="1495">
        <f>R349*P349</f>
        <v>0</v>
      </c>
      <c r="S350" s="1495">
        <f>S349*P349</f>
        <v>0</v>
      </c>
      <c r="T350" s="1495">
        <f>T349*P349</f>
        <v>0</v>
      </c>
      <c r="U350" s="1495">
        <f>U349*P349</f>
        <v>0</v>
      </c>
    </row>
    <row r="351" spans="1:42" s="1808" customFormat="1">
      <c r="A351" s="960"/>
      <c r="B351" s="960"/>
      <c r="C351" s="960"/>
      <c r="D351" s="960"/>
      <c r="E351" s="960"/>
      <c r="F351" s="960"/>
      <c r="G351" s="960"/>
      <c r="H351" s="960"/>
      <c r="I351" s="2164"/>
      <c r="J351" s="960"/>
      <c r="K351" s="712"/>
    </row>
    <row r="352" spans="1:42" s="1808" customFormat="1">
      <c r="A352" s="960"/>
      <c r="B352" s="960"/>
      <c r="C352" s="960"/>
      <c r="D352" s="960"/>
      <c r="E352" s="960"/>
      <c r="F352" s="960"/>
      <c r="G352" s="960"/>
      <c r="H352" s="960"/>
      <c r="I352" s="2164"/>
      <c r="J352" s="960"/>
      <c r="K352" s="712"/>
    </row>
    <row r="353" spans="1:23" s="1808" customFormat="1">
      <c r="A353" s="960"/>
      <c r="B353" s="960"/>
      <c r="C353" s="960"/>
      <c r="D353" s="960"/>
      <c r="E353" s="960"/>
      <c r="F353" s="960"/>
      <c r="G353" s="960"/>
      <c r="H353" s="960"/>
      <c r="I353" s="2164"/>
      <c r="J353" s="960"/>
      <c r="K353" s="712"/>
      <c r="N353"/>
      <c r="O353"/>
      <c r="P353"/>
      <c r="Q353"/>
      <c r="R353"/>
      <c r="S353"/>
      <c r="T353"/>
      <c r="U353"/>
    </row>
    <row r="354" spans="1:23" s="1808" customFormat="1">
      <c r="A354" s="960"/>
      <c r="B354" s="960"/>
      <c r="C354" s="960"/>
      <c r="D354" s="960"/>
      <c r="E354" s="960"/>
      <c r="F354" s="960"/>
      <c r="G354" s="960"/>
      <c r="H354" s="960"/>
      <c r="I354" s="2164"/>
      <c r="J354" s="960"/>
      <c r="K354" s="712"/>
      <c r="L354" s="1808" t="s">
        <v>3952</v>
      </c>
    </row>
    <row r="355" spans="1:23" s="1808" customFormat="1" ht="16" thickBot="1">
      <c r="A355" s="960"/>
      <c r="B355" s="960"/>
      <c r="C355" s="960"/>
      <c r="D355" s="960"/>
      <c r="E355" s="960"/>
      <c r="F355" s="960"/>
      <c r="G355" s="960"/>
      <c r="H355" s="960"/>
      <c r="I355" s="2164"/>
      <c r="J355" s="960"/>
      <c r="K355" s="712"/>
    </row>
    <row r="356" spans="1:23" s="1808" customFormat="1" ht="32">
      <c r="A356" s="960"/>
      <c r="B356" s="960"/>
      <c r="C356" s="960"/>
      <c r="D356" s="960"/>
      <c r="E356" s="960"/>
      <c r="F356" s="960"/>
      <c r="G356" s="960"/>
      <c r="H356" s="960"/>
      <c r="I356" s="2164"/>
      <c r="J356" s="960"/>
      <c r="K356" s="712"/>
      <c r="N356" s="1766" t="s">
        <v>3054</v>
      </c>
      <c r="O356" s="1696"/>
      <c r="P356" s="1767"/>
      <c r="Q356" s="1220"/>
      <c r="R356" s="966"/>
      <c r="S356" s="1768"/>
      <c r="T356" s="966"/>
      <c r="U356" s="967"/>
    </row>
    <row r="357" spans="1:23" s="1808" customFormat="1" ht="32">
      <c r="A357" s="960"/>
      <c r="B357" s="960"/>
      <c r="C357" s="960"/>
      <c r="D357" s="960"/>
      <c r="E357" s="960"/>
      <c r="F357" s="960"/>
      <c r="G357" s="960"/>
      <c r="H357" s="960"/>
      <c r="I357" s="2164"/>
      <c r="J357" s="960"/>
      <c r="K357" s="712"/>
      <c r="N357" s="1769" t="s">
        <v>3055</v>
      </c>
      <c r="O357" s="1693"/>
      <c r="P357" s="958"/>
      <c r="Q357" s="1040">
        <v>2</v>
      </c>
      <c r="R357" s="960"/>
      <c r="S357" s="960"/>
      <c r="T357" s="960"/>
      <c r="U357" s="62"/>
    </row>
    <row r="358" spans="1:23" s="1808" customFormat="1" ht="32">
      <c r="A358" s="960"/>
      <c r="B358" s="960"/>
      <c r="C358" s="960"/>
      <c r="D358" s="960"/>
      <c r="E358" s="960"/>
      <c r="F358" s="960"/>
      <c r="G358" s="960"/>
      <c r="H358" s="960"/>
      <c r="I358" s="2164"/>
      <c r="J358" s="960"/>
      <c r="K358" s="712"/>
      <c r="N358" s="1769" t="s">
        <v>3056</v>
      </c>
      <c r="O358" s="1693"/>
      <c r="P358" s="958"/>
      <c r="Q358" s="1040">
        <v>20</v>
      </c>
      <c r="R358" s="960"/>
      <c r="S358" s="960"/>
      <c r="T358" s="960"/>
      <c r="U358" s="62"/>
    </row>
    <row r="359" spans="1:23" s="1808" customFormat="1" ht="32">
      <c r="A359" s="960"/>
      <c r="B359" s="960"/>
      <c r="C359" s="960"/>
      <c r="D359" s="960"/>
      <c r="E359" s="960"/>
      <c r="F359" s="960"/>
      <c r="G359" s="960"/>
      <c r="H359" s="960"/>
      <c r="I359" s="2164"/>
      <c r="J359" s="960"/>
      <c r="K359" s="712"/>
      <c r="N359" s="1769" t="s">
        <v>3057</v>
      </c>
      <c r="O359" s="1693"/>
      <c r="P359" s="958"/>
      <c r="Q359" s="1040">
        <v>1</v>
      </c>
      <c r="R359" s="960"/>
      <c r="S359" s="960"/>
      <c r="T359" s="960"/>
      <c r="U359" s="62"/>
    </row>
    <row r="360" spans="1:23" s="1808" customFormat="1" ht="48">
      <c r="A360" s="960"/>
      <c r="B360" s="960"/>
      <c r="C360" s="960"/>
      <c r="D360" s="960"/>
      <c r="E360" s="960"/>
      <c r="F360" s="960"/>
      <c r="G360" s="960"/>
      <c r="H360" s="960"/>
      <c r="I360" s="2164"/>
      <c r="J360" s="960"/>
      <c r="K360" s="712"/>
      <c r="N360" s="1769" t="s">
        <v>3052</v>
      </c>
      <c r="O360" s="1693"/>
      <c r="P360" s="1694">
        <v>0</v>
      </c>
      <c r="Q360" s="1028">
        <f>ROUND(Q358*P360,0)</f>
        <v>0</v>
      </c>
      <c r="R360" s="960"/>
      <c r="S360" s="960"/>
      <c r="T360" s="960"/>
      <c r="U360" s="62"/>
    </row>
    <row r="361" spans="1:23" s="1808" customFormat="1" ht="64">
      <c r="A361" s="960"/>
      <c r="B361" s="960"/>
      <c r="C361" s="960"/>
      <c r="D361" s="960"/>
      <c r="E361" s="960"/>
      <c r="F361" s="960"/>
      <c r="G361" s="960"/>
      <c r="H361" s="960"/>
      <c r="I361" s="2164"/>
      <c r="J361" s="960"/>
      <c r="K361" s="712"/>
      <c r="N361" s="1769" t="s">
        <v>3053</v>
      </c>
      <c r="O361" s="1693"/>
      <c r="P361" s="1694">
        <v>0.75</v>
      </c>
      <c r="Q361" s="1028">
        <f>ROUND(Q358*P361,0)</f>
        <v>15</v>
      </c>
      <c r="R361" s="960"/>
      <c r="S361" s="960"/>
      <c r="T361" s="960"/>
      <c r="U361" s="62"/>
    </row>
    <row r="362" spans="1:23" s="1808" customFormat="1">
      <c r="A362" s="960"/>
      <c r="B362" s="960"/>
      <c r="C362" s="960"/>
      <c r="D362" s="960"/>
      <c r="E362" s="960"/>
      <c r="F362" s="960"/>
      <c r="G362" s="960"/>
      <c r="H362" s="960"/>
      <c r="I362" s="2164"/>
      <c r="J362" s="960"/>
      <c r="K362" s="712"/>
      <c r="N362" s="1770" t="s">
        <v>3036</v>
      </c>
      <c r="O362" s="1019"/>
      <c r="P362" s="1695"/>
      <c r="Q362" s="1028">
        <f>Q359-1</f>
        <v>0</v>
      </c>
      <c r="R362" s="960"/>
      <c r="S362" s="960"/>
      <c r="T362" s="960"/>
      <c r="U362" s="62"/>
    </row>
    <row r="363" spans="1:23" s="1808" customFormat="1" ht="16" thickBot="1">
      <c r="A363" s="960"/>
      <c r="B363" s="960"/>
      <c r="C363" s="960"/>
      <c r="D363" s="960"/>
      <c r="E363" s="960"/>
      <c r="F363" s="960"/>
      <c r="G363" s="960"/>
      <c r="H363" s="960"/>
      <c r="I363" s="2164"/>
      <c r="J363" s="960"/>
      <c r="K363" s="712"/>
      <c r="N363" s="1049"/>
      <c r="O363" s="960"/>
      <c r="P363" s="960"/>
      <c r="Q363" s="960"/>
      <c r="R363" s="960"/>
      <c r="S363" s="960"/>
      <c r="T363" s="960"/>
      <c r="U363" s="62"/>
    </row>
    <row r="364" spans="1:23" s="1808" customFormat="1" ht="32">
      <c r="A364" s="960"/>
      <c r="B364" s="960"/>
      <c r="C364" s="960"/>
      <c r="D364" s="960"/>
      <c r="E364" s="960"/>
      <c r="F364" s="960"/>
      <c r="G364" s="960"/>
      <c r="H364" s="960"/>
      <c r="I364" s="2164"/>
      <c r="J364" s="960"/>
      <c r="K364" s="712"/>
      <c r="N364" s="1699" t="s">
        <v>3033</v>
      </c>
      <c r="O364" s="1700" t="s">
        <v>3034</v>
      </c>
      <c r="P364" s="1702" t="s">
        <v>3040</v>
      </c>
      <c r="Q364" s="1702" t="s">
        <v>3041</v>
      </c>
      <c r="R364" s="1702" t="s">
        <v>3042</v>
      </c>
      <c r="S364" s="1700" t="s">
        <v>3035</v>
      </c>
      <c r="T364" s="1702" t="s">
        <v>3039</v>
      </c>
      <c r="U364" s="1701" t="s">
        <v>2189</v>
      </c>
    </row>
    <row r="365" spans="1:23" s="1808" customFormat="1">
      <c r="A365" s="960"/>
      <c r="B365" s="960"/>
      <c r="C365" s="960"/>
      <c r="D365" s="960"/>
      <c r="E365" s="960"/>
      <c r="F365" s="960"/>
      <c r="G365" s="960"/>
      <c r="H365" s="960"/>
      <c r="I365" s="2164"/>
      <c r="J365" s="960"/>
      <c r="K365" s="712"/>
      <c r="N365" s="1539" t="s">
        <v>3051</v>
      </c>
      <c r="O365" s="958" t="str">
        <f>IFERROR(VLOOKUP(N365,Price_list!B1:H187,2,0),"")</f>
        <v>International Consultancy fee (3.1)</v>
      </c>
      <c r="P365" s="958" t="str">
        <f>IFERROR(VLOOKUP(N365,Price_list!B1:H187,3,0),"")</f>
        <v>cost/zi</v>
      </c>
      <c r="Q365" s="946">
        <f>IFERROR(VLOOKUP(N365,Price_list!B1:H187,4,0),"")</f>
        <v>350</v>
      </c>
      <c r="R365" s="946" t="str">
        <f>IFERROR(VLOOKUP(N365,Price_list!B1:H187,5,0),"")</f>
        <v>EUR</v>
      </c>
      <c r="S365" s="958">
        <f t="shared" ref="S365:S382" ca="1" si="124">ROUND(IFERROR(IF(R365="MDL",Q365,Q365*INDIRECT(R365)),0),2)</f>
        <v>6868.65</v>
      </c>
      <c r="T365" s="1888">
        <f>Q359</f>
        <v>1</v>
      </c>
      <c r="U365" s="2309">
        <f ca="1">IFERROR(Q356*S365*T365,"")</f>
        <v>0</v>
      </c>
    </row>
    <row r="366" spans="1:23" s="1808" customFormat="1">
      <c r="A366" s="960"/>
      <c r="B366" s="960"/>
      <c r="C366" s="960"/>
      <c r="D366" s="960"/>
      <c r="E366" s="960"/>
      <c r="F366" s="960"/>
      <c r="G366" s="960"/>
      <c r="H366" s="960"/>
      <c r="I366" s="2164"/>
      <c r="J366" s="960"/>
      <c r="K366" s="712"/>
      <c r="N366" s="1539" t="s">
        <v>3029</v>
      </c>
      <c r="O366" s="958" t="str">
        <f>IFERROR(VLOOKUP(N366,Price_list!B1:H187,2,0),"")</f>
        <v xml:space="preserve">Travel costs </v>
      </c>
      <c r="P366" s="958" t="str">
        <f>IFERROR(VLOOKUP(N366,Price_list!B1:H187,3,0),"")</f>
        <v>cost tichet o directie</v>
      </c>
      <c r="Q366" s="946">
        <f>IFERROR(VLOOKUP(N366,Price_list!B1:H187,4,0),"")</f>
        <v>5000</v>
      </c>
      <c r="R366" s="946" t="str">
        <f>IFERROR(VLOOKUP(N366,Price_list!B1:H187,5,0),"")</f>
        <v>MDL</v>
      </c>
      <c r="S366" s="958">
        <f t="shared" ca="1" si="124"/>
        <v>5000</v>
      </c>
      <c r="T366" s="1040">
        <v>2</v>
      </c>
      <c r="U366" s="2309">
        <f ca="1">Q356*T366*S366</f>
        <v>0</v>
      </c>
    </row>
    <row r="367" spans="1:23" s="1808" customFormat="1">
      <c r="A367" s="960"/>
      <c r="B367" s="960"/>
      <c r="C367" s="960"/>
      <c r="D367" s="960"/>
      <c r="E367" s="960"/>
      <c r="F367" s="960"/>
      <c r="G367" s="960"/>
      <c r="H367" s="960"/>
      <c r="I367" s="2164"/>
      <c r="J367" s="960"/>
      <c r="K367" s="712"/>
      <c r="N367" s="1539" t="s">
        <v>3020</v>
      </c>
      <c r="O367" s="958" t="str">
        <f>IFERROR(VLOOKUP(N367,Price_list!B1:H187,2,0),"")</f>
        <v xml:space="preserve">Per diem, WHO DSA, average </v>
      </c>
      <c r="P367" s="958" t="str">
        <f>IFERROR(VLOOKUP(N367,Price_list!B1:H187,3,0),"")</f>
        <v>diurna</v>
      </c>
      <c r="Q367" s="946">
        <f>IFERROR(VLOOKUP(N367,Price_list!B1:H187,4,0),"")</f>
        <v>200</v>
      </c>
      <c r="R367" s="946" t="str">
        <f>IFERROR(VLOOKUP(N367,Price_list!B1:H187,5,0),"")</f>
        <v>EUR</v>
      </c>
      <c r="S367" s="958">
        <f t="shared" ca="1" si="124"/>
        <v>3924.94</v>
      </c>
      <c r="T367" s="946">
        <f>Q359+1</f>
        <v>2</v>
      </c>
      <c r="U367" s="2309">
        <f ca="1">Q356*S367*T367</f>
        <v>0</v>
      </c>
    </row>
    <row r="368" spans="1:23" s="1808" customFormat="1">
      <c r="A368" s="960"/>
      <c r="B368" s="960"/>
      <c r="C368" s="960"/>
      <c r="D368" s="960"/>
      <c r="E368" s="960"/>
      <c r="F368" s="960"/>
      <c r="G368" s="960"/>
      <c r="H368" s="960"/>
      <c r="I368" s="2164"/>
      <c r="J368" s="960"/>
      <c r="K368" s="712"/>
      <c r="N368" s="1539" t="s">
        <v>3050</v>
      </c>
      <c r="O368" s="958" t="str">
        <f>IFERROR(VLOOKUP(N368,Price_list!B1:H187,2,0),"")</f>
        <v>National Consultancy fee (3.1)</v>
      </c>
      <c r="P368" s="958" t="str">
        <f>IFERROR(VLOOKUP(N368,Price_list!B1:H187,3,0),"")</f>
        <v>cost/zi</v>
      </c>
      <c r="Q368" s="946">
        <f>IFERROR(VLOOKUP(N368,Price_list!B1:H187,4,0),"")</f>
        <v>2000</v>
      </c>
      <c r="R368" s="946" t="str">
        <f>IFERROR(VLOOKUP(N368,Price_list!B1:H187,5,0),"")</f>
        <v>MDL</v>
      </c>
      <c r="S368" s="958">
        <f t="shared" ca="1" si="124"/>
        <v>2000</v>
      </c>
      <c r="T368" s="946">
        <f>Q359+V368</f>
        <v>6</v>
      </c>
      <c r="U368" s="2309">
        <f ca="1">Q357*S368*T368</f>
        <v>24000</v>
      </c>
      <c r="V368" s="1808">
        <v>5</v>
      </c>
      <c r="W368" s="1808" t="s">
        <v>3950</v>
      </c>
    </row>
    <row r="369" spans="1:21" s="1808" customFormat="1">
      <c r="A369" s="960"/>
      <c r="B369" s="960"/>
      <c r="C369" s="960"/>
      <c r="D369" s="960"/>
      <c r="E369" s="960"/>
      <c r="F369" s="960"/>
      <c r="G369" s="960"/>
      <c r="H369" s="960"/>
      <c r="I369" s="2164"/>
      <c r="J369" s="960"/>
      <c r="K369" s="712"/>
      <c r="N369" s="1539"/>
      <c r="O369" s="958" t="str">
        <f>IFERROR(VLOOKUP(N369,Price_list!B1:H187,2,0),"")</f>
        <v/>
      </c>
      <c r="P369" s="958" t="str">
        <f>IFERROR(VLOOKUP(N369,Price_list!B1:H187,3,0),"")</f>
        <v/>
      </c>
      <c r="Q369" s="946" t="str">
        <f>IFERROR(VLOOKUP(N369,Price_list!B1:H187,4,0),"")</f>
        <v/>
      </c>
      <c r="R369" s="946" t="str">
        <f>IFERROR(VLOOKUP(N369,Price_list!B1:H187,5,0),"")</f>
        <v/>
      </c>
      <c r="S369" s="958">
        <f t="shared" ca="1" si="124"/>
        <v>0</v>
      </c>
      <c r="T369" s="946" t="str">
        <f>IFERROR(VLOOKUP(AE369,N360:P365,3,0),"")</f>
        <v/>
      </c>
      <c r="U369" s="2309" t="str">
        <f>IFERROR(#REF!*T369*Q369,"")</f>
        <v/>
      </c>
    </row>
    <row r="370" spans="1:21" s="1808" customFormat="1">
      <c r="A370" s="960"/>
      <c r="B370" s="960"/>
      <c r="C370" s="960"/>
      <c r="D370" s="960"/>
      <c r="E370" s="960"/>
      <c r="F370" s="960"/>
      <c r="G370" s="960"/>
      <c r="H370" s="960"/>
      <c r="I370" s="2164"/>
      <c r="J370" s="960"/>
      <c r="K370" s="712"/>
      <c r="N370" s="1539"/>
      <c r="O370" s="958" t="str">
        <f>IFERROR(VLOOKUP(N370,Price_list!B1:H187,2,0),"")</f>
        <v/>
      </c>
      <c r="P370" s="958" t="str">
        <f>IFERROR(VLOOKUP(N370,Price_list!B1:H187,3,0),"")</f>
        <v/>
      </c>
      <c r="Q370" s="946" t="str">
        <f>IFERROR(VLOOKUP(N370,Price_list!B1:H187,4,0),"")</f>
        <v/>
      </c>
      <c r="R370" s="946" t="str">
        <f>IFERROR(VLOOKUP(N370,Price_list!B1:H187,5,0),"")</f>
        <v/>
      </c>
      <c r="S370" s="958">
        <f t="shared" ca="1" si="124"/>
        <v>0</v>
      </c>
      <c r="T370" s="946" t="str">
        <f>IFERROR(VLOOKUP(AE370,N362:P366,3,0),"")</f>
        <v/>
      </c>
      <c r="U370" s="2309" t="str">
        <f>IFERROR(#REF!*T370*Q370,"")</f>
        <v/>
      </c>
    </row>
    <row r="371" spans="1:21" s="1808" customFormat="1">
      <c r="A371" s="960"/>
      <c r="B371" s="960"/>
      <c r="C371" s="960"/>
      <c r="D371" s="960"/>
      <c r="E371" s="960"/>
      <c r="F371" s="960"/>
      <c r="G371" s="960"/>
      <c r="H371" s="960"/>
      <c r="I371" s="2164"/>
      <c r="J371" s="960"/>
      <c r="K371" s="712"/>
      <c r="N371" s="1539" t="s">
        <v>3016</v>
      </c>
      <c r="O371" s="958" t="str">
        <f>IFERROR(VLOOKUP(N371,Price_list!B1:H187,2,0),"")</f>
        <v>Coffe break</v>
      </c>
      <c r="P371" s="958" t="str">
        <f>IFERROR(VLOOKUP(N371,Price_list!B1:H187,3,0),"")</f>
        <v>unitate</v>
      </c>
      <c r="Q371" s="946">
        <f>IFERROR(VLOOKUP(N371,Price_list!B1:H187,4,0),"")</f>
        <v>75</v>
      </c>
      <c r="R371" s="946" t="str">
        <f>IFERROR(VLOOKUP(N371,Price_list!B1:H187,5,0),"")</f>
        <v>MDL</v>
      </c>
      <c r="S371" s="958">
        <f t="shared" ca="1" si="124"/>
        <v>75</v>
      </c>
      <c r="T371" s="946">
        <v>2</v>
      </c>
      <c r="U371" s="2309">
        <f ca="1">T371*S371*Q358*Q359</f>
        <v>3000</v>
      </c>
    </row>
    <row r="372" spans="1:21" s="1808" customFormat="1">
      <c r="A372" s="960"/>
      <c r="B372" s="960"/>
      <c r="C372" s="960"/>
      <c r="D372" s="960"/>
      <c r="E372" s="960"/>
      <c r="F372" s="960"/>
      <c r="G372" s="960"/>
      <c r="H372" s="960"/>
      <c r="I372" s="2164"/>
      <c r="J372" s="960"/>
      <c r="K372" s="712"/>
      <c r="N372" s="1539" t="s">
        <v>3021</v>
      </c>
      <c r="O372" s="958" t="str">
        <f>IFERROR(VLOOKUP(N372,Price_list!B1:H187,2,0),"")</f>
        <v xml:space="preserve">Meal ( lunch) </v>
      </c>
      <c r="P372" s="958" t="str">
        <f>IFERROR(VLOOKUP(N372,Price_list!B1:H187,3,0),"")</f>
        <v>unitate</v>
      </c>
      <c r="Q372" s="946">
        <f>IFERROR(VLOOKUP(N372,Price_list!B1:H187,4,0),"")</f>
        <v>220</v>
      </c>
      <c r="R372" s="946" t="str">
        <f>IFERROR(VLOOKUP(N372,Price_list!B1:H187,5,0),"")</f>
        <v>MDL</v>
      </c>
      <c r="S372" s="958">
        <f t="shared" ca="1" si="124"/>
        <v>220</v>
      </c>
      <c r="T372" s="946">
        <f>Q359</f>
        <v>1</v>
      </c>
      <c r="U372" s="2309">
        <f ca="1">Q358*T372*S372</f>
        <v>4400</v>
      </c>
    </row>
    <row r="373" spans="1:21" s="1808" customFormat="1">
      <c r="A373" s="960"/>
      <c r="B373" s="960"/>
      <c r="C373" s="960"/>
      <c r="D373" s="960"/>
      <c r="E373" s="960"/>
      <c r="F373" s="960"/>
      <c r="G373" s="960"/>
      <c r="H373" s="960"/>
      <c r="I373" s="2164"/>
      <c r="J373" s="960"/>
      <c r="K373" s="712"/>
      <c r="N373" s="1539" t="s">
        <v>3023</v>
      </c>
      <c r="O373" s="958" t="str">
        <f>IFERROR(VLOOKUP(N373,Price_list!B1:H187,2,0),"")</f>
        <v>Meal(dinner)</v>
      </c>
      <c r="P373" s="958" t="str">
        <f>IFERROR(VLOOKUP(N373,Price_list!B1:H187,3,0),"")</f>
        <v>unitate</v>
      </c>
      <c r="Q373" s="946">
        <f>IFERROR(VLOOKUP(N373,Price_list!B1:H187,4,0),"")</f>
        <v>220</v>
      </c>
      <c r="R373" s="946" t="str">
        <f>IFERROR(VLOOKUP(N373,Price_list!B1:H187,5,0),"")</f>
        <v>MDL</v>
      </c>
      <c r="S373" s="958">
        <f t="shared" ca="1" si="124"/>
        <v>220</v>
      </c>
      <c r="T373" s="946">
        <f>Q362</f>
        <v>0</v>
      </c>
      <c r="U373" s="2309">
        <f ca="1">T373*S373*Q360</f>
        <v>0</v>
      </c>
    </row>
    <row r="374" spans="1:21" s="1808" customFormat="1">
      <c r="A374" s="960"/>
      <c r="B374" s="960"/>
      <c r="C374" s="960"/>
      <c r="D374" s="960"/>
      <c r="E374" s="960"/>
      <c r="F374" s="960"/>
      <c r="G374" s="960"/>
      <c r="H374" s="960"/>
      <c r="I374" s="2164"/>
      <c r="J374" s="960"/>
      <c r="K374" s="712"/>
      <c r="N374" s="1539" t="s">
        <v>3024</v>
      </c>
      <c r="O374" s="958" t="str">
        <f>IFERROR(VLOOKUP(N374,Price_list!B1:H187,2,0),"")</f>
        <v xml:space="preserve">Accomodation </v>
      </c>
      <c r="P374" s="958" t="str">
        <f>IFERROR(VLOOKUP(N374,Price_list!B1:H187,3,0),"")</f>
        <v>cost/noapte</v>
      </c>
      <c r="Q374" s="946">
        <f>IFERROR(VLOOKUP(N374,Price_list!B1:H187,4,0),"")</f>
        <v>750</v>
      </c>
      <c r="R374" s="946" t="str">
        <f>IFERROR(VLOOKUP(N374,Price_list!B1:H187,5,0),"")</f>
        <v>MDL</v>
      </c>
      <c r="S374" s="958">
        <f t="shared" ca="1" si="124"/>
        <v>750</v>
      </c>
      <c r="T374" s="946">
        <f>Q362</f>
        <v>0</v>
      </c>
      <c r="U374" s="2309">
        <f ca="1">T374*S374*Q360</f>
        <v>0</v>
      </c>
    </row>
    <row r="375" spans="1:21" s="1808" customFormat="1">
      <c r="A375" s="960"/>
      <c r="B375" s="960"/>
      <c r="C375" s="960"/>
      <c r="D375" s="960"/>
      <c r="E375" s="960"/>
      <c r="F375" s="960"/>
      <c r="G375" s="960"/>
      <c r="H375" s="960"/>
      <c r="I375" s="2164"/>
      <c r="J375" s="960"/>
      <c r="K375" s="712"/>
      <c r="N375" s="1539" t="s">
        <v>3030</v>
      </c>
      <c r="O375" s="958" t="str">
        <f>IFERROR(VLOOKUP(N375,Price_list!B1:H187,2,0),"")</f>
        <v>Travel participants</v>
      </c>
      <c r="P375" s="958" t="str">
        <f>IFERROR(VLOOKUP(N375,Price_list!B1:H187,3,0),"")</f>
        <v>cost tichet o directie</v>
      </c>
      <c r="Q375" s="946">
        <f>IFERROR(VLOOKUP(N375,Price_list!B1:H187,4,0),"")</f>
        <v>80</v>
      </c>
      <c r="R375" s="946" t="str">
        <f>IFERROR(VLOOKUP(N375,Price_list!B1:H187,5,0),"")</f>
        <v>MDL</v>
      </c>
      <c r="S375" s="958">
        <f t="shared" ca="1" si="124"/>
        <v>80</v>
      </c>
      <c r="T375" s="1040">
        <v>2</v>
      </c>
      <c r="U375" s="2309">
        <f ca="1">T375*Q361*S375</f>
        <v>2400</v>
      </c>
    </row>
    <row r="376" spans="1:21" s="1808" customFormat="1">
      <c r="A376" s="960"/>
      <c r="B376" s="960"/>
      <c r="C376" s="960"/>
      <c r="D376" s="960"/>
      <c r="E376" s="960"/>
      <c r="F376" s="960"/>
      <c r="G376" s="960"/>
      <c r="H376" s="960"/>
      <c r="I376" s="2164"/>
      <c r="J376" s="960"/>
      <c r="K376" s="712"/>
      <c r="N376" s="1539"/>
      <c r="O376" s="958" t="str">
        <f>IFERROR(VLOOKUP(N376,Price_list!B1:H187,2,0),"")</f>
        <v/>
      </c>
      <c r="P376" s="958" t="str">
        <f>IFERROR(VLOOKUP(N376,Price_list!B1:H187,3,0),"")</f>
        <v/>
      </c>
      <c r="Q376" s="946" t="str">
        <f>IFERROR(VLOOKUP(N376,Price_list!B1:H187,4,0),"")</f>
        <v/>
      </c>
      <c r="R376" s="946" t="str">
        <f>IFERROR(VLOOKUP(N376,Price_list!B1:H187,5,0),"")</f>
        <v/>
      </c>
      <c r="S376" s="958">
        <f t="shared" ca="1" si="124"/>
        <v>0</v>
      </c>
      <c r="T376" s="946" t="str">
        <f>IFERROR(VLOOKUP(AE376,N366:P372,3,0),"")</f>
        <v/>
      </c>
      <c r="U376" s="2309" t="str">
        <f>IFERROR(#REF!*T376*Q376,"")</f>
        <v/>
      </c>
    </row>
    <row r="377" spans="1:21" s="1808" customFormat="1">
      <c r="A377" s="960"/>
      <c r="B377" s="960"/>
      <c r="C377" s="960"/>
      <c r="D377" s="960"/>
      <c r="E377" s="960"/>
      <c r="F377" s="960"/>
      <c r="G377" s="960"/>
      <c r="H377" s="960"/>
      <c r="I377" s="2164"/>
      <c r="J377" s="960"/>
      <c r="K377" s="712"/>
      <c r="N377" s="1539" t="s">
        <v>3025</v>
      </c>
      <c r="O377" s="958" t="str">
        <f>IFERROR(VLOOKUP(N377,Price_list!B1:H187,2,0),"")</f>
        <v>Supplies</v>
      </c>
      <c r="P377" s="958" t="str">
        <f>IFERROR(VLOOKUP(N377,Price_list!B1:H187,3,0),"")</f>
        <v>set/participant</v>
      </c>
      <c r="Q377" s="946">
        <f>IFERROR(VLOOKUP(N377,Price_list!B1:H187,4,0),"")</f>
        <v>140</v>
      </c>
      <c r="R377" s="946" t="str">
        <f>IFERROR(VLOOKUP(N377,Price_list!B1:H187,5,0),"")</f>
        <v>MDL</v>
      </c>
      <c r="S377" s="958">
        <f t="shared" ca="1" si="124"/>
        <v>140</v>
      </c>
      <c r="T377" s="946">
        <v>1</v>
      </c>
      <c r="U377" s="2309">
        <f ca="1">T377*S377*Q358</f>
        <v>2800</v>
      </c>
    </row>
    <row r="378" spans="1:21" s="1808" customFormat="1">
      <c r="A378" s="960"/>
      <c r="B378" s="960"/>
      <c r="C378" s="960"/>
      <c r="D378" s="960"/>
      <c r="E378" s="960"/>
      <c r="F378" s="960"/>
      <c r="G378" s="960"/>
      <c r="H378" s="960"/>
      <c r="I378" s="2164"/>
      <c r="J378" s="960"/>
      <c r="K378" s="712"/>
      <c r="N378" s="1539" t="s">
        <v>3022</v>
      </c>
      <c r="O378" s="958" t="str">
        <f>IFERROR(VLOOKUP(N378,Price_list!B1:H187,2,0),"")</f>
        <v>Rent of premises</v>
      </c>
      <c r="P378" s="958" t="str">
        <f>IFERROR(VLOOKUP(N378,Price_list!B1:H187,3,0),"")</f>
        <v>cost/zi</v>
      </c>
      <c r="Q378" s="946">
        <f>IFERROR(VLOOKUP(N378,Price_list!B1:H187,4,0),"")</f>
        <v>1800</v>
      </c>
      <c r="R378" s="946" t="str">
        <f>IFERROR(VLOOKUP(N378,Price_list!B1:H187,5,0),"")</f>
        <v>MDL</v>
      </c>
      <c r="S378" s="958">
        <f t="shared" ca="1" si="124"/>
        <v>1800</v>
      </c>
      <c r="T378" s="946">
        <f>Q359</f>
        <v>1</v>
      </c>
      <c r="U378" s="2309">
        <f ca="1">T378*S378</f>
        <v>1800</v>
      </c>
    </row>
    <row r="379" spans="1:21" s="1808" customFormat="1">
      <c r="A379" s="960"/>
      <c r="B379" s="960"/>
      <c r="C379" s="960"/>
      <c r="D379" s="960"/>
      <c r="E379" s="960"/>
      <c r="F379" s="960"/>
      <c r="G379" s="960"/>
      <c r="H379" s="960"/>
      <c r="I379" s="2164"/>
      <c r="J379" s="960"/>
      <c r="K379" s="712"/>
      <c r="N379" s="1539" t="s">
        <v>3031</v>
      </c>
      <c r="O379" s="958" t="str">
        <f>IFERROR(VLOOKUP(N379,Price_list!B1:H187,2,0),"")</f>
        <v>Interpreter's fee, per day</v>
      </c>
      <c r="P379" s="958" t="str">
        <f>IFERROR(VLOOKUP(N379,Price_list!B1:H187,3,0),"")</f>
        <v>cost/zi</v>
      </c>
      <c r="Q379" s="946">
        <f>IFERROR(VLOOKUP(N379,Price_list!B1:H187,4,0),"")</f>
        <v>2000</v>
      </c>
      <c r="R379" s="946" t="str">
        <f>IFERROR(VLOOKUP(N379,Price_list!B1:H187,5,0),"")</f>
        <v>MDL</v>
      </c>
      <c r="S379" s="958">
        <f t="shared" ca="1" si="124"/>
        <v>2000</v>
      </c>
      <c r="T379" s="946">
        <f>IF(Q356&gt;0,Q359,0)</f>
        <v>0</v>
      </c>
      <c r="U379" s="2309">
        <f ca="1">T379*S379</f>
        <v>0</v>
      </c>
    </row>
    <row r="380" spans="1:21" s="1808" customFormat="1">
      <c r="A380" s="960"/>
      <c r="B380" s="960"/>
      <c r="C380" s="960"/>
      <c r="D380" s="960"/>
      <c r="E380" s="960"/>
      <c r="F380" s="960"/>
      <c r="G380" s="960"/>
      <c r="H380" s="960"/>
      <c r="I380" s="2164"/>
      <c r="J380" s="960"/>
      <c r="K380" s="712"/>
      <c r="N380" s="1539"/>
      <c r="O380" s="958" t="str">
        <f>IFERROR(VLOOKUP(N380,Price_list!B1:H187,2,0),"")</f>
        <v/>
      </c>
      <c r="P380" s="958" t="str">
        <f>IFERROR(VLOOKUP(N380,Price_list!B1:H187,3,0),"")</f>
        <v/>
      </c>
      <c r="Q380" s="946" t="str">
        <f>IFERROR(VLOOKUP(N380,Price_list!B1:H187,4,0),"")</f>
        <v/>
      </c>
      <c r="R380" s="946" t="str">
        <f>IFERROR(VLOOKUP(N380,Price_list!B1:H187,5,0),"")</f>
        <v/>
      </c>
      <c r="S380" s="958">
        <f t="shared" ca="1" si="124"/>
        <v>0</v>
      </c>
      <c r="T380" s="946" t="str">
        <f>IFERROR(VLOOKUP(AE380,N371:P375,3,0),"")</f>
        <v/>
      </c>
      <c r="U380" s="2309" t="str">
        <f>IFERROR(#REF!*T380*Q380,"")</f>
        <v/>
      </c>
    </row>
    <row r="381" spans="1:21" s="1808" customFormat="1">
      <c r="K381" s="712"/>
      <c r="N381" s="1539"/>
      <c r="O381" s="958" t="str">
        <f>IFERROR(VLOOKUP(N381,Price_list!B1:H187,2,0),"")</f>
        <v/>
      </c>
      <c r="P381" s="958" t="str">
        <f>IFERROR(VLOOKUP(N381,Price_list!B1:H187,3,0),"")</f>
        <v/>
      </c>
      <c r="Q381" s="946" t="str">
        <f>IFERROR(VLOOKUP(N381,Price_list!B1:H187,4,0),"")</f>
        <v/>
      </c>
      <c r="R381" s="946" t="str">
        <f>IFERROR(VLOOKUP(N381,Price_list!B1:H187,5,0),"")</f>
        <v/>
      </c>
      <c r="S381" s="958">
        <f t="shared" ca="1" si="124"/>
        <v>0</v>
      </c>
      <c r="T381" s="946" t="str">
        <f>IFERROR(VLOOKUP(AE381,N372:P377,3,0),"")</f>
        <v/>
      </c>
      <c r="U381" s="2309" t="str">
        <f>IFERROR(#REF!*T381*Q381,"")</f>
        <v/>
      </c>
    </row>
    <row r="382" spans="1:21" s="1808" customFormat="1">
      <c r="A382" s="960"/>
      <c r="B382" s="960"/>
      <c r="C382" s="960"/>
      <c r="D382" s="960"/>
      <c r="E382" s="960"/>
      <c r="F382" s="960"/>
      <c r="G382" s="960"/>
      <c r="H382" s="960"/>
      <c r="I382" s="2164"/>
      <c r="J382" s="960"/>
      <c r="K382" s="712"/>
      <c r="N382" s="1539"/>
      <c r="O382" s="958" t="str">
        <f>IFERROR(VLOOKUP(N382,Price_list!B1:H187,2,0),"")</f>
        <v/>
      </c>
      <c r="P382" s="958" t="str">
        <f>IFERROR(VLOOKUP(N382,Price_list!B1:H187,3,0),"")</f>
        <v/>
      </c>
      <c r="Q382" s="946" t="str">
        <f>IFERROR(VLOOKUP(N382,Price_list!B1:H187,4,0),"")</f>
        <v/>
      </c>
      <c r="R382" s="946" t="str">
        <f>IFERROR(VLOOKUP(N382,Price_list!B1:H187,5,0),"")</f>
        <v/>
      </c>
      <c r="S382" s="958">
        <f t="shared" ca="1" si="124"/>
        <v>0</v>
      </c>
      <c r="T382" s="946" t="str">
        <f>IFERROR(VLOOKUP(AE382,N373:P378,3,0),"")</f>
        <v/>
      </c>
      <c r="U382" s="2309" t="str">
        <f>IFERROR(#REF!*T382*Q382,"")</f>
        <v/>
      </c>
    </row>
    <row r="383" spans="1:21" s="1808" customFormat="1" ht="16" thickBot="1">
      <c r="A383" s="960"/>
      <c r="B383" s="960"/>
      <c r="C383" s="960"/>
      <c r="D383" s="960"/>
      <c r="E383" s="960"/>
      <c r="F383" s="960"/>
      <c r="G383" s="960"/>
      <c r="H383" s="960"/>
      <c r="I383" s="2164"/>
      <c r="J383" s="960"/>
      <c r="K383" s="712"/>
      <c r="N383" s="1697"/>
      <c r="O383" s="1698" t="str">
        <f>IFERROR(VLOOKUP(N383,Price_list!B1:H187,2,0),"")</f>
        <v/>
      </c>
      <c r="P383" s="1698" t="str">
        <f>IFERROR(VLOOKUP(N383,Price_list!B1:H187,3,0),"")</f>
        <v/>
      </c>
      <c r="Q383" s="1034" t="str">
        <f>IFERROR(VLOOKUP(N383,Price_list!B1:H187,4,0),"")</f>
        <v/>
      </c>
      <c r="R383" s="1034" t="str">
        <f>IFERROR(VLOOKUP(N383,Price_list!B1:H187,5,0),"")</f>
        <v/>
      </c>
      <c r="S383" s="1698"/>
      <c r="T383" s="1034" t="str">
        <f>IFERROR(VLOOKUP(AE383,N374:P379,3,0),"")</f>
        <v/>
      </c>
      <c r="U383" s="1703">
        <f ca="1">SUM(U365:U382)</f>
        <v>38400</v>
      </c>
    </row>
    <row r="384" spans="1:21" s="1808" customFormat="1">
      <c r="A384" s="960"/>
      <c r="B384" s="960"/>
      <c r="C384" s="960"/>
      <c r="D384" s="960"/>
      <c r="E384" s="960"/>
      <c r="F384" s="960"/>
      <c r="G384" s="960"/>
      <c r="H384" s="960"/>
      <c r="I384" s="2164"/>
      <c r="J384" s="960"/>
      <c r="K384" s="712"/>
      <c r="N384" s="1771" t="s">
        <v>3037</v>
      </c>
      <c r="O384" s="1742" t="s">
        <v>3006</v>
      </c>
      <c r="P384" s="1743"/>
      <c r="Q384" s="1772">
        <v>7.0000000000000007E-2</v>
      </c>
      <c r="R384" s="1773"/>
      <c r="S384" s="1773"/>
      <c r="T384" s="1773"/>
      <c r="U384" s="1774">
        <f ca="1">ROUND(U383*Q384,2)</f>
        <v>2688</v>
      </c>
    </row>
    <row r="385" spans="1:21" s="1808" customFormat="1" ht="16" thickBot="1">
      <c r="A385" s="960"/>
      <c r="B385" s="960"/>
      <c r="C385" s="960"/>
      <c r="D385" s="960"/>
      <c r="E385" s="960"/>
      <c r="F385" s="960"/>
      <c r="G385" s="960"/>
      <c r="H385" s="960"/>
      <c r="I385" s="2164"/>
      <c r="J385" s="960"/>
      <c r="K385" s="712"/>
      <c r="N385" s="1049"/>
      <c r="O385" s="960"/>
      <c r="P385" s="960"/>
      <c r="Q385" s="960"/>
      <c r="R385" s="960"/>
      <c r="S385" s="960"/>
      <c r="T385" s="960"/>
      <c r="U385" s="62"/>
    </row>
    <row r="386" spans="1:21" s="1808" customFormat="1" ht="16" thickBot="1">
      <c r="A386" s="960"/>
      <c r="B386" s="960"/>
      <c r="C386" s="960"/>
      <c r="D386" s="960"/>
      <c r="E386" s="960"/>
      <c r="F386" s="960"/>
      <c r="G386" s="960"/>
      <c r="H386" s="960"/>
      <c r="I386" s="2164"/>
      <c r="J386" s="960"/>
      <c r="K386" s="712" t="s">
        <v>238</v>
      </c>
      <c r="N386" s="1704" t="s">
        <v>3038</v>
      </c>
      <c r="O386" s="1761"/>
      <c r="P386" s="1761"/>
      <c r="Q386" s="1761"/>
      <c r="R386" s="1761"/>
      <c r="S386" s="1761"/>
      <c r="T386" s="1761"/>
      <c r="U386" s="1706">
        <f ca="1">U384+U383</f>
        <v>41088</v>
      </c>
    </row>
    <row r="387" spans="1:21" s="1808" customFormat="1">
      <c r="A387" s="960"/>
      <c r="B387" s="960"/>
      <c r="C387" s="960"/>
      <c r="D387" s="960"/>
      <c r="E387" s="960"/>
      <c r="F387" s="960"/>
      <c r="G387" s="960"/>
      <c r="H387" s="960"/>
      <c r="I387" s="2164"/>
      <c r="J387" s="960"/>
      <c r="K387" s="712" t="s">
        <v>238</v>
      </c>
      <c r="N387" s="1049"/>
      <c r="O387" s="960"/>
      <c r="P387" s="960"/>
      <c r="Q387" s="960"/>
      <c r="R387" s="960"/>
      <c r="S387" s="960"/>
      <c r="T387" s="960"/>
      <c r="U387" s="62"/>
    </row>
    <row r="388" spans="1:21" s="1808" customFormat="1" ht="16" thickBot="1">
      <c r="A388" s="960"/>
      <c r="B388" s="960"/>
      <c r="C388" s="960"/>
      <c r="D388" s="960"/>
      <c r="E388" s="960"/>
      <c r="F388" s="960"/>
      <c r="G388" s="960"/>
      <c r="H388" s="960"/>
      <c r="I388" s="2164"/>
      <c r="J388" s="960"/>
      <c r="K388" s="712" t="s">
        <v>238</v>
      </c>
      <c r="N388" s="1049"/>
      <c r="O388" s="960"/>
      <c r="P388" s="960"/>
      <c r="Q388" s="960"/>
      <c r="R388" s="960"/>
      <c r="S388" s="960"/>
      <c r="T388" s="960"/>
      <c r="U388" s="62"/>
    </row>
    <row r="389" spans="1:21" s="1808" customFormat="1" ht="16" thickBot="1">
      <c r="A389" s="960"/>
      <c r="B389" s="960"/>
      <c r="C389" s="960"/>
      <c r="D389" s="960"/>
      <c r="E389" s="960"/>
      <c r="F389" s="960"/>
      <c r="G389" s="960"/>
      <c r="H389" s="960"/>
      <c r="I389" s="2164"/>
      <c r="J389" s="960"/>
      <c r="K389" s="712" t="s">
        <v>238</v>
      </c>
      <c r="N389" s="1049" t="s">
        <v>2171</v>
      </c>
      <c r="O389" s="960"/>
      <c r="P389" s="960"/>
      <c r="Q389" s="1500">
        <v>2021</v>
      </c>
      <c r="R389" s="1762">
        <v>2022</v>
      </c>
      <c r="S389" s="1762">
        <v>2023</v>
      </c>
      <c r="T389" s="1762">
        <v>2024</v>
      </c>
      <c r="U389" s="1763">
        <v>2025</v>
      </c>
    </row>
    <row r="390" spans="1:21" s="1808" customFormat="1" ht="16" thickBot="1">
      <c r="A390" s="960"/>
      <c r="B390" s="960"/>
      <c r="C390" s="960"/>
      <c r="D390" s="960"/>
      <c r="E390" s="960"/>
      <c r="F390" s="960"/>
      <c r="G390" s="960"/>
      <c r="H390" s="960"/>
      <c r="I390" s="2164"/>
      <c r="J390" s="960"/>
      <c r="K390" s="712" t="s">
        <v>238</v>
      </c>
      <c r="N390" s="1764" t="s">
        <v>3043</v>
      </c>
      <c r="O390" s="1504"/>
      <c r="P390" s="1504"/>
      <c r="Q390" s="1713">
        <v>1</v>
      </c>
      <c r="R390" s="1713"/>
      <c r="S390" s="1713">
        <v>0</v>
      </c>
      <c r="T390" s="1713">
        <v>0</v>
      </c>
      <c r="U390" s="1765">
        <v>0</v>
      </c>
    </row>
    <row r="391" spans="1:21" s="1808" customFormat="1" ht="16" thickBot="1">
      <c r="A391" s="2157">
        <v>171</v>
      </c>
      <c r="B391" s="841">
        <f ca="1">Q391</f>
        <v>41088</v>
      </c>
      <c r="C391" s="841">
        <f ca="1">R391</f>
        <v>0</v>
      </c>
      <c r="D391" s="841">
        <f ca="1">S391</f>
        <v>0</v>
      </c>
      <c r="E391" s="841">
        <f ca="1">T391</f>
        <v>0</v>
      </c>
      <c r="F391" s="841">
        <f ca="1">U391</f>
        <v>0</v>
      </c>
      <c r="G391" s="841" t="s">
        <v>351</v>
      </c>
      <c r="H391" s="841" t="s">
        <v>3952</v>
      </c>
      <c r="I391" s="2180" t="s">
        <v>3717</v>
      </c>
      <c r="J391" s="841" t="s">
        <v>2978</v>
      </c>
      <c r="K391" s="712" t="s">
        <v>238</v>
      </c>
      <c r="N391" s="1710" t="s">
        <v>3044</v>
      </c>
      <c r="O391" s="1732"/>
      <c r="P391" s="1708"/>
      <c r="Q391" s="1495">
        <f ca="1">U386*Q390</f>
        <v>41088</v>
      </c>
      <c r="R391" s="1495">
        <f ca="1">U386*R390</f>
        <v>0</v>
      </c>
      <c r="S391" s="1495">
        <f ca="1">U386*S390</f>
        <v>0</v>
      </c>
      <c r="T391" s="1495">
        <f ca="1">U386*T390</f>
        <v>0</v>
      </c>
      <c r="U391" s="1495">
        <f ca="1">U386*U390</f>
        <v>0</v>
      </c>
    </row>
    <row r="392" spans="1:21" s="1808" customFormat="1">
      <c r="A392" s="960"/>
      <c r="B392" s="960"/>
      <c r="C392" s="960"/>
      <c r="D392" s="960"/>
      <c r="E392" s="960"/>
      <c r="F392" s="960"/>
      <c r="G392" s="960"/>
      <c r="H392" s="960"/>
      <c r="I392" s="2164"/>
      <c r="J392" s="960"/>
      <c r="K392" s="712" t="s">
        <v>238</v>
      </c>
    </row>
    <row r="393" spans="1:21" s="1808" customFormat="1">
      <c r="A393" s="960"/>
      <c r="B393" s="960"/>
      <c r="C393" s="960"/>
      <c r="D393" s="960"/>
      <c r="E393" s="960"/>
      <c r="F393" s="960"/>
      <c r="G393" s="960"/>
      <c r="H393" s="960"/>
      <c r="I393" s="2164"/>
      <c r="J393" s="960"/>
      <c r="K393" s="712" t="s">
        <v>238</v>
      </c>
    </row>
    <row r="394" spans="1:21" s="1808" customFormat="1">
      <c r="A394" s="960"/>
      <c r="B394" s="960"/>
      <c r="C394" s="960"/>
      <c r="D394" s="960"/>
      <c r="E394" s="960"/>
      <c r="F394" s="960"/>
      <c r="G394" s="960"/>
      <c r="H394" s="960"/>
      <c r="I394" s="2164"/>
      <c r="J394" s="960"/>
      <c r="K394" s="712" t="s">
        <v>238</v>
      </c>
      <c r="L394" s="1808" t="s">
        <v>3953</v>
      </c>
    </row>
    <row r="395" spans="1:21" s="1808" customFormat="1" ht="16" thickBot="1">
      <c r="A395" s="960"/>
      <c r="B395" s="960"/>
      <c r="C395" s="960"/>
      <c r="D395" s="960"/>
      <c r="E395" s="960"/>
      <c r="F395" s="960"/>
      <c r="G395" s="960"/>
      <c r="H395" s="960"/>
      <c r="I395" s="2164"/>
      <c r="J395" s="960"/>
      <c r="K395" s="712" t="s">
        <v>238</v>
      </c>
    </row>
    <row r="396" spans="1:21" s="1808" customFormat="1" ht="32">
      <c r="A396" s="960"/>
      <c r="B396" s="960"/>
      <c r="C396" s="960"/>
      <c r="D396" s="960"/>
      <c r="E396" s="960"/>
      <c r="F396" s="960"/>
      <c r="G396" s="960"/>
      <c r="H396" s="960"/>
      <c r="I396" s="2164"/>
      <c r="J396" s="960"/>
      <c r="K396" s="712" t="s">
        <v>238</v>
      </c>
      <c r="N396" s="1699" t="s">
        <v>3033</v>
      </c>
      <c r="O396" s="1700" t="s">
        <v>3034</v>
      </c>
      <c r="P396" s="1702" t="s">
        <v>3040</v>
      </c>
      <c r="Q396" s="1702" t="s">
        <v>3041</v>
      </c>
      <c r="R396" s="1702" t="s">
        <v>3042</v>
      </c>
      <c r="S396" s="1700" t="s">
        <v>3035</v>
      </c>
      <c r="T396" s="1702" t="s">
        <v>3039</v>
      </c>
      <c r="U396" s="1701" t="s">
        <v>2189</v>
      </c>
    </row>
    <row r="397" spans="1:21" s="1808" customFormat="1">
      <c r="A397" s="960"/>
      <c r="B397" s="960"/>
      <c r="C397" s="960"/>
      <c r="D397" s="960"/>
      <c r="E397" s="960"/>
      <c r="F397" s="960"/>
      <c r="G397" s="960"/>
      <c r="H397" s="960"/>
      <c r="I397" s="2164"/>
      <c r="J397" s="960"/>
      <c r="K397" s="712" t="s">
        <v>238</v>
      </c>
      <c r="N397" s="1539" t="s">
        <v>3050</v>
      </c>
      <c r="O397" s="958" t="str">
        <f>IFERROR(VLOOKUP(N397,Price_list!B1:H187,2,0),"")</f>
        <v>National Consultancy fee (3.1)</v>
      </c>
      <c r="P397" s="958" t="str">
        <f>IFERROR(VLOOKUP(N397,Price_list!B1:H187,3,0),"")</f>
        <v>cost/zi</v>
      </c>
      <c r="Q397" s="946">
        <f>IFERROR(VLOOKUP(N397,Price_list!B1:H187,4,0),"")</f>
        <v>2000</v>
      </c>
      <c r="R397" s="946" t="str">
        <f>IFERROR(VLOOKUP(N397,Price_list!B1:H187,5,0),"")</f>
        <v>MDL</v>
      </c>
      <c r="S397" s="958">
        <f ca="1">ROUND(IFERROR(IF(R397="MDL",Q397,Q397*INDIRECT(R397)),0),2)</f>
        <v>2000</v>
      </c>
      <c r="T397" s="946">
        <v>10</v>
      </c>
      <c r="U397" s="2309">
        <f ca="1">S397*T397</f>
        <v>20000</v>
      </c>
    </row>
    <row r="398" spans="1:21" s="1808" customFormat="1" ht="16" thickBot="1">
      <c r="A398" s="960"/>
      <c r="B398" s="960"/>
      <c r="C398" s="960"/>
      <c r="D398" s="960"/>
      <c r="E398" s="960"/>
      <c r="F398" s="960"/>
      <c r="G398" s="960"/>
      <c r="H398" s="960"/>
      <c r="I398" s="2164"/>
      <c r="J398" s="960"/>
      <c r="K398" s="712" t="s">
        <v>238</v>
      </c>
    </row>
    <row r="399" spans="1:21" s="1808" customFormat="1" ht="16" thickBot="1">
      <c r="A399" s="960"/>
      <c r="B399" s="960"/>
      <c r="C399" s="960"/>
      <c r="D399" s="960"/>
      <c r="E399" s="960"/>
      <c r="F399" s="960"/>
      <c r="G399" s="960"/>
      <c r="H399" s="960"/>
      <c r="I399" s="2164"/>
      <c r="J399" s="960"/>
      <c r="K399" s="712" t="s">
        <v>238</v>
      </c>
      <c r="N399" s="1049" t="s">
        <v>2171</v>
      </c>
      <c r="O399" s="960"/>
      <c r="P399" s="960"/>
      <c r="Q399" s="1500">
        <v>2021</v>
      </c>
      <c r="R399" s="1762">
        <v>2022</v>
      </c>
      <c r="S399" s="1762">
        <v>2023</v>
      </c>
      <c r="T399" s="1762">
        <v>2024</v>
      </c>
      <c r="U399" s="1763">
        <v>2025</v>
      </c>
    </row>
    <row r="400" spans="1:21" s="1808" customFormat="1" ht="16" thickBot="1">
      <c r="A400" s="960"/>
      <c r="B400" s="960"/>
      <c r="C400" s="960"/>
      <c r="D400" s="960"/>
      <c r="E400" s="960"/>
      <c r="F400" s="960"/>
      <c r="G400" s="960"/>
      <c r="H400" s="960"/>
      <c r="I400" s="2164"/>
      <c r="J400" s="960"/>
      <c r="K400" s="712" t="s">
        <v>238</v>
      </c>
      <c r="N400" s="1764"/>
      <c r="O400" s="1504"/>
      <c r="P400" s="1504">
        <v>20000</v>
      </c>
      <c r="Q400" s="1713">
        <v>1</v>
      </c>
      <c r="R400" s="1713">
        <v>0</v>
      </c>
      <c r="S400" s="1713">
        <v>0</v>
      </c>
      <c r="T400" s="1713">
        <v>0</v>
      </c>
      <c r="U400" s="1765">
        <v>0</v>
      </c>
    </row>
    <row r="401" spans="1:42" s="1808" customFormat="1" ht="16" thickBot="1">
      <c r="A401" s="2157">
        <v>237</v>
      </c>
      <c r="B401" s="841">
        <f>Q401</f>
        <v>20000</v>
      </c>
      <c r="C401" s="841">
        <f>R401</f>
        <v>0</v>
      </c>
      <c r="D401" s="841">
        <f>S401</f>
        <v>0</v>
      </c>
      <c r="E401" s="841">
        <f>T401</f>
        <v>0</v>
      </c>
      <c r="F401" s="841">
        <f>U401</f>
        <v>0</v>
      </c>
      <c r="G401" s="841" t="s">
        <v>351</v>
      </c>
      <c r="H401" s="841" t="s">
        <v>3953</v>
      </c>
      <c r="I401" s="2180" t="s">
        <v>3717</v>
      </c>
      <c r="J401" s="841" t="s">
        <v>2978</v>
      </c>
      <c r="K401" s="712" t="s">
        <v>238</v>
      </c>
      <c r="N401" s="1710" t="s">
        <v>3044</v>
      </c>
      <c r="O401" s="1732"/>
      <c r="P401" s="1708"/>
      <c r="Q401" s="1495">
        <f>Q400*P400</f>
        <v>20000</v>
      </c>
      <c r="R401" s="1495">
        <f>R400*P400</f>
        <v>0</v>
      </c>
      <c r="S401" s="1495">
        <f>S400*P400</f>
        <v>0</v>
      </c>
      <c r="T401" s="1495">
        <f>T400*P400</f>
        <v>0</v>
      </c>
      <c r="U401" s="1495">
        <f>U400*P400</f>
        <v>0</v>
      </c>
    </row>
    <row r="402" spans="1:42">
      <c r="K402" s="712" t="s">
        <v>238</v>
      </c>
      <c r="AP402" s="712" t="s">
        <v>238</v>
      </c>
    </row>
    <row r="403" spans="1:42">
      <c r="K403" s="712" t="s">
        <v>238</v>
      </c>
      <c r="AP403" s="712" t="s">
        <v>238</v>
      </c>
    </row>
    <row r="404" spans="1:42" s="1808" customFormat="1">
      <c r="A404" s="960"/>
      <c r="B404" s="960"/>
      <c r="C404" s="960"/>
      <c r="D404" s="960"/>
      <c r="E404" s="960"/>
      <c r="F404" s="960"/>
      <c r="G404" s="960"/>
      <c r="H404" s="960"/>
      <c r="I404" s="960"/>
      <c r="J404" s="960"/>
      <c r="K404" s="712" t="s">
        <v>238</v>
      </c>
      <c r="AP404" s="712"/>
    </row>
    <row r="405" spans="1:42" s="1808" customFormat="1">
      <c r="A405" s="960"/>
      <c r="B405" s="960"/>
      <c r="C405" s="960"/>
      <c r="D405" s="960"/>
      <c r="E405" s="960"/>
      <c r="F405" s="960"/>
      <c r="G405" s="960"/>
      <c r="H405" s="960"/>
      <c r="I405" s="960"/>
      <c r="J405" s="960"/>
      <c r="K405" s="712" t="s">
        <v>238</v>
      </c>
      <c r="L405" s="841" t="s">
        <v>3975</v>
      </c>
      <c r="AP405" s="712"/>
    </row>
    <row r="406" spans="1:42" s="1808" customFormat="1">
      <c r="A406" s="960"/>
      <c r="B406" s="960"/>
      <c r="C406" s="960"/>
      <c r="D406" s="960"/>
      <c r="E406" s="960"/>
      <c r="F406" s="960"/>
      <c r="G406" s="960"/>
      <c r="H406" s="960"/>
      <c r="I406" s="960"/>
      <c r="J406" s="960"/>
      <c r="K406" s="712" t="s">
        <v>238</v>
      </c>
      <c r="AP406" s="712"/>
    </row>
    <row r="407" spans="1:42">
      <c r="K407" s="712" t="s">
        <v>238</v>
      </c>
      <c r="N407" s="2459" t="s">
        <v>3966</v>
      </c>
      <c r="O407" s="2460" t="s">
        <v>3256</v>
      </c>
      <c r="P407" s="2460" t="s">
        <v>3257</v>
      </c>
      <c r="Q407" s="2460" t="s">
        <v>97</v>
      </c>
      <c r="AP407" s="712" t="s">
        <v>238</v>
      </c>
    </row>
    <row r="408" spans="1:42" s="1808" customFormat="1">
      <c r="A408" s="960"/>
      <c r="B408" s="960"/>
      <c r="C408" s="960"/>
      <c r="D408" s="960"/>
      <c r="E408" s="960"/>
      <c r="F408" s="960"/>
      <c r="G408" s="960"/>
      <c r="H408" s="960"/>
      <c r="I408" s="960"/>
      <c r="J408" s="960"/>
      <c r="K408" s="712" t="s">
        <v>238</v>
      </c>
      <c r="N408" s="2459" t="s">
        <v>3967</v>
      </c>
      <c r="O408" s="2460"/>
      <c r="P408" s="2460"/>
      <c r="Q408" s="2460"/>
      <c r="AP408" s="712"/>
    </row>
    <row r="409" spans="1:42" s="1808" customFormat="1" ht="64">
      <c r="A409" s="960"/>
      <c r="B409" s="960"/>
      <c r="C409" s="960"/>
      <c r="D409" s="960"/>
      <c r="E409" s="960"/>
      <c r="F409" s="960"/>
      <c r="G409" s="960"/>
      <c r="H409" s="960"/>
      <c r="I409" s="960"/>
      <c r="J409" s="960"/>
      <c r="K409" s="712" t="s">
        <v>238</v>
      </c>
      <c r="N409" s="2461" t="s">
        <v>3968</v>
      </c>
      <c r="O409" s="2462">
        <v>42.49</v>
      </c>
      <c r="P409" s="2462">
        <v>40</v>
      </c>
      <c r="Q409" s="2463">
        <v>1699.6000000000001</v>
      </c>
      <c r="AP409" s="712"/>
    </row>
    <row r="410" spans="1:42" s="1808" customFormat="1" ht="16">
      <c r="A410" s="960"/>
      <c r="B410" s="960"/>
      <c r="C410" s="960"/>
      <c r="D410" s="960"/>
      <c r="E410" s="960"/>
      <c r="F410" s="960"/>
      <c r="G410" s="960"/>
      <c r="H410" s="960"/>
      <c r="I410" s="960"/>
      <c r="J410" s="960"/>
      <c r="K410" s="712" t="s">
        <v>238</v>
      </c>
      <c r="N410" s="2464" t="s">
        <v>3927</v>
      </c>
      <c r="O410" s="1039">
        <v>3137</v>
      </c>
      <c r="P410" s="1039">
        <v>1</v>
      </c>
      <c r="Q410" s="2463">
        <v>3137</v>
      </c>
      <c r="AP410" s="712"/>
    </row>
    <row r="411" spans="1:42" s="1808" customFormat="1" ht="16">
      <c r="A411" s="960"/>
      <c r="B411" s="960"/>
      <c r="C411" s="960"/>
      <c r="D411" s="960"/>
      <c r="E411" s="960"/>
      <c r="F411" s="960"/>
      <c r="G411" s="960"/>
      <c r="H411" s="960"/>
      <c r="I411" s="960"/>
      <c r="J411" s="960"/>
      <c r="K411" s="712" t="s">
        <v>238</v>
      </c>
      <c r="N411" s="2464" t="s">
        <v>3969</v>
      </c>
      <c r="O411" s="1039">
        <v>19.23</v>
      </c>
      <c r="P411" s="1039">
        <v>4</v>
      </c>
      <c r="Q411" s="2463">
        <v>76.92</v>
      </c>
      <c r="AP411" s="712"/>
    </row>
    <row r="412" spans="1:42" s="1808" customFormat="1" ht="16">
      <c r="A412" s="960"/>
      <c r="B412" s="960"/>
      <c r="C412" s="960"/>
      <c r="D412" s="960"/>
      <c r="E412" s="960"/>
      <c r="F412" s="960"/>
      <c r="G412" s="960"/>
      <c r="H412" s="960"/>
      <c r="I412" s="960"/>
      <c r="J412" s="960"/>
      <c r="K412" s="712" t="s">
        <v>238</v>
      </c>
      <c r="N412" s="2464" t="s">
        <v>3970</v>
      </c>
      <c r="O412" s="1039">
        <v>4500</v>
      </c>
      <c r="P412" s="1039">
        <v>0.15</v>
      </c>
      <c r="Q412" s="2463">
        <v>675</v>
      </c>
      <c r="AP412" s="712"/>
    </row>
    <row r="413" spans="1:42" s="1808" customFormat="1" ht="16">
      <c r="A413" s="960"/>
      <c r="B413" s="960"/>
      <c r="C413" s="960"/>
      <c r="D413" s="960"/>
      <c r="E413" s="960"/>
      <c r="F413" s="960"/>
      <c r="G413" s="960"/>
      <c r="H413" s="960"/>
      <c r="I413" s="960"/>
      <c r="J413" s="960"/>
      <c r="K413" s="712" t="s">
        <v>238</v>
      </c>
      <c r="N413" s="2464" t="s">
        <v>3971</v>
      </c>
      <c r="O413" s="1039">
        <v>22.91</v>
      </c>
      <c r="P413" s="1039">
        <v>40</v>
      </c>
      <c r="Q413" s="2463">
        <v>916.4</v>
      </c>
      <c r="AP413" s="712"/>
    </row>
    <row r="414" spans="1:42" s="1808" customFormat="1" ht="80">
      <c r="A414" s="960"/>
      <c r="B414" s="960"/>
      <c r="C414" s="960"/>
      <c r="D414" s="960"/>
      <c r="E414" s="960"/>
      <c r="F414" s="960"/>
      <c r="G414" s="960"/>
      <c r="H414" s="960"/>
      <c r="I414" s="960"/>
      <c r="J414" s="960"/>
      <c r="K414" s="712" t="s">
        <v>238</v>
      </c>
      <c r="N414" s="2464" t="s">
        <v>3972</v>
      </c>
      <c r="O414" s="1039">
        <v>42.49</v>
      </c>
      <c r="P414" s="1039">
        <v>20</v>
      </c>
      <c r="Q414" s="2463">
        <v>849.80000000000007</v>
      </c>
      <c r="AP414" s="712"/>
    </row>
    <row r="415" spans="1:42" s="1808" customFormat="1">
      <c r="A415" s="960"/>
      <c r="B415" s="960"/>
      <c r="C415" s="960"/>
      <c r="D415" s="960"/>
      <c r="E415" s="960"/>
      <c r="F415" s="960"/>
      <c r="G415" s="960"/>
      <c r="H415" s="960"/>
      <c r="I415" s="960"/>
      <c r="J415" s="960"/>
      <c r="K415" s="712" t="s">
        <v>238</v>
      </c>
      <c r="N415" s="2462" t="s">
        <v>3311</v>
      </c>
      <c r="O415" s="2462">
        <v>61.64</v>
      </c>
      <c r="P415" s="2462">
        <v>1</v>
      </c>
      <c r="Q415" s="2463">
        <v>61.64</v>
      </c>
      <c r="AP415" s="712"/>
    </row>
    <row r="416" spans="1:42" s="1808" customFormat="1">
      <c r="A416" s="960"/>
      <c r="B416" s="960"/>
      <c r="C416" s="960"/>
      <c r="D416" s="960"/>
      <c r="E416" s="960"/>
      <c r="F416" s="960"/>
      <c r="G416" s="960"/>
      <c r="H416" s="960"/>
      <c r="I416" s="960"/>
      <c r="J416" s="960"/>
      <c r="K416" s="712" t="s">
        <v>238</v>
      </c>
      <c r="N416" s="2462" t="s">
        <v>3973</v>
      </c>
      <c r="O416" s="2462">
        <v>36.56</v>
      </c>
      <c r="P416" s="2462">
        <v>3</v>
      </c>
      <c r="Q416" s="2463">
        <v>109.68</v>
      </c>
      <c r="AP416" s="712"/>
    </row>
    <row r="417" spans="1:42" s="1808" customFormat="1">
      <c r="A417" s="960"/>
      <c r="B417" s="960"/>
      <c r="C417" s="960"/>
      <c r="D417" s="960"/>
      <c r="E417" s="960"/>
      <c r="F417" s="960"/>
      <c r="G417" s="960"/>
      <c r="H417" s="960"/>
      <c r="I417" s="960"/>
      <c r="J417" s="960"/>
      <c r="K417" s="712" t="s">
        <v>238</v>
      </c>
      <c r="N417" s="2462" t="s">
        <v>3264</v>
      </c>
      <c r="O417" s="2462">
        <v>43.21</v>
      </c>
      <c r="P417" s="2462">
        <v>1</v>
      </c>
      <c r="Q417" s="2463">
        <v>43.21</v>
      </c>
      <c r="AP417" s="712"/>
    </row>
    <row r="418" spans="1:42" s="1808" customFormat="1">
      <c r="A418" s="960"/>
      <c r="B418" s="960"/>
      <c r="C418" s="960"/>
      <c r="D418" s="960"/>
      <c r="E418" s="960"/>
      <c r="F418" s="960"/>
      <c r="G418" s="960"/>
      <c r="H418" s="960"/>
      <c r="I418" s="960"/>
      <c r="J418" s="960"/>
      <c r="K418" s="712" t="s">
        <v>238</v>
      </c>
      <c r="N418" s="2462" t="s">
        <v>3266</v>
      </c>
      <c r="O418" s="2462">
        <v>33.840000000000003</v>
      </c>
      <c r="P418" s="2462">
        <v>1</v>
      </c>
      <c r="Q418" s="2463">
        <v>33.840000000000003</v>
      </c>
      <c r="AP418" s="712"/>
    </row>
    <row r="419" spans="1:42" s="1808" customFormat="1">
      <c r="A419" s="960"/>
      <c r="B419" s="960"/>
      <c r="C419" s="960"/>
      <c r="D419" s="960"/>
      <c r="E419" s="960"/>
      <c r="F419" s="960"/>
      <c r="G419" s="960"/>
      <c r="H419" s="960"/>
      <c r="I419" s="960"/>
      <c r="J419" s="960"/>
      <c r="K419" s="712" t="s">
        <v>238</v>
      </c>
      <c r="N419" s="2462" t="s">
        <v>3267</v>
      </c>
      <c r="O419" s="2462">
        <v>68.739999999999995</v>
      </c>
      <c r="P419" s="2462">
        <v>1</v>
      </c>
      <c r="Q419" s="2463">
        <v>548.74</v>
      </c>
      <c r="AP419" s="712"/>
    </row>
    <row r="420" spans="1:42" s="1808" customFormat="1">
      <c r="A420" s="960"/>
      <c r="B420" s="960"/>
      <c r="C420" s="960"/>
      <c r="D420" s="960"/>
      <c r="E420" s="960"/>
      <c r="F420" s="960"/>
      <c r="G420" s="960"/>
      <c r="H420" s="960"/>
      <c r="I420" s="960"/>
      <c r="J420" s="960"/>
      <c r="K420" s="712" t="s">
        <v>238</v>
      </c>
      <c r="N420" s="2465"/>
      <c r="O420" s="2465"/>
      <c r="P420" s="2465"/>
      <c r="Q420" s="2466">
        <v>8151.8300000000008</v>
      </c>
      <c r="AP420" s="712"/>
    </row>
    <row r="421" spans="1:42" s="1808" customFormat="1" ht="19">
      <c r="A421" s="2157">
        <v>239</v>
      </c>
      <c r="B421" s="841">
        <f>Q421</f>
        <v>2445549.0000000005</v>
      </c>
      <c r="C421" s="841"/>
      <c r="D421" s="841"/>
      <c r="E421" s="841"/>
      <c r="F421" s="841"/>
      <c r="G421" s="841" t="s">
        <v>351</v>
      </c>
      <c r="H421" s="841" t="s">
        <v>3975</v>
      </c>
      <c r="I421" s="2180" t="s">
        <v>3717</v>
      </c>
      <c r="J421" s="841" t="s">
        <v>2978</v>
      </c>
      <c r="K421" s="712" t="s">
        <v>238</v>
      </c>
      <c r="N421" s="2465" t="s">
        <v>3974</v>
      </c>
      <c r="O421" s="2465">
        <v>300</v>
      </c>
      <c r="Q421" s="2467">
        <v>2445549.0000000005</v>
      </c>
      <c r="AP421" s="712"/>
    </row>
    <row r="422" spans="1:42" s="1808" customFormat="1">
      <c r="A422" s="960"/>
      <c r="B422" s="960"/>
      <c r="C422" s="960"/>
      <c r="D422" s="960"/>
      <c r="E422" s="960"/>
      <c r="F422" s="960"/>
      <c r="G422" s="960"/>
      <c r="H422" s="960"/>
      <c r="I422" s="960"/>
      <c r="J422" s="960"/>
      <c r="K422" s="712" t="s">
        <v>238</v>
      </c>
      <c r="L422" s="1808" t="s">
        <v>3978</v>
      </c>
      <c r="AP422" s="712"/>
    </row>
    <row r="423" spans="1:42" s="1808" customFormat="1">
      <c r="A423" s="960"/>
      <c r="B423" s="960"/>
      <c r="C423" s="960"/>
      <c r="D423" s="960"/>
      <c r="E423" s="960"/>
      <c r="F423" s="960"/>
      <c r="G423" s="960"/>
      <c r="H423" s="960"/>
      <c r="I423" s="960"/>
      <c r="J423" s="960"/>
      <c r="K423" s="712" t="s">
        <v>238</v>
      </c>
      <c r="N423"/>
      <c r="O423"/>
      <c r="AP423" s="712"/>
    </row>
    <row r="424" spans="1:42" ht="16" thickBot="1">
      <c r="K424" s="712" t="s">
        <v>238</v>
      </c>
      <c r="AP424" s="712" t="s">
        <v>238</v>
      </c>
    </row>
    <row r="425" spans="1:42" s="1808" customFormat="1" ht="32">
      <c r="A425" s="960"/>
      <c r="B425" s="960"/>
      <c r="C425" s="960"/>
      <c r="D425" s="960"/>
      <c r="E425" s="960"/>
      <c r="F425" s="960"/>
      <c r="G425" s="960"/>
      <c r="H425" s="960"/>
      <c r="I425" s="960"/>
      <c r="J425" s="960"/>
      <c r="K425" s="712"/>
      <c r="N425" s="1699" t="s">
        <v>3033</v>
      </c>
      <c r="O425" s="1700" t="s">
        <v>3034</v>
      </c>
      <c r="P425" s="1702" t="s">
        <v>3040</v>
      </c>
      <c r="Q425" s="1702" t="s">
        <v>3041</v>
      </c>
      <c r="R425" s="1702" t="s">
        <v>3042</v>
      </c>
      <c r="S425" s="1700" t="s">
        <v>3035</v>
      </c>
      <c r="T425" s="1702" t="s">
        <v>3039</v>
      </c>
      <c r="U425" s="1701" t="s">
        <v>2189</v>
      </c>
      <c r="AP425" s="712"/>
    </row>
    <row r="426" spans="1:42" s="1808" customFormat="1">
      <c r="A426" s="960"/>
      <c r="B426" s="960"/>
      <c r="C426" s="960"/>
      <c r="D426" s="960"/>
      <c r="E426" s="960"/>
      <c r="F426" s="960"/>
      <c r="G426" s="960"/>
      <c r="H426" s="960"/>
      <c r="I426" s="960"/>
      <c r="J426" s="960"/>
      <c r="K426" s="712"/>
      <c r="N426" s="1539" t="s">
        <v>3050</v>
      </c>
      <c r="O426" s="958" t="str">
        <f>IFERROR(VLOOKUP(N426,Price_list!B1:H187,2,0),"")</f>
        <v>National Consultancy fee (3.1)</v>
      </c>
      <c r="P426" s="958" t="str">
        <f>IFERROR(VLOOKUP(N426,Price_list!B1:H187,3,0),"")</f>
        <v>cost/zi</v>
      </c>
      <c r="Q426" s="946">
        <f>IFERROR(VLOOKUP(N426,Price_list!B1:H187,4,0),"")</f>
        <v>2000</v>
      </c>
      <c r="R426" s="946" t="str">
        <f>IFERROR(VLOOKUP(N426,Price_list!B1:H187,5,0),"")</f>
        <v>MDL</v>
      </c>
      <c r="S426" s="958">
        <f ca="1">ROUND(IFERROR(IF(R426="MDL",Q426,Q426*INDIRECT(R426)),0),2)</f>
        <v>2000</v>
      </c>
      <c r="T426" s="946">
        <v>10</v>
      </c>
      <c r="U426" s="2309">
        <f ca="1">S426*T426</f>
        <v>20000</v>
      </c>
      <c r="AP426" s="712"/>
    </row>
    <row r="427" spans="1:42" s="1808" customFormat="1" ht="16" thickBot="1">
      <c r="A427" s="960"/>
      <c r="B427" s="960"/>
      <c r="C427" s="960"/>
      <c r="D427" s="960"/>
      <c r="E427" s="960"/>
      <c r="F427" s="960"/>
      <c r="G427" s="960"/>
      <c r="H427" s="960"/>
      <c r="I427" s="960"/>
      <c r="J427" s="960"/>
      <c r="K427" s="712"/>
      <c r="AP427" s="712"/>
    </row>
    <row r="428" spans="1:42" s="1808" customFormat="1" ht="16" thickBot="1">
      <c r="A428" s="960"/>
      <c r="B428" s="960"/>
      <c r="C428" s="960"/>
      <c r="D428" s="960"/>
      <c r="E428" s="960"/>
      <c r="F428" s="960"/>
      <c r="G428" s="960"/>
      <c r="H428" s="960"/>
      <c r="I428" s="960"/>
      <c r="J428" s="960"/>
      <c r="K428" s="712"/>
      <c r="N428" s="1049" t="s">
        <v>2171</v>
      </c>
      <c r="O428" s="960"/>
      <c r="P428" s="960"/>
      <c r="Q428" s="1500">
        <v>2021</v>
      </c>
      <c r="R428" s="1762">
        <v>2022</v>
      </c>
      <c r="S428" s="1762">
        <v>2023</v>
      </c>
      <c r="T428" s="1762">
        <v>2024</v>
      </c>
      <c r="U428" s="1763">
        <v>2025</v>
      </c>
      <c r="AP428" s="712"/>
    </row>
    <row r="429" spans="1:42" s="1808" customFormat="1" ht="16" thickBot="1">
      <c r="A429" s="960"/>
      <c r="B429" s="960"/>
      <c r="C429" s="960"/>
      <c r="D429" s="960"/>
      <c r="E429" s="960"/>
      <c r="F429" s="960"/>
      <c r="G429" s="960"/>
      <c r="H429" s="960"/>
      <c r="I429" s="960"/>
      <c r="J429" s="960"/>
      <c r="K429" s="712"/>
      <c r="N429" s="1764"/>
      <c r="O429" s="1504"/>
      <c r="P429" s="1504">
        <v>20000</v>
      </c>
      <c r="Q429" s="1713">
        <v>0</v>
      </c>
      <c r="R429" s="1713">
        <v>0</v>
      </c>
      <c r="S429" s="1713">
        <v>0</v>
      </c>
      <c r="T429" s="1713">
        <v>0</v>
      </c>
      <c r="U429" s="1765">
        <v>0</v>
      </c>
      <c r="AP429" s="712"/>
    </row>
    <row r="430" spans="1:42" s="1808" customFormat="1" ht="16" thickBot="1">
      <c r="A430" s="2157">
        <v>240</v>
      </c>
      <c r="B430" s="841">
        <f>Q430</f>
        <v>0</v>
      </c>
      <c r="C430" s="841"/>
      <c r="D430" s="841"/>
      <c r="E430" s="841"/>
      <c r="F430" s="841"/>
      <c r="G430" s="841" t="s">
        <v>351</v>
      </c>
      <c r="H430" s="1808" t="s">
        <v>3978</v>
      </c>
      <c r="I430" s="2180" t="s">
        <v>3717</v>
      </c>
      <c r="J430" s="841" t="s">
        <v>2978</v>
      </c>
      <c r="K430" s="712"/>
      <c r="N430" s="1710" t="s">
        <v>3044</v>
      </c>
      <c r="O430" s="1732"/>
      <c r="P430" s="1708"/>
      <c r="Q430" s="1495">
        <f>Q429*P429</f>
        <v>0</v>
      </c>
      <c r="R430" s="1495">
        <f>R429*P429</f>
        <v>0</v>
      </c>
      <c r="S430" s="1495">
        <f>S429*P429</f>
        <v>0</v>
      </c>
      <c r="T430" s="1495">
        <f>T429*P429</f>
        <v>0</v>
      </c>
      <c r="U430" s="1495">
        <f>U429*P429</f>
        <v>0</v>
      </c>
      <c r="AP430" s="712"/>
    </row>
    <row r="431" spans="1:42" s="1808" customFormat="1">
      <c r="A431" s="960"/>
      <c r="B431" s="960"/>
      <c r="C431" s="960"/>
      <c r="D431" s="960"/>
      <c r="E431" s="960"/>
      <c r="F431" s="960"/>
      <c r="G431" s="960"/>
      <c r="H431" s="960"/>
      <c r="I431" s="960"/>
      <c r="J431" s="960"/>
      <c r="K431" s="712"/>
      <c r="N431"/>
      <c r="O431"/>
      <c r="P431"/>
      <c r="Q431"/>
      <c r="R431"/>
      <c r="S431"/>
      <c r="T431"/>
      <c r="U431"/>
      <c r="AP431" s="712"/>
    </row>
    <row r="432" spans="1:42" s="1808" customFormat="1">
      <c r="A432" s="960"/>
      <c r="B432" s="960"/>
      <c r="C432" s="960"/>
      <c r="D432" s="960"/>
      <c r="E432" s="960"/>
      <c r="F432" s="960"/>
      <c r="G432" s="960"/>
      <c r="H432" s="960"/>
      <c r="I432" s="960"/>
      <c r="J432" s="960"/>
      <c r="K432" s="712"/>
      <c r="L432" s="1808" t="s">
        <v>3979</v>
      </c>
      <c r="N432"/>
      <c r="O432"/>
      <c r="P432"/>
      <c r="Q432"/>
      <c r="R432"/>
      <c r="S432"/>
      <c r="T432"/>
      <c r="U432"/>
      <c r="AP432" s="712"/>
    </row>
    <row r="433" spans="1:42" s="1808" customFormat="1" ht="16" thickBot="1">
      <c r="A433" s="960"/>
      <c r="B433" s="960"/>
      <c r="C433" s="960"/>
      <c r="D433" s="960"/>
      <c r="E433" s="960"/>
      <c r="F433" s="960"/>
      <c r="G433" s="960"/>
      <c r="H433" s="960"/>
      <c r="I433" s="960"/>
      <c r="J433" s="960"/>
      <c r="K433" s="712"/>
      <c r="N433"/>
      <c r="O433"/>
      <c r="P433"/>
      <c r="Q433"/>
      <c r="R433"/>
      <c r="S433"/>
      <c r="T433"/>
      <c r="U433"/>
      <c r="AP433" s="712"/>
    </row>
    <row r="434" spans="1:42" s="1808" customFormat="1" ht="32">
      <c r="A434" s="960"/>
      <c r="B434" s="960"/>
      <c r="C434" s="960"/>
      <c r="D434" s="960"/>
      <c r="E434" s="960"/>
      <c r="F434" s="960"/>
      <c r="G434" s="960"/>
      <c r="H434" s="960"/>
      <c r="I434" s="960"/>
      <c r="J434" s="960"/>
      <c r="K434" s="712"/>
      <c r="N434" s="1699" t="s">
        <v>3033</v>
      </c>
      <c r="O434" s="1700" t="s">
        <v>3034</v>
      </c>
      <c r="P434" s="1702" t="s">
        <v>3040</v>
      </c>
      <c r="Q434" s="1702" t="s">
        <v>3041</v>
      </c>
      <c r="R434" s="1702" t="s">
        <v>3042</v>
      </c>
      <c r="S434" s="1700" t="s">
        <v>3035</v>
      </c>
      <c r="T434" s="1702" t="s">
        <v>3039</v>
      </c>
      <c r="U434" s="1701" t="s">
        <v>2189</v>
      </c>
      <c r="AP434" s="712"/>
    </row>
    <row r="435" spans="1:42" s="1808" customFormat="1">
      <c r="A435" s="960"/>
      <c r="B435" s="960"/>
      <c r="C435" s="960"/>
      <c r="D435" s="960"/>
      <c r="E435" s="960"/>
      <c r="F435" s="960"/>
      <c r="G435" s="960"/>
      <c r="H435" s="960"/>
      <c r="I435" s="960"/>
      <c r="J435" s="960"/>
      <c r="K435" s="712"/>
      <c r="N435" s="1539" t="s">
        <v>3050</v>
      </c>
      <c r="O435" s="958" t="str">
        <f>IFERROR(VLOOKUP(N435,Price_list!B1:H187,2,0),"")</f>
        <v>National Consultancy fee (3.1)</v>
      </c>
      <c r="P435" s="958" t="str">
        <f>IFERROR(VLOOKUP(N435,Price_list!B1:H187,3,0),"")</f>
        <v>cost/zi</v>
      </c>
      <c r="Q435" s="946">
        <f>IFERROR(VLOOKUP(N435,Price_list!B1:H187,4,0),"")</f>
        <v>2000</v>
      </c>
      <c r="R435" s="946" t="str">
        <f>IFERROR(VLOOKUP(N435,Price_list!B1:H187,5,0),"")</f>
        <v>MDL</v>
      </c>
      <c r="S435" s="958">
        <f ca="1">ROUND(IFERROR(IF(R435="MDL",Q435,Q435*INDIRECT(R435)),0),2)</f>
        <v>2000</v>
      </c>
      <c r="T435" s="946">
        <v>10</v>
      </c>
      <c r="U435" s="2309">
        <f ca="1">S435*T435</f>
        <v>20000</v>
      </c>
      <c r="AP435" s="712"/>
    </row>
    <row r="436" spans="1:42" s="1808" customFormat="1" ht="16" thickBot="1">
      <c r="A436" s="960"/>
      <c r="B436" s="960"/>
      <c r="C436" s="960"/>
      <c r="D436" s="960"/>
      <c r="E436" s="960"/>
      <c r="F436" s="960"/>
      <c r="G436" s="960"/>
      <c r="H436" s="960"/>
      <c r="I436" s="960"/>
      <c r="J436" s="960"/>
      <c r="K436" s="712"/>
      <c r="AP436" s="712"/>
    </row>
    <row r="437" spans="1:42" s="1808" customFormat="1" ht="16" thickBot="1">
      <c r="A437" s="960"/>
      <c r="B437" s="960"/>
      <c r="C437" s="960"/>
      <c r="D437" s="960"/>
      <c r="E437" s="960"/>
      <c r="F437" s="960"/>
      <c r="G437" s="960"/>
      <c r="H437" s="960"/>
      <c r="I437" s="960"/>
      <c r="J437" s="960"/>
      <c r="K437" s="712"/>
      <c r="N437" s="1049" t="s">
        <v>2171</v>
      </c>
      <c r="O437" s="960"/>
      <c r="P437" s="960"/>
      <c r="Q437" s="1500">
        <v>2021</v>
      </c>
      <c r="R437" s="1762">
        <v>2022</v>
      </c>
      <c r="S437" s="1762">
        <v>2023</v>
      </c>
      <c r="T437" s="1762">
        <v>2024</v>
      </c>
      <c r="U437" s="1763">
        <v>2025</v>
      </c>
      <c r="AP437" s="712"/>
    </row>
    <row r="438" spans="1:42" s="1808" customFormat="1" ht="16" thickBot="1">
      <c r="A438" s="960"/>
      <c r="B438" s="960"/>
      <c r="C438" s="960"/>
      <c r="D438" s="960"/>
      <c r="E438" s="960"/>
      <c r="F438" s="960"/>
      <c r="G438" s="960"/>
      <c r="H438" s="960"/>
      <c r="I438" s="960"/>
      <c r="J438" s="960"/>
      <c r="K438" s="712"/>
      <c r="N438" s="1764"/>
      <c r="O438" s="1504"/>
      <c r="P438" s="1504">
        <v>20000</v>
      </c>
      <c r="Q438" s="1713">
        <v>0</v>
      </c>
      <c r="R438" s="1713">
        <v>0</v>
      </c>
      <c r="S438" s="1713">
        <v>0</v>
      </c>
      <c r="T438" s="1713">
        <v>0</v>
      </c>
      <c r="U438" s="1765">
        <v>0</v>
      </c>
      <c r="AP438" s="712"/>
    </row>
    <row r="439" spans="1:42" s="1808" customFormat="1" ht="16" thickBot="1">
      <c r="A439" s="2157">
        <v>241</v>
      </c>
      <c r="B439" s="841">
        <f>Q439</f>
        <v>0</v>
      </c>
      <c r="C439" s="841"/>
      <c r="D439" s="841"/>
      <c r="E439" s="841"/>
      <c r="F439" s="841"/>
      <c r="G439" s="841" t="s">
        <v>351</v>
      </c>
      <c r="H439" s="1808" t="s">
        <v>3979</v>
      </c>
      <c r="I439" s="2180" t="s">
        <v>3717</v>
      </c>
      <c r="J439" s="841" t="s">
        <v>2978</v>
      </c>
      <c r="K439" s="712"/>
      <c r="N439" s="1710" t="s">
        <v>3044</v>
      </c>
      <c r="O439" s="1732"/>
      <c r="P439" s="1708"/>
      <c r="Q439" s="1495">
        <f>Q438*P438</f>
        <v>0</v>
      </c>
      <c r="R439" s="1495">
        <f>R438*P438</f>
        <v>0</v>
      </c>
      <c r="S439" s="1495">
        <f>S438*P438</f>
        <v>0</v>
      </c>
      <c r="T439" s="1495">
        <f>T438*P438</f>
        <v>0</v>
      </c>
      <c r="U439" s="1495">
        <f>U438*P438</f>
        <v>0</v>
      </c>
      <c r="AP439" s="712"/>
    </row>
    <row r="440" spans="1:42" s="1808" customFormat="1" ht="19">
      <c r="A440" s="960"/>
      <c r="B440" s="960"/>
      <c r="C440" s="960"/>
      <c r="D440" s="960"/>
      <c r="E440" s="960"/>
      <c r="F440" s="960"/>
      <c r="G440" s="960"/>
      <c r="H440" s="960"/>
      <c r="I440" s="960"/>
      <c r="J440" s="960"/>
      <c r="K440" s="712"/>
      <c r="N440" s="2468"/>
      <c r="O440" s="2468"/>
      <c r="AP440" s="712"/>
    </row>
    <row r="441" spans="1:42" s="1808" customFormat="1" ht="19">
      <c r="A441" s="960"/>
      <c r="B441" s="960"/>
      <c r="C441" s="960"/>
      <c r="D441" s="960"/>
      <c r="E441" s="960"/>
      <c r="F441" s="960"/>
      <c r="G441" s="960"/>
      <c r="H441" s="960"/>
      <c r="I441" s="960"/>
      <c r="J441" s="960"/>
      <c r="K441" s="712"/>
      <c r="N441" s="2468"/>
      <c r="O441" s="2468"/>
      <c r="AP441" s="712"/>
    </row>
    <row r="442" spans="1:42">
      <c r="K442" s="712" t="s">
        <v>238</v>
      </c>
      <c r="AP442" s="712" t="s">
        <v>238</v>
      </c>
    </row>
    <row r="443" spans="1:42" s="1808" customFormat="1" ht="21">
      <c r="A443" s="960"/>
      <c r="B443" s="960"/>
      <c r="C443" s="960"/>
      <c r="D443" s="960"/>
      <c r="E443" s="960"/>
      <c r="F443" s="960"/>
      <c r="G443" s="960"/>
      <c r="H443" s="960"/>
      <c r="I443" s="960"/>
      <c r="J443" s="960"/>
      <c r="K443" s="712" t="s">
        <v>238</v>
      </c>
      <c r="L443" s="2385" t="s">
        <v>3935</v>
      </c>
      <c r="M443" s="2182"/>
      <c r="N443" s="2182"/>
      <c r="O443" s="2182"/>
      <c r="P443" s="2182"/>
      <c r="Q443" s="2182"/>
      <c r="R443" s="2182"/>
      <c r="S443" s="2182"/>
      <c r="T443" s="2182"/>
      <c r="U443" s="2182"/>
      <c r="V443" s="2182"/>
      <c r="W443" s="2182"/>
      <c r="X443" s="2182"/>
      <c r="Y443" s="2182"/>
      <c r="Z443" s="2182"/>
      <c r="AA443" s="2182"/>
      <c r="AB443" s="2182"/>
      <c r="AC443" s="2182"/>
      <c r="AD443" s="2182"/>
      <c r="AE443" s="2182"/>
      <c r="AF443" s="2182"/>
      <c r="AG443" s="2182"/>
      <c r="AH443" s="2182"/>
      <c r="AI443" s="2182"/>
      <c r="AJ443" s="2182"/>
      <c r="AK443" s="2182"/>
      <c r="AL443" s="2182"/>
      <c r="AM443" s="2182"/>
      <c r="AN443" s="2182"/>
      <c r="AO443" s="2182"/>
      <c r="AP443" s="712" t="s">
        <v>238</v>
      </c>
    </row>
    <row r="444" spans="1:42">
      <c r="K444" s="712" t="s">
        <v>238</v>
      </c>
      <c r="AP444" s="712" t="s">
        <v>238</v>
      </c>
    </row>
    <row r="445" spans="1:42">
      <c r="K445" s="712" t="s">
        <v>238</v>
      </c>
      <c r="AP445" s="712" t="s">
        <v>238</v>
      </c>
    </row>
    <row r="446" spans="1:42">
      <c r="K446" s="712" t="s">
        <v>238</v>
      </c>
      <c r="AP446" s="712" t="s">
        <v>238</v>
      </c>
    </row>
    <row r="447" spans="1:42" ht="16" thickBot="1">
      <c r="K447" s="712" t="s">
        <v>238</v>
      </c>
      <c r="AP447" s="712" t="s">
        <v>238</v>
      </c>
    </row>
    <row r="448" spans="1:42" ht="32">
      <c r="K448" s="712" t="s">
        <v>238</v>
      </c>
      <c r="N448" s="2434" t="s">
        <v>3033</v>
      </c>
      <c r="O448" s="1700" t="s">
        <v>3034</v>
      </c>
      <c r="P448" s="1702" t="s">
        <v>3040</v>
      </c>
      <c r="Q448" s="1702" t="s">
        <v>3041</v>
      </c>
      <c r="R448" s="1702" t="s">
        <v>3042</v>
      </c>
      <c r="S448" s="1700" t="s">
        <v>3035</v>
      </c>
      <c r="T448" s="1702"/>
      <c r="U448" s="2435"/>
      <c r="V448" s="1808"/>
      <c r="W448" s="1808"/>
      <c r="X448" s="1808"/>
      <c r="Y448" s="1808"/>
      <c r="Z448" s="1808"/>
      <c r="AA448" s="1808"/>
      <c r="AB448" s="1808"/>
      <c r="AC448" s="1808"/>
      <c r="AP448" s="712" t="s">
        <v>238</v>
      </c>
    </row>
    <row r="449" spans="1:42">
      <c r="K449" s="712" t="s">
        <v>238</v>
      </c>
      <c r="N449" s="2296"/>
      <c r="O449" s="958"/>
      <c r="P449" s="958"/>
      <c r="Q449" s="946"/>
      <c r="R449" s="946"/>
      <c r="S449" s="958"/>
      <c r="T449" s="946"/>
      <c r="U449" s="2309"/>
      <c r="V449" s="1808"/>
      <c r="W449" s="1808"/>
      <c r="X449" s="1808"/>
      <c r="Y449" s="1808"/>
      <c r="Z449" s="1808"/>
      <c r="AA449" s="1808"/>
      <c r="AB449" s="1808"/>
      <c r="AC449" s="1808"/>
      <c r="AP449" s="712" t="s">
        <v>238</v>
      </c>
    </row>
    <row r="450" spans="1:42">
      <c r="K450" s="712" t="s">
        <v>238</v>
      </c>
      <c r="N450" s="2296" t="s">
        <v>3932</v>
      </c>
      <c r="O450" s="958" t="str">
        <f>IFERROR(VLOOKUP(N450,Price[],2,0),"")</f>
        <v>Top-up for NGO staff and doctors for HIV detection and treatment enrollment</v>
      </c>
      <c r="P450" s="958" t="str">
        <f>IFERROR(VLOOKUP(N450,Price[],3,0),"")</f>
        <v>bonus salarial</v>
      </c>
      <c r="Q450" s="946">
        <f>IFERROR(VLOOKUP(N450,Price[],4,0),"")</f>
        <v>1000</v>
      </c>
      <c r="R450" s="946" t="str">
        <f>IFERROR(VLOOKUP(N450,Price[],5,0),"")</f>
        <v>MDL</v>
      </c>
      <c r="S450" s="958">
        <f t="shared" ref="S450" ca="1" si="125">ROUND(IFERROR(IF(R450="MDL",Q450,Q450*INDIRECT(R450)),0),2)</f>
        <v>1000</v>
      </c>
      <c r="T450" s="946"/>
      <c r="U450" s="2309"/>
      <c r="V450" s="1808"/>
      <c r="W450" s="1808"/>
      <c r="X450" s="1808"/>
      <c r="Y450" s="1808"/>
      <c r="Z450" s="1808"/>
      <c r="AA450" s="1808"/>
      <c r="AB450" s="1808"/>
      <c r="AC450" s="1808"/>
      <c r="AP450" s="712" t="s">
        <v>238</v>
      </c>
    </row>
    <row r="451" spans="1:42">
      <c r="K451" s="712" t="s">
        <v>238</v>
      </c>
      <c r="N451" s="1808"/>
      <c r="O451" s="1808"/>
      <c r="P451" s="1808"/>
      <c r="Q451" s="1808"/>
      <c r="R451" s="734"/>
      <c r="S451" s="1808"/>
      <c r="T451" s="1808"/>
      <c r="U451" s="1808"/>
      <c r="V451" s="1808"/>
      <c r="W451" s="1808"/>
      <c r="X451" s="1808"/>
      <c r="Y451" s="1808"/>
      <c r="Z451" s="1808"/>
      <c r="AA451" s="1808"/>
      <c r="AB451" s="1808"/>
      <c r="AC451" s="1808"/>
      <c r="AP451" s="712" t="s">
        <v>238</v>
      </c>
    </row>
    <row r="452" spans="1:42" ht="19" thickBot="1">
      <c r="K452" s="712" t="s">
        <v>238</v>
      </c>
      <c r="N452" s="1808"/>
      <c r="O452" s="1808"/>
      <c r="P452" s="1808"/>
      <c r="Q452" s="1808"/>
      <c r="R452" s="734"/>
      <c r="S452" s="1808"/>
      <c r="T452" s="1808"/>
      <c r="U452" s="1808"/>
      <c r="V452" s="1808"/>
      <c r="W452" s="2436" t="s">
        <v>178</v>
      </c>
      <c r="X452" s="2437"/>
      <c r="Y452" s="2438"/>
      <c r="Z452" s="2437"/>
      <c r="AA452" s="2437"/>
      <c r="AB452" s="2436" t="s">
        <v>179</v>
      </c>
      <c r="AC452" s="2437"/>
      <c r="AD452" s="2438"/>
      <c r="AE452" s="2437"/>
      <c r="AF452" s="2437"/>
      <c r="AP452" s="712" t="s">
        <v>238</v>
      </c>
    </row>
    <row r="453" spans="1:42" ht="16" thickBot="1">
      <c r="K453" s="712" t="s">
        <v>238</v>
      </c>
      <c r="N453" s="958" t="s">
        <v>2171</v>
      </c>
      <c r="O453" s="958"/>
      <c r="P453" s="958"/>
      <c r="Q453" s="1499">
        <v>2021</v>
      </c>
      <c r="R453" s="1499">
        <v>2022</v>
      </c>
      <c r="S453" s="1499">
        <v>2023</v>
      </c>
      <c r="T453" s="1499">
        <v>2024</v>
      </c>
      <c r="U453" s="1499">
        <v>2025</v>
      </c>
      <c r="V453" s="1808"/>
      <c r="W453" s="2439">
        <v>2021</v>
      </c>
      <c r="X453" s="2440">
        <v>2022</v>
      </c>
      <c r="Y453" s="2440">
        <v>2023</v>
      </c>
      <c r="Z453" s="2440">
        <v>2024</v>
      </c>
      <c r="AA453" s="2441">
        <v>2025</v>
      </c>
      <c r="AB453" s="2439">
        <v>2021</v>
      </c>
      <c r="AC453" s="2440">
        <v>2022</v>
      </c>
      <c r="AD453" s="2440">
        <v>2023</v>
      </c>
      <c r="AE453" s="2440">
        <v>2024</v>
      </c>
      <c r="AF453" s="2441">
        <v>2025</v>
      </c>
      <c r="AP453" s="712" t="s">
        <v>238</v>
      </c>
    </row>
    <row r="454" spans="1:42" ht="16" thickBot="1">
      <c r="K454" s="712" t="s">
        <v>238</v>
      </c>
      <c r="N454" s="958"/>
      <c r="O454" s="946"/>
      <c r="P454" s="958"/>
      <c r="Q454" s="2442">
        <f>W454+AB454</f>
        <v>215</v>
      </c>
      <c r="R454" s="2442">
        <f t="shared" ref="R454:U454" si="126">X454+AC454</f>
        <v>225</v>
      </c>
      <c r="S454" s="2442">
        <f t="shared" si="126"/>
        <v>235</v>
      </c>
      <c r="T454" s="2442">
        <f t="shared" si="126"/>
        <v>0</v>
      </c>
      <c r="U454" s="2442">
        <f t="shared" si="126"/>
        <v>0</v>
      </c>
      <c r="V454" s="1808"/>
      <c r="W454" s="2317">
        <v>150</v>
      </c>
      <c r="X454" s="2317">
        <v>155</v>
      </c>
      <c r="Y454" s="2317">
        <v>160</v>
      </c>
      <c r="Z454" s="2317"/>
      <c r="AA454" s="2317"/>
      <c r="AB454" s="2317">
        <v>65</v>
      </c>
      <c r="AC454" s="2317">
        <v>70</v>
      </c>
      <c r="AD454" s="2317">
        <v>75</v>
      </c>
      <c r="AE454" s="2317"/>
      <c r="AF454" s="2317"/>
      <c r="AP454" s="712" t="s">
        <v>238</v>
      </c>
    </row>
    <row r="455" spans="1:42" ht="16" thickBot="1">
      <c r="A455" s="730">
        <v>147</v>
      </c>
      <c r="B455" s="733">
        <f ca="1">Q455</f>
        <v>215000</v>
      </c>
      <c r="C455" s="733">
        <f ca="1">R455</f>
        <v>225000</v>
      </c>
      <c r="D455" s="733">
        <f ca="1">S455</f>
        <v>235000</v>
      </c>
      <c r="E455" s="733">
        <f ca="1">T455</f>
        <v>0</v>
      </c>
      <c r="F455" s="733">
        <f ca="1">U455</f>
        <v>0</v>
      </c>
      <c r="G455" s="733" t="s">
        <v>351</v>
      </c>
      <c r="H455" s="842" t="s">
        <v>3935</v>
      </c>
      <c r="I455" s="2188" t="s">
        <v>3717</v>
      </c>
      <c r="J455" s="841" t="s">
        <v>2925</v>
      </c>
      <c r="K455" s="712" t="s">
        <v>238</v>
      </c>
      <c r="N455" s="1710" t="s">
        <v>3044</v>
      </c>
      <c r="O455" s="1709"/>
      <c r="P455" s="1709">
        <f ca="1">S450</f>
        <v>1000</v>
      </c>
      <c r="Q455" s="2443">
        <f ca="1">Q454*P455</f>
        <v>215000</v>
      </c>
      <c r="R455" s="2443">
        <f ca="1">R454*P455</f>
        <v>225000</v>
      </c>
      <c r="S455" s="2443">
        <f ca="1">S454*P455</f>
        <v>235000</v>
      </c>
      <c r="T455" s="2443">
        <f ca="1">T454*P455</f>
        <v>0</v>
      </c>
      <c r="U455" s="2443">
        <f ca="1">U454*P455</f>
        <v>0</v>
      </c>
      <c r="V455" s="1808"/>
      <c r="W455" s="1808"/>
      <c r="X455" s="1808"/>
      <c r="Y455" s="1808"/>
      <c r="Z455" s="1808"/>
      <c r="AA455" s="1808"/>
      <c r="AB455" s="1808"/>
      <c r="AC455" s="1808"/>
      <c r="AP455" s="712" t="s">
        <v>238</v>
      </c>
    </row>
    <row r="456" spans="1:42">
      <c r="AP456" s="712" t="s">
        <v>238</v>
      </c>
    </row>
    <row r="457" spans="1:42">
      <c r="AP457" s="712" t="s">
        <v>238</v>
      </c>
    </row>
    <row r="458" spans="1:42">
      <c r="AP458" s="712" t="s">
        <v>238</v>
      </c>
    </row>
    <row r="459" spans="1:42">
      <c r="AP459" s="712" t="s">
        <v>238</v>
      </c>
    </row>
    <row r="460" spans="1:42">
      <c r="AP460" s="712" t="s">
        <v>238</v>
      </c>
    </row>
    <row r="461" spans="1:42">
      <c r="AP461" s="712" t="s">
        <v>238</v>
      </c>
    </row>
    <row r="462" spans="1:42">
      <c r="AP462" s="712" t="s">
        <v>238</v>
      </c>
    </row>
    <row r="463" spans="1:42">
      <c r="AP463" s="712" t="s">
        <v>238</v>
      </c>
    </row>
    <row r="464" spans="1:42">
      <c r="AP464" s="712" t="s">
        <v>238</v>
      </c>
    </row>
    <row r="465" spans="42:42">
      <c r="AP465" s="712" t="s">
        <v>238</v>
      </c>
    </row>
    <row r="466" spans="42:42">
      <c r="AP466" s="712" t="s">
        <v>238</v>
      </c>
    </row>
    <row r="467" spans="42:42">
      <c r="AP467" s="712" t="s">
        <v>238</v>
      </c>
    </row>
    <row r="468" spans="42:42">
      <c r="AP468" s="712" t="s">
        <v>238</v>
      </c>
    </row>
    <row r="469" spans="42:42">
      <c r="AP469" s="712" t="s">
        <v>238</v>
      </c>
    </row>
    <row r="470" spans="42:42">
      <c r="AP470" s="712" t="s">
        <v>238</v>
      </c>
    </row>
    <row r="471" spans="42:42">
      <c r="AP471" s="712" t="s">
        <v>238</v>
      </c>
    </row>
    <row r="472" spans="42:42">
      <c r="AP472" s="712" t="s">
        <v>238</v>
      </c>
    </row>
    <row r="473" spans="42:42">
      <c r="AP473" s="712" t="s">
        <v>238</v>
      </c>
    </row>
  </sheetData>
  <mergeCells count="7">
    <mergeCell ref="N328:R328"/>
    <mergeCell ref="N296:R296"/>
    <mergeCell ref="N298:R298"/>
    <mergeCell ref="N302:R302"/>
    <mergeCell ref="N311:R311"/>
    <mergeCell ref="N313:R313"/>
    <mergeCell ref="N317:R317"/>
  </mergeCells>
  <conditionalFormatting sqref="A44">
    <cfRule type="duplicateValues" dxfId="181" priority="80"/>
  </conditionalFormatting>
  <conditionalFormatting sqref="A1">
    <cfRule type="duplicateValues" dxfId="180" priority="78"/>
  </conditionalFormatting>
  <conditionalFormatting sqref="A46">
    <cfRule type="duplicateValues" dxfId="179" priority="73"/>
  </conditionalFormatting>
  <conditionalFormatting sqref="A47">
    <cfRule type="duplicateValues" dxfId="178" priority="71"/>
  </conditionalFormatting>
  <conditionalFormatting sqref="A144">
    <cfRule type="duplicateValues" dxfId="177" priority="66"/>
  </conditionalFormatting>
  <conditionalFormatting sqref="A146">
    <cfRule type="duplicateValues" dxfId="176" priority="65"/>
  </conditionalFormatting>
  <conditionalFormatting sqref="A170">
    <cfRule type="duplicateValues" dxfId="175" priority="63"/>
  </conditionalFormatting>
  <conditionalFormatting sqref="A172">
    <cfRule type="duplicateValues" dxfId="174" priority="62"/>
  </conditionalFormatting>
  <conditionalFormatting sqref="A170:A172">
    <cfRule type="duplicateValues" dxfId="173" priority="64"/>
  </conditionalFormatting>
  <conditionalFormatting sqref="A269">
    <cfRule type="duplicateValues" dxfId="172" priority="60"/>
  </conditionalFormatting>
  <conditionalFormatting sqref="A289">
    <cfRule type="duplicateValues" dxfId="171" priority="58"/>
  </conditionalFormatting>
  <conditionalFormatting sqref="A289 A276:A284">
    <cfRule type="duplicateValues" dxfId="170" priority="59"/>
  </conditionalFormatting>
  <conditionalFormatting sqref="G1:G47 G134:G147 G49:G125 G293:G319 G149:G174 G176:G274 G276:G290 G327:G332 G321:G325 G334:G342 G402:G420 G422:G429 G431:G438 G440:G1048576">
    <cfRule type="containsText" dxfId="169" priority="57" operator="containsText" text="gfatm">
      <formula>NOT(ISERROR(SEARCH("gfatm",G1)))</formula>
    </cfRule>
  </conditionalFormatting>
  <conditionalFormatting sqref="Q8 S9:S26">
    <cfRule type="containsText" dxfId="168" priority="55" operator="containsText" text="USD">
      <formula>NOT(ISERROR(SEARCH("USD",Q8)))</formula>
    </cfRule>
  </conditionalFormatting>
  <conditionalFormatting sqref="A48">
    <cfRule type="duplicateValues" dxfId="167" priority="54"/>
  </conditionalFormatting>
  <conditionalFormatting sqref="G48">
    <cfRule type="containsText" dxfId="166" priority="53" operator="containsText" text="gfatm">
      <formula>NOT(ISERROR(SEARCH("gfatm",G48)))</formula>
    </cfRule>
  </conditionalFormatting>
  <conditionalFormatting sqref="A144:A147 A52:A106 A149:A169 A173:A174">
    <cfRule type="duplicateValues" dxfId="165" priority="754"/>
  </conditionalFormatting>
  <conditionalFormatting sqref="A176:A273">
    <cfRule type="duplicateValues" dxfId="164" priority="756"/>
  </conditionalFormatting>
  <conditionalFormatting sqref="G175">
    <cfRule type="containsText" dxfId="163" priority="51" operator="containsText" text="gfatm">
      <formula>NOT(ISERROR(SEARCH("gfatm",G175)))</formula>
    </cfRule>
  </conditionalFormatting>
  <conditionalFormatting sqref="A175">
    <cfRule type="duplicateValues" dxfId="162" priority="52"/>
  </conditionalFormatting>
  <conditionalFormatting sqref="G275">
    <cfRule type="containsText" dxfId="161" priority="49" operator="containsText" text="gfatm">
      <formula>NOT(ISERROR(SEARCH("gfatm",G275)))</formula>
    </cfRule>
  </conditionalFormatting>
  <conditionalFormatting sqref="A275">
    <cfRule type="duplicateValues" dxfId="160" priority="50"/>
  </conditionalFormatting>
  <conditionalFormatting sqref="G292">
    <cfRule type="containsText" dxfId="159" priority="47" operator="containsText" text="gfatm">
      <formula>NOT(ISERROR(SEARCH("gfatm",G292)))</formula>
    </cfRule>
  </conditionalFormatting>
  <conditionalFormatting sqref="A292">
    <cfRule type="duplicateValues" dxfId="158" priority="48"/>
  </conditionalFormatting>
  <conditionalFormatting sqref="G326">
    <cfRule type="containsText" dxfId="157" priority="45" operator="containsText" text="gfatm">
      <formula>NOT(ISERROR(SEARCH("gfatm",G326)))</formula>
    </cfRule>
  </conditionalFormatting>
  <conditionalFormatting sqref="A326">
    <cfRule type="duplicateValues" dxfId="156" priority="46"/>
  </conditionalFormatting>
  <conditionalFormatting sqref="A323">
    <cfRule type="duplicateValues" dxfId="155" priority="43"/>
  </conditionalFormatting>
  <conditionalFormatting sqref="A323">
    <cfRule type="duplicateValues" dxfId="154" priority="44"/>
  </conditionalFormatting>
  <conditionalFormatting sqref="G323">
    <cfRule type="containsText" dxfId="153" priority="42" operator="containsText" text="gfatm">
      <formula>NOT(ISERROR(SEARCH("gfatm",G323)))</formula>
    </cfRule>
  </conditionalFormatting>
  <conditionalFormatting sqref="A337">
    <cfRule type="duplicateValues" dxfId="152" priority="40"/>
  </conditionalFormatting>
  <conditionalFormatting sqref="A337">
    <cfRule type="duplicateValues" dxfId="151" priority="41"/>
  </conditionalFormatting>
  <conditionalFormatting sqref="G337">
    <cfRule type="containsText" dxfId="150" priority="39" operator="containsText" text="gfatm">
      <formula>NOT(ISERROR(SEARCH("gfatm",G337)))</formula>
    </cfRule>
  </conditionalFormatting>
  <conditionalFormatting sqref="G443">
    <cfRule type="containsText" dxfId="149" priority="38" operator="containsText" text="gfatm">
      <formula>NOT(ISERROR(SEARCH("gfatm",G443)))</formula>
    </cfRule>
  </conditionalFormatting>
  <conditionalFormatting sqref="G455">
    <cfRule type="containsText" dxfId="148" priority="37" operator="containsText" text="gfatm">
      <formula>NOT(ISERROR(SEARCH("gfatm",G455)))</formula>
    </cfRule>
  </conditionalFormatting>
  <conditionalFormatting sqref="A455">
    <cfRule type="duplicateValues" dxfId="147" priority="35"/>
  </conditionalFormatting>
  <conditionalFormatting sqref="A455">
    <cfRule type="duplicateValues" dxfId="146" priority="36"/>
  </conditionalFormatting>
  <conditionalFormatting sqref="G455">
    <cfRule type="containsText" dxfId="145" priority="34" operator="containsText" text="gfatm">
      <formula>NOT(ISERROR(SEARCH("gfatm",G455)))</formula>
    </cfRule>
  </conditionalFormatting>
  <conditionalFormatting sqref="A343:A349 A351:A380 A382:A390 A392:A400">
    <cfRule type="duplicateValues" dxfId="144" priority="33"/>
  </conditionalFormatting>
  <conditionalFormatting sqref="G343:G380 G382:G390 G392:G400">
    <cfRule type="containsText" dxfId="143" priority="32" operator="containsText" text="gfatm">
      <formula>NOT(ISERROR(SEARCH("gfatm",G343)))</formula>
    </cfRule>
  </conditionalFormatting>
  <conditionalFormatting sqref="A350">
    <cfRule type="duplicateValues" dxfId="142" priority="30"/>
  </conditionalFormatting>
  <conditionalFormatting sqref="A350">
    <cfRule type="duplicateValues" dxfId="141" priority="31"/>
  </conditionalFormatting>
  <conditionalFormatting sqref="G350">
    <cfRule type="containsText" dxfId="140" priority="29" operator="containsText" text="gfatm">
      <formula>NOT(ISERROR(SEARCH("gfatm",G350)))</formula>
    </cfRule>
  </conditionalFormatting>
  <conditionalFormatting sqref="R364">
    <cfRule type="containsText" dxfId="139" priority="27" operator="containsText" text="USD">
      <formula>NOT(ISERROR(SEARCH("USD",R364)))</formula>
    </cfRule>
    <cfRule type="containsText" dxfId="138" priority="28" operator="containsText" text="EUR">
      <formula>NOT(ISERROR(SEARCH("EUR",R364)))</formula>
    </cfRule>
  </conditionalFormatting>
  <conditionalFormatting sqref="R396">
    <cfRule type="containsText" dxfId="137" priority="25" operator="containsText" text="USD">
      <formula>NOT(ISERROR(SEARCH("USD",R396)))</formula>
    </cfRule>
    <cfRule type="containsText" dxfId="136" priority="26" operator="containsText" text="EUR">
      <formula>NOT(ISERROR(SEARCH("EUR",R396)))</formula>
    </cfRule>
  </conditionalFormatting>
  <conditionalFormatting sqref="G391">
    <cfRule type="containsText" dxfId="135" priority="24" operator="containsText" text="gfatm">
      <formula>NOT(ISERROR(SEARCH("gfatm",G391)))</formula>
    </cfRule>
  </conditionalFormatting>
  <conditionalFormatting sqref="A391">
    <cfRule type="duplicateValues" dxfId="134" priority="22"/>
  </conditionalFormatting>
  <conditionalFormatting sqref="A391">
    <cfRule type="duplicateValues" dxfId="133" priority="23"/>
  </conditionalFormatting>
  <conditionalFormatting sqref="G391">
    <cfRule type="containsText" dxfId="132" priority="21" operator="containsText" text="gfatm">
      <formula>NOT(ISERROR(SEARCH("gfatm",G391)))</formula>
    </cfRule>
  </conditionalFormatting>
  <conditionalFormatting sqref="G401">
    <cfRule type="containsText" dxfId="131" priority="20" operator="containsText" text="gfatm">
      <formula>NOT(ISERROR(SEARCH("gfatm",G401)))</formula>
    </cfRule>
  </conditionalFormatting>
  <conditionalFormatting sqref="A401">
    <cfRule type="duplicateValues" dxfId="130" priority="18"/>
  </conditionalFormatting>
  <conditionalFormatting sqref="A401">
    <cfRule type="duplicateValues" dxfId="129" priority="19"/>
  </conditionalFormatting>
  <conditionalFormatting sqref="G401">
    <cfRule type="containsText" dxfId="128" priority="17" operator="containsText" text="gfatm">
      <formula>NOT(ISERROR(SEARCH("gfatm",G401)))</formula>
    </cfRule>
  </conditionalFormatting>
  <conditionalFormatting sqref="G421">
    <cfRule type="containsText" dxfId="127" priority="16" operator="containsText" text="gfatm">
      <formula>NOT(ISERROR(SEARCH("gfatm",G421)))</formula>
    </cfRule>
  </conditionalFormatting>
  <conditionalFormatting sqref="A421">
    <cfRule type="duplicateValues" dxfId="126" priority="14"/>
  </conditionalFormatting>
  <conditionalFormatting sqref="A421">
    <cfRule type="duplicateValues" dxfId="125" priority="15"/>
  </conditionalFormatting>
  <conditionalFormatting sqref="G421">
    <cfRule type="containsText" dxfId="124" priority="13" operator="containsText" text="gfatm">
      <formula>NOT(ISERROR(SEARCH("gfatm",G421)))</formula>
    </cfRule>
  </conditionalFormatting>
  <conditionalFormatting sqref="R425">
    <cfRule type="containsText" dxfId="123" priority="11" operator="containsText" text="USD">
      <formula>NOT(ISERROR(SEARCH("USD",R425)))</formula>
    </cfRule>
    <cfRule type="containsText" dxfId="122" priority="12" operator="containsText" text="EUR">
      <formula>NOT(ISERROR(SEARCH("EUR",R425)))</formula>
    </cfRule>
  </conditionalFormatting>
  <conditionalFormatting sqref="R434">
    <cfRule type="containsText" dxfId="121" priority="9" operator="containsText" text="USD">
      <formula>NOT(ISERROR(SEARCH("USD",R434)))</formula>
    </cfRule>
    <cfRule type="containsText" dxfId="120" priority="10" operator="containsText" text="EUR">
      <formula>NOT(ISERROR(SEARCH("EUR",R434)))</formula>
    </cfRule>
  </conditionalFormatting>
  <conditionalFormatting sqref="G430">
    <cfRule type="containsText" dxfId="119" priority="8" operator="containsText" text="gfatm">
      <formula>NOT(ISERROR(SEARCH("gfatm",G430)))</formula>
    </cfRule>
  </conditionalFormatting>
  <conditionalFormatting sqref="A430">
    <cfRule type="duplicateValues" dxfId="118" priority="6"/>
  </conditionalFormatting>
  <conditionalFormatting sqref="A430">
    <cfRule type="duplicateValues" dxfId="117" priority="7"/>
  </conditionalFormatting>
  <conditionalFormatting sqref="G430">
    <cfRule type="containsText" dxfId="116" priority="5" operator="containsText" text="gfatm">
      <formula>NOT(ISERROR(SEARCH("gfatm",G430)))</formula>
    </cfRule>
  </conditionalFormatting>
  <conditionalFormatting sqref="G439">
    <cfRule type="containsText" dxfId="115" priority="4" operator="containsText" text="gfatm">
      <formula>NOT(ISERROR(SEARCH("gfatm",G439)))</formula>
    </cfRule>
  </conditionalFormatting>
  <conditionalFormatting sqref="A439">
    <cfRule type="duplicateValues" dxfId="114" priority="2"/>
  </conditionalFormatting>
  <conditionalFormatting sqref="A439">
    <cfRule type="duplicateValues" dxfId="113" priority="3"/>
  </conditionalFormatting>
  <conditionalFormatting sqref="G439">
    <cfRule type="containsText" dxfId="112" priority="1" operator="containsText" text="gfatm">
      <formula>NOT(ISERROR(SEARCH("gfatm",G439)))</formula>
    </cfRule>
  </conditionalFormatting>
  <dataValidations count="3">
    <dataValidation type="list" allowBlank="1" showInputMessage="1" showErrorMessage="1" sqref="G44 G289 G144 G146 G172 G170 G269 G46:G48 G323 G337 G455 G350 G391 G401 G421 G430 G439" xr:uid="{00000000-0002-0000-1900-000000000000}">
      <formula1>TB_sursa_finant_Ro</formula1>
    </dataValidation>
    <dataValidation type="list" allowBlank="1" showInputMessage="1" showErrorMessage="1" sqref="I44 I46:I48 I144 I146 I172 I170 I269 I289 I323 I337 I455 I350 I391 I401 I421 I430 I439" xr:uid="{00000000-0002-0000-1900-000001000000}">
      <formula1>TB_implementare</formula1>
    </dataValidation>
    <dataValidation type="list" allowBlank="1" showInputMessage="1" showErrorMessage="1" sqref="N365:N383 N397 N426 N435" xr:uid="{00000000-0002-0000-1900-000002000000}">
      <formula1>Denumire_produs_ro</formula1>
    </dataValidation>
  </dataValidations>
  <hyperlinks>
    <hyperlink ref="O1" location="CUPRINS!A1" display="CUPRINS" xr:uid="{00000000-0004-0000-1900-000000000000}"/>
  </hyperlinks>
  <pageMargins left="0.25" right="0.25" top="0.75" bottom="0.75" header="0.3" footer="0.3"/>
  <pageSetup paperSize="9" scale="10" orientation="landscape" r:id="rId1"/>
  <drawing r:id="rId2"/>
  <mc:AlternateContent xmlns:mc="http://schemas.openxmlformats.org/markup-compatibility/2006">
    <mc:Choice Requires="v">
      <legacyDrawing r:id="rId3"/>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3000000}">
          <x14:formula1>
            <xm:f>Nom_activ_2!$H$2:$H$88</xm:f>
          </x14:formula1>
          <xm:sqref>J44 J46:J48 J144 J146 J172 J170 J269 J289 J323 J337 J455 J350 J391 J401 J421 J430 J439</xm:sqref>
        </x14:dataValidation>
        <x14:dataValidation type="list" allowBlank="1" showInputMessage="1" showErrorMessage="1" xr:uid="{00000000-0002-0000-1900-000004000000}">
          <x14:formula1>
            <xm:f>Price_list!$B:$B</xm:f>
          </x14:formula1>
          <xm:sqref>M101:M105 M111:M118 M120:M124 M92:M99 M196:M200 V196:V200 V184:V194 M184:M194 M218:M222 V218:V222 V206:V216 M206:M216</xm:sqref>
        </x14:dataValidation>
        <x14:dataValidation type="list" allowBlank="1" showInputMessage="1" showErrorMessage="1" xr:uid="{00000000-0002-0000-1900-000005000000}">
          <x14:formula1>
            <xm:f>Price_list!$B$2:$B$48</xm:f>
          </x14:formula1>
          <xm:sqref>O10:O25</xm:sqref>
        </x14:dataValidation>
      </x14:dataValidations>
    </ext>
  </extLst>
</worksheet>
</file>

<file path=xl/worksheets/sheet2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dimension ref="A1:AI210"/>
  <sheetViews>
    <sheetView topLeftCell="A31" zoomScale="70" zoomScaleNormal="70" workbookViewId="0">
      <selection activeCell="M71" sqref="M71"/>
    </sheetView>
  </sheetViews>
  <sheetFormatPr baseColWidth="10" defaultColWidth="8.83203125" defaultRowHeight="15" outlineLevelCol="1"/>
  <cols>
    <col min="1" max="1" width="8.83203125" customWidth="1" outlineLevel="1"/>
    <col min="2" max="2" width="21.5" customWidth="1" outlineLevel="1"/>
    <col min="3" max="3" width="34.5" customWidth="1" outlineLevel="1"/>
    <col min="4" max="4" width="12.5" customWidth="1" outlineLevel="1"/>
    <col min="5" max="6" width="10.83203125" customWidth="1" outlineLevel="1"/>
    <col min="7" max="7" width="8.83203125" customWidth="1" outlineLevel="1"/>
    <col min="8" max="8" width="38.6640625" customWidth="1" outlineLevel="1"/>
    <col min="9" max="9" width="12.6640625" customWidth="1" outlineLevel="1"/>
    <col min="10" max="10" width="106.5" customWidth="1" outlineLevel="1"/>
    <col min="11" max="11" width="2" customWidth="1"/>
    <col min="12" max="12" width="21.5" bestFit="1" customWidth="1"/>
    <col min="13" max="13" width="59.83203125" customWidth="1"/>
    <col min="21" max="29" width="10.6640625" customWidth="1"/>
    <col min="30" max="31" width="5.33203125" bestFit="1" customWidth="1"/>
    <col min="34" max="34" width="2" customWidth="1"/>
    <col min="35" max="35" width="13.5" style="1566" customWidth="1"/>
  </cols>
  <sheetData>
    <row r="1" spans="1:35" ht="16" thickBot="1">
      <c r="A1" s="730" t="s">
        <v>345</v>
      </c>
      <c r="B1" s="731">
        <v>2021</v>
      </c>
      <c r="C1" s="731">
        <v>2022</v>
      </c>
      <c r="D1" s="731">
        <v>2023</v>
      </c>
      <c r="E1" s="731">
        <v>2024</v>
      </c>
      <c r="F1" s="731">
        <v>2025</v>
      </c>
      <c r="G1" s="731" t="s">
        <v>484</v>
      </c>
      <c r="H1" s="731" t="s">
        <v>515</v>
      </c>
      <c r="I1" s="732" t="s">
        <v>1834</v>
      </c>
      <c r="J1" s="859"/>
      <c r="K1" s="712" t="s">
        <v>238</v>
      </c>
      <c r="L1" s="1532">
        <f>SUM(B:F)-B1-C1-D1-E1-F1</f>
        <v>3385582.852</v>
      </c>
      <c r="M1" s="1532">
        <f>SUM(AI:AI)</f>
        <v>3385582.852</v>
      </c>
      <c r="N1" s="836">
        <f>L1-M1</f>
        <v>0</v>
      </c>
      <c r="O1" s="1836" t="s">
        <v>356</v>
      </c>
      <c r="AH1" s="1530"/>
      <c r="AI1" s="1566" t="s">
        <v>2449</v>
      </c>
    </row>
    <row r="2" spans="1:35">
      <c r="K2" s="712" t="s">
        <v>238</v>
      </c>
      <c r="AH2" s="1530"/>
    </row>
    <row r="3" spans="1:35" ht="21">
      <c r="K3" s="712"/>
      <c r="L3" s="69">
        <v>1</v>
      </c>
      <c r="M3" s="69" t="s">
        <v>1839</v>
      </c>
      <c r="AH3" s="1530"/>
    </row>
    <row r="4" spans="1:35">
      <c r="K4" s="712" t="s">
        <v>238</v>
      </c>
      <c r="AH4" s="1530"/>
    </row>
    <row r="5" spans="1:35">
      <c r="K5" s="712" t="s">
        <v>238</v>
      </c>
      <c r="AH5" s="1530"/>
    </row>
    <row r="6" spans="1:35">
      <c r="K6" s="712" t="s">
        <v>238</v>
      </c>
      <c r="L6" s="416" t="s">
        <v>1835</v>
      </c>
      <c r="M6" s="416" t="s">
        <v>1836</v>
      </c>
      <c r="N6" s="416">
        <v>125689</v>
      </c>
      <c r="AH6" s="1530"/>
    </row>
    <row r="7" spans="1:35">
      <c r="K7" s="712" t="s">
        <v>238</v>
      </c>
      <c r="L7" s="416"/>
      <c r="M7" s="416" t="s">
        <v>1846</v>
      </c>
      <c r="N7" s="416">
        <v>80724</v>
      </c>
      <c r="AH7" s="1530"/>
    </row>
    <row r="8" spans="1:35">
      <c r="K8" s="712" t="s">
        <v>238</v>
      </c>
      <c r="L8" s="416"/>
      <c r="M8" s="416"/>
      <c r="N8" s="416"/>
      <c r="AH8" s="1530"/>
    </row>
    <row r="9" spans="1:35">
      <c r="K9" s="712" t="s">
        <v>238</v>
      </c>
      <c r="N9" s="431"/>
      <c r="AH9" s="1530"/>
    </row>
    <row r="10" spans="1:35">
      <c r="K10" s="712" t="s">
        <v>238</v>
      </c>
      <c r="AH10" s="1530"/>
    </row>
    <row r="11" spans="1:35">
      <c r="K11" s="712" t="s">
        <v>238</v>
      </c>
      <c r="AH11" s="1530"/>
    </row>
    <row r="12" spans="1:35">
      <c r="K12" s="712" t="s">
        <v>238</v>
      </c>
      <c r="L12" s="416" t="s">
        <v>1837</v>
      </c>
      <c r="M12" s="416" t="s">
        <v>1836</v>
      </c>
      <c r="N12" s="416">
        <v>36550</v>
      </c>
      <c r="AH12" s="1530"/>
    </row>
    <row r="13" spans="1:35">
      <c r="K13" s="712" t="s">
        <v>238</v>
      </c>
      <c r="L13" s="416"/>
      <c r="M13" s="416" t="s">
        <v>1846</v>
      </c>
      <c r="N13" s="416">
        <v>6871</v>
      </c>
      <c r="AH13" s="1530"/>
    </row>
    <row r="14" spans="1:35">
      <c r="K14" s="712" t="s">
        <v>238</v>
      </c>
      <c r="L14" s="416"/>
      <c r="M14" s="416"/>
      <c r="N14" s="416"/>
      <c r="AH14" s="1530"/>
    </row>
    <row r="15" spans="1:35">
      <c r="K15" s="712" t="s">
        <v>238</v>
      </c>
      <c r="N15" s="431"/>
      <c r="AH15" s="1530"/>
    </row>
    <row r="16" spans="1:35">
      <c r="K16" s="712" t="s">
        <v>238</v>
      </c>
      <c r="AH16" s="1530"/>
    </row>
    <row r="17" spans="11:34">
      <c r="K17" s="712" t="s">
        <v>238</v>
      </c>
      <c r="AH17" s="1530"/>
    </row>
    <row r="18" spans="11:34">
      <c r="K18" s="712" t="s">
        <v>238</v>
      </c>
      <c r="L18" s="416" t="s">
        <v>1838</v>
      </c>
      <c r="M18" s="416" t="s">
        <v>1836</v>
      </c>
      <c r="N18" s="416">
        <v>12949</v>
      </c>
      <c r="AH18" s="1530"/>
    </row>
    <row r="19" spans="11:34">
      <c r="K19" s="712" t="s">
        <v>238</v>
      </c>
      <c r="L19" s="416"/>
      <c r="M19" s="416" t="s">
        <v>1846</v>
      </c>
      <c r="N19" s="416">
        <v>8881</v>
      </c>
      <c r="AH19" s="1530"/>
    </row>
    <row r="20" spans="11:34">
      <c r="K20" s="712" t="s">
        <v>238</v>
      </c>
      <c r="L20" s="416"/>
      <c r="M20" s="416"/>
      <c r="N20" s="416"/>
      <c r="AH20" s="1530"/>
    </row>
    <row r="21" spans="11:34">
      <c r="K21" s="712" t="s">
        <v>238</v>
      </c>
      <c r="N21" s="431"/>
      <c r="AH21" s="1530"/>
    </row>
    <row r="22" spans="11:34">
      <c r="K22" s="712" t="s">
        <v>238</v>
      </c>
      <c r="AH22" s="1530"/>
    </row>
    <row r="23" spans="11:34" ht="21">
      <c r="K23" s="712" t="s">
        <v>238</v>
      </c>
      <c r="L23" s="69">
        <v>2</v>
      </c>
      <c r="M23" s="69" t="s">
        <v>1840</v>
      </c>
      <c r="AH23" s="1530"/>
    </row>
    <row r="24" spans="11:34">
      <c r="K24" s="712" t="s">
        <v>238</v>
      </c>
      <c r="AH24" s="1530"/>
    </row>
    <row r="25" spans="11:34">
      <c r="K25" s="712"/>
      <c r="L25" t="s">
        <v>1885</v>
      </c>
      <c r="AH25" s="1530"/>
    </row>
    <row r="26" spans="11:34">
      <c r="K26" s="712" t="s">
        <v>238</v>
      </c>
      <c r="M26" s="431" t="s">
        <v>1841</v>
      </c>
      <c r="AH26" s="1530"/>
    </row>
    <row r="27" spans="11:34" ht="32">
      <c r="K27" s="712" t="s">
        <v>238</v>
      </c>
      <c r="M27" s="973" t="s">
        <v>2017</v>
      </c>
      <c r="N27" s="439">
        <v>9</v>
      </c>
      <c r="O27" s="1534">
        <v>100</v>
      </c>
      <c r="AH27" s="1530"/>
    </row>
    <row r="28" spans="11:34" ht="32">
      <c r="K28" s="712" t="s">
        <v>238</v>
      </c>
      <c r="M28" s="959" t="s">
        <v>2026</v>
      </c>
      <c r="N28" s="439">
        <v>5</v>
      </c>
      <c r="O28" s="1534">
        <v>10000</v>
      </c>
      <c r="AH28" s="1530"/>
    </row>
    <row r="29" spans="11:34" ht="32">
      <c r="K29" s="712" t="s">
        <v>238</v>
      </c>
      <c r="M29" s="973" t="s">
        <v>2018</v>
      </c>
      <c r="N29" s="439">
        <v>17.850000000000001</v>
      </c>
      <c r="O29" s="1533"/>
      <c r="AH29" s="1530"/>
    </row>
    <row r="30" spans="11:34" ht="32">
      <c r="K30" s="712" t="s">
        <v>238</v>
      </c>
      <c r="M30" s="973" t="s">
        <v>2019</v>
      </c>
      <c r="N30" s="439">
        <v>120</v>
      </c>
      <c r="O30" s="1533"/>
      <c r="AH30" s="1530"/>
    </row>
    <row r="31" spans="11:34" ht="32">
      <c r="K31" s="712" t="s">
        <v>238</v>
      </c>
      <c r="M31" s="973" t="s">
        <v>2020</v>
      </c>
      <c r="N31" s="439">
        <v>3800</v>
      </c>
      <c r="O31" s="1534">
        <v>10000</v>
      </c>
      <c r="AH31" s="1530"/>
    </row>
    <row r="32" spans="11:34" ht="32">
      <c r="K32" s="712" t="s">
        <v>238</v>
      </c>
      <c r="M32" s="959" t="s">
        <v>2439</v>
      </c>
      <c r="N32" s="439">
        <v>0.74099999999999999</v>
      </c>
      <c r="O32" s="1533"/>
      <c r="AH32" s="1530"/>
    </row>
    <row r="33" spans="1:35" ht="33" thickBot="1">
      <c r="K33" s="712" t="s">
        <v>238</v>
      </c>
      <c r="M33" s="959" t="s">
        <v>2440</v>
      </c>
      <c r="N33" s="1039">
        <f>700*O33</f>
        <v>8400</v>
      </c>
      <c r="O33" s="1533">
        <v>12</v>
      </c>
      <c r="U33" t="s">
        <v>2450</v>
      </c>
      <c r="AA33" t="s">
        <v>2450</v>
      </c>
      <c r="AH33" s="1530"/>
    </row>
    <row r="34" spans="1:35" ht="22" thickBot="1">
      <c r="K34" s="712" t="s">
        <v>238</v>
      </c>
      <c r="M34" s="69" t="s">
        <v>1842</v>
      </c>
      <c r="U34" s="1535" t="s">
        <v>338</v>
      </c>
      <c r="AA34" s="1535" t="s">
        <v>351</v>
      </c>
      <c r="AH34" s="1530"/>
    </row>
    <row r="35" spans="1:35">
      <c r="K35" s="712" t="s">
        <v>238</v>
      </c>
      <c r="M35" s="431"/>
      <c r="N35">
        <v>2019</v>
      </c>
      <c r="O35" s="431">
        <v>2021</v>
      </c>
      <c r="P35" s="431">
        <v>2022</v>
      </c>
      <c r="Q35" s="431">
        <v>2023</v>
      </c>
      <c r="R35" s="431">
        <v>2024</v>
      </c>
      <c r="S35" s="431">
        <v>2025</v>
      </c>
      <c r="U35" s="1536">
        <v>2021</v>
      </c>
      <c r="V35" s="1537">
        <v>2022</v>
      </c>
      <c r="W35" s="1537">
        <v>2023</v>
      </c>
      <c r="X35" s="1537">
        <v>2024</v>
      </c>
      <c r="Y35" s="1538">
        <v>2025</v>
      </c>
      <c r="AA35" s="1536">
        <v>2021</v>
      </c>
      <c r="AB35" s="1537">
        <v>2022</v>
      </c>
      <c r="AC35" s="1537">
        <v>2023</v>
      </c>
      <c r="AD35" s="1537">
        <v>2024</v>
      </c>
      <c r="AE35" s="1538">
        <v>2025</v>
      </c>
      <c r="AH35" s="1530"/>
    </row>
    <row r="36" spans="1:35">
      <c r="K36" s="712" t="s">
        <v>238</v>
      </c>
      <c r="M36" s="846" t="s">
        <v>2433</v>
      </c>
      <c r="N36" s="416">
        <f>N6+N12</f>
        <v>162239</v>
      </c>
      <c r="O36" s="416">
        <f>$N$36*O37</f>
        <v>162239</v>
      </c>
      <c r="P36" s="416">
        <f t="shared" ref="P36:S36" si="0">$N$36*P37</f>
        <v>162239</v>
      </c>
      <c r="Q36" s="416">
        <f t="shared" si="0"/>
        <v>162239</v>
      </c>
      <c r="R36" s="416">
        <f t="shared" si="0"/>
        <v>162239</v>
      </c>
      <c r="S36" s="416">
        <f t="shared" si="0"/>
        <v>162239</v>
      </c>
      <c r="U36" s="1539"/>
      <c r="V36" s="958"/>
      <c r="W36" s="958"/>
      <c r="X36" s="958"/>
      <c r="Y36" s="1540"/>
      <c r="AA36" s="1539"/>
      <c r="AB36" s="958"/>
      <c r="AC36" s="958"/>
      <c r="AD36" s="958"/>
      <c r="AE36" s="1540"/>
      <c r="AH36" s="1530"/>
    </row>
    <row r="37" spans="1:35">
      <c r="K37" s="712"/>
      <c r="M37" s="847" t="s">
        <v>1886</v>
      </c>
      <c r="N37" s="416"/>
      <c r="O37" s="852">
        <v>1</v>
      </c>
      <c r="P37" s="852">
        <v>1</v>
      </c>
      <c r="Q37" s="852">
        <v>1</v>
      </c>
      <c r="R37" s="1510">
        <v>1</v>
      </c>
      <c r="S37" s="1510">
        <v>1</v>
      </c>
      <c r="U37" s="1541">
        <f>100%-AA37</f>
        <v>9.9999999999999978E-2</v>
      </c>
      <c r="V37" s="1513">
        <f t="shared" ref="V37:Y37" si="1">100%-AB37</f>
        <v>0.5</v>
      </c>
      <c r="W37" s="1513">
        <f t="shared" si="1"/>
        <v>0.8</v>
      </c>
      <c r="X37" s="1513">
        <f t="shared" si="1"/>
        <v>1</v>
      </c>
      <c r="Y37" s="1542">
        <f t="shared" si="1"/>
        <v>1</v>
      </c>
      <c r="AA37" s="1557">
        <v>0.9</v>
      </c>
      <c r="AB37" s="1511">
        <v>0.5</v>
      </c>
      <c r="AC37" s="1511">
        <v>0.2</v>
      </c>
      <c r="AD37" s="1514"/>
      <c r="AE37" s="1558"/>
      <c r="AH37" s="1530"/>
    </row>
    <row r="38" spans="1:35">
      <c r="K38" s="712" t="s">
        <v>238</v>
      </c>
      <c r="M38" s="1006" t="s">
        <v>1843</v>
      </c>
      <c r="N38" s="1565"/>
      <c r="O38" s="416">
        <f>(O36/100*$N$27*$N$29)+(O36/10000*$N$28*$N$30)</f>
        <v>270371.29350000003</v>
      </c>
      <c r="P38" s="416">
        <f t="shared" ref="P38:S38" si="2">(P36/100*$N$27*$N$29)+(P36/10000*$N$28*$N$30)</f>
        <v>270371.29350000003</v>
      </c>
      <c r="Q38" s="416">
        <f t="shared" si="2"/>
        <v>270371.29350000003</v>
      </c>
      <c r="R38" s="416">
        <f t="shared" si="2"/>
        <v>270371.29350000003</v>
      </c>
      <c r="S38" s="416">
        <f t="shared" si="2"/>
        <v>270371.29350000003</v>
      </c>
      <c r="U38" s="1539">
        <f>ROUND(O38*U37,2)</f>
        <v>27037.13</v>
      </c>
      <c r="V38" s="958">
        <f t="shared" ref="V38:Y38" si="3">ROUND(P38*V37,2)</f>
        <v>135185.65</v>
      </c>
      <c r="W38" s="958">
        <f t="shared" si="3"/>
        <v>216297.03</v>
      </c>
      <c r="X38" s="958">
        <f t="shared" si="3"/>
        <v>270371.28999999998</v>
      </c>
      <c r="Y38" s="1540">
        <f t="shared" si="3"/>
        <v>270371.28999999998</v>
      </c>
      <c r="AA38" s="1539">
        <f>ROUND(O38*AA37,2)</f>
        <v>243334.16</v>
      </c>
      <c r="AB38" s="958">
        <f t="shared" ref="AB38:AE38" si="4">ROUND(P38*AB37,2)</f>
        <v>135185.65</v>
      </c>
      <c r="AC38" s="958">
        <f t="shared" si="4"/>
        <v>54074.26</v>
      </c>
      <c r="AD38" s="1496">
        <f t="shared" si="4"/>
        <v>0</v>
      </c>
      <c r="AE38" s="1559">
        <f t="shared" si="4"/>
        <v>0</v>
      </c>
      <c r="AH38" s="1530"/>
    </row>
    <row r="39" spans="1:35">
      <c r="K39" s="712"/>
      <c r="M39" s="1006"/>
      <c r="N39" s="1565"/>
      <c r="O39" s="416"/>
      <c r="P39" s="416"/>
      <c r="Q39" s="416"/>
      <c r="R39" s="416"/>
      <c r="S39" s="416"/>
      <c r="U39" s="1541">
        <f>100%-AA39</f>
        <v>9.9999999999999978E-2</v>
      </c>
      <c r="V39" s="1513">
        <f t="shared" ref="V39" si="5">100%-AB39</f>
        <v>0.5</v>
      </c>
      <c r="W39" s="1513">
        <f t="shared" ref="W39" si="6">100%-AC39</f>
        <v>0.8</v>
      </c>
      <c r="X39" s="1513">
        <f t="shared" ref="X39" si="7">100%-AD39</f>
        <v>1</v>
      </c>
      <c r="Y39" s="1542">
        <f t="shared" ref="Y39" si="8">100%-AE39</f>
        <v>1</v>
      </c>
      <c r="AA39" s="1557">
        <v>0.9</v>
      </c>
      <c r="AB39" s="1511">
        <v>0.5</v>
      </c>
      <c r="AC39" s="1511">
        <v>0.2</v>
      </c>
      <c r="AD39" s="1514"/>
      <c r="AE39" s="1558"/>
      <c r="AH39" s="1530"/>
    </row>
    <row r="40" spans="1:35" ht="16" thickBot="1">
      <c r="K40" s="712" t="s">
        <v>238</v>
      </c>
      <c r="M40" s="1006" t="s">
        <v>1844</v>
      </c>
      <c r="N40" s="1565"/>
      <c r="O40" s="416">
        <f>O36/10000*$N$31</f>
        <v>61650.82</v>
      </c>
      <c r="P40" s="416">
        <f t="shared" ref="P40:S40" si="9">P36/10000*$N$31</f>
        <v>61650.82</v>
      </c>
      <c r="Q40" s="416">
        <f t="shared" si="9"/>
        <v>61650.82</v>
      </c>
      <c r="R40" s="416">
        <f t="shared" si="9"/>
        <v>61650.82</v>
      </c>
      <c r="S40" s="416">
        <f t="shared" si="9"/>
        <v>61650.82</v>
      </c>
      <c r="U40" s="1539">
        <f>ROUND(O40*U39,2)</f>
        <v>6165.08</v>
      </c>
      <c r="V40" s="958">
        <f t="shared" ref="V40" si="10">ROUND(P40*V39,2)</f>
        <v>30825.41</v>
      </c>
      <c r="W40" s="958">
        <f t="shared" ref="W40" si="11">ROUND(Q40*W39,2)</f>
        <v>49320.66</v>
      </c>
      <c r="X40" s="958">
        <f t="shared" ref="X40" si="12">ROUND(R40*X39,2)</f>
        <v>61650.82</v>
      </c>
      <c r="Y40" s="1540">
        <f t="shared" ref="Y40" si="13">ROUND(S40*Y39,2)</f>
        <v>61650.82</v>
      </c>
      <c r="AA40" s="1539">
        <f>ROUND(O40*AA39,2)</f>
        <v>55485.74</v>
      </c>
      <c r="AB40" s="958">
        <f t="shared" ref="AB40" si="14">ROUND(P40*AB39,2)</f>
        <v>30825.41</v>
      </c>
      <c r="AC40" s="958">
        <f t="shared" ref="AC40" si="15">ROUND(Q40*AC39,2)</f>
        <v>12330.16</v>
      </c>
      <c r="AD40" s="1496">
        <f t="shared" ref="AD40" si="16">ROUND(R40*AD39,2)</f>
        <v>0</v>
      </c>
      <c r="AE40" s="1559">
        <f t="shared" ref="AE40" si="17">ROUND(S40*AE39,2)</f>
        <v>0</v>
      </c>
      <c r="AH40" s="1530"/>
    </row>
    <row r="41" spans="1:35" ht="16" thickBot="1">
      <c r="A41" s="730">
        <v>77</v>
      </c>
      <c r="B41" s="1367">
        <f>U41</f>
        <v>33202.21</v>
      </c>
      <c r="C41" s="1367">
        <f t="shared" ref="C41:F41" si="18">V41</f>
        <v>166011.06</v>
      </c>
      <c r="D41" s="1367">
        <f t="shared" si="18"/>
        <v>265617.69</v>
      </c>
      <c r="E41" s="1367">
        <f t="shared" si="18"/>
        <v>332022.11</v>
      </c>
      <c r="F41" s="1367">
        <f t="shared" si="18"/>
        <v>332022.11</v>
      </c>
      <c r="G41" s="1367" t="s">
        <v>338</v>
      </c>
      <c r="H41" s="1515" t="s">
        <v>2436</v>
      </c>
      <c r="I41" s="1523"/>
      <c r="J41" s="1524" t="s">
        <v>2933</v>
      </c>
      <c r="K41" s="712" t="s">
        <v>238</v>
      </c>
      <c r="M41" s="431" t="s">
        <v>1887</v>
      </c>
      <c r="N41" s="431"/>
      <c r="O41" s="431">
        <f>SUM(O38:O40)</f>
        <v>332022.11350000004</v>
      </c>
      <c r="P41" s="431">
        <f t="shared" ref="P41:S41" si="19">SUM(P38:P40)</f>
        <v>332022.11350000004</v>
      </c>
      <c r="Q41" s="431">
        <f t="shared" si="19"/>
        <v>332022.11350000004</v>
      </c>
      <c r="R41" s="431">
        <f t="shared" si="19"/>
        <v>332022.11350000004</v>
      </c>
      <c r="S41" s="431">
        <f t="shared" si="19"/>
        <v>332022.11350000004</v>
      </c>
      <c r="T41" s="431"/>
      <c r="U41" s="1543">
        <f>U38+U40</f>
        <v>33202.21</v>
      </c>
      <c r="V41" s="1544">
        <f t="shared" ref="V41:Y41" si="20">V38+V40</f>
        <v>166011.06</v>
      </c>
      <c r="W41" s="1544">
        <f t="shared" si="20"/>
        <v>265617.69</v>
      </c>
      <c r="X41" s="1544">
        <f t="shared" si="20"/>
        <v>332022.11</v>
      </c>
      <c r="Y41" s="1545">
        <f t="shared" si="20"/>
        <v>332022.11</v>
      </c>
      <c r="Z41" s="431"/>
      <c r="AA41" s="1543">
        <f>AA38+AA40</f>
        <v>298819.90000000002</v>
      </c>
      <c r="AB41" s="1544">
        <f t="shared" ref="AB41:AE41" si="21">AB38+AB40</f>
        <v>166011.06</v>
      </c>
      <c r="AC41" s="1544">
        <f t="shared" si="21"/>
        <v>66404.42</v>
      </c>
      <c r="AD41" s="1544">
        <f t="shared" si="21"/>
        <v>0</v>
      </c>
      <c r="AE41" s="1545">
        <f t="shared" si="21"/>
        <v>0</v>
      </c>
      <c r="AH41" s="1530"/>
      <c r="AI41" s="1567">
        <f>SUM(U41:AE41)</f>
        <v>1660110.56</v>
      </c>
    </row>
    <row r="42" spans="1:35" ht="16" thickBot="1">
      <c r="A42" s="730">
        <v>78</v>
      </c>
      <c r="B42" s="1367">
        <f>AA41</f>
        <v>298819.90000000002</v>
      </c>
      <c r="C42" s="1367">
        <f>AB41</f>
        <v>166011.06</v>
      </c>
      <c r="D42" s="1367">
        <f>AC41</f>
        <v>66404.42</v>
      </c>
      <c r="E42" s="1367">
        <f>AD41</f>
        <v>0</v>
      </c>
      <c r="F42" s="1367">
        <f>AE41</f>
        <v>0</v>
      </c>
      <c r="G42" s="1367" t="s">
        <v>351</v>
      </c>
      <c r="H42" s="1515" t="s">
        <v>2436</v>
      </c>
      <c r="I42" s="1523"/>
      <c r="J42" s="1524" t="s">
        <v>2933</v>
      </c>
      <c r="K42" s="712"/>
      <c r="M42" s="1516"/>
      <c r="N42" s="1517"/>
      <c r="O42" s="1511">
        <v>1</v>
      </c>
      <c r="P42" s="1511">
        <v>1</v>
      </c>
      <c r="Q42" s="1511">
        <v>1</v>
      </c>
      <c r="R42" s="1512">
        <v>0</v>
      </c>
      <c r="S42" s="1512">
        <v>0</v>
      </c>
      <c r="T42" s="1517"/>
      <c r="U42" s="1546"/>
      <c r="V42" s="1517"/>
      <c r="W42" s="1517"/>
      <c r="X42" s="1517"/>
      <c r="Y42" s="1547"/>
      <c r="Z42" s="1517"/>
      <c r="AA42" s="1546"/>
      <c r="AB42" s="1517"/>
      <c r="AC42" s="1517"/>
      <c r="AD42" s="1517"/>
      <c r="AE42" s="1547"/>
      <c r="AH42" s="1530"/>
      <c r="AI42" s="1567"/>
    </row>
    <row r="43" spans="1:35" s="413" customFormat="1" ht="33" thickBot="1">
      <c r="K43" s="832" t="s">
        <v>238</v>
      </c>
      <c r="M43" s="1519" t="s">
        <v>2434</v>
      </c>
      <c r="N43" s="1520"/>
      <c r="O43" s="1521">
        <f>O42*O36*$N$32</f>
        <v>120219.099</v>
      </c>
      <c r="P43" s="1521">
        <f t="shared" ref="P43:S43" si="22">P42*P36*$N$32</f>
        <v>120219.099</v>
      </c>
      <c r="Q43" s="1521">
        <f t="shared" si="22"/>
        <v>120219.099</v>
      </c>
      <c r="R43" s="1521">
        <f t="shared" si="22"/>
        <v>0</v>
      </c>
      <c r="S43" s="1521">
        <f t="shared" si="22"/>
        <v>0</v>
      </c>
      <c r="T43" s="1520"/>
      <c r="U43" s="1548">
        <f>100%-AA43</f>
        <v>0</v>
      </c>
      <c r="V43" s="1518">
        <f t="shared" ref="V43" si="23">100%-AB43</f>
        <v>0</v>
      </c>
      <c r="W43" s="1518">
        <f t="shared" ref="W43" si="24">100%-AC43</f>
        <v>0</v>
      </c>
      <c r="X43" s="1518">
        <f t="shared" ref="X43" si="25">100%-AD43</f>
        <v>1</v>
      </c>
      <c r="Y43" s="1549">
        <f t="shared" ref="Y43" si="26">100%-AE43</f>
        <v>1</v>
      </c>
      <c r="Z43" s="1522"/>
      <c r="AA43" s="1557">
        <v>1</v>
      </c>
      <c r="AB43" s="1511">
        <v>1</v>
      </c>
      <c r="AC43" s="1511">
        <v>1</v>
      </c>
      <c r="AD43" s="1518"/>
      <c r="AE43" s="1549"/>
      <c r="AH43" s="1531"/>
      <c r="AI43" s="1568"/>
    </row>
    <row r="44" spans="1:35" s="1508" customFormat="1" ht="16" thickBot="1">
      <c r="A44" s="730">
        <v>79</v>
      </c>
      <c r="B44" s="1367">
        <f>U44</f>
        <v>0</v>
      </c>
      <c r="C44" s="1367">
        <f t="shared" ref="C44:F44" si="27">V44</f>
        <v>0</v>
      </c>
      <c r="D44" s="1367">
        <f t="shared" si="27"/>
        <v>0</v>
      </c>
      <c r="E44" s="1367">
        <f t="shared" si="27"/>
        <v>0</v>
      </c>
      <c r="F44" s="1367">
        <f t="shared" si="27"/>
        <v>0</v>
      </c>
      <c r="G44" s="1367" t="s">
        <v>338</v>
      </c>
      <c r="H44" s="1515" t="s">
        <v>2435</v>
      </c>
      <c r="I44" s="1523"/>
      <c r="J44" s="1524" t="s">
        <v>2933</v>
      </c>
      <c r="K44" s="1507"/>
      <c r="M44" s="1505"/>
      <c r="O44" s="1509"/>
      <c r="P44" s="1509"/>
      <c r="Q44" s="1509"/>
      <c r="R44" s="1509"/>
      <c r="S44" s="1509"/>
      <c r="U44" s="1550">
        <f>U43*O43</f>
        <v>0</v>
      </c>
      <c r="V44" s="1509">
        <f t="shared" ref="V44:Y44" si="28">V43*P43</f>
        <v>0</v>
      </c>
      <c r="W44" s="1509">
        <f t="shared" si="28"/>
        <v>0</v>
      </c>
      <c r="X44" s="1509">
        <f t="shared" si="28"/>
        <v>0</v>
      </c>
      <c r="Y44" s="1551">
        <f t="shared" si="28"/>
        <v>0</v>
      </c>
      <c r="AA44" s="1550">
        <f>AA43*O43</f>
        <v>120219.099</v>
      </c>
      <c r="AB44" s="1509">
        <f t="shared" ref="AB44:AE44" si="29">AB43*P43</f>
        <v>120219.099</v>
      </c>
      <c r="AC44" s="1509">
        <f t="shared" si="29"/>
        <v>120219.099</v>
      </c>
      <c r="AD44" s="1509">
        <f t="shared" si="29"/>
        <v>0</v>
      </c>
      <c r="AE44" s="1551">
        <f t="shared" si="29"/>
        <v>0</v>
      </c>
      <c r="AH44" s="1507"/>
      <c r="AI44" s="1569">
        <f>SUM(U44:AE44)</f>
        <v>360657.29700000002</v>
      </c>
    </row>
    <row r="45" spans="1:35" s="413" customFormat="1" ht="16" thickBot="1">
      <c r="A45" s="730">
        <v>80</v>
      </c>
      <c r="B45" s="1367">
        <f>AA44</f>
        <v>120219.099</v>
      </c>
      <c r="C45" s="1367">
        <f t="shared" ref="C45:F45" si="30">AB44</f>
        <v>120219.099</v>
      </c>
      <c r="D45" s="1367">
        <f t="shared" si="30"/>
        <v>120219.099</v>
      </c>
      <c r="E45" s="1367">
        <f t="shared" si="30"/>
        <v>0</v>
      </c>
      <c r="F45" s="1367">
        <f t="shared" si="30"/>
        <v>0</v>
      </c>
      <c r="G45" s="1367" t="s">
        <v>351</v>
      </c>
      <c r="H45" s="1515" t="s">
        <v>2435</v>
      </c>
      <c r="I45" s="1523"/>
      <c r="J45" s="1524" t="s">
        <v>2933</v>
      </c>
      <c r="K45" s="832"/>
      <c r="M45" s="1505"/>
      <c r="O45" s="1506"/>
      <c r="P45" s="1506"/>
      <c r="Q45" s="1506"/>
      <c r="R45" s="1506"/>
      <c r="S45" s="1506"/>
      <c r="U45" s="1552"/>
      <c r="V45" s="1506"/>
      <c r="W45" s="1506"/>
      <c r="X45" s="1506"/>
      <c r="Y45" s="1553"/>
      <c r="AA45" s="1552"/>
      <c r="AB45" s="1506"/>
      <c r="AC45" s="1506"/>
      <c r="AD45" s="1506"/>
      <c r="AE45" s="1553"/>
      <c r="AH45" s="1531"/>
      <c r="AI45" s="1568"/>
    </row>
    <row r="46" spans="1:35">
      <c r="K46" s="712" t="s">
        <v>238</v>
      </c>
      <c r="U46" s="1049"/>
      <c r="V46" s="960"/>
      <c r="W46" s="960"/>
      <c r="X46" s="960"/>
      <c r="Y46" s="62"/>
      <c r="AA46" s="1049"/>
      <c r="AB46" s="960"/>
      <c r="AC46" s="960"/>
      <c r="AD46" s="1081"/>
      <c r="AE46" s="1560"/>
      <c r="AH46" s="1530"/>
    </row>
    <row r="47" spans="1:35" ht="48">
      <c r="K47" s="712" t="s">
        <v>238</v>
      </c>
      <c r="M47" s="1526" t="s">
        <v>2441</v>
      </c>
      <c r="N47" s="416">
        <f>N7+N13</f>
        <v>87595</v>
      </c>
      <c r="O47" s="416">
        <f>$N$47*O48</f>
        <v>87595</v>
      </c>
      <c r="P47" s="416">
        <f>$N$47*P48</f>
        <v>87595</v>
      </c>
      <c r="Q47" s="416">
        <f>$N$47*Q48</f>
        <v>87595</v>
      </c>
      <c r="R47" s="416">
        <f>$N$47*R48</f>
        <v>87595</v>
      </c>
      <c r="S47" s="416">
        <f>$N$47*S48</f>
        <v>87595</v>
      </c>
      <c r="U47" s="1539"/>
      <c r="V47" s="958"/>
      <c r="W47" s="958"/>
      <c r="X47" s="958"/>
      <c r="Y47" s="1540"/>
      <c r="AA47" s="1539"/>
      <c r="AB47" s="958"/>
      <c r="AC47" s="958"/>
      <c r="AD47" s="1496"/>
      <c r="AE47" s="1559"/>
      <c r="AH47" s="1530"/>
    </row>
    <row r="48" spans="1:35">
      <c r="K48" s="712" t="s">
        <v>238</v>
      </c>
      <c r="M48" s="847" t="s">
        <v>1886</v>
      </c>
      <c r="N48" s="416"/>
      <c r="O48" s="852">
        <v>1</v>
      </c>
      <c r="P48" s="852">
        <v>1</v>
      </c>
      <c r="Q48" s="852">
        <v>1</v>
      </c>
      <c r="R48" s="852">
        <v>1</v>
      </c>
      <c r="S48" s="852">
        <v>1</v>
      </c>
      <c r="U48" s="1541">
        <f>100%-AA48</f>
        <v>9.9999999999999978E-2</v>
      </c>
      <c r="V48" s="1513">
        <f t="shared" ref="V48" si="31">100%-AB48</f>
        <v>0.5</v>
      </c>
      <c r="W48" s="1513">
        <f t="shared" ref="W48" si="32">100%-AC48</f>
        <v>0.8</v>
      </c>
      <c r="X48" s="1513">
        <f t="shared" ref="X48" si="33">100%-AD48</f>
        <v>1</v>
      </c>
      <c r="Y48" s="1542">
        <f t="shared" ref="Y48" si="34">100%-AE48</f>
        <v>1</v>
      </c>
      <c r="AA48" s="1557">
        <v>0.9</v>
      </c>
      <c r="AB48" s="1511">
        <v>0.5</v>
      </c>
      <c r="AC48" s="1511">
        <v>0.2</v>
      </c>
      <c r="AD48" s="1514"/>
      <c r="AE48" s="1558"/>
      <c r="AH48" s="1530"/>
    </row>
    <row r="49" spans="1:35">
      <c r="K49" s="712" t="s">
        <v>238</v>
      </c>
      <c r="M49" s="1006" t="s">
        <v>1843</v>
      </c>
      <c r="N49" s="1565"/>
      <c r="O49" s="416">
        <f>(O47/100*$N$27*$N$29)+(O47/10000*$N$28*$N$30)</f>
        <v>145977.06750000003</v>
      </c>
      <c r="P49" s="416">
        <f t="shared" ref="P49:S49" si="35">(P47/100*$N$27*$N$29)+(P47/10000*$N$28*$N$30)</f>
        <v>145977.06750000003</v>
      </c>
      <c r="Q49" s="416">
        <f t="shared" si="35"/>
        <v>145977.06750000003</v>
      </c>
      <c r="R49" s="416">
        <f t="shared" si="35"/>
        <v>145977.06750000003</v>
      </c>
      <c r="S49" s="416">
        <f t="shared" si="35"/>
        <v>145977.06750000003</v>
      </c>
      <c r="U49" s="1539">
        <f>ROUND(O49*U48,2)</f>
        <v>14597.71</v>
      </c>
      <c r="V49" s="958">
        <f t="shared" ref="V49" si="36">ROUND(P49*V48,2)</f>
        <v>72988.53</v>
      </c>
      <c r="W49" s="958">
        <f t="shared" ref="W49" si="37">ROUND(Q49*W48,2)</f>
        <v>116781.65</v>
      </c>
      <c r="X49" s="958">
        <f t="shared" ref="X49" si="38">ROUND(R49*X48,2)</f>
        <v>145977.07</v>
      </c>
      <c r="Y49" s="1540">
        <f t="shared" ref="Y49" si="39">ROUND(S49*Y48,2)</f>
        <v>145977.07</v>
      </c>
      <c r="AA49" s="1539">
        <f>ROUND(O49*AA48,2)</f>
        <v>131379.35999999999</v>
      </c>
      <c r="AB49" s="958">
        <f t="shared" ref="AB49" si="40">ROUND(P49*AB48,2)</f>
        <v>72988.53</v>
      </c>
      <c r="AC49" s="958">
        <f t="shared" ref="AC49" si="41">ROUND(Q49*AC48,2)</f>
        <v>29195.41</v>
      </c>
      <c r="AD49" s="1496">
        <f t="shared" ref="AD49" si="42">ROUND(R49*AD48,2)</f>
        <v>0</v>
      </c>
      <c r="AE49" s="1559">
        <f t="shared" ref="AE49" si="43">ROUND(S49*AE48,2)</f>
        <v>0</v>
      </c>
      <c r="AH49" s="1530"/>
    </row>
    <row r="50" spans="1:35" ht="16" thickBot="1">
      <c r="K50" s="712" t="s">
        <v>238</v>
      </c>
      <c r="M50" s="1006"/>
      <c r="N50" s="1565"/>
      <c r="O50" s="416"/>
      <c r="P50" s="416"/>
      <c r="Q50" s="416"/>
      <c r="R50" s="416"/>
      <c r="S50" s="416"/>
      <c r="U50" s="1541">
        <f>100%-AA50</f>
        <v>9.9999999999999978E-2</v>
      </c>
      <c r="V50" s="1513">
        <f t="shared" ref="V50" si="44">100%-AB50</f>
        <v>0.5</v>
      </c>
      <c r="W50" s="1513">
        <f t="shared" ref="W50" si="45">100%-AC50</f>
        <v>0.8</v>
      </c>
      <c r="X50" s="1513">
        <f t="shared" ref="X50" si="46">100%-AD50</f>
        <v>1</v>
      </c>
      <c r="Y50" s="1542">
        <f t="shared" ref="Y50" si="47">100%-AE50</f>
        <v>1</v>
      </c>
      <c r="AA50" s="1557">
        <v>0.9</v>
      </c>
      <c r="AB50" s="1511">
        <v>0.5</v>
      </c>
      <c r="AC50" s="1511">
        <v>0.2</v>
      </c>
      <c r="AD50" s="1514"/>
      <c r="AE50" s="1558"/>
      <c r="AH50" s="1530"/>
    </row>
    <row r="51" spans="1:35" ht="16" thickBot="1">
      <c r="A51" s="730">
        <v>81</v>
      </c>
      <c r="B51" s="1367">
        <f>U52</f>
        <v>17926.32</v>
      </c>
      <c r="C51" s="1367">
        <f t="shared" ref="C51:F51" si="48">V52</f>
        <v>89631.58</v>
      </c>
      <c r="D51" s="1367">
        <f t="shared" si="48"/>
        <v>143410.53</v>
      </c>
      <c r="E51" s="1367">
        <f t="shared" si="48"/>
        <v>179263.17</v>
      </c>
      <c r="F51" s="1367">
        <f t="shared" si="48"/>
        <v>179263.17</v>
      </c>
      <c r="G51" s="1367" t="s">
        <v>338</v>
      </c>
      <c r="H51" s="1515" t="s">
        <v>2438</v>
      </c>
      <c r="I51" s="1523"/>
      <c r="J51" s="1524" t="s">
        <v>2937</v>
      </c>
      <c r="K51" s="712" t="s">
        <v>238</v>
      </c>
      <c r="M51" s="1006" t="s">
        <v>1844</v>
      </c>
      <c r="N51" s="1565"/>
      <c r="O51" s="416">
        <f>O47/10000*$N$31</f>
        <v>33286.1</v>
      </c>
      <c r="P51" s="416">
        <f>P47/10000*$N$31</f>
        <v>33286.1</v>
      </c>
      <c r="Q51" s="416">
        <f>Q47/10000*$N$31</f>
        <v>33286.1</v>
      </c>
      <c r="R51" s="416">
        <f>R47/10000*$N$31</f>
        <v>33286.1</v>
      </c>
      <c r="S51" s="416">
        <f>S47/10000*$N$31</f>
        <v>33286.1</v>
      </c>
      <c r="U51" s="1539">
        <f>ROUND(O51*U50,2)</f>
        <v>3328.61</v>
      </c>
      <c r="V51" s="958">
        <f t="shared" ref="V51" si="49">ROUND(P51*V50,2)</f>
        <v>16643.05</v>
      </c>
      <c r="W51" s="958">
        <f t="shared" ref="W51" si="50">ROUND(Q51*W50,2)</f>
        <v>26628.880000000001</v>
      </c>
      <c r="X51" s="958">
        <f t="shared" ref="X51" si="51">ROUND(R51*X50,2)</f>
        <v>33286.1</v>
      </c>
      <c r="Y51" s="1540">
        <f t="shared" ref="Y51" si="52">ROUND(S51*Y50,2)</f>
        <v>33286.1</v>
      </c>
      <c r="AA51" s="1539">
        <f>ROUND(O51*AA50,2)</f>
        <v>29957.49</v>
      </c>
      <c r="AB51" s="958">
        <f t="shared" ref="AB51" si="53">ROUND(P51*AB50,2)</f>
        <v>16643.05</v>
      </c>
      <c r="AC51" s="958">
        <f t="shared" ref="AC51" si="54">ROUND(Q51*AC50,2)</f>
        <v>6657.22</v>
      </c>
      <c r="AD51" s="1496">
        <f t="shared" ref="AD51" si="55">ROUND(R51*AD50,2)</f>
        <v>0</v>
      </c>
      <c r="AE51" s="1559">
        <f t="shared" ref="AE51" si="56">ROUND(S51*AE50,2)</f>
        <v>0</v>
      </c>
      <c r="AH51" s="1530"/>
    </row>
    <row r="52" spans="1:35" ht="16" thickBot="1">
      <c r="A52" s="730">
        <v>82</v>
      </c>
      <c r="B52" s="1367">
        <f>AA52</f>
        <v>161336.84999999998</v>
      </c>
      <c r="C52" s="1367">
        <f t="shared" ref="C52:F52" si="57">AB52</f>
        <v>89631.58</v>
      </c>
      <c r="D52" s="1367">
        <f t="shared" si="57"/>
        <v>35852.629999999997</v>
      </c>
      <c r="E52" s="1367">
        <f t="shared" si="57"/>
        <v>0</v>
      </c>
      <c r="F52" s="1367">
        <f t="shared" si="57"/>
        <v>0</v>
      </c>
      <c r="G52" s="1367" t="s">
        <v>351</v>
      </c>
      <c r="H52" s="1515" t="s">
        <v>2438</v>
      </c>
      <c r="I52" s="1523"/>
      <c r="J52" s="1524" t="s">
        <v>2937</v>
      </c>
      <c r="K52" s="712" t="s">
        <v>238</v>
      </c>
      <c r="M52" s="431" t="s">
        <v>1887</v>
      </c>
      <c r="N52" s="431"/>
      <c r="O52" s="431">
        <f>SUM(O49:O51)</f>
        <v>179263.16750000004</v>
      </c>
      <c r="P52" s="431">
        <f>SUM(P49:P51)</f>
        <v>179263.16750000004</v>
      </c>
      <c r="Q52" s="431">
        <f>SUM(Q49:Q51)</f>
        <v>179263.16750000004</v>
      </c>
      <c r="R52" s="431">
        <f>SUM(R49:R51)</f>
        <v>179263.16750000004</v>
      </c>
      <c r="S52" s="431">
        <f>SUM(S49:S51)</f>
        <v>179263.16750000004</v>
      </c>
      <c r="T52" s="431"/>
      <c r="U52" s="1543">
        <f>U49+U51</f>
        <v>17926.32</v>
      </c>
      <c r="V52" s="1544">
        <f t="shared" ref="V52" si="58">V49+V51</f>
        <v>89631.58</v>
      </c>
      <c r="W52" s="1544">
        <f t="shared" ref="W52" si="59">W49+W51</f>
        <v>143410.53</v>
      </c>
      <c r="X52" s="1544">
        <f t="shared" ref="X52" si="60">X49+X51</f>
        <v>179263.17</v>
      </c>
      <c r="Y52" s="1545">
        <f t="shared" ref="Y52" si="61">Y49+Y51</f>
        <v>179263.17</v>
      </c>
      <c r="Z52" s="431"/>
      <c r="AA52" s="1543">
        <f>AA49+AA51</f>
        <v>161336.84999999998</v>
      </c>
      <c r="AB52" s="1544">
        <f t="shared" ref="AB52" si="62">AB49+AB51</f>
        <v>89631.58</v>
      </c>
      <c r="AC52" s="1544">
        <f t="shared" ref="AC52" si="63">AC49+AC51</f>
        <v>35852.629999999997</v>
      </c>
      <c r="AD52" s="1561">
        <f t="shared" ref="AD52" si="64">AD49+AD51</f>
        <v>0</v>
      </c>
      <c r="AE52" s="1562">
        <f t="shared" ref="AE52" si="65">AE49+AE51</f>
        <v>0</v>
      </c>
      <c r="AH52" s="1530"/>
      <c r="AI52" s="1567">
        <f>SUM(U52:AE52)</f>
        <v>896315.83</v>
      </c>
    </row>
    <row r="53" spans="1:35" ht="16" thickBot="1">
      <c r="K53" s="712" t="s">
        <v>238</v>
      </c>
      <c r="M53" s="1516"/>
      <c r="N53" s="1517"/>
      <c r="O53" s="1511">
        <v>1</v>
      </c>
      <c r="P53" s="1511">
        <v>1</v>
      </c>
      <c r="Q53" s="1511">
        <v>1</v>
      </c>
      <c r="R53" s="1512">
        <v>0</v>
      </c>
      <c r="S53" s="1512">
        <v>0</v>
      </c>
      <c r="T53" s="1517"/>
      <c r="U53" s="1546"/>
      <c r="V53" s="1517"/>
      <c r="W53" s="1517"/>
      <c r="X53" s="1517"/>
      <c r="Y53" s="1547"/>
      <c r="Z53" s="1517"/>
      <c r="AA53" s="1546"/>
      <c r="AB53" s="1517"/>
      <c r="AC53" s="1517"/>
      <c r="AD53" s="1517"/>
      <c r="AE53" s="1547"/>
      <c r="AH53" s="1530"/>
    </row>
    <row r="54" spans="1:35" ht="33" thickBot="1">
      <c r="A54" s="730">
        <v>83</v>
      </c>
      <c r="B54" s="1367">
        <f>U55</f>
        <v>0</v>
      </c>
      <c r="C54" s="1367">
        <f>V55</f>
        <v>0</v>
      </c>
      <c r="D54" s="1367">
        <f>W55</f>
        <v>0</v>
      </c>
      <c r="E54" s="1367">
        <f>X55</f>
        <v>0</v>
      </c>
      <c r="F54" s="1367">
        <f>Y55</f>
        <v>0</v>
      </c>
      <c r="G54" s="1367" t="s">
        <v>338</v>
      </c>
      <c r="H54" s="1515" t="s">
        <v>2437</v>
      </c>
      <c r="I54" s="1523"/>
      <c r="J54" s="1524" t="s">
        <v>2937</v>
      </c>
      <c r="K54" s="712" t="s">
        <v>238</v>
      </c>
      <c r="M54" s="1519" t="s">
        <v>2434</v>
      </c>
      <c r="N54" s="1520"/>
      <c r="O54" s="1521">
        <f>O53*O47*$N$32</f>
        <v>64907.894999999997</v>
      </c>
      <c r="P54" s="1521">
        <f t="shared" ref="P54" si="66">P53*P47*$N$32</f>
        <v>64907.894999999997</v>
      </c>
      <c r="Q54" s="1521">
        <f t="shared" ref="Q54" si="67">Q53*Q47*$N$32</f>
        <v>64907.894999999997</v>
      </c>
      <c r="R54" s="1521">
        <f t="shared" ref="R54" si="68">R53*R47*$N$32</f>
        <v>0</v>
      </c>
      <c r="S54" s="1521">
        <f t="shared" ref="S54" si="69">S53*S47*$N$32</f>
        <v>0</v>
      </c>
      <c r="T54" s="1520"/>
      <c r="U54" s="1548">
        <f>100%-AA54</f>
        <v>0</v>
      </c>
      <c r="V54" s="1518">
        <f t="shared" ref="V54" si="70">100%-AB54</f>
        <v>0</v>
      </c>
      <c r="W54" s="1518">
        <f t="shared" ref="W54" si="71">100%-AC54</f>
        <v>0</v>
      </c>
      <c r="X54" s="1518">
        <f t="shared" ref="X54" si="72">100%-AD54</f>
        <v>1</v>
      </c>
      <c r="Y54" s="1549">
        <f t="shared" ref="Y54" si="73">100%-AE54</f>
        <v>1</v>
      </c>
      <c r="Z54" s="1522"/>
      <c r="AA54" s="1557">
        <v>1</v>
      </c>
      <c r="AB54" s="1511">
        <v>1</v>
      </c>
      <c r="AC54" s="1511">
        <v>1</v>
      </c>
      <c r="AD54" s="1518"/>
      <c r="AE54" s="1549"/>
      <c r="AH54" s="1530"/>
    </row>
    <row r="55" spans="1:35" ht="16" thickBot="1">
      <c r="A55" s="730">
        <v>84</v>
      </c>
      <c r="B55" s="1367">
        <f>AA55</f>
        <v>64907.894999999997</v>
      </c>
      <c r="C55" s="1367">
        <f>AB55</f>
        <v>64907.894999999997</v>
      </c>
      <c r="D55" s="1367">
        <f>AC55</f>
        <v>64907.894999999997</v>
      </c>
      <c r="E55" s="1367">
        <f>AD55</f>
        <v>0</v>
      </c>
      <c r="F55" s="1367">
        <f>AE55</f>
        <v>0</v>
      </c>
      <c r="G55" s="1367" t="s">
        <v>351</v>
      </c>
      <c r="H55" s="1515" t="s">
        <v>2437</v>
      </c>
      <c r="I55" s="1523"/>
      <c r="J55" s="1524" t="s">
        <v>2937</v>
      </c>
      <c r="K55" s="712" t="s">
        <v>238</v>
      </c>
      <c r="M55" s="1505"/>
      <c r="N55" s="1508"/>
      <c r="O55" s="1509"/>
      <c r="P55" s="1509"/>
      <c r="Q55" s="1509"/>
      <c r="R55" s="1509"/>
      <c r="S55" s="1509"/>
      <c r="T55" s="1508"/>
      <c r="U55" s="1554">
        <f>U54*O54</f>
        <v>0</v>
      </c>
      <c r="V55" s="1555">
        <f t="shared" ref="V55" si="74">V54*P54</f>
        <v>0</v>
      </c>
      <c r="W55" s="1555">
        <f t="shared" ref="W55" si="75">W54*Q54</f>
        <v>0</v>
      </c>
      <c r="X55" s="1555">
        <f t="shared" ref="X55" si="76">X54*R54</f>
        <v>0</v>
      </c>
      <c r="Y55" s="1556">
        <f t="shared" ref="Y55" si="77">Y54*S54</f>
        <v>0</v>
      </c>
      <c r="Z55" s="1508"/>
      <c r="AA55" s="1554">
        <f>AA54*O54</f>
        <v>64907.894999999997</v>
      </c>
      <c r="AB55" s="1555">
        <f t="shared" ref="AB55" si="78">AB54*P54</f>
        <v>64907.894999999997</v>
      </c>
      <c r="AC55" s="1555">
        <f t="shared" ref="AC55" si="79">AC54*Q54</f>
        <v>64907.894999999997</v>
      </c>
      <c r="AD55" s="1555">
        <f t="shared" ref="AD55" si="80">AD54*R54</f>
        <v>0</v>
      </c>
      <c r="AE55" s="1556">
        <f t="shared" ref="AE55" si="81">AE54*S54</f>
        <v>0</v>
      </c>
      <c r="AH55" s="1530"/>
      <c r="AI55" s="1569">
        <f>SUM(U55:AE55)</f>
        <v>194723.685</v>
      </c>
    </row>
    <row r="56" spans="1:35">
      <c r="K56" s="712" t="s">
        <v>238</v>
      </c>
      <c r="AD56" s="853"/>
      <c r="AE56" s="853"/>
      <c r="AH56" s="1530"/>
    </row>
    <row r="57" spans="1:35" ht="16" thickBot="1">
      <c r="K57" s="712" t="s">
        <v>238</v>
      </c>
      <c r="AD57" s="853"/>
      <c r="AE57" s="853"/>
      <c r="AH57" s="1530"/>
    </row>
    <row r="58" spans="1:35" ht="22" thickBot="1">
      <c r="K58" s="712" t="s">
        <v>238</v>
      </c>
      <c r="M58" s="69" t="s">
        <v>1845</v>
      </c>
      <c r="U58" s="1535" t="s">
        <v>513</v>
      </c>
      <c r="AA58" s="1535" t="s">
        <v>351</v>
      </c>
      <c r="AD58" s="853"/>
      <c r="AE58" s="853"/>
      <c r="AH58" s="1530"/>
    </row>
    <row r="59" spans="1:35">
      <c r="K59" s="712" t="s">
        <v>238</v>
      </c>
      <c r="M59" s="431"/>
      <c r="N59">
        <v>2019</v>
      </c>
      <c r="O59" s="431">
        <v>2021</v>
      </c>
      <c r="P59" s="431">
        <v>2022</v>
      </c>
      <c r="Q59" s="431">
        <v>2023</v>
      </c>
      <c r="R59" s="431">
        <v>2024</v>
      </c>
      <c r="S59" s="431">
        <v>2025</v>
      </c>
      <c r="U59" s="1536">
        <v>2021</v>
      </c>
      <c r="V59" s="1537">
        <v>2022</v>
      </c>
      <c r="W59" s="1537">
        <v>2023</v>
      </c>
      <c r="X59" s="1537">
        <v>2024</v>
      </c>
      <c r="Y59" s="1538">
        <v>2025</v>
      </c>
      <c r="AA59" s="1536">
        <v>2021</v>
      </c>
      <c r="AB59" s="1537">
        <v>2022</v>
      </c>
      <c r="AC59" s="1537">
        <v>2023</v>
      </c>
      <c r="AD59" s="1563">
        <v>2024</v>
      </c>
      <c r="AE59" s="1564">
        <v>2025</v>
      </c>
      <c r="AH59" s="1530"/>
    </row>
    <row r="60" spans="1:35">
      <c r="K60" s="712" t="s">
        <v>238</v>
      </c>
      <c r="M60" s="846" t="s">
        <v>1847</v>
      </c>
      <c r="N60" s="416">
        <f>N18</f>
        <v>12949</v>
      </c>
      <c r="O60" s="416">
        <f>$N$60*O61</f>
        <v>12949</v>
      </c>
      <c r="P60" s="416">
        <f t="shared" ref="P60:S60" si="82">$N$60*P61</f>
        <v>12949</v>
      </c>
      <c r="Q60" s="416">
        <f t="shared" si="82"/>
        <v>12949</v>
      </c>
      <c r="R60" s="416">
        <f t="shared" si="82"/>
        <v>12949</v>
      </c>
      <c r="S60" s="416">
        <f t="shared" si="82"/>
        <v>12949</v>
      </c>
      <c r="U60" s="1539"/>
      <c r="V60" s="958"/>
      <c r="W60" s="958"/>
      <c r="X60" s="958"/>
      <c r="Y60" s="1540"/>
      <c r="AA60" s="1539"/>
      <c r="AB60" s="958"/>
      <c r="AC60" s="958"/>
      <c r="AD60" s="1496"/>
      <c r="AE60" s="1559"/>
      <c r="AH60" s="1530"/>
    </row>
    <row r="61" spans="1:35">
      <c r="K61" s="712" t="s">
        <v>238</v>
      </c>
      <c r="M61" s="847" t="s">
        <v>1886</v>
      </c>
      <c r="N61" s="416"/>
      <c r="O61" s="852">
        <v>1</v>
      </c>
      <c r="P61" s="852">
        <v>1</v>
      </c>
      <c r="Q61" s="852">
        <v>1</v>
      </c>
      <c r="R61" s="852">
        <v>1</v>
      </c>
      <c r="S61" s="852">
        <v>1</v>
      </c>
      <c r="U61" s="1541">
        <f>100%-AA61</f>
        <v>9.9999999999999978E-2</v>
      </c>
      <c r="V61" s="1513">
        <f t="shared" ref="V61" si="83">100%-AB61</f>
        <v>0.5</v>
      </c>
      <c r="W61" s="1513">
        <f t="shared" ref="W61" si="84">100%-AC61</f>
        <v>0.8</v>
      </c>
      <c r="X61" s="1513">
        <f t="shared" ref="X61" si="85">100%-AD61</f>
        <v>1</v>
      </c>
      <c r="Y61" s="1542">
        <f t="shared" ref="Y61" si="86">100%-AE61</f>
        <v>1</v>
      </c>
      <c r="AA61" s="1557">
        <v>0.9</v>
      </c>
      <c r="AB61" s="1511">
        <v>0.5</v>
      </c>
      <c r="AC61" s="1511">
        <v>0.2</v>
      </c>
      <c r="AD61" s="1514"/>
      <c r="AE61" s="1558"/>
      <c r="AH61" s="1530"/>
    </row>
    <row r="62" spans="1:35">
      <c r="K62" s="712" t="s">
        <v>238</v>
      </c>
      <c r="M62" s="1006" t="s">
        <v>1843</v>
      </c>
      <c r="N62" s="1565"/>
      <c r="O62" s="416">
        <f>(O60/100*$N$27*$N$29)+(O60/10000*$N$28*$N$30)</f>
        <v>21579.508500000004</v>
      </c>
      <c r="P62" s="416">
        <f t="shared" ref="P62:S62" si="87">(P60/100*$N$27*$N$29)+(P60/10000*$N$28*$N$30)</f>
        <v>21579.508500000004</v>
      </c>
      <c r="Q62" s="416">
        <f t="shared" si="87"/>
        <v>21579.508500000004</v>
      </c>
      <c r="R62" s="416">
        <f t="shared" si="87"/>
        <v>21579.508500000004</v>
      </c>
      <c r="S62" s="416">
        <f t="shared" si="87"/>
        <v>21579.508500000004</v>
      </c>
      <c r="U62" s="1539">
        <f>ROUND(O62*U61,2)</f>
        <v>2157.9499999999998</v>
      </c>
      <c r="V62" s="958">
        <f t="shared" ref="V62" si="88">ROUND(P62*V61,2)</f>
        <v>10789.75</v>
      </c>
      <c r="W62" s="958">
        <f t="shared" ref="W62" si="89">ROUND(Q62*W61,2)</f>
        <v>17263.61</v>
      </c>
      <c r="X62" s="958">
        <f t="shared" ref="X62" si="90">ROUND(R62*X61,2)</f>
        <v>21579.51</v>
      </c>
      <c r="Y62" s="1540">
        <f t="shared" ref="Y62" si="91">ROUND(S62*Y61,2)</f>
        <v>21579.51</v>
      </c>
      <c r="AA62" s="1539">
        <f>ROUND(O62*AA61,2)</f>
        <v>19421.560000000001</v>
      </c>
      <c r="AB62" s="958">
        <f t="shared" ref="AB62" si="92">ROUND(P62*AB61,2)</f>
        <v>10789.75</v>
      </c>
      <c r="AC62" s="958">
        <f t="shared" ref="AC62" si="93">ROUND(Q62*AC61,2)</f>
        <v>4315.8999999999996</v>
      </c>
      <c r="AD62" s="1496">
        <f t="shared" ref="AD62" si="94">ROUND(R62*AD61,2)</f>
        <v>0</v>
      </c>
      <c r="AE62" s="1559">
        <f t="shared" ref="AE62" si="95">ROUND(S62*AE61,2)</f>
        <v>0</v>
      </c>
      <c r="AH62" s="1530"/>
    </row>
    <row r="63" spans="1:35">
      <c r="K63" s="712" t="s">
        <v>238</v>
      </c>
      <c r="M63" s="1006"/>
      <c r="N63" s="1565"/>
      <c r="O63" s="416"/>
      <c r="P63" s="416"/>
      <c r="Q63" s="416"/>
      <c r="R63" s="416"/>
      <c r="S63" s="416"/>
      <c r="U63" s="1541">
        <f>100%-AA63</f>
        <v>0</v>
      </c>
      <c r="V63" s="1513">
        <f t="shared" ref="V63" si="96">100%-AB63</f>
        <v>0</v>
      </c>
      <c r="W63" s="1513">
        <f t="shared" ref="W63" si="97">100%-AC63</f>
        <v>0</v>
      </c>
      <c r="X63" s="1513">
        <f t="shared" ref="X63" si="98">100%-AD63</f>
        <v>1</v>
      </c>
      <c r="Y63" s="1542">
        <f t="shared" ref="Y63" si="99">100%-AE63</f>
        <v>1</v>
      </c>
      <c r="AA63" s="1557">
        <v>1</v>
      </c>
      <c r="AB63" s="1511">
        <v>1</v>
      </c>
      <c r="AC63" s="1511">
        <v>1</v>
      </c>
      <c r="AD63" s="1514"/>
      <c r="AE63" s="1558"/>
      <c r="AH63" s="1530"/>
    </row>
    <row r="64" spans="1:35" ht="16" thickBot="1">
      <c r="K64" s="712" t="s">
        <v>238</v>
      </c>
      <c r="M64" s="1006" t="s">
        <v>1844</v>
      </c>
      <c r="N64" s="1565"/>
      <c r="O64" s="416">
        <f>O60/10000*$N$31</f>
        <v>4920.62</v>
      </c>
      <c r="P64" s="416">
        <f t="shared" ref="P64:S64" si="100">P60/10000*$N$31</f>
        <v>4920.62</v>
      </c>
      <c r="Q64" s="416">
        <f t="shared" si="100"/>
        <v>4920.62</v>
      </c>
      <c r="R64" s="416">
        <f t="shared" si="100"/>
        <v>4920.62</v>
      </c>
      <c r="S64" s="416">
        <f t="shared" si="100"/>
        <v>4920.62</v>
      </c>
      <c r="U64" s="1539">
        <f>ROUND(O64*U63,2)</f>
        <v>0</v>
      </c>
      <c r="V64" s="958">
        <f t="shared" ref="V64" si="101">ROUND(P64*V63,2)</f>
        <v>0</v>
      </c>
      <c r="W64" s="958">
        <f t="shared" ref="W64" si="102">ROUND(Q64*W63,2)</f>
        <v>0</v>
      </c>
      <c r="X64" s="958">
        <f t="shared" ref="X64" si="103">ROUND(R64*X63,2)</f>
        <v>4920.62</v>
      </c>
      <c r="Y64" s="1540">
        <f t="shared" ref="Y64" si="104">ROUND(S64*Y63,2)</f>
        <v>4920.62</v>
      </c>
      <c r="AA64" s="1539">
        <f>ROUND(O64*AA63,2)</f>
        <v>4920.62</v>
      </c>
      <c r="AB64" s="958">
        <f t="shared" ref="AB64" si="105">ROUND(P64*AB63,2)</f>
        <v>4920.62</v>
      </c>
      <c r="AC64" s="958">
        <f t="shared" ref="AC64" si="106">ROUND(Q64*AC63,2)</f>
        <v>4920.62</v>
      </c>
      <c r="AD64" s="1496">
        <f t="shared" ref="AD64" si="107">ROUND(R64*AD63,2)</f>
        <v>0</v>
      </c>
      <c r="AE64" s="1559">
        <f t="shared" ref="AE64" si="108">ROUND(S64*AE63,2)</f>
        <v>0</v>
      </c>
      <c r="AH64" s="1530"/>
    </row>
    <row r="65" spans="1:35" ht="16" thickBot="1">
      <c r="A65" s="730">
        <v>85</v>
      </c>
      <c r="B65" s="1367">
        <f>U65</f>
        <v>2157.9499999999998</v>
      </c>
      <c r="C65" s="1367">
        <f t="shared" ref="C65:F65" si="109">V65</f>
        <v>10789.75</v>
      </c>
      <c r="D65" s="1367">
        <f t="shared" si="109"/>
        <v>17263.61</v>
      </c>
      <c r="E65" s="1367">
        <f t="shared" si="109"/>
        <v>26500.129999999997</v>
      </c>
      <c r="F65" s="1367">
        <f t="shared" si="109"/>
        <v>26500.129999999997</v>
      </c>
      <c r="G65" s="1367" t="s">
        <v>513</v>
      </c>
      <c r="H65" s="1515" t="s">
        <v>2445</v>
      </c>
      <c r="I65" s="1523"/>
      <c r="J65" s="1524" t="s">
        <v>2933</v>
      </c>
      <c r="K65" s="712" t="s">
        <v>238</v>
      </c>
      <c r="M65" s="431" t="s">
        <v>1887</v>
      </c>
      <c r="N65" s="431"/>
      <c r="O65" s="431">
        <f>SUM(O62:O64)</f>
        <v>26500.128500000003</v>
      </c>
      <c r="P65" s="431">
        <f t="shared" ref="P65" si="110">SUM(P62:P64)</f>
        <v>26500.128500000003</v>
      </c>
      <c r="Q65" s="431">
        <f t="shared" ref="Q65" si="111">SUM(Q62:Q64)</f>
        <v>26500.128500000003</v>
      </c>
      <c r="R65" s="431">
        <f t="shared" ref="R65" si="112">SUM(R62:R64)</f>
        <v>26500.128500000003</v>
      </c>
      <c r="S65" s="431">
        <f t="shared" ref="S65" si="113">SUM(S62:S64)</f>
        <v>26500.128500000003</v>
      </c>
      <c r="T65" s="431"/>
      <c r="U65" s="1543">
        <f>U62+U64</f>
        <v>2157.9499999999998</v>
      </c>
      <c r="V65" s="1544">
        <f t="shared" ref="V65" si="114">V62+V64</f>
        <v>10789.75</v>
      </c>
      <c r="W65" s="1544">
        <f t="shared" ref="W65" si="115">W62+W64</f>
        <v>17263.61</v>
      </c>
      <c r="X65" s="1544">
        <f t="shared" ref="X65" si="116">X62+X64</f>
        <v>26500.129999999997</v>
      </c>
      <c r="Y65" s="1545">
        <f t="shared" ref="Y65" si="117">Y62+Y64</f>
        <v>26500.129999999997</v>
      </c>
      <c r="Z65" s="431"/>
      <c r="AA65" s="1543">
        <f>AA62+AA64</f>
        <v>24342.18</v>
      </c>
      <c r="AB65" s="1544">
        <f t="shared" ref="AB65" si="118">AB62+AB64</f>
        <v>15710.369999999999</v>
      </c>
      <c r="AC65" s="1544">
        <f t="shared" ref="AC65" si="119">AC62+AC64</f>
        <v>9236.52</v>
      </c>
      <c r="AD65" s="1561">
        <f t="shared" ref="AD65" si="120">AD62+AD64</f>
        <v>0</v>
      </c>
      <c r="AE65" s="1562">
        <f t="shared" ref="AE65" si="121">AE62+AE64</f>
        <v>0</v>
      </c>
      <c r="AH65" s="1530"/>
      <c r="AI65" s="1567">
        <f>SUM(U65:AE65)</f>
        <v>132500.63999999998</v>
      </c>
    </row>
    <row r="66" spans="1:35" ht="16" thickBot="1">
      <c r="A66" s="730">
        <v>86</v>
      </c>
      <c r="B66" s="1367">
        <f>AA65</f>
        <v>24342.18</v>
      </c>
      <c r="C66" s="1367">
        <f>AB65</f>
        <v>15710.369999999999</v>
      </c>
      <c r="D66" s="1367">
        <f>AC65</f>
        <v>9236.52</v>
      </c>
      <c r="E66" s="1367">
        <f>AD65</f>
        <v>0</v>
      </c>
      <c r="F66" s="1367">
        <f>AE65</f>
        <v>0</v>
      </c>
      <c r="G66" s="1367" t="s">
        <v>351</v>
      </c>
      <c r="H66" s="1515" t="s">
        <v>2445</v>
      </c>
      <c r="I66" s="1523"/>
      <c r="J66" s="1524" t="s">
        <v>2933</v>
      </c>
      <c r="K66" s="712"/>
      <c r="M66" s="1516" t="s">
        <v>2444</v>
      </c>
      <c r="N66" s="1517"/>
      <c r="O66" s="1511">
        <v>1</v>
      </c>
      <c r="P66" s="1511">
        <v>1</v>
      </c>
      <c r="Q66" s="1511">
        <v>1</v>
      </c>
      <c r="R66" s="1512">
        <v>0</v>
      </c>
      <c r="S66" s="1512">
        <v>0</v>
      </c>
      <c r="T66" s="1517"/>
      <c r="U66" s="1546"/>
      <c r="V66" s="1517"/>
      <c r="W66" s="1517"/>
      <c r="X66" s="1517"/>
      <c r="Y66" s="1547"/>
      <c r="Z66" s="1517"/>
      <c r="AA66" s="1546"/>
      <c r="AB66" s="1517"/>
      <c r="AC66" s="1517"/>
      <c r="AD66" s="1517"/>
      <c r="AE66" s="1547"/>
      <c r="AH66" s="1530"/>
      <c r="AI66" s="1567"/>
    </row>
    <row r="67" spans="1:35" ht="32">
      <c r="K67" s="712"/>
      <c r="M67" s="1528" t="s">
        <v>2443</v>
      </c>
      <c r="N67" s="1529"/>
      <c r="O67" s="1527">
        <v>1</v>
      </c>
      <c r="P67" s="1527">
        <v>1</v>
      </c>
      <c r="Q67" s="1527">
        <v>1</v>
      </c>
      <c r="R67" s="1527">
        <v>1</v>
      </c>
      <c r="S67" s="1527">
        <v>1</v>
      </c>
      <c r="T67" s="1525"/>
      <c r="U67" s="1546"/>
      <c r="V67" s="1517"/>
      <c r="W67" s="1517"/>
      <c r="X67" s="1517"/>
      <c r="Y67" s="1547"/>
      <c r="Z67" s="1525"/>
      <c r="AA67" s="1546"/>
      <c r="AB67" s="1517"/>
      <c r="AC67" s="1517"/>
      <c r="AD67" s="1517"/>
      <c r="AE67" s="1547"/>
      <c r="AH67" s="1530"/>
      <c r="AI67" s="1567"/>
    </row>
    <row r="68" spans="1:35" ht="33" thickBot="1">
      <c r="K68" s="712"/>
      <c r="M68" s="1519" t="s">
        <v>2434</v>
      </c>
      <c r="N68" s="1520"/>
      <c r="O68" s="1521">
        <f>O66*O67*$N$33</f>
        <v>8400</v>
      </c>
      <c r="P68" s="1521">
        <f t="shared" ref="P68:S68" si="122">P66*P67*$N$33</f>
        <v>8400</v>
      </c>
      <c r="Q68" s="1521">
        <f t="shared" si="122"/>
        <v>8400</v>
      </c>
      <c r="R68" s="1521">
        <f t="shared" si="122"/>
        <v>0</v>
      </c>
      <c r="S68" s="1521">
        <f t="shared" si="122"/>
        <v>0</v>
      </c>
      <c r="T68" s="1520"/>
      <c r="U68" s="1548">
        <f>100%-AA68</f>
        <v>0</v>
      </c>
      <c r="V68" s="1518">
        <f t="shared" ref="V68" si="123">100%-AB68</f>
        <v>0</v>
      </c>
      <c r="W68" s="1518">
        <f t="shared" ref="W68" si="124">100%-AC68</f>
        <v>0</v>
      </c>
      <c r="X68" s="1518">
        <f t="shared" ref="X68" si="125">100%-AD68</f>
        <v>1</v>
      </c>
      <c r="Y68" s="1549">
        <f t="shared" ref="Y68" si="126">100%-AE68</f>
        <v>1</v>
      </c>
      <c r="Z68" s="1522"/>
      <c r="AA68" s="1557">
        <v>1</v>
      </c>
      <c r="AB68" s="1511">
        <v>1</v>
      </c>
      <c r="AC68" s="1511">
        <v>1</v>
      </c>
      <c r="AD68" s="1518"/>
      <c r="AE68" s="1549"/>
      <c r="AH68" s="1530"/>
      <c r="AI68" s="1567"/>
    </row>
    <row r="69" spans="1:35" ht="16" thickBot="1">
      <c r="A69" s="730">
        <v>87</v>
      </c>
      <c r="B69" s="1367">
        <f>U69</f>
        <v>0</v>
      </c>
      <c r="C69" s="1367">
        <f t="shared" ref="C69:F69" si="127">V69</f>
        <v>0</v>
      </c>
      <c r="D69" s="1367">
        <f t="shared" si="127"/>
        <v>0</v>
      </c>
      <c r="E69" s="1367">
        <f t="shared" si="127"/>
        <v>0</v>
      </c>
      <c r="F69" s="1367">
        <f t="shared" si="127"/>
        <v>0</v>
      </c>
      <c r="G69" s="1367" t="s">
        <v>513</v>
      </c>
      <c r="H69" s="1515" t="s">
        <v>2446</v>
      </c>
      <c r="I69" s="1523"/>
      <c r="J69" s="1524" t="s">
        <v>2933</v>
      </c>
      <c r="K69" s="712"/>
      <c r="M69" s="1505"/>
      <c r="N69" s="1508"/>
      <c r="O69" s="1509"/>
      <c r="P69" s="1509"/>
      <c r="Q69" s="1509"/>
      <c r="R69" s="1509"/>
      <c r="S69" s="1509"/>
      <c r="T69" s="1508"/>
      <c r="U69" s="1550">
        <f>U68*O68</f>
        <v>0</v>
      </c>
      <c r="V69" s="1509">
        <f t="shared" ref="V69" si="128">V68*P68</f>
        <v>0</v>
      </c>
      <c r="W69" s="1509">
        <f t="shared" ref="W69" si="129">W68*Q68</f>
        <v>0</v>
      </c>
      <c r="X69" s="1509">
        <f t="shared" ref="X69" si="130">X68*R68</f>
        <v>0</v>
      </c>
      <c r="Y69" s="1551">
        <f t="shared" ref="Y69" si="131">Y68*S68</f>
        <v>0</v>
      </c>
      <c r="Z69" s="1508"/>
      <c r="AA69" s="1550">
        <f>AA68*O68</f>
        <v>8400</v>
      </c>
      <c r="AB69" s="1509">
        <f t="shared" ref="AB69" si="132">AB68*P68</f>
        <v>8400</v>
      </c>
      <c r="AC69" s="1509">
        <f t="shared" ref="AC69" si="133">AC68*Q68</f>
        <v>8400</v>
      </c>
      <c r="AD69" s="1509">
        <f t="shared" ref="AD69" si="134">AD68*R68</f>
        <v>0</v>
      </c>
      <c r="AE69" s="1551">
        <f t="shared" ref="AE69" si="135">AE68*S68</f>
        <v>0</v>
      </c>
      <c r="AH69" s="1530"/>
      <c r="AI69" s="1569">
        <f>SUM(U69:AE69)</f>
        <v>25200</v>
      </c>
    </row>
    <row r="70" spans="1:35" ht="16" thickBot="1">
      <c r="A70" s="730">
        <v>88</v>
      </c>
      <c r="B70" s="1367">
        <f>AA69</f>
        <v>8400</v>
      </c>
      <c r="C70" s="1367">
        <f t="shared" ref="C70:F70" si="136">AB69</f>
        <v>8400</v>
      </c>
      <c r="D70" s="1367">
        <f t="shared" si="136"/>
        <v>8400</v>
      </c>
      <c r="E70" s="1367">
        <f t="shared" si="136"/>
        <v>0</v>
      </c>
      <c r="F70" s="1367">
        <f t="shared" si="136"/>
        <v>0</v>
      </c>
      <c r="G70" s="1367" t="s">
        <v>351</v>
      </c>
      <c r="H70" s="1515" t="s">
        <v>2446</v>
      </c>
      <c r="I70" s="1523"/>
      <c r="J70" s="1524" t="s">
        <v>2933</v>
      </c>
      <c r="K70" s="712"/>
      <c r="M70" s="431"/>
      <c r="N70" s="431"/>
      <c r="O70" s="431"/>
      <c r="P70" s="431"/>
      <c r="Q70" s="431"/>
      <c r="R70" s="431"/>
      <c r="S70" s="431"/>
      <c r="T70" s="431"/>
      <c r="U70" s="1543"/>
      <c r="V70" s="1544"/>
      <c r="W70" s="1544"/>
      <c r="X70" s="1544"/>
      <c r="Y70" s="1545"/>
      <c r="Z70" s="431"/>
      <c r="AA70" s="1543"/>
      <c r="AB70" s="1544"/>
      <c r="AC70" s="1544"/>
      <c r="AD70" s="1561"/>
      <c r="AE70" s="1562"/>
      <c r="AH70" s="1530"/>
      <c r="AI70" s="1567"/>
    </row>
    <row r="71" spans="1:35">
      <c r="K71" s="712" t="s">
        <v>238</v>
      </c>
      <c r="U71" s="1049"/>
      <c r="V71" s="960"/>
      <c r="W71" s="960"/>
      <c r="X71" s="960"/>
      <c r="Y71" s="62"/>
      <c r="AA71" s="1049"/>
      <c r="AB71" s="960"/>
      <c r="AC71" s="960"/>
      <c r="AD71" s="1081"/>
      <c r="AE71" s="1560"/>
      <c r="AH71" s="1530"/>
    </row>
    <row r="72" spans="1:35">
      <c r="K72" s="712" t="s">
        <v>238</v>
      </c>
      <c r="U72" s="1049"/>
      <c r="V72" s="960"/>
      <c r="W72" s="960"/>
      <c r="X72" s="960"/>
      <c r="Y72" s="62"/>
      <c r="AA72" s="1049"/>
      <c r="AB72" s="960"/>
      <c r="AC72" s="960"/>
      <c r="AD72" s="1081"/>
      <c r="AE72" s="1560"/>
      <c r="AH72" s="1530"/>
    </row>
    <row r="73" spans="1:35" ht="48">
      <c r="K73" s="712" t="s">
        <v>238</v>
      </c>
      <c r="M73" s="1526" t="s">
        <v>2442</v>
      </c>
      <c r="N73" s="416">
        <f>N19</f>
        <v>8881</v>
      </c>
      <c r="O73" s="416">
        <f>$N$73*O74</f>
        <v>8881</v>
      </c>
      <c r="P73" s="416">
        <f t="shared" ref="P73:S73" si="137">$N$73*P74</f>
        <v>8881</v>
      </c>
      <c r="Q73" s="416">
        <f t="shared" si="137"/>
        <v>8881</v>
      </c>
      <c r="R73" s="416">
        <f t="shared" si="137"/>
        <v>8881</v>
      </c>
      <c r="S73" s="416">
        <f t="shared" si="137"/>
        <v>8881</v>
      </c>
      <c r="U73" s="1539"/>
      <c r="V73" s="958"/>
      <c r="W73" s="958"/>
      <c r="X73" s="958"/>
      <c r="Y73" s="1540"/>
      <c r="AA73" s="1539"/>
      <c r="AB73" s="958"/>
      <c r="AC73" s="958"/>
      <c r="AD73" s="1496"/>
      <c r="AE73" s="1559"/>
      <c r="AH73" s="1530"/>
    </row>
    <row r="74" spans="1:35">
      <c r="K74" s="712" t="s">
        <v>238</v>
      </c>
      <c r="M74" s="847" t="s">
        <v>1886</v>
      </c>
      <c r="N74" s="416"/>
      <c r="O74" s="852">
        <v>1</v>
      </c>
      <c r="P74" s="852">
        <v>1</v>
      </c>
      <c r="Q74" s="852">
        <v>1</v>
      </c>
      <c r="R74" s="852">
        <v>1</v>
      </c>
      <c r="S74" s="852">
        <v>1</v>
      </c>
      <c r="U74" s="1541">
        <f>100%-AA74</f>
        <v>9.9999999999999978E-2</v>
      </c>
      <c r="V74" s="1513">
        <f t="shared" ref="V74" si="138">100%-AB74</f>
        <v>0.5</v>
      </c>
      <c r="W74" s="1513">
        <f t="shared" ref="W74" si="139">100%-AC74</f>
        <v>0.8</v>
      </c>
      <c r="X74" s="1513">
        <f t="shared" ref="X74" si="140">100%-AD74</f>
        <v>1</v>
      </c>
      <c r="Y74" s="1542">
        <f t="shared" ref="Y74" si="141">100%-AE74</f>
        <v>1</v>
      </c>
      <c r="AA74" s="1557">
        <v>0.9</v>
      </c>
      <c r="AB74" s="1511">
        <v>0.5</v>
      </c>
      <c r="AC74" s="1511">
        <v>0.2</v>
      </c>
      <c r="AD74" s="1514"/>
      <c r="AE74" s="1558"/>
      <c r="AH74" s="1530"/>
    </row>
    <row r="75" spans="1:35">
      <c r="K75" s="712" t="s">
        <v>238</v>
      </c>
      <c r="M75" s="1006" t="s">
        <v>1843</v>
      </c>
      <c r="N75" s="1565"/>
      <c r="O75" s="416">
        <f>(O73/100*$N$27*$N$29)+(O73/10000*$N$28*$N$30)</f>
        <v>14800.186500000002</v>
      </c>
      <c r="P75" s="416">
        <f t="shared" ref="P75:S75" si="142">(P73/100*$N$27*$N$29)+(P73/10000*$N$28*$N$30)</f>
        <v>14800.186500000002</v>
      </c>
      <c r="Q75" s="416">
        <f t="shared" si="142"/>
        <v>14800.186500000002</v>
      </c>
      <c r="R75" s="416">
        <f t="shared" si="142"/>
        <v>14800.186500000002</v>
      </c>
      <c r="S75" s="416">
        <f t="shared" si="142"/>
        <v>14800.186500000002</v>
      </c>
      <c r="U75" s="1539">
        <f>ROUND(O75*U74,2)</f>
        <v>1480.02</v>
      </c>
      <c r="V75" s="958">
        <f t="shared" ref="V75" si="143">ROUND(P75*V74,2)</f>
        <v>7400.09</v>
      </c>
      <c r="W75" s="958">
        <f t="shared" ref="W75" si="144">ROUND(Q75*W74,2)</f>
        <v>11840.15</v>
      </c>
      <c r="X75" s="958">
        <f t="shared" ref="X75" si="145">ROUND(R75*X74,2)</f>
        <v>14800.19</v>
      </c>
      <c r="Y75" s="1540">
        <f t="shared" ref="Y75" si="146">ROUND(S75*Y74,2)</f>
        <v>14800.19</v>
      </c>
      <c r="AA75" s="1539">
        <f>ROUND(O75*AA74,2)</f>
        <v>13320.17</v>
      </c>
      <c r="AB75" s="958">
        <f t="shared" ref="AB75" si="147">ROUND(P75*AB74,2)</f>
        <v>7400.09</v>
      </c>
      <c r="AC75" s="958">
        <f t="shared" ref="AC75" si="148">ROUND(Q75*AC74,2)</f>
        <v>2960.04</v>
      </c>
      <c r="AD75" s="1496">
        <f t="shared" ref="AD75" si="149">ROUND(R75*AD74,2)</f>
        <v>0</v>
      </c>
      <c r="AE75" s="1559">
        <f t="shared" ref="AE75" si="150">ROUND(S75*AE74,2)</f>
        <v>0</v>
      </c>
      <c r="AH75" s="1530"/>
    </row>
    <row r="76" spans="1:35" ht="16" thickBot="1">
      <c r="K76" s="712" t="s">
        <v>238</v>
      </c>
      <c r="M76" s="1006"/>
      <c r="N76" s="1565"/>
      <c r="O76" s="416"/>
      <c r="P76" s="416"/>
      <c r="Q76" s="416"/>
      <c r="R76" s="416"/>
      <c r="S76" s="416"/>
      <c r="U76" s="1541">
        <f>100%-AA76</f>
        <v>0</v>
      </c>
      <c r="V76" s="1513">
        <f t="shared" ref="V76" si="151">100%-AB76</f>
        <v>0</v>
      </c>
      <c r="W76" s="1513">
        <f t="shared" ref="W76" si="152">100%-AC76</f>
        <v>0</v>
      </c>
      <c r="X76" s="1513">
        <f t="shared" ref="X76" si="153">100%-AD76</f>
        <v>1</v>
      </c>
      <c r="Y76" s="1542">
        <f t="shared" ref="Y76" si="154">100%-AE76</f>
        <v>1</v>
      </c>
      <c r="AA76" s="1557">
        <v>1</v>
      </c>
      <c r="AB76" s="1511">
        <v>1</v>
      </c>
      <c r="AC76" s="1511">
        <v>1</v>
      </c>
      <c r="AD76" s="1514"/>
      <c r="AE76" s="1558"/>
      <c r="AH76" s="1530"/>
    </row>
    <row r="77" spans="1:35" ht="16" thickBot="1">
      <c r="A77" s="730">
        <v>89</v>
      </c>
      <c r="B77" s="1367">
        <f>U78</f>
        <v>1480.02</v>
      </c>
      <c r="C77" s="1367">
        <f>V78</f>
        <v>7400.09</v>
      </c>
      <c r="D77" s="1367">
        <f t="shared" ref="D77:F77" si="155">W78</f>
        <v>11840.15</v>
      </c>
      <c r="E77" s="1367">
        <f t="shared" si="155"/>
        <v>18174.97</v>
      </c>
      <c r="F77" s="1367">
        <f t="shared" si="155"/>
        <v>18174.97</v>
      </c>
      <c r="G77" s="1367" t="s">
        <v>513</v>
      </c>
      <c r="H77" s="1515" t="s">
        <v>2447</v>
      </c>
      <c r="I77" s="1523"/>
      <c r="J77" s="1524" t="s">
        <v>2937</v>
      </c>
      <c r="K77" s="712" t="s">
        <v>238</v>
      </c>
      <c r="M77" s="1006" t="s">
        <v>1844</v>
      </c>
      <c r="N77" s="1565"/>
      <c r="O77" s="416">
        <f>O73/10000*$N$31</f>
        <v>3374.78</v>
      </c>
      <c r="P77" s="416">
        <f>P73/10000*$N$31</f>
        <v>3374.78</v>
      </c>
      <c r="Q77" s="416">
        <f>Q73/10000*$N$31</f>
        <v>3374.78</v>
      </c>
      <c r="R77" s="416">
        <f>R73/10000*$N$31</f>
        <v>3374.78</v>
      </c>
      <c r="S77" s="416">
        <f>S73/10000*$N$31</f>
        <v>3374.78</v>
      </c>
      <c r="U77" s="1539">
        <f>ROUND(O77*U76,2)</f>
        <v>0</v>
      </c>
      <c r="V77" s="958">
        <f t="shared" ref="V77" si="156">ROUND(P77*V76,2)</f>
        <v>0</v>
      </c>
      <c r="W77" s="958">
        <f t="shared" ref="W77" si="157">ROUND(Q77*W76,2)</f>
        <v>0</v>
      </c>
      <c r="X77" s="958">
        <f t="shared" ref="X77" si="158">ROUND(R77*X76,2)</f>
        <v>3374.78</v>
      </c>
      <c r="Y77" s="1540">
        <f t="shared" ref="Y77" si="159">ROUND(S77*Y76,2)</f>
        <v>3374.78</v>
      </c>
      <c r="AA77" s="1539">
        <f>ROUND(O77*AA76,2)</f>
        <v>3374.78</v>
      </c>
      <c r="AB77" s="958">
        <f t="shared" ref="AB77" si="160">ROUND(P77*AB76,2)</f>
        <v>3374.78</v>
      </c>
      <c r="AC77" s="958">
        <f t="shared" ref="AC77" si="161">ROUND(Q77*AC76,2)</f>
        <v>3374.78</v>
      </c>
      <c r="AD77" s="1496">
        <f t="shared" ref="AD77" si="162">ROUND(R77*AD76,2)</f>
        <v>0</v>
      </c>
      <c r="AE77" s="1559">
        <f t="shared" ref="AE77" si="163">ROUND(S77*AE76,2)</f>
        <v>0</v>
      </c>
      <c r="AH77" s="1530"/>
    </row>
    <row r="78" spans="1:35" ht="16" thickBot="1">
      <c r="A78" s="730">
        <v>90</v>
      </c>
      <c r="B78" s="1367">
        <f>AA78</f>
        <v>16694.95</v>
      </c>
      <c r="C78" s="1367">
        <f t="shared" ref="C78:F78" si="164">AB78</f>
        <v>10774.87</v>
      </c>
      <c r="D78" s="1367">
        <f t="shared" si="164"/>
        <v>6334.82</v>
      </c>
      <c r="E78" s="1367">
        <f t="shared" si="164"/>
        <v>0</v>
      </c>
      <c r="F78" s="1367">
        <f t="shared" si="164"/>
        <v>0</v>
      </c>
      <c r="G78" s="1367" t="s">
        <v>351</v>
      </c>
      <c r="H78" s="1515" t="s">
        <v>2447</v>
      </c>
      <c r="I78" s="1523"/>
      <c r="J78" s="1524" t="s">
        <v>2937</v>
      </c>
      <c r="K78" s="712" t="s">
        <v>238</v>
      </c>
      <c r="M78" s="431" t="s">
        <v>1887</v>
      </c>
      <c r="N78" s="431"/>
      <c r="O78" s="431">
        <f>SUM(O75:O77)</f>
        <v>18174.966500000002</v>
      </c>
      <c r="P78" s="431">
        <f>SUM(P75:P77)</f>
        <v>18174.966500000002</v>
      </c>
      <c r="Q78" s="431">
        <f>SUM(Q75:Q77)</f>
        <v>18174.966500000002</v>
      </c>
      <c r="R78" s="431">
        <f>SUM(R75:R77)</f>
        <v>18174.966500000002</v>
      </c>
      <c r="S78" s="431">
        <f>SUM(S75:S77)</f>
        <v>18174.966500000002</v>
      </c>
      <c r="T78" s="431"/>
      <c r="U78" s="1543">
        <f>U75+U77</f>
        <v>1480.02</v>
      </c>
      <c r="V78" s="1544">
        <f t="shared" ref="V78" si="165">V75+V77</f>
        <v>7400.09</v>
      </c>
      <c r="W78" s="1544">
        <f t="shared" ref="W78" si="166">W75+W77</f>
        <v>11840.15</v>
      </c>
      <c r="X78" s="1544">
        <f t="shared" ref="X78" si="167">X75+X77</f>
        <v>18174.97</v>
      </c>
      <c r="Y78" s="1545">
        <f t="shared" ref="Y78" si="168">Y75+Y77</f>
        <v>18174.97</v>
      </c>
      <c r="Z78" s="431"/>
      <c r="AA78" s="1543">
        <f>AA75+AA77</f>
        <v>16694.95</v>
      </c>
      <c r="AB78" s="1544">
        <f t="shared" ref="AB78" si="169">AB75+AB77</f>
        <v>10774.87</v>
      </c>
      <c r="AC78" s="1544">
        <f t="shared" ref="AC78" si="170">AC75+AC77</f>
        <v>6334.82</v>
      </c>
      <c r="AD78" s="1561">
        <f t="shared" ref="AD78" si="171">AD75+AD77</f>
        <v>0</v>
      </c>
      <c r="AE78" s="1562">
        <f t="shared" ref="AE78" si="172">AE75+AE77</f>
        <v>0</v>
      </c>
      <c r="AH78" s="1530"/>
      <c r="AI78" s="1567">
        <f>SUM(U78:AE78)</f>
        <v>90874.84</v>
      </c>
    </row>
    <row r="79" spans="1:35" ht="16" thickBot="1">
      <c r="K79" s="712" t="s">
        <v>238</v>
      </c>
      <c r="M79" s="1516" t="s">
        <v>2444</v>
      </c>
      <c r="N79" s="1517"/>
      <c r="O79" s="1511">
        <v>1</v>
      </c>
      <c r="P79" s="1511">
        <v>1</v>
      </c>
      <c r="Q79" s="1511">
        <v>1</v>
      </c>
      <c r="R79" s="1512">
        <v>0</v>
      </c>
      <c r="S79" s="1512">
        <v>0</v>
      </c>
      <c r="T79" s="1517"/>
      <c r="U79" s="1546"/>
      <c r="V79" s="1517"/>
      <c r="W79" s="1517"/>
      <c r="X79" s="1517"/>
      <c r="Y79" s="1547"/>
      <c r="Z79" s="1517"/>
      <c r="AA79" s="1546"/>
      <c r="AB79" s="1517"/>
      <c r="AC79" s="1517"/>
      <c r="AD79" s="1517"/>
      <c r="AE79" s="1547"/>
      <c r="AH79" s="1530"/>
    </row>
    <row r="80" spans="1:35" ht="33" thickBot="1">
      <c r="A80" s="730">
        <v>91</v>
      </c>
      <c r="B80" s="1367">
        <f>U82</f>
        <v>0</v>
      </c>
      <c r="C80" s="1367">
        <f t="shared" ref="C80:F80" si="173">V82</f>
        <v>0</v>
      </c>
      <c r="D80" s="1367">
        <f t="shared" si="173"/>
        <v>0</v>
      </c>
      <c r="E80" s="1367">
        <f t="shared" si="173"/>
        <v>0</v>
      </c>
      <c r="F80" s="1367">
        <f t="shared" si="173"/>
        <v>0</v>
      </c>
      <c r="G80" s="1367" t="s">
        <v>513</v>
      </c>
      <c r="H80" s="1515" t="s">
        <v>2448</v>
      </c>
      <c r="I80" s="1523"/>
      <c r="J80" s="1524" t="s">
        <v>2937</v>
      </c>
      <c r="K80" s="712" t="s">
        <v>238</v>
      </c>
      <c r="M80" s="1528" t="s">
        <v>2443</v>
      </c>
      <c r="N80" s="1529"/>
      <c r="O80" s="1527">
        <v>1</v>
      </c>
      <c r="P80" s="1527">
        <v>1</v>
      </c>
      <c r="Q80" s="1527">
        <v>1</v>
      </c>
      <c r="R80" s="1527">
        <v>1</v>
      </c>
      <c r="S80" s="1527">
        <v>1</v>
      </c>
      <c r="T80" s="1525"/>
      <c r="U80" s="1546"/>
      <c r="V80" s="1517"/>
      <c r="W80" s="1517"/>
      <c r="X80" s="1517"/>
      <c r="Y80" s="1547"/>
      <c r="Z80" s="1525"/>
      <c r="AA80" s="1546"/>
      <c r="AB80" s="1517"/>
      <c r="AC80" s="1517"/>
      <c r="AD80" s="1517"/>
      <c r="AE80" s="1547"/>
      <c r="AH80" s="1530"/>
    </row>
    <row r="81" spans="1:35" ht="33" thickBot="1">
      <c r="A81" s="730">
        <v>92</v>
      </c>
      <c r="B81" s="1367">
        <f>AA82</f>
        <v>8400</v>
      </c>
      <c r="C81" s="1367">
        <f t="shared" ref="C81:F81" si="174">AB82</f>
        <v>8400</v>
      </c>
      <c r="D81" s="1367">
        <f t="shared" si="174"/>
        <v>8400</v>
      </c>
      <c r="E81" s="1367">
        <f t="shared" si="174"/>
        <v>0</v>
      </c>
      <c r="F81" s="1367">
        <f t="shared" si="174"/>
        <v>0</v>
      </c>
      <c r="G81" s="1367" t="s">
        <v>351</v>
      </c>
      <c r="H81" s="1515" t="s">
        <v>2448</v>
      </c>
      <c r="I81" s="1523"/>
      <c r="J81" s="1524" t="s">
        <v>2937</v>
      </c>
      <c r="K81" s="712" t="s">
        <v>238</v>
      </c>
      <c r="M81" s="1519" t="s">
        <v>2434</v>
      </c>
      <c r="N81" s="1520"/>
      <c r="O81" s="1521">
        <f>O79*O80*$N$33</f>
        <v>8400</v>
      </c>
      <c r="P81" s="1521">
        <f t="shared" ref="P81:S81" si="175">P79*P80*$N$33</f>
        <v>8400</v>
      </c>
      <c r="Q81" s="1521">
        <f t="shared" si="175"/>
        <v>8400</v>
      </c>
      <c r="R81" s="1521">
        <f t="shared" si="175"/>
        <v>0</v>
      </c>
      <c r="S81" s="1521">
        <f t="shared" si="175"/>
        <v>0</v>
      </c>
      <c r="T81" s="1520"/>
      <c r="U81" s="1548">
        <f>100%-AA81</f>
        <v>0</v>
      </c>
      <c r="V81" s="1518">
        <f t="shared" ref="V81" si="176">100%-AB81</f>
        <v>0</v>
      </c>
      <c r="W81" s="1518">
        <f t="shared" ref="W81" si="177">100%-AC81</f>
        <v>0</v>
      </c>
      <c r="X81" s="1518">
        <f t="shared" ref="X81" si="178">100%-AD81</f>
        <v>1</v>
      </c>
      <c r="Y81" s="1549">
        <f t="shared" ref="Y81" si="179">100%-AE81</f>
        <v>1</v>
      </c>
      <c r="Z81" s="1522"/>
      <c r="AA81" s="1557">
        <v>1</v>
      </c>
      <c r="AB81" s="1511">
        <v>1</v>
      </c>
      <c r="AC81" s="1511">
        <v>1</v>
      </c>
      <c r="AD81" s="1518"/>
      <c r="AE81" s="1549"/>
      <c r="AH81" s="1530"/>
    </row>
    <row r="82" spans="1:35" ht="16" thickBot="1">
      <c r="K82" s="712" t="s">
        <v>238</v>
      </c>
      <c r="M82" s="1505"/>
      <c r="N82" s="1508"/>
      <c r="O82" s="1509"/>
      <c r="P82" s="1509"/>
      <c r="Q82" s="1509"/>
      <c r="R82" s="1509"/>
      <c r="S82" s="1509"/>
      <c r="T82" s="1508"/>
      <c r="U82" s="1554">
        <f>U81*O81</f>
        <v>0</v>
      </c>
      <c r="V82" s="1555">
        <f t="shared" ref="V82" si="180">V81*P81</f>
        <v>0</v>
      </c>
      <c r="W82" s="1555">
        <f t="shared" ref="W82" si="181">W81*Q81</f>
        <v>0</v>
      </c>
      <c r="X82" s="1555">
        <f t="shared" ref="X82" si="182">X81*R81</f>
        <v>0</v>
      </c>
      <c r="Y82" s="1556">
        <f t="shared" ref="Y82" si="183">Y81*S81</f>
        <v>0</v>
      </c>
      <c r="Z82" s="1508"/>
      <c r="AA82" s="1554">
        <f>AA81*O81</f>
        <v>8400</v>
      </c>
      <c r="AB82" s="1555">
        <f t="shared" ref="AB82" si="184">AB81*P81</f>
        <v>8400</v>
      </c>
      <c r="AC82" s="1555">
        <f t="shared" ref="AC82" si="185">AC81*Q81</f>
        <v>8400</v>
      </c>
      <c r="AD82" s="1555">
        <f t="shared" ref="AD82" si="186">AD81*R81</f>
        <v>0</v>
      </c>
      <c r="AE82" s="1556">
        <f t="shared" ref="AE82" si="187">AE81*S81</f>
        <v>0</v>
      </c>
      <c r="AH82" s="1530"/>
      <c r="AI82" s="1569">
        <f>SUM(U82:AE82)</f>
        <v>25200</v>
      </c>
    </row>
    <row r="83" spans="1:35">
      <c r="K83" s="712" t="s">
        <v>238</v>
      </c>
      <c r="AD83" s="853"/>
      <c r="AE83" s="853"/>
      <c r="AH83" s="1530"/>
    </row>
    <row r="84" spans="1:35">
      <c r="K84" s="712" t="s">
        <v>238</v>
      </c>
      <c r="AD84" s="853"/>
      <c r="AE84" s="853"/>
      <c r="AH84" s="1530"/>
    </row>
    <row r="85" spans="1:35">
      <c r="K85" s="712" t="s">
        <v>238</v>
      </c>
      <c r="AD85" s="853"/>
      <c r="AE85" s="853"/>
      <c r="AH85" s="1530"/>
    </row>
    <row r="86" spans="1:35">
      <c r="K86" s="712" t="s">
        <v>238</v>
      </c>
      <c r="L86" s="1530"/>
      <c r="M86" s="1530"/>
      <c r="N86" s="1530"/>
      <c r="O86" s="1530"/>
      <c r="P86" s="1530"/>
      <c r="Q86" s="1530"/>
      <c r="R86" s="1530"/>
      <c r="S86" s="1530"/>
      <c r="T86" s="1530"/>
      <c r="U86" s="1530"/>
      <c r="V86" s="1530"/>
      <c r="W86" s="1530"/>
      <c r="X86" s="1530"/>
      <c r="Y86" s="1530"/>
      <c r="Z86" s="1530"/>
      <c r="AA86" s="1530"/>
      <c r="AB86" s="1530"/>
      <c r="AC86" s="1530"/>
      <c r="AD86" s="1530"/>
      <c r="AE86" s="1530"/>
      <c r="AF86" s="1530"/>
      <c r="AG86" s="1530"/>
      <c r="AH86" s="1530"/>
    </row>
    <row r="87" spans="1:35">
      <c r="K87" s="712" t="s">
        <v>238</v>
      </c>
    </row>
    <row r="88" spans="1:35">
      <c r="K88" s="712" t="s">
        <v>238</v>
      </c>
    </row>
    <row r="89" spans="1:35">
      <c r="K89" s="712" t="s">
        <v>238</v>
      </c>
    </row>
    <row r="90" spans="1:35">
      <c r="K90" s="712" t="s">
        <v>238</v>
      </c>
    </row>
    <row r="91" spans="1:35">
      <c r="K91" s="712" t="s">
        <v>238</v>
      </c>
    </row>
    <row r="92" spans="1:35">
      <c r="K92" s="712" t="s">
        <v>238</v>
      </c>
    </row>
    <row r="93" spans="1:35">
      <c r="K93" s="712" t="s">
        <v>238</v>
      </c>
    </row>
    <row r="94" spans="1:35">
      <c r="K94" s="712" t="s">
        <v>238</v>
      </c>
    </row>
    <row r="95" spans="1:35">
      <c r="K95" s="712" t="s">
        <v>238</v>
      </c>
    </row>
    <row r="96" spans="1:35">
      <c r="K96" s="712" t="s">
        <v>238</v>
      </c>
    </row>
    <row r="97" spans="11:11">
      <c r="K97" s="712" t="s">
        <v>238</v>
      </c>
    </row>
    <row r="98" spans="11:11">
      <c r="K98" s="712" t="s">
        <v>238</v>
      </c>
    </row>
    <row r="99" spans="11:11">
      <c r="K99" s="712" t="s">
        <v>238</v>
      </c>
    </row>
    <row r="100" spans="11:11">
      <c r="K100" s="712" t="s">
        <v>238</v>
      </c>
    </row>
    <row r="101" spans="11:11">
      <c r="K101" s="712" t="s">
        <v>238</v>
      </c>
    </row>
    <row r="102" spans="11:11">
      <c r="K102" s="712" t="s">
        <v>238</v>
      </c>
    </row>
    <row r="103" spans="11:11">
      <c r="K103" s="712" t="s">
        <v>238</v>
      </c>
    </row>
    <row r="104" spans="11:11">
      <c r="K104" s="712" t="s">
        <v>238</v>
      </c>
    </row>
    <row r="105" spans="11:11">
      <c r="K105" s="712" t="s">
        <v>238</v>
      </c>
    </row>
    <row r="106" spans="11:11">
      <c r="K106" s="712" t="s">
        <v>238</v>
      </c>
    </row>
    <row r="107" spans="11:11">
      <c r="K107" s="712" t="s">
        <v>238</v>
      </c>
    </row>
    <row r="108" spans="11:11">
      <c r="K108" s="712" t="s">
        <v>238</v>
      </c>
    </row>
    <row r="109" spans="11:11">
      <c r="K109" s="712" t="s">
        <v>238</v>
      </c>
    </row>
    <row r="110" spans="11:11">
      <c r="K110" s="712" t="s">
        <v>238</v>
      </c>
    </row>
    <row r="111" spans="11:11">
      <c r="K111" s="712" t="s">
        <v>238</v>
      </c>
    </row>
    <row r="112" spans="11:11">
      <c r="K112" s="712" t="s">
        <v>238</v>
      </c>
    </row>
    <row r="113" spans="11:11">
      <c r="K113" s="712" t="s">
        <v>238</v>
      </c>
    </row>
    <row r="114" spans="11:11">
      <c r="K114" s="712" t="s">
        <v>238</v>
      </c>
    </row>
    <row r="115" spans="11:11">
      <c r="K115" s="712" t="s">
        <v>238</v>
      </c>
    </row>
    <row r="116" spans="11:11">
      <c r="K116" s="712" t="s">
        <v>238</v>
      </c>
    </row>
    <row r="117" spans="11:11">
      <c r="K117" s="712" t="s">
        <v>238</v>
      </c>
    </row>
    <row r="118" spans="11:11">
      <c r="K118" s="712" t="s">
        <v>238</v>
      </c>
    </row>
    <row r="119" spans="11:11">
      <c r="K119" s="712" t="s">
        <v>238</v>
      </c>
    </row>
    <row r="120" spans="11:11">
      <c r="K120" s="712" t="s">
        <v>238</v>
      </c>
    </row>
    <row r="121" spans="11:11">
      <c r="K121" s="712" t="s">
        <v>238</v>
      </c>
    </row>
    <row r="122" spans="11:11">
      <c r="K122" s="712" t="s">
        <v>238</v>
      </c>
    </row>
    <row r="123" spans="11:11">
      <c r="K123" s="712" t="s">
        <v>238</v>
      </c>
    </row>
    <row r="124" spans="11:11">
      <c r="K124" s="712" t="s">
        <v>238</v>
      </c>
    </row>
    <row r="125" spans="11:11">
      <c r="K125" s="712" t="s">
        <v>238</v>
      </c>
    </row>
    <row r="126" spans="11:11">
      <c r="K126" s="712" t="s">
        <v>238</v>
      </c>
    </row>
    <row r="127" spans="11:11">
      <c r="K127" s="712" t="s">
        <v>238</v>
      </c>
    </row>
    <row r="128" spans="11:11">
      <c r="K128" s="712" t="s">
        <v>238</v>
      </c>
    </row>
    <row r="129" spans="11:11">
      <c r="K129" s="712" t="s">
        <v>238</v>
      </c>
    </row>
    <row r="130" spans="11:11">
      <c r="K130" s="712" t="s">
        <v>238</v>
      </c>
    </row>
    <row r="131" spans="11:11">
      <c r="K131" s="712" t="s">
        <v>238</v>
      </c>
    </row>
    <row r="132" spans="11:11">
      <c r="K132" s="712" t="s">
        <v>238</v>
      </c>
    </row>
    <row r="133" spans="11:11">
      <c r="K133" s="712" t="s">
        <v>238</v>
      </c>
    </row>
    <row r="134" spans="11:11">
      <c r="K134" s="712" t="s">
        <v>238</v>
      </c>
    </row>
    <row r="135" spans="11:11">
      <c r="K135" s="712" t="s">
        <v>238</v>
      </c>
    </row>
    <row r="136" spans="11:11">
      <c r="K136" s="712" t="s">
        <v>238</v>
      </c>
    </row>
    <row r="137" spans="11:11">
      <c r="K137" s="712" t="s">
        <v>238</v>
      </c>
    </row>
    <row r="138" spans="11:11">
      <c r="K138" s="712" t="s">
        <v>238</v>
      </c>
    </row>
    <row r="139" spans="11:11">
      <c r="K139" s="712" t="s">
        <v>238</v>
      </c>
    </row>
    <row r="140" spans="11:11">
      <c r="K140" s="712" t="s">
        <v>238</v>
      </c>
    </row>
    <row r="141" spans="11:11">
      <c r="K141" s="712" t="s">
        <v>238</v>
      </c>
    </row>
    <row r="142" spans="11:11">
      <c r="K142" s="712" t="s">
        <v>238</v>
      </c>
    </row>
    <row r="143" spans="11:11">
      <c r="K143" s="712" t="s">
        <v>238</v>
      </c>
    </row>
    <row r="144" spans="11:11">
      <c r="K144" s="712" t="s">
        <v>238</v>
      </c>
    </row>
    <row r="145" spans="11:11">
      <c r="K145" s="712" t="s">
        <v>238</v>
      </c>
    </row>
    <row r="146" spans="11:11">
      <c r="K146" s="712" t="s">
        <v>238</v>
      </c>
    </row>
    <row r="147" spans="11:11">
      <c r="K147" s="712" t="s">
        <v>238</v>
      </c>
    </row>
    <row r="148" spans="11:11">
      <c r="K148" s="712" t="s">
        <v>238</v>
      </c>
    </row>
    <row r="149" spans="11:11">
      <c r="K149" s="712" t="s">
        <v>238</v>
      </c>
    </row>
    <row r="150" spans="11:11">
      <c r="K150" s="712" t="s">
        <v>238</v>
      </c>
    </row>
    <row r="151" spans="11:11">
      <c r="K151" s="712" t="s">
        <v>238</v>
      </c>
    </row>
    <row r="152" spans="11:11">
      <c r="K152" s="712" t="s">
        <v>238</v>
      </c>
    </row>
    <row r="153" spans="11:11">
      <c r="K153" s="712" t="s">
        <v>238</v>
      </c>
    </row>
    <row r="154" spans="11:11">
      <c r="K154" s="712" t="s">
        <v>238</v>
      </c>
    </row>
    <row r="155" spans="11:11">
      <c r="K155" s="712" t="s">
        <v>238</v>
      </c>
    </row>
    <row r="156" spans="11:11">
      <c r="K156" s="712" t="s">
        <v>238</v>
      </c>
    </row>
    <row r="157" spans="11:11">
      <c r="K157" s="712" t="s">
        <v>238</v>
      </c>
    </row>
    <row r="158" spans="11:11">
      <c r="K158" s="712" t="s">
        <v>238</v>
      </c>
    </row>
    <row r="159" spans="11:11">
      <c r="K159" s="712" t="s">
        <v>238</v>
      </c>
    </row>
    <row r="160" spans="11:11">
      <c r="K160" s="712" t="s">
        <v>238</v>
      </c>
    </row>
    <row r="161" spans="11:11">
      <c r="K161" s="712" t="s">
        <v>238</v>
      </c>
    </row>
    <row r="162" spans="11:11">
      <c r="K162" s="712" t="s">
        <v>238</v>
      </c>
    </row>
    <row r="163" spans="11:11">
      <c r="K163" s="712" t="s">
        <v>238</v>
      </c>
    </row>
    <row r="164" spans="11:11">
      <c r="K164" s="712" t="s">
        <v>238</v>
      </c>
    </row>
    <row r="165" spans="11:11">
      <c r="K165" s="712" t="s">
        <v>238</v>
      </c>
    </row>
    <row r="166" spans="11:11">
      <c r="K166" s="712" t="s">
        <v>238</v>
      </c>
    </row>
    <row r="167" spans="11:11">
      <c r="K167" s="712" t="s">
        <v>238</v>
      </c>
    </row>
    <row r="168" spans="11:11">
      <c r="K168" s="712" t="s">
        <v>238</v>
      </c>
    </row>
    <row r="169" spans="11:11">
      <c r="K169" s="712" t="s">
        <v>238</v>
      </c>
    </row>
    <row r="170" spans="11:11">
      <c r="K170" s="712" t="s">
        <v>238</v>
      </c>
    </row>
    <row r="171" spans="11:11">
      <c r="K171" s="712" t="s">
        <v>238</v>
      </c>
    </row>
    <row r="172" spans="11:11">
      <c r="K172" s="712" t="s">
        <v>238</v>
      </c>
    </row>
    <row r="173" spans="11:11">
      <c r="K173" s="712" t="s">
        <v>238</v>
      </c>
    </row>
    <row r="174" spans="11:11">
      <c r="K174" s="712" t="s">
        <v>238</v>
      </c>
    </row>
    <row r="175" spans="11:11">
      <c r="K175" s="712" t="s">
        <v>238</v>
      </c>
    </row>
    <row r="176" spans="11:11">
      <c r="K176" s="712" t="s">
        <v>238</v>
      </c>
    </row>
    <row r="177" spans="11:11">
      <c r="K177" s="712" t="s">
        <v>238</v>
      </c>
    </row>
    <row r="178" spans="11:11">
      <c r="K178" s="712" t="s">
        <v>238</v>
      </c>
    </row>
    <row r="179" spans="11:11">
      <c r="K179" s="712" t="s">
        <v>238</v>
      </c>
    </row>
    <row r="180" spans="11:11">
      <c r="K180" s="712" t="s">
        <v>238</v>
      </c>
    </row>
    <row r="181" spans="11:11">
      <c r="K181" s="712" t="s">
        <v>238</v>
      </c>
    </row>
    <row r="182" spans="11:11">
      <c r="K182" s="712" t="s">
        <v>238</v>
      </c>
    </row>
    <row r="183" spans="11:11">
      <c r="K183" s="712" t="s">
        <v>238</v>
      </c>
    </row>
    <row r="184" spans="11:11">
      <c r="K184" s="712" t="s">
        <v>238</v>
      </c>
    </row>
    <row r="185" spans="11:11">
      <c r="K185" s="712" t="s">
        <v>238</v>
      </c>
    </row>
    <row r="186" spans="11:11">
      <c r="K186" s="712" t="s">
        <v>238</v>
      </c>
    </row>
    <row r="187" spans="11:11">
      <c r="K187" s="712" t="s">
        <v>238</v>
      </c>
    </row>
    <row r="188" spans="11:11">
      <c r="K188" s="712" t="s">
        <v>238</v>
      </c>
    </row>
    <row r="189" spans="11:11">
      <c r="K189" s="712" t="s">
        <v>238</v>
      </c>
    </row>
    <row r="190" spans="11:11">
      <c r="K190" s="712" t="s">
        <v>238</v>
      </c>
    </row>
    <row r="191" spans="11:11">
      <c r="K191" s="712" t="s">
        <v>238</v>
      </c>
    </row>
    <row r="192" spans="11:11">
      <c r="K192" s="712" t="s">
        <v>238</v>
      </c>
    </row>
    <row r="193" spans="11:11">
      <c r="K193" s="712" t="s">
        <v>238</v>
      </c>
    </row>
    <row r="194" spans="11:11">
      <c r="K194" s="712" t="s">
        <v>238</v>
      </c>
    </row>
    <row r="195" spans="11:11">
      <c r="K195" s="712" t="s">
        <v>238</v>
      </c>
    </row>
    <row r="196" spans="11:11">
      <c r="K196" s="712" t="s">
        <v>238</v>
      </c>
    </row>
    <row r="197" spans="11:11">
      <c r="K197" s="712" t="s">
        <v>238</v>
      </c>
    </row>
    <row r="198" spans="11:11">
      <c r="K198" s="712" t="s">
        <v>238</v>
      </c>
    </row>
    <row r="199" spans="11:11">
      <c r="K199" s="712" t="s">
        <v>238</v>
      </c>
    </row>
    <row r="200" spans="11:11">
      <c r="K200" s="712" t="s">
        <v>238</v>
      </c>
    </row>
    <row r="201" spans="11:11">
      <c r="K201" s="712" t="s">
        <v>238</v>
      </c>
    </row>
    <row r="202" spans="11:11">
      <c r="K202" s="712" t="s">
        <v>238</v>
      </c>
    </row>
    <row r="203" spans="11:11">
      <c r="K203" s="712" t="s">
        <v>238</v>
      </c>
    </row>
    <row r="204" spans="11:11">
      <c r="K204" s="712" t="s">
        <v>238</v>
      </c>
    </row>
    <row r="205" spans="11:11">
      <c r="K205" s="712" t="s">
        <v>238</v>
      </c>
    </row>
    <row r="206" spans="11:11">
      <c r="K206" s="712" t="s">
        <v>238</v>
      </c>
    </row>
    <row r="207" spans="11:11">
      <c r="K207" s="712" t="s">
        <v>238</v>
      </c>
    </row>
    <row r="208" spans="11:11">
      <c r="K208" s="712" t="s">
        <v>238</v>
      </c>
    </row>
    <row r="209" spans="11:11">
      <c r="K209" s="712" t="s">
        <v>238</v>
      </c>
    </row>
    <row r="210" spans="11:11">
      <c r="K210" s="712" t="s">
        <v>238</v>
      </c>
    </row>
  </sheetData>
  <conditionalFormatting sqref="A1">
    <cfRule type="duplicateValues" dxfId="111" priority="28"/>
  </conditionalFormatting>
  <conditionalFormatting sqref="A45">
    <cfRule type="duplicateValues" dxfId="110" priority="16"/>
  </conditionalFormatting>
  <conditionalFormatting sqref="A44">
    <cfRule type="duplicateValues" dxfId="109" priority="14"/>
  </conditionalFormatting>
  <conditionalFormatting sqref="A42">
    <cfRule type="duplicateValues" dxfId="108" priority="13"/>
  </conditionalFormatting>
  <conditionalFormatting sqref="A41">
    <cfRule type="duplicateValues" dxfId="107" priority="12"/>
  </conditionalFormatting>
  <conditionalFormatting sqref="A51">
    <cfRule type="duplicateValues" dxfId="106" priority="11"/>
  </conditionalFormatting>
  <conditionalFormatting sqref="A52">
    <cfRule type="duplicateValues" dxfId="105" priority="10"/>
  </conditionalFormatting>
  <conditionalFormatting sqref="A54">
    <cfRule type="duplicateValues" dxfId="104" priority="9"/>
  </conditionalFormatting>
  <conditionalFormatting sqref="A55">
    <cfRule type="duplicateValues" dxfId="103" priority="8"/>
  </conditionalFormatting>
  <conditionalFormatting sqref="A65 A69:A70">
    <cfRule type="duplicateValues" dxfId="102" priority="7"/>
  </conditionalFormatting>
  <conditionalFormatting sqref="A66">
    <cfRule type="duplicateValues" dxfId="101" priority="6"/>
  </conditionalFormatting>
  <conditionalFormatting sqref="A77">
    <cfRule type="duplicateValues" dxfId="100" priority="5"/>
  </conditionalFormatting>
  <conditionalFormatting sqref="A78">
    <cfRule type="duplicateValues" dxfId="99" priority="4"/>
  </conditionalFormatting>
  <conditionalFormatting sqref="A80">
    <cfRule type="duplicateValues" dxfId="98" priority="2"/>
  </conditionalFormatting>
  <conditionalFormatting sqref="A81">
    <cfRule type="duplicateValues" dxfId="97" priority="1"/>
  </conditionalFormatting>
  <dataValidations count="2">
    <dataValidation type="list" allowBlank="1" showInputMessage="1" showErrorMessage="1" sqref="I77:I78 I65:I66 I69:I70 I41:I42 I44:I45 I54:I55 I51:I52 I80:I81" xr:uid="{00000000-0002-0000-1A00-000000000000}">
      <formula1>TB_implementare</formula1>
    </dataValidation>
    <dataValidation type="list" allowBlank="1" showInputMessage="1" showErrorMessage="1" sqref="G77:G78 U34 AA34 U58 AA58 G65:G66 G69:G70 G41:G42 G44:G45 G54:G55 G51:G52 G80:G81" xr:uid="{00000000-0002-0000-1A00-000001000000}">
      <formula1>TB_sursa_finant_Ro</formula1>
    </dataValidation>
  </dataValidations>
  <hyperlinks>
    <hyperlink ref="O1" location="CUPRINS!A1" display="CUPRINS" xr:uid="{00000000-0004-0000-1A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2000000}">
          <x14:formula1>
            <xm:f>Nom_activ_2!$H$2:$H$88</xm:f>
          </x14:formula1>
          <xm:sqref>J65:J66 J77:J78 J69:J70 J54:J55 J44:J45 J41:J42 J51:J52 J80:J81</xm:sqref>
        </x14:dataValidation>
      </x14:dataValidations>
    </ext>
  </extLst>
</worksheet>
</file>

<file path=xl/worksheets/sheet2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AY210"/>
  <sheetViews>
    <sheetView topLeftCell="J109" zoomScale="70" zoomScaleNormal="70" workbookViewId="0">
      <selection activeCell="S125" sqref="S125:S133"/>
    </sheetView>
  </sheetViews>
  <sheetFormatPr baseColWidth="10" defaultColWidth="8.83203125" defaultRowHeight="15" outlineLevelCol="1"/>
  <cols>
    <col min="1" max="1" width="15.5" customWidth="1" outlineLevel="1"/>
    <col min="2" max="6" width="11.33203125" customWidth="1" outlineLevel="1"/>
    <col min="7" max="7" width="21.6640625" customWidth="1" outlineLevel="1"/>
    <col min="8" max="8" width="61.33203125" customWidth="1" outlineLevel="1"/>
    <col min="9" max="9" width="69" customWidth="1" outlineLevel="1"/>
    <col min="10" max="10" width="103.33203125" customWidth="1" outlineLevel="1"/>
    <col min="11" max="11" width="2" style="735" customWidth="1"/>
    <col min="12" max="12" width="21" customWidth="1"/>
    <col min="13" max="13" width="44.83203125" customWidth="1" outlineLevel="1"/>
    <col min="14" max="14" width="53.5" customWidth="1" outlineLevel="1"/>
    <col min="15" max="15" width="19.83203125" style="734" customWidth="1" outlineLevel="1"/>
    <col min="16" max="16" width="22.1640625" style="734" customWidth="1" outlineLevel="1"/>
    <col min="17" max="17" width="30.1640625" customWidth="1" outlineLevel="1"/>
    <col min="18" max="18" width="23" customWidth="1" outlineLevel="1"/>
    <col min="19" max="19" width="26.1640625" customWidth="1" outlineLevel="1"/>
    <col min="20" max="20" width="16.6640625" customWidth="1" outlineLevel="1"/>
    <col min="21" max="21" width="21.6640625" customWidth="1" outlineLevel="1"/>
    <col min="22" max="22" width="17.1640625" customWidth="1" outlineLevel="1"/>
    <col min="23" max="23" width="27.83203125" customWidth="1" outlineLevel="1"/>
    <col min="24" max="24" width="21" customWidth="1" outlineLevel="1"/>
    <col min="25" max="25" width="11" customWidth="1" outlineLevel="1"/>
    <col min="26" max="26" width="15.6640625" customWidth="1" outlineLevel="1"/>
    <col min="27" max="27" width="11" customWidth="1" outlineLevel="1"/>
    <col min="28" max="28" width="10.6640625" customWidth="1" outlineLevel="1"/>
    <col min="29" max="29" width="15.6640625" customWidth="1" outlineLevel="1"/>
    <col min="30" max="30" width="11" customWidth="1" outlineLevel="1"/>
    <col min="31" max="31" width="10.1640625" customWidth="1" outlineLevel="1"/>
    <col min="32" max="32" width="15.6640625" customWidth="1" outlineLevel="1"/>
    <col min="33" max="33" width="21.33203125" customWidth="1" outlineLevel="1"/>
    <col min="34" max="34" width="11" customWidth="1" outlineLevel="1"/>
    <col min="35" max="35" width="21.33203125" customWidth="1" outlineLevel="1"/>
    <col min="36" max="36" width="11" customWidth="1" outlineLevel="1"/>
    <col min="37" max="37" width="21.33203125" customWidth="1" outlineLevel="1"/>
    <col min="38" max="38" width="15.6640625" customWidth="1" outlineLevel="1"/>
    <col min="39" max="39" width="21.33203125" customWidth="1" outlineLevel="1"/>
    <col min="40" max="40" width="18.6640625" customWidth="1" outlineLevel="1"/>
    <col min="41" max="41" width="21.33203125" customWidth="1" outlineLevel="1"/>
    <col min="42" max="42" width="11" customWidth="1" outlineLevel="1"/>
    <col min="43" max="43" width="21.33203125" customWidth="1" outlineLevel="1"/>
    <col min="44" max="44" width="11" customWidth="1" outlineLevel="1"/>
    <col min="45" max="45" width="21.33203125" customWidth="1" outlineLevel="1"/>
    <col min="46" max="46" width="11" customWidth="1" outlineLevel="1"/>
    <col min="47" max="47" width="21.33203125" customWidth="1" outlineLevel="1"/>
    <col min="48" max="48" width="11" customWidth="1" outlineLevel="1"/>
    <col min="49" max="49" width="21.33203125" customWidth="1" outlineLevel="1"/>
    <col min="50" max="50" width="2" customWidth="1"/>
    <col min="51" max="51" width="11.6640625" bestFit="1" customWidth="1"/>
  </cols>
  <sheetData>
    <row r="1" spans="1:51" ht="17" thickBot="1">
      <c r="A1" s="730" t="s">
        <v>345</v>
      </c>
      <c r="B1" s="731">
        <v>2021</v>
      </c>
      <c r="C1" s="731">
        <v>2022</v>
      </c>
      <c r="D1" s="731">
        <v>2023</v>
      </c>
      <c r="E1" s="731">
        <v>2024</v>
      </c>
      <c r="F1" s="731">
        <v>2025</v>
      </c>
      <c r="G1" s="731" t="s">
        <v>484</v>
      </c>
      <c r="H1" s="731" t="s">
        <v>515</v>
      </c>
      <c r="I1" s="732" t="s">
        <v>1834</v>
      </c>
      <c r="J1" s="859"/>
      <c r="K1" s="712"/>
      <c r="L1" s="1532">
        <f>SUM(B:F)-B1-C1-D1-E1-F1</f>
        <v>2896557.8800000004</v>
      </c>
      <c r="M1" s="1792">
        <f>SUM(AY:AY)</f>
        <v>2896557.8799999994</v>
      </c>
      <c r="N1" s="922"/>
      <c r="O1" s="1836" t="s">
        <v>356</v>
      </c>
      <c r="AX1" s="1788"/>
      <c r="AY1" t="s">
        <v>2449</v>
      </c>
    </row>
    <row r="2" spans="1:51" ht="17" thickBot="1">
      <c r="K2" s="712"/>
      <c r="L2" s="920"/>
      <c r="M2" s="921"/>
      <c r="N2" s="922"/>
      <c r="O2" s="1586"/>
      <c r="AX2" s="1788"/>
    </row>
    <row r="3" spans="1:51" ht="16">
      <c r="K3" s="712"/>
      <c r="L3" s="920"/>
      <c r="M3" s="921"/>
      <c r="N3" s="922"/>
      <c r="O3" s="1586"/>
      <c r="P3" s="923"/>
      <c r="R3" s="923" t="s">
        <v>2162</v>
      </c>
      <c r="S3" s="1067" t="s">
        <v>1991</v>
      </c>
      <c r="T3" s="1066"/>
      <c r="U3" s="966"/>
      <c r="V3" s="966"/>
      <c r="W3" s="966"/>
      <c r="X3" s="966"/>
      <c r="Y3" s="967"/>
      <c r="AX3" s="1788"/>
    </row>
    <row r="4" spans="1:51" ht="16">
      <c r="K4" s="712"/>
      <c r="L4" s="920"/>
      <c r="M4" s="924"/>
      <c r="N4" s="920"/>
      <c r="O4" s="923"/>
      <c r="P4" s="923"/>
      <c r="S4" s="968" t="s">
        <v>1992</v>
      </c>
      <c r="T4" s="969"/>
      <c r="U4" s="960"/>
      <c r="V4" s="960"/>
      <c r="W4" s="960"/>
      <c r="X4" s="960"/>
      <c r="Y4" s="62"/>
      <c r="AX4" s="1788"/>
    </row>
    <row r="5" spans="1:51" ht="17">
      <c r="K5" s="712"/>
      <c r="L5" s="1070" t="s">
        <v>246</v>
      </c>
      <c r="M5" s="1065" t="s">
        <v>2157</v>
      </c>
      <c r="N5" s="925"/>
      <c r="O5" s="923"/>
      <c r="P5" s="923"/>
      <c r="S5" s="968" t="s">
        <v>1993</v>
      </c>
      <c r="T5" s="969"/>
      <c r="U5" s="960"/>
      <c r="V5" s="960"/>
      <c r="W5" s="960"/>
      <c r="X5" s="960"/>
      <c r="Y5" s="62"/>
      <c r="AX5" s="1788"/>
    </row>
    <row r="6" spans="1:51" ht="16">
      <c r="K6" s="712"/>
      <c r="L6" s="920"/>
      <c r="M6" s="961"/>
      <c r="N6" s="962"/>
      <c r="O6" s="962"/>
      <c r="P6" s="923"/>
      <c r="S6" s="970"/>
      <c r="T6" s="969"/>
      <c r="U6" s="960"/>
      <c r="V6" s="960"/>
      <c r="W6" s="960"/>
      <c r="X6" s="960"/>
      <c r="Y6" s="62"/>
      <c r="AX6" s="1788"/>
    </row>
    <row r="7" spans="1:51" ht="32">
      <c r="K7" s="712"/>
      <c r="L7" s="923"/>
      <c r="M7" s="973" t="s">
        <v>2015</v>
      </c>
      <c r="N7" s="973" t="s">
        <v>2034</v>
      </c>
      <c r="O7" s="2083">
        <v>300</v>
      </c>
      <c r="P7" s="2085"/>
      <c r="S7" s="971" t="s">
        <v>1994</v>
      </c>
      <c r="T7" s="969"/>
      <c r="U7" s="960"/>
      <c r="V7" s="960"/>
      <c r="W7" s="960"/>
      <c r="X7" s="960"/>
      <c r="Y7" s="62"/>
      <c r="AX7" s="1788"/>
    </row>
    <row r="8" spans="1:51" ht="32">
      <c r="K8" s="712"/>
      <c r="L8" s="927"/>
      <c r="M8" s="973" t="s">
        <v>2016</v>
      </c>
      <c r="N8" s="973"/>
      <c r="O8" s="2083">
        <v>100</v>
      </c>
      <c r="P8" s="2085"/>
      <c r="S8" s="2064"/>
      <c r="T8" s="2065"/>
      <c r="U8" s="2065"/>
      <c r="V8" s="2065"/>
      <c r="W8" s="2065"/>
      <c r="X8" s="2065"/>
      <c r="Y8" s="2066"/>
      <c r="AX8" s="1788"/>
    </row>
    <row r="9" spans="1:51" ht="38">
      <c r="K9" s="712"/>
      <c r="L9" s="927"/>
      <c r="M9" s="973" t="s">
        <v>2017</v>
      </c>
      <c r="N9" s="973"/>
      <c r="O9" s="2083">
        <v>9</v>
      </c>
      <c r="P9" s="2085">
        <v>100</v>
      </c>
      <c r="S9" s="2067" t="s">
        <v>1995</v>
      </c>
      <c r="T9" s="2068" t="s">
        <v>1997</v>
      </c>
      <c r="U9" s="2069" t="s">
        <v>1998</v>
      </c>
      <c r="V9" s="2068" t="s">
        <v>1999</v>
      </c>
      <c r="W9" s="2068"/>
      <c r="X9" s="2068" t="s">
        <v>2000</v>
      </c>
      <c r="Y9" s="2070"/>
      <c r="AX9" s="1788"/>
    </row>
    <row r="10" spans="1:51" ht="32">
      <c r="K10" s="712"/>
      <c r="L10" s="927"/>
      <c r="M10" s="973" t="s">
        <v>2018</v>
      </c>
      <c r="N10" s="973"/>
      <c r="O10" s="2083">
        <v>17.850000000000001</v>
      </c>
      <c r="P10" s="2086"/>
      <c r="S10" s="2067" t="s">
        <v>1996</v>
      </c>
      <c r="T10" s="2068"/>
      <c r="U10" s="2069"/>
      <c r="V10" s="2071" t="s">
        <v>3582</v>
      </c>
      <c r="W10" s="2071" t="s">
        <v>2001</v>
      </c>
      <c r="X10" s="2071" t="s">
        <v>3583</v>
      </c>
      <c r="Y10" s="2072" t="s">
        <v>3584</v>
      </c>
      <c r="AX10" s="1788"/>
    </row>
    <row r="11" spans="1:51" ht="33">
      <c r="K11" s="712"/>
      <c r="L11" s="920"/>
      <c r="M11" s="959" t="s">
        <v>2026</v>
      </c>
      <c r="N11" s="958"/>
      <c r="O11" s="2084">
        <v>5</v>
      </c>
      <c r="P11" s="2086"/>
      <c r="S11" s="2073">
        <v>1</v>
      </c>
      <c r="T11" s="2071">
        <v>2</v>
      </c>
      <c r="U11" s="2071">
        <v>3</v>
      </c>
      <c r="V11" s="2071">
        <v>4</v>
      </c>
      <c r="W11" s="2071">
        <v>5</v>
      </c>
      <c r="X11" s="2071">
        <v>6</v>
      </c>
      <c r="Y11" s="2072">
        <v>7</v>
      </c>
      <c r="AX11" s="1788"/>
    </row>
    <row r="12" spans="1:51" ht="32">
      <c r="K12" s="712"/>
      <c r="L12" s="920"/>
      <c r="M12" s="973" t="s">
        <v>2019</v>
      </c>
      <c r="N12" s="973"/>
      <c r="O12" s="2083">
        <v>120</v>
      </c>
      <c r="P12" s="2086"/>
      <c r="S12" s="2074" t="s">
        <v>2002</v>
      </c>
      <c r="T12" s="2075"/>
      <c r="U12" s="2075"/>
      <c r="V12" s="2075"/>
      <c r="W12" s="2075"/>
      <c r="X12" s="2075"/>
      <c r="Y12" s="2076"/>
      <c r="AX12" s="1788"/>
    </row>
    <row r="13" spans="1:51" ht="48">
      <c r="K13" s="712"/>
      <c r="L13" s="920"/>
      <c r="M13" s="973" t="s">
        <v>2020</v>
      </c>
      <c r="N13" s="973"/>
      <c r="O13" s="2083">
        <v>3800</v>
      </c>
      <c r="P13" s="2086"/>
      <c r="S13" s="2073" t="s">
        <v>246</v>
      </c>
      <c r="T13" s="2288" t="s">
        <v>2003</v>
      </c>
      <c r="U13" s="2077" t="s">
        <v>1911</v>
      </c>
      <c r="V13" s="2077">
        <v>130</v>
      </c>
      <c r="W13" s="2077">
        <v>130</v>
      </c>
      <c r="X13" s="2082">
        <v>405</v>
      </c>
      <c r="Y13" s="2078">
        <v>1000</v>
      </c>
      <c r="AX13" s="1788"/>
    </row>
    <row r="14" spans="1:51" ht="32">
      <c r="K14" s="832"/>
      <c r="L14" s="920"/>
      <c r="M14" s="973" t="s">
        <v>2033</v>
      </c>
      <c r="N14" s="973" t="s">
        <v>2451</v>
      </c>
      <c r="O14" s="2083">
        <v>4</v>
      </c>
      <c r="P14" s="2086"/>
      <c r="S14" s="2073" t="s">
        <v>247</v>
      </c>
      <c r="T14" s="2288" t="s">
        <v>2004</v>
      </c>
      <c r="U14" s="2077" t="s">
        <v>1911</v>
      </c>
      <c r="V14" s="2077">
        <v>120</v>
      </c>
      <c r="W14" s="2077">
        <v>120</v>
      </c>
      <c r="X14" s="2077">
        <v>380</v>
      </c>
      <c r="Y14" s="2078">
        <v>600</v>
      </c>
      <c r="AX14" s="1788"/>
    </row>
    <row r="15" spans="1:51" ht="33" thickBot="1">
      <c r="K15" s="712"/>
      <c r="L15" s="920"/>
      <c r="M15" s="1570" t="s">
        <v>2453</v>
      </c>
      <c r="N15" s="958"/>
      <c r="O15" s="2290">
        <v>294.74</v>
      </c>
      <c r="P15" s="2086"/>
      <c r="S15" s="2079" t="s">
        <v>248</v>
      </c>
      <c r="T15" s="2289" t="s">
        <v>2005</v>
      </c>
      <c r="U15" s="2080" t="s">
        <v>1911</v>
      </c>
      <c r="V15" s="2080">
        <v>100</v>
      </c>
      <c r="W15" s="2080">
        <v>100</v>
      </c>
      <c r="X15" s="2080">
        <v>300</v>
      </c>
      <c r="Y15" s="2081">
        <v>550</v>
      </c>
      <c r="Z15" s="923"/>
      <c r="AA15" s="923"/>
      <c r="AB15" s="923"/>
      <c r="AX15" s="1788"/>
    </row>
    <row r="16" spans="1:51">
      <c r="K16" s="712"/>
      <c r="L16" s="923"/>
      <c r="P16" s="928"/>
      <c r="Z16" s="923"/>
      <c r="AA16" s="930"/>
      <c r="AB16" s="923"/>
      <c r="AX16" s="1788"/>
    </row>
    <row r="17" spans="11:50">
      <c r="K17" s="712"/>
      <c r="L17" s="923"/>
      <c r="P17" s="928"/>
      <c r="Q17" s="928"/>
      <c r="Z17" s="923"/>
      <c r="AA17" s="923"/>
      <c r="AB17" s="923"/>
      <c r="AX17" s="1788"/>
    </row>
    <row r="18" spans="11:50" ht="17">
      <c r="K18" s="712"/>
      <c r="L18" s="1070" t="s">
        <v>247</v>
      </c>
      <c r="M18" s="1065" t="s">
        <v>2158</v>
      </c>
      <c r="N18" s="960"/>
      <c r="O18" s="1025"/>
      <c r="P18" s="928"/>
      <c r="Q18" s="928"/>
      <c r="R18" s="923"/>
      <c r="S18" s="923"/>
      <c r="T18" s="920"/>
      <c r="V18" s="923"/>
      <c r="W18" s="920"/>
      <c r="X18" s="957"/>
      <c r="Y18" s="920"/>
      <c r="Z18" s="923"/>
      <c r="AA18" s="923"/>
      <c r="AB18" s="923"/>
      <c r="AX18" s="1788"/>
    </row>
    <row r="19" spans="11:50" ht="16">
      <c r="K19" s="712"/>
      <c r="L19" s="1064"/>
      <c r="M19" s="1065"/>
      <c r="N19" s="960"/>
      <c r="O19" s="1025"/>
      <c r="P19" s="928"/>
      <c r="Q19" s="928"/>
      <c r="R19" s="923"/>
      <c r="S19" s="923"/>
      <c r="T19" s="920"/>
      <c r="V19" s="923"/>
      <c r="W19" s="920"/>
      <c r="X19" s="957"/>
      <c r="Y19" s="920"/>
      <c r="Z19" s="923"/>
      <c r="AA19" s="923"/>
      <c r="AB19" s="923"/>
      <c r="AX19" s="1788"/>
    </row>
    <row r="20" spans="11:50" ht="16">
      <c r="K20" s="712"/>
      <c r="L20" s="923"/>
      <c r="M20" s="940" t="s">
        <v>2161</v>
      </c>
      <c r="O20" s="923"/>
      <c r="P20" s="923"/>
      <c r="Q20" s="923"/>
      <c r="R20" s="923"/>
      <c r="S20" s="923"/>
      <c r="T20" s="923"/>
      <c r="V20" s="923"/>
      <c r="W20" s="920"/>
      <c r="X20" s="920"/>
      <c r="Y20" s="920"/>
      <c r="Z20" s="923"/>
      <c r="AA20" s="923"/>
      <c r="AB20" s="923"/>
      <c r="AX20" s="1788"/>
    </row>
    <row r="21" spans="11:50" ht="16" thickBot="1">
      <c r="K21" s="712"/>
      <c r="L21" s="923"/>
      <c r="M21" s="943" t="s">
        <v>1932</v>
      </c>
      <c r="O21" s="923"/>
      <c r="P21" s="923"/>
      <c r="Q21" s="923"/>
      <c r="R21" s="923"/>
      <c r="S21" s="923"/>
      <c r="T21" s="923"/>
      <c r="V21" s="923"/>
      <c r="W21" s="920"/>
      <c r="X21" s="920"/>
      <c r="Y21" s="920"/>
      <c r="Z21" s="923"/>
      <c r="AA21" s="923"/>
      <c r="AB21" s="923"/>
      <c r="AN21" t="s">
        <v>2452</v>
      </c>
      <c r="AX21" s="1788"/>
    </row>
    <row r="22" spans="11:50">
      <c r="K22" s="712"/>
      <c r="L22" s="923"/>
      <c r="M22" s="926"/>
      <c r="N22" s="923"/>
      <c r="O22" s="923"/>
      <c r="P22" s="923"/>
      <c r="Q22" s="952"/>
      <c r="R22" s="923"/>
      <c r="S22" s="923"/>
      <c r="T22" s="923"/>
      <c r="V22" s="923"/>
      <c r="W22" s="920"/>
      <c r="X22" s="979">
        <v>2021</v>
      </c>
      <c r="Y22" s="980"/>
      <c r="Z22" s="981"/>
      <c r="AA22" s="979">
        <v>2022</v>
      </c>
      <c r="AB22" s="980"/>
      <c r="AC22" s="981"/>
      <c r="AD22" s="979">
        <v>2023</v>
      </c>
      <c r="AE22" s="980"/>
      <c r="AF22" s="981"/>
      <c r="AG22" s="979">
        <v>2024</v>
      </c>
      <c r="AH22" s="980"/>
      <c r="AI22" s="981"/>
      <c r="AJ22" s="979">
        <v>2025</v>
      </c>
      <c r="AK22" s="980"/>
      <c r="AL22" s="981"/>
      <c r="AN22" s="979">
        <v>2021</v>
      </c>
      <c r="AO22" s="980"/>
      <c r="AP22" s="979">
        <v>2022</v>
      </c>
      <c r="AQ22" s="980"/>
      <c r="AR22" s="979">
        <v>2023</v>
      </c>
      <c r="AS22" s="980"/>
      <c r="AT22" s="979">
        <v>2024</v>
      </c>
      <c r="AU22" s="980"/>
      <c r="AV22" s="979">
        <v>2025</v>
      </c>
      <c r="AW22" s="980"/>
      <c r="AX22" s="1788"/>
    </row>
    <row r="23" spans="11:50" s="858" customFormat="1" ht="91">
      <c r="K23" s="947"/>
      <c r="L23" s="948"/>
      <c r="M23" s="949"/>
      <c r="N23" s="953" t="s">
        <v>2006</v>
      </c>
      <c r="O23" s="1588" t="s">
        <v>2008</v>
      </c>
      <c r="P23" s="953" t="s">
        <v>2009</v>
      </c>
      <c r="Q23" s="950" t="s">
        <v>2011</v>
      </c>
      <c r="R23" s="950" t="s">
        <v>2010</v>
      </c>
      <c r="S23" s="974" t="s">
        <v>2021</v>
      </c>
      <c r="T23" s="953" t="s">
        <v>2007</v>
      </c>
      <c r="U23" s="954" t="s">
        <v>2012</v>
      </c>
      <c r="V23" s="1044" t="s">
        <v>2024</v>
      </c>
      <c r="W23" s="975" t="s">
        <v>2023</v>
      </c>
      <c r="X23" s="982" t="s">
        <v>2022</v>
      </c>
      <c r="Y23" s="983" t="s">
        <v>1981</v>
      </c>
      <c r="Z23" s="984" t="s">
        <v>2025</v>
      </c>
      <c r="AA23" s="982" t="s">
        <v>2022</v>
      </c>
      <c r="AB23" s="983" t="s">
        <v>1981</v>
      </c>
      <c r="AC23" s="984" t="s">
        <v>2025</v>
      </c>
      <c r="AD23" s="982" t="s">
        <v>2022</v>
      </c>
      <c r="AE23" s="983" t="s">
        <v>1981</v>
      </c>
      <c r="AF23" s="984" t="s">
        <v>2025</v>
      </c>
      <c r="AG23" s="982" t="s">
        <v>2022</v>
      </c>
      <c r="AH23" s="983" t="s">
        <v>1981</v>
      </c>
      <c r="AI23" s="984" t="s">
        <v>2025</v>
      </c>
      <c r="AJ23" s="982" t="s">
        <v>2022</v>
      </c>
      <c r="AK23" s="983" t="s">
        <v>1981</v>
      </c>
      <c r="AL23" s="984" t="s">
        <v>2025</v>
      </c>
      <c r="AN23" s="982" t="s">
        <v>2022</v>
      </c>
      <c r="AO23" s="983" t="s">
        <v>1981</v>
      </c>
      <c r="AP23" s="982" t="s">
        <v>2022</v>
      </c>
      <c r="AQ23" s="983" t="s">
        <v>1981</v>
      </c>
      <c r="AR23" s="982" t="s">
        <v>2022</v>
      </c>
      <c r="AS23" s="983" t="s">
        <v>1981</v>
      </c>
      <c r="AT23" s="982" t="s">
        <v>2022</v>
      </c>
      <c r="AU23" s="983" t="s">
        <v>1981</v>
      </c>
      <c r="AV23" s="982" t="s">
        <v>2022</v>
      </c>
      <c r="AW23" s="983" t="s">
        <v>1981</v>
      </c>
      <c r="AX23" s="1789"/>
    </row>
    <row r="24" spans="11:50">
      <c r="K24" s="712"/>
      <c r="L24" s="923"/>
      <c r="M24" s="932">
        <v>1</v>
      </c>
      <c r="N24" s="933" t="s">
        <v>1934</v>
      </c>
      <c r="O24" s="934"/>
      <c r="P24" s="934" t="str">
        <f>IF(V24="","",IF(V24="*",2,IF(V24="",2*#REF!)))</f>
        <v/>
      </c>
      <c r="Q24" s="1036"/>
      <c r="R24" s="1037"/>
      <c r="S24" s="1039"/>
      <c r="T24" s="958"/>
      <c r="U24" s="936"/>
      <c r="V24" s="1041"/>
      <c r="W24" s="976"/>
      <c r="X24" s="1045"/>
      <c r="Y24" s="986"/>
      <c r="Z24" s="987"/>
      <c r="AA24" s="1045"/>
      <c r="AB24" s="986"/>
      <c r="AC24" s="987"/>
      <c r="AD24" s="1045"/>
      <c r="AE24" s="986"/>
      <c r="AF24" s="987"/>
      <c r="AG24" s="1045"/>
      <c r="AH24" s="986"/>
      <c r="AI24" s="987"/>
      <c r="AJ24" s="1045"/>
      <c r="AK24" s="986"/>
      <c r="AL24" s="987"/>
      <c r="AN24" s="985"/>
      <c r="AO24" s="986"/>
      <c r="AP24" s="985"/>
      <c r="AQ24" s="986"/>
      <c r="AR24" s="985"/>
      <c r="AS24" s="986"/>
      <c r="AT24" s="985"/>
      <c r="AU24" s="986"/>
      <c r="AV24" s="985"/>
      <c r="AW24" s="986"/>
      <c r="AX24" s="1788"/>
    </row>
    <row r="25" spans="11:50">
      <c r="K25" s="712"/>
      <c r="L25" s="923"/>
      <c r="M25" s="932">
        <v>2</v>
      </c>
      <c r="N25" s="937" t="s">
        <v>1935</v>
      </c>
      <c r="O25" s="934">
        <v>40</v>
      </c>
      <c r="P25" s="934">
        <f t="shared" ref="P25:P68" si="0">IF(V25="*",2,4)</f>
        <v>4</v>
      </c>
      <c r="Q25" s="1036"/>
      <c r="R25" s="1037"/>
      <c r="S25" s="1040">
        <v>2</v>
      </c>
      <c r="T25" s="958">
        <f t="shared" ref="T25:T68" si="1">(O25*P25)+(Q25*S25)+(R25*P25)</f>
        <v>160</v>
      </c>
      <c r="U25" s="955">
        <f t="shared" ref="U25:U69" si="2">IF(V25="*",$O$14*$O$8,0)</f>
        <v>0</v>
      </c>
      <c r="V25" s="1042">
        <v>0</v>
      </c>
      <c r="W25" s="977">
        <f t="shared" ref="W25:W68" si="3">IF(V25="*",$O$7*$O$14,0)</f>
        <v>0</v>
      </c>
      <c r="X25" s="1045">
        <v>2</v>
      </c>
      <c r="Y25" s="986">
        <f>$T25*X25</f>
        <v>320</v>
      </c>
      <c r="Z25" s="987">
        <f>($U25+$W25)*X25</f>
        <v>0</v>
      </c>
      <c r="AA25" s="1045">
        <v>2</v>
      </c>
      <c r="AB25" s="986">
        <f>$T25*AA25</f>
        <v>320</v>
      </c>
      <c r="AC25" s="987">
        <f>($U25+$W25)*AA25</f>
        <v>0</v>
      </c>
      <c r="AD25" s="1045">
        <v>2</v>
      </c>
      <c r="AE25" s="986">
        <f>$T25*AD25</f>
        <v>320</v>
      </c>
      <c r="AF25" s="987">
        <f>($U25+$W25)*AD25</f>
        <v>0</v>
      </c>
      <c r="AG25" s="1045">
        <v>2</v>
      </c>
      <c r="AH25" s="986">
        <f>$T25*AG25</f>
        <v>320</v>
      </c>
      <c r="AI25" s="987">
        <f>($U25+$W25)*AG25</f>
        <v>0</v>
      </c>
      <c r="AJ25" s="1045">
        <v>2</v>
      </c>
      <c r="AK25" s="986">
        <f>$T25*AJ25</f>
        <v>320</v>
      </c>
      <c r="AL25" s="987">
        <f>($U25+$W25)*AJ25</f>
        <v>0</v>
      </c>
      <c r="AN25" s="985">
        <f>X25</f>
        <v>2</v>
      </c>
      <c r="AO25" s="986">
        <f t="shared" ref="AO25:AO68" si="4">AN25*$S25*$O$14*$O$15</f>
        <v>4715.84</v>
      </c>
      <c r="AP25" s="985">
        <f>AA25</f>
        <v>2</v>
      </c>
      <c r="AQ25" s="986">
        <f t="shared" ref="AQ25:AQ68" si="5">AP25*$S25*$O$14*$O$15</f>
        <v>4715.84</v>
      </c>
      <c r="AR25" s="985">
        <f>AD25</f>
        <v>2</v>
      </c>
      <c r="AS25" s="986">
        <f t="shared" ref="AS25:AS68" si="6">AR25*$S25*$O$14*$O$15</f>
        <v>4715.84</v>
      </c>
      <c r="AT25" s="985">
        <f>AG25</f>
        <v>2</v>
      </c>
      <c r="AU25" s="986">
        <f t="shared" ref="AU25:AU68" si="7">AT25*$S25*$O$14*$O$15</f>
        <v>4715.84</v>
      </c>
      <c r="AV25" s="985">
        <f>AJ25</f>
        <v>2</v>
      </c>
      <c r="AW25" s="986">
        <f t="shared" ref="AW25:AW68" si="8">AV25*$S25*$O$14*$O$15</f>
        <v>4715.84</v>
      </c>
      <c r="AX25" s="1788"/>
    </row>
    <row r="26" spans="11:50">
      <c r="K26" s="712"/>
      <c r="L26" s="923"/>
      <c r="M26" s="932">
        <v>3</v>
      </c>
      <c r="N26" s="937" t="s">
        <v>1936</v>
      </c>
      <c r="O26" s="934">
        <v>40</v>
      </c>
      <c r="P26" s="934">
        <f t="shared" si="0"/>
        <v>4</v>
      </c>
      <c r="Q26" s="1036"/>
      <c r="R26" s="1037"/>
      <c r="S26" s="1040">
        <v>2</v>
      </c>
      <c r="T26" s="958">
        <f t="shared" si="1"/>
        <v>160</v>
      </c>
      <c r="U26" s="955">
        <f t="shared" si="2"/>
        <v>0</v>
      </c>
      <c r="V26" s="1042">
        <v>0</v>
      </c>
      <c r="W26" s="977">
        <f t="shared" si="3"/>
        <v>0</v>
      </c>
      <c r="X26" s="1045">
        <v>2</v>
      </c>
      <c r="Y26" s="986">
        <f t="shared" ref="Y26:Y68" si="9">$T26*X26</f>
        <v>320</v>
      </c>
      <c r="Z26" s="987">
        <f t="shared" ref="Z26:Z68" si="10">($U26+$W26)*X26</f>
        <v>0</v>
      </c>
      <c r="AA26" s="1045">
        <v>2</v>
      </c>
      <c r="AB26" s="986">
        <f t="shared" ref="AB26:AB68" si="11">$T26*AA26</f>
        <v>320</v>
      </c>
      <c r="AC26" s="987">
        <f t="shared" ref="AC26:AC68" si="12">($U26+$W26)*AA26</f>
        <v>0</v>
      </c>
      <c r="AD26" s="1045">
        <v>2</v>
      </c>
      <c r="AE26" s="986">
        <f t="shared" ref="AE26:AE68" si="13">$T26*AD26</f>
        <v>320</v>
      </c>
      <c r="AF26" s="987">
        <f t="shared" ref="AF26:AF68" si="14">($U26+$W26)*AD26</f>
        <v>0</v>
      </c>
      <c r="AG26" s="1045">
        <v>2</v>
      </c>
      <c r="AH26" s="986">
        <f t="shared" ref="AH26:AH68" si="15">$T26*AG26</f>
        <v>320</v>
      </c>
      <c r="AI26" s="987">
        <f t="shared" ref="AI26:AI68" si="16">($U26+$W26)*AG26</f>
        <v>0</v>
      </c>
      <c r="AJ26" s="1045">
        <v>2</v>
      </c>
      <c r="AK26" s="986">
        <f t="shared" ref="AK26:AK68" si="17">$T26*AJ26</f>
        <v>320</v>
      </c>
      <c r="AL26" s="987">
        <f t="shared" ref="AL26:AL68" si="18">($U26+$W26)*AJ26</f>
        <v>0</v>
      </c>
      <c r="AN26" s="985">
        <f t="shared" ref="AN26:AN68" si="19">X26</f>
        <v>2</v>
      </c>
      <c r="AO26" s="986">
        <f t="shared" si="4"/>
        <v>4715.84</v>
      </c>
      <c r="AP26" s="985">
        <f t="shared" ref="AP26:AP68" si="20">AA26</f>
        <v>2</v>
      </c>
      <c r="AQ26" s="986">
        <f t="shared" si="5"/>
        <v>4715.84</v>
      </c>
      <c r="AR26" s="985">
        <f t="shared" ref="AR26:AR68" si="21">AD26</f>
        <v>2</v>
      </c>
      <c r="AS26" s="986">
        <f t="shared" si="6"/>
        <v>4715.84</v>
      </c>
      <c r="AT26" s="985">
        <f t="shared" ref="AT26:AT68" si="22">AG26</f>
        <v>2</v>
      </c>
      <c r="AU26" s="986">
        <f t="shared" si="7"/>
        <v>4715.84</v>
      </c>
      <c r="AV26" s="985">
        <f t="shared" ref="AV26:AV68" si="23">AJ26</f>
        <v>2</v>
      </c>
      <c r="AW26" s="986">
        <f t="shared" si="8"/>
        <v>4715.84</v>
      </c>
      <c r="AX26" s="1788"/>
    </row>
    <row r="27" spans="11:50">
      <c r="K27" s="712"/>
      <c r="L27" s="923"/>
      <c r="M27" s="932">
        <v>4</v>
      </c>
      <c r="N27" s="937" t="s">
        <v>1937</v>
      </c>
      <c r="O27" s="934">
        <v>40</v>
      </c>
      <c r="P27" s="934">
        <f t="shared" si="0"/>
        <v>4</v>
      </c>
      <c r="Q27" s="1036"/>
      <c r="R27" s="1037"/>
      <c r="S27" s="1040">
        <v>2</v>
      </c>
      <c r="T27" s="958">
        <f t="shared" si="1"/>
        <v>160</v>
      </c>
      <c r="U27" s="955">
        <f t="shared" si="2"/>
        <v>0</v>
      </c>
      <c r="V27" s="1042">
        <v>0</v>
      </c>
      <c r="W27" s="977">
        <f t="shared" si="3"/>
        <v>0</v>
      </c>
      <c r="X27" s="1045">
        <v>2</v>
      </c>
      <c r="Y27" s="986">
        <f t="shared" si="9"/>
        <v>320</v>
      </c>
      <c r="Z27" s="987">
        <f t="shared" si="10"/>
        <v>0</v>
      </c>
      <c r="AA27" s="1045">
        <v>2</v>
      </c>
      <c r="AB27" s="986">
        <f t="shared" si="11"/>
        <v>320</v>
      </c>
      <c r="AC27" s="987">
        <f t="shared" si="12"/>
        <v>0</v>
      </c>
      <c r="AD27" s="1045">
        <v>2</v>
      </c>
      <c r="AE27" s="986">
        <f t="shared" si="13"/>
        <v>320</v>
      </c>
      <c r="AF27" s="987">
        <f t="shared" si="14"/>
        <v>0</v>
      </c>
      <c r="AG27" s="1045">
        <v>2</v>
      </c>
      <c r="AH27" s="986">
        <f t="shared" si="15"/>
        <v>320</v>
      </c>
      <c r="AI27" s="987">
        <f t="shared" si="16"/>
        <v>0</v>
      </c>
      <c r="AJ27" s="1045">
        <v>2</v>
      </c>
      <c r="AK27" s="986">
        <f t="shared" si="17"/>
        <v>320</v>
      </c>
      <c r="AL27" s="987">
        <f t="shared" si="18"/>
        <v>0</v>
      </c>
      <c r="AN27" s="985">
        <f t="shared" si="19"/>
        <v>2</v>
      </c>
      <c r="AO27" s="986">
        <f t="shared" si="4"/>
        <v>4715.84</v>
      </c>
      <c r="AP27" s="985">
        <f t="shared" si="20"/>
        <v>2</v>
      </c>
      <c r="AQ27" s="986">
        <f t="shared" si="5"/>
        <v>4715.84</v>
      </c>
      <c r="AR27" s="985">
        <f t="shared" si="21"/>
        <v>2</v>
      </c>
      <c r="AS27" s="986">
        <f t="shared" si="6"/>
        <v>4715.84</v>
      </c>
      <c r="AT27" s="985">
        <f t="shared" si="22"/>
        <v>2</v>
      </c>
      <c r="AU27" s="986">
        <f t="shared" si="7"/>
        <v>4715.84</v>
      </c>
      <c r="AV27" s="985">
        <f t="shared" si="23"/>
        <v>2</v>
      </c>
      <c r="AW27" s="986">
        <f t="shared" si="8"/>
        <v>4715.84</v>
      </c>
      <c r="AX27" s="1788"/>
    </row>
    <row r="28" spans="11:50">
      <c r="K28" s="712"/>
      <c r="L28" s="923"/>
      <c r="M28" s="932">
        <v>5</v>
      </c>
      <c r="N28" s="937" t="s">
        <v>1938</v>
      </c>
      <c r="O28" s="934">
        <v>40</v>
      </c>
      <c r="P28" s="934">
        <f t="shared" si="0"/>
        <v>4</v>
      </c>
      <c r="Q28" s="1036"/>
      <c r="R28" s="1037"/>
      <c r="S28" s="1040">
        <v>2</v>
      </c>
      <c r="T28" s="958">
        <f t="shared" si="1"/>
        <v>160</v>
      </c>
      <c r="U28" s="955">
        <f t="shared" si="2"/>
        <v>0</v>
      </c>
      <c r="V28" s="1042">
        <v>0</v>
      </c>
      <c r="W28" s="977">
        <f t="shared" si="3"/>
        <v>0</v>
      </c>
      <c r="X28" s="1045">
        <v>2</v>
      </c>
      <c r="Y28" s="986">
        <f t="shared" si="9"/>
        <v>320</v>
      </c>
      <c r="Z28" s="987">
        <f t="shared" si="10"/>
        <v>0</v>
      </c>
      <c r="AA28" s="1045">
        <v>2</v>
      </c>
      <c r="AB28" s="986">
        <f t="shared" si="11"/>
        <v>320</v>
      </c>
      <c r="AC28" s="987">
        <f t="shared" si="12"/>
        <v>0</v>
      </c>
      <c r="AD28" s="1045">
        <v>2</v>
      </c>
      <c r="AE28" s="986">
        <f t="shared" si="13"/>
        <v>320</v>
      </c>
      <c r="AF28" s="987">
        <f t="shared" si="14"/>
        <v>0</v>
      </c>
      <c r="AG28" s="1045">
        <v>2</v>
      </c>
      <c r="AH28" s="986">
        <f t="shared" si="15"/>
        <v>320</v>
      </c>
      <c r="AI28" s="987">
        <f t="shared" si="16"/>
        <v>0</v>
      </c>
      <c r="AJ28" s="1045">
        <v>2</v>
      </c>
      <c r="AK28" s="986">
        <f t="shared" si="17"/>
        <v>320</v>
      </c>
      <c r="AL28" s="987">
        <f t="shared" si="18"/>
        <v>0</v>
      </c>
      <c r="AN28" s="985">
        <f t="shared" si="19"/>
        <v>2</v>
      </c>
      <c r="AO28" s="986">
        <f t="shared" si="4"/>
        <v>4715.84</v>
      </c>
      <c r="AP28" s="985">
        <f t="shared" si="20"/>
        <v>2</v>
      </c>
      <c r="AQ28" s="986">
        <f t="shared" si="5"/>
        <v>4715.84</v>
      </c>
      <c r="AR28" s="985">
        <f t="shared" si="21"/>
        <v>2</v>
      </c>
      <c r="AS28" s="986">
        <f t="shared" si="6"/>
        <v>4715.84</v>
      </c>
      <c r="AT28" s="985">
        <f t="shared" si="22"/>
        <v>2</v>
      </c>
      <c r="AU28" s="986">
        <f t="shared" si="7"/>
        <v>4715.84</v>
      </c>
      <c r="AV28" s="985">
        <f t="shared" si="23"/>
        <v>2</v>
      </c>
      <c r="AW28" s="986">
        <f t="shared" si="8"/>
        <v>4715.84</v>
      </c>
      <c r="AX28" s="1788"/>
    </row>
    <row r="29" spans="11:50">
      <c r="K29" s="712"/>
      <c r="L29" s="923"/>
      <c r="M29" s="932">
        <v>6</v>
      </c>
      <c r="N29" s="937" t="s">
        <v>1939</v>
      </c>
      <c r="O29" s="934">
        <v>40</v>
      </c>
      <c r="P29" s="934">
        <f t="shared" si="0"/>
        <v>4</v>
      </c>
      <c r="Q29" s="1036"/>
      <c r="R29" s="1037"/>
      <c r="S29" s="1040">
        <v>2</v>
      </c>
      <c r="T29" s="958">
        <f t="shared" si="1"/>
        <v>160</v>
      </c>
      <c r="U29" s="955">
        <f t="shared" si="2"/>
        <v>0</v>
      </c>
      <c r="V29" s="1042">
        <v>0</v>
      </c>
      <c r="W29" s="977">
        <f t="shared" si="3"/>
        <v>0</v>
      </c>
      <c r="X29" s="1045">
        <v>2</v>
      </c>
      <c r="Y29" s="986">
        <f t="shared" si="9"/>
        <v>320</v>
      </c>
      <c r="Z29" s="987">
        <f t="shared" si="10"/>
        <v>0</v>
      </c>
      <c r="AA29" s="1045">
        <v>2</v>
      </c>
      <c r="AB29" s="986">
        <f t="shared" si="11"/>
        <v>320</v>
      </c>
      <c r="AC29" s="987">
        <f t="shared" si="12"/>
        <v>0</v>
      </c>
      <c r="AD29" s="1045">
        <v>2</v>
      </c>
      <c r="AE29" s="986">
        <f t="shared" si="13"/>
        <v>320</v>
      </c>
      <c r="AF29" s="987">
        <f t="shared" si="14"/>
        <v>0</v>
      </c>
      <c r="AG29" s="1045">
        <v>2</v>
      </c>
      <c r="AH29" s="986">
        <f t="shared" si="15"/>
        <v>320</v>
      </c>
      <c r="AI29" s="987">
        <f t="shared" si="16"/>
        <v>0</v>
      </c>
      <c r="AJ29" s="1045">
        <v>2</v>
      </c>
      <c r="AK29" s="986">
        <f t="shared" si="17"/>
        <v>320</v>
      </c>
      <c r="AL29" s="987">
        <f t="shared" si="18"/>
        <v>0</v>
      </c>
      <c r="AN29" s="985">
        <f t="shared" si="19"/>
        <v>2</v>
      </c>
      <c r="AO29" s="986">
        <f t="shared" si="4"/>
        <v>4715.84</v>
      </c>
      <c r="AP29" s="985">
        <f t="shared" si="20"/>
        <v>2</v>
      </c>
      <c r="AQ29" s="986">
        <f t="shared" si="5"/>
        <v>4715.84</v>
      </c>
      <c r="AR29" s="985">
        <f t="shared" si="21"/>
        <v>2</v>
      </c>
      <c r="AS29" s="986">
        <f t="shared" si="6"/>
        <v>4715.84</v>
      </c>
      <c r="AT29" s="985">
        <f t="shared" si="22"/>
        <v>2</v>
      </c>
      <c r="AU29" s="986">
        <f t="shared" si="7"/>
        <v>4715.84</v>
      </c>
      <c r="AV29" s="985">
        <f t="shared" si="23"/>
        <v>2</v>
      </c>
      <c r="AW29" s="986">
        <f t="shared" si="8"/>
        <v>4715.84</v>
      </c>
      <c r="AX29" s="1788"/>
    </row>
    <row r="30" spans="11:50">
      <c r="K30" s="712"/>
      <c r="L30" s="923"/>
      <c r="M30" s="932" t="s">
        <v>1940</v>
      </c>
      <c r="N30" s="937" t="s">
        <v>1941</v>
      </c>
      <c r="O30" s="934">
        <v>40</v>
      </c>
      <c r="P30" s="934">
        <f t="shared" si="0"/>
        <v>4</v>
      </c>
      <c r="Q30" s="1036"/>
      <c r="R30" s="1037"/>
      <c r="S30" s="1040">
        <v>2</v>
      </c>
      <c r="T30" s="958">
        <f t="shared" si="1"/>
        <v>160</v>
      </c>
      <c r="U30" s="955">
        <f t="shared" si="2"/>
        <v>0</v>
      </c>
      <c r="V30" s="1042">
        <v>0</v>
      </c>
      <c r="W30" s="977">
        <f t="shared" si="3"/>
        <v>0</v>
      </c>
      <c r="X30" s="1045">
        <v>2</v>
      </c>
      <c r="Y30" s="986">
        <f t="shared" si="9"/>
        <v>320</v>
      </c>
      <c r="Z30" s="987">
        <f t="shared" si="10"/>
        <v>0</v>
      </c>
      <c r="AA30" s="1045">
        <v>2</v>
      </c>
      <c r="AB30" s="986">
        <f t="shared" si="11"/>
        <v>320</v>
      </c>
      <c r="AC30" s="987">
        <f t="shared" si="12"/>
        <v>0</v>
      </c>
      <c r="AD30" s="1045">
        <v>2</v>
      </c>
      <c r="AE30" s="986">
        <f t="shared" si="13"/>
        <v>320</v>
      </c>
      <c r="AF30" s="987">
        <f t="shared" si="14"/>
        <v>0</v>
      </c>
      <c r="AG30" s="1045">
        <v>2</v>
      </c>
      <c r="AH30" s="986">
        <f t="shared" si="15"/>
        <v>320</v>
      </c>
      <c r="AI30" s="987">
        <f t="shared" si="16"/>
        <v>0</v>
      </c>
      <c r="AJ30" s="1045">
        <v>2</v>
      </c>
      <c r="AK30" s="986">
        <f t="shared" si="17"/>
        <v>320</v>
      </c>
      <c r="AL30" s="987">
        <f t="shared" si="18"/>
        <v>0</v>
      </c>
      <c r="AN30" s="985">
        <f t="shared" si="19"/>
        <v>2</v>
      </c>
      <c r="AO30" s="986">
        <f t="shared" si="4"/>
        <v>4715.84</v>
      </c>
      <c r="AP30" s="985">
        <f t="shared" si="20"/>
        <v>2</v>
      </c>
      <c r="AQ30" s="986">
        <f t="shared" si="5"/>
        <v>4715.84</v>
      </c>
      <c r="AR30" s="985">
        <f t="shared" si="21"/>
        <v>2</v>
      </c>
      <c r="AS30" s="986">
        <f t="shared" si="6"/>
        <v>4715.84</v>
      </c>
      <c r="AT30" s="985">
        <f t="shared" si="22"/>
        <v>2</v>
      </c>
      <c r="AU30" s="986">
        <f t="shared" si="7"/>
        <v>4715.84</v>
      </c>
      <c r="AV30" s="985">
        <f t="shared" si="23"/>
        <v>2</v>
      </c>
      <c r="AW30" s="986">
        <f t="shared" si="8"/>
        <v>4715.84</v>
      </c>
      <c r="AX30" s="1788"/>
    </row>
    <row r="31" spans="11:50">
      <c r="K31" s="712"/>
      <c r="L31" s="923"/>
      <c r="M31" s="932">
        <v>8</v>
      </c>
      <c r="N31" s="933" t="s">
        <v>1942</v>
      </c>
      <c r="O31" s="934">
        <v>131</v>
      </c>
      <c r="P31" s="934">
        <f t="shared" si="0"/>
        <v>2</v>
      </c>
      <c r="Q31" s="1036">
        <v>40</v>
      </c>
      <c r="R31" s="1038">
        <v>0</v>
      </c>
      <c r="S31" s="1040">
        <v>2</v>
      </c>
      <c r="T31" s="958">
        <f t="shared" si="1"/>
        <v>342</v>
      </c>
      <c r="U31" s="955">
        <f t="shared" si="2"/>
        <v>400</v>
      </c>
      <c r="V31" s="1043" t="s">
        <v>1943</v>
      </c>
      <c r="W31" s="977">
        <f t="shared" si="3"/>
        <v>1200</v>
      </c>
      <c r="X31" s="1045">
        <v>2</v>
      </c>
      <c r="Y31" s="986">
        <f t="shared" si="9"/>
        <v>684</v>
      </c>
      <c r="Z31" s="987">
        <f t="shared" si="10"/>
        <v>3200</v>
      </c>
      <c r="AA31" s="1045">
        <v>2</v>
      </c>
      <c r="AB31" s="986">
        <f t="shared" si="11"/>
        <v>684</v>
      </c>
      <c r="AC31" s="987">
        <f t="shared" si="12"/>
        <v>3200</v>
      </c>
      <c r="AD31" s="1045">
        <v>2</v>
      </c>
      <c r="AE31" s="986">
        <f t="shared" si="13"/>
        <v>684</v>
      </c>
      <c r="AF31" s="987">
        <f t="shared" si="14"/>
        <v>3200</v>
      </c>
      <c r="AG31" s="1045">
        <v>2</v>
      </c>
      <c r="AH31" s="986">
        <f t="shared" si="15"/>
        <v>684</v>
      </c>
      <c r="AI31" s="987">
        <f t="shared" si="16"/>
        <v>3200</v>
      </c>
      <c r="AJ31" s="1045">
        <v>2</v>
      </c>
      <c r="AK31" s="986">
        <f t="shared" si="17"/>
        <v>684</v>
      </c>
      <c r="AL31" s="987">
        <f t="shared" si="18"/>
        <v>3200</v>
      </c>
      <c r="AN31" s="985">
        <f t="shared" si="19"/>
        <v>2</v>
      </c>
      <c r="AO31" s="986">
        <f t="shared" si="4"/>
        <v>4715.84</v>
      </c>
      <c r="AP31" s="985">
        <f t="shared" si="20"/>
        <v>2</v>
      </c>
      <c r="AQ31" s="986">
        <f t="shared" si="5"/>
        <v>4715.84</v>
      </c>
      <c r="AR31" s="985">
        <f t="shared" si="21"/>
        <v>2</v>
      </c>
      <c r="AS31" s="986">
        <f t="shared" si="6"/>
        <v>4715.84</v>
      </c>
      <c r="AT31" s="985">
        <f t="shared" si="22"/>
        <v>2</v>
      </c>
      <c r="AU31" s="986">
        <f t="shared" si="7"/>
        <v>4715.84</v>
      </c>
      <c r="AV31" s="985">
        <f t="shared" si="23"/>
        <v>2</v>
      </c>
      <c r="AW31" s="986">
        <f t="shared" si="8"/>
        <v>4715.84</v>
      </c>
      <c r="AX31" s="1788"/>
    </row>
    <row r="32" spans="11:50">
      <c r="K32" s="712"/>
      <c r="L32" s="923"/>
      <c r="M32" s="932">
        <v>9</v>
      </c>
      <c r="N32" s="933" t="s">
        <v>1944</v>
      </c>
      <c r="O32" s="934">
        <v>37</v>
      </c>
      <c r="P32" s="934">
        <f t="shared" si="0"/>
        <v>4</v>
      </c>
      <c r="Q32" s="1036">
        <v>40</v>
      </c>
      <c r="R32" s="1038"/>
      <c r="S32" s="1040">
        <v>2</v>
      </c>
      <c r="T32" s="958">
        <f t="shared" si="1"/>
        <v>228</v>
      </c>
      <c r="U32" s="955">
        <f t="shared" si="2"/>
        <v>0</v>
      </c>
      <c r="V32" s="1043"/>
      <c r="W32" s="977">
        <f t="shared" si="3"/>
        <v>0</v>
      </c>
      <c r="X32" s="1045">
        <v>2</v>
      </c>
      <c r="Y32" s="986">
        <f t="shared" si="9"/>
        <v>456</v>
      </c>
      <c r="Z32" s="987">
        <f t="shared" si="10"/>
        <v>0</v>
      </c>
      <c r="AA32" s="1045">
        <v>2</v>
      </c>
      <c r="AB32" s="986">
        <f t="shared" si="11"/>
        <v>456</v>
      </c>
      <c r="AC32" s="987">
        <f t="shared" si="12"/>
        <v>0</v>
      </c>
      <c r="AD32" s="1045">
        <v>2</v>
      </c>
      <c r="AE32" s="986">
        <f t="shared" si="13"/>
        <v>456</v>
      </c>
      <c r="AF32" s="987">
        <f t="shared" si="14"/>
        <v>0</v>
      </c>
      <c r="AG32" s="1045">
        <v>2</v>
      </c>
      <c r="AH32" s="986">
        <f t="shared" si="15"/>
        <v>456</v>
      </c>
      <c r="AI32" s="987">
        <f t="shared" si="16"/>
        <v>0</v>
      </c>
      <c r="AJ32" s="1045">
        <v>2</v>
      </c>
      <c r="AK32" s="986">
        <f t="shared" si="17"/>
        <v>456</v>
      </c>
      <c r="AL32" s="987">
        <f t="shared" si="18"/>
        <v>0</v>
      </c>
      <c r="AN32" s="985">
        <f t="shared" si="19"/>
        <v>2</v>
      </c>
      <c r="AO32" s="986">
        <f t="shared" si="4"/>
        <v>4715.84</v>
      </c>
      <c r="AP32" s="985">
        <f t="shared" si="20"/>
        <v>2</v>
      </c>
      <c r="AQ32" s="986">
        <f t="shared" si="5"/>
        <v>4715.84</v>
      </c>
      <c r="AR32" s="985">
        <f t="shared" si="21"/>
        <v>2</v>
      </c>
      <c r="AS32" s="986">
        <f t="shared" si="6"/>
        <v>4715.84</v>
      </c>
      <c r="AT32" s="985">
        <f t="shared" si="22"/>
        <v>2</v>
      </c>
      <c r="AU32" s="986">
        <f t="shared" si="7"/>
        <v>4715.84</v>
      </c>
      <c r="AV32" s="985">
        <f t="shared" si="23"/>
        <v>2</v>
      </c>
      <c r="AW32" s="986">
        <f t="shared" si="8"/>
        <v>4715.84</v>
      </c>
      <c r="AX32" s="1788"/>
    </row>
    <row r="33" spans="11:50">
      <c r="K33" s="712"/>
      <c r="L33" s="923"/>
      <c r="M33" s="932">
        <v>10</v>
      </c>
      <c r="N33" s="933" t="s">
        <v>1945</v>
      </c>
      <c r="O33" s="934">
        <v>96</v>
      </c>
      <c r="P33" s="934">
        <f t="shared" si="0"/>
        <v>4</v>
      </c>
      <c r="Q33" s="1036">
        <v>40</v>
      </c>
      <c r="R33" s="1038"/>
      <c r="S33" s="1040">
        <v>2</v>
      </c>
      <c r="T33" s="958">
        <f t="shared" si="1"/>
        <v>464</v>
      </c>
      <c r="U33" s="955">
        <f t="shared" si="2"/>
        <v>0</v>
      </c>
      <c r="V33" s="1043"/>
      <c r="W33" s="977">
        <f t="shared" si="3"/>
        <v>0</v>
      </c>
      <c r="X33" s="1045">
        <v>2</v>
      </c>
      <c r="Y33" s="986">
        <f t="shared" si="9"/>
        <v>928</v>
      </c>
      <c r="Z33" s="987">
        <f t="shared" si="10"/>
        <v>0</v>
      </c>
      <c r="AA33" s="1045">
        <v>2</v>
      </c>
      <c r="AB33" s="986">
        <f t="shared" si="11"/>
        <v>928</v>
      </c>
      <c r="AC33" s="987">
        <f t="shared" si="12"/>
        <v>0</v>
      </c>
      <c r="AD33" s="1045">
        <v>2</v>
      </c>
      <c r="AE33" s="986">
        <f t="shared" si="13"/>
        <v>928</v>
      </c>
      <c r="AF33" s="987">
        <f t="shared" si="14"/>
        <v>0</v>
      </c>
      <c r="AG33" s="1045">
        <v>2</v>
      </c>
      <c r="AH33" s="986">
        <f t="shared" si="15"/>
        <v>928</v>
      </c>
      <c r="AI33" s="987">
        <f t="shared" si="16"/>
        <v>0</v>
      </c>
      <c r="AJ33" s="1045">
        <v>2</v>
      </c>
      <c r="AK33" s="986">
        <f t="shared" si="17"/>
        <v>928</v>
      </c>
      <c r="AL33" s="987">
        <f t="shared" si="18"/>
        <v>0</v>
      </c>
      <c r="AN33" s="985">
        <f t="shared" si="19"/>
        <v>2</v>
      </c>
      <c r="AO33" s="986">
        <f t="shared" si="4"/>
        <v>4715.84</v>
      </c>
      <c r="AP33" s="985">
        <f t="shared" si="20"/>
        <v>2</v>
      </c>
      <c r="AQ33" s="986">
        <f t="shared" si="5"/>
        <v>4715.84</v>
      </c>
      <c r="AR33" s="985">
        <f t="shared" si="21"/>
        <v>2</v>
      </c>
      <c r="AS33" s="986">
        <f t="shared" si="6"/>
        <v>4715.84</v>
      </c>
      <c r="AT33" s="985">
        <f t="shared" si="22"/>
        <v>2</v>
      </c>
      <c r="AU33" s="986">
        <f t="shared" si="7"/>
        <v>4715.84</v>
      </c>
      <c r="AV33" s="985">
        <f t="shared" si="23"/>
        <v>2</v>
      </c>
      <c r="AW33" s="986">
        <f t="shared" si="8"/>
        <v>4715.84</v>
      </c>
      <c r="AX33" s="1788"/>
    </row>
    <row r="34" spans="11:50">
      <c r="K34" s="712"/>
      <c r="L34" s="923"/>
      <c r="M34" s="932">
        <v>11</v>
      </c>
      <c r="N34" s="933" t="s">
        <v>1946</v>
      </c>
      <c r="O34" s="934">
        <v>237</v>
      </c>
      <c r="P34" s="934">
        <f t="shared" si="0"/>
        <v>2</v>
      </c>
      <c r="Q34" s="1036">
        <v>40</v>
      </c>
      <c r="R34" s="1038">
        <v>93</v>
      </c>
      <c r="S34" s="1040">
        <v>2</v>
      </c>
      <c r="T34" s="958">
        <f t="shared" si="1"/>
        <v>740</v>
      </c>
      <c r="U34" s="955">
        <f t="shared" si="2"/>
        <v>400</v>
      </c>
      <c r="V34" s="1043" t="s">
        <v>1943</v>
      </c>
      <c r="W34" s="977">
        <f t="shared" si="3"/>
        <v>1200</v>
      </c>
      <c r="X34" s="1045">
        <v>2</v>
      </c>
      <c r="Y34" s="986">
        <f t="shared" si="9"/>
        <v>1480</v>
      </c>
      <c r="Z34" s="987">
        <f t="shared" si="10"/>
        <v>3200</v>
      </c>
      <c r="AA34" s="1045">
        <v>2</v>
      </c>
      <c r="AB34" s="986">
        <f t="shared" si="11"/>
        <v>1480</v>
      </c>
      <c r="AC34" s="987">
        <f t="shared" si="12"/>
        <v>3200</v>
      </c>
      <c r="AD34" s="1045">
        <v>2</v>
      </c>
      <c r="AE34" s="986">
        <f t="shared" si="13"/>
        <v>1480</v>
      </c>
      <c r="AF34" s="987">
        <f t="shared" si="14"/>
        <v>3200</v>
      </c>
      <c r="AG34" s="1045">
        <v>2</v>
      </c>
      <c r="AH34" s="986">
        <f t="shared" si="15"/>
        <v>1480</v>
      </c>
      <c r="AI34" s="987">
        <f t="shared" si="16"/>
        <v>3200</v>
      </c>
      <c r="AJ34" s="1045">
        <v>2</v>
      </c>
      <c r="AK34" s="986">
        <f t="shared" si="17"/>
        <v>1480</v>
      </c>
      <c r="AL34" s="987">
        <f t="shared" si="18"/>
        <v>3200</v>
      </c>
      <c r="AN34" s="985">
        <f t="shared" si="19"/>
        <v>2</v>
      </c>
      <c r="AO34" s="986">
        <f t="shared" si="4"/>
        <v>4715.84</v>
      </c>
      <c r="AP34" s="985">
        <f t="shared" si="20"/>
        <v>2</v>
      </c>
      <c r="AQ34" s="986">
        <f t="shared" si="5"/>
        <v>4715.84</v>
      </c>
      <c r="AR34" s="985">
        <f t="shared" si="21"/>
        <v>2</v>
      </c>
      <c r="AS34" s="986">
        <f t="shared" si="6"/>
        <v>4715.84</v>
      </c>
      <c r="AT34" s="985">
        <f t="shared" si="22"/>
        <v>2</v>
      </c>
      <c r="AU34" s="986">
        <f t="shared" si="7"/>
        <v>4715.84</v>
      </c>
      <c r="AV34" s="985">
        <f t="shared" si="23"/>
        <v>2</v>
      </c>
      <c r="AW34" s="986">
        <f t="shared" si="8"/>
        <v>4715.84</v>
      </c>
      <c r="AX34" s="1788"/>
    </row>
    <row r="35" spans="11:50">
      <c r="K35" s="712"/>
      <c r="L35" s="920"/>
      <c r="M35" s="932">
        <v>12</v>
      </c>
      <c r="N35" s="933" t="s">
        <v>1947</v>
      </c>
      <c r="O35" s="934">
        <v>168</v>
      </c>
      <c r="P35" s="934">
        <f t="shared" si="0"/>
        <v>2</v>
      </c>
      <c r="Q35" s="1036">
        <v>40</v>
      </c>
      <c r="R35" s="1038"/>
      <c r="S35" s="1040">
        <v>2</v>
      </c>
      <c r="T35" s="958">
        <f t="shared" si="1"/>
        <v>416</v>
      </c>
      <c r="U35" s="955">
        <f t="shared" si="2"/>
        <v>400</v>
      </c>
      <c r="V35" s="1043" t="s">
        <v>1943</v>
      </c>
      <c r="W35" s="977">
        <f t="shared" si="3"/>
        <v>1200</v>
      </c>
      <c r="X35" s="1045">
        <v>2</v>
      </c>
      <c r="Y35" s="986">
        <f t="shared" si="9"/>
        <v>832</v>
      </c>
      <c r="Z35" s="987">
        <f t="shared" si="10"/>
        <v>3200</v>
      </c>
      <c r="AA35" s="1045">
        <v>2</v>
      </c>
      <c r="AB35" s="986">
        <f t="shared" si="11"/>
        <v>832</v>
      </c>
      <c r="AC35" s="987">
        <f t="shared" si="12"/>
        <v>3200</v>
      </c>
      <c r="AD35" s="1045">
        <v>2</v>
      </c>
      <c r="AE35" s="986">
        <f t="shared" si="13"/>
        <v>832</v>
      </c>
      <c r="AF35" s="987">
        <f t="shared" si="14"/>
        <v>3200</v>
      </c>
      <c r="AG35" s="1045">
        <v>2</v>
      </c>
      <c r="AH35" s="986">
        <f t="shared" si="15"/>
        <v>832</v>
      </c>
      <c r="AI35" s="987">
        <f t="shared" si="16"/>
        <v>3200</v>
      </c>
      <c r="AJ35" s="1045">
        <v>2</v>
      </c>
      <c r="AK35" s="986">
        <f t="shared" si="17"/>
        <v>832</v>
      </c>
      <c r="AL35" s="987">
        <f t="shared" si="18"/>
        <v>3200</v>
      </c>
      <c r="AN35" s="985">
        <f t="shared" si="19"/>
        <v>2</v>
      </c>
      <c r="AO35" s="986">
        <f t="shared" si="4"/>
        <v>4715.84</v>
      </c>
      <c r="AP35" s="985">
        <f t="shared" si="20"/>
        <v>2</v>
      </c>
      <c r="AQ35" s="986">
        <f t="shared" si="5"/>
        <v>4715.84</v>
      </c>
      <c r="AR35" s="985">
        <f t="shared" si="21"/>
        <v>2</v>
      </c>
      <c r="AS35" s="986">
        <f t="shared" si="6"/>
        <v>4715.84</v>
      </c>
      <c r="AT35" s="985">
        <f t="shared" si="22"/>
        <v>2</v>
      </c>
      <c r="AU35" s="986">
        <f t="shared" si="7"/>
        <v>4715.84</v>
      </c>
      <c r="AV35" s="985">
        <f t="shared" si="23"/>
        <v>2</v>
      </c>
      <c r="AW35" s="986">
        <f t="shared" si="8"/>
        <v>4715.84</v>
      </c>
      <c r="AX35" s="1788"/>
    </row>
    <row r="36" spans="11:50">
      <c r="K36" s="712"/>
      <c r="L36" s="920"/>
      <c r="M36" s="932">
        <v>13</v>
      </c>
      <c r="N36" s="933" t="s">
        <v>1948</v>
      </c>
      <c r="O36" s="934">
        <v>120</v>
      </c>
      <c r="P36" s="934">
        <f t="shared" si="0"/>
        <v>4</v>
      </c>
      <c r="Q36" s="1036">
        <v>40</v>
      </c>
      <c r="R36" s="1038"/>
      <c r="S36" s="1040">
        <v>2</v>
      </c>
      <c r="T36" s="958">
        <f t="shared" si="1"/>
        <v>560</v>
      </c>
      <c r="U36" s="955">
        <f t="shared" si="2"/>
        <v>0</v>
      </c>
      <c r="V36" s="1043"/>
      <c r="W36" s="977">
        <f t="shared" si="3"/>
        <v>0</v>
      </c>
      <c r="X36" s="1045">
        <v>2</v>
      </c>
      <c r="Y36" s="986">
        <f t="shared" si="9"/>
        <v>1120</v>
      </c>
      <c r="Z36" s="987">
        <f t="shared" si="10"/>
        <v>0</v>
      </c>
      <c r="AA36" s="1045">
        <v>2</v>
      </c>
      <c r="AB36" s="986">
        <f t="shared" si="11"/>
        <v>1120</v>
      </c>
      <c r="AC36" s="987">
        <f t="shared" si="12"/>
        <v>0</v>
      </c>
      <c r="AD36" s="1045">
        <v>2</v>
      </c>
      <c r="AE36" s="986">
        <f t="shared" si="13"/>
        <v>1120</v>
      </c>
      <c r="AF36" s="987">
        <f t="shared" si="14"/>
        <v>0</v>
      </c>
      <c r="AG36" s="1045">
        <v>2</v>
      </c>
      <c r="AH36" s="986">
        <f t="shared" si="15"/>
        <v>1120</v>
      </c>
      <c r="AI36" s="987">
        <f t="shared" si="16"/>
        <v>0</v>
      </c>
      <c r="AJ36" s="1045">
        <v>2</v>
      </c>
      <c r="AK36" s="986">
        <f t="shared" si="17"/>
        <v>1120</v>
      </c>
      <c r="AL36" s="987">
        <f t="shared" si="18"/>
        <v>0</v>
      </c>
      <c r="AN36" s="985">
        <f t="shared" si="19"/>
        <v>2</v>
      </c>
      <c r="AO36" s="986">
        <f t="shared" si="4"/>
        <v>4715.84</v>
      </c>
      <c r="AP36" s="985">
        <f t="shared" si="20"/>
        <v>2</v>
      </c>
      <c r="AQ36" s="986">
        <f t="shared" si="5"/>
        <v>4715.84</v>
      </c>
      <c r="AR36" s="985">
        <f t="shared" si="21"/>
        <v>2</v>
      </c>
      <c r="AS36" s="986">
        <f t="shared" si="6"/>
        <v>4715.84</v>
      </c>
      <c r="AT36" s="985">
        <f t="shared" si="22"/>
        <v>2</v>
      </c>
      <c r="AU36" s="986">
        <f t="shared" si="7"/>
        <v>4715.84</v>
      </c>
      <c r="AV36" s="985">
        <f t="shared" si="23"/>
        <v>2</v>
      </c>
      <c r="AW36" s="986">
        <f t="shared" si="8"/>
        <v>4715.84</v>
      </c>
      <c r="AX36" s="1788"/>
    </row>
    <row r="37" spans="11:50">
      <c r="K37" s="712"/>
      <c r="L37" s="920"/>
      <c r="M37" s="932">
        <v>14</v>
      </c>
      <c r="N37" s="933" t="s">
        <v>1949</v>
      </c>
      <c r="O37" s="934">
        <v>48</v>
      </c>
      <c r="P37" s="934">
        <f t="shared" si="0"/>
        <v>4</v>
      </c>
      <c r="Q37" s="1036">
        <v>40</v>
      </c>
      <c r="R37" s="1038"/>
      <c r="S37" s="1040">
        <v>2</v>
      </c>
      <c r="T37" s="958">
        <f t="shared" si="1"/>
        <v>272</v>
      </c>
      <c r="U37" s="955">
        <f t="shared" si="2"/>
        <v>0</v>
      </c>
      <c r="V37" s="1043"/>
      <c r="W37" s="977">
        <f t="shared" si="3"/>
        <v>0</v>
      </c>
      <c r="X37" s="1045">
        <v>2</v>
      </c>
      <c r="Y37" s="986">
        <f t="shared" si="9"/>
        <v>544</v>
      </c>
      <c r="Z37" s="987">
        <f t="shared" si="10"/>
        <v>0</v>
      </c>
      <c r="AA37" s="1045">
        <v>2</v>
      </c>
      <c r="AB37" s="986">
        <f t="shared" si="11"/>
        <v>544</v>
      </c>
      <c r="AC37" s="987">
        <f t="shared" si="12"/>
        <v>0</v>
      </c>
      <c r="AD37" s="1045">
        <v>2</v>
      </c>
      <c r="AE37" s="986">
        <f t="shared" si="13"/>
        <v>544</v>
      </c>
      <c r="AF37" s="987">
        <f t="shared" si="14"/>
        <v>0</v>
      </c>
      <c r="AG37" s="1045">
        <v>2</v>
      </c>
      <c r="AH37" s="986">
        <f t="shared" si="15"/>
        <v>544</v>
      </c>
      <c r="AI37" s="987">
        <f t="shared" si="16"/>
        <v>0</v>
      </c>
      <c r="AJ37" s="1045">
        <v>2</v>
      </c>
      <c r="AK37" s="986">
        <f t="shared" si="17"/>
        <v>544</v>
      </c>
      <c r="AL37" s="987">
        <f t="shared" si="18"/>
        <v>0</v>
      </c>
      <c r="AN37" s="985">
        <f t="shared" si="19"/>
        <v>2</v>
      </c>
      <c r="AO37" s="986">
        <f t="shared" si="4"/>
        <v>4715.84</v>
      </c>
      <c r="AP37" s="985">
        <f t="shared" si="20"/>
        <v>2</v>
      </c>
      <c r="AQ37" s="986">
        <f t="shared" si="5"/>
        <v>4715.84</v>
      </c>
      <c r="AR37" s="985">
        <f t="shared" si="21"/>
        <v>2</v>
      </c>
      <c r="AS37" s="986">
        <f t="shared" si="6"/>
        <v>4715.84</v>
      </c>
      <c r="AT37" s="985">
        <f t="shared" si="22"/>
        <v>2</v>
      </c>
      <c r="AU37" s="986">
        <f t="shared" si="7"/>
        <v>4715.84</v>
      </c>
      <c r="AV37" s="985">
        <f t="shared" si="23"/>
        <v>2</v>
      </c>
      <c r="AW37" s="986">
        <f t="shared" si="8"/>
        <v>4715.84</v>
      </c>
      <c r="AX37" s="1788"/>
    </row>
    <row r="38" spans="11:50">
      <c r="K38" s="712"/>
      <c r="L38" s="920"/>
      <c r="M38" s="932">
        <v>15</v>
      </c>
      <c r="N38" s="933" t="s">
        <v>1950</v>
      </c>
      <c r="O38" s="934">
        <v>77</v>
      </c>
      <c r="P38" s="934">
        <f t="shared" si="0"/>
        <v>4</v>
      </c>
      <c r="Q38" s="1036">
        <v>40</v>
      </c>
      <c r="R38" s="1038"/>
      <c r="S38" s="1040">
        <v>2</v>
      </c>
      <c r="T38" s="958">
        <f t="shared" si="1"/>
        <v>388</v>
      </c>
      <c r="U38" s="955">
        <f t="shared" si="2"/>
        <v>0</v>
      </c>
      <c r="V38" s="1043"/>
      <c r="W38" s="977">
        <f t="shared" si="3"/>
        <v>0</v>
      </c>
      <c r="X38" s="1045">
        <v>2</v>
      </c>
      <c r="Y38" s="986">
        <f t="shared" si="9"/>
        <v>776</v>
      </c>
      <c r="Z38" s="987">
        <f t="shared" si="10"/>
        <v>0</v>
      </c>
      <c r="AA38" s="1045">
        <v>2</v>
      </c>
      <c r="AB38" s="986">
        <f t="shared" si="11"/>
        <v>776</v>
      </c>
      <c r="AC38" s="987">
        <f t="shared" si="12"/>
        <v>0</v>
      </c>
      <c r="AD38" s="1045">
        <v>2</v>
      </c>
      <c r="AE38" s="986">
        <f t="shared" si="13"/>
        <v>776</v>
      </c>
      <c r="AF38" s="987">
        <f t="shared" si="14"/>
        <v>0</v>
      </c>
      <c r="AG38" s="1045">
        <v>2</v>
      </c>
      <c r="AH38" s="986">
        <f t="shared" si="15"/>
        <v>776</v>
      </c>
      <c r="AI38" s="987">
        <f t="shared" si="16"/>
        <v>0</v>
      </c>
      <c r="AJ38" s="1045">
        <v>2</v>
      </c>
      <c r="AK38" s="986">
        <f t="shared" si="17"/>
        <v>776</v>
      </c>
      <c r="AL38" s="987">
        <f t="shared" si="18"/>
        <v>0</v>
      </c>
      <c r="AN38" s="985">
        <f t="shared" si="19"/>
        <v>2</v>
      </c>
      <c r="AO38" s="986">
        <f t="shared" si="4"/>
        <v>4715.84</v>
      </c>
      <c r="AP38" s="985">
        <f t="shared" si="20"/>
        <v>2</v>
      </c>
      <c r="AQ38" s="986">
        <f t="shared" si="5"/>
        <v>4715.84</v>
      </c>
      <c r="AR38" s="985">
        <f t="shared" si="21"/>
        <v>2</v>
      </c>
      <c r="AS38" s="986">
        <f t="shared" si="6"/>
        <v>4715.84</v>
      </c>
      <c r="AT38" s="985">
        <f t="shared" si="22"/>
        <v>2</v>
      </c>
      <c r="AU38" s="986">
        <f t="shared" si="7"/>
        <v>4715.84</v>
      </c>
      <c r="AV38" s="985">
        <f t="shared" si="23"/>
        <v>2</v>
      </c>
      <c r="AW38" s="986">
        <f t="shared" si="8"/>
        <v>4715.84</v>
      </c>
      <c r="AX38" s="1788"/>
    </row>
    <row r="39" spans="11:50">
      <c r="K39" s="712"/>
      <c r="L39" s="920"/>
      <c r="M39" s="932">
        <v>16</v>
      </c>
      <c r="N39" s="933" t="s">
        <v>1951</v>
      </c>
      <c r="O39" s="934">
        <v>68</v>
      </c>
      <c r="P39" s="934">
        <f t="shared" si="0"/>
        <v>4</v>
      </c>
      <c r="Q39" s="1036">
        <v>40</v>
      </c>
      <c r="R39" s="1038"/>
      <c r="S39" s="1040">
        <v>2</v>
      </c>
      <c r="T39" s="958">
        <f t="shared" si="1"/>
        <v>352</v>
      </c>
      <c r="U39" s="955">
        <f t="shared" si="2"/>
        <v>0</v>
      </c>
      <c r="V39" s="1043"/>
      <c r="W39" s="977">
        <f t="shared" si="3"/>
        <v>0</v>
      </c>
      <c r="X39" s="1045">
        <v>2</v>
      </c>
      <c r="Y39" s="986">
        <f t="shared" si="9"/>
        <v>704</v>
      </c>
      <c r="Z39" s="987">
        <f t="shared" si="10"/>
        <v>0</v>
      </c>
      <c r="AA39" s="1045">
        <v>2</v>
      </c>
      <c r="AB39" s="986">
        <f t="shared" si="11"/>
        <v>704</v>
      </c>
      <c r="AC39" s="987">
        <f t="shared" si="12"/>
        <v>0</v>
      </c>
      <c r="AD39" s="1045">
        <v>2</v>
      </c>
      <c r="AE39" s="986">
        <f t="shared" si="13"/>
        <v>704</v>
      </c>
      <c r="AF39" s="987">
        <f t="shared" si="14"/>
        <v>0</v>
      </c>
      <c r="AG39" s="1045">
        <v>2</v>
      </c>
      <c r="AH39" s="986">
        <f t="shared" si="15"/>
        <v>704</v>
      </c>
      <c r="AI39" s="987">
        <f t="shared" si="16"/>
        <v>0</v>
      </c>
      <c r="AJ39" s="1045">
        <v>2</v>
      </c>
      <c r="AK39" s="986">
        <f t="shared" si="17"/>
        <v>704</v>
      </c>
      <c r="AL39" s="987">
        <f t="shared" si="18"/>
        <v>0</v>
      </c>
      <c r="AN39" s="985">
        <f t="shared" si="19"/>
        <v>2</v>
      </c>
      <c r="AO39" s="986">
        <f t="shared" si="4"/>
        <v>4715.84</v>
      </c>
      <c r="AP39" s="985">
        <f t="shared" si="20"/>
        <v>2</v>
      </c>
      <c r="AQ39" s="986">
        <f t="shared" si="5"/>
        <v>4715.84</v>
      </c>
      <c r="AR39" s="985">
        <f t="shared" si="21"/>
        <v>2</v>
      </c>
      <c r="AS39" s="986">
        <f t="shared" si="6"/>
        <v>4715.84</v>
      </c>
      <c r="AT39" s="985">
        <f t="shared" si="22"/>
        <v>2</v>
      </c>
      <c r="AU39" s="986">
        <f t="shared" si="7"/>
        <v>4715.84</v>
      </c>
      <c r="AV39" s="985">
        <f t="shared" si="23"/>
        <v>2</v>
      </c>
      <c r="AW39" s="986">
        <f t="shared" si="8"/>
        <v>4715.84</v>
      </c>
      <c r="AX39" s="1788"/>
    </row>
    <row r="40" spans="11:50">
      <c r="K40" s="712"/>
      <c r="L40" s="920"/>
      <c r="M40" s="932">
        <v>17</v>
      </c>
      <c r="N40" s="933" t="s">
        <v>1952</v>
      </c>
      <c r="O40" s="934">
        <v>37</v>
      </c>
      <c r="P40" s="934">
        <f t="shared" si="0"/>
        <v>4</v>
      </c>
      <c r="Q40" s="1036">
        <v>40</v>
      </c>
      <c r="R40" s="1038"/>
      <c r="S40" s="1040">
        <v>2</v>
      </c>
      <c r="T40" s="958">
        <f t="shared" si="1"/>
        <v>228</v>
      </c>
      <c r="U40" s="955">
        <f t="shared" si="2"/>
        <v>0</v>
      </c>
      <c r="V40" s="1043"/>
      <c r="W40" s="977">
        <f t="shared" si="3"/>
        <v>0</v>
      </c>
      <c r="X40" s="1045">
        <v>2</v>
      </c>
      <c r="Y40" s="986">
        <f t="shared" si="9"/>
        <v>456</v>
      </c>
      <c r="Z40" s="987">
        <f t="shared" si="10"/>
        <v>0</v>
      </c>
      <c r="AA40" s="1045">
        <v>2</v>
      </c>
      <c r="AB40" s="986">
        <f t="shared" si="11"/>
        <v>456</v>
      </c>
      <c r="AC40" s="987">
        <f t="shared" si="12"/>
        <v>0</v>
      </c>
      <c r="AD40" s="1045">
        <v>2</v>
      </c>
      <c r="AE40" s="986">
        <f t="shared" si="13"/>
        <v>456</v>
      </c>
      <c r="AF40" s="987">
        <f t="shared" si="14"/>
        <v>0</v>
      </c>
      <c r="AG40" s="1045">
        <v>2</v>
      </c>
      <c r="AH40" s="986">
        <f t="shared" si="15"/>
        <v>456</v>
      </c>
      <c r="AI40" s="987">
        <f t="shared" si="16"/>
        <v>0</v>
      </c>
      <c r="AJ40" s="1045">
        <v>2</v>
      </c>
      <c r="AK40" s="986">
        <f t="shared" si="17"/>
        <v>456</v>
      </c>
      <c r="AL40" s="987">
        <f t="shared" si="18"/>
        <v>0</v>
      </c>
      <c r="AN40" s="985">
        <f t="shared" si="19"/>
        <v>2</v>
      </c>
      <c r="AO40" s="986">
        <f t="shared" si="4"/>
        <v>4715.84</v>
      </c>
      <c r="AP40" s="985">
        <f t="shared" si="20"/>
        <v>2</v>
      </c>
      <c r="AQ40" s="986">
        <f t="shared" si="5"/>
        <v>4715.84</v>
      </c>
      <c r="AR40" s="985">
        <f t="shared" si="21"/>
        <v>2</v>
      </c>
      <c r="AS40" s="986">
        <f t="shared" si="6"/>
        <v>4715.84</v>
      </c>
      <c r="AT40" s="985">
        <f t="shared" si="22"/>
        <v>2</v>
      </c>
      <c r="AU40" s="986">
        <f t="shared" si="7"/>
        <v>4715.84</v>
      </c>
      <c r="AV40" s="985">
        <f t="shared" si="23"/>
        <v>2</v>
      </c>
      <c r="AW40" s="986">
        <f t="shared" si="8"/>
        <v>4715.84</v>
      </c>
      <c r="AX40" s="1788"/>
    </row>
    <row r="41" spans="11:50">
      <c r="K41" s="712"/>
      <c r="L41" s="920"/>
      <c r="M41" s="932">
        <v>18</v>
      </c>
      <c r="N41" s="933" t="s">
        <v>1953</v>
      </c>
      <c r="O41" s="934">
        <v>200</v>
      </c>
      <c r="P41" s="934">
        <f t="shared" si="0"/>
        <v>2</v>
      </c>
      <c r="Q41" s="1036">
        <v>40</v>
      </c>
      <c r="R41" s="1038">
        <v>69</v>
      </c>
      <c r="S41" s="1040">
        <v>2</v>
      </c>
      <c r="T41" s="958">
        <f t="shared" si="1"/>
        <v>618</v>
      </c>
      <c r="U41" s="955">
        <f t="shared" si="2"/>
        <v>400</v>
      </c>
      <c r="V41" s="1043" t="s">
        <v>1943</v>
      </c>
      <c r="W41" s="977">
        <f t="shared" si="3"/>
        <v>1200</v>
      </c>
      <c r="X41" s="1045">
        <v>2</v>
      </c>
      <c r="Y41" s="986">
        <f t="shared" si="9"/>
        <v>1236</v>
      </c>
      <c r="Z41" s="987">
        <f t="shared" si="10"/>
        <v>3200</v>
      </c>
      <c r="AA41" s="1045">
        <v>2</v>
      </c>
      <c r="AB41" s="986">
        <f t="shared" si="11"/>
        <v>1236</v>
      </c>
      <c r="AC41" s="987">
        <f t="shared" si="12"/>
        <v>3200</v>
      </c>
      <c r="AD41" s="1045">
        <v>2</v>
      </c>
      <c r="AE41" s="986">
        <f t="shared" si="13"/>
        <v>1236</v>
      </c>
      <c r="AF41" s="987">
        <f t="shared" si="14"/>
        <v>3200</v>
      </c>
      <c r="AG41" s="1045">
        <v>2</v>
      </c>
      <c r="AH41" s="986">
        <f t="shared" si="15"/>
        <v>1236</v>
      </c>
      <c r="AI41" s="987">
        <f t="shared" si="16"/>
        <v>3200</v>
      </c>
      <c r="AJ41" s="1045">
        <v>2</v>
      </c>
      <c r="AK41" s="986">
        <f t="shared" si="17"/>
        <v>1236</v>
      </c>
      <c r="AL41" s="987">
        <f t="shared" si="18"/>
        <v>3200</v>
      </c>
      <c r="AN41" s="985">
        <f t="shared" si="19"/>
        <v>2</v>
      </c>
      <c r="AO41" s="986">
        <f t="shared" si="4"/>
        <v>4715.84</v>
      </c>
      <c r="AP41" s="985">
        <f t="shared" si="20"/>
        <v>2</v>
      </c>
      <c r="AQ41" s="986">
        <f t="shared" si="5"/>
        <v>4715.84</v>
      </c>
      <c r="AR41" s="985">
        <f t="shared" si="21"/>
        <v>2</v>
      </c>
      <c r="AS41" s="986">
        <f t="shared" si="6"/>
        <v>4715.84</v>
      </c>
      <c r="AT41" s="985">
        <f t="shared" si="22"/>
        <v>2</v>
      </c>
      <c r="AU41" s="986">
        <f t="shared" si="7"/>
        <v>4715.84</v>
      </c>
      <c r="AV41" s="985">
        <f t="shared" si="23"/>
        <v>2</v>
      </c>
      <c r="AW41" s="986">
        <f t="shared" si="8"/>
        <v>4715.84</v>
      </c>
      <c r="AX41" s="1788"/>
    </row>
    <row r="42" spans="11:50">
      <c r="K42" s="712"/>
      <c r="L42" s="920"/>
      <c r="M42" s="932">
        <v>19</v>
      </c>
      <c r="N42" s="933" t="s">
        <v>1954</v>
      </c>
      <c r="O42" s="934">
        <v>167</v>
      </c>
      <c r="P42" s="934">
        <f t="shared" si="0"/>
        <v>2</v>
      </c>
      <c r="Q42" s="1036">
        <v>40</v>
      </c>
      <c r="R42" s="1038">
        <v>36</v>
      </c>
      <c r="S42" s="1040">
        <v>2</v>
      </c>
      <c r="T42" s="958">
        <f t="shared" si="1"/>
        <v>486</v>
      </c>
      <c r="U42" s="955">
        <f t="shared" si="2"/>
        <v>400</v>
      </c>
      <c r="V42" s="1043" t="s">
        <v>1943</v>
      </c>
      <c r="W42" s="977">
        <f t="shared" si="3"/>
        <v>1200</v>
      </c>
      <c r="X42" s="1045">
        <v>2</v>
      </c>
      <c r="Y42" s="986">
        <f t="shared" si="9"/>
        <v>972</v>
      </c>
      <c r="Z42" s="987">
        <f t="shared" si="10"/>
        <v>3200</v>
      </c>
      <c r="AA42" s="1045">
        <v>2</v>
      </c>
      <c r="AB42" s="986">
        <f t="shared" si="11"/>
        <v>972</v>
      </c>
      <c r="AC42" s="987">
        <f t="shared" si="12"/>
        <v>3200</v>
      </c>
      <c r="AD42" s="1045">
        <v>2</v>
      </c>
      <c r="AE42" s="986">
        <f t="shared" si="13"/>
        <v>972</v>
      </c>
      <c r="AF42" s="987">
        <f t="shared" si="14"/>
        <v>3200</v>
      </c>
      <c r="AG42" s="1045">
        <v>2</v>
      </c>
      <c r="AH42" s="986">
        <f t="shared" si="15"/>
        <v>972</v>
      </c>
      <c r="AI42" s="987">
        <f t="shared" si="16"/>
        <v>3200</v>
      </c>
      <c r="AJ42" s="1045">
        <v>2</v>
      </c>
      <c r="AK42" s="986">
        <f t="shared" si="17"/>
        <v>972</v>
      </c>
      <c r="AL42" s="987">
        <f t="shared" si="18"/>
        <v>3200</v>
      </c>
      <c r="AN42" s="985">
        <f t="shared" si="19"/>
        <v>2</v>
      </c>
      <c r="AO42" s="986">
        <f t="shared" si="4"/>
        <v>4715.84</v>
      </c>
      <c r="AP42" s="985">
        <f t="shared" si="20"/>
        <v>2</v>
      </c>
      <c r="AQ42" s="986">
        <f t="shared" si="5"/>
        <v>4715.84</v>
      </c>
      <c r="AR42" s="985">
        <f t="shared" si="21"/>
        <v>2</v>
      </c>
      <c r="AS42" s="986">
        <f t="shared" si="6"/>
        <v>4715.84</v>
      </c>
      <c r="AT42" s="985">
        <f t="shared" si="22"/>
        <v>2</v>
      </c>
      <c r="AU42" s="986">
        <f t="shared" si="7"/>
        <v>4715.84</v>
      </c>
      <c r="AV42" s="985">
        <f t="shared" si="23"/>
        <v>2</v>
      </c>
      <c r="AW42" s="986">
        <f t="shared" si="8"/>
        <v>4715.84</v>
      </c>
      <c r="AX42" s="1788"/>
    </row>
    <row r="43" spans="11:50">
      <c r="K43" s="712"/>
      <c r="L43" s="920"/>
      <c r="M43" s="932">
        <v>20</v>
      </c>
      <c r="N43" s="933" t="s">
        <v>1955</v>
      </c>
      <c r="O43" s="934">
        <v>42</v>
      </c>
      <c r="P43" s="934">
        <f t="shared" si="0"/>
        <v>4</v>
      </c>
      <c r="Q43" s="1036">
        <v>40</v>
      </c>
      <c r="R43" s="1038"/>
      <c r="S43" s="1040">
        <v>2</v>
      </c>
      <c r="T43" s="958">
        <f t="shared" si="1"/>
        <v>248</v>
      </c>
      <c r="U43" s="955">
        <f t="shared" si="2"/>
        <v>0</v>
      </c>
      <c r="V43" s="1043"/>
      <c r="W43" s="977">
        <f t="shared" si="3"/>
        <v>0</v>
      </c>
      <c r="X43" s="1045">
        <v>2</v>
      </c>
      <c r="Y43" s="986">
        <f t="shared" si="9"/>
        <v>496</v>
      </c>
      <c r="Z43" s="987">
        <f t="shared" si="10"/>
        <v>0</v>
      </c>
      <c r="AA43" s="1045">
        <v>2</v>
      </c>
      <c r="AB43" s="986">
        <f t="shared" si="11"/>
        <v>496</v>
      </c>
      <c r="AC43" s="987">
        <f t="shared" si="12"/>
        <v>0</v>
      </c>
      <c r="AD43" s="1045">
        <v>2</v>
      </c>
      <c r="AE43" s="986">
        <f t="shared" si="13"/>
        <v>496</v>
      </c>
      <c r="AF43" s="987">
        <f t="shared" si="14"/>
        <v>0</v>
      </c>
      <c r="AG43" s="1045">
        <v>2</v>
      </c>
      <c r="AH43" s="986">
        <f t="shared" si="15"/>
        <v>496</v>
      </c>
      <c r="AI43" s="987">
        <f t="shared" si="16"/>
        <v>0</v>
      </c>
      <c r="AJ43" s="1045">
        <v>2</v>
      </c>
      <c r="AK43" s="986">
        <f t="shared" si="17"/>
        <v>496</v>
      </c>
      <c r="AL43" s="987">
        <f t="shared" si="18"/>
        <v>0</v>
      </c>
      <c r="AN43" s="985">
        <f t="shared" si="19"/>
        <v>2</v>
      </c>
      <c r="AO43" s="986">
        <f t="shared" si="4"/>
        <v>4715.84</v>
      </c>
      <c r="AP43" s="985">
        <f t="shared" si="20"/>
        <v>2</v>
      </c>
      <c r="AQ43" s="986">
        <f t="shared" si="5"/>
        <v>4715.84</v>
      </c>
      <c r="AR43" s="985">
        <f t="shared" si="21"/>
        <v>2</v>
      </c>
      <c r="AS43" s="986">
        <f t="shared" si="6"/>
        <v>4715.84</v>
      </c>
      <c r="AT43" s="985">
        <f t="shared" si="22"/>
        <v>2</v>
      </c>
      <c r="AU43" s="986">
        <f t="shared" si="7"/>
        <v>4715.84</v>
      </c>
      <c r="AV43" s="985">
        <f t="shared" si="23"/>
        <v>2</v>
      </c>
      <c r="AW43" s="986">
        <f t="shared" si="8"/>
        <v>4715.84</v>
      </c>
      <c r="AX43" s="1788"/>
    </row>
    <row r="44" spans="11:50">
      <c r="K44" s="712"/>
      <c r="L44" s="920"/>
      <c r="M44" s="932">
        <v>21</v>
      </c>
      <c r="N44" s="933" t="s">
        <v>1956</v>
      </c>
      <c r="O44" s="934">
        <v>192</v>
      </c>
      <c r="P44" s="934">
        <f t="shared" si="0"/>
        <v>2</v>
      </c>
      <c r="Q44" s="1036">
        <v>40</v>
      </c>
      <c r="R44" s="1038">
        <v>61</v>
      </c>
      <c r="S44" s="1040">
        <v>2</v>
      </c>
      <c r="T44" s="958">
        <f t="shared" si="1"/>
        <v>586</v>
      </c>
      <c r="U44" s="955">
        <f t="shared" si="2"/>
        <v>400</v>
      </c>
      <c r="V44" s="1043" t="s">
        <v>1943</v>
      </c>
      <c r="W44" s="977">
        <f t="shared" si="3"/>
        <v>1200</v>
      </c>
      <c r="X44" s="1045">
        <v>2</v>
      </c>
      <c r="Y44" s="986">
        <f t="shared" si="9"/>
        <v>1172</v>
      </c>
      <c r="Z44" s="987">
        <f t="shared" si="10"/>
        <v>3200</v>
      </c>
      <c r="AA44" s="1045">
        <v>2</v>
      </c>
      <c r="AB44" s="986">
        <f t="shared" si="11"/>
        <v>1172</v>
      </c>
      <c r="AC44" s="987">
        <f t="shared" si="12"/>
        <v>3200</v>
      </c>
      <c r="AD44" s="1045">
        <v>2</v>
      </c>
      <c r="AE44" s="986">
        <f t="shared" si="13"/>
        <v>1172</v>
      </c>
      <c r="AF44" s="987">
        <f t="shared" si="14"/>
        <v>3200</v>
      </c>
      <c r="AG44" s="1045">
        <v>2</v>
      </c>
      <c r="AH44" s="986">
        <f t="shared" si="15"/>
        <v>1172</v>
      </c>
      <c r="AI44" s="987">
        <f t="shared" si="16"/>
        <v>3200</v>
      </c>
      <c r="AJ44" s="1045">
        <v>2</v>
      </c>
      <c r="AK44" s="986">
        <f t="shared" si="17"/>
        <v>1172</v>
      </c>
      <c r="AL44" s="987">
        <f t="shared" si="18"/>
        <v>3200</v>
      </c>
      <c r="AN44" s="985">
        <f t="shared" si="19"/>
        <v>2</v>
      </c>
      <c r="AO44" s="986">
        <f t="shared" si="4"/>
        <v>4715.84</v>
      </c>
      <c r="AP44" s="985">
        <f t="shared" si="20"/>
        <v>2</v>
      </c>
      <c r="AQ44" s="986">
        <f t="shared" si="5"/>
        <v>4715.84</v>
      </c>
      <c r="AR44" s="985">
        <f t="shared" si="21"/>
        <v>2</v>
      </c>
      <c r="AS44" s="986">
        <f t="shared" si="6"/>
        <v>4715.84</v>
      </c>
      <c r="AT44" s="985">
        <f t="shared" si="22"/>
        <v>2</v>
      </c>
      <c r="AU44" s="986">
        <f t="shared" si="7"/>
        <v>4715.84</v>
      </c>
      <c r="AV44" s="985">
        <f t="shared" si="23"/>
        <v>2</v>
      </c>
      <c r="AW44" s="986">
        <f t="shared" si="8"/>
        <v>4715.84</v>
      </c>
      <c r="AX44" s="1788"/>
    </row>
    <row r="45" spans="11:50">
      <c r="K45" s="712"/>
      <c r="L45" s="920"/>
      <c r="M45" s="932">
        <v>22</v>
      </c>
      <c r="N45" s="933" t="s">
        <v>1957</v>
      </c>
      <c r="O45" s="934">
        <v>129</v>
      </c>
      <c r="P45" s="934">
        <f t="shared" si="0"/>
        <v>4</v>
      </c>
      <c r="Q45" s="1036">
        <v>40</v>
      </c>
      <c r="R45" s="1038"/>
      <c r="S45" s="1040">
        <v>2</v>
      </c>
      <c r="T45" s="958">
        <f t="shared" si="1"/>
        <v>596</v>
      </c>
      <c r="U45" s="955">
        <f t="shared" si="2"/>
        <v>0</v>
      </c>
      <c r="V45" s="1043"/>
      <c r="W45" s="977">
        <f t="shared" si="3"/>
        <v>0</v>
      </c>
      <c r="X45" s="1045">
        <v>2</v>
      </c>
      <c r="Y45" s="986">
        <f t="shared" si="9"/>
        <v>1192</v>
      </c>
      <c r="Z45" s="987">
        <f t="shared" si="10"/>
        <v>0</v>
      </c>
      <c r="AA45" s="1045">
        <v>2</v>
      </c>
      <c r="AB45" s="986">
        <f t="shared" si="11"/>
        <v>1192</v>
      </c>
      <c r="AC45" s="987">
        <f t="shared" si="12"/>
        <v>0</v>
      </c>
      <c r="AD45" s="1045">
        <v>2</v>
      </c>
      <c r="AE45" s="986">
        <f t="shared" si="13"/>
        <v>1192</v>
      </c>
      <c r="AF45" s="987">
        <f t="shared" si="14"/>
        <v>0</v>
      </c>
      <c r="AG45" s="1045">
        <v>2</v>
      </c>
      <c r="AH45" s="986">
        <f t="shared" si="15"/>
        <v>1192</v>
      </c>
      <c r="AI45" s="987">
        <f t="shared" si="16"/>
        <v>0</v>
      </c>
      <c r="AJ45" s="1045">
        <v>2</v>
      </c>
      <c r="AK45" s="986">
        <f t="shared" si="17"/>
        <v>1192</v>
      </c>
      <c r="AL45" s="987">
        <f t="shared" si="18"/>
        <v>0</v>
      </c>
      <c r="AN45" s="985">
        <f t="shared" si="19"/>
        <v>2</v>
      </c>
      <c r="AO45" s="986">
        <f t="shared" si="4"/>
        <v>4715.84</v>
      </c>
      <c r="AP45" s="985">
        <f t="shared" si="20"/>
        <v>2</v>
      </c>
      <c r="AQ45" s="986">
        <f t="shared" si="5"/>
        <v>4715.84</v>
      </c>
      <c r="AR45" s="985">
        <f t="shared" si="21"/>
        <v>2</v>
      </c>
      <c r="AS45" s="986">
        <f t="shared" si="6"/>
        <v>4715.84</v>
      </c>
      <c r="AT45" s="985">
        <f t="shared" si="22"/>
        <v>2</v>
      </c>
      <c r="AU45" s="986">
        <f t="shared" si="7"/>
        <v>4715.84</v>
      </c>
      <c r="AV45" s="985">
        <f t="shared" si="23"/>
        <v>2</v>
      </c>
      <c r="AW45" s="986">
        <f t="shared" si="8"/>
        <v>4715.84</v>
      </c>
      <c r="AX45" s="1788"/>
    </row>
    <row r="46" spans="11:50">
      <c r="K46" s="712"/>
      <c r="L46" s="920"/>
      <c r="M46" s="932">
        <v>23</v>
      </c>
      <c r="N46" s="933" t="s">
        <v>1958</v>
      </c>
      <c r="O46" s="934">
        <v>132</v>
      </c>
      <c r="P46" s="934">
        <f t="shared" si="0"/>
        <v>4</v>
      </c>
      <c r="Q46" s="1036">
        <v>40</v>
      </c>
      <c r="R46" s="1038"/>
      <c r="S46" s="1040">
        <v>2</v>
      </c>
      <c r="T46" s="958">
        <f t="shared" si="1"/>
        <v>608</v>
      </c>
      <c r="U46" s="955">
        <f t="shared" si="2"/>
        <v>0</v>
      </c>
      <c r="V46" s="1043"/>
      <c r="W46" s="977">
        <f t="shared" si="3"/>
        <v>0</v>
      </c>
      <c r="X46" s="1045">
        <v>2</v>
      </c>
      <c r="Y46" s="986">
        <f t="shared" si="9"/>
        <v>1216</v>
      </c>
      <c r="Z46" s="987">
        <f t="shared" si="10"/>
        <v>0</v>
      </c>
      <c r="AA46" s="1045">
        <v>2</v>
      </c>
      <c r="AB46" s="986">
        <f t="shared" si="11"/>
        <v>1216</v>
      </c>
      <c r="AC46" s="987">
        <f t="shared" si="12"/>
        <v>0</v>
      </c>
      <c r="AD46" s="1045">
        <v>2</v>
      </c>
      <c r="AE46" s="986">
        <f t="shared" si="13"/>
        <v>1216</v>
      </c>
      <c r="AF46" s="987">
        <f t="shared" si="14"/>
        <v>0</v>
      </c>
      <c r="AG46" s="1045">
        <v>2</v>
      </c>
      <c r="AH46" s="986">
        <f t="shared" si="15"/>
        <v>1216</v>
      </c>
      <c r="AI46" s="987">
        <f t="shared" si="16"/>
        <v>0</v>
      </c>
      <c r="AJ46" s="1045">
        <v>2</v>
      </c>
      <c r="AK46" s="986">
        <f t="shared" si="17"/>
        <v>1216</v>
      </c>
      <c r="AL46" s="987">
        <f t="shared" si="18"/>
        <v>0</v>
      </c>
      <c r="AN46" s="985">
        <f t="shared" si="19"/>
        <v>2</v>
      </c>
      <c r="AO46" s="986">
        <f t="shared" si="4"/>
        <v>4715.84</v>
      </c>
      <c r="AP46" s="985">
        <f t="shared" si="20"/>
        <v>2</v>
      </c>
      <c r="AQ46" s="986">
        <f t="shared" si="5"/>
        <v>4715.84</v>
      </c>
      <c r="AR46" s="985">
        <f t="shared" si="21"/>
        <v>2</v>
      </c>
      <c r="AS46" s="986">
        <f t="shared" si="6"/>
        <v>4715.84</v>
      </c>
      <c r="AT46" s="985">
        <f t="shared" si="22"/>
        <v>2</v>
      </c>
      <c r="AU46" s="986">
        <f t="shared" si="7"/>
        <v>4715.84</v>
      </c>
      <c r="AV46" s="985">
        <f t="shared" si="23"/>
        <v>2</v>
      </c>
      <c r="AW46" s="986">
        <f t="shared" si="8"/>
        <v>4715.84</v>
      </c>
      <c r="AX46" s="1788"/>
    </row>
    <row r="47" spans="11:50">
      <c r="K47" s="712"/>
      <c r="L47" s="920"/>
      <c r="M47" s="932">
        <v>24</v>
      </c>
      <c r="N47" s="933" t="s">
        <v>1959</v>
      </c>
      <c r="O47" s="934">
        <v>163</v>
      </c>
      <c r="P47" s="934">
        <f t="shared" si="0"/>
        <v>2</v>
      </c>
      <c r="Q47" s="1036">
        <v>40</v>
      </c>
      <c r="R47" s="1038">
        <v>32</v>
      </c>
      <c r="S47" s="1040">
        <v>2</v>
      </c>
      <c r="T47" s="958">
        <f t="shared" si="1"/>
        <v>470</v>
      </c>
      <c r="U47" s="955">
        <f t="shared" si="2"/>
        <v>400</v>
      </c>
      <c r="V47" s="1043" t="s">
        <v>1943</v>
      </c>
      <c r="W47" s="977">
        <f t="shared" si="3"/>
        <v>1200</v>
      </c>
      <c r="X47" s="1045">
        <v>2</v>
      </c>
      <c r="Y47" s="986">
        <f t="shared" si="9"/>
        <v>940</v>
      </c>
      <c r="Z47" s="987">
        <f t="shared" si="10"/>
        <v>3200</v>
      </c>
      <c r="AA47" s="1045">
        <v>2</v>
      </c>
      <c r="AB47" s="986">
        <f t="shared" si="11"/>
        <v>940</v>
      </c>
      <c r="AC47" s="987">
        <f t="shared" si="12"/>
        <v>3200</v>
      </c>
      <c r="AD47" s="1045">
        <v>2</v>
      </c>
      <c r="AE47" s="986">
        <f t="shared" si="13"/>
        <v>940</v>
      </c>
      <c r="AF47" s="987">
        <f t="shared" si="14"/>
        <v>3200</v>
      </c>
      <c r="AG47" s="1045">
        <v>2</v>
      </c>
      <c r="AH47" s="986">
        <f t="shared" si="15"/>
        <v>940</v>
      </c>
      <c r="AI47" s="987">
        <f t="shared" si="16"/>
        <v>3200</v>
      </c>
      <c r="AJ47" s="1045">
        <v>2</v>
      </c>
      <c r="AK47" s="986">
        <f t="shared" si="17"/>
        <v>940</v>
      </c>
      <c r="AL47" s="987">
        <f t="shared" si="18"/>
        <v>3200</v>
      </c>
      <c r="AN47" s="985">
        <f t="shared" si="19"/>
        <v>2</v>
      </c>
      <c r="AO47" s="986">
        <f t="shared" si="4"/>
        <v>4715.84</v>
      </c>
      <c r="AP47" s="985">
        <f t="shared" si="20"/>
        <v>2</v>
      </c>
      <c r="AQ47" s="986">
        <f t="shared" si="5"/>
        <v>4715.84</v>
      </c>
      <c r="AR47" s="985">
        <f t="shared" si="21"/>
        <v>2</v>
      </c>
      <c r="AS47" s="986">
        <f t="shared" si="6"/>
        <v>4715.84</v>
      </c>
      <c r="AT47" s="985">
        <f t="shared" si="22"/>
        <v>2</v>
      </c>
      <c r="AU47" s="986">
        <f t="shared" si="7"/>
        <v>4715.84</v>
      </c>
      <c r="AV47" s="985">
        <f t="shared" si="23"/>
        <v>2</v>
      </c>
      <c r="AW47" s="986">
        <f t="shared" si="8"/>
        <v>4715.84</v>
      </c>
      <c r="AX47" s="1788"/>
    </row>
    <row r="48" spans="11:50">
      <c r="K48" s="712"/>
      <c r="L48" s="920"/>
      <c r="M48" s="932">
        <v>25</v>
      </c>
      <c r="N48" s="933" t="s">
        <v>1960</v>
      </c>
      <c r="O48" s="934">
        <v>36</v>
      </c>
      <c r="P48" s="934">
        <f t="shared" si="0"/>
        <v>4</v>
      </c>
      <c r="Q48" s="1036">
        <v>40</v>
      </c>
      <c r="R48" s="1038"/>
      <c r="S48" s="1040">
        <v>2</v>
      </c>
      <c r="T48" s="958">
        <f t="shared" si="1"/>
        <v>224</v>
      </c>
      <c r="U48" s="955">
        <f t="shared" si="2"/>
        <v>0</v>
      </c>
      <c r="V48" s="1043"/>
      <c r="W48" s="977">
        <f t="shared" si="3"/>
        <v>0</v>
      </c>
      <c r="X48" s="1045">
        <v>2</v>
      </c>
      <c r="Y48" s="986">
        <f t="shared" si="9"/>
        <v>448</v>
      </c>
      <c r="Z48" s="987">
        <f t="shared" si="10"/>
        <v>0</v>
      </c>
      <c r="AA48" s="1045">
        <v>2</v>
      </c>
      <c r="AB48" s="986">
        <f t="shared" si="11"/>
        <v>448</v>
      </c>
      <c r="AC48" s="987">
        <f t="shared" si="12"/>
        <v>0</v>
      </c>
      <c r="AD48" s="1045">
        <v>2</v>
      </c>
      <c r="AE48" s="986">
        <f t="shared" si="13"/>
        <v>448</v>
      </c>
      <c r="AF48" s="987">
        <f t="shared" si="14"/>
        <v>0</v>
      </c>
      <c r="AG48" s="1045">
        <v>2</v>
      </c>
      <c r="AH48" s="986">
        <f t="shared" si="15"/>
        <v>448</v>
      </c>
      <c r="AI48" s="987">
        <f t="shared" si="16"/>
        <v>0</v>
      </c>
      <c r="AJ48" s="1045">
        <v>2</v>
      </c>
      <c r="AK48" s="986">
        <f t="shared" si="17"/>
        <v>448</v>
      </c>
      <c r="AL48" s="987">
        <f t="shared" si="18"/>
        <v>0</v>
      </c>
      <c r="AN48" s="985">
        <f t="shared" si="19"/>
        <v>2</v>
      </c>
      <c r="AO48" s="986">
        <f t="shared" si="4"/>
        <v>4715.84</v>
      </c>
      <c r="AP48" s="985">
        <f t="shared" si="20"/>
        <v>2</v>
      </c>
      <c r="AQ48" s="986">
        <f t="shared" si="5"/>
        <v>4715.84</v>
      </c>
      <c r="AR48" s="985">
        <f t="shared" si="21"/>
        <v>2</v>
      </c>
      <c r="AS48" s="986">
        <f t="shared" si="6"/>
        <v>4715.84</v>
      </c>
      <c r="AT48" s="985">
        <f t="shared" si="22"/>
        <v>2</v>
      </c>
      <c r="AU48" s="986">
        <f t="shared" si="7"/>
        <v>4715.84</v>
      </c>
      <c r="AV48" s="985">
        <f t="shared" si="23"/>
        <v>2</v>
      </c>
      <c r="AW48" s="986">
        <f t="shared" si="8"/>
        <v>4715.84</v>
      </c>
      <c r="AX48" s="1788"/>
    </row>
    <row r="49" spans="11:50">
      <c r="K49" s="712"/>
      <c r="L49" s="920"/>
      <c r="M49" s="932">
        <v>26</v>
      </c>
      <c r="N49" s="933" t="s">
        <v>1961</v>
      </c>
      <c r="O49" s="934">
        <v>14</v>
      </c>
      <c r="P49" s="934">
        <f t="shared" si="0"/>
        <v>4</v>
      </c>
      <c r="Q49" s="1036">
        <v>40</v>
      </c>
      <c r="R49" s="1038"/>
      <c r="S49" s="1040">
        <v>2</v>
      </c>
      <c r="T49" s="958">
        <f t="shared" si="1"/>
        <v>136</v>
      </c>
      <c r="U49" s="955">
        <f t="shared" si="2"/>
        <v>0</v>
      </c>
      <c r="V49" s="1043"/>
      <c r="W49" s="977">
        <f t="shared" si="3"/>
        <v>0</v>
      </c>
      <c r="X49" s="1045">
        <v>2</v>
      </c>
      <c r="Y49" s="986">
        <f t="shared" si="9"/>
        <v>272</v>
      </c>
      <c r="Z49" s="987">
        <f t="shared" si="10"/>
        <v>0</v>
      </c>
      <c r="AA49" s="1045">
        <v>2</v>
      </c>
      <c r="AB49" s="986">
        <f t="shared" si="11"/>
        <v>272</v>
      </c>
      <c r="AC49" s="987">
        <f t="shared" si="12"/>
        <v>0</v>
      </c>
      <c r="AD49" s="1045">
        <v>2</v>
      </c>
      <c r="AE49" s="986">
        <f t="shared" si="13"/>
        <v>272</v>
      </c>
      <c r="AF49" s="987">
        <f t="shared" si="14"/>
        <v>0</v>
      </c>
      <c r="AG49" s="1045">
        <v>2</v>
      </c>
      <c r="AH49" s="986">
        <f t="shared" si="15"/>
        <v>272</v>
      </c>
      <c r="AI49" s="987">
        <f t="shared" si="16"/>
        <v>0</v>
      </c>
      <c r="AJ49" s="1045">
        <v>2</v>
      </c>
      <c r="AK49" s="986">
        <f t="shared" si="17"/>
        <v>272</v>
      </c>
      <c r="AL49" s="987">
        <f t="shared" si="18"/>
        <v>0</v>
      </c>
      <c r="AN49" s="985">
        <f t="shared" si="19"/>
        <v>2</v>
      </c>
      <c r="AO49" s="986">
        <f t="shared" si="4"/>
        <v>4715.84</v>
      </c>
      <c r="AP49" s="985">
        <f t="shared" si="20"/>
        <v>2</v>
      </c>
      <c r="AQ49" s="986">
        <f t="shared" si="5"/>
        <v>4715.84</v>
      </c>
      <c r="AR49" s="985">
        <f t="shared" si="21"/>
        <v>2</v>
      </c>
      <c r="AS49" s="986">
        <f t="shared" si="6"/>
        <v>4715.84</v>
      </c>
      <c r="AT49" s="985">
        <f t="shared" si="22"/>
        <v>2</v>
      </c>
      <c r="AU49" s="986">
        <f t="shared" si="7"/>
        <v>4715.84</v>
      </c>
      <c r="AV49" s="985">
        <f t="shared" si="23"/>
        <v>2</v>
      </c>
      <c r="AW49" s="986">
        <f t="shared" si="8"/>
        <v>4715.84</v>
      </c>
      <c r="AX49" s="1788"/>
    </row>
    <row r="50" spans="11:50">
      <c r="K50" s="712"/>
      <c r="L50" s="920"/>
      <c r="M50" s="932">
        <v>27</v>
      </c>
      <c r="N50" s="933" t="s">
        <v>1962</v>
      </c>
      <c r="O50" s="934">
        <v>91</v>
      </c>
      <c r="P50" s="934">
        <f t="shared" si="0"/>
        <v>4</v>
      </c>
      <c r="Q50" s="1036">
        <v>40</v>
      </c>
      <c r="R50" s="1038"/>
      <c r="S50" s="1040">
        <v>2</v>
      </c>
      <c r="T50" s="958">
        <f t="shared" si="1"/>
        <v>444</v>
      </c>
      <c r="U50" s="955">
        <f t="shared" si="2"/>
        <v>0</v>
      </c>
      <c r="V50" s="1043"/>
      <c r="W50" s="977">
        <f t="shared" si="3"/>
        <v>0</v>
      </c>
      <c r="X50" s="1045">
        <v>2</v>
      </c>
      <c r="Y50" s="986">
        <f t="shared" si="9"/>
        <v>888</v>
      </c>
      <c r="Z50" s="987">
        <f t="shared" si="10"/>
        <v>0</v>
      </c>
      <c r="AA50" s="1045">
        <v>2</v>
      </c>
      <c r="AB50" s="986">
        <f t="shared" si="11"/>
        <v>888</v>
      </c>
      <c r="AC50" s="987">
        <f t="shared" si="12"/>
        <v>0</v>
      </c>
      <c r="AD50" s="1045">
        <v>2</v>
      </c>
      <c r="AE50" s="986">
        <f t="shared" si="13"/>
        <v>888</v>
      </c>
      <c r="AF50" s="987">
        <f t="shared" si="14"/>
        <v>0</v>
      </c>
      <c r="AG50" s="1045">
        <v>2</v>
      </c>
      <c r="AH50" s="986">
        <f t="shared" si="15"/>
        <v>888</v>
      </c>
      <c r="AI50" s="987">
        <f t="shared" si="16"/>
        <v>0</v>
      </c>
      <c r="AJ50" s="1045">
        <v>2</v>
      </c>
      <c r="AK50" s="986">
        <f t="shared" si="17"/>
        <v>888</v>
      </c>
      <c r="AL50" s="987">
        <f t="shared" si="18"/>
        <v>0</v>
      </c>
      <c r="AN50" s="985">
        <f t="shared" si="19"/>
        <v>2</v>
      </c>
      <c r="AO50" s="986">
        <f t="shared" si="4"/>
        <v>4715.84</v>
      </c>
      <c r="AP50" s="985">
        <f t="shared" si="20"/>
        <v>2</v>
      </c>
      <c r="AQ50" s="986">
        <f t="shared" si="5"/>
        <v>4715.84</v>
      </c>
      <c r="AR50" s="985">
        <f t="shared" si="21"/>
        <v>2</v>
      </c>
      <c r="AS50" s="986">
        <f t="shared" si="6"/>
        <v>4715.84</v>
      </c>
      <c r="AT50" s="985">
        <f t="shared" si="22"/>
        <v>2</v>
      </c>
      <c r="AU50" s="986">
        <f t="shared" si="7"/>
        <v>4715.84</v>
      </c>
      <c r="AV50" s="985">
        <f t="shared" si="23"/>
        <v>2</v>
      </c>
      <c r="AW50" s="986">
        <f t="shared" si="8"/>
        <v>4715.84</v>
      </c>
      <c r="AX50" s="1788"/>
    </row>
    <row r="51" spans="11:50">
      <c r="K51" s="712"/>
      <c r="L51" s="920"/>
      <c r="M51" s="932">
        <v>28</v>
      </c>
      <c r="N51" s="933" t="s">
        <v>1963</v>
      </c>
      <c r="O51" s="934">
        <v>69</v>
      </c>
      <c r="P51" s="934">
        <f t="shared" si="0"/>
        <v>4</v>
      </c>
      <c r="Q51" s="1036">
        <v>40</v>
      </c>
      <c r="R51" s="1038"/>
      <c r="S51" s="1040">
        <v>2</v>
      </c>
      <c r="T51" s="958">
        <f t="shared" si="1"/>
        <v>356</v>
      </c>
      <c r="U51" s="955">
        <f t="shared" si="2"/>
        <v>0</v>
      </c>
      <c r="V51" s="1043"/>
      <c r="W51" s="977">
        <f t="shared" si="3"/>
        <v>0</v>
      </c>
      <c r="X51" s="1045">
        <v>2</v>
      </c>
      <c r="Y51" s="986">
        <f t="shared" si="9"/>
        <v>712</v>
      </c>
      <c r="Z51" s="987">
        <f t="shared" si="10"/>
        <v>0</v>
      </c>
      <c r="AA51" s="1045">
        <v>2</v>
      </c>
      <c r="AB51" s="986">
        <f t="shared" si="11"/>
        <v>712</v>
      </c>
      <c r="AC51" s="987">
        <f t="shared" si="12"/>
        <v>0</v>
      </c>
      <c r="AD51" s="1045">
        <v>2</v>
      </c>
      <c r="AE51" s="986">
        <f t="shared" si="13"/>
        <v>712</v>
      </c>
      <c r="AF51" s="987">
        <f t="shared" si="14"/>
        <v>0</v>
      </c>
      <c r="AG51" s="1045">
        <v>2</v>
      </c>
      <c r="AH51" s="986">
        <f t="shared" si="15"/>
        <v>712</v>
      </c>
      <c r="AI51" s="987">
        <f t="shared" si="16"/>
        <v>0</v>
      </c>
      <c r="AJ51" s="1045">
        <v>2</v>
      </c>
      <c r="AK51" s="986">
        <f t="shared" si="17"/>
        <v>712</v>
      </c>
      <c r="AL51" s="987">
        <f t="shared" si="18"/>
        <v>0</v>
      </c>
      <c r="AN51" s="985">
        <f t="shared" si="19"/>
        <v>2</v>
      </c>
      <c r="AO51" s="986">
        <f t="shared" si="4"/>
        <v>4715.84</v>
      </c>
      <c r="AP51" s="985">
        <f t="shared" si="20"/>
        <v>2</v>
      </c>
      <c r="AQ51" s="986">
        <f t="shared" si="5"/>
        <v>4715.84</v>
      </c>
      <c r="AR51" s="985">
        <f t="shared" si="21"/>
        <v>2</v>
      </c>
      <c r="AS51" s="986">
        <f t="shared" si="6"/>
        <v>4715.84</v>
      </c>
      <c r="AT51" s="985">
        <f t="shared" si="22"/>
        <v>2</v>
      </c>
      <c r="AU51" s="986">
        <f t="shared" si="7"/>
        <v>4715.84</v>
      </c>
      <c r="AV51" s="985">
        <f t="shared" si="23"/>
        <v>2</v>
      </c>
      <c r="AW51" s="986">
        <f t="shared" si="8"/>
        <v>4715.84</v>
      </c>
      <c r="AX51" s="1788"/>
    </row>
    <row r="52" spans="11:50">
      <c r="K52" s="712"/>
      <c r="L52" s="920"/>
      <c r="M52" s="932">
        <v>29</v>
      </c>
      <c r="N52" s="933" t="s">
        <v>1964</v>
      </c>
      <c r="O52" s="934">
        <v>228</v>
      </c>
      <c r="P52" s="934">
        <f t="shared" si="0"/>
        <v>2</v>
      </c>
      <c r="Q52" s="1036">
        <v>40</v>
      </c>
      <c r="R52" s="1038">
        <v>100</v>
      </c>
      <c r="S52" s="1040">
        <v>2</v>
      </c>
      <c r="T52" s="958">
        <f t="shared" si="1"/>
        <v>736</v>
      </c>
      <c r="U52" s="955">
        <f t="shared" si="2"/>
        <v>400</v>
      </c>
      <c r="V52" s="1043" t="s">
        <v>1943</v>
      </c>
      <c r="W52" s="977">
        <f t="shared" si="3"/>
        <v>1200</v>
      </c>
      <c r="X52" s="1045">
        <v>2</v>
      </c>
      <c r="Y52" s="986">
        <f t="shared" si="9"/>
        <v>1472</v>
      </c>
      <c r="Z52" s="987">
        <f t="shared" si="10"/>
        <v>3200</v>
      </c>
      <c r="AA52" s="1045">
        <v>2</v>
      </c>
      <c r="AB52" s="986">
        <f t="shared" si="11"/>
        <v>1472</v>
      </c>
      <c r="AC52" s="987">
        <f t="shared" si="12"/>
        <v>3200</v>
      </c>
      <c r="AD52" s="1045">
        <v>2</v>
      </c>
      <c r="AE52" s="986">
        <f t="shared" si="13"/>
        <v>1472</v>
      </c>
      <c r="AF52" s="987">
        <f t="shared" si="14"/>
        <v>3200</v>
      </c>
      <c r="AG52" s="1045">
        <v>2</v>
      </c>
      <c r="AH52" s="986">
        <f t="shared" si="15"/>
        <v>1472</v>
      </c>
      <c r="AI52" s="987">
        <f t="shared" si="16"/>
        <v>3200</v>
      </c>
      <c r="AJ52" s="1045">
        <v>2</v>
      </c>
      <c r="AK52" s="986">
        <f t="shared" si="17"/>
        <v>1472</v>
      </c>
      <c r="AL52" s="987">
        <f t="shared" si="18"/>
        <v>3200</v>
      </c>
      <c r="AN52" s="985">
        <f t="shared" si="19"/>
        <v>2</v>
      </c>
      <c r="AO52" s="986">
        <f t="shared" si="4"/>
        <v>4715.84</v>
      </c>
      <c r="AP52" s="985">
        <f t="shared" si="20"/>
        <v>2</v>
      </c>
      <c r="AQ52" s="986">
        <f t="shared" si="5"/>
        <v>4715.84</v>
      </c>
      <c r="AR52" s="985">
        <f t="shared" si="21"/>
        <v>2</v>
      </c>
      <c r="AS52" s="986">
        <f t="shared" si="6"/>
        <v>4715.84</v>
      </c>
      <c r="AT52" s="985">
        <f t="shared" si="22"/>
        <v>2</v>
      </c>
      <c r="AU52" s="986">
        <f t="shared" si="7"/>
        <v>4715.84</v>
      </c>
      <c r="AV52" s="985">
        <f t="shared" si="23"/>
        <v>2</v>
      </c>
      <c r="AW52" s="986">
        <f t="shared" si="8"/>
        <v>4715.84</v>
      </c>
      <c r="AX52" s="1788"/>
    </row>
    <row r="53" spans="11:50">
      <c r="K53" s="712"/>
      <c r="L53" s="920"/>
      <c r="M53" s="932">
        <v>30</v>
      </c>
      <c r="N53" s="933" t="s">
        <v>1965</v>
      </c>
      <c r="O53" s="934">
        <v>46</v>
      </c>
      <c r="P53" s="934">
        <f t="shared" si="0"/>
        <v>4</v>
      </c>
      <c r="Q53" s="1036">
        <v>40</v>
      </c>
      <c r="R53" s="1038"/>
      <c r="S53" s="1040">
        <v>2</v>
      </c>
      <c r="T53" s="958">
        <f t="shared" si="1"/>
        <v>264</v>
      </c>
      <c r="U53" s="955">
        <f t="shared" si="2"/>
        <v>0</v>
      </c>
      <c r="V53" s="1043"/>
      <c r="W53" s="977">
        <f t="shared" si="3"/>
        <v>0</v>
      </c>
      <c r="X53" s="1045">
        <v>2</v>
      </c>
      <c r="Y53" s="986">
        <f t="shared" si="9"/>
        <v>528</v>
      </c>
      <c r="Z53" s="987">
        <f t="shared" si="10"/>
        <v>0</v>
      </c>
      <c r="AA53" s="1045">
        <v>2</v>
      </c>
      <c r="AB53" s="986">
        <f t="shared" si="11"/>
        <v>528</v>
      </c>
      <c r="AC53" s="987">
        <f t="shared" si="12"/>
        <v>0</v>
      </c>
      <c r="AD53" s="1045">
        <v>2</v>
      </c>
      <c r="AE53" s="986">
        <f t="shared" si="13"/>
        <v>528</v>
      </c>
      <c r="AF53" s="987">
        <f t="shared" si="14"/>
        <v>0</v>
      </c>
      <c r="AG53" s="1045">
        <v>2</v>
      </c>
      <c r="AH53" s="986">
        <f t="shared" si="15"/>
        <v>528</v>
      </c>
      <c r="AI53" s="987">
        <f t="shared" si="16"/>
        <v>0</v>
      </c>
      <c r="AJ53" s="1045">
        <v>2</v>
      </c>
      <c r="AK53" s="986">
        <f t="shared" si="17"/>
        <v>528</v>
      </c>
      <c r="AL53" s="987">
        <f t="shared" si="18"/>
        <v>0</v>
      </c>
      <c r="AN53" s="985">
        <f t="shared" si="19"/>
        <v>2</v>
      </c>
      <c r="AO53" s="986">
        <f t="shared" si="4"/>
        <v>4715.84</v>
      </c>
      <c r="AP53" s="985">
        <f t="shared" si="20"/>
        <v>2</v>
      </c>
      <c r="AQ53" s="986">
        <f t="shared" si="5"/>
        <v>4715.84</v>
      </c>
      <c r="AR53" s="985">
        <f t="shared" si="21"/>
        <v>2</v>
      </c>
      <c r="AS53" s="986">
        <f t="shared" si="6"/>
        <v>4715.84</v>
      </c>
      <c r="AT53" s="985">
        <f t="shared" si="22"/>
        <v>2</v>
      </c>
      <c r="AU53" s="986">
        <f t="shared" si="7"/>
        <v>4715.84</v>
      </c>
      <c r="AV53" s="985">
        <f t="shared" si="23"/>
        <v>2</v>
      </c>
      <c r="AW53" s="986">
        <f t="shared" si="8"/>
        <v>4715.84</v>
      </c>
      <c r="AX53" s="1788"/>
    </row>
    <row r="54" spans="11:50">
      <c r="K54" s="712"/>
      <c r="L54" s="920"/>
      <c r="M54" s="932">
        <v>31</v>
      </c>
      <c r="N54" s="933" t="s">
        <v>1966</v>
      </c>
      <c r="O54" s="934">
        <v>100</v>
      </c>
      <c r="P54" s="934">
        <f t="shared" si="0"/>
        <v>4</v>
      </c>
      <c r="Q54" s="1036">
        <v>40</v>
      </c>
      <c r="R54" s="1038"/>
      <c r="S54" s="1040">
        <v>2</v>
      </c>
      <c r="T54" s="958">
        <f t="shared" si="1"/>
        <v>480</v>
      </c>
      <c r="U54" s="955">
        <f t="shared" si="2"/>
        <v>0</v>
      </c>
      <c r="V54" s="1043"/>
      <c r="W54" s="977">
        <f t="shared" si="3"/>
        <v>0</v>
      </c>
      <c r="X54" s="1045">
        <v>2</v>
      </c>
      <c r="Y54" s="986">
        <f t="shared" si="9"/>
        <v>960</v>
      </c>
      <c r="Z54" s="987">
        <f t="shared" si="10"/>
        <v>0</v>
      </c>
      <c r="AA54" s="1045">
        <v>2</v>
      </c>
      <c r="AB54" s="986">
        <f t="shared" si="11"/>
        <v>960</v>
      </c>
      <c r="AC54" s="987">
        <f t="shared" si="12"/>
        <v>0</v>
      </c>
      <c r="AD54" s="1045">
        <v>2</v>
      </c>
      <c r="AE54" s="986">
        <f t="shared" si="13"/>
        <v>960</v>
      </c>
      <c r="AF54" s="987">
        <f t="shared" si="14"/>
        <v>0</v>
      </c>
      <c r="AG54" s="1045">
        <v>2</v>
      </c>
      <c r="AH54" s="986">
        <f t="shared" si="15"/>
        <v>960</v>
      </c>
      <c r="AI54" s="987">
        <f t="shared" si="16"/>
        <v>0</v>
      </c>
      <c r="AJ54" s="1045">
        <v>2</v>
      </c>
      <c r="AK54" s="986">
        <f t="shared" si="17"/>
        <v>960</v>
      </c>
      <c r="AL54" s="987">
        <f t="shared" si="18"/>
        <v>0</v>
      </c>
      <c r="AN54" s="985">
        <f t="shared" si="19"/>
        <v>2</v>
      </c>
      <c r="AO54" s="986">
        <f t="shared" si="4"/>
        <v>4715.84</v>
      </c>
      <c r="AP54" s="985">
        <f t="shared" si="20"/>
        <v>2</v>
      </c>
      <c r="AQ54" s="986">
        <f t="shared" si="5"/>
        <v>4715.84</v>
      </c>
      <c r="AR54" s="985">
        <f t="shared" si="21"/>
        <v>2</v>
      </c>
      <c r="AS54" s="986">
        <f t="shared" si="6"/>
        <v>4715.84</v>
      </c>
      <c r="AT54" s="985">
        <f t="shared" si="22"/>
        <v>2</v>
      </c>
      <c r="AU54" s="986">
        <f t="shared" si="7"/>
        <v>4715.84</v>
      </c>
      <c r="AV54" s="985">
        <f t="shared" si="23"/>
        <v>2</v>
      </c>
      <c r="AW54" s="986">
        <f t="shared" si="8"/>
        <v>4715.84</v>
      </c>
      <c r="AX54" s="1788"/>
    </row>
    <row r="55" spans="11:50">
      <c r="K55" s="712"/>
      <c r="L55" s="920"/>
      <c r="M55" s="932">
        <v>32</v>
      </c>
      <c r="N55" s="933" t="s">
        <v>1967</v>
      </c>
      <c r="O55" s="934">
        <v>149</v>
      </c>
      <c r="P55" s="934">
        <f t="shared" si="0"/>
        <v>2</v>
      </c>
      <c r="Q55" s="1036">
        <v>40</v>
      </c>
      <c r="R55" s="1038">
        <v>40</v>
      </c>
      <c r="S55" s="1040">
        <v>2</v>
      </c>
      <c r="T55" s="958">
        <f t="shared" si="1"/>
        <v>458</v>
      </c>
      <c r="U55" s="955">
        <f t="shared" si="2"/>
        <v>400</v>
      </c>
      <c r="V55" s="1043" t="s">
        <v>1943</v>
      </c>
      <c r="W55" s="977">
        <f t="shared" si="3"/>
        <v>1200</v>
      </c>
      <c r="X55" s="1045">
        <v>2</v>
      </c>
      <c r="Y55" s="986">
        <f t="shared" si="9"/>
        <v>916</v>
      </c>
      <c r="Z55" s="987">
        <f t="shared" si="10"/>
        <v>3200</v>
      </c>
      <c r="AA55" s="1045">
        <v>2</v>
      </c>
      <c r="AB55" s="986">
        <f t="shared" si="11"/>
        <v>916</v>
      </c>
      <c r="AC55" s="987">
        <f t="shared" si="12"/>
        <v>3200</v>
      </c>
      <c r="AD55" s="1045">
        <v>2</v>
      </c>
      <c r="AE55" s="986">
        <f t="shared" si="13"/>
        <v>916</v>
      </c>
      <c r="AF55" s="987">
        <f t="shared" si="14"/>
        <v>3200</v>
      </c>
      <c r="AG55" s="1045">
        <v>2</v>
      </c>
      <c r="AH55" s="986">
        <f t="shared" si="15"/>
        <v>916</v>
      </c>
      <c r="AI55" s="987">
        <f t="shared" si="16"/>
        <v>3200</v>
      </c>
      <c r="AJ55" s="1045">
        <v>2</v>
      </c>
      <c r="AK55" s="986">
        <f t="shared" si="17"/>
        <v>916</v>
      </c>
      <c r="AL55" s="987">
        <f t="shared" si="18"/>
        <v>3200</v>
      </c>
      <c r="AN55" s="985">
        <f t="shared" si="19"/>
        <v>2</v>
      </c>
      <c r="AO55" s="986">
        <f t="shared" si="4"/>
        <v>4715.84</v>
      </c>
      <c r="AP55" s="985">
        <f t="shared" si="20"/>
        <v>2</v>
      </c>
      <c r="AQ55" s="986">
        <f t="shared" si="5"/>
        <v>4715.84</v>
      </c>
      <c r="AR55" s="985">
        <f t="shared" si="21"/>
        <v>2</v>
      </c>
      <c r="AS55" s="986">
        <f t="shared" si="6"/>
        <v>4715.84</v>
      </c>
      <c r="AT55" s="985">
        <f t="shared" si="22"/>
        <v>2</v>
      </c>
      <c r="AU55" s="986">
        <f t="shared" si="7"/>
        <v>4715.84</v>
      </c>
      <c r="AV55" s="985">
        <f t="shared" si="23"/>
        <v>2</v>
      </c>
      <c r="AW55" s="986">
        <f t="shared" si="8"/>
        <v>4715.84</v>
      </c>
      <c r="AX55" s="1788"/>
    </row>
    <row r="56" spans="11:50">
      <c r="K56" s="712"/>
      <c r="L56" s="920"/>
      <c r="M56" s="932">
        <v>33</v>
      </c>
      <c r="N56" s="933" t="s">
        <v>1968</v>
      </c>
      <c r="O56" s="934">
        <v>106</v>
      </c>
      <c r="P56" s="934">
        <f t="shared" si="0"/>
        <v>4</v>
      </c>
      <c r="Q56" s="1036">
        <v>40</v>
      </c>
      <c r="R56" s="1038"/>
      <c r="S56" s="1040">
        <v>2</v>
      </c>
      <c r="T56" s="958">
        <f t="shared" si="1"/>
        <v>504</v>
      </c>
      <c r="U56" s="955">
        <f t="shared" si="2"/>
        <v>0</v>
      </c>
      <c r="V56" s="1043"/>
      <c r="W56" s="977">
        <f t="shared" si="3"/>
        <v>0</v>
      </c>
      <c r="X56" s="1045">
        <v>2</v>
      </c>
      <c r="Y56" s="986">
        <f t="shared" si="9"/>
        <v>1008</v>
      </c>
      <c r="Z56" s="987">
        <f t="shared" si="10"/>
        <v>0</v>
      </c>
      <c r="AA56" s="1045">
        <v>2</v>
      </c>
      <c r="AB56" s="986">
        <f t="shared" si="11"/>
        <v>1008</v>
      </c>
      <c r="AC56" s="987">
        <f t="shared" si="12"/>
        <v>0</v>
      </c>
      <c r="AD56" s="1045">
        <v>2</v>
      </c>
      <c r="AE56" s="986">
        <f t="shared" si="13"/>
        <v>1008</v>
      </c>
      <c r="AF56" s="987">
        <f t="shared" si="14"/>
        <v>0</v>
      </c>
      <c r="AG56" s="1045">
        <v>2</v>
      </c>
      <c r="AH56" s="986">
        <f t="shared" si="15"/>
        <v>1008</v>
      </c>
      <c r="AI56" s="987">
        <f t="shared" si="16"/>
        <v>0</v>
      </c>
      <c r="AJ56" s="1045">
        <v>2</v>
      </c>
      <c r="AK56" s="986">
        <f t="shared" si="17"/>
        <v>1008</v>
      </c>
      <c r="AL56" s="987">
        <f t="shared" si="18"/>
        <v>0</v>
      </c>
      <c r="AN56" s="985">
        <f t="shared" si="19"/>
        <v>2</v>
      </c>
      <c r="AO56" s="986">
        <f t="shared" si="4"/>
        <v>4715.84</v>
      </c>
      <c r="AP56" s="985">
        <f t="shared" si="20"/>
        <v>2</v>
      </c>
      <c r="AQ56" s="986">
        <f t="shared" si="5"/>
        <v>4715.84</v>
      </c>
      <c r="AR56" s="985">
        <f t="shared" si="21"/>
        <v>2</v>
      </c>
      <c r="AS56" s="986">
        <f t="shared" si="6"/>
        <v>4715.84</v>
      </c>
      <c r="AT56" s="985">
        <f t="shared" si="22"/>
        <v>2</v>
      </c>
      <c r="AU56" s="986">
        <f t="shared" si="7"/>
        <v>4715.84</v>
      </c>
      <c r="AV56" s="985">
        <f t="shared" si="23"/>
        <v>2</v>
      </c>
      <c r="AW56" s="986">
        <f t="shared" si="8"/>
        <v>4715.84</v>
      </c>
      <c r="AX56" s="1788"/>
    </row>
    <row r="57" spans="11:50">
      <c r="K57" s="712"/>
      <c r="L57" s="920"/>
      <c r="M57" s="932">
        <v>34</v>
      </c>
      <c r="N57" s="933" t="s">
        <v>1969</v>
      </c>
      <c r="O57" s="934">
        <v>174</v>
      </c>
      <c r="P57" s="934">
        <f t="shared" si="0"/>
        <v>2</v>
      </c>
      <c r="Q57" s="1036">
        <v>40</v>
      </c>
      <c r="R57" s="1038">
        <v>93</v>
      </c>
      <c r="S57" s="1040">
        <v>2</v>
      </c>
      <c r="T57" s="958">
        <f t="shared" si="1"/>
        <v>614</v>
      </c>
      <c r="U57" s="955">
        <f t="shared" si="2"/>
        <v>400</v>
      </c>
      <c r="V57" s="1043" t="s">
        <v>1943</v>
      </c>
      <c r="W57" s="977">
        <f t="shared" si="3"/>
        <v>1200</v>
      </c>
      <c r="X57" s="1045">
        <v>2</v>
      </c>
      <c r="Y57" s="986">
        <f t="shared" si="9"/>
        <v>1228</v>
      </c>
      <c r="Z57" s="987">
        <f t="shared" si="10"/>
        <v>3200</v>
      </c>
      <c r="AA57" s="1045">
        <v>2</v>
      </c>
      <c r="AB57" s="986">
        <f t="shared" si="11"/>
        <v>1228</v>
      </c>
      <c r="AC57" s="987">
        <f t="shared" si="12"/>
        <v>3200</v>
      </c>
      <c r="AD57" s="1045">
        <v>2</v>
      </c>
      <c r="AE57" s="986">
        <f t="shared" si="13"/>
        <v>1228</v>
      </c>
      <c r="AF57" s="987">
        <f t="shared" si="14"/>
        <v>3200</v>
      </c>
      <c r="AG57" s="1045">
        <v>2</v>
      </c>
      <c r="AH57" s="986">
        <f t="shared" si="15"/>
        <v>1228</v>
      </c>
      <c r="AI57" s="987">
        <f t="shared" si="16"/>
        <v>3200</v>
      </c>
      <c r="AJ57" s="1045">
        <v>2</v>
      </c>
      <c r="AK57" s="986">
        <f t="shared" si="17"/>
        <v>1228</v>
      </c>
      <c r="AL57" s="987">
        <f t="shared" si="18"/>
        <v>3200</v>
      </c>
      <c r="AN57" s="985">
        <f t="shared" si="19"/>
        <v>2</v>
      </c>
      <c r="AO57" s="986">
        <f t="shared" si="4"/>
        <v>4715.84</v>
      </c>
      <c r="AP57" s="985">
        <f t="shared" si="20"/>
        <v>2</v>
      </c>
      <c r="AQ57" s="986">
        <f t="shared" si="5"/>
        <v>4715.84</v>
      </c>
      <c r="AR57" s="985">
        <f t="shared" si="21"/>
        <v>2</v>
      </c>
      <c r="AS57" s="986">
        <f t="shared" si="6"/>
        <v>4715.84</v>
      </c>
      <c r="AT57" s="985">
        <f t="shared" si="22"/>
        <v>2</v>
      </c>
      <c r="AU57" s="986">
        <f t="shared" si="7"/>
        <v>4715.84</v>
      </c>
      <c r="AV57" s="985">
        <f t="shared" si="23"/>
        <v>2</v>
      </c>
      <c r="AW57" s="986">
        <f t="shared" si="8"/>
        <v>4715.84</v>
      </c>
      <c r="AX57" s="1788"/>
    </row>
    <row r="58" spans="11:50">
      <c r="K58" s="712"/>
      <c r="L58" s="920"/>
      <c r="M58" s="932">
        <v>35</v>
      </c>
      <c r="N58" s="933" t="s">
        <v>1970</v>
      </c>
      <c r="O58" s="934">
        <v>23</v>
      </c>
      <c r="P58" s="934">
        <f t="shared" si="0"/>
        <v>4</v>
      </c>
      <c r="Q58" s="1036">
        <v>40</v>
      </c>
      <c r="R58" s="1038"/>
      <c r="S58" s="1040">
        <v>2</v>
      </c>
      <c r="T58" s="958">
        <f t="shared" si="1"/>
        <v>172</v>
      </c>
      <c r="U58" s="955">
        <f t="shared" si="2"/>
        <v>0</v>
      </c>
      <c r="V58" s="1043"/>
      <c r="W58" s="977">
        <f t="shared" si="3"/>
        <v>0</v>
      </c>
      <c r="X58" s="1045">
        <v>2</v>
      </c>
      <c r="Y58" s="986">
        <f t="shared" si="9"/>
        <v>344</v>
      </c>
      <c r="Z58" s="987">
        <f t="shared" si="10"/>
        <v>0</v>
      </c>
      <c r="AA58" s="1045">
        <v>2</v>
      </c>
      <c r="AB58" s="986">
        <f t="shared" si="11"/>
        <v>344</v>
      </c>
      <c r="AC58" s="987">
        <f t="shared" si="12"/>
        <v>0</v>
      </c>
      <c r="AD58" s="1045">
        <v>2</v>
      </c>
      <c r="AE58" s="986">
        <f t="shared" si="13"/>
        <v>344</v>
      </c>
      <c r="AF58" s="987">
        <f t="shared" si="14"/>
        <v>0</v>
      </c>
      <c r="AG58" s="1045">
        <v>2</v>
      </c>
      <c r="AH58" s="986">
        <f t="shared" si="15"/>
        <v>344</v>
      </c>
      <c r="AI58" s="987">
        <f t="shared" si="16"/>
        <v>0</v>
      </c>
      <c r="AJ58" s="1045">
        <v>2</v>
      </c>
      <c r="AK58" s="986">
        <f t="shared" si="17"/>
        <v>344</v>
      </c>
      <c r="AL58" s="987">
        <f t="shared" si="18"/>
        <v>0</v>
      </c>
      <c r="AN58" s="985">
        <f t="shared" si="19"/>
        <v>2</v>
      </c>
      <c r="AO58" s="986">
        <f t="shared" si="4"/>
        <v>4715.84</v>
      </c>
      <c r="AP58" s="985">
        <f t="shared" si="20"/>
        <v>2</v>
      </c>
      <c r="AQ58" s="986">
        <f t="shared" si="5"/>
        <v>4715.84</v>
      </c>
      <c r="AR58" s="985">
        <f t="shared" si="21"/>
        <v>2</v>
      </c>
      <c r="AS58" s="986">
        <f t="shared" si="6"/>
        <v>4715.84</v>
      </c>
      <c r="AT58" s="985">
        <f t="shared" si="22"/>
        <v>2</v>
      </c>
      <c r="AU58" s="986">
        <f t="shared" si="7"/>
        <v>4715.84</v>
      </c>
      <c r="AV58" s="985">
        <f t="shared" si="23"/>
        <v>2</v>
      </c>
      <c r="AW58" s="986">
        <f t="shared" si="8"/>
        <v>4715.84</v>
      </c>
      <c r="AX58" s="1788"/>
    </row>
    <row r="59" spans="11:50">
      <c r="K59" s="712"/>
      <c r="L59" s="920"/>
      <c r="M59" s="932">
        <v>36</v>
      </c>
      <c r="N59" s="933" t="s">
        <v>1971</v>
      </c>
      <c r="O59" s="934">
        <v>43</v>
      </c>
      <c r="P59" s="934">
        <f t="shared" si="0"/>
        <v>4</v>
      </c>
      <c r="Q59" s="1036"/>
      <c r="R59" s="1038"/>
      <c r="S59" s="1040">
        <v>2</v>
      </c>
      <c r="T59" s="958">
        <f t="shared" si="1"/>
        <v>172</v>
      </c>
      <c r="U59" s="955">
        <f t="shared" si="2"/>
        <v>0</v>
      </c>
      <c r="V59" s="1043"/>
      <c r="W59" s="977">
        <f t="shared" si="3"/>
        <v>0</v>
      </c>
      <c r="X59" s="1045">
        <v>2</v>
      </c>
      <c r="Y59" s="986">
        <f t="shared" si="9"/>
        <v>344</v>
      </c>
      <c r="Z59" s="987">
        <f t="shared" si="10"/>
        <v>0</v>
      </c>
      <c r="AA59" s="1045">
        <v>2</v>
      </c>
      <c r="AB59" s="986">
        <f t="shared" si="11"/>
        <v>344</v>
      </c>
      <c r="AC59" s="987">
        <f t="shared" si="12"/>
        <v>0</v>
      </c>
      <c r="AD59" s="1045">
        <v>2</v>
      </c>
      <c r="AE59" s="986">
        <f t="shared" si="13"/>
        <v>344</v>
      </c>
      <c r="AF59" s="987">
        <f t="shared" si="14"/>
        <v>0</v>
      </c>
      <c r="AG59" s="1045">
        <v>2</v>
      </c>
      <c r="AH59" s="986">
        <f t="shared" si="15"/>
        <v>344</v>
      </c>
      <c r="AI59" s="987">
        <f t="shared" si="16"/>
        <v>0</v>
      </c>
      <c r="AJ59" s="1045">
        <v>2</v>
      </c>
      <c r="AK59" s="986">
        <f t="shared" si="17"/>
        <v>344</v>
      </c>
      <c r="AL59" s="987">
        <f t="shared" si="18"/>
        <v>0</v>
      </c>
      <c r="AN59" s="985">
        <f t="shared" si="19"/>
        <v>2</v>
      </c>
      <c r="AO59" s="986">
        <f t="shared" si="4"/>
        <v>4715.84</v>
      </c>
      <c r="AP59" s="985">
        <f t="shared" si="20"/>
        <v>2</v>
      </c>
      <c r="AQ59" s="986">
        <f t="shared" si="5"/>
        <v>4715.84</v>
      </c>
      <c r="AR59" s="985">
        <f t="shared" si="21"/>
        <v>2</v>
      </c>
      <c r="AS59" s="986">
        <f t="shared" si="6"/>
        <v>4715.84</v>
      </c>
      <c r="AT59" s="985">
        <f t="shared" si="22"/>
        <v>2</v>
      </c>
      <c r="AU59" s="986">
        <f t="shared" si="7"/>
        <v>4715.84</v>
      </c>
      <c r="AV59" s="985">
        <f t="shared" si="23"/>
        <v>2</v>
      </c>
      <c r="AW59" s="986">
        <f t="shared" si="8"/>
        <v>4715.84</v>
      </c>
      <c r="AX59" s="1788"/>
    </row>
    <row r="60" spans="11:50">
      <c r="K60" s="712"/>
      <c r="L60" s="920"/>
      <c r="M60" s="932">
        <v>37</v>
      </c>
      <c r="N60" s="933" t="s">
        <v>1972</v>
      </c>
      <c r="O60" s="934">
        <v>106</v>
      </c>
      <c r="P60" s="934">
        <f t="shared" si="0"/>
        <v>4</v>
      </c>
      <c r="Q60" s="1036">
        <v>40</v>
      </c>
      <c r="R60" s="1038"/>
      <c r="S60" s="1040">
        <v>2</v>
      </c>
      <c r="T60" s="958">
        <f t="shared" si="1"/>
        <v>504</v>
      </c>
      <c r="U60" s="955">
        <f t="shared" si="2"/>
        <v>0</v>
      </c>
      <c r="V60" s="1043"/>
      <c r="W60" s="977">
        <f t="shared" si="3"/>
        <v>0</v>
      </c>
      <c r="X60" s="1045">
        <v>2</v>
      </c>
      <c r="Y60" s="986">
        <f t="shared" si="9"/>
        <v>1008</v>
      </c>
      <c r="Z60" s="987">
        <f t="shared" si="10"/>
        <v>0</v>
      </c>
      <c r="AA60" s="1045">
        <v>2</v>
      </c>
      <c r="AB60" s="986">
        <f t="shared" si="11"/>
        <v>1008</v>
      </c>
      <c r="AC60" s="987">
        <f t="shared" si="12"/>
        <v>0</v>
      </c>
      <c r="AD60" s="1045">
        <v>2</v>
      </c>
      <c r="AE60" s="986">
        <f t="shared" si="13"/>
        <v>1008</v>
      </c>
      <c r="AF60" s="987">
        <f t="shared" si="14"/>
        <v>0</v>
      </c>
      <c r="AG60" s="1045">
        <v>2</v>
      </c>
      <c r="AH60" s="986">
        <f t="shared" si="15"/>
        <v>1008</v>
      </c>
      <c r="AI60" s="987">
        <f t="shared" si="16"/>
        <v>0</v>
      </c>
      <c r="AJ60" s="1045">
        <v>2</v>
      </c>
      <c r="AK60" s="986">
        <f t="shared" si="17"/>
        <v>1008</v>
      </c>
      <c r="AL60" s="987">
        <f t="shared" si="18"/>
        <v>0</v>
      </c>
      <c r="AN60" s="985">
        <f t="shared" si="19"/>
        <v>2</v>
      </c>
      <c r="AO60" s="986">
        <f t="shared" si="4"/>
        <v>4715.84</v>
      </c>
      <c r="AP60" s="985">
        <f t="shared" si="20"/>
        <v>2</v>
      </c>
      <c r="AQ60" s="986">
        <f t="shared" si="5"/>
        <v>4715.84</v>
      </c>
      <c r="AR60" s="985">
        <f t="shared" si="21"/>
        <v>2</v>
      </c>
      <c r="AS60" s="986">
        <f t="shared" si="6"/>
        <v>4715.84</v>
      </c>
      <c r="AT60" s="985">
        <f t="shared" si="22"/>
        <v>2</v>
      </c>
      <c r="AU60" s="986">
        <f t="shared" si="7"/>
        <v>4715.84</v>
      </c>
      <c r="AV60" s="985">
        <f t="shared" si="23"/>
        <v>2</v>
      </c>
      <c r="AW60" s="986">
        <f t="shared" si="8"/>
        <v>4715.84</v>
      </c>
      <c r="AX60" s="1788"/>
    </row>
    <row r="61" spans="11:50">
      <c r="K61" s="712"/>
      <c r="L61" s="920"/>
      <c r="M61" s="932">
        <v>38</v>
      </c>
      <c r="N61" s="933" t="s">
        <v>1973</v>
      </c>
      <c r="O61" s="934">
        <v>103</v>
      </c>
      <c r="P61" s="934">
        <f t="shared" si="0"/>
        <v>4</v>
      </c>
      <c r="Q61" s="1036">
        <v>40</v>
      </c>
      <c r="R61" s="1038"/>
      <c r="S61" s="1040">
        <v>2</v>
      </c>
      <c r="T61" s="958">
        <f t="shared" si="1"/>
        <v>492</v>
      </c>
      <c r="U61" s="955">
        <f t="shared" si="2"/>
        <v>0</v>
      </c>
      <c r="V61" s="1043"/>
      <c r="W61" s="977">
        <f t="shared" si="3"/>
        <v>0</v>
      </c>
      <c r="X61" s="1045">
        <v>2</v>
      </c>
      <c r="Y61" s="986">
        <f t="shared" si="9"/>
        <v>984</v>
      </c>
      <c r="Z61" s="987">
        <f t="shared" si="10"/>
        <v>0</v>
      </c>
      <c r="AA61" s="1045">
        <v>2</v>
      </c>
      <c r="AB61" s="986">
        <f t="shared" si="11"/>
        <v>984</v>
      </c>
      <c r="AC61" s="987">
        <f t="shared" si="12"/>
        <v>0</v>
      </c>
      <c r="AD61" s="1045">
        <v>2</v>
      </c>
      <c r="AE61" s="986">
        <f t="shared" si="13"/>
        <v>984</v>
      </c>
      <c r="AF61" s="987">
        <f t="shared" si="14"/>
        <v>0</v>
      </c>
      <c r="AG61" s="1045">
        <v>2</v>
      </c>
      <c r="AH61" s="986">
        <f t="shared" si="15"/>
        <v>984</v>
      </c>
      <c r="AI61" s="987">
        <f t="shared" si="16"/>
        <v>0</v>
      </c>
      <c r="AJ61" s="1045">
        <v>2</v>
      </c>
      <c r="AK61" s="986">
        <f t="shared" si="17"/>
        <v>984</v>
      </c>
      <c r="AL61" s="987">
        <f t="shared" si="18"/>
        <v>0</v>
      </c>
      <c r="AN61" s="985">
        <f t="shared" si="19"/>
        <v>2</v>
      </c>
      <c r="AO61" s="986">
        <f t="shared" si="4"/>
        <v>4715.84</v>
      </c>
      <c r="AP61" s="985">
        <f t="shared" si="20"/>
        <v>2</v>
      </c>
      <c r="AQ61" s="986">
        <f t="shared" si="5"/>
        <v>4715.84</v>
      </c>
      <c r="AR61" s="985">
        <f t="shared" si="21"/>
        <v>2</v>
      </c>
      <c r="AS61" s="986">
        <f t="shared" si="6"/>
        <v>4715.84</v>
      </c>
      <c r="AT61" s="985">
        <f t="shared" si="22"/>
        <v>2</v>
      </c>
      <c r="AU61" s="986">
        <f t="shared" si="7"/>
        <v>4715.84</v>
      </c>
      <c r="AV61" s="985">
        <f t="shared" si="23"/>
        <v>2</v>
      </c>
      <c r="AW61" s="986">
        <f t="shared" si="8"/>
        <v>4715.84</v>
      </c>
      <c r="AX61" s="1788"/>
    </row>
    <row r="62" spans="11:50">
      <c r="K62" s="712"/>
      <c r="L62" s="920"/>
      <c r="M62" s="932">
        <v>39</v>
      </c>
      <c r="N62" s="933" t="s">
        <v>1974</v>
      </c>
      <c r="O62" s="934">
        <v>156</v>
      </c>
      <c r="P62" s="934">
        <f t="shared" si="0"/>
        <v>2</v>
      </c>
      <c r="Q62" s="1036">
        <v>40</v>
      </c>
      <c r="R62" s="1038">
        <v>52</v>
      </c>
      <c r="S62" s="1040">
        <v>2</v>
      </c>
      <c r="T62" s="958">
        <f t="shared" si="1"/>
        <v>496</v>
      </c>
      <c r="U62" s="955">
        <f t="shared" si="2"/>
        <v>400</v>
      </c>
      <c r="V62" s="1043" t="s">
        <v>1943</v>
      </c>
      <c r="W62" s="977">
        <f t="shared" si="3"/>
        <v>1200</v>
      </c>
      <c r="X62" s="1045">
        <v>2</v>
      </c>
      <c r="Y62" s="986">
        <f t="shared" si="9"/>
        <v>992</v>
      </c>
      <c r="Z62" s="987">
        <f t="shared" si="10"/>
        <v>3200</v>
      </c>
      <c r="AA62" s="1045">
        <v>2</v>
      </c>
      <c r="AB62" s="986">
        <f t="shared" si="11"/>
        <v>992</v>
      </c>
      <c r="AC62" s="987">
        <f t="shared" si="12"/>
        <v>3200</v>
      </c>
      <c r="AD62" s="1045">
        <v>2</v>
      </c>
      <c r="AE62" s="986">
        <f t="shared" si="13"/>
        <v>992</v>
      </c>
      <c r="AF62" s="987">
        <f t="shared" si="14"/>
        <v>3200</v>
      </c>
      <c r="AG62" s="1045">
        <v>2</v>
      </c>
      <c r="AH62" s="986">
        <f t="shared" si="15"/>
        <v>992</v>
      </c>
      <c r="AI62" s="987">
        <f t="shared" si="16"/>
        <v>3200</v>
      </c>
      <c r="AJ62" s="1045">
        <v>2</v>
      </c>
      <c r="AK62" s="986">
        <f t="shared" si="17"/>
        <v>992</v>
      </c>
      <c r="AL62" s="987">
        <f t="shared" si="18"/>
        <v>3200</v>
      </c>
      <c r="AN62" s="985">
        <f t="shared" si="19"/>
        <v>2</v>
      </c>
      <c r="AO62" s="986">
        <f t="shared" si="4"/>
        <v>4715.84</v>
      </c>
      <c r="AP62" s="985">
        <f t="shared" si="20"/>
        <v>2</v>
      </c>
      <c r="AQ62" s="986">
        <f t="shared" si="5"/>
        <v>4715.84</v>
      </c>
      <c r="AR62" s="985">
        <f t="shared" si="21"/>
        <v>2</v>
      </c>
      <c r="AS62" s="986">
        <f t="shared" si="6"/>
        <v>4715.84</v>
      </c>
      <c r="AT62" s="985">
        <f t="shared" si="22"/>
        <v>2</v>
      </c>
      <c r="AU62" s="986">
        <f t="shared" si="7"/>
        <v>4715.84</v>
      </c>
      <c r="AV62" s="985">
        <f t="shared" si="23"/>
        <v>2</v>
      </c>
      <c r="AW62" s="986">
        <f t="shared" si="8"/>
        <v>4715.84</v>
      </c>
      <c r="AX62" s="1788"/>
    </row>
    <row r="63" spans="11:50">
      <c r="K63" s="712"/>
      <c r="L63" s="920"/>
      <c r="M63" s="932">
        <v>40</v>
      </c>
      <c r="N63" s="933" t="s">
        <v>1975</v>
      </c>
      <c r="O63" s="934">
        <v>90</v>
      </c>
      <c r="P63" s="934">
        <f t="shared" si="0"/>
        <v>4</v>
      </c>
      <c r="Q63" s="1036">
        <v>40</v>
      </c>
      <c r="R63" s="1038"/>
      <c r="S63" s="1040">
        <v>2</v>
      </c>
      <c r="T63" s="958">
        <f t="shared" si="1"/>
        <v>440</v>
      </c>
      <c r="U63" s="955">
        <f t="shared" si="2"/>
        <v>0</v>
      </c>
      <c r="V63" s="1043"/>
      <c r="W63" s="977">
        <f t="shared" si="3"/>
        <v>0</v>
      </c>
      <c r="X63" s="1045">
        <v>2</v>
      </c>
      <c r="Y63" s="986">
        <f t="shared" si="9"/>
        <v>880</v>
      </c>
      <c r="Z63" s="987">
        <f t="shared" si="10"/>
        <v>0</v>
      </c>
      <c r="AA63" s="1045">
        <v>2</v>
      </c>
      <c r="AB63" s="986">
        <f t="shared" si="11"/>
        <v>880</v>
      </c>
      <c r="AC63" s="987">
        <f t="shared" si="12"/>
        <v>0</v>
      </c>
      <c r="AD63" s="1045">
        <v>2</v>
      </c>
      <c r="AE63" s="986">
        <f t="shared" si="13"/>
        <v>880</v>
      </c>
      <c r="AF63" s="987">
        <f t="shared" si="14"/>
        <v>0</v>
      </c>
      <c r="AG63" s="1045">
        <v>2</v>
      </c>
      <c r="AH63" s="986">
        <f t="shared" si="15"/>
        <v>880</v>
      </c>
      <c r="AI63" s="987">
        <f t="shared" si="16"/>
        <v>0</v>
      </c>
      <c r="AJ63" s="1045">
        <v>2</v>
      </c>
      <c r="AK63" s="986">
        <f t="shared" si="17"/>
        <v>880</v>
      </c>
      <c r="AL63" s="987">
        <f t="shared" si="18"/>
        <v>0</v>
      </c>
      <c r="AN63" s="985">
        <f t="shared" si="19"/>
        <v>2</v>
      </c>
      <c r="AO63" s="986">
        <f t="shared" si="4"/>
        <v>4715.84</v>
      </c>
      <c r="AP63" s="985">
        <f t="shared" si="20"/>
        <v>2</v>
      </c>
      <c r="AQ63" s="986">
        <f t="shared" si="5"/>
        <v>4715.84</v>
      </c>
      <c r="AR63" s="985">
        <f t="shared" si="21"/>
        <v>2</v>
      </c>
      <c r="AS63" s="986">
        <f t="shared" si="6"/>
        <v>4715.84</v>
      </c>
      <c r="AT63" s="985">
        <f t="shared" si="22"/>
        <v>2</v>
      </c>
      <c r="AU63" s="986">
        <f t="shared" si="7"/>
        <v>4715.84</v>
      </c>
      <c r="AV63" s="985">
        <f t="shared" si="23"/>
        <v>2</v>
      </c>
      <c r="AW63" s="986">
        <f t="shared" si="8"/>
        <v>4715.84</v>
      </c>
      <c r="AX63" s="1788"/>
    </row>
    <row r="64" spans="11:50">
      <c r="K64" s="712"/>
      <c r="L64" s="920"/>
      <c r="M64" s="932">
        <v>41</v>
      </c>
      <c r="N64" s="933" t="s">
        <v>1976</v>
      </c>
      <c r="O64" s="934">
        <v>111</v>
      </c>
      <c r="P64" s="934">
        <f t="shared" si="0"/>
        <v>4</v>
      </c>
      <c r="Q64" s="1036">
        <v>40</v>
      </c>
      <c r="R64" s="1038"/>
      <c r="S64" s="1040">
        <v>2</v>
      </c>
      <c r="T64" s="958">
        <f t="shared" si="1"/>
        <v>524</v>
      </c>
      <c r="U64" s="955">
        <f t="shared" si="2"/>
        <v>0</v>
      </c>
      <c r="V64" s="1043"/>
      <c r="W64" s="977">
        <f t="shared" si="3"/>
        <v>0</v>
      </c>
      <c r="X64" s="1045">
        <v>2</v>
      </c>
      <c r="Y64" s="986">
        <f t="shared" si="9"/>
        <v>1048</v>
      </c>
      <c r="Z64" s="987">
        <f t="shared" si="10"/>
        <v>0</v>
      </c>
      <c r="AA64" s="1045">
        <v>2</v>
      </c>
      <c r="AB64" s="986">
        <f t="shared" si="11"/>
        <v>1048</v>
      </c>
      <c r="AC64" s="987">
        <f t="shared" si="12"/>
        <v>0</v>
      </c>
      <c r="AD64" s="1045">
        <v>2</v>
      </c>
      <c r="AE64" s="986">
        <f t="shared" si="13"/>
        <v>1048</v>
      </c>
      <c r="AF64" s="987">
        <f t="shared" si="14"/>
        <v>0</v>
      </c>
      <c r="AG64" s="1045">
        <v>2</v>
      </c>
      <c r="AH64" s="986">
        <f t="shared" si="15"/>
        <v>1048</v>
      </c>
      <c r="AI64" s="987">
        <f t="shared" si="16"/>
        <v>0</v>
      </c>
      <c r="AJ64" s="1045">
        <v>2</v>
      </c>
      <c r="AK64" s="986">
        <f t="shared" si="17"/>
        <v>1048</v>
      </c>
      <c r="AL64" s="987">
        <f t="shared" si="18"/>
        <v>0</v>
      </c>
      <c r="AN64" s="985">
        <f t="shared" si="19"/>
        <v>2</v>
      </c>
      <c r="AO64" s="986">
        <f t="shared" si="4"/>
        <v>4715.84</v>
      </c>
      <c r="AP64" s="985">
        <f t="shared" si="20"/>
        <v>2</v>
      </c>
      <c r="AQ64" s="986">
        <f t="shared" si="5"/>
        <v>4715.84</v>
      </c>
      <c r="AR64" s="985">
        <f t="shared" si="21"/>
        <v>2</v>
      </c>
      <c r="AS64" s="986">
        <f t="shared" si="6"/>
        <v>4715.84</v>
      </c>
      <c r="AT64" s="985">
        <f t="shared" si="22"/>
        <v>2</v>
      </c>
      <c r="AU64" s="986">
        <f t="shared" si="7"/>
        <v>4715.84</v>
      </c>
      <c r="AV64" s="985">
        <f t="shared" si="23"/>
        <v>2</v>
      </c>
      <c r="AW64" s="986">
        <f t="shared" si="8"/>
        <v>4715.84</v>
      </c>
      <c r="AX64" s="1788"/>
    </row>
    <row r="65" spans="1:51">
      <c r="K65" s="712"/>
      <c r="L65" s="920"/>
      <c r="M65" s="932">
        <v>42</v>
      </c>
      <c r="N65" s="933" t="s">
        <v>1977</v>
      </c>
      <c r="O65" s="934">
        <v>100</v>
      </c>
      <c r="P65" s="934">
        <f t="shared" si="0"/>
        <v>4</v>
      </c>
      <c r="Q65" s="1036">
        <v>40</v>
      </c>
      <c r="R65" s="1038"/>
      <c r="S65" s="1040">
        <v>2</v>
      </c>
      <c r="T65" s="958">
        <f t="shared" si="1"/>
        <v>480</v>
      </c>
      <c r="U65" s="955">
        <f t="shared" si="2"/>
        <v>0</v>
      </c>
      <c r="V65" s="1043"/>
      <c r="W65" s="977">
        <f t="shared" si="3"/>
        <v>0</v>
      </c>
      <c r="X65" s="1045">
        <v>2</v>
      </c>
      <c r="Y65" s="986">
        <f t="shared" si="9"/>
        <v>960</v>
      </c>
      <c r="Z65" s="987">
        <f t="shared" si="10"/>
        <v>0</v>
      </c>
      <c r="AA65" s="1045">
        <v>2</v>
      </c>
      <c r="AB65" s="986">
        <f t="shared" si="11"/>
        <v>960</v>
      </c>
      <c r="AC65" s="987">
        <f t="shared" si="12"/>
        <v>0</v>
      </c>
      <c r="AD65" s="1045">
        <v>2</v>
      </c>
      <c r="AE65" s="986">
        <f t="shared" si="13"/>
        <v>960</v>
      </c>
      <c r="AF65" s="987">
        <f t="shared" si="14"/>
        <v>0</v>
      </c>
      <c r="AG65" s="1045">
        <v>2</v>
      </c>
      <c r="AH65" s="986">
        <f t="shared" si="15"/>
        <v>960</v>
      </c>
      <c r="AI65" s="987">
        <f t="shared" si="16"/>
        <v>0</v>
      </c>
      <c r="AJ65" s="1045">
        <v>2</v>
      </c>
      <c r="AK65" s="986">
        <f t="shared" si="17"/>
        <v>960</v>
      </c>
      <c r="AL65" s="987">
        <f t="shared" si="18"/>
        <v>0</v>
      </c>
      <c r="AN65" s="985">
        <f t="shared" si="19"/>
        <v>2</v>
      </c>
      <c r="AO65" s="986">
        <f t="shared" si="4"/>
        <v>4715.84</v>
      </c>
      <c r="AP65" s="985">
        <f t="shared" si="20"/>
        <v>2</v>
      </c>
      <c r="AQ65" s="986">
        <f t="shared" si="5"/>
        <v>4715.84</v>
      </c>
      <c r="AR65" s="985">
        <f t="shared" si="21"/>
        <v>2</v>
      </c>
      <c r="AS65" s="986">
        <f t="shared" si="6"/>
        <v>4715.84</v>
      </c>
      <c r="AT65" s="985">
        <f t="shared" si="22"/>
        <v>2</v>
      </c>
      <c r="AU65" s="986">
        <f t="shared" si="7"/>
        <v>4715.84</v>
      </c>
      <c r="AV65" s="985">
        <f t="shared" si="23"/>
        <v>2</v>
      </c>
      <c r="AW65" s="986">
        <f t="shared" si="8"/>
        <v>4715.84</v>
      </c>
      <c r="AX65" s="1788"/>
    </row>
    <row r="66" spans="1:51">
      <c r="K66" s="712"/>
      <c r="L66" s="920"/>
      <c r="M66" s="932">
        <v>43</v>
      </c>
      <c r="N66" s="933" t="s">
        <v>1978</v>
      </c>
      <c r="O66" s="934">
        <v>131</v>
      </c>
      <c r="P66" s="934">
        <f t="shared" si="0"/>
        <v>4</v>
      </c>
      <c r="Q66" s="1036">
        <v>40</v>
      </c>
      <c r="R66" s="1038"/>
      <c r="S66" s="1040">
        <v>2</v>
      </c>
      <c r="T66" s="958">
        <f t="shared" si="1"/>
        <v>604</v>
      </c>
      <c r="U66" s="955">
        <f t="shared" si="2"/>
        <v>0</v>
      </c>
      <c r="V66" s="1043"/>
      <c r="W66" s="977">
        <f t="shared" si="3"/>
        <v>0</v>
      </c>
      <c r="X66" s="1045">
        <v>2</v>
      </c>
      <c r="Y66" s="986">
        <f t="shared" si="9"/>
        <v>1208</v>
      </c>
      <c r="Z66" s="987">
        <f t="shared" si="10"/>
        <v>0</v>
      </c>
      <c r="AA66" s="1045">
        <v>2</v>
      </c>
      <c r="AB66" s="986">
        <f t="shared" si="11"/>
        <v>1208</v>
      </c>
      <c r="AC66" s="987">
        <f t="shared" si="12"/>
        <v>0</v>
      </c>
      <c r="AD66" s="1045">
        <v>2</v>
      </c>
      <c r="AE66" s="986">
        <f t="shared" si="13"/>
        <v>1208</v>
      </c>
      <c r="AF66" s="987">
        <f t="shared" si="14"/>
        <v>0</v>
      </c>
      <c r="AG66" s="1045">
        <v>2</v>
      </c>
      <c r="AH66" s="986">
        <f t="shared" si="15"/>
        <v>1208</v>
      </c>
      <c r="AI66" s="987">
        <f t="shared" si="16"/>
        <v>0</v>
      </c>
      <c r="AJ66" s="1045">
        <v>2</v>
      </c>
      <c r="AK66" s="986">
        <f t="shared" si="17"/>
        <v>1208</v>
      </c>
      <c r="AL66" s="987">
        <f t="shared" si="18"/>
        <v>0</v>
      </c>
      <c r="AN66" s="985">
        <f t="shared" si="19"/>
        <v>2</v>
      </c>
      <c r="AO66" s="986">
        <f t="shared" si="4"/>
        <v>4715.84</v>
      </c>
      <c r="AP66" s="985">
        <f t="shared" si="20"/>
        <v>2</v>
      </c>
      <c r="AQ66" s="986">
        <f t="shared" si="5"/>
        <v>4715.84</v>
      </c>
      <c r="AR66" s="985">
        <f t="shared" si="21"/>
        <v>2</v>
      </c>
      <c r="AS66" s="986">
        <f t="shared" si="6"/>
        <v>4715.84</v>
      </c>
      <c r="AT66" s="985">
        <f t="shared" si="22"/>
        <v>2</v>
      </c>
      <c r="AU66" s="986">
        <f t="shared" si="7"/>
        <v>4715.84</v>
      </c>
      <c r="AV66" s="985">
        <f t="shared" si="23"/>
        <v>2</v>
      </c>
      <c r="AW66" s="986">
        <f t="shared" si="8"/>
        <v>4715.84</v>
      </c>
      <c r="AX66" s="1788"/>
    </row>
    <row r="67" spans="1:51">
      <c r="K67" s="712"/>
      <c r="L67" s="920"/>
      <c r="M67" s="932">
        <v>44</v>
      </c>
      <c r="N67" s="933" t="s">
        <v>1979</v>
      </c>
      <c r="O67" s="934">
        <v>182</v>
      </c>
      <c r="P67" s="934">
        <f t="shared" si="0"/>
        <v>2</v>
      </c>
      <c r="Q67" s="1036">
        <v>40</v>
      </c>
      <c r="R67" s="1038">
        <v>34</v>
      </c>
      <c r="S67" s="1040">
        <v>2</v>
      </c>
      <c r="T67" s="958">
        <f t="shared" si="1"/>
        <v>512</v>
      </c>
      <c r="U67" s="955">
        <f t="shared" si="2"/>
        <v>400</v>
      </c>
      <c r="V67" s="1043" t="s">
        <v>1943</v>
      </c>
      <c r="W67" s="977">
        <f t="shared" si="3"/>
        <v>1200</v>
      </c>
      <c r="X67" s="1045">
        <v>2</v>
      </c>
      <c r="Y67" s="986">
        <f t="shared" si="9"/>
        <v>1024</v>
      </c>
      <c r="Z67" s="987">
        <f t="shared" si="10"/>
        <v>3200</v>
      </c>
      <c r="AA67" s="1045">
        <v>2</v>
      </c>
      <c r="AB67" s="986">
        <f t="shared" si="11"/>
        <v>1024</v>
      </c>
      <c r="AC67" s="987">
        <f t="shared" si="12"/>
        <v>3200</v>
      </c>
      <c r="AD67" s="1045">
        <v>2</v>
      </c>
      <c r="AE67" s="986">
        <f t="shared" si="13"/>
        <v>1024</v>
      </c>
      <c r="AF67" s="987">
        <f t="shared" si="14"/>
        <v>3200</v>
      </c>
      <c r="AG67" s="1045">
        <v>2</v>
      </c>
      <c r="AH67" s="986">
        <f t="shared" si="15"/>
        <v>1024</v>
      </c>
      <c r="AI67" s="987">
        <f t="shared" si="16"/>
        <v>3200</v>
      </c>
      <c r="AJ67" s="1045">
        <v>2</v>
      </c>
      <c r="AK67" s="986">
        <f t="shared" si="17"/>
        <v>1024</v>
      </c>
      <c r="AL67" s="987">
        <f t="shared" si="18"/>
        <v>3200</v>
      </c>
      <c r="AN67" s="985">
        <f t="shared" si="19"/>
        <v>2</v>
      </c>
      <c r="AO67" s="986">
        <f t="shared" si="4"/>
        <v>4715.84</v>
      </c>
      <c r="AP67" s="985">
        <f t="shared" si="20"/>
        <v>2</v>
      </c>
      <c r="AQ67" s="986">
        <f t="shared" si="5"/>
        <v>4715.84</v>
      </c>
      <c r="AR67" s="985">
        <f t="shared" si="21"/>
        <v>2</v>
      </c>
      <c r="AS67" s="986">
        <f t="shared" si="6"/>
        <v>4715.84</v>
      </c>
      <c r="AT67" s="985">
        <f t="shared" si="22"/>
        <v>2</v>
      </c>
      <c r="AU67" s="986">
        <f t="shared" si="7"/>
        <v>4715.84</v>
      </c>
      <c r="AV67" s="985">
        <f t="shared" si="23"/>
        <v>2</v>
      </c>
      <c r="AW67" s="986">
        <f t="shared" si="8"/>
        <v>4715.84</v>
      </c>
      <c r="AX67" s="1788"/>
    </row>
    <row r="68" spans="1:51">
      <c r="K68" s="712"/>
      <c r="L68" s="920"/>
      <c r="M68" s="932">
        <v>45</v>
      </c>
      <c r="N68" s="933" t="s">
        <v>1980</v>
      </c>
      <c r="O68" s="934">
        <v>12</v>
      </c>
      <c r="P68" s="934">
        <f t="shared" si="0"/>
        <v>4</v>
      </c>
      <c r="Q68" s="1036">
        <v>0</v>
      </c>
      <c r="R68" s="1038"/>
      <c r="S68" s="1040">
        <v>2</v>
      </c>
      <c r="T68" s="958">
        <f t="shared" si="1"/>
        <v>48</v>
      </c>
      <c r="U68" s="955">
        <f t="shared" si="2"/>
        <v>0</v>
      </c>
      <c r="V68" s="1043"/>
      <c r="W68" s="977">
        <f t="shared" si="3"/>
        <v>0</v>
      </c>
      <c r="X68" s="1045">
        <v>2</v>
      </c>
      <c r="Y68" s="986">
        <f t="shared" si="9"/>
        <v>96</v>
      </c>
      <c r="Z68" s="987">
        <f t="shared" si="10"/>
        <v>0</v>
      </c>
      <c r="AA68" s="1045">
        <v>2</v>
      </c>
      <c r="AB68" s="986">
        <f t="shared" si="11"/>
        <v>96</v>
      </c>
      <c r="AC68" s="987">
        <f t="shared" si="12"/>
        <v>0</v>
      </c>
      <c r="AD68" s="1045">
        <v>2</v>
      </c>
      <c r="AE68" s="986">
        <f t="shared" si="13"/>
        <v>96</v>
      </c>
      <c r="AF68" s="987">
        <f t="shared" si="14"/>
        <v>0</v>
      </c>
      <c r="AG68" s="1045">
        <v>2</v>
      </c>
      <c r="AH68" s="986">
        <f t="shared" si="15"/>
        <v>96</v>
      </c>
      <c r="AI68" s="987">
        <f t="shared" si="16"/>
        <v>0</v>
      </c>
      <c r="AJ68" s="1045">
        <v>2</v>
      </c>
      <c r="AK68" s="986">
        <f t="shared" si="17"/>
        <v>96</v>
      </c>
      <c r="AL68" s="987">
        <f t="shared" si="18"/>
        <v>0</v>
      </c>
      <c r="AN68" s="985">
        <f t="shared" si="19"/>
        <v>2</v>
      </c>
      <c r="AO68" s="986">
        <f t="shared" si="4"/>
        <v>4715.84</v>
      </c>
      <c r="AP68" s="985">
        <f t="shared" si="20"/>
        <v>2</v>
      </c>
      <c r="AQ68" s="986">
        <f t="shared" si="5"/>
        <v>4715.84</v>
      </c>
      <c r="AR68" s="985">
        <f t="shared" si="21"/>
        <v>2</v>
      </c>
      <c r="AS68" s="986">
        <f t="shared" si="6"/>
        <v>4715.84</v>
      </c>
      <c r="AT68" s="985">
        <f t="shared" si="22"/>
        <v>2</v>
      </c>
      <c r="AU68" s="986">
        <f t="shared" si="7"/>
        <v>4715.84</v>
      </c>
      <c r="AV68" s="985">
        <f t="shared" si="23"/>
        <v>2</v>
      </c>
      <c r="AW68" s="986">
        <f t="shared" si="8"/>
        <v>4715.84</v>
      </c>
      <c r="AX68" s="1788"/>
    </row>
    <row r="69" spans="1:51" ht="16" thickBot="1">
      <c r="K69" s="712"/>
      <c r="L69" s="920"/>
      <c r="M69" s="932"/>
      <c r="N69" s="938" t="s">
        <v>97</v>
      </c>
      <c r="O69" s="929"/>
      <c r="P69" s="929"/>
      <c r="Q69" s="929"/>
      <c r="R69" s="929"/>
      <c r="S69" s="958"/>
      <c r="T69" s="958">
        <f>SUM(T25:T68)</f>
        <v>17222</v>
      </c>
      <c r="U69" s="955">
        <f t="shared" si="2"/>
        <v>0</v>
      </c>
      <c r="V69" s="939"/>
      <c r="W69" s="978">
        <f>SUM(W25:W68)</f>
        <v>14400</v>
      </c>
      <c r="X69" s="988">
        <f>SUM(X25:X68)</f>
        <v>88</v>
      </c>
      <c r="Y69" s="989">
        <f t="shared" ref="Y69:AL69" si="24">SUM(Y25:Y68)</f>
        <v>34444</v>
      </c>
      <c r="Z69" s="990">
        <f t="shared" si="24"/>
        <v>38400</v>
      </c>
      <c r="AA69" s="988">
        <f t="shared" si="24"/>
        <v>88</v>
      </c>
      <c r="AB69" s="989">
        <f t="shared" si="24"/>
        <v>34444</v>
      </c>
      <c r="AC69" s="990">
        <f t="shared" si="24"/>
        <v>38400</v>
      </c>
      <c r="AD69" s="988">
        <f t="shared" si="24"/>
        <v>88</v>
      </c>
      <c r="AE69" s="989">
        <f t="shared" si="24"/>
        <v>34444</v>
      </c>
      <c r="AF69" s="990">
        <f t="shared" si="24"/>
        <v>38400</v>
      </c>
      <c r="AG69" s="988">
        <f t="shared" si="24"/>
        <v>88</v>
      </c>
      <c r="AH69" s="989">
        <f t="shared" si="24"/>
        <v>34444</v>
      </c>
      <c r="AI69" s="990">
        <f t="shared" si="24"/>
        <v>38400</v>
      </c>
      <c r="AJ69" s="988">
        <f t="shared" si="24"/>
        <v>88</v>
      </c>
      <c r="AK69" s="989">
        <f t="shared" si="24"/>
        <v>34444</v>
      </c>
      <c r="AL69" s="990">
        <f t="shared" si="24"/>
        <v>38400</v>
      </c>
      <c r="AN69" s="988">
        <f>SUM(AN25:AN68)</f>
        <v>88</v>
      </c>
      <c r="AO69" s="989">
        <f t="shared" ref="AO69:AW69" si="25">SUM(AO25:AO68)</f>
        <v>207496.95999999988</v>
      </c>
      <c r="AP69" s="988">
        <f t="shared" si="25"/>
        <v>88</v>
      </c>
      <c r="AQ69" s="989">
        <f t="shared" si="25"/>
        <v>207496.95999999988</v>
      </c>
      <c r="AR69" s="988">
        <f t="shared" si="25"/>
        <v>88</v>
      </c>
      <c r="AS69" s="989">
        <f t="shared" si="25"/>
        <v>207496.95999999988</v>
      </c>
      <c r="AT69" s="988">
        <f t="shared" si="25"/>
        <v>88</v>
      </c>
      <c r="AU69" s="989">
        <f t="shared" si="25"/>
        <v>207496.95999999988</v>
      </c>
      <c r="AV69" s="988">
        <f t="shared" si="25"/>
        <v>88</v>
      </c>
      <c r="AW69" s="989">
        <f t="shared" si="25"/>
        <v>207496.95999999988</v>
      </c>
      <c r="AX69" s="1788"/>
    </row>
    <row r="70" spans="1:51" ht="16">
      <c r="K70" s="712"/>
      <c r="L70" s="940"/>
      <c r="M70" s="941"/>
      <c r="N70" s="940"/>
      <c r="O70" s="942"/>
      <c r="P70" s="942"/>
      <c r="Q70" s="942"/>
      <c r="R70" s="942"/>
      <c r="S70" s="942"/>
      <c r="T70" s="942"/>
      <c r="V70" s="942"/>
      <c r="W70" s="920"/>
      <c r="X70" s="920"/>
      <c r="Y70" s="920"/>
      <c r="Z70" s="920"/>
      <c r="AA70" s="920"/>
      <c r="AB70" s="920"/>
      <c r="AX70" s="1788"/>
    </row>
    <row r="71" spans="1:51" ht="17" thickBot="1">
      <c r="K71" s="712"/>
      <c r="L71" s="940"/>
      <c r="M71" s="941"/>
      <c r="N71" s="940"/>
      <c r="O71" s="942"/>
      <c r="P71" s="942"/>
      <c r="Q71" s="942"/>
      <c r="R71" s="942"/>
      <c r="S71" s="942"/>
      <c r="T71" s="942"/>
      <c r="V71" s="942"/>
      <c r="W71" s="920"/>
      <c r="X71" s="920"/>
      <c r="Y71" s="920"/>
      <c r="Z71" s="920"/>
      <c r="AA71" s="920"/>
      <c r="AB71" s="920"/>
      <c r="AX71" s="1788"/>
    </row>
    <row r="72" spans="1:51" s="857" customFormat="1" ht="17" thickBot="1">
      <c r="K72" s="991"/>
      <c r="L72" s="992"/>
      <c r="M72" s="993"/>
      <c r="N72" s="857" t="s">
        <v>97</v>
      </c>
      <c r="O72" s="995">
        <v>2021</v>
      </c>
      <c r="P72" s="995">
        <v>2022</v>
      </c>
      <c r="Q72" s="995">
        <v>2023</v>
      </c>
      <c r="R72" s="995">
        <v>2024</v>
      </c>
      <c r="S72" s="995">
        <v>2025</v>
      </c>
      <c r="T72" s="994"/>
      <c r="U72" s="733" t="s">
        <v>338</v>
      </c>
      <c r="V72" s="545"/>
      <c r="W72" s="545"/>
      <c r="X72" s="545"/>
      <c r="Y72" s="545"/>
      <c r="Z72" s="545"/>
      <c r="AA72" s="545" t="s">
        <v>351</v>
      </c>
      <c r="AB72" s="545"/>
      <c r="AC72" s="545"/>
      <c r="AD72" s="545"/>
      <c r="AE72" s="545"/>
      <c r="AX72" s="1790"/>
    </row>
    <row r="73" spans="1:51" ht="17" thickBot="1">
      <c r="K73" s="712"/>
      <c r="L73" s="940"/>
      <c r="M73" s="941"/>
      <c r="N73" s="964" t="s">
        <v>1981</v>
      </c>
      <c r="O73" s="972">
        <f>Y69</f>
        <v>34444</v>
      </c>
      <c r="P73" s="972">
        <f>AB69</f>
        <v>34444</v>
      </c>
      <c r="Q73" s="972">
        <f>AE69</f>
        <v>34444</v>
      </c>
      <c r="R73" s="972">
        <f>AH69</f>
        <v>34444</v>
      </c>
      <c r="S73" s="972">
        <f>AK69</f>
        <v>34444</v>
      </c>
      <c r="T73" s="942"/>
      <c r="U73" s="1046">
        <v>2021</v>
      </c>
      <c r="V73" s="1047">
        <v>2022</v>
      </c>
      <c r="W73" s="1047">
        <v>2023</v>
      </c>
      <c r="X73" s="1047">
        <v>2024</v>
      </c>
      <c r="Y73" s="1048">
        <v>2025</v>
      </c>
      <c r="Z73" s="563" t="s">
        <v>238</v>
      </c>
      <c r="AA73" s="1057">
        <v>2021</v>
      </c>
      <c r="AB73" s="1058">
        <v>2022</v>
      </c>
      <c r="AC73" s="1058">
        <v>2023</v>
      </c>
      <c r="AD73" s="1058">
        <v>2024</v>
      </c>
      <c r="AE73" s="1059">
        <v>2025</v>
      </c>
      <c r="AX73" s="1788"/>
    </row>
    <row r="74" spans="1:51" ht="32">
      <c r="K74" s="712"/>
      <c r="L74" s="940"/>
      <c r="M74" s="941"/>
      <c r="N74" s="963" t="s">
        <v>2028</v>
      </c>
      <c r="O74" s="972">
        <f>O73/100*$O$10</f>
        <v>6148.2540000000008</v>
      </c>
      <c r="P74" s="972">
        <f>P73/100*$O$10</f>
        <v>6148.2540000000008</v>
      </c>
      <c r="Q74" s="972">
        <f>Q73/100*$O$10</f>
        <v>6148.2540000000008</v>
      </c>
      <c r="R74" s="972">
        <f>R73/100*$O$10</f>
        <v>6148.2540000000008</v>
      </c>
      <c r="S74" s="972">
        <f>S73/100*$O$10</f>
        <v>6148.2540000000008</v>
      </c>
      <c r="T74" s="942"/>
      <c r="U74" s="1049"/>
      <c r="V74" s="960"/>
      <c r="W74" s="960"/>
      <c r="X74" s="960"/>
      <c r="Y74" s="62"/>
      <c r="AA74" s="1049"/>
      <c r="AB74" s="960"/>
      <c r="AC74" s="960"/>
      <c r="AD74" s="960"/>
      <c r="AE74" s="62"/>
      <c r="AX74" s="1788"/>
    </row>
    <row r="75" spans="1:51" ht="32">
      <c r="K75" s="712"/>
      <c r="L75" s="940"/>
      <c r="M75" s="941"/>
      <c r="N75" s="963" t="s">
        <v>2027</v>
      </c>
      <c r="O75" s="972">
        <f>ROUND(O74*$O$10,2)</f>
        <v>109746.33</v>
      </c>
      <c r="P75" s="972">
        <f>ROUND(P74*$O$10,2)</f>
        <v>109746.33</v>
      </c>
      <c r="Q75" s="972">
        <f>ROUND(Q74*$O$10,2)</f>
        <v>109746.33</v>
      </c>
      <c r="R75" s="972">
        <f>ROUND(R74*$O$10,2)</f>
        <v>109746.33</v>
      </c>
      <c r="S75" s="972">
        <f>ROUND(S74*$O$10,2)</f>
        <v>109746.33</v>
      </c>
      <c r="T75" s="942"/>
      <c r="U75" s="1049"/>
      <c r="V75" s="1050"/>
      <c r="W75" s="1051"/>
      <c r="X75" s="1051"/>
      <c r="Y75" s="1052"/>
      <c r="Z75" s="920"/>
      <c r="AA75" s="1060"/>
      <c r="AB75" s="1051"/>
      <c r="AC75" s="960"/>
      <c r="AD75" s="960"/>
      <c r="AE75" s="62"/>
      <c r="AX75" s="1788"/>
    </row>
    <row r="76" spans="1:51" ht="32">
      <c r="K76" s="712"/>
      <c r="L76" s="940"/>
      <c r="M76" s="941"/>
      <c r="N76" s="963" t="s">
        <v>2029</v>
      </c>
      <c r="O76" s="972">
        <f>O73/10000*$O$11</f>
        <v>17.222000000000001</v>
      </c>
      <c r="P76" s="972">
        <f>P73/10000*$O$11</f>
        <v>17.222000000000001</v>
      </c>
      <c r="Q76" s="972">
        <f>Q73/10000*$O$11</f>
        <v>17.222000000000001</v>
      </c>
      <c r="R76" s="972">
        <f>R73/10000*$O$11</f>
        <v>17.222000000000001</v>
      </c>
      <c r="S76" s="972">
        <f>S73/10000*$O$11</f>
        <v>17.222000000000001</v>
      </c>
      <c r="T76" s="942"/>
      <c r="U76" s="1049"/>
      <c r="V76" s="1050"/>
      <c r="W76" s="1051"/>
      <c r="X76" s="1051"/>
      <c r="Y76" s="1052"/>
      <c r="Z76" s="920"/>
      <c r="AA76" s="1571"/>
      <c r="AB76" s="1572"/>
      <c r="AC76" s="1573"/>
      <c r="AD76" s="1573"/>
      <c r="AE76" s="1574"/>
      <c r="AF76" s="1575"/>
      <c r="AX76" s="1788"/>
    </row>
    <row r="77" spans="1:51" ht="32">
      <c r="K77" s="712"/>
      <c r="L77" s="940"/>
      <c r="M77" s="941"/>
      <c r="N77" s="963" t="s">
        <v>2030</v>
      </c>
      <c r="O77" s="972">
        <f>O76*$O$12</f>
        <v>2066.6400000000003</v>
      </c>
      <c r="P77" s="972">
        <f>P76*$O$12</f>
        <v>2066.6400000000003</v>
      </c>
      <c r="Q77" s="972">
        <f>Q76*$O$12</f>
        <v>2066.6400000000003</v>
      </c>
      <c r="R77" s="972">
        <f>R76*$O$12</f>
        <v>2066.6400000000003</v>
      </c>
      <c r="S77" s="972">
        <f>S76*$O$12</f>
        <v>2066.6400000000003</v>
      </c>
      <c r="U77" s="1053"/>
      <c r="V77" s="1054"/>
      <c r="W77" s="1055"/>
      <c r="X77" s="1055"/>
      <c r="Y77" s="1056"/>
      <c r="Z77" s="962"/>
      <c r="AA77" s="1061"/>
      <c r="AB77" s="1055"/>
      <c r="AC77" s="1576"/>
      <c r="AD77" s="1576"/>
      <c r="AE77" s="1577"/>
      <c r="AF77" s="1575"/>
      <c r="AX77" s="1788"/>
    </row>
    <row r="78" spans="1:51" ht="32">
      <c r="K78" s="712"/>
      <c r="L78" s="940"/>
      <c r="M78" s="941"/>
      <c r="N78" s="963" t="s">
        <v>2032</v>
      </c>
      <c r="O78" s="972">
        <f>O73/10000*$O$13</f>
        <v>13088.72</v>
      </c>
      <c r="P78" s="972">
        <f>P73/10000*$O$13</f>
        <v>13088.72</v>
      </c>
      <c r="Q78" s="972">
        <f>Q73/10000*$O$13</f>
        <v>13088.72</v>
      </c>
      <c r="R78" s="972">
        <f>R73/10000*$O$13</f>
        <v>13088.72</v>
      </c>
      <c r="S78" s="972">
        <f>S73/10000*$O$13</f>
        <v>13088.72</v>
      </c>
      <c r="U78" s="1062">
        <f>100%-AA78</f>
        <v>0.5</v>
      </c>
      <c r="V78" s="997">
        <f t="shared" ref="V78:Y78" si="26">100%-AB78</f>
        <v>0.55000000000000004</v>
      </c>
      <c r="W78" s="997">
        <f t="shared" si="26"/>
        <v>0.6</v>
      </c>
      <c r="X78" s="997">
        <f t="shared" si="26"/>
        <v>1</v>
      </c>
      <c r="Y78" s="1063">
        <f t="shared" si="26"/>
        <v>1</v>
      </c>
      <c r="Z78" s="996" t="s">
        <v>238</v>
      </c>
      <c r="AA78" s="1578">
        <v>0.5</v>
      </c>
      <c r="AB78" s="1579">
        <v>0.44999999999999996</v>
      </c>
      <c r="AC78" s="1579">
        <v>0.4</v>
      </c>
      <c r="AD78" s="997">
        <v>0</v>
      </c>
      <c r="AE78" s="1063">
        <v>0</v>
      </c>
      <c r="AF78" s="1575"/>
      <c r="AX78" s="1788"/>
    </row>
    <row r="79" spans="1:51" s="857" customFormat="1" ht="17" thickBot="1">
      <c r="K79" s="712"/>
      <c r="L79" s="992"/>
      <c r="M79" s="993"/>
      <c r="N79" s="940" t="s">
        <v>1887</v>
      </c>
      <c r="O79" s="995">
        <f>O75+O77+O78</f>
        <v>124901.69</v>
      </c>
      <c r="P79" s="995">
        <f t="shared" ref="P79:S79" si="27">P75+P77+P78</f>
        <v>124901.69</v>
      </c>
      <c r="Q79" s="995">
        <f t="shared" si="27"/>
        <v>124901.69</v>
      </c>
      <c r="R79" s="995">
        <f t="shared" si="27"/>
        <v>124901.69</v>
      </c>
      <c r="S79" s="995">
        <f t="shared" si="27"/>
        <v>124901.69</v>
      </c>
      <c r="T79"/>
      <c r="U79" s="1787">
        <f>ROUND(O79*U78,2)</f>
        <v>62450.85</v>
      </c>
      <c r="V79" s="1787">
        <f t="shared" ref="V79:Y79" si="28">ROUND(P79*V78,2)</f>
        <v>68695.929999999993</v>
      </c>
      <c r="W79" s="1787">
        <f t="shared" si="28"/>
        <v>74941.009999999995</v>
      </c>
      <c r="X79" s="1787">
        <f t="shared" si="28"/>
        <v>124901.69</v>
      </c>
      <c r="Y79" s="1787">
        <f t="shared" si="28"/>
        <v>124901.69</v>
      </c>
      <c r="Z79" s="962"/>
      <c r="AA79" s="1787">
        <f>ROUND(O79*AA78,2)</f>
        <v>62450.85</v>
      </c>
      <c r="AB79" s="1787">
        <f t="shared" ref="AB79:AE79" si="29">ROUND(P79*AB78,2)</f>
        <v>56205.760000000002</v>
      </c>
      <c r="AC79" s="1787">
        <f t="shared" si="29"/>
        <v>49960.68</v>
      </c>
      <c r="AD79" s="1787">
        <f t="shared" si="29"/>
        <v>0</v>
      </c>
      <c r="AE79" s="1787">
        <f t="shared" si="29"/>
        <v>0</v>
      </c>
      <c r="AF79" s="1575"/>
      <c r="AX79" s="1790"/>
      <c r="AY79" s="1791">
        <f>SUM(U79:AE79)</f>
        <v>624508.46</v>
      </c>
    </row>
    <row r="80" spans="1:51" ht="17" thickBot="1">
      <c r="A80" s="730">
        <v>51</v>
      </c>
      <c r="B80" s="733">
        <f>U79</f>
        <v>62450.85</v>
      </c>
      <c r="C80" s="733">
        <f t="shared" ref="C80:F80" si="30">V79</f>
        <v>68695.929999999993</v>
      </c>
      <c r="D80" s="733">
        <f t="shared" si="30"/>
        <v>74941.009999999995</v>
      </c>
      <c r="E80" s="733">
        <f t="shared" si="30"/>
        <v>124901.69</v>
      </c>
      <c r="F80" s="733">
        <f t="shared" si="30"/>
        <v>124901.69</v>
      </c>
      <c r="G80" s="733" t="s">
        <v>338</v>
      </c>
      <c r="H80" s="842" t="s">
        <v>3101</v>
      </c>
      <c r="I80" s="843"/>
      <c r="J80" s="841" t="s">
        <v>3129</v>
      </c>
      <c r="K80" s="712"/>
      <c r="L80" s="940"/>
      <c r="M80" s="941"/>
      <c r="N80" s="940"/>
      <c r="O80" s="942"/>
      <c r="P80" s="942"/>
      <c r="Q80" s="942"/>
      <c r="R80" s="942"/>
      <c r="S80" s="942"/>
      <c r="U80" s="1062">
        <f>100%-AA80</f>
        <v>0.5</v>
      </c>
      <c r="V80" s="997">
        <f t="shared" ref="V80" si="31">100%-AB80</f>
        <v>0.55000000000000004</v>
      </c>
      <c r="W80" s="997">
        <f t="shared" ref="W80" si="32">100%-AC80</f>
        <v>0.6</v>
      </c>
      <c r="X80" s="997">
        <f t="shared" ref="X80" si="33">100%-AD80</f>
        <v>1</v>
      </c>
      <c r="Y80" s="1063">
        <f t="shared" ref="Y80" si="34">100%-AE80</f>
        <v>1</v>
      </c>
      <c r="Z80" s="996" t="s">
        <v>238</v>
      </c>
      <c r="AA80" s="1578">
        <v>0.5</v>
      </c>
      <c r="AB80" s="1579">
        <v>0.44999999999999996</v>
      </c>
      <c r="AC80" s="1579">
        <v>0.4</v>
      </c>
      <c r="AD80" s="997">
        <v>0</v>
      </c>
      <c r="AE80" s="1063">
        <v>0</v>
      </c>
      <c r="AF80" s="1575"/>
      <c r="AX80" s="1788"/>
      <c r="AY80" s="1791"/>
    </row>
    <row r="81" spans="1:51" ht="17" thickBot="1">
      <c r="A81" s="730">
        <v>52</v>
      </c>
      <c r="B81" s="733">
        <f>AA79</f>
        <v>62450.85</v>
      </c>
      <c r="C81" s="733">
        <f t="shared" ref="C81:F81" si="35">AB79</f>
        <v>56205.760000000002</v>
      </c>
      <c r="D81" s="733">
        <f t="shared" si="35"/>
        <v>49960.68</v>
      </c>
      <c r="E81" s="733">
        <f t="shared" si="35"/>
        <v>0</v>
      </c>
      <c r="F81" s="733">
        <f t="shared" si="35"/>
        <v>0</v>
      </c>
      <c r="G81" s="733" t="s">
        <v>351</v>
      </c>
      <c r="H81" s="842" t="s">
        <v>3101</v>
      </c>
      <c r="I81" s="843"/>
      <c r="J81" s="841" t="s">
        <v>3129</v>
      </c>
      <c r="K81" s="712"/>
      <c r="L81" s="940"/>
      <c r="M81" s="941"/>
      <c r="N81" s="963" t="s">
        <v>2031</v>
      </c>
      <c r="O81" s="946">
        <f>Z69</f>
        <v>38400</v>
      </c>
      <c r="P81" s="946">
        <f>AC69</f>
        <v>38400</v>
      </c>
      <c r="Q81" s="946">
        <f>AF69</f>
        <v>38400</v>
      </c>
      <c r="R81" s="946">
        <f>AI69</f>
        <v>38400</v>
      </c>
      <c r="S81" s="946">
        <f>AL69</f>
        <v>38400</v>
      </c>
      <c r="U81" s="1787">
        <f>ROUND(O81*U80,2)</f>
        <v>19200</v>
      </c>
      <c r="V81" s="1787">
        <f t="shared" ref="V81:Y81" si="36">ROUND(P81*V80,2)</f>
        <v>21120</v>
      </c>
      <c r="W81" s="1787">
        <f t="shared" si="36"/>
        <v>23040</v>
      </c>
      <c r="X81" s="1787">
        <f t="shared" si="36"/>
        <v>38400</v>
      </c>
      <c r="Y81" s="1787">
        <f t="shared" si="36"/>
        <v>38400</v>
      </c>
      <c r="Z81" s="734"/>
      <c r="AA81" s="1787">
        <f>ROUND(O81*AA80,2)</f>
        <v>19200</v>
      </c>
      <c r="AB81" s="1787">
        <f t="shared" ref="AB81:AE81" si="37">ROUND(P81*AB80,2)</f>
        <v>17280</v>
      </c>
      <c r="AC81" s="1787">
        <f t="shared" si="37"/>
        <v>15360</v>
      </c>
      <c r="AD81" s="1787">
        <f t="shared" si="37"/>
        <v>0</v>
      </c>
      <c r="AE81" s="1787">
        <f t="shared" si="37"/>
        <v>0</v>
      </c>
      <c r="AF81" s="1575"/>
      <c r="AX81" s="1788"/>
      <c r="AY81" s="1791">
        <f>SUM(U81:AE81)</f>
        <v>192000</v>
      </c>
    </row>
    <row r="82" spans="1:51" ht="17" thickBot="1">
      <c r="A82" s="730">
        <v>53</v>
      </c>
      <c r="B82" s="733">
        <f>U81</f>
        <v>19200</v>
      </c>
      <c r="C82" s="733">
        <f t="shared" ref="C82:F82" si="38">V81</f>
        <v>21120</v>
      </c>
      <c r="D82" s="733">
        <f t="shared" si="38"/>
        <v>23040</v>
      </c>
      <c r="E82" s="733">
        <f t="shared" si="38"/>
        <v>38400</v>
      </c>
      <c r="F82" s="733">
        <f t="shared" si="38"/>
        <v>38400</v>
      </c>
      <c r="G82" s="733" t="s">
        <v>338</v>
      </c>
      <c r="H82" s="842" t="s">
        <v>3102</v>
      </c>
      <c r="I82" s="843"/>
      <c r="J82" s="841" t="s">
        <v>3129</v>
      </c>
      <c r="K82" s="712"/>
      <c r="L82" s="940"/>
      <c r="M82" s="941"/>
      <c r="N82" s="940" t="s">
        <v>1887</v>
      </c>
      <c r="O82" s="995">
        <f>O81+O79</f>
        <v>163301.69</v>
      </c>
      <c r="P82" s="995">
        <f t="shared" ref="P82:S82" si="39">P81+P79</f>
        <v>163301.69</v>
      </c>
      <c r="Q82" s="995">
        <f t="shared" si="39"/>
        <v>163301.69</v>
      </c>
      <c r="R82" s="995">
        <f t="shared" si="39"/>
        <v>163301.69</v>
      </c>
      <c r="S82" s="995">
        <f t="shared" si="39"/>
        <v>163301.69</v>
      </c>
      <c r="U82" s="1793">
        <f>U79+U81</f>
        <v>81650.850000000006</v>
      </c>
      <c r="V82" s="1793">
        <f>V79+V81</f>
        <v>89815.93</v>
      </c>
      <c r="W82" s="1793">
        <f t="shared" ref="W82:Y82" si="40">W79+W81</f>
        <v>97981.01</v>
      </c>
      <c r="X82" s="1793">
        <f t="shared" si="40"/>
        <v>163301.69</v>
      </c>
      <c r="Y82" s="1793">
        <f t="shared" si="40"/>
        <v>163301.69</v>
      </c>
      <c r="Z82" s="1794"/>
      <c r="AA82" s="1793">
        <f>AA79+AA81</f>
        <v>81650.850000000006</v>
      </c>
      <c r="AB82" s="1793">
        <f t="shared" ref="AB82:AE82" si="41">AB79+AB81</f>
        <v>73485.760000000009</v>
      </c>
      <c r="AC82" s="1793">
        <f t="shared" si="41"/>
        <v>65320.68</v>
      </c>
      <c r="AD82" s="1793">
        <f t="shared" si="41"/>
        <v>0</v>
      </c>
      <c r="AE82" s="1793">
        <f t="shared" si="41"/>
        <v>0</v>
      </c>
      <c r="AF82" s="1580"/>
      <c r="AX82" s="1788"/>
      <c r="AY82" s="1791"/>
    </row>
    <row r="83" spans="1:51" ht="17" thickBot="1">
      <c r="A83" s="730">
        <v>54</v>
      </c>
      <c r="B83" s="733">
        <f>AA81</f>
        <v>19200</v>
      </c>
      <c r="C83" s="733">
        <f>AB81</f>
        <v>17280</v>
      </c>
      <c r="D83" s="733">
        <f>AC81</f>
        <v>15360</v>
      </c>
      <c r="E83" s="733">
        <f>AD81</f>
        <v>0</v>
      </c>
      <c r="F83" s="733">
        <f>AE81</f>
        <v>0</v>
      </c>
      <c r="G83" s="733" t="s">
        <v>351</v>
      </c>
      <c r="H83" s="842" t="s">
        <v>3102</v>
      </c>
      <c r="I83" s="843"/>
      <c r="J83" s="841" t="s">
        <v>3129</v>
      </c>
      <c r="K83" s="712"/>
      <c r="L83" s="940"/>
      <c r="M83" s="941"/>
      <c r="N83" s="940"/>
      <c r="O83" s="995"/>
      <c r="P83" s="995"/>
      <c r="Q83" s="995"/>
      <c r="R83" s="995"/>
      <c r="S83" s="995"/>
      <c r="U83" s="1795"/>
      <c r="V83" s="1795"/>
      <c r="W83" s="1795"/>
      <c r="X83" s="1795"/>
      <c r="Y83" s="1795"/>
      <c r="Z83" s="1794"/>
      <c r="AA83" s="1796"/>
      <c r="AB83" s="1796"/>
      <c r="AC83" s="1796"/>
      <c r="AD83" s="1796"/>
      <c r="AE83" s="1796"/>
      <c r="AF83" s="1580"/>
      <c r="AX83" s="1788"/>
    </row>
    <row r="84" spans="1:51" ht="17" thickBot="1">
      <c r="K84" s="712"/>
      <c r="L84" s="940"/>
      <c r="M84" s="941"/>
      <c r="N84" s="946" t="s">
        <v>2454</v>
      </c>
      <c r="O84" s="946">
        <f>AO69</f>
        <v>207496.95999999988</v>
      </c>
      <c r="P84" s="946">
        <f>AQ69</f>
        <v>207496.95999999988</v>
      </c>
      <c r="Q84" s="946">
        <f>AS69</f>
        <v>207496.95999999988</v>
      </c>
      <c r="R84" s="946">
        <f>AU69</f>
        <v>207496.95999999988</v>
      </c>
      <c r="S84" s="946">
        <f>AW69</f>
        <v>207496.95999999988</v>
      </c>
      <c r="U84" s="1783">
        <f>100%-AA84</f>
        <v>0</v>
      </c>
      <c r="V84" s="1784">
        <f t="shared" ref="V84" si="42">100%-AB84</f>
        <v>0</v>
      </c>
      <c r="W84" s="1784">
        <f t="shared" ref="W84" si="43">100%-AC84</f>
        <v>0</v>
      </c>
      <c r="X84" s="1785">
        <f t="shared" ref="X84" si="44">100%-AD84</f>
        <v>1</v>
      </c>
      <c r="Y84" s="1786">
        <f t="shared" ref="Y84" si="45">100%-AE84</f>
        <v>1</v>
      </c>
      <c r="Z84" s="996" t="s">
        <v>238</v>
      </c>
      <c r="AA84" s="1578">
        <v>1</v>
      </c>
      <c r="AB84" s="1579">
        <v>1</v>
      </c>
      <c r="AC84" s="1579">
        <v>1</v>
      </c>
      <c r="AD84" s="997">
        <v>0</v>
      </c>
      <c r="AE84" s="1063">
        <v>0</v>
      </c>
      <c r="AF84" s="1575"/>
      <c r="AX84" s="1788"/>
    </row>
    <row r="85" spans="1:51" ht="17" thickBot="1">
      <c r="A85" s="730">
        <v>55</v>
      </c>
      <c r="B85" s="733">
        <f>U85</f>
        <v>0</v>
      </c>
      <c r="C85" s="733">
        <f t="shared" ref="C85:F85" si="46">V85</f>
        <v>0</v>
      </c>
      <c r="D85" s="733">
        <f t="shared" si="46"/>
        <v>0</v>
      </c>
      <c r="E85" s="733">
        <f t="shared" si="46"/>
        <v>207496.95999999988</v>
      </c>
      <c r="F85" s="733">
        <f t="shared" si="46"/>
        <v>207496.95999999988</v>
      </c>
      <c r="G85" s="733" t="s">
        <v>338</v>
      </c>
      <c r="H85" s="842" t="s">
        <v>3102</v>
      </c>
      <c r="I85" s="843"/>
      <c r="J85" s="841" t="s">
        <v>3129</v>
      </c>
      <c r="K85" s="712"/>
      <c r="L85" s="940"/>
      <c r="M85" s="941"/>
      <c r="N85" s="940"/>
      <c r="O85" s="942"/>
      <c r="P85" s="942"/>
      <c r="Q85" s="942"/>
      <c r="R85" s="942"/>
      <c r="S85" s="942"/>
      <c r="T85" s="942"/>
      <c r="U85" s="1787">
        <f>U84*O84</f>
        <v>0</v>
      </c>
      <c r="V85" s="1787">
        <f t="shared" ref="V85:Y85" si="47">V84*P84</f>
        <v>0</v>
      </c>
      <c r="W85" s="1787">
        <f t="shared" si="47"/>
        <v>0</v>
      </c>
      <c r="X85" s="1787">
        <f t="shared" si="47"/>
        <v>207496.95999999988</v>
      </c>
      <c r="Y85" s="1787">
        <f t="shared" si="47"/>
        <v>207496.95999999988</v>
      </c>
      <c r="AA85" s="1787">
        <f>AA84*O84</f>
        <v>207496.95999999988</v>
      </c>
      <c r="AB85" s="1787">
        <f t="shared" ref="AB85:AE85" si="48">AB84*P84</f>
        <v>207496.95999999988</v>
      </c>
      <c r="AC85" s="1787">
        <f t="shared" si="48"/>
        <v>207496.95999999988</v>
      </c>
      <c r="AD85" s="1787">
        <f t="shared" si="48"/>
        <v>0</v>
      </c>
      <c r="AE85" s="1787">
        <f t="shared" si="48"/>
        <v>0</v>
      </c>
      <c r="AF85" s="1580"/>
      <c r="AX85" s="1788"/>
      <c r="AY85" s="1791">
        <f>SUM(U85:AE85)</f>
        <v>1037484.7999999993</v>
      </c>
    </row>
    <row r="86" spans="1:51" ht="17" thickBot="1">
      <c r="A86" s="730">
        <v>56</v>
      </c>
      <c r="B86" s="733">
        <f>AA85</f>
        <v>207496.95999999988</v>
      </c>
      <c r="C86" s="733">
        <f t="shared" ref="C86:F86" si="49">AB85</f>
        <v>207496.95999999988</v>
      </c>
      <c r="D86" s="733">
        <f t="shared" si="49"/>
        <v>207496.95999999988</v>
      </c>
      <c r="E86" s="733">
        <f t="shared" si="49"/>
        <v>0</v>
      </c>
      <c r="F86" s="733">
        <f t="shared" si="49"/>
        <v>0</v>
      </c>
      <c r="G86" s="733" t="s">
        <v>351</v>
      </c>
      <c r="H86" s="842" t="s">
        <v>3102</v>
      </c>
      <c r="I86" s="843"/>
      <c r="J86" s="841" t="s">
        <v>3129</v>
      </c>
      <c r="K86" s="712"/>
      <c r="L86" s="940"/>
      <c r="M86" s="941"/>
      <c r="N86" s="940"/>
      <c r="O86" s="942"/>
      <c r="P86" s="942"/>
      <c r="Q86" s="942"/>
      <c r="R86" s="942"/>
      <c r="S86" s="942"/>
      <c r="T86" s="942"/>
      <c r="V86" s="942"/>
      <c r="W86" s="920"/>
      <c r="X86" s="920"/>
      <c r="Y86" s="920"/>
      <c r="Z86" s="920"/>
      <c r="AA86" s="1581"/>
      <c r="AB86" s="1581"/>
      <c r="AC86" s="1575"/>
      <c r="AD86" s="1575"/>
      <c r="AE86" s="1575"/>
      <c r="AF86" s="1575"/>
      <c r="AX86" s="1788"/>
    </row>
    <row r="87" spans="1:51" ht="16">
      <c r="K87" s="712"/>
      <c r="L87" s="940"/>
      <c r="M87" s="940" t="s">
        <v>2159</v>
      </c>
      <c r="O87" s="942"/>
      <c r="P87" s="942"/>
      <c r="Q87" s="942"/>
      <c r="R87" s="942"/>
      <c r="S87" s="942"/>
      <c r="T87" s="942"/>
      <c r="V87" s="942"/>
      <c r="W87" s="920"/>
      <c r="X87" s="920"/>
      <c r="Y87" s="920"/>
      <c r="Z87" s="920"/>
      <c r="AA87" s="1581"/>
      <c r="AB87" s="1581"/>
      <c r="AC87" s="1575"/>
      <c r="AD87" s="1575"/>
      <c r="AE87" s="1575"/>
      <c r="AF87" s="1575"/>
      <c r="AX87" s="1788"/>
    </row>
    <row r="88" spans="1:51">
      <c r="K88" s="712"/>
      <c r="L88" s="920"/>
      <c r="M88" s="943" t="s">
        <v>2160</v>
      </c>
      <c r="O88" s="923"/>
      <c r="P88" s="923"/>
      <c r="Q88" s="923"/>
      <c r="R88" s="923"/>
      <c r="S88" s="923"/>
      <c r="T88" s="923"/>
      <c r="V88" s="923"/>
      <c r="W88" s="920"/>
      <c r="X88" s="920"/>
      <c r="Y88" s="920"/>
      <c r="Z88" s="923"/>
      <c r="AA88" s="923"/>
      <c r="AB88" s="923"/>
      <c r="AX88" s="1788"/>
    </row>
    <row r="89" spans="1:51" ht="16" thickBot="1">
      <c r="K89" s="712"/>
      <c r="L89" s="920"/>
      <c r="M89" s="926"/>
      <c r="N89" s="944"/>
      <c r="O89" s="923"/>
      <c r="P89" s="923"/>
      <c r="Q89" s="923"/>
      <c r="R89" s="923"/>
      <c r="S89" s="923"/>
      <c r="T89" s="923"/>
      <c r="V89" s="923"/>
      <c r="W89" s="920"/>
      <c r="X89" s="920"/>
      <c r="Y89" s="920"/>
      <c r="Z89" s="923"/>
      <c r="AA89" s="923"/>
      <c r="AB89" s="923"/>
      <c r="AN89" t="s">
        <v>2452</v>
      </c>
      <c r="AX89" s="1788"/>
    </row>
    <row r="90" spans="1:51">
      <c r="K90" s="712"/>
      <c r="L90" s="920"/>
      <c r="M90" s="926"/>
      <c r="N90" s="920"/>
      <c r="O90" s="923"/>
      <c r="P90" s="923"/>
      <c r="Q90" s="952"/>
      <c r="R90" s="923"/>
      <c r="S90" s="923"/>
      <c r="T90" s="923"/>
      <c r="V90" s="923"/>
      <c r="W90" s="920"/>
      <c r="X90" s="979">
        <v>2021</v>
      </c>
      <c r="Y90" s="980"/>
      <c r="Z90" s="981"/>
      <c r="AA90" s="979">
        <v>2022</v>
      </c>
      <c r="AB90" s="980"/>
      <c r="AC90" s="981"/>
      <c r="AD90" s="979">
        <v>2023</v>
      </c>
      <c r="AE90" s="980"/>
      <c r="AF90" s="981"/>
      <c r="AG90" s="979">
        <v>2024</v>
      </c>
      <c r="AH90" s="980"/>
      <c r="AI90" s="981"/>
      <c r="AJ90" s="979">
        <v>2025</v>
      </c>
      <c r="AK90" s="980"/>
      <c r="AL90" s="981"/>
      <c r="AN90" s="979">
        <v>2021</v>
      </c>
      <c r="AO90" s="980"/>
      <c r="AP90" s="979">
        <v>2022</v>
      </c>
      <c r="AQ90" s="980"/>
      <c r="AR90" s="979">
        <v>2023</v>
      </c>
      <c r="AS90" s="980"/>
      <c r="AT90" s="979">
        <v>2024</v>
      </c>
      <c r="AU90" s="980"/>
      <c r="AV90" s="979">
        <v>2025</v>
      </c>
      <c r="AW90" s="980"/>
      <c r="AX90" s="1788"/>
    </row>
    <row r="91" spans="1:51" ht="78">
      <c r="K91" s="712"/>
      <c r="L91" s="920"/>
      <c r="M91" s="926"/>
      <c r="N91" s="931" t="s">
        <v>1933</v>
      </c>
      <c r="O91" s="1588" t="s">
        <v>2165</v>
      </c>
      <c r="P91" s="953" t="s">
        <v>2009</v>
      </c>
      <c r="Q91" s="950" t="s">
        <v>2011</v>
      </c>
      <c r="R91" s="950" t="s">
        <v>2156</v>
      </c>
      <c r="S91" s="974" t="s">
        <v>2021</v>
      </c>
      <c r="T91" s="953" t="s">
        <v>2007</v>
      </c>
      <c r="U91" s="954" t="s">
        <v>2012</v>
      </c>
      <c r="V91" s="951" t="s">
        <v>2024</v>
      </c>
      <c r="W91" s="975" t="s">
        <v>2023</v>
      </c>
      <c r="X91" s="982" t="s">
        <v>2022</v>
      </c>
      <c r="Y91" s="983" t="s">
        <v>1981</v>
      </c>
      <c r="Z91" s="984" t="s">
        <v>2025</v>
      </c>
      <c r="AA91" s="982" t="s">
        <v>2022</v>
      </c>
      <c r="AB91" s="983" t="s">
        <v>1981</v>
      </c>
      <c r="AC91" s="984" t="s">
        <v>2025</v>
      </c>
      <c r="AD91" s="982" t="s">
        <v>2022</v>
      </c>
      <c r="AE91" s="983" t="s">
        <v>1981</v>
      </c>
      <c r="AF91" s="984" t="s">
        <v>2025</v>
      </c>
      <c r="AG91" s="982" t="s">
        <v>2022</v>
      </c>
      <c r="AH91" s="983" t="s">
        <v>1981</v>
      </c>
      <c r="AI91" s="984" t="s">
        <v>2025</v>
      </c>
      <c r="AJ91" s="982" t="s">
        <v>2022</v>
      </c>
      <c r="AK91" s="983" t="s">
        <v>1981</v>
      </c>
      <c r="AL91" s="984" t="s">
        <v>2025</v>
      </c>
      <c r="AN91" s="982" t="s">
        <v>2022</v>
      </c>
      <c r="AO91" s="983" t="s">
        <v>3094</v>
      </c>
      <c r="AP91" s="982" t="s">
        <v>2022</v>
      </c>
      <c r="AQ91" s="983" t="s">
        <v>3094</v>
      </c>
      <c r="AR91" s="982" t="s">
        <v>2022</v>
      </c>
      <c r="AS91" s="983" t="s">
        <v>3094</v>
      </c>
      <c r="AT91" s="982" t="s">
        <v>2022</v>
      </c>
      <c r="AU91" s="983" t="s">
        <v>3094</v>
      </c>
      <c r="AV91" s="982" t="s">
        <v>2022</v>
      </c>
      <c r="AW91" s="983" t="s">
        <v>3094</v>
      </c>
      <c r="AX91" s="1788"/>
    </row>
    <row r="92" spans="1:51">
      <c r="K92" s="712"/>
      <c r="L92" s="920"/>
      <c r="M92" s="932">
        <v>1</v>
      </c>
      <c r="N92" s="933" t="s">
        <v>1982</v>
      </c>
      <c r="O92" s="1036"/>
      <c r="P92" s="1036">
        <f>IF(V92="*",2,4)</f>
        <v>4</v>
      </c>
      <c r="Q92" s="1036">
        <v>40</v>
      </c>
      <c r="R92" s="935"/>
      <c r="S92" s="1040">
        <v>2</v>
      </c>
      <c r="T92" s="958">
        <f t="shared" ref="T92" si="50">(O92*P92)+(Q92*S92)+(R92*P92)</f>
        <v>80</v>
      </c>
      <c r="U92" s="955">
        <f t="shared" ref="U92:U101" si="51">IF(V92="*",$O$14*$O$8,0)</f>
        <v>0</v>
      </c>
      <c r="V92" s="956"/>
      <c r="W92" s="977">
        <f t="shared" ref="W92:W101" si="52">IF(V92="*",$O$7*$O$14,0)</f>
        <v>0</v>
      </c>
      <c r="X92" s="1045">
        <v>2</v>
      </c>
      <c r="Y92" s="986">
        <f>$T92*X92</f>
        <v>160</v>
      </c>
      <c r="Z92" s="987">
        <f>($U92+$W92)*X92</f>
        <v>0</v>
      </c>
      <c r="AA92" s="1045">
        <v>2</v>
      </c>
      <c r="AB92" s="986">
        <f>$T92*AA92</f>
        <v>160</v>
      </c>
      <c r="AC92" s="987">
        <f>($U92+$W92)*AA92</f>
        <v>0</v>
      </c>
      <c r="AD92" s="1045">
        <v>2</v>
      </c>
      <c r="AE92" s="986">
        <f>$T92*AD92</f>
        <v>160</v>
      </c>
      <c r="AF92" s="987">
        <f>($U92+$W92)*AD92</f>
        <v>0</v>
      </c>
      <c r="AG92" s="1045">
        <v>2</v>
      </c>
      <c r="AH92" s="986">
        <f>$T92*AG92</f>
        <v>160</v>
      </c>
      <c r="AI92" s="987">
        <f>($U92+$W92)*AG92</f>
        <v>0</v>
      </c>
      <c r="AJ92" s="1045">
        <v>2</v>
      </c>
      <c r="AK92" s="986">
        <f>$T92*AJ92</f>
        <v>160</v>
      </c>
      <c r="AL92" s="987">
        <f>($U92+$W92)*AJ92</f>
        <v>0</v>
      </c>
      <c r="AN92" s="985"/>
      <c r="AO92" s="986"/>
      <c r="AP92" s="985"/>
      <c r="AQ92" s="986"/>
      <c r="AR92" s="985"/>
      <c r="AS92" s="986"/>
      <c r="AT92" s="985"/>
      <c r="AU92" s="986"/>
      <c r="AV92" s="985"/>
      <c r="AW92" s="986"/>
      <c r="AX92" s="1788"/>
    </row>
    <row r="93" spans="1:51">
      <c r="K93" s="712"/>
      <c r="L93" s="920"/>
      <c r="M93" s="932">
        <v>2</v>
      </c>
      <c r="N93" s="945" t="s">
        <v>1983</v>
      </c>
      <c r="O93" s="1036">
        <v>12</v>
      </c>
      <c r="P93" s="1036">
        <f t="shared" ref="P93:P100" si="53">IF(V93="*",2,4)</f>
        <v>4</v>
      </c>
      <c r="Q93" s="1036">
        <v>40</v>
      </c>
      <c r="R93" s="935"/>
      <c r="S93" s="1040">
        <v>2</v>
      </c>
      <c r="T93" s="958">
        <f t="shared" ref="T93:T101" si="54">(O93*P93)+(Q93*S93)+(R93*P93)</f>
        <v>128</v>
      </c>
      <c r="U93" s="955">
        <f t="shared" si="51"/>
        <v>0</v>
      </c>
      <c r="V93" s="956"/>
      <c r="W93" s="977">
        <f t="shared" si="52"/>
        <v>0</v>
      </c>
      <c r="X93" s="1045">
        <v>2</v>
      </c>
      <c r="Y93" s="986">
        <f t="shared" ref="Y93:Y100" si="55">$T93*X93</f>
        <v>256</v>
      </c>
      <c r="Z93" s="987">
        <f t="shared" ref="Z93:Z100" si="56">($U93+$W93)*X93</f>
        <v>0</v>
      </c>
      <c r="AA93" s="1045">
        <v>2</v>
      </c>
      <c r="AB93" s="986">
        <f t="shared" ref="AB93:AB100" si="57">$T93*AA93</f>
        <v>256</v>
      </c>
      <c r="AC93" s="987">
        <f t="shared" ref="AC93:AC100" si="58">($U93+$W93)*AA93</f>
        <v>0</v>
      </c>
      <c r="AD93" s="1045">
        <v>2</v>
      </c>
      <c r="AE93" s="986">
        <f t="shared" ref="AE93:AE100" si="59">$T93*AD93</f>
        <v>256</v>
      </c>
      <c r="AF93" s="987">
        <f t="shared" ref="AF93:AF100" si="60">($U93+$W93)*AD93</f>
        <v>0</v>
      </c>
      <c r="AG93" s="1045">
        <v>2</v>
      </c>
      <c r="AH93" s="986">
        <f t="shared" ref="AH93:AH100" si="61">$T93*AG93</f>
        <v>256</v>
      </c>
      <c r="AI93" s="987">
        <f t="shared" ref="AI93:AI100" si="62">($U93+$W93)*AG93</f>
        <v>0</v>
      </c>
      <c r="AJ93" s="1045">
        <v>2</v>
      </c>
      <c r="AK93" s="986">
        <f t="shared" ref="AK93:AK100" si="63">$T93*AJ93</f>
        <v>256</v>
      </c>
      <c r="AL93" s="987">
        <f t="shared" ref="AL93:AL101" si="64">($U93+$W93)*AJ93</f>
        <v>0</v>
      </c>
      <c r="AN93" s="985">
        <f>X93</f>
        <v>2</v>
      </c>
      <c r="AO93" s="986">
        <f t="shared" ref="AO93:AO100" si="65">AN93*$S93*$O$14*$O$15</f>
        <v>4715.84</v>
      </c>
      <c r="AP93" s="985">
        <f>AA93</f>
        <v>2</v>
      </c>
      <c r="AQ93" s="986">
        <f t="shared" ref="AQ93:AQ100" si="66">AP93*$S93*$O$14*$O$15</f>
        <v>4715.84</v>
      </c>
      <c r="AR93" s="985">
        <f>AD93</f>
        <v>2</v>
      </c>
      <c r="AS93" s="986">
        <f t="shared" ref="AS93:AS100" si="67">AR93*$S93*$O$14*$O$15</f>
        <v>4715.84</v>
      </c>
      <c r="AT93" s="985">
        <f>AG93</f>
        <v>2</v>
      </c>
      <c r="AU93" s="986">
        <f t="shared" ref="AU93:AU100" si="68">AT93*$S93*$O$14*$O$15</f>
        <v>4715.84</v>
      </c>
      <c r="AV93" s="985">
        <f>AJ93</f>
        <v>2</v>
      </c>
      <c r="AW93" s="986">
        <f t="shared" ref="AW93:AW100" si="69">AV93*$S93*$O$14*$O$15</f>
        <v>4715.84</v>
      </c>
      <c r="AX93" s="1788"/>
    </row>
    <row r="94" spans="1:51">
      <c r="K94" s="712"/>
      <c r="L94" s="920"/>
      <c r="M94" s="932">
        <v>3</v>
      </c>
      <c r="N94" s="945" t="s">
        <v>1984</v>
      </c>
      <c r="O94" s="1036">
        <v>28</v>
      </c>
      <c r="P94" s="1036">
        <f t="shared" si="53"/>
        <v>4</v>
      </c>
      <c r="Q94" s="1036">
        <v>40</v>
      </c>
      <c r="R94" s="935"/>
      <c r="S94" s="1040">
        <v>2</v>
      </c>
      <c r="T94" s="958">
        <f t="shared" si="54"/>
        <v>192</v>
      </c>
      <c r="U94" s="955">
        <f t="shared" si="51"/>
        <v>0</v>
      </c>
      <c r="V94" s="956"/>
      <c r="W94" s="977">
        <f t="shared" si="52"/>
        <v>0</v>
      </c>
      <c r="X94" s="1045">
        <v>2</v>
      </c>
      <c r="Y94" s="986">
        <f t="shared" si="55"/>
        <v>384</v>
      </c>
      <c r="Z94" s="987">
        <f t="shared" si="56"/>
        <v>0</v>
      </c>
      <c r="AA94" s="1045">
        <v>2</v>
      </c>
      <c r="AB94" s="986">
        <f t="shared" si="57"/>
        <v>384</v>
      </c>
      <c r="AC94" s="987">
        <f t="shared" si="58"/>
        <v>0</v>
      </c>
      <c r="AD94" s="1045">
        <v>2</v>
      </c>
      <c r="AE94" s="986">
        <f t="shared" si="59"/>
        <v>384</v>
      </c>
      <c r="AF94" s="987">
        <f t="shared" si="60"/>
        <v>0</v>
      </c>
      <c r="AG94" s="1045">
        <v>2</v>
      </c>
      <c r="AH94" s="986">
        <f t="shared" si="61"/>
        <v>384</v>
      </c>
      <c r="AI94" s="987">
        <f t="shared" si="62"/>
        <v>0</v>
      </c>
      <c r="AJ94" s="1045">
        <v>2</v>
      </c>
      <c r="AK94" s="986">
        <f t="shared" si="63"/>
        <v>384</v>
      </c>
      <c r="AL94" s="987">
        <f t="shared" si="64"/>
        <v>0</v>
      </c>
      <c r="AN94" s="985">
        <f t="shared" ref="AN94:AN100" si="70">X94</f>
        <v>2</v>
      </c>
      <c r="AO94" s="986">
        <f t="shared" si="65"/>
        <v>4715.84</v>
      </c>
      <c r="AP94" s="985">
        <f t="shared" ref="AP94:AP100" si="71">AA94</f>
        <v>2</v>
      </c>
      <c r="AQ94" s="986">
        <f t="shared" si="66"/>
        <v>4715.84</v>
      </c>
      <c r="AR94" s="985">
        <f t="shared" ref="AR94:AR100" si="72">AD94</f>
        <v>2</v>
      </c>
      <c r="AS94" s="986">
        <f t="shared" si="67"/>
        <v>4715.84</v>
      </c>
      <c r="AT94" s="985">
        <f t="shared" ref="AT94:AT100" si="73">AG94</f>
        <v>2</v>
      </c>
      <c r="AU94" s="986">
        <f t="shared" si="68"/>
        <v>4715.84</v>
      </c>
      <c r="AV94" s="985">
        <f t="shared" ref="AV94:AV100" si="74">AJ94</f>
        <v>2</v>
      </c>
      <c r="AW94" s="986">
        <f t="shared" si="69"/>
        <v>4715.84</v>
      </c>
      <c r="AX94" s="1788"/>
    </row>
    <row r="95" spans="1:51">
      <c r="K95" s="712"/>
      <c r="L95" s="920"/>
      <c r="M95" s="932">
        <v>4</v>
      </c>
      <c r="N95" s="945" t="s">
        <v>1985</v>
      </c>
      <c r="O95" s="1036">
        <v>50</v>
      </c>
      <c r="P95" s="1036">
        <f t="shared" si="53"/>
        <v>4</v>
      </c>
      <c r="Q95" s="1036">
        <v>40</v>
      </c>
      <c r="R95" s="935"/>
      <c r="S95" s="1040">
        <v>2</v>
      </c>
      <c r="T95" s="958">
        <f t="shared" si="54"/>
        <v>280</v>
      </c>
      <c r="U95" s="955">
        <f t="shared" si="51"/>
        <v>0</v>
      </c>
      <c r="V95" s="956"/>
      <c r="W95" s="977">
        <f t="shared" si="52"/>
        <v>0</v>
      </c>
      <c r="X95" s="1045">
        <v>2</v>
      </c>
      <c r="Y95" s="986">
        <f t="shared" si="55"/>
        <v>560</v>
      </c>
      <c r="Z95" s="987">
        <f t="shared" si="56"/>
        <v>0</v>
      </c>
      <c r="AA95" s="1045">
        <v>2</v>
      </c>
      <c r="AB95" s="986">
        <f t="shared" si="57"/>
        <v>560</v>
      </c>
      <c r="AC95" s="987">
        <f t="shared" si="58"/>
        <v>0</v>
      </c>
      <c r="AD95" s="1045">
        <v>2</v>
      </c>
      <c r="AE95" s="986">
        <f t="shared" si="59"/>
        <v>560</v>
      </c>
      <c r="AF95" s="987">
        <f t="shared" si="60"/>
        <v>0</v>
      </c>
      <c r="AG95" s="1045">
        <v>2</v>
      </c>
      <c r="AH95" s="986">
        <f t="shared" si="61"/>
        <v>560</v>
      </c>
      <c r="AI95" s="987">
        <f t="shared" si="62"/>
        <v>0</v>
      </c>
      <c r="AJ95" s="1045">
        <v>2</v>
      </c>
      <c r="AK95" s="986">
        <f t="shared" si="63"/>
        <v>560</v>
      </c>
      <c r="AL95" s="987">
        <f t="shared" si="64"/>
        <v>0</v>
      </c>
      <c r="AN95" s="985">
        <f t="shared" si="70"/>
        <v>2</v>
      </c>
      <c r="AO95" s="986">
        <f t="shared" si="65"/>
        <v>4715.84</v>
      </c>
      <c r="AP95" s="985">
        <f t="shared" si="71"/>
        <v>2</v>
      </c>
      <c r="AQ95" s="986">
        <f t="shared" si="66"/>
        <v>4715.84</v>
      </c>
      <c r="AR95" s="985">
        <f t="shared" si="72"/>
        <v>2</v>
      </c>
      <c r="AS95" s="986">
        <f t="shared" si="67"/>
        <v>4715.84</v>
      </c>
      <c r="AT95" s="985">
        <f t="shared" si="73"/>
        <v>2</v>
      </c>
      <c r="AU95" s="986">
        <f t="shared" si="68"/>
        <v>4715.84</v>
      </c>
      <c r="AV95" s="985">
        <f t="shared" si="74"/>
        <v>2</v>
      </c>
      <c r="AW95" s="986">
        <f t="shared" si="69"/>
        <v>4715.84</v>
      </c>
      <c r="AX95" s="1788"/>
    </row>
    <row r="96" spans="1:51">
      <c r="K96" s="712"/>
      <c r="L96" s="920"/>
      <c r="M96" s="932">
        <v>5</v>
      </c>
      <c r="N96" s="945" t="s">
        <v>1986</v>
      </c>
      <c r="O96" s="1036">
        <v>55</v>
      </c>
      <c r="P96" s="1036">
        <f t="shared" si="53"/>
        <v>4</v>
      </c>
      <c r="Q96" s="1036">
        <v>40</v>
      </c>
      <c r="R96" s="935"/>
      <c r="S96" s="1040">
        <v>2</v>
      </c>
      <c r="T96" s="958">
        <f t="shared" si="54"/>
        <v>300</v>
      </c>
      <c r="U96" s="955">
        <f t="shared" si="51"/>
        <v>0</v>
      </c>
      <c r="V96" s="956"/>
      <c r="W96" s="977">
        <f t="shared" si="52"/>
        <v>0</v>
      </c>
      <c r="X96" s="1045">
        <v>2</v>
      </c>
      <c r="Y96" s="986">
        <f t="shared" si="55"/>
        <v>600</v>
      </c>
      <c r="Z96" s="987">
        <f t="shared" si="56"/>
        <v>0</v>
      </c>
      <c r="AA96" s="1045">
        <v>2</v>
      </c>
      <c r="AB96" s="986">
        <f t="shared" si="57"/>
        <v>600</v>
      </c>
      <c r="AC96" s="987">
        <f t="shared" si="58"/>
        <v>0</v>
      </c>
      <c r="AD96" s="1045">
        <v>2</v>
      </c>
      <c r="AE96" s="986">
        <f t="shared" si="59"/>
        <v>600</v>
      </c>
      <c r="AF96" s="987">
        <f t="shared" si="60"/>
        <v>0</v>
      </c>
      <c r="AG96" s="1045">
        <v>2</v>
      </c>
      <c r="AH96" s="986">
        <f t="shared" si="61"/>
        <v>600</v>
      </c>
      <c r="AI96" s="987">
        <f t="shared" si="62"/>
        <v>0</v>
      </c>
      <c r="AJ96" s="1045">
        <v>2</v>
      </c>
      <c r="AK96" s="986">
        <f t="shared" si="63"/>
        <v>600</v>
      </c>
      <c r="AL96" s="987">
        <f t="shared" si="64"/>
        <v>0</v>
      </c>
      <c r="AN96" s="985">
        <f t="shared" si="70"/>
        <v>2</v>
      </c>
      <c r="AO96" s="986">
        <f t="shared" si="65"/>
        <v>4715.84</v>
      </c>
      <c r="AP96" s="985">
        <f t="shared" si="71"/>
        <v>2</v>
      </c>
      <c r="AQ96" s="986">
        <f t="shared" si="66"/>
        <v>4715.84</v>
      </c>
      <c r="AR96" s="985">
        <f t="shared" si="72"/>
        <v>2</v>
      </c>
      <c r="AS96" s="986">
        <f t="shared" si="67"/>
        <v>4715.84</v>
      </c>
      <c r="AT96" s="985">
        <f t="shared" si="73"/>
        <v>2</v>
      </c>
      <c r="AU96" s="986">
        <f t="shared" si="68"/>
        <v>4715.84</v>
      </c>
      <c r="AV96" s="985">
        <f t="shared" si="74"/>
        <v>2</v>
      </c>
      <c r="AW96" s="986">
        <f t="shared" si="69"/>
        <v>4715.84</v>
      </c>
      <c r="AX96" s="1788"/>
    </row>
    <row r="97" spans="1:51">
      <c r="K97" s="712"/>
      <c r="L97" s="920"/>
      <c r="M97" s="932">
        <v>6</v>
      </c>
      <c r="N97" s="945" t="s">
        <v>1987</v>
      </c>
      <c r="O97" s="1036">
        <v>133</v>
      </c>
      <c r="P97" s="1036">
        <f t="shared" si="53"/>
        <v>4</v>
      </c>
      <c r="Q97" s="1036">
        <v>40</v>
      </c>
      <c r="R97" s="935"/>
      <c r="S97" s="1040">
        <v>2</v>
      </c>
      <c r="T97" s="958">
        <f t="shared" si="54"/>
        <v>612</v>
      </c>
      <c r="U97" s="955">
        <f t="shared" si="51"/>
        <v>0</v>
      </c>
      <c r="V97" s="956"/>
      <c r="W97" s="977">
        <f t="shared" si="52"/>
        <v>0</v>
      </c>
      <c r="X97" s="1045">
        <v>2</v>
      </c>
      <c r="Y97" s="986">
        <f t="shared" si="55"/>
        <v>1224</v>
      </c>
      <c r="Z97" s="987">
        <f t="shared" si="56"/>
        <v>0</v>
      </c>
      <c r="AA97" s="1045">
        <v>2</v>
      </c>
      <c r="AB97" s="986">
        <f t="shared" si="57"/>
        <v>1224</v>
      </c>
      <c r="AC97" s="987">
        <f t="shared" si="58"/>
        <v>0</v>
      </c>
      <c r="AD97" s="1045">
        <v>2</v>
      </c>
      <c r="AE97" s="986">
        <f t="shared" si="59"/>
        <v>1224</v>
      </c>
      <c r="AF97" s="987">
        <f t="shared" si="60"/>
        <v>0</v>
      </c>
      <c r="AG97" s="1045">
        <v>2</v>
      </c>
      <c r="AH97" s="986">
        <f t="shared" si="61"/>
        <v>1224</v>
      </c>
      <c r="AI97" s="987">
        <f t="shared" si="62"/>
        <v>0</v>
      </c>
      <c r="AJ97" s="1045">
        <v>2</v>
      </c>
      <c r="AK97" s="986">
        <f t="shared" si="63"/>
        <v>1224</v>
      </c>
      <c r="AL97" s="987">
        <f t="shared" si="64"/>
        <v>0</v>
      </c>
      <c r="AN97" s="985">
        <f t="shared" si="70"/>
        <v>2</v>
      </c>
      <c r="AO97" s="986">
        <f t="shared" si="65"/>
        <v>4715.84</v>
      </c>
      <c r="AP97" s="985">
        <f t="shared" si="71"/>
        <v>2</v>
      </c>
      <c r="AQ97" s="986">
        <f t="shared" si="66"/>
        <v>4715.84</v>
      </c>
      <c r="AR97" s="985">
        <f t="shared" si="72"/>
        <v>2</v>
      </c>
      <c r="AS97" s="986">
        <f t="shared" si="67"/>
        <v>4715.84</v>
      </c>
      <c r="AT97" s="985">
        <f t="shared" si="73"/>
        <v>2</v>
      </c>
      <c r="AU97" s="986">
        <f t="shared" si="68"/>
        <v>4715.84</v>
      </c>
      <c r="AV97" s="985">
        <f t="shared" si="74"/>
        <v>2</v>
      </c>
      <c r="AW97" s="986">
        <f t="shared" si="69"/>
        <v>4715.84</v>
      </c>
      <c r="AX97" s="1788"/>
    </row>
    <row r="98" spans="1:51">
      <c r="K98" s="712"/>
      <c r="L98" s="920"/>
      <c r="M98" s="932">
        <v>7</v>
      </c>
      <c r="N98" s="945" t="s">
        <v>1988</v>
      </c>
      <c r="O98" s="1036">
        <v>73</v>
      </c>
      <c r="P98" s="1036">
        <f t="shared" si="53"/>
        <v>4</v>
      </c>
      <c r="Q98" s="1036">
        <v>40</v>
      </c>
      <c r="R98" s="935"/>
      <c r="S98" s="1040">
        <v>2</v>
      </c>
      <c r="T98" s="958">
        <f t="shared" si="54"/>
        <v>372</v>
      </c>
      <c r="U98" s="955">
        <f t="shared" si="51"/>
        <v>0</v>
      </c>
      <c r="V98" s="956"/>
      <c r="W98" s="977">
        <f t="shared" si="52"/>
        <v>0</v>
      </c>
      <c r="X98" s="1045">
        <v>2</v>
      </c>
      <c r="Y98" s="986">
        <f t="shared" si="55"/>
        <v>744</v>
      </c>
      <c r="Z98" s="987">
        <f t="shared" si="56"/>
        <v>0</v>
      </c>
      <c r="AA98" s="1045">
        <v>2</v>
      </c>
      <c r="AB98" s="986">
        <f t="shared" si="57"/>
        <v>744</v>
      </c>
      <c r="AC98" s="987">
        <f t="shared" si="58"/>
        <v>0</v>
      </c>
      <c r="AD98" s="1045">
        <v>2</v>
      </c>
      <c r="AE98" s="986">
        <f t="shared" si="59"/>
        <v>744</v>
      </c>
      <c r="AF98" s="987">
        <f t="shared" si="60"/>
        <v>0</v>
      </c>
      <c r="AG98" s="1045">
        <v>2</v>
      </c>
      <c r="AH98" s="986">
        <f t="shared" si="61"/>
        <v>744</v>
      </c>
      <c r="AI98" s="987">
        <f t="shared" si="62"/>
        <v>0</v>
      </c>
      <c r="AJ98" s="1045">
        <v>2</v>
      </c>
      <c r="AK98" s="986">
        <f t="shared" si="63"/>
        <v>744</v>
      </c>
      <c r="AL98" s="987">
        <f t="shared" si="64"/>
        <v>0</v>
      </c>
      <c r="AN98" s="985">
        <f t="shared" si="70"/>
        <v>2</v>
      </c>
      <c r="AO98" s="986">
        <f t="shared" si="65"/>
        <v>4715.84</v>
      </c>
      <c r="AP98" s="985">
        <f t="shared" si="71"/>
        <v>2</v>
      </c>
      <c r="AQ98" s="986">
        <f t="shared" si="66"/>
        <v>4715.84</v>
      </c>
      <c r="AR98" s="985">
        <f t="shared" si="72"/>
        <v>2</v>
      </c>
      <c r="AS98" s="986">
        <f t="shared" si="67"/>
        <v>4715.84</v>
      </c>
      <c r="AT98" s="985">
        <f t="shared" si="73"/>
        <v>2</v>
      </c>
      <c r="AU98" s="986">
        <f t="shared" si="68"/>
        <v>4715.84</v>
      </c>
      <c r="AV98" s="985">
        <f t="shared" si="74"/>
        <v>2</v>
      </c>
      <c r="AW98" s="986">
        <f t="shared" si="69"/>
        <v>4715.84</v>
      </c>
      <c r="AX98" s="1788"/>
    </row>
    <row r="99" spans="1:51">
      <c r="K99" s="712"/>
      <c r="L99" s="920"/>
      <c r="M99" s="932">
        <v>8</v>
      </c>
      <c r="N99" s="945" t="s">
        <v>1989</v>
      </c>
      <c r="O99" s="1036">
        <v>180</v>
      </c>
      <c r="P99" s="1036">
        <f t="shared" si="53"/>
        <v>4</v>
      </c>
      <c r="Q99" s="1036">
        <v>40</v>
      </c>
      <c r="R99" s="935"/>
      <c r="S99" s="1040">
        <v>2</v>
      </c>
      <c r="T99" s="958">
        <f t="shared" si="54"/>
        <v>800</v>
      </c>
      <c r="U99" s="955">
        <f t="shared" si="51"/>
        <v>0</v>
      </c>
      <c r="V99" s="956"/>
      <c r="W99" s="977">
        <f t="shared" si="52"/>
        <v>0</v>
      </c>
      <c r="X99" s="1045">
        <v>2</v>
      </c>
      <c r="Y99" s="986">
        <f t="shared" si="55"/>
        <v>1600</v>
      </c>
      <c r="Z99" s="987">
        <f t="shared" si="56"/>
        <v>0</v>
      </c>
      <c r="AA99" s="1045">
        <v>2</v>
      </c>
      <c r="AB99" s="986">
        <f t="shared" si="57"/>
        <v>1600</v>
      </c>
      <c r="AC99" s="987">
        <f t="shared" si="58"/>
        <v>0</v>
      </c>
      <c r="AD99" s="1045">
        <v>2</v>
      </c>
      <c r="AE99" s="986">
        <f t="shared" si="59"/>
        <v>1600</v>
      </c>
      <c r="AF99" s="987">
        <f t="shared" si="60"/>
        <v>0</v>
      </c>
      <c r="AG99" s="1045">
        <v>2</v>
      </c>
      <c r="AH99" s="986">
        <f t="shared" si="61"/>
        <v>1600</v>
      </c>
      <c r="AI99" s="987">
        <f t="shared" si="62"/>
        <v>0</v>
      </c>
      <c r="AJ99" s="1045">
        <v>2</v>
      </c>
      <c r="AK99" s="986">
        <f t="shared" si="63"/>
        <v>1600</v>
      </c>
      <c r="AL99" s="987">
        <f t="shared" si="64"/>
        <v>0</v>
      </c>
      <c r="AN99" s="985">
        <f t="shared" si="70"/>
        <v>2</v>
      </c>
      <c r="AO99" s="986">
        <f t="shared" si="65"/>
        <v>4715.84</v>
      </c>
      <c r="AP99" s="985">
        <f t="shared" si="71"/>
        <v>2</v>
      </c>
      <c r="AQ99" s="986">
        <f t="shared" si="66"/>
        <v>4715.84</v>
      </c>
      <c r="AR99" s="985">
        <f t="shared" si="72"/>
        <v>2</v>
      </c>
      <c r="AS99" s="986">
        <f t="shared" si="67"/>
        <v>4715.84</v>
      </c>
      <c r="AT99" s="985">
        <f t="shared" si="73"/>
        <v>2</v>
      </c>
      <c r="AU99" s="986">
        <f t="shared" si="68"/>
        <v>4715.84</v>
      </c>
      <c r="AV99" s="985">
        <f t="shared" si="74"/>
        <v>2</v>
      </c>
      <c r="AW99" s="986">
        <f t="shared" si="69"/>
        <v>4715.84</v>
      </c>
      <c r="AX99" s="1788"/>
    </row>
    <row r="100" spans="1:51">
      <c r="K100" s="712"/>
      <c r="L100" s="920"/>
      <c r="M100" s="932">
        <v>9</v>
      </c>
      <c r="N100" s="945" t="s">
        <v>1990</v>
      </c>
      <c r="O100" s="1036">
        <v>12</v>
      </c>
      <c r="P100" s="1036">
        <f t="shared" si="53"/>
        <v>4</v>
      </c>
      <c r="Q100" s="1036">
        <v>40</v>
      </c>
      <c r="R100" s="935"/>
      <c r="S100" s="1040">
        <v>2</v>
      </c>
      <c r="T100" s="958">
        <f t="shared" si="54"/>
        <v>128</v>
      </c>
      <c r="U100" s="955">
        <f t="shared" si="51"/>
        <v>0</v>
      </c>
      <c r="V100" s="956"/>
      <c r="W100" s="977">
        <f t="shared" si="52"/>
        <v>0</v>
      </c>
      <c r="X100" s="1045">
        <v>2</v>
      </c>
      <c r="Y100" s="986">
        <f t="shared" si="55"/>
        <v>256</v>
      </c>
      <c r="Z100" s="987">
        <f t="shared" si="56"/>
        <v>0</v>
      </c>
      <c r="AA100" s="1045">
        <v>2</v>
      </c>
      <c r="AB100" s="986">
        <f t="shared" si="57"/>
        <v>256</v>
      </c>
      <c r="AC100" s="987">
        <f t="shared" si="58"/>
        <v>0</v>
      </c>
      <c r="AD100" s="1045">
        <v>2</v>
      </c>
      <c r="AE100" s="986">
        <f t="shared" si="59"/>
        <v>256</v>
      </c>
      <c r="AF100" s="987">
        <f t="shared" si="60"/>
        <v>0</v>
      </c>
      <c r="AG100" s="1045">
        <v>2</v>
      </c>
      <c r="AH100" s="986">
        <f t="shared" si="61"/>
        <v>256</v>
      </c>
      <c r="AI100" s="987">
        <f t="shared" si="62"/>
        <v>0</v>
      </c>
      <c r="AJ100" s="1045">
        <v>2</v>
      </c>
      <c r="AK100" s="986">
        <f t="shared" si="63"/>
        <v>256</v>
      </c>
      <c r="AL100" s="987">
        <f t="shared" si="64"/>
        <v>0</v>
      </c>
      <c r="AN100" s="985">
        <f t="shared" si="70"/>
        <v>2</v>
      </c>
      <c r="AO100" s="986">
        <f t="shared" si="65"/>
        <v>4715.84</v>
      </c>
      <c r="AP100" s="985">
        <f t="shared" si="71"/>
        <v>2</v>
      </c>
      <c r="AQ100" s="986">
        <f t="shared" si="66"/>
        <v>4715.84</v>
      </c>
      <c r="AR100" s="985">
        <f t="shared" si="72"/>
        <v>2</v>
      </c>
      <c r="AS100" s="986">
        <f t="shared" si="67"/>
        <v>4715.84</v>
      </c>
      <c r="AT100" s="985">
        <f t="shared" si="73"/>
        <v>2</v>
      </c>
      <c r="AU100" s="986">
        <f t="shared" si="68"/>
        <v>4715.84</v>
      </c>
      <c r="AV100" s="985">
        <f t="shared" si="74"/>
        <v>2</v>
      </c>
      <c r="AW100" s="986">
        <f t="shared" si="69"/>
        <v>4715.84</v>
      </c>
      <c r="AX100" s="1788"/>
    </row>
    <row r="101" spans="1:51">
      <c r="K101" s="712"/>
      <c r="L101" s="920"/>
      <c r="M101" s="932"/>
      <c r="N101" s="938" t="s">
        <v>97</v>
      </c>
      <c r="O101" s="934"/>
      <c r="P101" s="934"/>
      <c r="Q101" s="934"/>
      <c r="R101" s="935"/>
      <c r="S101" s="946"/>
      <c r="T101" s="958">
        <f t="shared" si="54"/>
        <v>0</v>
      </c>
      <c r="U101" s="955">
        <f t="shared" si="51"/>
        <v>0</v>
      </c>
      <c r="V101" s="956"/>
      <c r="W101" s="977">
        <f t="shared" si="52"/>
        <v>0</v>
      </c>
      <c r="X101" s="985"/>
      <c r="Y101" s="986">
        <f>SUM(Y92:Y100)</f>
        <v>5784</v>
      </c>
      <c r="Z101" s="986">
        <f>SUM(Z92:Z100)</f>
        <v>0</v>
      </c>
      <c r="AA101" s="985"/>
      <c r="AB101" s="986">
        <f>SUM(AB92:AB100)</f>
        <v>5784</v>
      </c>
      <c r="AC101" s="986">
        <f>SUM(AC92:AC100)</f>
        <v>0</v>
      </c>
      <c r="AD101" s="985"/>
      <c r="AE101" s="986">
        <f>SUM(AE92:AE100)</f>
        <v>5784</v>
      </c>
      <c r="AF101" s="986">
        <f>SUM(AF92:AF100)</f>
        <v>0</v>
      </c>
      <c r="AG101" s="985"/>
      <c r="AH101" s="986">
        <f>SUM(AH92:AH100)</f>
        <v>5784</v>
      </c>
      <c r="AI101" s="986">
        <f>SUM(AI92:AI100)</f>
        <v>0</v>
      </c>
      <c r="AJ101" s="986">
        <f>SUM(AJ92:AJ100)</f>
        <v>18</v>
      </c>
      <c r="AK101" s="986">
        <f>SUM(AK92:AK100)</f>
        <v>5784</v>
      </c>
      <c r="AL101" s="987">
        <f t="shared" si="64"/>
        <v>0</v>
      </c>
      <c r="AN101" s="836">
        <f>SUM(AN93:AN100)</f>
        <v>16</v>
      </c>
      <c r="AO101" s="836">
        <f t="shared" ref="AO101:AW101" si="75">SUM(AO93:AO100)</f>
        <v>37726.720000000001</v>
      </c>
      <c r="AP101" s="836">
        <f t="shared" si="75"/>
        <v>16</v>
      </c>
      <c r="AQ101" s="836">
        <f t="shared" si="75"/>
        <v>37726.720000000001</v>
      </c>
      <c r="AR101" s="836">
        <f t="shared" si="75"/>
        <v>16</v>
      </c>
      <c r="AS101" s="836">
        <f t="shared" si="75"/>
        <v>37726.720000000001</v>
      </c>
      <c r="AT101" s="836">
        <f t="shared" si="75"/>
        <v>16</v>
      </c>
      <c r="AU101" s="836">
        <f t="shared" si="75"/>
        <v>37726.720000000001</v>
      </c>
      <c r="AV101" s="836">
        <f t="shared" si="75"/>
        <v>16</v>
      </c>
      <c r="AW101" s="836">
        <f t="shared" si="75"/>
        <v>37726.720000000001</v>
      </c>
      <c r="AX101" s="1788"/>
    </row>
    <row r="102" spans="1:51" ht="16">
      <c r="K102" s="712"/>
      <c r="L102" s="920"/>
      <c r="M102" s="926"/>
      <c r="N102" s="940"/>
      <c r="O102" s="942"/>
      <c r="P102" s="942"/>
      <c r="Q102" s="942"/>
      <c r="R102" s="942"/>
      <c r="S102" s="942"/>
      <c r="T102" s="942"/>
      <c r="V102" s="942"/>
      <c r="W102" s="920"/>
      <c r="X102" s="920"/>
      <c r="Y102" s="920"/>
      <c r="Z102" s="920"/>
      <c r="AA102" s="920"/>
      <c r="AB102" s="920"/>
      <c r="AX102" s="1788"/>
    </row>
    <row r="103" spans="1:51" ht="17" thickBot="1">
      <c r="K103" s="712"/>
      <c r="L103" s="920"/>
      <c r="M103" s="926"/>
      <c r="N103" s="940"/>
      <c r="O103" s="942"/>
      <c r="P103" s="942"/>
      <c r="Q103" s="942"/>
      <c r="R103" s="942"/>
      <c r="S103" s="942"/>
      <c r="T103" s="942"/>
      <c r="V103" s="942"/>
      <c r="W103" s="920"/>
      <c r="X103" s="920"/>
      <c r="Y103" s="920"/>
      <c r="Z103" s="920"/>
      <c r="AA103" s="920"/>
      <c r="AB103" s="920"/>
      <c r="AX103" s="1788"/>
    </row>
    <row r="104" spans="1:51" ht="17" thickBot="1">
      <c r="K104" s="712"/>
      <c r="L104" s="920"/>
      <c r="M104" s="926"/>
      <c r="N104" s="857" t="s">
        <v>97</v>
      </c>
      <c r="O104" s="995">
        <v>2021</v>
      </c>
      <c r="P104" s="995">
        <v>2022</v>
      </c>
      <c r="Q104" s="995">
        <v>2023</v>
      </c>
      <c r="R104" s="995">
        <v>2024</v>
      </c>
      <c r="S104" s="995">
        <v>2025</v>
      </c>
      <c r="T104" s="994"/>
      <c r="U104" s="733" t="s">
        <v>513</v>
      </c>
      <c r="V104" s="545"/>
      <c r="W104" s="545"/>
      <c r="X104" s="545"/>
      <c r="Y104" s="545"/>
      <c r="Z104" s="545"/>
      <c r="AA104" s="545" t="s">
        <v>351</v>
      </c>
      <c r="AB104" s="545"/>
      <c r="AC104" s="545"/>
      <c r="AD104" s="545"/>
      <c r="AE104" s="545"/>
      <c r="AF104" s="857"/>
      <c r="AX104" s="1788"/>
    </row>
    <row r="105" spans="1:51" ht="17" thickBot="1">
      <c r="K105" s="712"/>
      <c r="L105" s="920"/>
      <c r="M105" s="926"/>
      <c r="N105" s="964" t="s">
        <v>1981</v>
      </c>
      <c r="O105" s="972">
        <f>Y101</f>
        <v>5784</v>
      </c>
      <c r="P105" s="972">
        <f>AB101</f>
        <v>5784</v>
      </c>
      <c r="Q105" s="972">
        <f>AE101</f>
        <v>5784</v>
      </c>
      <c r="R105" s="972">
        <f>AH101</f>
        <v>5784</v>
      </c>
      <c r="S105" s="972">
        <f>AK101</f>
        <v>5784</v>
      </c>
      <c r="T105" s="942"/>
      <c r="U105" s="1046">
        <v>2021</v>
      </c>
      <c r="V105" s="1047">
        <v>2022</v>
      </c>
      <c r="W105" s="1047">
        <v>2023</v>
      </c>
      <c r="X105" s="1047">
        <v>2024</v>
      </c>
      <c r="Y105" s="1048">
        <v>2025</v>
      </c>
      <c r="Z105" s="563" t="s">
        <v>238</v>
      </c>
      <c r="AA105" s="1057">
        <v>2021</v>
      </c>
      <c r="AB105" s="1058">
        <v>2022</v>
      </c>
      <c r="AC105" s="1058">
        <v>2023</v>
      </c>
      <c r="AD105" s="1058">
        <v>2024</v>
      </c>
      <c r="AE105" s="1059">
        <v>2025</v>
      </c>
      <c r="AX105" s="1788"/>
    </row>
    <row r="106" spans="1:51" ht="32">
      <c r="K106" s="712"/>
      <c r="L106" s="920"/>
      <c r="M106" s="926"/>
      <c r="N106" s="963" t="s">
        <v>2028</v>
      </c>
      <c r="O106" s="972">
        <f>O105/100*$O$10</f>
        <v>1032.4440000000002</v>
      </c>
      <c r="P106" s="972">
        <f>P105/100*$O$10</f>
        <v>1032.4440000000002</v>
      </c>
      <c r="Q106" s="972">
        <f>Q105/100*$O$10</f>
        <v>1032.4440000000002</v>
      </c>
      <c r="R106" s="972">
        <f>R105/100*$O$10</f>
        <v>1032.4440000000002</v>
      </c>
      <c r="S106" s="972">
        <f>S105/100*$O$10</f>
        <v>1032.4440000000002</v>
      </c>
      <c r="T106" s="942"/>
      <c r="U106" s="1049"/>
      <c r="V106" s="960"/>
      <c r="W106" s="960"/>
      <c r="X106" s="960"/>
      <c r="Y106" s="62"/>
      <c r="AA106" s="1049"/>
      <c r="AB106" s="960"/>
      <c r="AC106" s="960"/>
      <c r="AD106" s="960"/>
      <c r="AE106" s="62"/>
      <c r="AX106" s="1788"/>
    </row>
    <row r="107" spans="1:51" ht="32">
      <c r="K107" s="712"/>
      <c r="L107" s="920"/>
      <c r="M107" s="926"/>
      <c r="N107" s="963" t="s">
        <v>2027</v>
      </c>
      <c r="O107" s="972">
        <f>ROUND(O106*$O$10,2)</f>
        <v>18429.13</v>
      </c>
      <c r="P107" s="972">
        <f>ROUND(P106*$O$10,2)</f>
        <v>18429.13</v>
      </c>
      <c r="Q107" s="972">
        <f>ROUND(Q106*$O$10,2)</f>
        <v>18429.13</v>
      </c>
      <c r="R107" s="972">
        <f>ROUND(R106*$O$10,2)</f>
        <v>18429.13</v>
      </c>
      <c r="S107" s="972">
        <f>ROUND(S106*$O$10,2)</f>
        <v>18429.13</v>
      </c>
      <c r="T107" s="942"/>
      <c r="U107" s="1049"/>
      <c r="V107" s="1050"/>
      <c r="W107" s="1051"/>
      <c r="X107" s="1051"/>
      <c r="Y107" s="1052"/>
      <c r="Z107" s="920"/>
      <c r="AA107" s="1060"/>
      <c r="AB107" s="1051"/>
      <c r="AC107" s="960"/>
      <c r="AD107" s="960"/>
      <c r="AE107" s="62"/>
      <c r="AX107" s="1788"/>
    </row>
    <row r="108" spans="1:51" ht="32">
      <c r="K108" s="712"/>
      <c r="L108" s="920"/>
      <c r="M108" s="926"/>
      <c r="N108" s="963" t="s">
        <v>2029</v>
      </c>
      <c r="O108" s="972">
        <f>O105/10000*$O$11</f>
        <v>2.8920000000000003</v>
      </c>
      <c r="P108" s="972">
        <f>P105/10000*$O$11</f>
        <v>2.8920000000000003</v>
      </c>
      <c r="Q108" s="972">
        <f>Q105/10000*$O$11</f>
        <v>2.8920000000000003</v>
      </c>
      <c r="R108" s="972">
        <f>R105/10000*$O$11</f>
        <v>2.8920000000000003</v>
      </c>
      <c r="S108" s="972">
        <f>S105/10000*$O$11</f>
        <v>2.8920000000000003</v>
      </c>
      <c r="T108" s="942"/>
      <c r="U108" s="1049"/>
      <c r="V108" s="1050"/>
      <c r="W108" s="1051"/>
      <c r="X108" s="1051"/>
      <c r="Y108" s="1052"/>
      <c r="Z108" s="920"/>
      <c r="AA108" s="1571"/>
      <c r="AB108" s="1572"/>
      <c r="AC108" s="1573"/>
      <c r="AD108" s="1573"/>
      <c r="AE108" s="1574"/>
      <c r="AX108" s="1788"/>
    </row>
    <row r="109" spans="1:51" ht="32">
      <c r="K109" s="712"/>
      <c r="L109" s="920"/>
      <c r="M109" s="926"/>
      <c r="N109" s="963" t="s">
        <v>2030</v>
      </c>
      <c r="O109" s="972">
        <f>O108*$O$12</f>
        <v>347.04</v>
      </c>
      <c r="P109" s="972">
        <f>P108*$O$12</f>
        <v>347.04</v>
      </c>
      <c r="Q109" s="972">
        <f>Q108*$O$12</f>
        <v>347.04</v>
      </c>
      <c r="R109" s="972">
        <f>R108*$O$12</f>
        <v>347.04</v>
      </c>
      <c r="S109" s="972">
        <f>S108*$O$12</f>
        <v>347.04</v>
      </c>
      <c r="U109" s="1053"/>
      <c r="V109" s="1054"/>
      <c r="W109" s="1055"/>
      <c r="X109" s="1055"/>
      <c r="Y109" s="1056"/>
      <c r="Z109" s="962"/>
      <c r="AA109" s="1061"/>
      <c r="AB109" s="1055"/>
      <c r="AC109" s="1576"/>
      <c r="AD109" s="1576"/>
      <c r="AE109" s="1577"/>
      <c r="AF109" s="858"/>
      <c r="AX109" s="1788"/>
    </row>
    <row r="110" spans="1:51" ht="32">
      <c r="K110" s="712"/>
      <c r="L110" s="920"/>
      <c r="M110" s="926"/>
      <c r="N110" s="963" t="s">
        <v>2032</v>
      </c>
      <c r="O110" s="972">
        <f>O105/10000*$O$13</f>
        <v>2197.92</v>
      </c>
      <c r="P110" s="972">
        <f>P105/10000*$O$13</f>
        <v>2197.92</v>
      </c>
      <c r="Q110" s="972">
        <f>Q105/10000*$O$13</f>
        <v>2197.92</v>
      </c>
      <c r="R110" s="972">
        <f>R105/10000*$O$13</f>
        <v>2197.92</v>
      </c>
      <c r="S110" s="972">
        <f>S105/10000*$O$13</f>
        <v>2197.92</v>
      </c>
      <c r="U110" s="1062">
        <f>100%-AA110</f>
        <v>0.5</v>
      </c>
      <c r="V110" s="997">
        <f t="shared" ref="V110" si="76">100%-AB110</f>
        <v>0.55000000000000004</v>
      </c>
      <c r="W110" s="997">
        <f t="shared" ref="W110" si="77">100%-AC110</f>
        <v>0.6</v>
      </c>
      <c r="X110" s="997">
        <f t="shared" ref="X110" si="78">100%-AD110</f>
        <v>1</v>
      </c>
      <c r="Y110" s="1063">
        <f t="shared" ref="Y110" si="79">100%-AE110</f>
        <v>1</v>
      </c>
      <c r="Z110" s="996" t="s">
        <v>238</v>
      </c>
      <c r="AA110" s="1578">
        <v>0.5</v>
      </c>
      <c r="AB110" s="1579">
        <v>0.44999999999999996</v>
      </c>
      <c r="AC110" s="1579">
        <v>0.4</v>
      </c>
      <c r="AD110" s="997">
        <v>0</v>
      </c>
      <c r="AE110" s="1063">
        <v>0</v>
      </c>
      <c r="AF110" s="858"/>
      <c r="AX110" s="1788"/>
    </row>
    <row r="111" spans="1:51" ht="17" thickBot="1">
      <c r="K111" s="712"/>
      <c r="L111" s="920"/>
      <c r="M111" s="926"/>
      <c r="N111" s="940" t="s">
        <v>1887</v>
      </c>
      <c r="O111" s="995">
        <f>O107+O109+O110</f>
        <v>20974.090000000004</v>
      </c>
      <c r="P111" s="995">
        <f t="shared" ref="P111:S111" si="80">P107+P109+P110</f>
        <v>20974.090000000004</v>
      </c>
      <c r="Q111" s="995">
        <f t="shared" si="80"/>
        <v>20974.090000000004</v>
      </c>
      <c r="R111" s="995">
        <f t="shared" si="80"/>
        <v>20974.090000000004</v>
      </c>
      <c r="S111" s="995">
        <f t="shared" si="80"/>
        <v>20974.090000000004</v>
      </c>
      <c r="U111" s="1787">
        <f>ROUND(O111*U110,2)</f>
        <v>10487.05</v>
      </c>
      <c r="V111" s="1787">
        <f t="shared" ref="V111" si="81">ROUND(P111*V110,2)</f>
        <v>11535.75</v>
      </c>
      <c r="W111" s="1787">
        <f t="shared" ref="W111" si="82">ROUND(Q111*W110,2)</f>
        <v>12584.45</v>
      </c>
      <c r="X111" s="1787">
        <f t="shared" ref="X111" si="83">ROUND(R111*X110,2)</f>
        <v>20974.09</v>
      </c>
      <c r="Y111" s="1787">
        <f t="shared" ref="Y111" si="84">ROUND(S111*Y110,2)</f>
        <v>20974.09</v>
      </c>
      <c r="Z111" s="962"/>
      <c r="AA111" s="1787">
        <f>ROUND(O111*AA110,2)</f>
        <v>10487.05</v>
      </c>
      <c r="AB111" s="1787">
        <f t="shared" ref="AB111" si="85">ROUND(P111*AB110,2)</f>
        <v>9438.34</v>
      </c>
      <c r="AC111" s="1787">
        <f t="shared" ref="AC111" si="86">ROUND(Q111*AC110,2)</f>
        <v>8389.64</v>
      </c>
      <c r="AD111" s="1787">
        <f t="shared" ref="AD111" si="87">ROUND(R111*AD110,2)</f>
        <v>0</v>
      </c>
      <c r="AE111" s="1787">
        <f t="shared" ref="AE111" si="88">ROUND(S111*AE110,2)</f>
        <v>0</v>
      </c>
      <c r="AF111" s="858"/>
      <c r="AX111" s="1788"/>
      <c r="AY111" s="1791">
        <f>SUM(U111:AE111)</f>
        <v>104870.45999999999</v>
      </c>
    </row>
    <row r="112" spans="1:51" ht="17" thickBot="1">
      <c r="A112" s="730">
        <v>57</v>
      </c>
      <c r="B112" s="733">
        <f>U111</f>
        <v>10487.05</v>
      </c>
      <c r="C112" s="733">
        <f t="shared" ref="C112" si="89">V111</f>
        <v>11535.75</v>
      </c>
      <c r="D112" s="733">
        <f t="shared" ref="D112" si="90">W111</f>
        <v>12584.45</v>
      </c>
      <c r="E112" s="733">
        <f t="shared" ref="E112" si="91">X111</f>
        <v>20974.09</v>
      </c>
      <c r="F112" s="733">
        <f t="shared" ref="F112" si="92">Y111</f>
        <v>20974.09</v>
      </c>
      <c r="G112" s="733" t="s">
        <v>513</v>
      </c>
      <c r="H112" s="842" t="s">
        <v>3103</v>
      </c>
      <c r="I112" s="843"/>
      <c r="J112" s="841" t="s">
        <v>3129</v>
      </c>
      <c r="K112" s="712"/>
      <c r="L112" s="920"/>
      <c r="M112" s="926"/>
      <c r="N112" s="940"/>
      <c r="O112" s="942"/>
      <c r="P112" s="942"/>
      <c r="Q112" s="942"/>
      <c r="R112" s="942"/>
      <c r="S112" s="942"/>
      <c r="U112" s="1062">
        <f>100%-AA112</f>
        <v>0.5</v>
      </c>
      <c r="V112" s="997">
        <f t="shared" ref="V112" si="93">100%-AB112</f>
        <v>0.55000000000000004</v>
      </c>
      <c r="W112" s="997">
        <f t="shared" ref="W112" si="94">100%-AC112</f>
        <v>0.6</v>
      </c>
      <c r="X112" s="997">
        <f t="shared" ref="X112" si="95">100%-AD112</f>
        <v>1</v>
      </c>
      <c r="Y112" s="1063">
        <f t="shared" ref="Y112" si="96">100%-AE112</f>
        <v>1</v>
      </c>
      <c r="Z112" s="996" t="s">
        <v>238</v>
      </c>
      <c r="AA112" s="1578">
        <v>0.5</v>
      </c>
      <c r="AB112" s="1579">
        <v>0.44999999999999996</v>
      </c>
      <c r="AC112" s="1579">
        <v>0.4</v>
      </c>
      <c r="AD112" s="997">
        <v>0</v>
      </c>
      <c r="AE112" s="1063">
        <v>0</v>
      </c>
      <c r="AF112" s="858"/>
      <c r="AX112" s="1788"/>
      <c r="AY112" s="1791"/>
    </row>
    <row r="113" spans="1:51" ht="17" thickBot="1">
      <c r="A113" s="730">
        <v>58</v>
      </c>
      <c r="B113" s="733">
        <f>AA111</f>
        <v>10487.05</v>
      </c>
      <c r="C113" s="733">
        <f t="shared" ref="C113" si="97">AB111</f>
        <v>9438.34</v>
      </c>
      <c r="D113" s="733">
        <f t="shared" ref="D113" si="98">AC111</f>
        <v>8389.64</v>
      </c>
      <c r="E113" s="733">
        <f t="shared" ref="E113" si="99">AD111</f>
        <v>0</v>
      </c>
      <c r="F113" s="733">
        <f t="shared" ref="F113" si="100">AE111</f>
        <v>0</v>
      </c>
      <c r="G113" s="733" t="s">
        <v>351</v>
      </c>
      <c r="H113" s="842" t="s">
        <v>3103</v>
      </c>
      <c r="I113" s="843"/>
      <c r="J113" s="841" t="s">
        <v>3129</v>
      </c>
      <c r="K113" s="712"/>
      <c r="L113" s="920"/>
      <c r="M113" s="926"/>
      <c r="N113" s="963" t="s">
        <v>2031</v>
      </c>
      <c r="O113" s="946">
        <f>Z101</f>
        <v>0</v>
      </c>
      <c r="P113" s="946">
        <f>AC101</f>
        <v>0</v>
      </c>
      <c r="Q113" s="946">
        <f>AF101</f>
        <v>0</v>
      </c>
      <c r="R113" s="946">
        <f>AI101</f>
        <v>0</v>
      </c>
      <c r="S113" s="946">
        <f>AL101</f>
        <v>0</v>
      </c>
      <c r="U113" s="1787">
        <f>ROUND(O113*U112,2)</f>
        <v>0</v>
      </c>
      <c r="V113" s="1787">
        <f t="shared" ref="V113" si="101">ROUND(P113*V112,2)</f>
        <v>0</v>
      </c>
      <c r="W113" s="1787">
        <f t="shared" ref="W113" si="102">ROUND(Q113*W112,2)</f>
        <v>0</v>
      </c>
      <c r="X113" s="1787">
        <f t="shared" ref="X113" si="103">ROUND(R113*X112,2)</f>
        <v>0</v>
      </c>
      <c r="Y113" s="1787">
        <f t="shared" ref="Y113" si="104">ROUND(S113*Y112,2)</f>
        <v>0</v>
      </c>
      <c r="Z113" s="734"/>
      <c r="AA113" s="1787">
        <f>ROUND(O113*AA112,2)</f>
        <v>0</v>
      </c>
      <c r="AB113" s="1787">
        <f t="shared" ref="AB113" si="105">ROUND(P113*AB112,2)</f>
        <v>0</v>
      </c>
      <c r="AC113" s="1787">
        <f t="shared" ref="AC113" si="106">ROUND(Q113*AC112,2)</f>
        <v>0</v>
      </c>
      <c r="AD113" s="1787">
        <f t="shared" ref="AD113" si="107">ROUND(R113*AD112,2)</f>
        <v>0</v>
      </c>
      <c r="AE113" s="1787">
        <f t="shared" ref="AE113" si="108">ROUND(S113*AE112,2)</f>
        <v>0</v>
      </c>
      <c r="AF113" s="858"/>
      <c r="AX113" s="1788"/>
      <c r="AY113" s="1791">
        <f>SUM(U113:AE113)</f>
        <v>0</v>
      </c>
    </row>
    <row r="114" spans="1:51" ht="17" thickBot="1">
      <c r="A114" s="730">
        <v>59</v>
      </c>
      <c r="B114" s="733">
        <f>U113</f>
        <v>0</v>
      </c>
      <c r="C114" s="733">
        <f t="shared" ref="C114" si="109">V113</f>
        <v>0</v>
      </c>
      <c r="D114" s="733">
        <f t="shared" ref="D114" si="110">W113</f>
        <v>0</v>
      </c>
      <c r="E114" s="733">
        <f t="shared" ref="E114" si="111">X113</f>
        <v>0</v>
      </c>
      <c r="F114" s="733">
        <f t="shared" ref="F114" si="112">Y113</f>
        <v>0</v>
      </c>
      <c r="G114" s="733" t="s">
        <v>513</v>
      </c>
      <c r="H114" s="842" t="s">
        <v>3104</v>
      </c>
      <c r="I114" s="843"/>
      <c r="J114" s="841" t="s">
        <v>3129</v>
      </c>
      <c r="K114" s="712"/>
      <c r="L114" s="920"/>
      <c r="M114" s="926"/>
      <c r="N114" s="940" t="s">
        <v>1887</v>
      </c>
      <c r="O114" s="995">
        <f>O113+O111</f>
        <v>20974.090000000004</v>
      </c>
      <c r="P114" s="995">
        <f t="shared" ref="P114:S114" si="113">P113+P111</f>
        <v>20974.090000000004</v>
      </c>
      <c r="Q114" s="995">
        <f t="shared" si="113"/>
        <v>20974.090000000004</v>
      </c>
      <c r="R114" s="995">
        <f t="shared" si="113"/>
        <v>20974.090000000004</v>
      </c>
      <c r="S114" s="995">
        <f t="shared" si="113"/>
        <v>20974.090000000004</v>
      </c>
      <c r="U114" s="1793">
        <f>U111+U113</f>
        <v>10487.05</v>
      </c>
      <c r="V114" s="1793">
        <f>V111+V113</f>
        <v>11535.75</v>
      </c>
      <c r="W114" s="1793">
        <f t="shared" ref="W114:Y114" si="114">W111+W113</f>
        <v>12584.45</v>
      </c>
      <c r="X114" s="1793">
        <f t="shared" si="114"/>
        <v>20974.09</v>
      </c>
      <c r="Y114" s="1793">
        <f t="shared" si="114"/>
        <v>20974.09</v>
      </c>
      <c r="Z114" s="1794"/>
      <c r="AA114" s="1793">
        <f>AA111+AA113</f>
        <v>10487.05</v>
      </c>
      <c r="AB114" s="1793">
        <f t="shared" ref="AB114:AE114" si="115">AB111+AB113</f>
        <v>9438.34</v>
      </c>
      <c r="AC114" s="1793">
        <f t="shared" si="115"/>
        <v>8389.64</v>
      </c>
      <c r="AD114" s="1793">
        <f t="shared" si="115"/>
        <v>0</v>
      </c>
      <c r="AE114" s="1793">
        <f t="shared" si="115"/>
        <v>0</v>
      </c>
      <c r="AF114" s="995"/>
      <c r="AX114" s="1788"/>
      <c r="AY114" s="1791"/>
    </row>
    <row r="115" spans="1:51" ht="17" thickBot="1">
      <c r="A115" s="730">
        <v>60</v>
      </c>
      <c r="B115" s="733">
        <f>AA113</f>
        <v>0</v>
      </c>
      <c r="C115" s="733">
        <f>AB113</f>
        <v>0</v>
      </c>
      <c r="D115" s="733">
        <f>AC113</f>
        <v>0</v>
      </c>
      <c r="E115" s="733">
        <f>AD113</f>
        <v>0</v>
      </c>
      <c r="F115" s="733">
        <f>AE113</f>
        <v>0</v>
      </c>
      <c r="G115" s="733" t="s">
        <v>351</v>
      </c>
      <c r="H115" s="842" t="s">
        <v>3104</v>
      </c>
      <c r="I115" s="843"/>
      <c r="J115" s="841" t="s">
        <v>3129</v>
      </c>
      <c r="K115" s="712"/>
      <c r="L115" s="920"/>
      <c r="M115" s="941"/>
      <c r="N115" s="940"/>
      <c r="O115" s="995"/>
      <c r="P115" s="995"/>
      <c r="Q115" s="995"/>
      <c r="R115" s="995"/>
      <c r="S115" s="995"/>
      <c r="U115" s="1795"/>
      <c r="V115" s="1795"/>
      <c r="W115" s="1795"/>
      <c r="X115" s="1795"/>
      <c r="Y115" s="1795"/>
      <c r="Z115" s="1794"/>
      <c r="AA115" s="1796"/>
      <c r="AB115" s="1796"/>
      <c r="AC115" s="1796"/>
      <c r="AD115" s="1796"/>
      <c r="AE115" s="1796"/>
      <c r="AX115" s="1788"/>
    </row>
    <row r="116" spans="1:51" ht="17" thickBot="1">
      <c r="K116" s="712"/>
      <c r="L116" s="920"/>
      <c r="M116" s="941"/>
      <c r="N116" s="946" t="s">
        <v>2454</v>
      </c>
      <c r="O116" s="946">
        <f>AO101</f>
        <v>37726.720000000001</v>
      </c>
      <c r="P116" s="946">
        <f>AQ101</f>
        <v>37726.720000000001</v>
      </c>
      <c r="Q116" s="946">
        <f>AS101</f>
        <v>37726.720000000001</v>
      </c>
      <c r="R116" s="946">
        <f>AU101</f>
        <v>37726.720000000001</v>
      </c>
      <c r="S116" s="946">
        <f>AW101</f>
        <v>37726.720000000001</v>
      </c>
      <c r="U116" s="1783">
        <f>100%-AA116</f>
        <v>0</v>
      </c>
      <c r="V116" s="1784">
        <f t="shared" ref="V116" si="116">100%-AB116</f>
        <v>0</v>
      </c>
      <c r="W116" s="1784">
        <f t="shared" ref="W116" si="117">100%-AC116</f>
        <v>0</v>
      </c>
      <c r="X116" s="1785">
        <v>0</v>
      </c>
      <c r="Y116" s="1786">
        <v>0</v>
      </c>
      <c r="Z116" s="996" t="s">
        <v>238</v>
      </c>
      <c r="AA116" s="1578">
        <v>1</v>
      </c>
      <c r="AB116" s="1579">
        <v>1</v>
      </c>
      <c r="AC116" s="1579">
        <v>1</v>
      </c>
      <c r="AD116" s="997">
        <v>0</v>
      </c>
      <c r="AE116" s="1063">
        <v>0</v>
      </c>
      <c r="AX116" s="1788"/>
    </row>
    <row r="117" spans="1:51" ht="17" thickBot="1">
      <c r="A117" s="730">
        <v>61</v>
      </c>
      <c r="B117" s="733">
        <f>U117</f>
        <v>0</v>
      </c>
      <c r="C117" s="733">
        <f t="shared" ref="C117" si="118">V117</f>
        <v>0</v>
      </c>
      <c r="D117" s="733">
        <f t="shared" ref="D117" si="119">W117</f>
        <v>0</v>
      </c>
      <c r="E117" s="733">
        <f t="shared" ref="E117" si="120">X117</f>
        <v>0</v>
      </c>
      <c r="F117" s="733">
        <f t="shared" ref="F117" si="121">Y117</f>
        <v>0</v>
      </c>
      <c r="G117" s="733" t="s">
        <v>513</v>
      </c>
      <c r="H117" s="842" t="s">
        <v>3104</v>
      </c>
      <c r="I117" s="843"/>
      <c r="J117" s="841" t="s">
        <v>3129</v>
      </c>
      <c r="K117" s="712"/>
      <c r="L117" s="920"/>
      <c r="M117" s="941"/>
      <c r="N117" s="940"/>
      <c r="O117" s="942"/>
      <c r="P117" s="942"/>
      <c r="Q117" s="942"/>
      <c r="R117" s="942"/>
      <c r="S117" s="942"/>
      <c r="T117" s="942"/>
      <c r="U117" s="1787">
        <f>U116*O116</f>
        <v>0</v>
      </c>
      <c r="V117" s="1787">
        <f t="shared" ref="V117" si="122">V116*P116</f>
        <v>0</v>
      </c>
      <c r="W117" s="1787">
        <f t="shared" ref="W117" si="123">W116*Q116</f>
        <v>0</v>
      </c>
      <c r="X117" s="1787">
        <f t="shared" ref="X117" si="124">X116*R116</f>
        <v>0</v>
      </c>
      <c r="Y117" s="1787">
        <f t="shared" ref="Y117" si="125">Y116*S116</f>
        <v>0</v>
      </c>
      <c r="AA117" s="1787">
        <f>AA116*O116</f>
        <v>37726.720000000001</v>
      </c>
      <c r="AB117" s="1787">
        <f t="shared" ref="AB117" si="126">AB116*P116</f>
        <v>37726.720000000001</v>
      </c>
      <c r="AC117" s="1787">
        <f t="shared" ref="AC117" si="127">AC116*Q116</f>
        <v>37726.720000000001</v>
      </c>
      <c r="AD117" s="1787">
        <f t="shared" ref="AD117" si="128">AD116*R116</f>
        <v>0</v>
      </c>
      <c r="AE117" s="1787">
        <f t="shared" ref="AE117" si="129">AE116*S116</f>
        <v>0</v>
      </c>
      <c r="AX117" s="1788"/>
      <c r="AY117" s="1791">
        <f>SUM(U117:AE117)</f>
        <v>113180.16</v>
      </c>
    </row>
    <row r="118" spans="1:51" ht="17" thickBot="1">
      <c r="A118" s="730">
        <v>62</v>
      </c>
      <c r="B118" s="733">
        <f>AA117</f>
        <v>37726.720000000001</v>
      </c>
      <c r="C118" s="733">
        <f t="shared" ref="C118" si="130">AB117</f>
        <v>37726.720000000001</v>
      </c>
      <c r="D118" s="733">
        <f t="shared" ref="D118" si="131">AC117</f>
        <v>37726.720000000001</v>
      </c>
      <c r="E118" s="733">
        <f t="shared" ref="E118" si="132">AD117</f>
        <v>0</v>
      </c>
      <c r="F118" s="733">
        <f t="shared" ref="F118" si="133">AE117</f>
        <v>0</v>
      </c>
      <c r="G118" s="733" t="s">
        <v>351</v>
      </c>
      <c r="H118" s="842" t="s">
        <v>3104</v>
      </c>
      <c r="I118" s="843"/>
      <c r="J118" s="841" t="s">
        <v>3129</v>
      </c>
      <c r="K118" s="712"/>
      <c r="L118" s="920"/>
      <c r="M118" s="941"/>
      <c r="N118" s="940"/>
      <c r="O118" s="942"/>
      <c r="P118" s="942"/>
      <c r="Q118" s="942"/>
      <c r="R118" s="942"/>
      <c r="S118" s="942"/>
      <c r="U118" s="734"/>
      <c r="V118" s="942"/>
      <c r="W118" s="923"/>
      <c r="X118" s="923"/>
      <c r="Y118" s="923"/>
      <c r="Z118" s="923"/>
      <c r="AA118" s="1582"/>
      <c r="AB118" s="1582"/>
      <c r="AC118" s="1583"/>
      <c r="AD118" s="1583"/>
      <c r="AE118" s="1583"/>
      <c r="AX118" s="1788"/>
    </row>
    <row r="119" spans="1:51" ht="16">
      <c r="K119" s="712"/>
      <c r="M119" s="941"/>
      <c r="N119" s="940"/>
      <c r="O119" s="942"/>
      <c r="P119" s="942"/>
      <c r="Q119" s="942"/>
      <c r="R119" s="942"/>
      <c r="S119" s="942"/>
      <c r="T119" s="942"/>
      <c r="U119" s="734"/>
      <c r="V119" s="942"/>
      <c r="W119" s="923"/>
      <c r="X119" s="923"/>
      <c r="Y119" s="923"/>
      <c r="Z119" s="923"/>
      <c r="AA119" s="923"/>
      <c r="AB119" s="923"/>
      <c r="AC119" s="734"/>
      <c r="AD119" s="734"/>
      <c r="AE119" s="734"/>
      <c r="AX119" s="1788"/>
    </row>
    <row r="120" spans="1:51" ht="16">
      <c r="K120" s="712"/>
      <c r="M120" s="940" t="s">
        <v>2163</v>
      </c>
      <c r="N120" s="940"/>
      <c r="O120" s="942"/>
      <c r="P120" s="942"/>
      <c r="Q120" s="942"/>
      <c r="R120" s="942"/>
      <c r="S120" s="942"/>
      <c r="T120" s="942"/>
      <c r="V120" s="942"/>
      <c r="W120" s="920"/>
      <c r="X120" s="920"/>
      <c r="Y120" s="920"/>
      <c r="Z120" s="920"/>
      <c r="AA120" s="920"/>
      <c r="AB120" s="920"/>
      <c r="AX120" s="1788"/>
    </row>
    <row r="121" spans="1:51" ht="16">
      <c r="K121" s="712"/>
      <c r="M121" s="943" t="s">
        <v>2164</v>
      </c>
      <c r="N121" s="940"/>
      <c r="O121" s="942"/>
      <c r="P121" s="942"/>
      <c r="Q121" s="942"/>
      <c r="R121" s="942"/>
      <c r="S121" s="942"/>
      <c r="T121" s="942"/>
      <c r="V121" s="942"/>
      <c r="W121" s="920"/>
      <c r="X121" s="920"/>
      <c r="Y121" s="920"/>
      <c r="Z121" s="920"/>
      <c r="AA121" s="920"/>
      <c r="AB121" s="920"/>
      <c r="AX121" s="1788"/>
    </row>
    <row r="122" spans="1:51" ht="17" thickBot="1">
      <c r="K122" s="712"/>
      <c r="M122" s="941"/>
      <c r="N122" s="940"/>
      <c r="O122" s="942"/>
      <c r="P122" s="942"/>
      <c r="Q122" s="942"/>
      <c r="R122" s="942"/>
      <c r="S122" s="942"/>
      <c r="T122" s="942"/>
      <c r="V122" s="942"/>
      <c r="W122" s="920"/>
      <c r="X122" s="920"/>
      <c r="Y122" s="920"/>
      <c r="Z122" s="920"/>
      <c r="AA122" s="920"/>
      <c r="AB122" s="920"/>
      <c r="AN122" t="s">
        <v>2452</v>
      </c>
      <c r="AX122" s="1788"/>
    </row>
    <row r="123" spans="1:51">
      <c r="K123" s="712"/>
      <c r="M123" s="926"/>
      <c r="N123" s="920"/>
      <c r="O123" s="923"/>
      <c r="P123" s="923"/>
      <c r="Q123" s="952"/>
      <c r="R123" s="923"/>
      <c r="S123" s="923"/>
      <c r="T123" s="923"/>
      <c r="V123" s="923"/>
      <c r="W123" s="920"/>
      <c r="X123" s="979">
        <v>2021</v>
      </c>
      <c r="Y123" s="980"/>
      <c r="Z123" s="981"/>
      <c r="AA123" s="979">
        <v>2022</v>
      </c>
      <c r="AB123" s="980"/>
      <c r="AC123" s="981"/>
      <c r="AD123" s="979">
        <v>2023</v>
      </c>
      <c r="AE123" s="980"/>
      <c r="AF123" s="981"/>
      <c r="AG123" s="979">
        <v>2024</v>
      </c>
      <c r="AH123" s="980"/>
      <c r="AI123" s="981"/>
      <c r="AJ123" s="979">
        <v>2025</v>
      </c>
      <c r="AK123" s="980"/>
      <c r="AL123" s="981"/>
      <c r="AN123" s="979">
        <v>2021</v>
      </c>
      <c r="AO123" s="980"/>
      <c r="AP123" s="979">
        <v>2022</v>
      </c>
      <c r="AQ123" s="980"/>
      <c r="AR123" s="979">
        <v>2023</v>
      </c>
      <c r="AS123" s="980"/>
      <c r="AT123" s="979">
        <v>2024</v>
      </c>
      <c r="AU123" s="980"/>
      <c r="AV123" s="979">
        <v>2025</v>
      </c>
      <c r="AW123" s="980"/>
      <c r="AX123" s="1788"/>
    </row>
    <row r="124" spans="1:51" ht="78">
      <c r="K124" s="712"/>
      <c r="M124" s="926"/>
      <c r="N124" s="931" t="s">
        <v>1933</v>
      </c>
      <c r="O124" s="1588" t="s">
        <v>2008</v>
      </c>
      <c r="P124" s="953" t="s">
        <v>2009</v>
      </c>
      <c r="Q124" s="950" t="s">
        <v>2011</v>
      </c>
      <c r="R124" s="950" t="s">
        <v>2156</v>
      </c>
      <c r="S124" s="974" t="s">
        <v>2021</v>
      </c>
      <c r="T124" s="953" t="s">
        <v>2007</v>
      </c>
      <c r="U124" s="954" t="s">
        <v>2012</v>
      </c>
      <c r="V124" s="951" t="s">
        <v>2024</v>
      </c>
      <c r="W124" s="975" t="s">
        <v>2023</v>
      </c>
      <c r="X124" s="982" t="s">
        <v>2022</v>
      </c>
      <c r="Y124" s="983" t="s">
        <v>1981</v>
      </c>
      <c r="Z124" s="984" t="s">
        <v>2025</v>
      </c>
      <c r="AA124" s="982" t="s">
        <v>2022</v>
      </c>
      <c r="AB124" s="983" t="s">
        <v>1981</v>
      </c>
      <c r="AC124" s="984" t="s">
        <v>2025</v>
      </c>
      <c r="AD124" s="982" t="s">
        <v>2022</v>
      </c>
      <c r="AE124" s="983" t="s">
        <v>1981</v>
      </c>
      <c r="AF124" s="984" t="s">
        <v>2025</v>
      </c>
      <c r="AG124" s="982" t="s">
        <v>2022</v>
      </c>
      <c r="AH124" s="983" t="s">
        <v>1981</v>
      </c>
      <c r="AI124" s="984" t="s">
        <v>2025</v>
      </c>
      <c r="AJ124" s="982" t="s">
        <v>2022</v>
      </c>
      <c r="AK124" s="983" t="s">
        <v>1981</v>
      </c>
      <c r="AL124" s="984" t="s">
        <v>2025</v>
      </c>
      <c r="AN124" s="982" t="s">
        <v>2022</v>
      </c>
      <c r="AO124" s="983" t="s">
        <v>3094</v>
      </c>
      <c r="AP124" s="982" t="s">
        <v>2022</v>
      </c>
      <c r="AQ124" s="983" t="s">
        <v>3094</v>
      </c>
      <c r="AR124" s="982" t="s">
        <v>2022</v>
      </c>
      <c r="AS124" s="983" t="s">
        <v>3094</v>
      </c>
      <c r="AT124" s="982" t="s">
        <v>2022</v>
      </c>
      <c r="AU124" s="983" t="s">
        <v>3094</v>
      </c>
      <c r="AV124" s="982" t="s">
        <v>2022</v>
      </c>
      <c r="AW124" s="983" t="s">
        <v>3094</v>
      </c>
      <c r="AX124" s="1788"/>
    </row>
    <row r="125" spans="1:51">
      <c r="K125" s="712"/>
      <c r="M125" s="932">
        <v>1</v>
      </c>
      <c r="N125" s="933" t="s">
        <v>1982</v>
      </c>
      <c r="O125" s="1036">
        <v>65</v>
      </c>
      <c r="P125" s="1036">
        <f>IF(V125="*",2,4)</f>
        <v>4</v>
      </c>
      <c r="Q125" s="1036">
        <v>40</v>
      </c>
      <c r="R125" s="935"/>
      <c r="S125" s="1040">
        <v>1</v>
      </c>
      <c r="T125" s="958">
        <f t="shared" ref="T125:T134" si="134">(O125*P125)+(Q125*S125)+(R125*P125)</f>
        <v>300</v>
      </c>
      <c r="U125" s="955">
        <f t="shared" ref="U125:U134" si="135">IF(V125="*",$O$14*$O$8,0)</f>
        <v>0</v>
      </c>
      <c r="V125" s="956"/>
      <c r="W125" s="977">
        <f t="shared" ref="W125:W134" si="136">IF(V125="*",$O$7*$O$14,0)</f>
        <v>0</v>
      </c>
      <c r="X125" s="1045">
        <v>1</v>
      </c>
      <c r="Y125" s="986">
        <f>$T125*X125</f>
        <v>300</v>
      </c>
      <c r="Z125" s="987">
        <f>($U125+$W125)*X125</f>
        <v>0</v>
      </c>
      <c r="AA125" s="1045">
        <v>1</v>
      </c>
      <c r="AB125" s="986">
        <f>$T125*AA125</f>
        <v>300</v>
      </c>
      <c r="AC125" s="987">
        <f>($U125+$W125)*AA125</f>
        <v>0</v>
      </c>
      <c r="AD125" s="1045">
        <v>1</v>
      </c>
      <c r="AE125" s="986">
        <f>$T125*AD125</f>
        <v>300</v>
      </c>
      <c r="AF125" s="987">
        <f>($U125+$W125)*AD125</f>
        <v>0</v>
      </c>
      <c r="AG125" s="1045">
        <v>1</v>
      </c>
      <c r="AH125" s="986">
        <f>$T125*AG125</f>
        <v>300</v>
      </c>
      <c r="AI125" s="987">
        <f>($U125+$W125)*AG125</f>
        <v>0</v>
      </c>
      <c r="AJ125" s="1045">
        <v>1</v>
      </c>
      <c r="AK125" s="986">
        <f>$T125*AJ125</f>
        <v>300</v>
      </c>
      <c r="AL125" s="987">
        <f>($U125+$W125)*AJ125</f>
        <v>0</v>
      </c>
      <c r="AN125" s="985"/>
      <c r="AO125" s="986"/>
      <c r="AP125" s="985"/>
      <c r="AQ125" s="986"/>
      <c r="AR125" s="985"/>
      <c r="AS125" s="986"/>
      <c r="AT125" s="985"/>
      <c r="AU125" s="986"/>
      <c r="AV125" s="985"/>
      <c r="AW125" s="986"/>
      <c r="AX125" s="1788"/>
    </row>
    <row r="126" spans="1:51">
      <c r="K126" s="712"/>
      <c r="M126" s="932">
        <v>2</v>
      </c>
      <c r="N126" s="945" t="s">
        <v>1983</v>
      </c>
      <c r="O126" s="1036">
        <v>77</v>
      </c>
      <c r="P126" s="1036">
        <f t="shared" ref="P126:P133" si="137">IF(V126="*",2,4)</f>
        <v>4</v>
      </c>
      <c r="Q126" s="1036">
        <v>40</v>
      </c>
      <c r="R126" s="935"/>
      <c r="S126" s="1040">
        <v>1</v>
      </c>
      <c r="T126" s="958">
        <f t="shared" si="134"/>
        <v>348</v>
      </c>
      <c r="U126" s="955">
        <f t="shared" si="135"/>
        <v>0</v>
      </c>
      <c r="V126" s="956"/>
      <c r="W126" s="977">
        <f t="shared" si="136"/>
        <v>0</v>
      </c>
      <c r="X126" s="1045">
        <v>1</v>
      </c>
      <c r="Y126" s="986">
        <f t="shared" ref="Y126:Y133" si="138">$T126*X126</f>
        <v>348</v>
      </c>
      <c r="Z126" s="987">
        <f t="shared" ref="Z126:Z133" si="139">($U126+$W126)*X126</f>
        <v>0</v>
      </c>
      <c r="AA126" s="1045">
        <v>1</v>
      </c>
      <c r="AB126" s="986">
        <f t="shared" ref="AB126:AB133" si="140">$T126*AA126</f>
        <v>348</v>
      </c>
      <c r="AC126" s="987">
        <f t="shared" ref="AC126:AC133" si="141">($U126+$W126)*AA126</f>
        <v>0</v>
      </c>
      <c r="AD126" s="1045">
        <v>1</v>
      </c>
      <c r="AE126" s="986">
        <f t="shared" ref="AE126:AE133" si="142">$T126*AD126</f>
        <v>348</v>
      </c>
      <c r="AF126" s="987">
        <f t="shared" ref="AF126:AF133" si="143">($U126+$W126)*AD126</f>
        <v>0</v>
      </c>
      <c r="AG126" s="1045">
        <v>1</v>
      </c>
      <c r="AH126" s="986">
        <f t="shared" ref="AH126:AH133" si="144">$T126*AG126</f>
        <v>348</v>
      </c>
      <c r="AI126" s="987">
        <f t="shared" ref="AI126:AI133" si="145">($U126+$W126)*AG126</f>
        <v>0</v>
      </c>
      <c r="AJ126" s="1045">
        <v>1</v>
      </c>
      <c r="AK126" s="986">
        <f t="shared" ref="AK126:AK133" si="146">$T126*AJ126</f>
        <v>348</v>
      </c>
      <c r="AL126" s="987">
        <f t="shared" ref="AL126:AL134" si="147">($U126+$W126)*AJ126</f>
        <v>0</v>
      </c>
      <c r="AN126" s="985">
        <f>X126</f>
        <v>1</v>
      </c>
      <c r="AO126" s="986">
        <f t="shared" ref="AO126:AO133" si="148">AN126*$S126*$O$14*$O$15</f>
        <v>1178.96</v>
      </c>
      <c r="AP126" s="985">
        <f>AA126</f>
        <v>1</v>
      </c>
      <c r="AQ126" s="986">
        <f t="shared" ref="AQ126:AQ133" si="149">AP126*$S126*$O$14*$O$15</f>
        <v>1178.96</v>
      </c>
      <c r="AR126" s="985">
        <f>AD126</f>
        <v>1</v>
      </c>
      <c r="AS126" s="986">
        <f t="shared" ref="AS126:AS133" si="150">AR126*$S126*$O$14*$O$15</f>
        <v>1178.96</v>
      </c>
      <c r="AT126" s="985">
        <f>AG126</f>
        <v>1</v>
      </c>
      <c r="AU126" s="986">
        <f t="shared" ref="AU126:AU133" si="151">AT126*$S126*$O$14*$O$15</f>
        <v>1178.96</v>
      </c>
      <c r="AV126" s="985">
        <f>AJ126</f>
        <v>1</v>
      </c>
      <c r="AW126" s="986">
        <f t="shared" ref="AW126:AW133" si="152">AV126*$S126*$O$14*$O$15</f>
        <v>1178.96</v>
      </c>
      <c r="AX126" s="1788"/>
    </row>
    <row r="127" spans="1:51">
      <c r="K127" s="712"/>
      <c r="M127" s="932">
        <v>3</v>
      </c>
      <c r="N127" s="945" t="s">
        <v>1984</v>
      </c>
      <c r="O127" s="1036">
        <v>93</v>
      </c>
      <c r="P127" s="1036">
        <f t="shared" si="137"/>
        <v>4</v>
      </c>
      <c r="Q127" s="1036">
        <v>40</v>
      </c>
      <c r="R127" s="935"/>
      <c r="S127" s="1040">
        <v>1</v>
      </c>
      <c r="T127" s="958">
        <f t="shared" si="134"/>
        <v>412</v>
      </c>
      <c r="U127" s="955">
        <f t="shared" si="135"/>
        <v>0</v>
      </c>
      <c r="V127" s="956"/>
      <c r="W127" s="977">
        <f t="shared" si="136"/>
        <v>0</v>
      </c>
      <c r="X127" s="1045">
        <v>1</v>
      </c>
      <c r="Y127" s="986">
        <f t="shared" si="138"/>
        <v>412</v>
      </c>
      <c r="Z127" s="987">
        <f t="shared" si="139"/>
        <v>0</v>
      </c>
      <c r="AA127" s="1045">
        <v>1</v>
      </c>
      <c r="AB127" s="986">
        <f t="shared" si="140"/>
        <v>412</v>
      </c>
      <c r="AC127" s="987">
        <f t="shared" si="141"/>
        <v>0</v>
      </c>
      <c r="AD127" s="1045">
        <v>1</v>
      </c>
      <c r="AE127" s="986">
        <f t="shared" si="142"/>
        <v>412</v>
      </c>
      <c r="AF127" s="987">
        <f t="shared" si="143"/>
        <v>0</v>
      </c>
      <c r="AG127" s="1045">
        <v>1</v>
      </c>
      <c r="AH127" s="986">
        <f t="shared" si="144"/>
        <v>412</v>
      </c>
      <c r="AI127" s="987">
        <f t="shared" si="145"/>
        <v>0</v>
      </c>
      <c r="AJ127" s="1045">
        <v>1</v>
      </c>
      <c r="AK127" s="986">
        <f t="shared" si="146"/>
        <v>412</v>
      </c>
      <c r="AL127" s="987">
        <f t="shared" si="147"/>
        <v>0</v>
      </c>
      <c r="AN127" s="985">
        <f t="shared" ref="AN127:AN133" si="153">X127</f>
        <v>1</v>
      </c>
      <c r="AO127" s="986">
        <f t="shared" si="148"/>
        <v>1178.96</v>
      </c>
      <c r="AP127" s="985">
        <f t="shared" ref="AP127:AP133" si="154">AA127</f>
        <v>1</v>
      </c>
      <c r="AQ127" s="986">
        <f t="shared" si="149"/>
        <v>1178.96</v>
      </c>
      <c r="AR127" s="985">
        <f t="shared" ref="AR127:AR133" si="155">AD127</f>
        <v>1</v>
      </c>
      <c r="AS127" s="986">
        <f t="shared" si="150"/>
        <v>1178.96</v>
      </c>
      <c r="AT127" s="985">
        <f t="shared" ref="AT127:AT133" si="156">AG127</f>
        <v>1</v>
      </c>
      <c r="AU127" s="986">
        <f t="shared" si="151"/>
        <v>1178.96</v>
      </c>
      <c r="AV127" s="985">
        <f t="shared" ref="AV127:AV133" si="157">AJ127</f>
        <v>1</v>
      </c>
      <c r="AW127" s="986">
        <f t="shared" si="152"/>
        <v>1178.96</v>
      </c>
      <c r="AX127" s="1788"/>
    </row>
    <row r="128" spans="1:51">
      <c r="K128" s="712"/>
      <c r="M128" s="932">
        <v>4</v>
      </c>
      <c r="N128" s="945" t="s">
        <v>1985</v>
      </c>
      <c r="O128" s="1036">
        <v>110</v>
      </c>
      <c r="P128" s="1036">
        <f t="shared" si="137"/>
        <v>4</v>
      </c>
      <c r="Q128" s="1036">
        <v>40</v>
      </c>
      <c r="R128" s="935"/>
      <c r="S128" s="1040">
        <v>1</v>
      </c>
      <c r="T128" s="958">
        <f t="shared" si="134"/>
        <v>480</v>
      </c>
      <c r="U128" s="955">
        <f t="shared" si="135"/>
        <v>0</v>
      </c>
      <c r="V128" s="956"/>
      <c r="W128" s="977">
        <f t="shared" si="136"/>
        <v>0</v>
      </c>
      <c r="X128" s="1045">
        <v>1</v>
      </c>
      <c r="Y128" s="986">
        <f t="shared" si="138"/>
        <v>480</v>
      </c>
      <c r="Z128" s="987">
        <f t="shared" si="139"/>
        <v>0</v>
      </c>
      <c r="AA128" s="1045">
        <v>1</v>
      </c>
      <c r="AB128" s="986">
        <f t="shared" si="140"/>
        <v>480</v>
      </c>
      <c r="AC128" s="987">
        <f t="shared" si="141"/>
        <v>0</v>
      </c>
      <c r="AD128" s="1045">
        <v>1</v>
      </c>
      <c r="AE128" s="986">
        <f t="shared" si="142"/>
        <v>480</v>
      </c>
      <c r="AF128" s="987">
        <f t="shared" si="143"/>
        <v>0</v>
      </c>
      <c r="AG128" s="1045">
        <v>1</v>
      </c>
      <c r="AH128" s="986">
        <f t="shared" si="144"/>
        <v>480</v>
      </c>
      <c r="AI128" s="987">
        <f t="shared" si="145"/>
        <v>0</v>
      </c>
      <c r="AJ128" s="1045">
        <v>1</v>
      </c>
      <c r="AK128" s="986">
        <f t="shared" si="146"/>
        <v>480</v>
      </c>
      <c r="AL128" s="987">
        <f t="shared" si="147"/>
        <v>0</v>
      </c>
      <c r="AN128" s="985">
        <f t="shared" si="153"/>
        <v>1</v>
      </c>
      <c r="AO128" s="986">
        <f t="shared" si="148"/>
        <v>1178.96</v>
      </c>
      <c r="AP128" s="985">
        <f t="shared" si="154"/>
        <v>1</v>
      </c>
      <c r="AQ128" s="986">
        <f t="shared" si="149"/>
        <v>1178.96</v>
      </c>
      <c r="AR128" s="985">
        <f t="shared" si="155"/>
        <v>1</v>
      </c>
      <c r="AS128" s="986">
        <f t="shared" si="150"/>
        <v>1178.96</v>
      </c>
      <c r="AT128" s="985">
        <f t="shared" si="156"/>
        <v>1</v>
      </c>
      <c r="AU128" s="986">
        <f t="shared" si="151"/>
        <v>1178.96</v>
      </c>
      <c r="AV128" s="985">
        <f t="shared" si="157"/>
        <v>1</v>
      </c>
      <c r="AW128" s="986">
        <f t="shared" si="152"/>
        <v>1178.96</v>
      </c>
      <c r="AX128" s="1788"/>
    </row>
    <row r="129" spans="11:51">
      <c r="K129" s="712"/>
      <c r="M129" s="932">
        <v>5</v>
      </c>
      <c r="N129" s="945" t="s">
        <v>1986</v>
      </c>
      <c r="O129" s="1036">
        <v>53</v>
      </c>
      <c r="P129" s="1036">
        <f t="shared" si="137"/>
        <v>4</v>
      </c>
      <c r="Q129" s="1036">
        <v>40</v>
      </c>
      <c r="R129" s="935"/>
      <c r="S129" s="1040">
        <v>1</v>
      </c>
      <c r="T129" s="958">
        <f t="shared" si="134"/>
        <v>252</v>
      </c>
      <c r="U129" s="955">
        <f t="shared" si="135"/>
        <v>0</v>
      </c>
      <c r="V129" s="956"/>
      <c r="W129" s="977">
        <f t="shared" si="136"/>
        <v>0</v>
      </c>
      <c r="X129" s="1045">
        <v>1</v>
      </c>
      <c r="Y129" s="986">
        <f t="shared" si="138"/>
        <v>252</v>
      </c>
      <c r="Z129" s="987">
        <f t="shared" si="139"/>
        <v>0</v>
      </c>
      <c r="AA129" s="1045">
        <v>1</v>
      </c>
      <c r="AB129" s="986">
        <f t="shared" si="140"/>
        <v>252</v>
      </c>
      <c r="AC129" s="987">
        <f t="shared" si="141"/>
        <v>0</v>
      </c>
      <c r="AD129" s="1045">
        <v>1</v>
      </c>
      <c r="AE129" s="986">
        <f t="shared" si="142"/>
        <v>252</v>
      </c>
      <c r="AF129" s="987">
        <f t="shared" si="143"/>
        <v>0</v>
      </c>
      <c r="AG129" s="1045">
        <v>1</v>
      </c>
      <c r="AH129" s="986">
        <f t="shared" si="144"/>
        <v>252</v>
      </c>
      <c r="AI129" s="987">
        <f t="shared" si="145"/>
        <v>0</v>
      </c>
      <c r="AJ129" s="1045">
        <v>1</v>
      </c>
      <c r="AK129" s="986">
        <f t="shared" si="146"/>
        <v>252</v>
      </c>
      <c r="AL129" s="987">
        <f t="shared" si="147"/>
        <v>0</v>
      </c>
      <c r="AN129" s="985">
        <f t="shared" si="153"/>
        <v>1</v>
      </c>
      <c r="AO129" s="986">
        <f t="shared" si="148"/>
        <v>1178.96</v>
      </c>
      <c r="AP129" s="985">
        <f t="shared" si="154"/>
        <v>1</v>
      </c>
      <c r="AQ129" s="986">
        <f t="shared" si="149"/>
        <v>1178.96</v>
      </c>
      <c r="AR129" s="985">
        <f t="shared" si="155"/>
        <v>1</v>
      </c>
      <c r="AS129" s="986">
        <f t="shared" si="150"/>
        <v>1178.96</v>
      </c>
      <c r="AT129" s="985">
        <f t="shared" si="156"/>
        <v>1</v>
      </c>
      <c r="AU129" s="986">
        <f t="shared" si="151"/>
        <v>1178.96</v>
      </c>
      <c r="AV129" s="985">
        <f t="shared" si="157"/>
        <v>1</v>
      </c>
      <c r="AW129" s="986">
        <f t="shared" si="152"/>
        <v>1178.96</v>
      </c>
      <c r="AX129" s="1788"/>
    </row>
    <row r="130" spans="11:51">
      <c r="K130" s="712"/>
      <c r="M130" s="932">
        <v>6</v>
      </c>
      <c r="N130" s="945" t="s">
        <v>1987</v>
      </c>
      <c r="O130" s="1036">
        <v>106</v>
      </c>
      <c r="P130" s="1036">
        <f t="shared" si="137"/>
        <v>4</v>
      </c>
      <c r="Q130" s="1036">
        <v>40</v>
      </c>
      <c r="R130" s="935"/>
      <c r="S130" s="1040">
        <v>1</v>
      </c>
      <c r="T130" s="958">
        <f t="shared" si="134"/>
        <v>464</v>
      </c>
      <c r="U130" s="955">
        <f t="shared" si="135"/>
        <v>0</v>
      </c>
      <c r="V130" s="956"/>
      <c r="W130" s="977">
        <f t="shared" si="136"/>
        <v>0</v>
      </c>
      <c r="X130" s="1045">
        <v>1</v>
      </c>
      <c r="Y130" s="986">
        <f t="shared" si="138"/>
        <v>464</v>
      </c>
      <c r="Z130" s="987">
        <f t="shared" si="139"/>
        <v>0</v>
      </c>
      <c r="AA130" s="1045">
        <v>1</v>
      </c>
      <c r="AB130" s="986">
        <f t="shared" si="140"/>
        <v>464</v>
      </c>
      <c r="AC130" s="987">
        <f t="shared" si="141"/>
        <v>0</v>
      </c>
      <c r="AD130" s="1045">
        <v>1</v>
      </c>
      <c r="AE130" s="986">
        <f t="shared" si="142"/>
        <v>464</v>
      </c>
      <c r="AF130" s="987">
        <f t="shared" si="143"/>
        <v>0</v>
      </c>
      <c r="AG130" s="1045">
        <v>1</v>
      </c>
      <c r="AH130" s="986">
        <f t="shared" si="144"/>
        <v>464</v>
      </c>
      <c r="AI130" s="987">
        <f t="shared" si="145"/>
        <v>0</v>
      </c>
      <c r="AJ130" s="1045">
        <v>1</v>
      </c>
      <c r="AK130" s="986">
        <f t="shared" si="146"/>
        <v>464</v>
      </c>
      <c r="AL130" s="987">
        <f t="shared" si="147"/>
        <v>0</v>
      </c>
      <c r="AN130" s="985">
        <f t="shared" si="153"/>
        <v>1</v>
      </c>
      <c r="AO130" s="986">
        <f t="shared" si="148"/>
        <v>1178.96</v>
      </c>
      <c r="AP130" s="985">
        <f t="shared" si="154"/>
        <v>1</v>
      </c>
      <c r="AQ130" s="986">
        <f t="shared" si="149"/>
        <v>1178.96</v>
      </c>
      <c r="AR130" s="985">
        <f t="shared" si="155"/>
        <v>1</v>
      </c>
      <c r="AS130" s="986">
        <f t="shared" si="150"/>
        <v>1178.96</v>
      </c>
      <c r="AT130" s="985">
        <f t="shared" si="156"/>
        <v>1</v>
      </c>
      <c r="AU130" s="986">
        <f t="shared" si="151"/>
        <v>1178.96</v>
      </c>
      <c r="AV130" s="985">
        <f t="shared" si="157"/>
        <v>1</v>
      </c>
      <c r="AW130" s="986">
        <f t="shared" si="152"/>
        <v>1178.96</v>
      </c>
      <c r="AX130" s="1788"/>
    </row>
    <row r="131" spans="11:51">
      <c r="K131" s="712"/>
      <c r="M131" s="932">
        <v>7</v>
      </c>
      <c r="N131" s="945" t="s">
        <v>1988</v>
      </c>
      <c r="O131" s="1036">
        <v>42</v>
      </c>
      <c r="P131" s="1036">
        <f t="shared" si="137"/>
        <v>4</v>
      </c>
      <c r="Q131" s="1036">
        <v>40</v>
      </c>
      <c r="R131" s="935"/>
      <c r="S131" s="1040">
        <v>1</v>
      </c>
      <c r="T131" s="958">
        <f t="shared" si="134"/>
        <v>208</v>
      </c>
      <c r="U131" s="955">
        <f t="shared" si="135"/>
        <v>0</v>
      </c>
      <c r="V131" s="956"/>
      <c r="W131" s="977">
        <f t="shared" si="136"/>
        <v>0</v>
      </c>
      <c r="X131" s="1045">
        <v>1</v>
      </c>
      <c r="Y131" s="986">
        <f t="shared" si="138"/>
        <v>208</v>
      </c>
      <c r="Z131" s="987">
        <f t="shared" si="139"/>
        <v>0</v>
      </c>
      <c r="AA131" s="1045">
        <v>1</v>
      </c>
      <c r="AB131" s="986">
        <f t="shared" si="140"/>
        <v>208</v>
      </c>
      <c r="AC131" s="987">
        <f t="shared" si="141"/>
        <v>0</v>
      </c>
      <c r="AD131" s="1045">
        <v>1</v>
      </c>
      <c r="AE131" s="986">
        <f t="shared" si="142"/>
        <v>208</v>
      </c>
      <c r="AF131" s="987">
        <f t="shared" si="143"/>
        <v>0</v>
      </c>
      <c r="AG131" s="1045">
        <v>1</v>
      </c>
      <c r="AH131" s="986">
        <f t="shared" si="144"/>
        <v>208</v>
      </c>
      <c r="AI131" s="987">
        <f t="shared" si="145"/>
        <v>0</v>
      </c>
      <c r="AJ131" s="1045">
        <v>1</v>
      </c>
      <c r="AK131" s="986">
        <f t="shared" si="146"/>
        <v>208</v>
      </c>
      <c r="AL131" s="987">
        <f t="shared" si="147"/>
        <v>0</v>
      </c>
      <c r="AN131" s="985">
        <f t="shared" si="153"/>
        <v>1</v>
      </c>
      <c r="AO131" s="986">
        <f t="shared" si="148"/>
        <v>1178.96</v>
      </c>
      <c r="AP131" s="985">
        <f t="shared" si="154"/>
        <v>1</v>
      </c>
      <c r="AQ131" s="986">
        <f t="shared" si="149"/>
        <v>1178.96</v>
      </c>
      <c r="AR131" s="985">
        <f t="shared" si="155"/>
        <v>1</v>
      </c>
      <c r="AS131" s="986">
        <f t="shared" si="150"/>
        <v>1178.96</v>
      </c>
      <c r="AT131" s="985">
        <f t="shared" si="156"/>
        <v>1</v>
      </c>
      <c r="AU131" s="986">
        <f t="shared" si="151"/>
        <v>1178.96</v>
      </c>
      <c r="AV131" s="985">
        <f t="shared" si="157"/>
        <v>1</v>
      </c>
      <c r="AW131" s="986">
        <f t="shared" si="152"/>
        <v>1178.96</v>
      </c>
      <c r="AX131" s="1788"/>
    </row>
    <row r="132" spans="11:51">
      <c r="K132" s="712"/>
      <c r="M132" s="932">
        <v>8</v>
      </c>
      <c r="N132" s="945" t="s">
        <v>1989</v>
      </c>
      <c r="O132" s="1036">
        <v>152</v>
      </c>
      <c r="P132" s="1036">
        <f t="shared" si="137"/>
        <v>4</v>
      </c>
      <c r="Q132" s="1036">
        <v>40</v>
      </c>
      <c r="R132" s="935"/>
      <c r="S132" s="1040">
        <v>1</v>
      </c>
      <c r="T132" s="958">
        <f t="shared" si="134"/>
        <v>648</v>
      </c>
      <c r="U132" s="955">
        <f t="shared" si="135"/>
        <v>0</v>
      </c>
      <c r="V132" s="956"/>
      <c r="W132" s="977">
        <f t="shared" si="136"/>
        <v>0</v>
      </c>
      <c r="X132" s="1045">
        <v>1</v>
      </c>
      <c r="Y132" s="986">
        <f t="shared" si="138"/>
        <v>648</v>
      </c>
      <c r="Z132" s="987">
        <f t="shared" si="139"/>
        <v>0</v>
      </c>
      <c r="AA132" s="1045">
        <v>1</v>
      </c>
      <c r="AB132" s="986">
        <f t="shared" si="140"/>
        <v>648</v>
      </c>
      <c r="AC132" s="987">
        <f t="shared" si="141"/>
        <v>0</v>
      </c>
      <c r="AD132" s="1045">
        <v>1</v>
      </c>
      <c r="AE132" s="986">
        <f t="shared" si="142"/>
        <v>648</v>
      </c>
      <c r="AF132" s="987">
        <f t="shared" si="143"/>
        <v>0</v>
      </c>
      <c r="AG132" s="1045">
        <v>1</v>
      </c>
      <c r="AH132" s="986">
        <f t="shared" si="144"/>
        <v>648</v>
      </c>
      <c r="AI132" s="987">
        <f t="shared" si="145"/>
        <v>0</v>
      </c>
      <c r="AJ132" s="1045">
        <v>1</v>
      </c>
      <c r="AK132" s="986">
        <f t="shared" si="146"/>
        <v>648</v>
      </c>
      <c r="AL132" s="987">
        <f t="shared" si="147"/>
        <v>0</v>
      </c>
      <c r="AN132" s="985">
        <f t="shared" si="153"/>
        <v>1</v>
      </c>
      <c r="AO132" s="986">
        <f t="shared" si="148"/>
        <v>1178.96</v>
      </c>
      <c r="AP132" s="985">
        <f t="shared" si="154"/>
        <v>1</v>
      </c>
      <c r="AQ132" s="986">
        <f t="shared" si="149"/>
        <v>1178.96</v>
      </c>
      <c r="AR132" s="985">
        <f t="shared" si="155"/>
        <v>1</v>
      </c>
      <c r="AS132" s="986">
        <f t="shared" si="150"/>
        <v>1178.96</v>
      </c>
      <c r="AT132" s="985">
        <f t="shared" si="156"/>
        <v>1</v>
      </c>
      <c r="AU132" s="986">
        <f t="shared" si="151"/>
        <v>1178.96</v>
      </c>
      <c r="AV132" s="985">
        <f t="shared" si="157"/>
        <v>1</v>
      </c>
      <c r="AW132" s="986">
        <f t="shared" si="152"/>
        <v>1178.96</v>
      </c>
      <c r="AX132" s="1788"/>
    </row>
    <row r="133" spans="11:51">
      <c r="K133" s="712"/>
      <c r="M133" s="932">
        <v>9</v>
      </c>
      <c r="N133" s="945" t="s">
        <v>1990</v>
      </c>
      <c r="O133" s="1036">
        <v>77</v>
      </c>
      <c r="P133" s="1036">
        <f t="shared" si="137"/>
        <v>4</v>
      </c>
      <c r="Q133" s="1036">
        <v>40</v>
      </c>
      <c r="R133" s="935"/>
      <c r="S133" s="1040">
        <v>1</v>
      </c>
      <c r="T133" s="958">
        <f t="shared" si="134"/>
        <v>348</v>
      </c>
      <c r="U133" s="955">
        <f t="shared" si="135"/>
        <v>0</v>
      </c>
      <c r="V133" s="956"/>
      <c r="W133" s="977">
        <f t="shared" si="136"/>
        <v>0</v>
      </c>
      <c r="X133" s="1045">
        <v>1</v>
      </c>
      <c r="Y133" s="986">
        <f t="shared" si="138"/>
        <v>348</v>
      </c>
      <c r="Z133" s="987">
        <f t="shared" si="139"/>
        <v>0</v>
      </c>
      <c r="AA133" s="1045">
        <v>1</v>
      </c>
      <c r="AB133" s="986">
        <f t="shared" si="140"/>
        <v>348</v>
      </c>
      <c r="AC133" s="987">
        <f t="shared" si="141"/>
        <v>0</v>
      </c>
      <c r="AD133" s="1045">
        <v>1</v>
      </c>
      <c r="AE133" s="986">
        <f t="shared" si="142"/>
        <v>348</v>
      </c>
      <c r="AF133" s="987">
        <f t="shared" si="143"/>
        <v>0</v>
      </c>
      <c r="AG133" s="1045">
        <v>1</v>
      </c>
      <c r="AH133" s="986">
        <f t="shared" si="144"/>
        <v>348</v>
      </c>
      <c r="AI133" s="987">
        <f t="shared" si="145"/>
        <v>0</v>
      </c>
      <c r="AJ133" s="1045">
        <v>1</v>
      </c>
      <c r="AK133" s="986">
        <f t="shared" si="146"/>
        <v>348</v>
      </c>
      <c r="AL133" s="987">
        <f t="shared" si="147"/>
        <v>0</v>
      </c>
      <c r="AN133" s="985">
        <f t="shared" si="153"/>
        <v>1</v>
      </c>
      <c r="AO133" s="986">
        <f t="shared" si="148"/>
        <v>1178.96</v>
      </c>
      <c r="AP133" s="985">
        <f t="shared" si="154"/>
        <v>1</v>
      </c>
      <c r="AQ133" s="986">
        <f t="shared" si="149"/>
        <v>1178.96</v>
      </c>
      <c r="AR133" s="985">
        <f t="shared" si="155"/>
        <v>1</v>
      </c>
      <c r="AS133" s="986">
        <f t="shared" si="150"/>
        <v>1178.96</v>
      </c>
      <c r="AT133" s="985">
        <f t="shared" si="156"/>
        <v>1</v>
      </c>
      <c r="AU133" s="986">
        <f t="shared" si="151"/>
        <v>1178.96</v>
      </c>
      <c r="AV133" s="985">
        <f t="shared" si="157"/>
        <v>1</v>
      </c>
      <c r="AW133" s="986">
        <f t="shared" si="152"/>
        <v>1178.96</v>
      </c>
      <c r="AX133" s="1788"/>
    </row>
    <row r="134" spans="11:51">
      <c r="K134" s="712"/>
      <c r="M134" s="932"/>
      <c r="N134" s="938" t="s">
        <v>97</v>
      </c>
      <c r="O134" s="934"/>
      <c r="P134" s="934"/>
      <c r="Q134" s="934"/>
      <c r="R134" s="935"/>
      <c r="S134" s="946"/>
      <c r="T134" s="958">
        <f t="shared" si="134"/>
        <v>0</v>
      </c>
      <c r="U134" s="955">
        <f t="shared" si="135"/>
        <v>0</v>
      </c>
      <c r="V134" s="956"/>
      <c r="W134" s="977">
        <f t="shared" si="136"/>
        <v>0</v>
      </c>
      <c r="X134" s="985"/>
      <c r="Y134" s="986">
        <f>SUM(Y125:Y133)</f>
        <v>3460</v>
      </c>
      <c r="Z134" s="986">
        <f>SUM(Z125:Z133)</f>
        <v>0</v>
      </c>
      <c r="AA134" s="985"/>
      <c r="AB134" s="986">
        <f>SUM(AB125:AB133)</f>
        <v>3460</v>
      </c>
      <c r="AC134" s="986">
        <f>SUM(AC125:AC133)</f>
        <v>0</v>
      </c>
      <c r="AD134" s="985"/>
      <c r="AE134" s="986">
        <f>SUM(AE125:AE133)</f>
        <v>3460</v>
      </c>
      <c r="AF134" s="986">
        <f>SUM(AF125:AF133)</f>
        <v>0</v>
      </c>
      <c r="AG134" s="985"/>
      <c r="AH134" s="986">
        <f>SUM(AH125:AH133)</f>
        <v>3460</v>
      </c>
      <c r="AI134" s="986">
        <f>SUM(AI125:AI133)</f>
        <v>0</v>
      </c>
      <c r="AJ134" s="986">
        <f>SUM(AJ125:AJ133)</f>
        <v>9</v>
      </c>
      <c r="AK134" s="986">
        <f>SUM(AK125:AK133)</f>
        <v>3460</v>
      </c>
      <c r="AL134" s="987">
        <f t="shared" si="147"/>
        <v>0</v>
      </c>
      <c r="AN134" s="836">
        <f>SUM(AN126:AN133)</f>
        <v>8</v>
      </c>
      <c r="AO134" s="836">
        <f t="shared" ref="AO134" si="158">SUM(AO126:AO133)</f>
        <v>9431.68</v>
      </c>
      <c r="AP134" s="836">
        <f t="shared" ref="AP134" si="159">SUM(AP126:AP133)</f>
        <v>8</v>
      </c>
      <c r="AQ134" s="836">
        <f t="shared" ref="AQ134" si="160">SUM(AQ126:AQ133)</f>
        <v>9431.68</v>
      </c>
      <c r="AR134" s="836">
        <f t="shared" ref="AR134" si="161">SUM(AR126:AR133)</f>
        <v>8</v>
      </c>
      <c r="AS134" s="836">
        <f t="shared" ref="AS134" si="162">SUM(AS126:AS133)</f>
        <v>9431.68</v>
      </c>
      <c r="AT134" s="836">
        <f t="shared" ref="AT134" si="163">SUM(AT126:AT133)</f>
        <v>8</v>
      </c>
      <c r="AU134" s="836">
        <f t="shared" ref="AU134" si="164">SUM(AU126:AU133)</f>
        <v>9431.68</v>
      </c>
      <c r="AV134" s="836">
        <f t="shared" ref="AV134" si="165">SUM(AV126:AV133)</f>
        <v>8</v>
      </c>
      <c r="AW134" s="836">
        <f t="shared" ref="AW134" si="166">SUM(AW126:AW133)</f>
        <v>9431.68</v>
      </c>
      <c r="AX134" s="1788"/>
    </row>
    <row r="135" spans="11:51" ht="16">
      <c r="K135" s="712"/>
      <c r="M135" s="926"/>
      <c r="N135" s="940"/>
      <c r="O135" s="942"/>
      <c r="P135" s="942"/>
      <c r="Q135" s="942"/>
      <c r="R135" s="942"/>
      <c r="S135" s="942"/>
      <c r="T135" s="942"/>
      <c r="V135" s="942"/>
      <c r="W135" s="920"/>
      <c r="X135" s="920"/>
      <c r="Y135" s="920"/>
      <c r="Z135" s="920"/>
      <c r="AA135" s="920"/>
      <c r="AB135" s="920"/>
      <c r="AX135" s="1788"/>
    </row>
    <row r="136" spans="11:51" ht="17" thickBot="1">
      <c r="K136" s="712"/>
      <c r="M136" s="926"/>
      <c r="N136" s="940"/>
      <c r="O136" s="942"/>
      <c r="P136" s="942"/>
      <c r="Q136" s="942"/>
      <c r="R136" s="942"/>
      <c r="S136" s="942"/>
      <c r="T136" s="942"/>
      <c r="V136" s="942"/>
      <c r="W136" s="920"/>
      <c r="X136" s="920"/>
      <c r="Y136" s="920"/>
      <c r="Z136" s="920"/>
      <c r="AA136" s="920"/>
      <c r="AB136" s="920"/>
      <c r="AX136" s="1788"/>
    </row>
    <row r="137" spans="11:51" ht="17" thickBot="1">
      <c r="K137" s="712"/>
      <c r="L137" s="920"/>
      <c r="M137" s="926"/>
      <c r="N137" s="857" t="s">
        <v>97</v>
      </c>
      <c r="O137" s="995">
        <v>2021</v>
      </c>
      <c r="P137" s="995">
        <v>2022</v>
      </c>
      <c r="Q137" s="995">
        <v>2023</v>
      </c>
      <c r="R137" s="995">
        <v>2024</v>
      </c>
      <c r="S137" s="995">
        <v>2025</v>
      </c>
      <c r="T137" s="994"/>
      <c r="U137" s="733" t="s">
        <v>338</v>
      </c>
      <c r="V137" s="545"/>
      <c r="W137" s="545"/>
      <c r="X137" s="545"/>
      <c r="Y137" s="545"/>
      <c r="Z137" s="545"/>
      <c r="AA137" s="545" t="s">
        <v>351</v>
      </c>
      <c r="AB137" s="545"/>
      <c r="AC137" s="545"/>
      <c r="AD137" s="545"/>
      <c r="AE137" s="545"/>
      <c r="AF137" s="857"/>
      <c r="AX137" s="1788"/>
    </row>
    <row r="138" spans="11:51" ht="17" thickBot="1">
      <c r="K138" s="712"/>
      <c r="L138" s="920"/>
      <c r="M138" s="926"/>
      <c r="N138" s="964" t="s">
        <v>1981</v>
      </c>
      <c r="O138" s="972">
        <f>Y134</f>
        <v>3460</v>
      </c>
      <c r="P138" s="972">
        <f>AB134</f>
        <v>3460</v>
      </c>
      <c r="Q138" s="972">
        <f>AE134</f>
        <v>3460</v>
      </c>
      <c r="R138" s="972">
        <f>AH134</f>
        <v>3460</v>
      </c>
      <c r="S138" s="972">
        <f>AK134</f>
        <v>3460</v>
      </c>
      <c r="T138" s="942"/>
      <c r="U138" s="1046">
        <v>2021</v>
      </c>
      <c r="V138" s="1047">
        <v>2022</v>
      </c>
      <c r="W138" s="1047">
        <v>2023</v>
      </c>
      <c r="X138" s="1047">
        <v>2024</v>
      </c>
      <c r="Y138" s="1048">
        <v>2025</v>
      </c>
      <c r="Z138" s="563" t="s">
        <v>238</v>
      </c>
      <c r="AA138" s="1057">
        <v>2021</v>
      </c>
      <c r="AB138" s="1058">
        <v>2022</v>
      </c>
      <c r="AC138" s="1058">
        <v>2023</v>
      </c>
      <c r="AD138" s="1058">
        <v>2024</v>
      </c>
      <c r="AE138" s="1059">
        <v>2025</v>
      </c>
      <c r="AX138" s="1788"/>
    </row>
    <row r="139" spans="11:51" ht="32">
      <c r="K139" s="712"/>
      <c r="L139" s="920"/>
      <c r="M139" s="926"/>
      <c r="N139" s="963" t="s">
        <v>2028</v>
      </c>
      <c r="O139" s="972">
        <f>O138/100*$O$10</f>
        <v>617.61000000000013</v>
      </c>
      <c r="P139" s="972">
        <f>P138/100*$O$10</f>
        <v>617.61000000000013</v>
      </c>
      <c r="Q139" s="972">
        <f>Q138/100*$O$10</f>
        <v>617.61000000000013</v>
      </c>
      <c r="R139" s="972">
        <f>R138/100*$O$10</f>
        <v>617.61000000000013</v>
      </c>
      <c r="S139" s="972">
        <f>S138/100*$O$10</f>
        <v>617.61000000000013</v>
      </c>
      <c r="T139" s="942"/>
      <c r="U139" s="1049"/>
      <c r="V139" s="960"/>
      <c r="W139" s="960"/>
      <c r="X139" s="960"/>
      <c r="Y139" s="62"/>
      <c r="AA139" s="1049"/>
      <c r="AB139" s="960"/>
      <c r="AC139" s="960"/>
      <c r="AD139" s="960"/>
      <c r="AE139" s="62"/>
      <c r="AX139" s="1788"/>
    </row>
    <row r="140" spans="11:51" ht="32">
      <c r="K140" s="712"/>
      <c r="L140" s="920"/>
      <c r="M140" s="926"/>
      <c r="N140" s="963" t="s">
        <v>2027</v>
      </c>
      <c r="O140" s="972">
        <f>ROUND(O139*$O$10,2)</f>
        <v>11024.34</v>
      </c>
      <c r="P140" s="972">
        <f>ROUND(P139*$O$10,2)</f>
        <v>11024.34</v>
      </c>
      <c r="Q140" s="972">
        <f>ROUND(Q139*$O$10,2)</f>
        <v>11024.34</v>
      </c>
      <c r="R140" s="972">
        <f>ROUND(R139*$O$10,2)</f>
        <v>11024.34</v>
      </c>
      <c r="S140" s="972">
        <f>ROUND(S139*$O$10,2)</f>
        <v>11024.34</v>
      </c>
      <c r="T140" s="942"/>
      <c r="U140" s="1049"/>
      <c r="V140" s="1050"/>
      <c r="W140" s="1051"/>
      <c r="X140" s="1051"/>
      <c r="Y140" s="1052"/>
      <c r="Z140" s="920"/>
      <c r="AA140" s="1060"/>
      <c r="AB140" s="1051"/>
      <c r="AC140" s="960"/>
      <c r="AD140" s="960"/>
      <c r="AE140" s="62"/>
      <c r="AX140" s="1788"/>
    </row>
    <row r="141" spans="11:51" ht="32">
      <c r="K141" s="712"/>
      <c r="L141" s="920"/>
      <c r="M141" s="926"/>
      <c r="N141" s="963" t="s">
        <v>2029</v>
      </c>
      <c r="O141" s="972">
        <f>O138/10000*$O$11</f>
        <v>1.73</v>
      </c>
      <c r="P141" s="972">
        <f>P138/10000*$O$11</f>
        <v>1.73</v>
      </c>
      <c r="Q141" s="972">
        <f>Q138/10000*$O$11</f>
        <v>1.73</v>
      </c>
      <c r="R141" s="972">
        <f>R138/10000*$O$11</f>
        <v>1.73</v>
      </c>
      <c r="S141" s="972">
        <f>S138/10000*$O$11</f>
        <v>1.73</v>
      </c>
      <c r="T141" s="942"/>
      <c r="U141" s="1049"/>
      <c r="V141" s="1050"/>
      <c r="W141" s="1051"/>
      <c r="X141" s="1051"/>
      <c r="Y141" s="1052"/>
      <c r="Z141" s="920"/>
      <c r="AA141" s="1571"/>
      <c r="AB141" s="1572"/>
      <c r="AC141" s="1573"/>
      <c r="AD141" s="1573"/>
      <c r="AE141" s="1574"/>
      <c r="AF141" s="1575"/>
      <c r="AX141" s="1788"/>
    </row>
    <row r="142" spans="11:51" ht="32">
      <c r="K142" s="712"/>
      <c r="L142" s="920"/>
      <c r="M142" s="926"/>
      <c r="N142" s="963" t="s">
        <v>2030</v>
      </c>
      <c r="O142" s="972">
        <f>O141*$O$12</f>
        <v>207.6</v>
      </c>
      <c r="P142" s="972">
        <f>P141*$O$12</f>
        <v>207.6</v>
      </c>
      <c r="Q142" s="972">
        <f>Q141*$O$12</f>
        <v>207.6</v>
      </c>
      <c r="R142" s="972">
        <f>R141*$O$12</f>
        <v>207.6</v>
      </c>
      <c r="S142" s="972">
        <f>S141*$O$12</f>
        <v>207.6</v>
      </c>
      <c r="U142" s="1053"/>
      <c r="V142" s="1054"/>
      <c r="W142" s="1055"/>
      <c r="X142" s="1055"/>
      <c r="Y142" s="1056"/>
      <c r="Z142" s="962"/>
      <c r="AA142" s="1061"/>
      <c r="AB142" s="1055"/>
      <c r="AC142" s="1576"/>
      <c r="AD142" s="1576"/>
      <c r="AE142" s="1577"/>
      <c r="AF142" s="1575"/>
      <c r="AX142" s="1788"/>
    </row>
    <row r="143" spans="11:51" ht="32">
      <c r="K143" s="712"/>
      <c r="L143" s="920"/>
      <c r="M143" s="926"/>
      <c r="N143" s="963" t="s">
        <v>2032</v>
      </c>
      <c r="O143" s="972">
        <f>O138/10000*$O$13</f>
        <v>1314.8</v>
      </c>
      <c r="P143" s="972">
        <f>P138/10000*$O$13</f>
        <v>1314.8</v>
      </c>
      <c r="Q143" s="972">
        <f>Q138/10000*$O$13</f>
        <v>1314.8</v>
      </c>
      <c r="R143" s="972">
        <f>R138/10000*$O$13</f>
        <v>1314.8</v>
      </c>
      <c r="S143" s="972">
        <f>S138/10000*$O$13</f>
        <v>1314.8</v>
      </c>
      <c r="U143" s="1062">
        <f>100%-AA143</f>
        <v>0.5</v>
      </c>
      <c r="V143" s="997">
        <f t="shared" ref="V143" si="167">100%-AB143</f>
        <v>0.55000000000000004</v>
      </c>
      <c r="W143" s="997">
        <f t="shared" ref="W143" si="168">100%-AC143</f>
        <v>0.6</v>
      </c>
      <c r="X143" s="997">
        <f t="shared" ref="X143" si="169">100%-AD143</f>
        <v>1</v>
      </c>
      <c r="Y143" s="1063">
        <f t="shared" ref="Y143" si="170">100%-AE143</f>
        <v>1</v>
      </c>
      <c r="Z143" s="996" t="s">
        <v>238</v>
      </c>
      <c r="AA143" s="1578">
        <v>0.5</v>
      </c>
      <c r="AB143" s="1579">
        <v>0.44999999999999996</v>
      </c>
      <c r="AC143" s="1579">
        <v>0.4</v>
      </c>
      <c r="AD143" s="997">
        <v>0</v>
      </c>
      <c r="AE143" s="1063">
        <v>0</v>
      </c>
      <c r="AF143" s="1575"/>
      <c r="AX143" s="1788"/>
    </row>
    <row r="144" spans="11:51" ht="17" thickBot="1">
      <c r="K144" s="712"/>
      <c r="M144" s="926"/>
      <c r="N144" s="940" t="s">
        <v>1887</v>
      </c>
      <c r="O144" s="995">
        <f>O140+O142+O143</f>
        <v>12546.74</v>
      </c>
      <c r="P144" s="995">
        <f t="shared" ref="P144:S144" si="171">P140+P142+P143</f>
        <v>12546.74</v>
      </c>
      <c r="Q144" s="995">
        <f t="shared" si="171"/>
        <v>12546.74</v>
      </c>
      <c r="R144" s="995">
        <f t="shared" si="171"/>
        <v>12546.74</v>
      </c>
      <c r="S144" s="995">
        <f t="shared" si="171"/>
        <v>12546.74</v>
      </c>
      <c r="U144" s="1787">
        <f>ROUND(O144*U143,2)</f>
        <v>6273.37</v>
      </c>
      <c r="V144" s="1787">
        <f t="shared" ref="V144" si="172">ROUND(P144*V143,2)</f>
        <v>6900.71</v>
      </c>
      <c r="W144" s="1787">
        <f t="shared" ref="W144" si="173">ROUND(Q144*W143,2)</f>
        <v>7528.04</v>
      </c>
      <c r="X144" s="1787">
        <f t="shared" ref="X144" si="174">ROUND(R144*X143,2)</f>
        <v>12546.74</v>
      </c>
      <c r="Y144" s="1787">
        <f t="shared" ref="Y144" si="175">ROUND(S144*Y143,2)</f>
        <v>12546.74</v>
      </c>
      <c r="Z144" s="962"/>
      <c r="AA144" s="1787">
        <f>ROUND(O144*AA143,2)</f>
        <v>6273.37</v>
      </c>
      <c r="AB144" s="1787">
        <f t="shared" ref="AB144" si="176">ROUND(P144*AB143,2)</f>
        <v>5646.03</v>
      </c>
      <c r="AC144" s="1787">
        <f t="shared" ref="AC144" si="177">ROUND(Q144*AC143,2)</f>
        <v>5018.7</v>
      </c>
      <c r="AD144" s="1787">
        <f t="shared" ref="AD144" si="178">ROUND(R144*AD143,2)</f>
        <v>0</v>
      </c>
      <c r="AE144" s="1787">
        <f t="shared" ref="AE144" si="179">ROUND(S144*AE143,2)</f>
        <v>0</v>
      </c>
      <c r="AF144" s="1575"/>
      <c r="AX144" s="1788"/>
      <c r="AY144" s="1791">
        <f>SUM(U144:AE144)</f>
        <v>62733.7</v>
      </c>
    </row>
    <row r="145" spans="1:51" ht="17" thickBot="1">
      <c r="A145" s="730">
        <v>63</v>
      </c>
      <c r="B145" s="733">
        <f>U144</f>
        <v>6273.37</v>
      </c>
      <c r="C145" s="733">
        <f t="shared" ref="C145" si="180">V144</f>
        <v>6900.71</v>
      </c>
      <c r="D145" s="733">
        <f t="shared" ref="D145" si="181">W144</f>
        <v>7528.04</v>
      </c>
      <c r="E145" s="733">
        <f t="shared" ref="E145" si="182">X144</f>
        <v>12546.74</v>
      </c>
      <c r="F145" s="733">
        <f t="shared" ref="F145" si="183">Y144</f>
        <v>12546.74</v>
      </c>
      <c r="G145" s="733" t="s">
        <v>338</v>
      </c>
      <c r="H145" s="842" t="s">
        <v>3105</v>
      </c>
      <c r="I145" s="843"/>
      <c r="J145" s="841" t="s">
        <v>3129</v>
      </c>
      <c r="K145" s="712"/>
      <c r="M145" s="926"/>
      <c r="N145" s="940"/>
      <c r="O145" s="942"/>
      <c r="P145" s="942"/>
      <c r="Q145" s="942"/>
      <c r="R145" s="942"/>
      <c r="S145" s="942"/>
      <c r="U145" s="1062">
        <f>100%-AA145</f>
        <v>0.5</v>
      </c>
      <c r="V145" s="997">
        <f t="shared" ref="V145" si="184">100%-AB145</f>
        <v>0.55000000000000004</v>
      </c>
      <c r="W145" s="997">
        <f t="shared" ref="W145" si="185">100%-AC145</f>
        <v>0.6</v>
      </c>
      <c r="X145" s="997">
        <f t="shared" ref="X145" si="186">100%-AD145</f>
        <v>1</v>
      </c>
      <c r="Y145" s="1063">
        <f t="shared" ref="Y145" si="187">100%-AE145</f>
        <v>1</v>
      </c>
      <c r="Z145" s="996" t="s">
        <v>238</v>
      </c>
      <c r="AA145" s="1578">
        <v>0.5</v>
      </c>
      <c r="AB145" s="1579">
        <v>0.44999999999999996</v>
      </c>
      <c r="AC145" s="1579">
        <v>0.4</v>
      </c>
      <c r="AD145" s="997">
        <v>0</v>
      </c>
      <c r="AE145" s="1063">
        <v>0</v>
      </c>
      <c r="AF145" s="1575"/>
      <c r="AX145" s="1788"/>
      <c r="AY145" s="1791"/>
    </row>
    <row r="146" spans="1:51" ht="17" thickBot="1">
      <c r="A146" s="730">
        <v>64</v>
      </c>
      <c r="B146" s="733">
        <f>AA144</f>
        <v>6273.37</v>
      </c>
      <c r="C146" s="733">
        <f t="shared" ref="C146" si="188">AB144</f>
        <v>5646.03</v>
      </c>
      <c r="D146" s="733">
        <f t="shared" ref="D146" si="189">AC144</f>
        <v>5018.7</v>
      </c>
      <c r="E146" s="733">
        <f t="shared" ref="E146" si="190">AD144</f>
        <v>0</v>
      </c>
      <c r="F146" s="733">
        <f t="shared" ref="F146" si="191">AE144</f>
        <v>0</v>
      </c>
      <c r="G146" s="733" t="s">
        <v>351</v>
      </c>
      <c r="H146" s="842" t="s">
        <v>3105</v>
      </c>
      <c r="I146" s="843"/>
      <c r="J146" s="841" t="s">
        <v>3129</v>
      </c>
      <c r="K146" s="712"/>
      <c r="M146" s="926"/>
      <c r="N146" s="963" t="s">
        <v>2031</v>
      </c>
      <c r="O146" s="946">
        <f>Z134</f>
        <v>0</v>
      </c>
      <c r="P146" s="946">
        <f>AC134</f>
        <v>0</v>
      </c>
      <c r="Q146" s="946">
        <f>AF134</f>
        <v>0</v>
      </c>
      <c r="R146" s="946">
        <f>AI134</f>
        <v>0</v>
      </c>
      <c r="S146" s="946">
        <f>AL134</f>
        <v>0</v>
      </c>
      <c r="U146" s="1787">
        <f>ROUND(O146*U145,2)</f>
        <v>0</v>
      </c>
      <c r="V146" s="1787">
        <f t="shared" ref="V146" si="192">ROUND(P146*V145,2)</f>
        <v>0</v>
      </c>
      <c r="W146" s="1787">
        <f t="shared" ref="W146" si="193">ROUND(Q146*W145,2)</f>
        <v>0</v>
      </c>
      <c r="X146" s="1787">
        <f t="shared" ref="X146" si="194">ROUND(R146*X145,2)</f>
        <v>0</v>
      </c>
      <c r="Y146" s="1787">
        <f t="shared" ref="Y146" si="195">ROUND(S146*Y145,2)</f>
        <v>0</v>
      </c>
      <c r="Z146" s="734"/>
      <c r="AA146" s="1787">
        <f>ROUND(O146*AA145,2)</f>
        <v>0</v>
      </c>
      <c r="AB146" s="1787">
        <f t="shared" ref="AB146" si="196">ROUND(P146*AB145,2)</f>
        <v>0</v>
      </c>
      <c r="AC146" s="1787">
        <f t="shared" ref="AC146" si="197">ROUND(Q146*AC145,2)</f>
        <v>0</v>
      </c>
      <c r="AD146" s="1787">
        <f t="shared" ref="AD146" si="198">ROUND(R146*AD145,2)</f>
        <v>0</v>
      </c>
      <c r="AE146" s="1787">
        <f t="shared" ref="AE146" si="199">ROUND(S146*AE145,2)</f>
        <v>0</v>
      </c>
      <c r="AF146" s="1575"/>
      <c r="AX146" s="1788"/>
      <c r="AY146" s="1791">
        <f>SUM(U146:AE146)</f>
        <v>0</v>
      </c>
    </row>
    <row r="147" spans="1:51" ht="17" thickBot="1">
      <c r="A147" s="730">
        <v>65</v>
      </c>
      <c r="B147" s="733">
        <f>U146</f>
        <v>0</v>
      </c>
      <c r="C147" s="733">
        <f t="shared" ref="C147" si="200">V146</f>
        <v>0</v>
      </c>
      <c r="D147" s="733">
        <f t="shared" ref="D147" si="201">W146</f>
        <v>0</v>
      </c>
      <c r="E147" s="733">
        <f t="shared" ref="E147" si="202">X146</f>
        <v>0</v>
      </c>
      <c r="F147" s="733">
        <f t="shared" ref="F147" si="203">Y146</f>
        <v>0</v>
      </c>
      <c r="G147" s="733" t="s">
        <v>338</v>
      </c>
      <c r="H147" s="842" t="s">
        <v>3106</v>
      </c>
      <c r="I147" s="843"/>
      <c r="J147" s="841" t="s">
        <v>3129</v>
      </c>
      <c r="K147" s="712"/>
      <c r="M147" s="926"/>
      <c r="N147" s="940" t="s">
        <v>1887</v>
      </c>
      <c r="O147" s="995">
        <f>O146+O144</f>
        <v>12546.74</v>
      </c>
      <c r="P147" s="995">
        <f t="shared" ref="P147:S147" si="204">P146+P144</f>
        <v>12546.74</v>
      </c>
      <c r="Q147" s="995">
        <f t="shared" si="204"/>
        <v>12546.74</v>
      </c>
      <c r="R147" s="995">
        <f t="shared" si="204"/>
        <v>12546.74</v>
      </c>
      <c r="S147" s="995">
        <f t="shared" si="204"/>
        <v>12546.74</v>
      </c>
      <c r="U147" s="1793">
        <f>U144+U146</f>
        <v>6273.37</v>
      </c>
      <c r="V147" s="1793">
        <f>V144+V146</f>
        <v>6900.71</v>
      </c>
      <c r="W147" s="1793">
        <f t="shared" ref="W147:Y147" si="205">W144+W146</f>
        <v>7528.04</v>
      </c>
      <c r="X147" s="1793">
        <f t="shared" si="205"/>
        <v>12546.74</v>
      </c>
      <c r="Y147" s="1793">
        <f t="shared" si="205"/>
        <v>12546.74</v>
      </c>
      <c r="Z147" s="1794"/>
      <c r="AA147" s="1793">
        <f>AA144+AA146</f>
        <v>6273.37</v>
      </c>
      <c r="AB147" s="1793">
        <f t="shared" ref="AB147:AE147" si="206">AB144+AB146</f>
        <v>5646.03</v>
      </c>
      <c r="AC147" s="1793">
        <f t="shared" si="206"/>
        <v>5018.7</v>
      </c>
      <c r="AD147" s="1793">
        <f t="shared" si="206"/>
        <v>0</v>
      </c>
      <c r="AE147" s="1793">
        <f t="shared" si="206"/>
        <v>0</v>
      </c>
      <c r="AF147" s="1580"/>
      <c r="AX147" s="1788"/>
      <c r="AY147" s="1791"/>
    </row>
    <row r="148" spans="1:51" ht="17" thickBot="1">
      <c r="A148" s="730">
        <v>66</v>
      </c>
      <c r="B148" s="733">
        <f>AA146</f>
        <v>0</v>
      </c>
      <c r="C148" s="733">
        <f>AB146</f>
        <v>0</v>
      </c>
      <c r="D148" s="733">
        <f>AC146</f>
        <v>0</v>
      </c>
      <c r="E148" s="733">
        <f>AD146</f>
        <v>0</v>
      </c>
      <c r="F148" s="733">
        <f>AE146</f>
        <v>0</v>
      </c>
      <c r="G148" s="733" t="s">
        <v>351</v>
      </c>
      <c r="H148" s="842" t="s">
        <v>3106</v>
      </c>
      <c r="I148" s="843"/>
      <c r="J148" s="841" t="s">
        <v>3129</v>
      </c>
      <c r="K148" s="712"/>
      <c r="N148" s="940"/>
      <c r="O148" s="995"/>
      <c r="P148" s="995"/>
      <c r="Q148" s="995"/>
      <c r="R148" s="995"/>
      <c r="S148" s="995"/>
      <c r="U148" s="1795"/>
      <c r="V148" s="1795"/>
      <c r="W148" s="1795"/>
      <c r="X148" s="1795"/>
      <c r="Y148" s="1795"/>
      <c r="Z148" s="1794"/>
      <c r="AA148" s="1796"/>
      <c r="AB148" s="1796"/>
      <c r="AC148" s="1796"/>
      <c r="AD148" s="1796"/>
      <c r="AE148" s="1796"/>
      <c r="AF148" s="1575"/>
      <c r="AX148" s="1788"/>
    </row>
    <row r="149" spans="1:51" ht="17" thickBot="1">
      <c r="K149" s="712"/>
      <c r="N149" s="946" t="s">
        <v>2454</v>
      </c>
      <c r="O149" s="946">
        <f>AO134</f>
        <v>9431.68</v>
      </c>
      <c r="P149" s="946">
        <f>AQ134</f>
        <v>9431.68</v>
      </c>
      <c r="Q149" s="946">
        <f>AS134</f>
        <v>9431.68</v>
      </c>
      <c r="R149" s="946">
        <f>AU134</f>
        <v>9431.68</v>
      </c>
      <c r="S149" s="946">
        <f>AW134</f>
        <v>9431.68</v>
      </c>
      <c r="U149" s="1783">
        <f>100%-AA149</f>
        <v>0</v>
      </c>
      <c r="V149" s="1784">
        <f t="shared" ref="V149" si="207">100%-AB149</f>
        <v>0</v>
      </c>
      <c r="W149" s="1784">
        <f t="shared" ref="W149" si="208">100%-AC149</f>
        <v>0</v>
      </c>
      <c r="X149" s="1785">
        <v>0</v>
      </c>
      <c r="Y149" s="1786">
        <v>0</v>
      </c>
      <c r="Z149" s="996" t="s">
        <v>238</v>
      </c>
      <c r="AA149" s="1578">
        <v>1</v>
      </c>
      <c r="AB149" s="1579">
        <v>1</v>
      </c>
      <c r="AC149" s="1579">
        <v>1</v>
      </c>
      <c r="AD149" s="997">
        <v>0</v>
      </c>
      <c r="AE149" s="1063">
        <v>0</v>
      </c>
      <c r="AF149" s="1575"/>
      <c r="AX149" s="1788"/>
    </row>
    <row r="150" spans="1:51" ht="17" thickBot="1">
      <c r="A150" s="730">
        <v>67</v>
      </c>
      <c r="B150" s="733">
        <f>U150</f>
        <v>0</v>
      </c>
      <c r="C150" s="733">
        <f t="shared" ref="C150" si="209">V150</f>
        <v>0</v>
      </c>
      <c r="D150" s="733">
        <f t="shared" ref="D150" si="210">W150</f>
        <v>0</v>
      </c>
      <c r="E150" s="733">
        <f t="shared" ref="E150" si="211">X150</f>
        <v>0</v>
      </c>
      <c r="F150" s="733">
        <f t="shared" ref="F150" si="212">Y150</f>
        <v>0</v>
      </c>
      <c r="G150" s="733" t="s">
        <v>338</v>
      </c>
      <c r="H150" s="842" t="s">
        <v>3106</v>
      </c>
      <c r="I150" s="843"/>
      <c r="J150" s="841" t="s">
        <v>3129</v>
      </c>
      <c r="K150" s="712"/>
      <c r="N150" s="940"/>
      <c r="O150" s="942"/>
      <c r="P150" s="942"/>
      <c r="Q150" s="942"/>
      <c r="R150" s="942"/>
      <c r="S150" s="942"/>
      <c r="T150" s="942"/>
      <c r="U150" s="1787">
        <f>U149*O149</f>
        <v>0</v>
      </c>
      <c r="V150" s="1787">
        <f t="shared" ref="V150" si="213">V149*P149</f>
        <v>0</v>
      </c>
      <c r="W150" s="1787">
        <f t="shared" ref="W150" si="214">W149*Q149</f>
        <v>0</v>
      </c>
      <c r="X150" s="1787">
        <f t="shared" ref="X150" si="215">X149*R149</f>
        <v>0</v>
      </c>
      <c r="Y150" s="1787">
        <f t="shared" ref="Y150" si="216">Y149*S149</f>
        <v>0</v>
      </c>
      <c r="AA150" s="1787">
        <f>AA149*O149</f>
        <v>9431.68</v>
      </c>
      <c r="AB150" s="1787">
        <f t="shared" ref="AB150" si="217">AB149*P149</f>
        <v>9431.68</v>
      </c>
      <c r="AC150" s="1787">
        <f t="shared" ref="AC150" si="218">AC149*Q149</f>
        <v>9431.68</v>
      </c>
      <c r="AD150" s="1787">
        <f t="shared" ref="AD150" si="219">AD149*R149</f>
        <v>0</v>
      </c>
      <c r="AE150" s="1787">
        <f t="shared" ref="AE150" si="220">AE149*S149</f>
        <v>0</v>
      </c>
      <c r="AF150" s="1575"/>
      <c r="AX150" s="1788"/>
      <c r="AY150" s="1791">
        <f>SUM(U150:AE150)</f>
        <v>28295.040000000001</v>
      </c>
    </row>
    <row r="151" spans="1:51" ht="16" thickBot="1">
      <c r="A151" s="730">
        <v>68</v>
      </c>
      <c r="B151" s="733">
        <f>AA150</f>
        <v>9431.68</v>
      </c>
      <c r="C151" s="733">
        <f t="shared" ref="C151" si="221">AB150</f>
        <v>9431.68</v>
      </c>
      <c r="D151" s="733">
        <f t="shared" ref="D151" si="222">AC150</f>
        <v>9431.68</v>
      </c>
      <c r="E151" s="733">
        <f t="shared" ref="E151" si="223">AD150</f>
        <v>0</v>
      </c>
      <c r="F151" s="733">
        <f t="shared" ref="F151" si="224">AE150</f>
        <v>0</v>
      </c>
      <c r="G151" s="733" t="s">
        <v>351</v>
      </c>
      <c r="H151" s="842" t="s">
        <v>3106</v>
      </c>
      <c r="I151" s="843"/>
      <c r="J151" s="841" t="s">
        <v>3129</v>
      </c>
      <c r="K151" s="712"/>
      <c r="AA151" s="1575"/>
      <c r="AB151" s="1575"/>
      <c r="AC151" s="1575"/>
      <c r="AD151" s="1575"/>
      <c r="AE151" s="1575"/>
      <c r="AF151" s="1575"/>
      <c r="AX151" s="1788"/>
    </row>
    <row r="152" spans="1:51">
      <c r="K152" s="712"/>
      <c r="AA152" s="1575"/>
      <c r="AB152" s="1575"/>
      <c r="AC152" s="1575"/>
      <c r="AD152" s="1575"/>
      <c r="AE152" s="1575"/>
      <c r="AF152" s="1575"/>
      <c r="AX152" s="1788"/>
    </row>
    <row r="153" spans="1:51">
      <c r="K153" s="712"/>
      <c r="AA153" s="1575"/>
      <c r="AB153" s="1575"/>
      <c r="AC153" s="1575"/>
      <c r="AD153" s="1575"/>
      <c r="AE153" s="1575"/>
      <c r="AF153" s="1575"/>
      <c r="AX153" s="1788"/>
    </row>
    <row r="154" spans="1:51">
      <c r="K154" s="712"/>
      <c r="AA154" s="1575"/>
      <c r="AB154" s="1575"/>
      <c r="AC154" s="1575"/>
      <c r="AD154" s="1575"/>
      <c r="AE154" s="1575"/>
      <c r="AF154" s="1575"/>
      <c r="AX154" s="1788"/>
    </row>
    <row r="155" spans="1:51">
      <c r="K155" s="712"/>
      <c r="AA155" s="1575"/>
      <c r="AB155" s="1575"/>
      <c r="AC155" s="1575"/>
      <c r="AD155" s="1575"/>
      <c r="AE155" s="1575"/>
      <c r="AF155" s="1575"/>
      <c r="AX155" s="1788"/>
    </row>
    <row r="156" spans="1:51">
      <c r="K156" s="712"/>
      <c r="AX156" s="1788"/>
    </row>
    <row r="157" spans="1:51">
      <c r="K157" s="712"/>
      <c r="AX157" s="1788"/>
    </row>
    <row r="158" spans="1:51">
      <c r="K158" s="712"/>
      <c r="AX158" s="1788"/>
    </row>
    <row r="159" spans="1:51">
      <c r="K159" s="712"/>
      <c r="AX159" s="1788"/>
    </row>
    <row r="160" spans="1:51" ht="16" thickBot="1">
      <c r="K160" s="712"/>
      <c r="AX160" s="1788"/>
    </row>
    <row r="161" spans="11:51" ht="19">
      <c r="K161" s="712"/>
      <c r="M161" s="1780" t="s">
        <v>2455</v>
      </c>
      <c r="U161" s="979">
        <v>2021</v>
      </c>
      <c r="V161" s="980"/>
      <c r="W161" s="979">
        <v>2022</v>
      </c>
      <c r="X161" s="980"/>
      <c r="Y161" s="979">
        <v>2023</v>
      </c>
      <c r="Z161" s="980"/>
      <c r="AA161" s="979">
        <v>2024</v>
      </c>
      <c r="AB161" s="980"/>
      <c r="AC161" s="979">
        <v>2025</v>
      </c>
      <c r="AD161" s="981"/>
      <c r="AF161" s="979">
        <v>2021</v>
      </c>
      <c r="AG161" s="980"/>
      <c r="AH161" s="979">
        <v>2022</v>
      </c>
      <c r="AI161" s="980"/>
      <c r="AJ161" s="979">
        <v>2023</v>
      </c>
      <c r="AK161" s="980"/>
      <c r="AL161" s="979">
        <v>2024</v>
      </c>
      <c r="AM161" s="980"/>
      <c r="AN161" s="979">
        <v>2025</v>
      </c>
      <c r="AO161" s="980"/>
      <c r="AX161" s="1788"/>
    </row>
    <row r="162" spans="11:51" ht="39">
      <c r="K162" s="712"/>
      <c r="M162" s="943"/>
      <c r="N162" s="958"/>
      <c r="O162" s="1587" t="s">
        <v>2457</v>
      </c>
      <c r="P162" s="1587" t="s">
        <v>2458</v>
      </c>
      <c r="Q162" s="959" t="s">
        <v>2459</v>
      </c>
      <c r="R162" s="974" t="s">
        <v>2021</v>
      </c>
      <c r="S162" s="953" t="s">
        <v>2007</v>
      </c>
      <c r="U162" s="982" t="s">
        <v>2022</v>
      </c>
      <c r="V162" s="983" t="s">
        <v>1981</v>
      </c>
      <c r="W162" s="982" t="s">
        <v>2022</v>
      </c>
      <c r="X162" s="983" t="s">
        <v>1981</v>
      </c>
      <c r="Y162" s="982" t="s">
        <v>2022</v>
      </c>
      <c r="Z162" s="983" t="s">
        <v>1981</v>
      </c>
      <c r="AA162" s="982" t="s">
        <v>2022</v>
      </c>
      <c r="AB162" s="983" t="s">
        <v>1981</v>
      </c>
      <c r="AC162" s="982" t="s">
        <v>2022</v>
      </c>
      <c r="AD162" s="984" t="s">
        <v>1981</v>
      </c>
      <c r="AF162" s="982" t="s">
        <v>2022</v>
      </c>
      <c r="AG162" s="983" t="s">
        <v>3094</v>
      </c>
      <c r="AH162" s="982" t="s">
        <v>2022</v>
      </c>
      <c r="AI162" s="983" t="s">
        <v>3094</v>
      </c>
      <c r="AJ162" s="982" t="s">
        <v>2022</v>
      </c>
      <c r="AK162" s="983" t="s">
        <v>3094</v>
      </c>
      <c r="AL162" s="982" t="s">
        <v>2022</v>
      </c>
      <c r="AM162" s="983" t="s">
        <v>3094</v>
      </c>
      <c r="AN162" s="982" t="s">
        <v>2022</v>
      </c>
      <c r="AO162" s="983" t="s">
        <v>3094</v>
      </c>
      <c r="AX162" s="1788"/>
    </row>
    <row r="163" spans="11:51">
      <c r="K163" s="712"/>
      <c r="N163" s="958" t="s">
        <v>2456</v>
      </c>
      <c r="O163" s="946">
        <v>120</v>
      </c>
      <c r="P163" s="946">
        <v>55</v>
      </c>
      <c r="Q163" s="946">
        <v>2</v>
      </c>
      <c r="R163" s="946">
        <v>1</v>
      </c>
      <c r="S163" s="946">
        <f>O163*2</f>
        <v>240</v>
      </c>
      <c r="U163" s="1045">
        <v>2</v>
      </c>
      <c r="V163" s="986">
        <f>U163*$S163*$P163</f>
        <v>26400</v>
      </c>
      <c r="W163" s="1045">
        <v>2</v>
      </c>
      <c r="X163" s="986">
        <f>W163*$S163*$P163</f>
        <v>26400</v>
      </c>
      <c r="Y163" s="1045">
        <v>2</v>
      </c>
      <c r="Z163" s="986">
        <f>Y163*$S163*$P163</f>
        <v>26400</v>
      </c>
      <c r="AA163" s="1045">
        <v>2</v>
      </c>
      <c r="AB163" s="986">
        <f>AA163*$S163*$P163</f>
        <v>26400</v>
      </c>
      <c r="AC163" s="1045">
        <v>2</v>
      </c>
      <c r="AD163" s="986">
        <f>AC163*$S163*$P163</f>
        <v>26400</v>
      </c>
      <c r="AF163" s="985">
        <f>$P163*U163</f>
        <v>110</v>
      </c>
      <c r="AG163" s="986">
        <f>AF163*$Q163*$O$15</f>
        <v>64842.8</v>
      </c>
      <c r="AH163" s="985">
        <f>$P163*W163</f>
        <v>110</v>
      </c>
      <c r="AI163" s="986">
        <f>AH163*$Q163*$O$15</f>
        <v>64842.8</v>
      </c>
      <c r="AJ163" s="985">
        <f>$P163*Y163</f>
        <v>110</v>
      </c>
      <c r="AK163" s="986">
        <f>AJ163*$Q163*$O$15</f>
        <v>64842.8</v>
      </c>
      <c r="AL163" s="985">
        <f>$P163*AA163</f>
        <v>110</v>
      </c>
      <c r="AM163" s="986">
        <f>AL163*$Q163*$O$15</f>
        <v>64842.8</v>
      </c>
      <c r="AN163" s="985">
        <f>$P163*AC163</f>
        <v>110</v>
      </c>
      <c r="AO163" s="986">
        <f>AN163*$Q163*$O$15</f>
        <v>64842.8</v>
      </c>
      <c r="AX163" s="1788"/>
    </row>
    <row r="164" spans="11:51" ht="16" thickBot="1">
      <c r="K164" s="712"/>
      <c r="N164" s="958" t="s">
        <v>3091</v>
      </c>
      <c r="O164" s="946">
        <v>70</v>
      </c>
      <c r="P164" s="1779">
        <v>7</v>
      </c>
      <c r="Q164" s="946">
        <v>2</v>
      </c>
      <c r="R164" s="946">
        <v>1</v>
      </c>
      <c r="S164" s="946">
        <f>O164*2</f>
        <v>140</v>
      </c>
      <c r="U164" s="1781">
        <v>2</v>
      </c>
      <c r="V164" s="986">
        <f>U164*$S164*$P164</f>
        <v>1960</v>
      </c>
      <c r="W164" s="1781">
        <v>2</v>
      </c>
      <c r="X164" s="986">
        <f>W164*$S164*$P164</f>
        <v>1960</v>
      </c>
      <c r="Y164" s="1781">
        <v>2</v>
      </c>
      <c r="Z164" s="986">
        <f>Y164*$S164*$P164</f>
        <v>1960</v>
      </c>
      <c r="AA164" s="1781">
        <v>2</v>
      </c>
      <c r="AB164" s="986">
        <f>AA164*$S164*$P164</f>
        <v>1960</v>
      </c>
      <c r="AC164" s="1781">
        <v>2</v>
      </c>
      <c r="AD164" s="986">
        <f>AC164*$S164*$P164</f>
        <v>1960</v>
      </c>
      <c r="AF164" s="985">
        <f>$P164*U164</f>
        <v>14</v>
      </c>
      <c r="AG164" s="986">
        <f>AF164*$Q164*$O$15</f>
        <v>8252.7200000000012</v>
      </c>
      <c r="AH164" s="985">
        <f>$P164*W164</f>
        <v>14</v>
      </c>
      <c r="AI164" s="986">
        <f>AH164*$Q164*$O$15</f>
        <v>8252.7200000000012</v>
      </c>
      <c r="AJ164" s="985">
        <f>$P164*Y164</f>
        <v>14</v>
      </c>
      <c r="AK164" s="986">
        <f>AJ164*$Q164*$O$15</f>
        <v>8252.7200000000012</v>
      </c>
      <c r="AL164" s="985">
        <f>$P164*AA164</f>
        <v>14</v>
      </c>
      <c r="AM164" s="986">
        <f>AL164*$Q164*$O$15</f>
        <v>8252.7200000000012</v>
      </c>
      <c r="AN164" s="985">
        <f>$P164*AC164</f>
        <v>14</v>
      </c>
      <c r="AO164" s="986">
        <f>AN164*$Q164*$O$15</f>
        <v>8252.7200000000012</v>
      </c>
      <c r="AX164" s="1788"/>
    </row>
    <row r="165" spans="11:51">
      <c r="K165" s="712"/>
      <c r="AX165" s="1788"/>
    </row>
    <row r="166" spans="11:51" ht="16" thickBot="1">
      <c r="K166" s="712"/>
      <c r="M166" s="431" t="s">
        <v>3092</v>
      </c>
      <c r="AX166" s="1788"/>
    </row>
    <row r="167" spans="11:51" ht="17" thickBot="1">
      <c r="K167" s="712"/>
      <c r="N167" s="857" t="s">
        <v>97</v>
      </c>
      <c r="O167" s="995">
        <v>2021</v>
      </c>
      <c r="P167" s="995">
        <v>2022</v>
      </c>
      <c r="Q167" s="995">
        <v>2023</v>
      </c>
      <c r="R167" s="995">
        <v>2024</v>
      </c>
      <c r="S167" s="995">
        <v>2025</v>
      </c>
      <c r="T167" s="994"/>
      <c r="U167" s="733" t="s">
        <v>338</v>
      </c>
      <c r="V167" s="545"/>
      <c r="W167" s="545"/>
      <c r="X167" s="545"/>
      <c r="Y167" s="545"/>
      <c r="Z167" s="545"/>
      <c r="AA167" s="545" t="s">
        <v>351</v>
      </c>
      <c r="AB167" s="545"/>
      <c r="AC167" s="545"/>
      <c r="AD167" s="545"/>
      <c r="AE167" s="545"/>
      <c r="AX167" s="1788"/>
    </row>
    <row r="168" spans="11:51" ht="17" thickBot="1">
      <c r="K168" s="712"/>
      <c r="N168" s="964" t="s">
        <v>1981</v>
      </c>
      <c r="O168" s="1782">
        <f>V163</f>
        <v>26400</v>
      </c>
      <c r="P168" s="1782">
        <f>X163</f>
        <v>26400</v>
      </c>
      <c r="Q168" s="1782">
        <f>Z163</f>
        <v>26400</v>
      </c>
      <c r="R168" s="1782">
        <f>AB163</f>
        <v>26400</v>
      </c>
      <c r="S168" s="1782">
        <f>AD163</f>
        <v>26400</v>
      </c>
      <c r="T168" s="942"/>
      <c r="U168" s="1046">
        <v>2021</v>
      </c>
      <c r="V168" s="1047">
        <v>2022</v>
      </c>
      <c r="W168" s="1047">
        <v>2023</v>
      </c>
      <c r="X168" s="1047">
        <v>2024</v>
      </c>
      <c r="Y168" s="1048">
        <v>2025</v>
      </c>
      <c r="Z168" s="563" t="s">
        <v>238</v>
      </c>
      <c r="AA168" s="1057">
        <v>2021</v>
      </c>
      <c r="AB168" s="1058">
        <v>2022</v>
      </c>
      <c r="AC168" s="1058">
        <v>2023</v>
      </c>
      <c r="AD168" s="1058">
        <v>2024</v>
      </c>
      <c r="AE168" s="1059">
        <v>2025</v>
      </c>
      <c r="AX168" s="1788"/>
    </row>
    <row r="169" spans="11:51" ht="32">
      <c r="K169" s="712"/>
      <c r="N169" s="963" t="s">
        <v>2028</v>
      </c>
      <c r="O169" s="972">
        <f>O168/100*$O$10</f>
        <v>4712.4000000000005</v>
      </c>
      <c r="P169" s="972">
        <f>P168/100*$O$10</f>
        <v>4712.4000000000005</v>
      </c>
      <c r="Q169" s="972">
        <f>Q168/100*$O$10</f>
        <v>4712.4000000000005</v>
      </c>
      <c r="R169" s="972">
        <f>R168/100*$O$10</f>
        <v>4712.4000000000005</v>
      </c>
      <c r="S169" s="972">
        <f>S168/100*$O$10</f>
        <v>4712.4000000000005</v>
      </c>
      <c r="T169" s="942"/>
      <c r="U169" s="1049"/>
      <c r="V169" s="960"/>
      <c r="W169" s="960"/>
      <c r="X169" s="960"/>
      <c r="Y169" s="62"/>
      <c r="AA169" s="1049"/>
      <c r="AB169" s="960"/>
      <c r="AC169" s="960"/>
      <c r="AD169" s="960"/>
      <c r="AE169" s="62"/>
      <c r="AX169" s="1788"/>
    </row>
    <row r="170" spans="11:51" ht="32">
      <c r="K170" s="712"/>
      <c r="N170" s="963" t="s">
        <v>2027</v>
      </c>
      <c r="O170" s="972">
        <f>ROUND(O169*$O$10,2)</f>
        <v>84116.34</v>
      </c>
      <c r="P170" s="972">
        <f>ROUND(P169*$O$10,2)</f>
        <v>84116.34</v>
      </c>
      <c r="Q170" s="972">
        <f>ROUND(Q169*$O$10,2)</f>
        <v>84116.34</v>
      </c>
      <c r="R170" s="972">
        <f>ROUND(R169*$O$10,2)</f>
        <v>84116.34</v>
      </c>
      <c r="S170" s="972">
        <f>ROUND(S169*$O$10,2)</f>
        <v>84116.34</v>
      </c>
      <c r="T170" s="942"/>
      <c r="U170" s="1049"/>
      <c r="V170" s="1050"/>
      <c r="W170" s="1051"/>
      <c r="X170" s="1051"/>
      <c r="Y170" s="1052"/>
      <c r="Z170" s="920"/>
      <c r="AA170" s="1060"/>
      <c r="AB170" s="1051"/>
      <c r="AC170" s="960"/>
      <c r="AD170" s="960"/>
      <c r="AE170" s="62"/>
      <c r="AX170" s="1788"/>
    </row>
    <row r="171" spans="11:51" ht="32">
      <c r="K171" s="712"/>
      <c r="N171" s="963" t="s">
        <v>2029</v>
      </c>
      <c r="O171" s="972">
        <f>O168/10000*$O$11</f>
        <v>13.200000000000001</v>
      </c>
      <c r="P171" s="972">
        <f>P168/10000*$O$11</f>
        <v>13.200000000000001</v>
      </c>
      <c r="Q171" s="972">
        <f>Q168/10000*$O$11</f>
        <v>13.200000000000001</v>
      </c>
      <c r="R171" s="972">
        <f>R168/10000*$O$11</f>
        <v>13.200000000000001</v>
      </c>
      <c r="S171" s="972">
        <f>S168/10000*$O$11</f>
        <v>13.200000000000001</v>
      </c>
      <c r="T171" s="942"/>
      <c r="U171" s="1049"/>
      <c r="V171" s="1050"/>
      <c r="W171" s="1051"/>
      <c r="X171" s="1051"/>
      <c r="Y171" s="1052"/>
      <c r="Z171" s="920"/>
      <c r="AA171" s="1571"/>
      <c r="AB171" s="1572"/>
      <c r="AC171" s="1573"/>
      <c r="AD171" s="1573"/>
      <c r="AE171" s="1574"/>
      <c r="AX171" s="1788"/>
    </row>
    <row r="172" spans="11:51" ht="32">
      <c r="K172" s="712"/>
      <c r="N172" s="963" t="s">
        <v>2030</v>
      </c>
      <c r="O172" s="972">
        <f>O171*$O$12</f>
        <v>1584.0000000000002</v>
      </c>
      <c r="P172" s="972">
        <f>P171*$O$12</f>
        <v>1584.0000000000002</v>
      </c>
      <c r="Q172" s="972">
        <f>Q171*$O$12</f>
        <v>1584.0000000000002</v>
      </c>
      <c r="R172" s="972">
        <f>R171*$O$12</f>
        <v>1584.0000000000002</v>
      </c>
      <c r="S172" s="972">
        <f>S171*$O$12</f>
        <v>1584.0000000000002</v>
      </c>
      <c r="U172" s="1053"/>
      <c r="V172" s="1054"/>
      <c r="W172" s="1055"/>
      <c r="X172" s="1055"/>
      <c r="Y172" s="1056"/>
      <c r="Z172" s="962"/>
      <c r="AA172" s="1061"/>
      <c r="AB172" s="1055"/>
      <c r="AC172" s="1576"/>
      <c r="AD172" s="1576"/>
      <c r="AE172" s="1577"/>
      <c r="AX172" s="1788"/>
    </row>
    <row r="173" spans="11:51" ht="32">
      <c r="K173" s="712"/>
      <c r="N173" s="963" t="s">
        <v>2032</v>
      </c>
      <c r="O173" s="972">
        <f>O168/10000*$O$13</f>
        <v>10032</v>
      </c>
      <c r="P173" s="972">
        <f>P168/10000*$O$13</f>
        <v>10032</v>
      </c>
      <c r="Q173" s="972">
        <f>Q168/10000*$O$13</f>
        <v>10032</v>
      </c>
      <c r="R173" s="972">
        <f>R168/10000*$O$13</f>
        <v>10032</v>
      </c>
      <c r="S173" s="972">
        <f>S168/10000*$O$13</f>
        <v>10032</v>
      </c>
      <c r="U173" s="1062">
        <f>100%-AA173</f>
        <v>0.5</v>
      </c>
      <c r="V173" s="997">
        <f t="shared" ref="V173" si="225">100%-AB173</f>
        <v>0.55000000000000004</v>
      </c>
      <c r="W173" s="997">
        <f t="shared" ref="W173" si="226">100%-AC173</f>
        <v>0.6</v>
      </c>
      <c r="X173" s="997">
        <f t="shared" ref="X173" si="227">100%-AD173</f>
        <v>1</v>
      </c>
      <c r="Y173" s="1063">
        <f t="shared" ref="Y173" si="228">100%-AE173</f>
        <v>1</v>
      </c>
      <c r="Z173" s="996" t="s">
        <v>238</v>
      </c>
      <c r="AA173" s="1578">
        <v>0.5</v>
      </c>
      <c r="AB173" s="1579">
        <v>0.44999999999999996</v>
      </c>
      <c r="AC173" s="1579">
        <v>0.4</v>
      </c>
      <c r="AD173" s="1579">
        <v>0</v>
      </c>
      <c r="AE173" s="1584">
        <v>0</v>
      </c>
      <c r="AX173" s="1788"/>
    </row>
    <row r="174" spans="11:51" ht="16">
      <c r="K174" s="712"/>
      <c r="N174" s="940" t="s">
        <v>1887</v>
      </c>
      <c r="O174" s="995">
        <f>O170+O172+O173</f>
        <v>95732.34</v>
      </c>
      <c r="P174" s="995">
        <f t="shared" ref="P174:S174" si="229">P170+P172+P173</f>
        <v>95732.34</v>
      </c>
      <c r="Q174" s="995">
        <f t="shared" si="229"/>
        <v>95732.34</v>
      </c>
      <c r="R174" s="995">
        <f t="shared" si="229"/>
        <v>95732.34</v>
      </c>
      <c r="S174" s="995">
        <f t="shared" si="229"/>
        <v>95732.34</v>
      </c>
      <c r="U174" s="1787">
        <f>ROUND(O174*U173,2)</f>
        <v>47866.17</v>
      </c>
      <c r="V174" s="1787">
        <f t="shared" ref="V174" si="230">ROUND(P174*V173,2)</f>
        <v>52652.79</v>
      </c>
      <c r="W174" s="1787">
        <f t="shared" ref="W174" si="231">ROUND(Q174*W173,2)</f>
        <v>57439.4</v>
      </c>
      <c r="X174" s="1787">
        <f t="shared" ref="X174" si="232">ROUND(R174*X173,2)</f>
        <v>95732.34</v>
      </c>
      <c r="Y174" s="1787">
        <f t="shared" ref="Y174" si="233">ROUND(S174*Y173,2)</f>
        <v>95732.34</v>
      </c>
      <c r="Z174" s="734"/>
      <c r="AA174" s="1787">
        <f>ROUND(O174*AA173,2)</f>
        <v>47866.17</v>
      </c>
      <c r="AB174" s="1787">
        <f t="shared" ref="AB174" si="234">ROUND(P174*AB173,2)</f>
        <v>43079.55</v>
      </c>
      <c r="AC174" s="1787">
        <f t="shared" ref="AC174" si="235">ROUND(Q174*AC173,2)</f>
        <v>38292.94</v>
      </c>
      <c r="AD174" s="1787">
        <f t="shared" ref="AD174" si="236">ROUND(R174*AD173,2)</f>
        <v>0</v>
      </c>
      <c r="AE174" s="1787">
        <f t="shared" ref="AE174" si="237">ROUND(S174*AE173,2)</f>
        <v>0</v>
      </c>
      <c r="AX174" s="1788"/>
      <c r="AY174" s="1791">
        <f>SUM(U174:AE174)</f>
        <v>478661.69999999995</v>
      </c>
    </row>
    <row r="175" spans="11:51" ht="16">
      <c r="K175" s="712"/>
      <c r="N175" s="940"/>
      <c r="O175" s="942"/>
      <c r="P175" s="942"/>
      <c r="Q175" s="942"/>
      <c r="R175" s="942"/>
      <c r="S175" s="942"/>
      <c r="AX175" s="1788"/>
      <c r="AY175" s="1791"/>
    </row>
    <row r="176" spans="11:51" ht="16" thickBot="1">
      <c r="K176" s="712"/>
      <c r="O176"/>
      <c r="AX176" s="1788"/>
      <c r="AY176" s="1791">
        <f>SUM(U176:AE176)</f>
        <v>0</v>
      </c>
    </row>
    <row r="177" spans="1:51" ht="16" thickBot="1">
      <c r="A177" s="730">
        <v>69</v>
      </c>
      <c r="B177" s="733">
        <f>U174</f>
        <v>47866.17</v>
      </c>
      <c r="C177" s="733">
        <f t="shared" ref="C177:E177" si="238">V174</f>
        <v>52652.79</v>
      </c>
      <c r="D177" s="733">
        <f t="shared" si="238"/>
        <v>57439.4</v>
      </c>
      <c r="E177" s="733">
        <f t="shared" si="238"/>
        <v>95732.34</v>
      </c>
      <c r="F177" s="733">
        <f>Y174</f>
        <v>95732.34</v>
      </c>
      <c r="G177" s="733" t="s">
        <v>338</v>
      </c>
      <c r="H177" s="842" t="s">
        <v>3095</v>
      </c>
      <c r="I177" s="843"/>
      <c r="J177" s="841" t="s">
        <v>2928</v>
      </c>
      <c r="K177" s="712"/>
      <c r="O177"/>
      <c r="AX177" s="1788"/>
      <c r="AY177" s="1791"/>
    </row>
    <row r="178" spans="1:51" ht="17" thickBot="1">
      <c r="A178" s="730">
        <v>70</v>
      </c>
      <c r="B178" s="733">
        <f>AA174</f>
        <v>47866.17</v>
      </c>
      <c r="C178" s="733">
        <f t="shared" ref="C178:F178" si="239">AB174</f>
        <v>43079.55</v>
      </c>
      <c r="D178" s="733">
        <f t="shared" si="239"/>
        <v>38292.94</v>
      </c>
      <c r="E178" s="733">
        <f t="shared" si="239"/>
        <v>0</v>
      </c>
      <c r="F178" s="733">
        <f t="shared" si="239"/>
        <v>0</v>
      </c>
      <c r="G178" s="733" t="s">
        <v>351</v>
      </c>
      <c r="H178" s="842" t="s">
        <v>3095</v>
      </c>
      <c r="I178" s="843"/>
      <c r="J178" s="841" t="s">
        <v>2928</v>
      </c>
      <c r="K178" s="712"/>
      <c r="N178" s="940"/>
      <c r="O178" s="995"/>
      <c r="P178" s="995"/>
      <c r="Q178" s="995"/>
      <c r="R178" s="995"/>
      <c r="S178" s="995"/>
      <c r="U178" s="995"/>
      <c r="V178" s="995"/>
      <c r="W178" s="995"/>
      <c r="X178" s="995"/>
      <c r="Y178" s="995"/>
      <c r="Z178" s="734"/>
      <c r="AA178" s="1580"/>
      <c r="AB178" s="1580"/>
      <c r="AC178" s="1580"/>
      <c r="AD178" s="1580"/>
      <c r="AE178" s="1580"/>
      <c r="AX178" s="1788"/>
    </row>
    <row r="179" spans="1:51" ht="17" thickBot="1">
      <c r="A179" s="730">
        <v>71</v>
      </c>
      <c r="B179" s="733">
        <f>U180</f>
        <v>0</v>
      </c>
      <c r="C179" s="733">
        <f t="shared" ref="C179:F179" si="240">V180</f>
        <v>0</v>
      </c>
      <c r="D179" s="733">
        <f t="shared" si="240"/>
        <v>0</v>
      </c>
      <c r="E179" s="733">
        <f t="shared" si="240"/>
        <v>0</v>
      </c>
      <c r="F179" s="733">
        <f t="shared" si="240"/>
        <v>0</v>
      </c>
      <c r="G179" s="733" t="s">
        <v>338</v>
      </c>
      <c r="H179" s="842" t="s">
        <v>3096</v>
      </c>
      <c r="I179" s="843"/>
      <c r="J179" s="841" t="s">
        <v>2928</v>
      </c>
      <c r="K179" s="712"/>
      <c r="N179" s="946" t="s">
        <v>2454</v>
      </c>
      <c r="O179" s="1394">
        <f>AG163</f>
        <v>64842.8</v>
      </c>
      <c r="P179" s="1394">
        <f>AI163</f>
        <v>64842.8</v>
      </c>
      <c r="Q179" s="1394">
        <f>AK163</f>
        <v>64842.8</v>
      </c>
      <c r="R179" s="1394">
        <f>AM163</f>
        <v>64842.8</v>
      </c>
      <c r="S179" s="1394">
        <f>AO163</f>
        <v>64842.8</v>
      </c>
      <c r="U179" s="1062">
        <f>100%-AA179</f>
        <v>0</v>
      </c>
      <c r="V179" s="997">
        <f t="shared" ref="V179" si="241">100%-AB179</f>
        <v>0</v>
      </c>
      <c r="W179" s="997">
        <f t="shared" ref="W179" si="242">100%-AC179</f>
        <v>0</v>
      </c>
      <c r="X179" s="1071">
        <v>0</v>
      </c>
      <c r="Y179" s="1072">
        <v>0</v>
      </c>
      <c r="Z179" s="996" t="s">
        <v>238</v>
      </c>
      <c r="AA179" s="1578">
        <v>1</v>
      </c>
      <c r="AB179" s="1579">
        <v>1</v>
      </c>
      <c r="AC179" s="1579">
        <v>1</v>
      </c>
      <c r="AD179" s="997">
        <v>0</v>
      </c>
      <c r="AE179" s="1063">
        <v>0</v>
      </c>
      <c r="AX179" s="1788"/>
    </row>
    <row r="180" spans="1:51" ht="17" thickBot="1">
      <c r="A180" s="730">
        <v>72</v>
      </c>
      <c r="B180" s="733">
        <f>AA180</f>
        <v>64842.8</v>
      </c>
      <c r="C180" s="733">
        <f t="shared" ref="C180:F180" si="243">AB180</f>
        <v>64842.8</v>
      </c>
      <c r="D180" s="733">
        <f t="shared" si="243"/>
        <v>64842.8</v>
      </c>
      <c r="E180" s="733">
        <f t="shared" si="243"/>
        <v>0</v>
      </c>
      <c r="F180" s="733">
        <f t="shared" si="243"/>
        <v>0</v>
      </c>
      <c r="G180" s="733" t="s">
        <v>351</v>
      </c>
      <c r="H180" s="842" t="s">
        <v>3097</v>
      </c>
      <c r="I180" s="843"/>
      <c r="J180" s="841" t="s">
        <v>2928</v>
      </c>
      <c r="K180" s="712"/>
      <c r="N180" s="940"/>
      <c r="O180" s="942"/>
      <c r="P180" s="942"/>
      <c r="Q180" s="942"/>
      <c r="R180" s="942"/>
      <c r="S180" s="942"/>
      <c r="T180" s="942"/>
      <c r="U180" s="1787">
        <f>U179*O179</f>
        <v>0</v>
      </c>
      <c r="V180" s="1787">
        <f t="shared" ref="V180" si="244">V179*P179</f>
        <v>0</v>
      </c>
      <c r="W180" s="1787">
        <f t="shared" ref="W180" si="245">W179*Q179</f>
        <v>0</v>
      </c>
      <c r="X180" s="1787">
        <f t="shared" ref="X180" si="246">X179*R179</f>
        <v>0</v>
      </c>
      <c r="Y180" s="1787">
        <f t="shared" ref="Y180" si="247">Y179*S179</f>
        <v>0</v>
      </c>
      <c r="Z180" s="734"/>
      <c r="AA180" s="1787">
        <f>AA179*O179</f>
        <v>64842.8</v>
      </c>
      <c r="AB180" s="1787">
        <f t="shared" ref="AB180" si="248">AB179*P179</f>
        <v>64842.8</v>
      </c>
      <c r="AC180" s="1787">
        <f t="shared" ref="AC180" si="249">AC179*Q179</f>
        <v>64842.8</v>
      </c>
      <c r="AD180" s="1787">
        <f t="shared" ref="AD180" si="250">AD179*R179</f>
        <v>0</v>
      </c>
      <c r="AE180" s="1787">
        <f t="shared" ref="AE180" si="251">AE179*S179</f>
        <v>0</v>
      </c>
      <c r="AX180" s="1788"/>
      <c r="AY180" s="1791">
        <f>SUM(U180:AE180)</f>
        <v>194528.40000000002</v>
      </c>
    </row>
    <row r="181" spans="1:51">
      <c r="K181" s="712"/>
      <c r="AX181" s="1788"/>
    </row>
    <row r="182" spans="1:51">
      <c r="K182" s="712"/>
      <c r="AX182" s="1788"/>
    </row>
    <row r="183" spans="1:51" ht="16" thickBot="1">
      <c r="K183" s="712"/>
      <c r="M183" s="431" t="s">
        <v>3093</v>
      </c>
      <c r="AX183" s="1788"/>
    </row>
    <row r="184" spans="1:51" ht="17" thickBot="1">
      <c r="K184" s="712"/>
      <c r="N184" s="857" t="s">
        <v>97</v>
      </c>
      <c r="O184" s="995">
        <v>2021</v>
      </c>
      <c r="P184" s="995">
        <v>2022</v>
      </c>
      <c r="Q184" s="995">
        <v>2023</v>
      </c>
      <c r="R184" s="995">
        <v>2024</v>
      </c>
      <c r="S184" s="995">
        <v>2025</v>
      </c>
      <c r="T184" s="994"/>
      <c r="U184" s="733" t="s">
        <v>513</v>
      </c>
      <c r="V184" s="545"/>
      <c r="W184" s="545"/>
      <c r="X184" s="545"/>
      <c r="Y184" s="545"/>
      <c r="Z184" s="545"/>
      <c r="AA184" s="545" t="s">
        <v>351</v>
      </c>
      <c r="AB184" s="545"/>
      <c r="AC184" s="545"/>
      <c r="AD184" s="545"/>
      <c r="AE184" s="545"/>
      <c r="AX184" s="1788"/>
    </row>
    <row r="185" spans="1:51" ht="17" thickBot="1">
      <c r="K185" s="712"/>
      <c r="N185" s="964" t="s">
        <v>1981</v>
      </c>
      <c r="O185" s="1782">
        <f>V164</f>
        <v>1960</v>
      </c>
      <c r="P185" s="1782">
        <f>X164</f>
        <v>1960</v>
      </c>
      <c r="Q185" s="1782">
        <f>Z164</f>
        <v>1960</v>
      </c>
      <c r="R185" s="1782">
        <f>AB164</f>
        <v>1960</v>
      </c>
      <c r="S185" s="1782">
        <f>AD164</f>
        <v>1960</v>
      </c>
      <c r="T185" s="942"/>
      <c r="U185" s="1046">
        <v>2021</v>
      </c>
      <c r="V185" s="1047">
        <v>2022</v>
      </c>
      <c r="W185" s="1047">
        <v>2023</v>
      </c>
      <c r="X185" s="1047">
        <v>2024</v>
      </c>
      <c r="Y185" s="1048">
        <v>2025</v>
      </c>
      <c r="Z185" s="563" t="s">
        <v>238</v>
      </c>
      <c r="AA185" s="1057">
        <v>2021</v>
      </c>
      <c r="AB185" s="1058">
        <v>2022</v>
      </c>
      <c r="AC185" s="1058">
        <v>2023</v>
      </c>
      <c r="AD185" s="1058">
        <v>2024</v>
      </c>
      <c r="AE185" s="1059">
        <v>2025</v>
      </c>
      <c r="AX185" s="1788"/>
    </row>
    <row r="186" spans="1:51" ht="32">
      <c r="K186" s="712"/>
      <c r="N186" s="963" t="s">
        <v>2028</v>
      </c>
      <c r="O186" s="972">
        <f>O185/100*$O$10</f>
        <v>349.86000000000007</v>
      </c>
      <c r="P186" s="972">
        <f>P185/100*$O$10</f>
        <v>349.86000000000007</v>
      </c>
      <c r="Q186" s="972">
        <f>Q185/100*$O$10</f>
        <v>349.86000000000007</v>
      </c>
      <c r="R186" s="972">
        <f>R185/100*$O$10</f>
        <v>349.86000000000007</v>
      </c>
      <c r="S186" s="972">
        <f>S185/100*$O$10</f>
        <v>349.86000000000007</v>
      </c>
      <c r="T186" s="942"/>
      <c r="U186" s="1049"/>
      <c r="V186" s="960"/>
      <c r="W186" s="960"/>
      <c r="X186" s="960"/>
      <c r="Y186" s="62"/>
      <c r="AA186" s="1049"/>
      <c r="AB186" s="960"/>
      <c r="AC186" s="960"/>
      <c r="AD186" s="960"/>
      <c r="AE186" s="62"/>
      <c r="AX186" s="1788"/>
    </row>
    <row r="187" spans="1:51" ht="32">
      <c r="K187" s="712"/>
      <c r="N187" s="963" t="s">
        <v>2027</v>
      </c>
      <c r="O187" s="972">
        <f>ROUND(O186*$O$10,2)</f>
        <v>6245</v>
      </c>
      <c r="P187" s="972">
        <f>ROUND(P186*$O$10,2)</f>
        <v>6245</v>
      </c>
      <c r="Q187" s="972">
        <f>ROUND(Q186*$O$10,2)</f>
        <v>6245</v>
      </c>
      <c r="R187" s="972">
        <f>ROUND(R186*$O$10,2)</f>
        <v>6245</v>
      </c>
      <c r="S187" s="972">
        <f>ROUND(S186*$O$10,2)</f>
        <v>6245</v>
      </c>
      <c r="T187" s="942"/>
      <c r="U187" s="1049"/>
      <c r="V187" s="1050"/>
      <c r="W187" s="1051"/>
      <c r="X187" s="1051"/>
      <c r="Y187" s="1052"/>
      <c r="Z187" s="920"/>
      <c r="AA187" s="1060"/>
      <c r="AB187" s="1051"/>
      <c r="AC187" s="960"/>
      <c r="AD187" s="960"/>
      <c r="AE187" s="62"/>
      <c r="AX187" s="1788"/>
    </row>
    <row r="188" spans="1:51" ht="32">
      <c r="K188" s="712"/>
      <c r="N188" s="963" t="s">
        <v>2029</v>
      </c>
      <c r="O188" s="972">
        <f>O185/10000*$O$11</f>
        <v>0.98</v>
      </c>
      <c r="P188" s="972">
        <f>P185/10000*$O$11</f>
        <v>0.98</v>
      </c>
      <c r="Q188" s="972">
        <f>Q185/10000*$O$11</f>
        <v>0.98</v>
      </c>
      <c r="R188" s="972">
        <f>R185/10000*$O$11</f>
        <v>0.98</v>
      </c>
      <c r="S188" s="972">
        <f>S185/10000*$O$11</f>
        <v>0.98</v>
      </c>
      <c r="T188" s="942"/>
      <c r="U188" s="1049"/>
      <c r="V188" s="1050"/>
      <c r="W188" s="1051"/>
      <c r="X188" s="1051"/>
      <c r="Y188" s="1052"/>
      <c r="Z188" s="920"/>
      <c r="AA188" s="1571"/>
      <c r="AB188" s="1572"/>
      <c r="AC188" s="1573"/>
      <c r="AD188" s="1573"/>
      <c r="AE188" s="1574"/>
      <c r="AX188" s="1788"/>
    </row>
    <row r="189" spans="1:51" ht="32">
      <c r="K189" s="712"/>
      <c r="N189" s="963" t="s">
        <v>2030</v>
      </c>
      <c r="O189" s="972">
        <f>O188*$O$12</f>
        <v>117.6</v>
      </c>
      <c r="P189" s="972">
        <f>P188*$O$12</f>
        <v>117.6</v>
      </c>
      <c r="Q189" s="972">
        <f>Q188*$O$12</f>
        <v>117.6</v>
      </c>
      <c r="R189" s="972">
        <f>R188*$O$12</f>
        <v>117.6</v>
      </c>
      <c r="S189" s="972">
        <f>S188*$O$12</f>
        <v>117.6</v>
      </c>
      <c r="U189" s="1053"/>
      <c r="V189" s="1054"/>
      <c r="W189" s="1055"/>
      <c r="X189" s="1055"/>
      <c r="Y189" s="1056"/>
      <c r="Z189" s="962"/>
      <c r="AA189" s="1061"/>
      <c r="AB189" s="1055"/>
      <c r="AC189" s="1576"/>
      <c r="AD189" s="1576"/>
      <c r="AE189" s="1577"/>
      <c r="AX189" s="1788"/>
    </row>
    <row r="190" spans="1:51" ht="32">
      <c r="K190" s="712"/>
      <c r="N190" s="963" t="s">
        <v>2032</v>
      </c>
      <c r="O190" s="972">
        <f>O185/10000*$O$13</f>
        <v>744.80000000000007</v>
      </c>
      <c r="P190" s="972">
        <f>P185/10000*$O$13</f>
        <v>744.80000000000007</v>
      </c>
      <c r="Q190" s="972">
        <f>Q185/10000*$O$13</f>
        <v>744.80000000000007</v>
      </c>
      <c r="R190" s="972">
        <f>R185/10000*$O$13</f>
        <v>744.80000000000007</v>
      </c>
      <c r="S190" s="972">
        <f>S185/10000*$O$13</f>
        <v>744.80000000000007</v>
      </c>
      <c r="U190" s="1062">
        <f>100%-AA190</f>
        <v>0.5</v>
      </c>
      <c r="V190" s="997">
        <f t="shared" ref="V190" si="252">100%-AB190</f>
        <v>0.55000000000000004</v>
      </c>
      <c r="W190" s="997">
        <f t="shared" ref="W190" si="253">100%-AC190</f>
        <v>0.6</v>
      </c>
      <c r="X190" s="997">
        <f t="shared" ref="X190" si="254">100%-AD190</f>
        <v>1</v>
      </c>
      <c r="Y190" s="1063">
        <f t="shared" ref="Y190" si="255">100%-AE190</f>
        <v>1</v>
      </c>
      <c r="Z190" s="996" t="s">
        <v>238</v>
      </c>
      <c r="AA190" s="1578">
        <v>0.5</v>
      </c>
      <c r="AB190" s="1579">
        <v>0.44999999999999996</v>
      </c>
      <c r="AC190" s="1579">
        <v>0.4</v>
      </c>
      <c r="AD190" s="1579">
        <v>0</v>
      </c>
      <c r="AE190" s="1584">
        <v>0</v>
      </c>
      <c r="AX190" s="1788"/>
    </row>
    <row r="191" spans="1:51" ht="16">
      <c r="K191" s="712"/>
      <c r="N191" s="940" t="s">
        <v>1887</v>
      </c>
      <c r="O191" s="995">
        <f>O187+O189+O190</f>
        <v>7107.4000000000005</v>
      </c>
      <c r="P191" s="995">
        <f t="shared" ref="P191:S191" si="256">P187+P189+P190</f>
        <v>7107.4000000000005</v>
      </c>
      <c r="Q191" s="995">
        <f t="shared" si="256"/>
        <v>7107.4000000000005</v>
      </c>
      <c r="R191" s="995">
        <f t="shared" si="256"/>
        <v>7107.4000000000005</v>
      </c>
      <c r="S191" s="995">
        <f t="shared" si="256"/>
        <v>7107.4000000000005</v>
      </c>
      <c r="U191" s="1787">
        <f>ROUND(O191*U190,2)</f>
        <v>3553.7</v>
      </c>
      <c r="V191" s="1787">
        <f t="shared" ref="V191" si="257">ROUND(P191*V190,2)</f>
        <v>3909.07</v>
      </c>
      <c r="W191" s="1787">
        <f t="shared" ref="W191" si="258">ROUND(Q191*W190,2)</f>
        <v>4264.4399999999996</v>
      </c>
      <c r="X191" s="1787">
        <f t="shared" ref="X191" si="259">ROUND(R191*X190,2)</f>
        <v>7107.4</v>
      </c>
      <c r="Y191" s="1787">
        <f t="shared" ref="Y191" si="260">ROUND(S191*Y190,2)</f>
        <v>7107.4</v>
      </c>
      <c r="Z191" s="734"/>
      <c r="AA191" s="1787">
        <f>ROUND(O191*AA190,2)</f>
        <v>3553.7</v>
      </c>
      <c r="AB191" s="1787">
        <f t="shared" ref="AB191" si="261">ROUND(P191*AB190,2)</f>
        <v>3198.33</v>
      </c>
      <c r="AC191" s="1787">
        <f t="shared" ref="AC191" si="262">ROUND(Q191*AC190,2)</f>
        <v>2842.96</v>
      </c>
      <c r="AD191" s="1787">
        <f t="shared" ref="AD191" si="263">ROUND(R191*AD190,2)</f>
        <v>0</v>
      </c>
      <c r="AE191" s="1787">
        <f t="shared" ref="AE191" si="264">ROUND(S191*AE190,2)</f>
        <v>0</v>
      </c>
      <c r="AX191" s="1788"/>
      <c r="AY191" s="1791">
        <f>SUM(U191:AE191)</f>
        <v>35537</v>
      </c>
    </row>
    <row r="192" spans="1:51" ht="16">
      <c r="K192" s="712"/>
      <c r="O192"/>
      <c r="U192" s="1062">
        <f>100%-AA192</f>
        <v>0.5</v>
      </c>
      <c r="V192" s="997">
        <f t="shared" ref="V192" si="265">100%-AB192</f>
        <v>0.55000000000000004</v>
      </c>
      <c r="W192" s="997">
        <f t="shared" ref="W192" si="266">100%-AC192</f>
        <v>0.6</v>
      </c>
      <c r="X192" s="997">
        <f t="shared" ref="X192" si="267">100%-AD192</f>
        <v>1</v>
      </c>
      <c r="Y192" s="1063">
        <f t="shared" ref="Y192" si="268">100%-AE192</f>
        <v>1</v>
      </c>
      <c r="Z192" s="996" t="s">
        <v>238</v>
      </c>
      <c r="AA192" s="1578">
        <v>0.5</v>
      </c>
      <c r="AB192" s="1579">
        <v>0.44999999999999996</v>
      </c>
      <c r="AC192" s="1579">
        <v>0.4</v>
      </c>
      <c r="AD192" s="1579">
        <v>0</v>
      </c>
      <c r="AE192" s="1584">
        <v>0</v>
      </c>
      <c r="AX192" s="1788"/>
      <c r="AY192" s="1791"/>
    </row>
    <row r="193" spans="1:51" ht="16" thickBot="1">
      <c r="K193" s="712"/>
      <c r="O193"/>
      <c r="AX193" s="1788"/>
      <c r="AY193" s="1791">
        <f>SUM(U193:AE193)</f>
        <v>0</v>
      </c>
    </row>
    <row r="194" spans="1:51" ht="16" thickBot="1">
      <c r="A194" s="730">
        <v>73</v>
      </c>
      <c r="B194" s="733">
        <f>U191</f>
        <v>3553.7</v>
      </c>
      <c r="C194" s="733">
        <f t="shared" ref="C194" si="269">V191</f>
        <v>3909.07</v>
      </c>
      <c r="D194" s="733">
        <f t="shared" ref="D194" si="270">W191</f>
        <v>4264.4399999999996</v>
      </c>
      <c r="E194" s="733">
        <f t="shared" ref="E194" si="271">X191</f>
        <v>7107.4</v>
      </c>
      <c r="F194" s="733">
        <f>Y191</f>
        <v>7107.4</v>
      </c>
      <c r="G194" s="733" t="s">
        <v>513</v>
      </c>
      <c r="H194" s="842" t="s">
        <v>3098</v>
      </c>
      <c r="I194" s="843"/>
      <c r="J194" s="841" t="s">
        <v>2928</v>
      </c>
      <c r="K194" s="712"/>
      <c r="O194"/>
      <c r="AX194" s="1788"/>
      <c r="AY194" s="1791"/>
    </row>
    <row r="195" spans="1:51" ht="17" thickBot="1">
      <c r="A195" s="730">
        <v>74</v>
      </c>
      <c r="B195" s="733">
        <f>AA191</f>
        <v>3553.7</v>
      </c>
      <c r="C195" s="733">
        <f t="shared" ref="C195" si="272">AB191</f>
        <v>3198.33</v>
      </c>
      <c r="D195" s="733">
        <f t="shared" ref="D195" si="273">AC191</f>
        <v>2842.96</v>
      </c>
      <c r="E195" s="733">
        <f t="shared" ref="E195" si="274">AD191</f>
        <v>0</v>
      </c>
      <c r="F195" s="733">
        <f t="shared" ref="F195" si="275">AE191</f>
        <v>0</v>
      </c>
      <c r="G195" s="733" t="s">
        <v>351</v>
      </c>
      <c r="H195" s="842" t="s">
        <v>3098</v>
      </c>
      <c r="I195" s="843"/>
      <c r="J195" s="841" t="s">
        <v>2928</v>
      </c>
      <c r="K195" s="712"/>
      <c r="N195" s="940"/>
      <c r="O195" s="995"/>
      <c r="P195" s="995"/>
      <c r="Q195" s="995"/>
      <c r="R195" s="995"/>
      <c r="S195" s="995"/>
      <c r="U195" s="995"/>
      <c r="V195" s="995"/>
      <c r="W195" s="995"/>
      <c r="X195" s="995"/>
      <c r="Y195" s="995"/>
      <c r="Z195" s="734"/>
      <c r="AA195" s="1580"/>
      <c r="AB195" s="1580"/>
      <c r="AC195" s="1580"/>
      <c r="AD195" s="1580"/>
      <c r="AE195" s="1580"/>
      <c r="AX195" s="1788"/>
    </row>
    <row r="196" spans="1:51" ht="17" thickBot="1">
      <c r="A196" s="730">
        <v>75</v>
      </c>
      <c r="B196" s="733">
        <f>U197</f>
        <v>0</v>
      </c>
      <c r="C196" s="733">
        <f t="shared" ref="C196" si="276">V197</f>
        <v>0</v>
      </c>
      <c r="D196" s="733">
        <f t="shared" ref="D196" si="277">W197</f>
        <v>0</v>
      </c>
      <c r="E196" s="733">
        <f t="shared" ref="E196" si="278">X197</f>
        <v>0</v>
      </c>
      <c r="F196" s="733">
        <f t="shared" ref="F196" si="279">Y197</f>
        <v>0</v>
      </c>
      <c r="G196" s="733" t="s">
        <v>513</v>
      </c>
      <c r="H196" s="842" t="s">
        <v>3099</v>
      </c>
      <c r="I196" s="843"/>
      <c r="J196" s="841" t="s">
        <v>2928</v>
      </c>
      <c r="K196" s="712"/>
      <c r="N196" s="946" t="s">
        <v>2454</v>
      </c>
      <c r="O196" s="1394">
        <f>AG164</f>
        <v>8252.7200000000012</v>
      </c>
      <c r="P196" s="1394">
        <f>AI164</f>
        <v>8252.7200000000012</v>
      </c>
      <c r="Q196" s="1394">
        <f>AK164</f>
        <v>8252.7200000000012</v>
      </c>
      <c r="R196" s="1394">
        <f>AM164</f>
        <v>8252.7200000000012</v>
      </c>
      <c r="S196" s="1394">
        <f>AO164</f>
        <v>8252.7200000000012</v>
      </c>
      <c r="U196" s="1062">
        <f>100%-AA196</f>
        <v>0</v>
      </c>
      <c r="V196" s="997">
        <f t="shared" ref="V196" si="280">100%-AB196</f>
        <v>0</v>
      </c>
      <c r="W196" s="997">
        <f t="shared" ref="W196" si="281">100%-AC196</f>
        <v>0</v>
      </c>
      <c r="X196" s="1071">
        <v>0</v>
      </c>
      <c r="Y196" s="1072">
        <v>0</v>
      </c>
      <c r="Z196" s="996" t="s">
        <v>238</v>
      </c>
      <c r="AA196" s="1578">
        <v>1</v>
      </c>
      <c r="AB196" s="1579">
        <v>1</v>
      </c>
      <c r="AC196" s="1579">
        <v>1</v>
      </c>
      <c r="AD196" s="997">
        <v>0</v>
      </c>
      <c r="AE196" s="1063">
        <v>0</v>
      </c>
      <c r="AX196" s="1788"/>
    </row>
    <row r="197" spans="1:51" ht="17" thickBot="1">
      <c r="A197" s="730">
        <v>76</v>
      </c>
      <c r="B197" s="733">
        <f>AA197</f>
        <v>8252.7200000000012</v>
      </c>
      <c r="C197" s="733">
        <f t="shared" ref="C197" si="282">AB197</f>
        <v>8252.7200000000012</v>
      </c>
      <c r="D197" s="733">
        <f t="shared" ref="D197" si="283">AC197</f>
        <v>8252.7200000000012</v>
      </c>
      <c r="E197" s="733">
        <f t="shared" ref="E197" si="284">AD197</f>
        <v>0</v>
      </c>
      <c r="F197" s="733">
        <f t="shared" ref="F197" si="285">AE197</f>
        <v>0</v>
      </c>
      <c r="G197" s="733" t="s">
        <v>351</v>
      </c>
      <c r="H197" s="842" t="s">
        <v>3100</v>
      </c>
      <c r="I197" s="843"/>
      <c r="J197" s="841" t="s">
        <v>2928</v>
      </c>
      <c r="K197" s="712"/>
      <c r="N197" s="940"/>
      <c r="O197" s="942"/>
      <c r="P197" s="942"/>
      <c r="Q197" s="942"/>
      <c r="R197" s="942"/>
      <c r="S197" s="942"/>
      <c r="T197" s="942"/>
      <c r="U197" s="1787">
        <f>U196*O196</f>
        <v>0</v>
      </c>
      <c r="V197" s="1787">
        <f t="shared" ref="V197" si="286">V196*P196</f>
        <v>0</v>
      </c>
      <c r="W197" s="1787">
        <f t="shared" ref="W197" si="287">W196*Q196</f>
        <v>0</v>
      </c>
      <c r="X197" s="1787">
        <f t="shared" ref="X197" si="288">X196*R196</f>
        <v>0</v>
      </c>
      <c r="Y197" s="1787">
        <f t="shared" ref="Y197" si="289">Y196*S196</f>
        <v>0</v>
      </c>
      <c r="Z197" s="734"/>
      <c r="AA197" s="1787">
        <f>AA196*O196</f>
        <v>8252.7200000000012</v>
      </c>
      <c r="AB197" s="1787">
        <f t="shared" ref="AB197" si="290">AB196*P196</f>
        <v>8252.7200000000012</v>
      </c>
      <c r="AC197" s="1787">
        <f t="shared" ref="AC197" si="291">AC196*Q196</f>
        <v>8252.7200000000012</v>
      </c>
      <c r="AD197" s="1787">
        <f t="shared" ref="AD197" si="292">AD196*R196</f>
        <v>0</v>
      </c>
      <c r="AE197" s="1787">
        <f t="shared" ref="AE197" si="293">AE196*S196</f>
        <v>0</v>
      </c>
      <c r="AX197" s="1788"/>
      <c r="AY197" s="1791">
        <f>SUM(U197:AE197)</f>
        <v>24758.160000000003</v>
      </c>
    </row>
    <row r="198" spans="1:51">
      <c r="K198" s="712"/>
      <c r="AX198" s="1788"/>
    </row>
    <row r="199" spans="1:51">
      <c r="K199" s="712"/>
    </row>
    <row r="200" spans="1:51">
      <c r="K200" s="712"/>
    </row>
    <row r="201" spans="1:51">
      <c r="K201" s="712"/>
    </row>
    <row r="202" spans="1:51">
      <c r="K202" s="712"/>
    </row>
    <row r="203" spans="1:51">
      <c r="K203" s="712"/>
    </row>
    <row r="204" spans="1:51">
      <c r="K204" s="712"/>
    </row>
    <row r="205" spans="1:51">
      <c r="K205" s="712"/>
    </row>
    <row r="206" spans="1:51">
      <c r="K206" s="712"/>
    </row>
    <row r="207" spans="1:51">
      <c r="K207" s="712"/>
    </row>
    <row r="208" spans="1:51">
      <c r="K208" s="712"/>
    </row>
    <row r="209" spans="11:11">
      <c r="K209" s="712"/>
    </row>
    <row r="210" spans="11:11">
      <c r="K210" s="712"/>
    </row>
  </sheetData>
  <conditionalFormatting sqref="O31:O68">
    <cfRule type="cellIs" dxfId="96" priority="56" operator="greaterThan">
      <formula>150</formula>
    </cfRule>
  </conditionalFormatting>
  <conditionalFormatting sqref="A1">
    <cfRule type="duplicateValues" dxfId="95" priority="55"/>
  </conditionalFormatting>
  <conditionalFormatting sqref="A80">
    <cfRule type="duplicateValues" dxfId="94" priority="53"/>
  </conditionalFormatting>
  <conditionalFormatting sqref="A81">
    <cfRule type="duplicateValues" dxfId="93" priority="49"/>
  </conditionalFormatting>
  <conditionalFormatting sqref="A82">
    <cfRule type="duplicateValues" dxfId="92" priority="48"/>
  </conditionalFormatting>
  <conditionalFormatting sqref="A83">
    <cfRule type="duplicateValues" dxfId="91" priority="47"/>
  </conditionalFormatting>
  <conditionalFormatting sqref="A177">
    <cfRule type="duplicateValues" dxfId="90" priority="30"/>
  </conditionalFormatting>
  <conditionalFormatting sqref="A178">
    <cfRule type="duplicateValues" dxfId="89" priority="29"/>
  </conditionalFormatting>
  <conditionalFormatting sqref="A194">
    <cfRule type="duplicateValues" dxfId="88" priority="24"/>
  </conditionalFormatting>
  <conditionalFormatting sqref="A195">
    <cfRule type="duplicateValues" dxfId="87" priority="23"/>
  </conditionalFormatting>
  <conditionalFormatting sqref="A179">
    <cfRule type="duplicateValues" dxfId="86" priority="26"/>
  </conditionalFormatting>
  <conditionalFormatting sqref="A180">
    <cfRule type="duplicateValues" dxfId="85" priority="25"/>
  </conditionalFormatting>
  <conditionalFormatting sqref="A196">
    <cfRule type="duplicateValues" dxfId="84" priority="22"/>
  </conditionalFormatting>
  <conditionalFormatting sqref="A197">
    <cfRule type="duplicateValues" dxfId="83" priority="21"/>
  </conditionalFormatting>
  <conditionalFormatting sqref="A85">
    <cfRule type="duplicateValues" dxfId="82" priority="20"/>
  </conditionalFormatting>
  <conditionalFormatting sqref="A86">
    <cfRule type="duplicateValues" dxfId="81" priority="19"/>
  </conditionalFormatting>
  <conditionalFormatting sqref="A112">
    <cfRule type="duplicateValues" dxfId="80" priority="12"/>
  </conditionalFormatting>
  <conditionalFormatting sqref="A113">
    <cfRule type="duplicateValues" dxfId="79" priority="11"/>
  </conditionalFormatting>
  <conditionalFormatting sqref="A114">
    <cfRule type="duplicateValues" dxfId="78" priority="10"/>
  </conditionalFormatting>
  <conditionalFormatting sqref="A115">
    <cfRule type="duplicateValues" dxfId="77" priority="9"/>
  </conditionalFormatting>
  <conditionalFormatting sqref="A117">
    <cfRule type="duplicateValues" dxfId="76" priority="8"/>
  </conditionalFormatting>
  <conditionalFormatting sqref="A118">
    <cfRule type="duplicateValues" dxfId="75" priority="7"/>
  </conditionalFormatting>
  <conditionalFormatting sqref="A145">
    <cfRule type="duplicateValues" dxfId="74" priority="6"/>
  </conditionalFormatting>
  <conditionalFormatting sqref="A146">
    <cfRule type="duplicateValues" dxfId="73" priority="5"/>
  </conditionalFormatting>
  <conditionalFormatting sqref="A147">
    <cfRule type="duplicateValues" dxfId="72" priority="4"/>
  </conditionalFormatting>
  <conditionalFormatting sqref="A148">
    <cfRule type="duplicateValues" dxfId="71" priority="3"/>
  </conditionalFormatting>
  <conditionalFormatting sqref="A150">
    <cfRule type="duplicateValues" dxfId="70" priority="2"/>
  </conditionalFormatting>
  <conditionalFormatting sqref="A151">
    <cfRule type="duplicateValues" dxfId="69" priority="1"/>
  </conditionalFormatting>
  <dataValidations count="2">
    <dataValidation type="list" allowBlank="1" showInputMessage="1" showErrorMessage="1" sqref="U72 G194:G197 U104 U137 G85:G86 G112:G115 U167 U184 G177:G180 G80:G83 G117:G118 G150:G151 G145:G148" xr:uid="{00000000-0002-0000-1B00-000000000000}">
      <formula1>TB_sursa_finant_Ro</formula1>
    </dataValidation>
    <dataValidation type="list" allowBlank="1" showInputMessage="1" showErrorMessage="1" sqref="I194:I197 I85:I86 I112:I115 I177:I180 I80:I83 I117:I118 I150:I151 I145:I148" xr:uid="{00000000-0002-0000-1B00-000001000000}">
      <formula1>TB_implementare</formula1>
    </dataValidation>
  </dataValidations>
  <hyperlinks>
    <hyperlink ref="O1" location="CUPRINS!A1" display="CUPRINS" xr:uid="{00000000-0004-0000-1B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2000000}">
          <x14:formula1>
            <xm:f>Nom_activ_2!$H$2:$H$88</xm:f>
          </x14:formula1>
          <xm:sqref>J194:J197 J80:J83 J85:J86 J112:J115 J117:J118 J145:J148 J150:J151 J177:J180</xm:sqref>
        </x14:dataValidation>
      </x14:dataValidations>
    </ext>
  </extLst>
</worksheet>
</file>

<file path=xl/worksheets/sheet2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sheetPr>
  <dimension ref="B1:I55"/>
  <sheetViews>
    <sheetView workbookViewId="0">
      <selection activeCell="B17" sqref="B17"/>
    </sheetView>
  </sheetViews>
  <sheetFormatPr baseColWidth="10" defaultColWidth="8.83203125" defaultRowHeight="15"/>
  <cols>
    <col min="2" max="2" width="57.33203125" bestFit="1" customWidth="1"/>
    <col min="3" max="3" width="42.5" customWidth="1"/>
    <col min="4" max="4" width="17.83203125" bestFit="1" customWidth="1"/>
    <col min="5" max="5" width="13.6640625" customWidth="1"/>
    <col min="6" max="6" width="13.5" customWidth="1"/>
    <col min="7" max="7" width="11" customWidth="1"/>
    <col min="8" max="8" width="36.6640625" bestFit="1" customWidth="1"/>
    <col min="9" max="9" width="17" bestFit="1" customWidth="1"/>
  </cols>
  <sheetData>
    <row r="1" spans="2:9" s="431" customFormat="1">
      <c r="B1" s="2129" t="s">
        <v>3010</v>
      </c>
      <c r="C1" s="2129" t="s">
        <v>3011</v>
      </c>
      <c r="D1" s="2129" t="s">
        <v>3007</v>
      </c>
      <c r="E1" s="2129" t="s">
        <v>3008</v>
      </c>
      <c r="F1" s="2129" t="s">
        <v>3012</v>
      </c>
      <c r="G1" s="2129" t="s">
        <v>3695</v>
      </c>
      <c r="H1" s="2130" t="s">
        <v>3015</v>
      </c>
      <c r="I1" s="2152" t="s">
        <v>3697</v>
      </c>
    </row>
    <row r="2" spans="2:9">
      <c r="B2" s="960" t="s">
        <v>3051</v>
      </c>
      <c r="C2" s="2131" t="s">
        <v>2997</v>
      </c>
      <c r="D2" s="2132" t="s">
        <v>3013</v>
      </c>
      <c r="E2" s="2281">
        <v>350</v>
      </c>
      <c r="F2" s="960" t="s">
        <v>447</v>
      </c>
      <c r="G2" s="2133">
        <v>7</v>
      </c>
      <c r="H2" s="960" t="s">
        <v>3049</v>
      </c>
      <c r="I2" s="2150" t="s">
        <v>3696</v>
      </c>
    </row>
    <row r="3" spans="2:9">
      <c r="B3" s="960" t="s">
        <v>3029</v>
      </c>
      <c r="C3" s="2131" t="s">
        <v>2998</v>
      </c>
      <c r="D3" s="2132" t="s">
        <v>3014</v>
      </c>
      <c r="E3" s="960">
        <v>5000</v>
      </c>
      <c r="F3" s="960" t="s">
        <v>443</v>
      </c>
      <c r="G3" s="2134">
        <v>1</v>
      </c>
      <c r="H3" s="960" t="s">
        <v>3049</v>
      </c>
      <c r="I3" s="2150" t="s">
        <v>3696</v>
      </c>
    </row>
    <row r="4" spans="2:9">
      <c r="B4" s="960" t="s">
        <v>3020</v>
      </c>
      <c r="C4" s="2131" t="s">
        <v>3027</v>
      </c>
      <c r="D4" s="2132" t="s">
        <v>3019</v>
      </c>
      <c r="E4" s="960">
        <v>200</v>
      </c>
      <c r="F4" s="960" t="s">
        <v>447</v>
      </c>
      <c r="G4" s="2134">
        <v>1</v>
      </c>
      <c r="H4" s="960" t="s">
        <v>3028</v>
      </c>
      <c r="I4" s="2150" t="s">
        <v>3696</v>
      </c>
    </row>
    <row r="5" spans="2:9">
      <c r="B5" s="960" t="s">
        <v>3016</v>
      </c>
      <c r="C5" s="2135" t="s">
        <v>3017</v>
      </c>
      <c r="D5" s="2132" t="s">
        <v>3018</v>
      </c>
      <c r="E5" s="2294">
        <v>75</v>
      </c>
      <c r="F5" s="2294" t="s">
        <v>443</v>
      </c>
      <c r="G5" s="2295"/>
      <c r="H5" s="2296" t="s">
        <v>3858</v>
      </c>
      <c r="I5" s="2150" t="s">
        <v>3696</v>
      </c>
    </row>
    <row r="6" spans="2:9">
      <c r="B6" s="960" t="s">
        <v>3021</v>
      </c>
      <c r="C6" s="2135" t="s">
        <v>2999</v>
      </c>
      <c r="D6" s="2132" t="s">
        <v>3018</v>
      </c>
      <c r="E6" s="2294">
        <v>220</v>
      </c>
      <c r="F6" s="2294" t="s">
        <v>443</v>
      </c>
      <c r="G6" s="2295"/>
      <c r="H6" s="2296" t="s">
        <v>3858</v>
      </c>
      <c r="I6" s="2150" t="s">
        <v>3696</v>
      </c>
    </row>
    <row r="7" spans="2:9">
      <c r="B7" s="960" t="s">
        <v>3022</v>
      </c>
      <c r="C7" s="2135" t="s">
        <v>3000</v>
      </c>
      <c r="D7" s="2132" t="s">
        <v>3013</v>
      </c>
      <c r="E7" s="2294">
        <v>1800</v>
      </c>
      <c r="F7" s="2294" t="s">
        <v>443</v>
      </c>
      <c r="G7" s="2295"/>
      <c r="H7" s="2296" t="s">
        <v>3858</v>
      </c>
      <c r="I7" s="2150" t="s">
        <v>3696</v>
      </c>
    </row>
    <row r="8" spans="2:9">
      <c r="B8" s="960" t="s">
        <v>3023</v>
      </c>
      <c r="C8" s="2135" t="s">
        <v>3001</v>
      </c>
      <c r="D8" s="2132" t="s">
        <v>3018</v>
      </c>
      <c r="E8" s="2294">
        <v>220</v>
      </c>
      <c r="F8" s="2294" t="s">
        <v>443</v>
      </c>
      <c r="G8" s="2297"/>
      <c r="H8" s="2296" t="s">
        <v>3858</v>
      </c>
      <c r="I8" s="2150" t="s">
        <v>3696</v>
      </c>
    </row>
    <row r="9" spans="2:9">
      <c r="B9" s="960" t="s">
        <v>3024</v>
      </c>
      <c r="C9" s="2135" t="s">
        <v>3002</v>
      </c>
      <c r="D9" s="2132" t="s">
        <v>3032</v>
      </c>
      <c r="E9" s="2294">
        <v>750</v>
      </c>
      <c r="F9" s="2294" t="s">
        <v>443</v>
      </c>
      <c r="G9" s="2297"/>
      <c r="H9" s="2296" t="s">
        <v>3858</v>
      </c>
      <c r="I9" s="2150" t="s">
        <v>3696</v>
      </c>
    </row>
    <row r="10" spans="2:9">
      <c r="B10" s="960" t="s">
        <v>3025</v>
      </c>
      <c r="C10" s="2135" t="s">
        <v>3003</v>
      </c>
      <c r="D10" s="2132" t="s">
        <v>3026</v>
      </c>
      <c r="E10" s="2294">
        <v>140</v>
      </c>
      <c r="F10" s="2294" t="s">
        <v>443</v>
      </c>
      <c r="G10" s="2295"/>
      <c r="H10" s="2296" t="s">
        <v>3858</v>
      </c>
      <c r="I10" s="2150" t="s">
        <v>3696</v>
      </c>
    </row>
    <row r="11" spans="2:9">
      <c r="B11" s="960" t="s">
        <v>3031</v>
      </c>
      <c r="C11" s="2135" t="s">
        <v>3004</v>
      </c>
      <c r="D11" s="2132" t="s">
        <v>3013</v>
      </c>
      <c r="E11" s="960">
        <v>2000</v>
      </c>
      <c r="F11" s="960" t="s">
        <v>443</v>
      </c>
      <c r="G11" s="2137">
        <v>1</v>
      </c>
      <c r="H11" s="960" t="s">
        <v>3049</v>
      </c>
      <c r="I11" s="2150" t="s">
        <v>3696</v>
      </c>
    </row>
    <row r="12" spans="2:9">
      <c r="B12" s="960" t="s">
        <v>3030</v>
      </c>
      <c r="C12" s="2135" t="s">
        <v>3005</v>
      </c>
      <c r="D12" s="2132" t="s">
        <v>3014</v>
      </c>
      <c r="E12" s="960">
        <v>80</v>
      </c>
      <c r="F12" s="960" t="s">
        <v>443</v>
      </c>
      <c r="G12" s="2136">
        <v>15</v>
      </c>
      <c r="H12" s="960"/>
      <c r="I12" s="2150" t="s">
        <v>3696</v>
      </c>
    </row>
    <row r="13" spans="2:9">
      <c r="B13" s="960" t="s">
        <v>3050</v>
      </c>
      <c r="C13" s="2131" t="s">
        <v>3048</v>
      </c>
      <c r="D13" s="2132" t="s">
        <v>3013</v>
      </c>
      <c r="E13" s="2282">
        <v>2000</v>
      </c>
      <c r="F13" s="960" t="s">
        <v>443</v>
      </c>
      <c r="G13" s="960"/>
      <c r="H13" s="960" t="s">
        <v>3049</v>
      </c>
      <c r="I13" s="2150" t="s">
        <v>3696</v>
      </c>
    </row>
    <row r="14" spans="2:9">
      <c r="B14" s="960" t="s">
        <v>3063</v>
      </c>
      <c r="C14" s="960" t="s">
        <v>3064</v>
      </c>
      <c r="D14" s="2132" t="s">
        <v>3065</v>
      </c>
      <c r="E14" s="960">
        <v>150</v>
      </c>
      <c r="F14" s="960" t="s">
        <v>443</v>
      </c>
      <c r="G14" s="960"/>
      <c r="H14" s="960" t="s">
        <v>3066</v>
      </c>
      <c r="I14" s="2150" t="s">
        <v>3696</v>
      </c>
    </row>
    <row r="15" spans="2:9">
      <c r="B15" s="960" t="s">
        <v>3068</v>
      </c>
      <c r="C15" s="2138" t="s">
        <v>3069</v>
      </c>
      <c r="D15" s="2132" t="s">
        <v>3065</v>
      </c>
      <c r="E15" s="960">
        <v>2</v>
      </c>
      <c r="F15" s="960" t="s">
        <v>443</v>
      </c>
      <c r="G15" s="960"/>
      <c r="H15" s="960" t="s">
        <v>3049</v>
      </c>
      <c r="I15" s="2150" t="s">
        <v>3696</v>
      </c>
    </row>
    <row r="16" spans="2:9" ht="16">
      <c r="B16" s="2139" t="s">
        <v>3119</v>
      </c>
      <c r="C16" s="2138" t="s">
        <v>3120</v>
      </c>
      <c r="D16" s="2132" t="s">
        <v>3121</v>
      </c>
      <c r="E16" s="960">
        <v>3079.33</v>
      </c>
      <c r="F16" s="960" t="s">
        <v>447</v>
      </c>
      <c r="G16" s="960"/>
      <c r="H16" s="960" t="s">
        <v>3066</v>
      </c>
      <c r="I16" s="2150" t="s">
        <v>3696</v>
      </c>
    </row>
    <row r="17" spans="2:9">
      <c r="B17" s="960" t="s">
        <v>3125</v>
      </c>
      <c r="C17" s="960" t="s">
        <v>3123</v>
      </c>
      <c r="D17" s="2132" t="s">
        <v>3126</v>
      </c>
      <c r="E17" s="960">
        <v>374400</v>
      </c>
      <c r="F17" s="960" t="s">
        <v>443</v>
      </c>
      <c r="G17" s="960"/>
      <c r="H17" s="960" t="s">
        <v>3066</v>
      </c>
      <c r="I17" s="2150" t="s">
        <v>3696</v>
      </c>
    </row>
    <row r="18" spans="2:9" ht="16">
      <c r="B18" s="2141" t="s">
        <v>3641</v>
      </c>
      <c r="C18" s="2142" t="s">
        <v>3644</v>
      </c>
      <c r="D18" s="2143" t="s">
        <v>3645</v>
      </c>
      <c r="E18" s="2141">
        <v>0.77</v>
      </c>
      <c r="F18" s="2141" t="s">
        <v>443</v>
      </c>
      <c r="G18" s="2140"/>
      <c r="H18" s="2140" t="s">
        <v>3066</v>
      </c>
      <c r="I18" s="2150" t="s">
        <v>3643</v>
      </c>
    </row>
    <row r="19" spans="2:9" ht="16">
      <c r="B19" s="2141" t="s">
        <v>3642</v>
      </c>
      <c r="C19" s="2142" t="s">
        <v>3646</v>
      </c>
      <c r="D19" s="2143" t="s">
        <v>3645</v>
      </c>
      <c r="E19" s="2144">
        <v>8.8999999999999996E-2</v>
      </c>
      <c r="F19" s="2141" t="s">
        <v>443</v>
      </c>
      <c r="G19" s="2140"/>
      <c r="H19" s="2140" t="s">
        <v>3066</v>
      </c>
      <c r="I19" s="2150" t="s">
        <v>3643</v>
      </c>
    </row>
    <row r="20" spans="2:9" ht="16">
      <c r="B20" s="2141" t="s">
        <v>3647</v>
      </c>
      <c r="C20" s="2142" t="s">
        <v>3648</v>
      </c>
      <c r="D20" s="2143" t="s">
        <v>3645</v>
      </c>
      <c r="E20" s="2144">
        <v>0.65</v>
      </c>
      <c r="F20" s="2141" t="s">
        <v>443</v>
      </c>
      <c r="G20" s="2140"/>
      <c r="H20" s="2140" t="s">
        <v>3066</v>
      </c>
      <c r="I20" s="2150" t="s">
        <v>3643</v>
      </c>
    </row>
    <row r="21" spans="2:9" ht="16">
      <c r="B21" s="2141" t="s">
        <v>3649</v>
      </c>
      <c r="C21" s="2142" t="s">
        <v>3650</v>
      </c>
      <c r="D21" s="2143" t="s">
        <v>3645</v>
      </c>
      <c r="E21" s="2144">
        <v>1.59</v>
      </c>
      <c r="F21" s="2141" t="s">
        <v>443</v>
      </c>
      <c r="G21" s="2140"/>
      <c r="H21" s="2140" t="s">
        <v>3066</v>
      </c>
      <c r="I21" s="2150" t="s">
        <v>3643</v>
      </c>
    </row>
    <row r="22" spans="2:9" ht="16">
      <c r="B22" s="2141" t="s">
        <v>3651</v>
      </c>
      <c r="C22" s="2142" t="s">
        <v>3652</v>
      </c>
      <c r="D22" s="2143" t="s">
        <v>3645</v>
      </c>
      <c r="E22" s="2144"/>
      <c r="F22" s="2141" t="s">
        <v>443</v>
      </c>
      <c r="G22" s="2140"/>
      <c r="H22" s="2140" t="s">
        <v>3066</v>
      </c>
      <c r="I22" s="2150" t="s">
        <v>3643</v>
      </c>
    </row>
    <row r="23" spans="2:9" ht="16">
      <c r="B23" s="2141" t="s">
        <v>3653</v>
      </c>
      <c r="C23" s="2142" t="s">
        <v>3654</v>
      </c>
      <c r="D23" s="2143" t="s">
        <v>3645</v>
      </c>
      <c r="E23" s="2144">
        <v>16.36</v>
      </c>
      <c r="F23" s="2141" t="s">
        <v>443</v>
      </c>
      <c r="G23" s="2140"/>
      <c r="H23" s="2140" t="s">
        <v>3066</v>
      </c>
      <c r="I23" s="2150" t="s">
        <v>3643</v>
      </c>
    </row>
    <row r="24" spans="2:9" ht="30">
      <c r="B24" s="2145" t="s">
        <v>3655</v>
      </c>
      <c r="C24" s="2142" t="s">
        <v>3656</v>
      </c>
      <c r="D24" s="2146" t="s">
        <v>3657</v>
      </c>
      <c r="E24" s="2144">
        <v>30</v>
      </c>
      <c r="F24" s="2141" t="s">
        <v>443</v>
      </c>
      <c r="G24" s="2140"/>
      <c r="H24" s="2140"/>
      <c r="I24" s="2150" t="s">
        <v>3643</v>
      </c>
    </row>
    <row r="25" spans="2:9" ht="30">
      <c r="B25" s="2144" t="s">
        <v>3658</v>
      </c>
      <c r="C25" s="2142" t="s">
        <v>3659</v>
      </c>
      <c r="D25" s="2146" t="s">
        <v>3657</v>
      </c>
      <c r="E25" s="2144">
        <v>30</v>
      </c>
      <c r="F25" s="2141" t="s">
        <v>443</v>
      </c>
      <c r="G25" s="2140"/>
      <c r="H25" s="2140"/>
      <c r="I25" s="2150" t="s">
        <v>3643</v>
      </c>
    </row>
    <row r="26" spans="2:9" ht="30">
      <c r="B26" s="2144" t="s">
        <v>3660</v>
      </c>
      <c r="C26" s="2142" t="s">
        <v>3661</v>
      </c>
      <c r="D26" s="2146" t="s">
        <v>3657</v>
      </c>
      <c r="E26" s="2144">
        <v>30</v>
      </c>
      <c r="F26" s="2141" t="s">
        <v>443</v>
      </c>
      <c r="G26" s="2140"/>
      <c r="H26" s="2140"/>
      <c r="I26" s="2150" t="s">
        <v>3643</v>
      </c>
    </row>
    <row r="27" spans="2:9" ht="30">
      <c r="B27" s="2147" t="s">
        <v>3662</v>
      </c>
      <c r="C27" s="2142" t="s">
        <v>3663</v>
      </c>
      <c r="D27" s="2146" t="s">
        <v>3657</v>
      </c>
      <c r="E27" s="2147">
        <v>49.14</v>
      </c>
      <c r="F27" s="2141" t="s">
        <v>443</v>
      </c>
      <c r="G27" s="2140"/>
      <c r="H27" s="2140"/>
      <c r="I27" s="2150" t="s">
        <v>3643</v>
      </c>
    </row>
    <row r="28" spans="2:9" ht="16">
      <c r="B28" s="2141" t="s">
        <v>3664</v>
      </c>
      <c r="C28" s="2142" t="s">
        <v>3665</v>
      </c>
      <c r="D28" s="2143" t="s">
        <v>3666</v>
      </c>
      <c r="E28" s="2141">
        <v>0.32</v>
      </c>
      <c r="F28" s="2141" t="s">
        <v>443</v>
      </c>
      <c r="G28" s="2140"/>
      <c r="H28" s="2140"/>
      <c r="I28" s="2150" t="s">
        <v>3643</v>
      </c>
    </row>
    <row r="29" spans="2:9" ht="16">
      <c r="B29" s="2141" t="s">
        <v>3667</v>
      </c>
      <c r="C29" s="2142" t="s">
        <v>3668</v>
      </c>
      <c r="D29" s="2143" t="s">
        <v>3666</v>
      </c>
      <c r="E29" s="2141">
        <v>0.62</v>
      </c>
      <c r="F29" s="2141" t="s">
        <v>443</v>
      </c>
      <c r="G29" s="2140"/>
      <c r="H29" s="2140"/>
      <c r="I29" s="2150" t="s">
        <v>3643</v>
      </c>
    </row>
    <row r="30" spans="2:9" ht="16">
      <c r="B30" s="2141" t="s">
        <v>3669</v>
      </c>
      <c r="C30" s="2142" t="s">
        <v>3670</v>
      </c>
      <c r="D30" s="2143" t="s">
        <v>3666</v>
      </c>
      <c r="E30" s="2141">
        <v>0.69</v>
      </c>
      <c r="F30" s="2141" t="s">
        <v>443</v>
      </c>
      <c r="G30" s="2140"/>
      <c r="H30" s="2140"/>
      <c r="I30" s="2150" t="s">
        <v>3643</v>
      </c>
    </row>
    <row r="31" spans="2:9" ht="16">
      <c r="B31" s="2141" t="s">
        <v>3671</v>
      </c>
      <c r="C31" s="2142" t="s">
        <v>3672</v>
      </c>
      <c r="D31" s="2143" t="s">
        <v>3666</v>
      </c>
      <c r="E31" s="2141">
        <v>0.75</v>
      </c>
      <c r="F31" s="2141" t="s">
        <v>443</v>
      </c>
      <c r="G31" s="2140"/>
      <c r="H31" s="2140"/>
      <c r="I31" s="2150" t="s">
        <v>3643</v>
      </c>
    </row>
    <row r="32" spans="2:9" ht="16">
      <c r="B32" s="2141" t="s">
        <v>3635</v>
      </c>
      <c r="C32" s="2142" t="s">
        <v>3673</v>
      </c>
      <c r="D32" s="2143" t="s">
        <v>3674</v>
      </c>
      <c r="E32" s="2148">
        <v>2.4E-2</v>
      </c>
      <c r="F32" s="2141" t="s">
        <v>443</v>
      </c>
      <c r="G32" s="2140"/>
      <c r="H32" s="2140"/>
      <c r="I32" s="2150" t="s">
        <v>3643</v>
      </c>
    </row>
    <row r="33" spans="2:9" ht="16">
      <c r="B33" s="2141" t="s">
        <v>3675</v>
      </c>
      <c r="C33" s="2140" t="s">
        <v>3676</v>
      </c>
      <c r="D33" s="2140" t="s">
        <v>3677</v>
      </c>
      <c r="E33" s="2140">
        <v>5</v>
      </c>
      <c r="F33" s="2141" t="s">
        <v>443</v>
      </c>
      <c r="G33" s="2140"/>
      <c r="H33" s="2140"/>
      <c r="I33" s="2150" t="s">
        <v>3643</v>
      </c>
    </row>
    <row r="34" spans="2:9" ht="16">
      <c r="B34" s="2141" t="s">
        <v>3678</v>
      </c>
      <c r="C34" s="2140" t="s">
        <v>3679</v>
      </c>
      <c r="D34" s="2140" t="s">
        <v>3680</v>
      </c>
      <c r="E34" s="2140">
        <v>30</v>
      </c>
      <c r="F34" s="2141" t="s">
        <v>443</v>
      </c>
      <c r="G34" s="2140"/>
      <c r="H34" s="2140"/>
      <c r="I34" s="2150" t="s">
        <v>3643</v>
      </c>
    </row>
    <row r="35" spans="2:9" ht="16">
      <c r="B35" s="2141" t="s">
        <v>3681</v>
      </c>
      <c r="C35" s="2140" t="s">
        <v>3682</v>
      </c>
      <c r="D35" s="2140" t="s">
        <v>3680</v>
      </c>
      <c r="E35" s="2141">
        <v>42.26</v>
      </c>
      <c r="F35" s="2141" t="s">
        <v>443</v>
      </c>
      <c r="G35" s="2140"/>
      <c r="H35" s="2140"/>
      <c r="I35" s="2150" t="s">
        <v>3643</v>
      </c>
    </row>
    <row r="36" spans="2:9" ht="16">
      <c r="B36" s="2141" t="s">
        <v>3683</v>
      </c>
      <c r="C36" s="2140" t="s">
        <v>3498</v>
      </c>
      <c r="D36" s="2140" t="s">
        <v>3680</v>
      </c>
      <c r="E36" s="2141">
        <v>30.65</v>
      </c>
      <c r="F36" s="2141" t="s">
        <v>443</v>
      </c>
      <c r="G36" s="2140"/>
      <c r="H36" s="2140"/>
      <c r="I36" s="2150" t="s">
        <v>3643</v>
      </c>
    </row>
    <row r="37" spans="2:9" ht="16">
      <c r="B37" s="2141" t="s">
        <v>3684</v>
      </c>
      <c r="C37" s="2140" t="s">
        <v>3685</v>
      </c>
      <c r="D37" s="2140" t="s">
        <v>3680</v>
      </c>
      <c r="E37" s="2141">
        <v>17.03</v>
      </c>
      <c r="F37" s="2141" t="s">
        <v>443</v>
      </c>
      <c r="G37" s="2140"/>
      <c r="H37" s="2140"/>
      <c r="I37" s="2150" t="s">
        <v>3643</v>
      </c>
    </row>
    <row r="38" spans="2:9" ht="16">
      <c r="B38" s="2141" t="s">
        <v>3640</v>
      </c>
      <c r="C38" s="2140" t="s">
        <v>3686</v>
      </c>
      <c r="D38" s="2140" t="s">
        <v>3680</v>
      </c>
      <c r="E38" s="2141">
        <v>12.94</v>
      </c>
      <c r="F38" s="2141" t="s">
        <v>443</v>
      </c>
      <c r="G38" s="2140"/>
      <c r="H38" s="2140"/>
      <c r="I38" s="2150" t="s">
        <v>3643</v>
      </c>
    </row>
    <row r="39" spans="2:9" ht="16">
      <c r="B39" s="2149" t="s">
        <v>3687</v>
      </c>
      <c r="C39" s="2140" t="s">
        <v>3688</v>
      </c>
      <c r="D39" s="2140" t="s">
        <v>3680</v>
      </c>
      <c r="E39" s="2140">
        <v>68.739999999999995</v>
      </c>
      <c r="F39" s="2141" t="s">
        <v>443</v>
      </c>
      <c r="G39" s="2140"/>
      <c r="H39" s="2140"/>
      <c r="I39" s="2150" t="s">
        <v>3643</v>
      </c>
    </row>
    <row r="40" spans="2:9" ht="16">
      <c r="B40" s="2151" t="s">
        <v>3689</v>
      </c>
      <c r="C40" s="2150" t="s">
        <v>3689</v>
      </c>
      <c r="D40" s="2150" t="s">
        <v>3217</v>
      </c>
      <c r="E40" s="2151">
        <v>45</v>
      </c>
      <c r="F40" s="2151" t="s">
        <v>443</v>
      </c>
      <c r="G40" s="2150"/>
      <c r="H40" s="2150"/>
      <c r="I40" s="2150"/>
    </row>
    <row r="41" spans="2:9" ht="16">
      <c r="B41" s="2151" t="s">
        <v>3690</v>
      </c>
      <c r="C41" s="2150" t="s">
        <v>3690</v>
      </c>
      <c r="D41" s="2150" t="s">
        <v>3217</v>
      </c>
      <c r="E41" s="2151">
        <v>40</v>
      </c>
      <c r="F41" s="2151" t="s">
        <v>443</v>
      </c>
      <c r="G41" s="2150"/>
      <c r="H41" s="2150"/>
      <c r="I41" s="2150"/>
    </row>
    <row r="42" spans="2:9" ht="16">
      <c r="B42" s="2151" t="s">
        <v>3691</v>
      </c>
      <c r="C42" s="2150" t="s">
        <v>3691</v>
      </c>
      <c r="D42" s="2150" t="s">
        <v>3217</v>
      </c>
      <c r="E42" s="2151">
        <v>66</v>
      </c>
      <c r="F42" s="2151" t="s">
        <v>443</v>
      </c>
      <c r="G42" s="2150"/>
      <c r="H42" s="2150"/>
      <c r="I42" s="2150"/>
    </row>
    <row r="43" spans="2:9" ht="16">
      <c r="B43" s="2151" t="s">
        <v>3692</v>
      </c>
      <c r="C43" s="2150" t="s">
        <v>3692</v>
      </c>
      <c r="D43" s="2150" t="s">
        <v>3217</v>
      </c>
      <c r="E43" s="2151">
        <v>15</v>
      </c>
      <c r="F43" s="2151" t="s">
        <v>443</v>
      </c>
      <c r="G43" s="2150"/>
      <c r="H43" s="2150"/>
      <c r="I43" s="2150"/>
    </row>
    <row r="44" spans="2:9" ht="16">
      <c r="B44" s="2151" t="s">
        <v>3693</v>
      </c>
      <c r="C44" s="2150" t="s">
        <v>3693</v>
      </c>
      <c r="D44" s="2150" t="s">
        <v>3217</v>
      </c>
      <c r="E44" s="2151">
        <v>25</v>
      </c>
      <c r="F44" s="2151" t="s">
        <v>443</v>
      </c>
      <c r="G44" s="2150"/>
      <c r="H44" s="2150"/>
      <c r="I44" s="2150"/>
    </row>
    <row r="45" spans="2:9" ht="16">
      <c r="B45" s="2151" t="s">
        <v>3694</v>
      </c>
      <c r="C45" s="2150" t="s">
        <v>3694</v>
      </c>
      <c r="D45" s="2150" t="s">
        <v>3217</v>
      </c>
      <c r="E45" s="2151">
        <v>18</v>
      </c>
      <c r="F45" s="2151" t="s">
        <v>443</v>
      </c>
      <c r="G45" s="2150"/>
      <c r="H45" s="2150"/>
      <c r="I45" s="2150"/>
    </row>
    <row r="46" spans="2:9" ht="16">
      <c r="B46" t="s">
        <v>3699</v>
      </c>
      <c r="C46" s="2153" t="s">
        <v>3698</v>
      </c>
      <c r="D46" s="2158" t="s">
        <v>3700</v>
      </c>
      <c r="E46">
        <v>50</v>
      </c>
      <c r="F46" s="2151" t="s">
        <v>443</v>
      </c>
      <c r="I46" t="s">
        <v>3708</v>
      </c>
    </row>
    <row r="47" spans="2:9" ht="16">
      <c r="B47" t="s">
        <v>3709</v>
      </c>
      <c r="C47" t="s">
        <v>3710</v>
      </c>
      <c r="D47" s="2143" t="s">
        <v>3674</v>
      </c>
      <c r="E47">
        <v>0.32050000000000001</v>
      </c>
      <c r="F47" s="2151" t="s">
        <v>443</v>
      </c>
      <c r="I47" s="1808" t="s">
        <v>3708</v>
      </c>
    </row>
    <row r="48" spans="2:9">
      <c r="B48" t="s">
        <v>3932</v>
      </c>
      <c r="C48" t="s">
        <v>3933</v>
      </c>
      <c r="D48" t="s">
        <v>3934</v>
      </c>
      <c r="E48">
        <v>1000</v>
      </c>
      <c r="F48" t="s">
        <v>443</v>
      </c>
    </row>
    <row r="49" spans="2:9" ht="16">
      <c r="B49" s="2446" t="s">
        <v>3940</v>
      </c>
      <c r="C49" s="2150" t="s">
        <v>3941</v>
      </c>
      <c r="D49" s="2150" t="s">
        <v>3942</v>
      </c>
      <c r="E49" s="2446">
        <v>1047.5</v>
      </c>
      <c r="F49" s="2446" t="s">
        <v>447</v>
      </c>
      <c r="G49" s="2150"/>
      <c r="H49" s="2150"/>
      <c r="I49" s="2150"/>
    </row>
    <row r="50" spans="2:9" ht="16">
      <c r="B50" s="2446" t="s">
        <v>3944</v>
      </c>
      <c r="C50" s="2150" t="s">
        <v>3944</v>
      </c>
      <c r="D50" s="2150" t="s">
        <v>3645</v>
      </c>
      <c r="E50" s="2446">
        <v>19500</v>
      </c>
      <c r="F50" s="2446" t="s">
        <v>435</v>
      </c>
      <c r="G50" s="2150"/>
      <c r="H50" s="2150"/>
      <c r="I50" s="2150"/>
    </row>
    <row r="51" spans="2:9" ht="16">
      <c r="B51" s="2446" t="s">
        <v>3948</v>
      </c>
      <c r="C51" s="2446" t="s">
        <v>3948</v>
      </c>
      <c r="D51" s="2150" t="s">
        <v>3645</v>
      </c>
      <c r="E51" s="2446">
        <v>9.98</v>
      </c>
      <c r="F51" s="2446" t="s">
        <v>435</v>
      </c>
      <c r="G51" s="2150"/>
      <c r="H51" s="2150"/>
      <c r="I51" s="2150"/>
    </row>
    <row r="52" spans="2:9" ht="16">
      <c r="B52" s="2452" t="s">
        <v>3954</v>
      </c>
      <c r="C52" s="2150" t="s">
        <v>3955</v>
      </c>
      <c r="D52" s="2150" t="s">
        <v>3645</v>
      </c>
      <c r="E52" s="2452">
        <v>20000</v>
      </c>
      <c r="F52" s="2452" t="s">
        <v>443</v>
      </c>
      <c r="G52" s="2150"/>
      <c r="H52" s="2150"/>
      <c r="I52" s="2150"/>
    </row>
    <row r="53" spans="2:9" ht="16">
      <c r="B53" s="2446" t="s">
        <v>3960</v>
      </c>
      <c r="C53" s="2150" t="s">
        <v>3982</v>
      </c>
      <c r="D53" s="2150" t="s">
        <v>3983</v>
      </c>
      <c r="E53" s="2446">
        <v>6300</v>
      </c>
      <c r="F53" s="2446" t="s">
        <v>443</v>
      </c>
      <c r="G53" s="2150"/>
      <c r="H53" s="2150"/>
      <c r="I53" s="2150"/>
    </row>
    <row r="54" spans="2:9" ht="16">
      <c r="B54" s="2446" t="s">
        <v>3962</v>
      </c>
      <c r="C54" s="2150" t="s">
        <v>3984</v>
      </c>
      <c r="D54" s="2150" t="s">
        <v>3983</v>
      </c>
      <c r="E54" s="2446">
        <v>7000</v>
      </c>
      <c r="F54" s="2446" t="s">
        <v>443</v>
      </c>
      <c r="G54" s="2150"/>
      <c r="H54" s="2150"/>
      <c r="I54" s="2150"/>
    </row>
    <row r="55" spans="2:9" ht="16">
      <c r="B55" s="2446" t="s">
        <v>3964</v>
      </c>
      <c r="C55" s="2150" t="s">
        <v>3985</v>
      </c>
      <c r="D55" s="2150" t="s">
        <v>3983</v>
      </c>
      <c r="E55" s="2446">
        <v>1000</v>
      </c>
      <c r="F55" s="2446" t="s">
        <v>443</v>
      </c>
      <c r="G55" s="2150"/>
      <c r="H55" s="2150"/>
      <c r="I55" s="2150"/>
    </row>
  </sheetData>
  <conditionalFormatting sqref="F1:F4 F11:F17">
    <cfRule type="containsText" dxfId="68" priority="11" operator="containsText" text="USD">
      <formula>NOT(ISERROR(SEARCH("USD",F1)))</formula>
    </cfRule>
    <cfRule type="containsText" dxfId="67" priority="12" operator="containsText" text="EUR">
      <formula>NOT(ISERROR(SEARCH("EUR",F1)))</formula>
    </cfRule>
  </conditionalFormatting>
  <conditionalFormatting sqref="F18:F47">
    <cfRule type="containsText" dxfId="66" priority="9" operator="containsText" text="USD">
      <formula>NOT(ISERROR(SEARCH("USD",F18)))</formula>
    </cfRule>
    <cfRule type="containsText" dxfId="65" priority="10" operator="containsText" text="EUR">
      <formula>NOT(ISERROR(SEARCH("EUR",F18)))</formula>
    </cfRule>
  </conditionalFormatting>
  <conditionalFormatting sqref="F5:F10">
    <cfRule type="containsText" dxfId="64" priority="7" operator="containsText" text="USD">
      <formula>NOT(ISERROR(SEARCH("USD",F5)))</formula>
    </cfRule>
    <cfRule type="containsText" dxfId="63" priority="8" operator="containsText" text="EUR">
      <formula>NOT(ISERROR(SEARCH("EUR",F5)))</formula>
    </cfRule>
  </conditionalFormatting>
  <conditionalFormatting sqref="F49">
    <cfRule type="containsText" dxfId="62" priority="5" operator="containsText" text="USD">
      <formula>NOT(ISERROR(SEARCH("USD",F49)))</formula>
    </cfRule>
    <cfRule type="containsText" dxfId="61" priority="6" operator="containsText" text="EUR">
      <formula>NOT(ISERROR(SEARCH("EUR",F49)))</formula>
    </cfRule>
  </conditionalFormatting>
  <conditionalFormatting sqref="F52">
    <cfRule type="containsText" dxfId="60" priority="3" operator="containsText" text="USD">
      <formula>NOT(ISERROR(SEARCH("USD",F52)))</formula>
    </cfRule>
    <cfRule type="containsText" dxfId="59" priority="4" operator="containsText" text="EUR">
      <formula>NOT(ISERROR(SEARCH("EUR",F52)))</formula>
    </cfRule>
  </conditionalFormatting>
  <conditionalFormatting sqref="F53:F55">
    <cfRule type="containsText" dxfId="58" priority="1" operator="containsText" text="USD">
      <formula>NOT(ISERROR(SEARCH("USD",F53)))</formula>
    </cfRule>
    <cfRule type="containsText" dxfId="57" priority="2" operator="containsText" text="EUR">
      <formula>NOT(ISERROR(SEARCH("EUR",F53)))</formula>
    </cfRule>
  </conditionalFormatting>
  <dataValidations count="1">
    <dataValidation type="list" allowBlank="1" showInputMessage="1" showErrorMessage="1" sqref="F2:F4 F11:F31" xr:uid="{00000000-0002-0000-1C00-000000000000}">
      <formula1>Valuta</formula1>
    </dataValidation>
  </dataValidation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7030A0"/>
  </sheetPr>
  <dimension ref="A3:AT112"/>
  <sheetViews>
    <sheetView tabSelected="1" topLeftCell="O70" zoomScale="85" zoomScaleNormal="85" workbookViewId="0">
      <selection activeCell="C57" sqref="C57"/>
    </sheetView>
  </sheetViews>
  <sheetFormatPr baseColWidth="10" defaultColWidth="8.83203125" defaultRowHeight="15" outlineLevelCol="1"/>
  <cols>
    <col min="1" max="1" width="16.33203125" style="709" customWidth="1"/>
    <col min="2" max="2" width="8.83203125" style="67"/>
    <col min="3" max="3" width="62.6640625" style="451" customWidth="1"/>
    <col min="4" max="9" width="15.1640625" style="67" customWidth="1" outlineLevel="1"/>
    <col min="10" max="10" width="13.83203125" style="67" customWidth="1"/>
    <col min="11" max="16" width="13.83203125" style="67" customWidth="1" outlineLevel="1"/>
    <col min="17" max="17" width="13.83203125" style="67" customWidth="1"/>
    <col min="18" max="23" width="13.83203125" style="67" customWidth="1" outlineLevel="1"/>
    <col min="24" max="24" width="13.83203125" style="67" customWidth="1"/>
    <col min="25" max="30" width="13.83203125" style="67" customWidth="1" outlineLevel="1"/>
    <col min="31" max="31" width="13.83203125" style="67" customWidth="1"/>
    <col min="32" max="37" width="13.83203125" style="67" customWidth="1" outlineLevel="1"/>
    <col min="38" max="38" width="13.5" style="67" bestFit="1" customWidth="1"/>
    <col min="39" max="39" width="14.83203125" style="67" bestFit="1" customWidth="1"/>
    <col min="40" max="45" width="8.83203125" style="67"/>
    <col min="46" max="46" width="17.83203125" style="67" customWidth="1"/>
    <col min="47" max="16384" width="8.83203125" style="67"/>
  </cols>
  <sheetData>
    <row r="3" spans="1:39" ht="16" thickBot="1"/>
    <row r="4" spans="1:39" s="76" customFormat="1" ht="20" thickBot="1">
      <c r="A4" s="710"/>
      <c r="C4" s="452"/>
      <c r="D4" s="453">
        <v>2021</v>
      </c>
      <c r="E4" s="454"/>
      <c r="F4" s="454"/>
      <c r="G4" s="454"/>
      <c r="H4" s="454"/>
      <c r="I4" s="455"/>
      <c r="J4" s="491">
        <v>2021</v>
      </c>
      <c r="K4" s="454">
        <v>2022</v>
      </c>
      <c r="L4" s="454"/>
      <c r="M4" s="454"/>
      <c r="N4" s="454"/>
      <c r="O4" s="454"/>
      <c r="P4" s="455"/>
      <c r="Q4" s="491">
        <v>2022</v>
      </c>
      <c r="R4" s="453">
        <v>2023</v>
      </c>
      <c r="S4" s="454"/>
      <c r="T4" s="454"/>
      <c r="U4" s="454"/>
      <c r="V4" s="454"/>
      <c r="W4" s="455"/>
      <c r="X4" s="491">
        <v>2023</v>
      </c>
      <c r="Y4" s="453">
        <v>2024</v>
      </c>
      <c r="Z4" s="454"/>
      <c r="AA4" s="454"/>
      <c r="AB4" s="454"/>
      <c r="AC4" s="454"/>
      <c r="AD4" s="455"/>
      <c r="AE4" s="491">
        <v>2024</v>
      </c>
      <c r="AF4" s="453">
        <v>2025</v>
      </c>
      <c r="AG4" s="454"/>
      <c r="AH4" s="454"/>
      <c r="AI4" s="454"/>
      <c r="AJ4" s="454"/>
      <c r="AK4" s="455"/>
      <c r="AL4" s="491">
        <v>2025</v>
      </c>
      <c r="AM4" s="491" t="s">
        <v>519</v>
      </c>
    </row>
    <row r="5" spans="1:39" s="729" customFormat="1" ht="61" thickBot="1">
      <c r="A5" s="722"/>
      <c r="B5" s="723"/>
      <c r="C5" s="724" t="s">
        <v>353</v>
      </c>
      <c r="D5" s="725" t="s">
        <v>338</v>
      </c>
      <c r="E5" s="726" t="s">
        <v>349</v>
      </c>
      <c r="F5" s="726" t="s">
        <v>350</v>
      </c>
      <c r="G5" s="726" t="s">
        <v>351</v>
      </c>
      <c r="H5" s="726" t="s">
        <v>513</v>
      </c>
      <c r="I5" s="727" t="s">
        <v>514</v>
      </c>
      <c r="J5" s="728" t="s">
        <v>97</v>
      </c>
      <c r="K5" s="725" t="s">
        <v>338</v>
      </c>
      <c r="L5" s="726" t="s">
        <v>349</v>
      </c>
      <c r="M5" s="726" t="s">
        <v>350</v>
      </c>
      <c r="N5" s="726" t="s">
        <v>351</v>
      </c>
      <c r="O5" s="726" t="s">
        <v>513</v>
      </c>
      <c r="P5" s="727" t="s">
        <v>514</v>
      </c>
      <c r="Q5" s="728" t="s">
        <v>97</v>
      </c>
      <c r="R5" s="725" t="s">
        <v>338</v>
      </c>
      <c r="S5" s="726" t="s">
        <v>349</v>
      </c>
      <c r="T5" s="726" t="s">
        <v>350</v>
      </c>
      <c r="U5" s="726" t="s">
        <v>351</v>
      </c>
      <c r="V5" s="726" t="s">
        <v>513</v>
      </c>
      <c r="W5" s="727" t="s">
        <v>514</v>
      </c>
      <c r="X5" s="728" t="s">
        <v>97</v>
      </c>
      <c r="Y5" s="725" t="s">
        <v>338</v>
      </c>
      <c r="Z5" s="726" t="s">
        <v>349</v>
      </c>
      <c r="AA5" s="726" t="s">
        <v>350</v>
      </c>
      <c r="AB5" s="726" t="s">
        <v>351</v>
      </c>
      <c r="AC5" s="726" t="s">
        <v>513</v>
      </c>
      <c r="AD5" s="727" t="s">
        <v>514</v>
      </c>
      <c r="AE5" s="728" t="s">
        <v>97</v>
      </c>
      <c r="AF5" s="725" t="s">
        <v>338</v>
      </c>
      <c r="AG5" s="726" t="s">
        <v>349</v>
      </c>
      <c r="AH5" s="726" t="s">
        <v>350</v>
      </c>
      <c r="AI5" s="726" t="s">
        <v>351</v>
      </c>
      <c r="AJ5" s="726" t="s">
        <v>513</v>
      </c>
      <c r="AK5" s="727" t="s">
        <v>514</v>
      </c>
      <c r="AL5" s="728" t="s">
        <v>97</v>
      </c>
      <c r="AM5" s="728" t="s">
        <v>97</v>
      </c>
    </row>
    <row r="6" spans="1:39" ht="64">
      <c r="A6" s="709" t="s">
        <v>246</v>
      </c>
      <c r="B6" s="458">
        <v>1</v>
      </c>
      <c r="C6" s="459" t="str">
        <f>Buget_sumar_MDL!C6</f>
        <v xml:space="preserve">1. Asigurarea examinării prin screening sistematic pentru TB activă a cel puțin 90% din contacți către finele anului 2025 prin asigurarea accesului universal la screening sistematic al contacților și grupurilor cu risc sporit TB, inclusiv și pentru copii  </v>
      </c>
      <c r="D6" s="460">
        <f t="shared" ref="D6:I15" ca="1" si="0">SUMIFS(_2021_Total,Buget_detal_sursa,D$5,Buget_detal_obiect,$A6)/EUR</f>
        <v>2125377.0209923689</v>
      </c>
      <c r="E6" s="461">
        <f t="shared" ca="1" si="0"/>
        <v>0</v>
      </c>
      <c r="F6" s="461">
        <f t="shared" ca="1" si="0"/>
        <v>0</v>
      </c>
      <c r="G6" s="461">
        <f t="shared" ca="1" si="0"/>
        <v>393735.51946238376</v>
      </c>
      <c r="H6" s="461">
        <f t="shared" ca="1" si="0"/>
        <v>0</v>
      </c>
      <c r="I6" s="461">
        <f t="shared" ca="1" si="0"/>
        <v>0</v>
      </c>
      <c r="J6" s="494">
        <f ca="1">SUM(D6:I6)</f>
        <v>2519112.5404547527</v>
      </c>
      <c r="K6" s="486">
        <f t="shared" ref="K6:P15" ca="1" si="1">SUMIFS(_2022_Total,Buget_detal_sursa,K$5,Buget_detal_obiect,$A6)/EUR</f>
        <v>2098372.5093826898</v>
      </c>
      <c r="L6" s="461">
        <f t="shared" ca="1" si="1"/>
        <v>0</v>
      </c>
      <c r="M6" s="461">
        <f t="shared" ca="1" si="1"/>
        <v>0</v>
      </c>
      <c r="N6" s="461">
        <f t="shared" ca="1" si="1"/>
        <v>554004.2766507091</v>
      </c>
      <c r="O6" s="461">
        <f t="shared" ca="1" si="1"/>
        <v>0</v>
      </c>
      <c r="P6" s="461">
        <f t="shared" ca="1" si="1"/>
        <v>0</v>
      </c>
      <c r="Q6" s="494">
        <f ca="1">SUM(K6:P6)</f>
        <v>2652376.7860333989</v>
      </c>
      <c r="R6" s="460">
        <f t="shared" ref="R6:W15" ca="1" si="2">SUMIFS(_2023_Total,Buget_detal_sursa,R$5,Buget_detal_obiect,$A6)/EUR</f>
        <v>2071231.3699728348</v>
      </c>
      <c r="S6" s="461">
        <f t="shared" ca="1" si="2"/>
        <v>0</v>
      </c>
      <c r="T6" s="461">
        <f t="shared" ca="1" si="2"/>
        <v>0</v>
      </c>
      <c r="U6" s="461">
        <f t="shared" ca="1" si="2"/>
        <v>578364.17295079574</v>
      </c>
      <c r="V6" s="461">
        <f t="shared" ca="1" si="2"/>
        <v>0</v>
      </c>
      <c r="W6" s="461">
        <f t="shared" ca="1" si="2"/>
        <v>0</v>
      </c>
      <c r="X6" s="494">
        <f ca="1">SUM(R6:W6)</f>
        <v>2649595.5429236307</v>
      </c>
      <c r="Y6" s="460">
        <f t="shared" ref="Y6:AD15" ca="1" si="3">SUMIFS(_2024_Total,Buget_detal_sursa,Y$5,Buget_detal_obiect,$A6)/EUR</f>
        <v>2461786.2904727785</v>
      </c>
      <c r="Z6" s="461">
        <f t="shared" ca="1" si="3"/>
        <v>0</v>
      </c>
      <c r="AA6" s="461">
        <f t="shared" ca="1" si="3"/>
        <v>0</v>
      </c>
      <c r="AB6" s="461">
        <f t="shared" ca="1" si="3"/>
        <v>0</v>
      </c>
      <c r="AC6" s="461">
        <f t="shared" ca="1" si="3"/>
        <v>143798.55837818285</v>
      </c>
      <c r="AD6" s="461">
        <f t="shared" ca="1" si="3"/>
        <v>0</v>
      </c>
      <c r="AE6" s="494">
        <f ca="1">SUM(Y6:AD6)</f>
        <v>2605584.8488509613</v>
      </c>
      <c r="AF6" s="460">
        <f t="shared" ref="AF6:AK15" ca="1" si="4">SUMIFS(_2025_Total,Buget_detal_sursa,AF$5,Buget_detal_obiect,$A6)/EUR</f>
        <v>2430165.246322454</v>
      </c>
      <c r="AG6" s="461">
        <f t="shared" ca="1" si="4"/>
        <v>0</v>
      </c>
      <c r="AH6" s="461">
        <f t="shared" ca="1" si="4"/>
        <v>0</v>
      </c>
      <c r="AI6" s="461">
        <f t="shared" ca="1" si="4"/>
        <v>0</v>
      </c>
      <c r="AJ6" s="461">
        <f t="shared" ca="1" si="4"/>
        <v>143798.55837818285</v>
      </c>
      <c r="AK6" s="461">
        <f t="shared" ca="1" si="4"/>
        <v>0</v>
      </c>
      <c r="AL6" s="494">
        <f ca="1">SUM(AF6:AK6)</f>
        <v>2573963.8047006368</v>
      </c>
      <c r="AM6" s="494">
        <f ca="1">J6+Q6+X6+AE6+AL6</f>
        <v>13000633.522963382</v>
      </c>
    </row>
    <row r="7" spans="1:39" ht="80">
      <c r="A7" s="709" t="s">
        <v>247</v>
      </c>
      <c r="B7" s="458">
        <v>2</v>
      </c>
      <c r="C7" s="459" t="str">
        <f>Buget_sumar_MDL!C7</f>
        <v>2. Asigurarea diagnosticului precoce al tuturor formelor de TB cu depistarea către finele anului 2025 a cel puțin 90% din numărul total estimat de cazuri cu TB RR/MDR prin asigurarea accesului universal la diagnostic precoce al tuturor formelor de TB și la testele de sensibilitate la medicamente, inclusiv utilizarea testelor rapide.</v>
      </c>
      <c r="D7" s="462">
        <f t="shared" ca="1" si="0"/>
        <v>4130.9353828182775</v>
      </c>
      <c r="E7" s="463">
        <f t="shared" ca="1" si="0"/>
        <v>637684.97870158858</v>
      </c>
      <c r="F7" s="463">
        <f t="shared" ca="1" si="0"/>
        <v>0</v>
      </c>
      <c r="G7" s="463">
        <f t="shared" ca="1" si="0"/>
        <v>603451.41540043184</v>
      </c>
      <c r="H7" s="463">
        <f t="shared" ca="1" si="0"/>
        <v>104447.44704773367</v>
      </c>
      <c r="I7" s="463">
        <f t="shared" ca="1" si="0"/>
        <v>0</v>
      </c>
      <c r="J7" s="494">
        <f t="shared" ref="J7:J15" ca="1" si="5">SUM(D7:I7)</f>
        <v>1349714.7765325722</v>
      </c>
      <c r="K7" s="487">
        <f t="shared" ca="1" si="1"/>
        <v>11142.275630871967</v>
      </c>
      <c r="L7" s="463">
        <f t="shared" ca="1" si="1"/>
        <v>663408.77907808335</v>
      </c>
      <c r="M7" s="463">
        <f t="shared" ca="1" si="1"/>
        <v>0</v>
      </c>
      <c r="N7" s="463">
        <f t="shared" ca="1" si="1"/>
        <v>379605.58785666764</v>
      </c>
      <c r="O7" s="463">
        <f t="shared" ca="1" si="1"/>
        <v>111110.36289823087</v>
      </c>
      <c r="P7" s="463">
        <f t="shared" ca="1" si="1"/>
        <v>0</v>
      </c>
      <c r="Q7" s="494">
        <f ca="1">SUM(K7:P7)</f>
        <v>1165267.0054638537</v>
      </c>
      <c r="R7" s="462">
        <f t="shared" ca="1" si="2"/>
        <v>16461.756898945172</v>
      </c>
      <c r="S7" s="463">
        <f t="shared" ca="1" si="2"/>
        <v>683265.50604001491</v>
      </c>
      <c r="T7" s="463">
        <f t="shared" ca="1" si="2"/>
        <v>0</v>
      </c>
      <c r="U7" s="463">
        <f t="shared" ca="1" si="2"/>
        <v>464798.90706349286</v>
      </c>
      <c r="V7" s="463">
        <f t="shared" ca="1" si="2"/>
        <v>114981.5198263128</v>
      </c>
      <c r="W7" s="463">
        <f t="shared" ca="1" si="2"/>
        <v>0</v>
      </c>
      <c r="X7" s="494">
        <f t="shared" ref="X7:X15" ca="1" si="6">SUM(R7:W7)</f>
        <v>1279507.6898287658</v>
      </c>
      <c r="Y7" s="462">
        <f t="shared" ca="1" si="3"/>
        <v>23265.684962052674</v>
      </c>
      <c r="Z7" s="463">
        <f t="shared" ca="1" si="3"/>
        <v>873961.183510395</v>
      </c>
      <c r="AA7" s="463">
        <f t="shared" ca="1" si="3"/>
        <v>0</v>
      </c>
      <c r="AB7" s="463">
        <f t="shared" ca="1" si="3"/>
        <v>0</v>
      </c>
      <c r="AC7" s="463">
        <f t="shared" ca="1" si="3"/>
        <v>237777.83656649481</v>
      </c>
      <c r="AD7" s="463">
        <f t="shared" ca="1" si="3"/>
        <v>0</v>
      </c>
      <c r="AE7" s="494">
        <f t="shared" ref="AE7:AE15" ca="1" si="7">SUM(Y7:AD7)</f>
        <v>1135004.7050389424</v>
      </c>
      <c r="AF7" s="462">
        <f t="shared" ca="1" si="4"/>
        <v>23265.684962052674</v>
      </c>
      <c r="AG7" s="463">
        <f t="shared" ca="1" si="4"/>
        <v>1038489.815346505</v>
      </c>
      <c r="AH7" s="463">
        <f t="shared" ca="1" si="4"/>
        <v>0</v>
      </c>
      <c r="AI7" s="463">
        <f t="shared" ca="1" si="4"/>
        <v>0</v>
      </c>
      <c r="AJ7" s="463">
        <f t="shared" ca="1" si="4"/>
        <v>258840.98115115424</v>
      </c>
      <c r="AK7" s="463">
        <f t="shared" ca="1" si="4"/>
        <v>0</v>
      </c>
      <c r="AL7" s="494">
        <f t="shared" ref="AL7:AL15" ca="1" si="8">SUM(AF7:AK7)</f>
        <v>1320596.4814597119</v>
      </c>
      <c r="AM7" s="494">
        <f t="shared" ref="AM7:AM15" ca="1" si="9">J7+Q7+X7+AE7+AL7</f>
        <v>6250090.6583238458</v>
      </c>
    </row>
    <row r="8" spans="1:39" ht="96">
      <c r="A8" s="709" t="s">
        <v>248</v>
      </c>
      <c r="B8" s="458">
        <v>3</v>
      </c>
      <c r="C8" s="459" t="str">
        <f>Buget_sumar_MDL!C8</f>
        <v>3. Asigurarea tratamentului TB sensibile și TB RR/MDR cu obținerea ratei de succes printre cazurile noi și recidive TB sensibilă de cel puțin 90% şi printre cazurile de TB RR/MDR nu mai joasă de 80% către anul 2025 prin asigurarea accesului echitabil la tratament de calitate și îngrijiri continue pentru toate persoanele cu TB, inclusiv copii, prin abordare centrată pe persoană și suport în baza necesităților persoanei</v>
      </c>
      <c r="D8" s="462">
        <f t="shared" ca="1" si="0"/>
        <v>781394.10925097822</v>
      </c>
      <c r="E8" s="463">
        <f t="shared" ca="1" si="0"/>
        <v>574061.2364936173</v>
      </c>
      <c r="F8" s="463">
        <f t="shared" ca="1" si="0"/>
        <v>17752.949942732892</v>
      </c>
      <c r="G8" s="463">
        <f t="shared" ca="1" si="0"/>
        <v>967033.4093756699</v>
      </c>
      <c r="H8" s="463">
        <f t="shared" ca="1" si="0"/>
        <v>25865.778452800027</v>
      </c>
      <c r="I8" s="463">
        <f t="shared" ca="1" si="0"/>
        <v>0</v>
      </c>
      <c r="J8" s="494">
        <f t="shared" ca="1" si="5"/>
        <v>2366107.4835157986</v>
      </c>
      <c r="K8" s="487">
        <f t="shared" ca="1" si="1"/>
        <v>762503.393299761</v>
      </c>
      <c r="L8" s="463">
        <f t="shared" ca="1" si="1"/>
        <v>633074.08117208199</v>
      </c>
      <c r="M8" s="463">
        <f t="shared" ca="1" si="1"/>
        <v>19613.325103569721</v>
      </c>
      <c r="N8" s="463">
        <f t="shared" ca="1" si="1"/>
        <v>1311412.5511813783</v>
      </c>
      <c r="O8" s="463">
        <f t="shared" ca="1" si="1"/>
        <v>25558.077999957502</v>
      </c>
      <c r="P8" s="463">
        <f t="shared" ca="1" si="1"/>
        <v>0</v>
      </c>
      <c r="Q8" s="494">
        <f t="shared" ref="Q8:Q15" ca="1" si="10">SUM(K8:P8)</f>
        <v>2752161.4287567483</v>
      </c>
      <c r="R8" s="462">
        <f t="shared" ca="1" si="2"/>
        <v>741394.22033546178</v>
      </c>
      <c r="S8" s="463">
        <f t="shared" ca="1" si="2"/>
        <v>692368.62132384873</v>
      </c>
      <c r="T8" s="463">
        <f t="shared" ca="1" si="2"/>
        <v>21091.290400675109</v>
      </c>
      <c r="U8" s="463">
        <f t="shared" ca="1" si="2"/>
        <v>1211328.72217636</v>
      </c>
      <c r="V8" s="463">
        <f t="shared" ca="1" si="2"/>
        <v>25241.581999992562</v>
      </c>
      <c r="W8" s="463">
        <f t="shared" ca="1" si="2"/>
        <v>0</v>
      </c>
      <c r="X8" s="494">
        <f t="shared" ca="1" si="6"/>
        <v>2691424.4362363382</v>
      </c>
      <c r="Y8" s="462">
        <f t="shared" ca="1" si="3"/>
        <v>721118.12188953883</v>
      </c>
      <c r="Z8" s="463">
        <f t="shared" ca="1" si="3"/>
        <v>908570.24231143761</v>
      </c>
      <c r="AA8" s="463">
        <f t="shared" ca="1" si="3"/>
        <v>26156.423870465704</v>
      </c>
      <c r="AB8" s="463">
        <f t="shared" ca="1" si="3"/>
        <v>0</v>
      </c>
      <c r="AC8" s="463">
        <f t="shared" ca="1" si="3"/>
        <v>672904.52956154291</v>
      </c>
      <c r="AD8" s="463">
        <f t="shared" ca="1" si="3"/>
        <v>0</v>
      </c>
      <c r="AE8" s="494">
        <f t="shared" ca="1" si="7"/>
        <v>2328749.3176329853</v>
      </c>
      <c r="AF8" s="462">
        <f t="shared" ca="1" si="4"/>
        <v>743357.4775628451</v>
      </c>
      <c r="AG8" s="463">
        <f t="shared" ca="1" si="4"/>
        <v>881958.26963597874</v>
      </c>
      <c r="AH8" s="463">
        <f t="shared" ca="1" si="4"/>
        <v>26076.320747376401</v>
      </c>
      <c r="AI8" s="463">
        <f t="shared" ca="1" si="4"/>
        <v>0</v>
      </c>
      <c r="AJ8" s="463">
        <f t="shared" ca="1" si="4"/>
        <v>682515.22991201421</v>
      </c>
      <c r="AK8" s="463">
        <f t="shared" ca="1" si="4"/>
        <v>0</v>
      </c>
      <c r="AL8" s="494">
        <f t="shared" ca="1" si="8"/>
        <v>2333907.2978582145</v>
      </c>
      <c r="AM8" s="494">
        <f t="shared" ca="1" si="9"/>
        <v>12472349.964000085</v>
      </c>
    </row>
    <row r="9" spans="1:39" ht="80">
      <c r="A9" s="709" t="s">
        <v>252</v>
      </c>
      <c r="B9" s="458">
        <v>4</v>
      </c>
      <c r="C9" s="459" t="str">
        <f>Buget_sumar_MDL!C9</f>
        <v>4. Asigurarea  acoperii universale si continuității serviciilor medicale, gestionare  co-morbidiăților și social-economice în baza necesitaților  persoanei prin extinderea colaborării cu programele naționale HIV, Hepatite, Droguri, Alcool, Diabet, Sănătate mentală, etc., conlucrare cu sectorul penitenciar, social și societatea civila</v>
      </c>
      <c r="D9" s="462">
        <f t="shared" ca="1" si="0"/>
        <v>0</v>
      </c>
      <c r="E9" s="463">
        <f t="shared" ca="1" si="0"/>
        <v>2061.4069930128371</v>
      </c>
      <c r="F9" s="463">
        <f t="shared" ca="1" si="0"/>
        <v>66.268518815291117</v>
      </c>
      <c r="G9" s="463">
        <f t="shared" ca="1" si="0"/>
        <v>15181.478160459294</v>
      </c>
      <c r="H9" s="463">
        <f t="shared" ca="1" si="0"/>
        <v>1348.8102214846258</v>
      </c>
      <c r="I9" s="463">
        <f t="shared" ca="1" si="0"/>
        <v>0</v>
      </c>
      <c r="J9" s="494">
        <f t="shared" ca="1" si="5"/>
        <v>18657.963893772048</v>
      </c>
      <c r="K9" s="487">
        <f t="shared" ca="1" si="1"/>
        <v>0</v>
      </c>
      <c r="L9" s="463">
        <f t="shared" ca="1" si="1"/>
        <v>1999.9793117888205</v>
      </c>
      <c r="M9" s="463">
        <f t="shared" ca="1" si="1"/>
        <v>64.434096149123889</v>
      </c>
      <c r="N9" s="463">
        <f t="shared" ca="1" si="1"/>
        <v>8370.3890958247866</v>
      </c>
      <c r="O9" s="463">
        <f t="shared" ca="1" si="1"/>
        <v>1330.4659948229535</v>
      </c>
      <c r="P9" s="463">
        <f t="shared" ca="1" si="1"/>
        <v>0</v>
      </c>
      <c r="Q9" s="494">
        <f t="shared" ca="1" si="10"/>
        <v>11765.268498585683</v>
      </c>
      <c r="R9" s="462">
        <f t="shared" ca="1" si="2"/>
        <v>0</v>
      </c>
      <c r="S9" s="463">
        <f t="shared" ca="1" si="2"/>
        <v>1944.5135042298475</v>
      </c>
      <c r="T9" s="463">
        <f t="shared" ca="1" si="2"/>
        <v>64.434096149123889</v>
      </c>
      <c r="U9" s="463">
        <f t="shared" ca="1" si="2"/>
        <v>8370.3890958247866</v>
      </c>
      <c r="V9" s="463">
        <f t="shared" ca="1" si="2"/>
        <v>1343.2050411157816</v>
      </c>
      <c r="W9" s="463">
        <f t="shared" ca="1" si="2"/>
        <v>0</v>
      </c>
      <c r="X9" s="494">
        <f t="shared" ca="1" si="6"/>
        <v>11722.54173731954</v>
      </c>
      <c r="Y9" s="462">
        <f t="shared" ca="1" si="3"/>
        <v>0</v>
      </c>
      <c r="Z9" s="463">
        <f t="shared" ca="1" si="3"/>
        <v>1879.9010614326239</v>
      </c>
      <c r="AA9" s="463">
        <f t="shared" ca="1" si="3"/>
        <v>53.402082059534862</v>
      </c>
      <c r="AB9" s="463">
        <f t="shared" ca="1" si="3"/>
        <v>0</v>
      </c>
      <c r="AC9" s="463">
        <f t="shared" ca="1" si="3"/>
        <v>1355.8166969456811</v>
      </c>
      <c r="AD9" s="463">
        <f t="shared" ca="1" si="3"/>
        <v>0</v>
      </c>
      <c r="AE9" s="494">
        <f t="shared" ca="1" si="7"/>
        <v>3289.1198404378401</v>
      </c>
      <c r="AF9" s="462">
        <f t="shared" ca="1" si="4"/>
        <v>0</v>
      </c>
      <c r="AG9" s="463">
        <f t="shared" ca="1" si="4"/>
        <v>1828.9703543538976</v>
      </c>
      <c r="AH9" s="463">
        <f t="shared" ca="1" si="4"/>
        <v>53.402082059534862</v>
      </c>
      <c r="AI9" s="463">
        <f t="shared" ca="1" si="4"/>
        <v>0</v>
      </c>
      <c r="AJ9" s="463">
        <f t="shared" ca="1" si="4"/>
        <v>1366.7722767575133</v>
      </c>
      <c r="AK9" s="463">
        <f t="shared" ca="1" si="4"/>
        <v>0</v>
      </c>
      <c r="AL9" s="494">
        <f t="shared" ca="1" si="8"/>
        <v>3249.1447131709456</v>
      </c>
      <c r="AM9" s="494">
        <f t="shared" ca="1" si="9"/>
        <v>48684.038683286053</v>
      </c>
    </row>
    <row r="10" spans="1:39" ht="48">
      <c r="A10" s="709" t="s">
        <v>2247</v>
      </c>
      <c r="B10" s="458">
        <v>5</v>
      </c>
      <c r="C10" s="459" t="str">
        <f>Buget_sumar_MDL!C10</f>
        <v>5. Reducerea transmiterii TB în societate prin măsuri de profilaxie în controlul TB și asigurarea a cel puțin 95% ratei de vaccinare cu vaccinul Bacillus Calmette-Guerin la noi născuți</v>
      </c>
      <c r="D10" s="462">
        <f t="shared" ca="1" si="0"/>
        <v>0</v>
      </c>
      <c r="E10" s="463">
        <f t="shared" ca="1" si="0"/>
        <v>175470.29730844844</v>
      </c>
      <c r="F10" s="463">
        <f t="shared" ca="1" si="0"/>
        <v>6912.6304739490834</v>
      </c>
      <c r="G10" s="463">
        <f t="shared" ca="1" si="0"/>
        <v>198399.62799848311</v>
      </c>
      <c r="H10" s="463">
        <f t="shared" ca="1" si="0"/>
        <v>19900.786269224045</v>
      </c>
      <c r="I10" s="463">
        <f t="shared" ca="1" si="0"/>
        <v>0</v>
      </c>
      <c r="J10" s="494">
        <f t="shared" ca="1" si="5"/>
        <v>400683.34205010463</v>
      </c>
      <c r="K10" s="487">
        <f t="shared" ca="1" si="1"/>
        <v>0</v>
      </c>
      <c r="L10" s="463">
        <f t="shared" ca="1" si="1"/>
        <v>184765.26039655221</v>
      </c>
      <c r="M10" s="463">
        <f t="shared" ca="1" si="1"/>
        <v>7896.5414151745381</v>
      </c>
      <c r="N10" s="463">
        <f t="shared" ca="1" si="1"/>
        <v>169786.40363048151</v>
      </c>
      <c r="O10" s="463">
        <f t="shared" ca="1" si="1"/>
        <v>20685.949744054724</v>
      </c>
      <c r="P10" s="463">
        <f t="shared" ca="1" si="1"/>
        <v>0</v>
      </c>
      <c r="Q10" s="494">
        <f t="shared" ca="1" si="10"/>
        <v>383134.15518626297</v>
      </c>
      <c r="R10" s="462">
        <f t="shared" ca="1" si="2"/>
        <v>0</v>
      </c>
      <c r="S10" s="463">
        <f t="shared" ca="1" si="2"/>
        <v>192951.9351197315</v>
      </c>
      <c r="T10" s="463">
        <f t="shared" ca="1" si="2"/>
        <v>9087.7910356146549</v>
      </c>
      <c r="U10" s="463">
        <f t="shared" ca="1" si="2"/>
        <v>147278.44722237607</v>
      </c>
      <c r="V10" s="463">
        <f t="shared" ca="1" si="2"/>
        <v>21327.273080260122</v>
      </c>
      <c r="W10" s="463">
        <f t="shared" ca="1" si="2"/>
        <v>0</v>
      </c>
      <c r="X10" s="494">
        <f t="shared" ca="1" si="6"/>
        <v>370645.44645798235</v>
      </c>
      <c r="Y10" s="462">
        <f t="shared" ca="1" si="3"/>
        <v>0</v>
      </c>
      <c r="Z10" s="463">
        <f t="shared" ca="1" si="3"/>
        <v>270033.51694035827</v>
      </c>
      <c r="AA10" s="463">
        <f t="shared" ca="1" si="3"/>
        <v>15104.795216518691</v>
      </c>
      <c r="AB10" s="463">
        <f t="shared" ca="1" si="3"/>
        <v>0</v>
      </c>
      <c r="AC10" s="463">
        <f t="shared" ca="1" si="3"/>
        <v>28813.952496504025</v>
      </c>
      <c r="AD10" s="463">
        <f t="shared" ca="1" si="3"/>
        <v>0</v>
      </c>
      <c r="AE10" s="494">
        <f t="shared" ca="1" si="7"/>
        <v>313952.26465338096</v>
      </c>
      <c r="AF10" s="462">
        <f t="shared" ca="1" si="4"/>
        <v>0</v>
      </c>
      <c r="AG10" s="463">
        <f t="shared" ca="1" si="4"/>
        <v>264138.62212335132</v>
      </c>
      <c r="AH10" s="463">
        <f t="shared" ca="1" si="4"/>
        <v>15309.626851422923</v>
      </c>
      <c r="AI10" s="463">
        <f t="shared" ca="1" si="4"/>
        <v>0</v>
      </c>
      <c r="AJ10" s="463">
        <f t="shared" ca="1" si="4"/>
        <v>28195.207845948036</v>
      </c>
      <c r="AK10" s="463">
        <f t="shared" ca="1" si="4"/>
        <v>0</v>
      </c>
      <c r="AL10" s="494">
        <f t="shared" ca="1" si="8"/>
        <v>307643.45682072232</v>
      </c>
      <c r="AM10" s="494">
        <f t="shared" ca="1" si="9"/>
        <v>1776058.665168453</v>
      </c>
    </row>
    <row r="11" spans="1:39" ht="80">
      <c r="A11" s="709" t="s">
        <v>2297</v>
      </c>
      <c r="B11" s="458">
        <v>6</v>
      </c>
      <c r="C11" s="459" t="str">
        <f>Buget_sumar_MDL!C11</f>
        <v>6. Adoptarea politicilor și implementarea măsurilor axate pe atingerea obiectivelor de reducere a poverii TB, prin implementarea abordării centrate pe persoană, reducerea determinantelor sociale, ajustarea mecanismelor de finanțare modelului centrat pe persoană la fiecare nivel de asistență, cu implicarea OSC și a persoanelor afectate</v>
      </c>
      <c r="D11" s="462">
        <f t="shared" ca="1" si="0"/>
        <v>6353859.2589146439</v>
      </c>
      <c r="E11" s="463">
        <f t="shared" ca="1" si="0"/>
        <v>29981.141625429947</v>
      </c>
      <c r="F11" s="463">
        <f t="shared" ca="1" si="0"/>
        <v>0</v>
      </c>
      <c r="G11" s="463">
        <f t="shared" ca="1" si="0"/>
        <v>585113.66926402657</v>
      </c>
      <c r="H11" s="463">
        <f t="shared" ca="1" si="0"/>
        <v>534.38006170080632</v>
      </c>
      <c r="I11" s="463">
        <f t="shared" ca="1" si="0"/>
        <v>0</v>
      </c>
      <c r="J11" s="494">
        <f t="shared" ca="1" si="5"/>
        <v>6969488.4498658013</v>
      </c>
      <c r="K11" s="487">
        <f t="shared" ca="1" si="1"/>
        <v>6354307.2870962685</v>
      </c>
      <c r="L11" s="463">
        <f t="shared" ca="1" si="1"/>
        <v>29981.141625429947</v>
      </c>
      <c r="M11" s="463">
        <f t="shared" ca="1" si="1"/>
        <v>0</v>
      </c>
      <c r="N11" s="463">
        <f t="shared" ca="1" si="1"/>
        <v>451514.30372967926</v>
      </c>
      <c r="O11" s="463">
        <f t="shared" ca="1" si="1"/>
        <v>587.81781308996119</v>
      </c>
      <c r="P11" s="463">
        <f t="shared" ca="1" si="1"/>
        <v>0</v>
      </c>
      <c r="Q11" s="494">
        <f t="shared" ca="1" si="10"/>
        <v>6836390.5502644675</v>
      </c>
      <c r="R11" s="462">
        <f t="shared" ca="1" si="2"/>
        <v>6354755.3147683302</v>
      </c>
      <c r="S11" s="463">
        <f t="shared" ca="1" si="2"/>
        <v>29981.141625429947</v>
      </c>
      <c r="T11" s="463">
        <f t="shared" ca="1" si="2"/>
        <v>0</v>
      </c>
      <c r="U11" s="463">
        <f t="shared" ca="1" si="2"/>
        <v>403892.56239682971</v>
      </c>
      <c r="V11" s="463">
        <f t="shared" ca="1" si="2"/>
        <v>641.25556447911595</v>
      </c>
      <c r="W11" s="463">
        <f t="shared" ca="1" si="2"/>
        <v>0</v>
      </c>
      <c r="X11" s="494">
        <f t="shared" ca="1" si="6"/>
        <v>6789270.2743550688</v>
      </c>
      <c r="Y11" s="462">
        <f t="shared" ca="1" si="3"/>
        <v>6526785.5139005156</v>
      </c>
      <c r="Z11" s="463">
        <f t="shared" ca="1" si="3"/>
        <v>54966.632106483346</v>
      </c>
      <c r="AA11" s="463">
        <f t="shared" ca="1" si="3"/>
        <v>0</v>
      </c>
      <c r="AB11" s="463">
        <f t="shared" ca="1" si="3"/>
        <v>-5.3568810769002116E-4</v>
      </c>
      <c r="AC11" s="463">
        <f t="shared" ca="1" si="3"/>
        <v>44147.919843678654</v>
      </c>
      <c r="AD11" s="463">
        <f t="shared" ca="1" si="3"/>
        <v>0</v>
      </c>
      <c r="AE11" s="494">
        <f t="shared" ca="1" si="7"/>
        <v>6625900.0653149886</v>
      </c>
      <c r="AF11" s="462">
        <f t="shared" ca="1" si="4"/>
        <v>6523931.6386087472</v>
      </c>
      <c r="AG11" s="463">
        <f t="shared" ca="1" si="4"/>
        <v>54966.632106483346</v>
      </c>
      <c r="AH11" s="463">
        <f t="shared" ca="1" si="4"/>
        <v>0</v>
      </c>
      <c r="AI11" s="463">
        <f t="shared" ca="1" si="4"/>
        <v>-4.0764948293656444E-4</v>
      </c>
      <c r="AJ11" s="463">
        <f t="shared" ca="1" si="4"/>
        <v>44219.237865663497</v>
      </c>
      <c r="AK11" s="463">
        <f t="shared" ca="1" si="4"/>
        <v>0</v>
      </c>
      <c r="AL11" s="494">
        <f t="shared" ca="1" si="8"/>
        <v>6623117.5081732441</v>
      </c>
      <c r="AM11" s="494">
        <f t="shared" ca="1" si="9"/>
        <v>33844166.84797357</v>
      </c>
    </row>
    <row r="12" spans="1:39" ht="48">
      <c r="A12" s="709" t="s">
        <v>3079</v>
      </c>
      <c r="B12" s="458">
        <v>7</v>
      </c>
      <c r="C12" s="459" t="str">
        <f>Buget_sumar_MDL!C12</f>
        <v>7. Accelerarea ratei progresului răspunsului național în atingerea țintelor stabilite prin intensificarea adoptării inovațiilor, disponibilității informațiilor strategice pentru luarea deciziilor și cercetări operaționale</v>
      </c>
      <c r="D12" s="462">
        <f ca="1">SUMIFS(_2021_Total,Buget_detal_sursa,D$5,Buget_detal_obiect,$A12)/EUR</f>
        <v>0</v>
      </c>
      <c r="E12" s="463">
        <f t="shared" ca="1" si="0"/>
        <v>111529.02543289444</v>
      </c>
      <c r="F12" s="463">
        <f t="shared" ca="1" si="0"/>
        <v>0</v>
      </c>
      <c r="G12" s="463">
        <f t="shared" ca="1" si="0"/>
        <v>28471.768464470519</v>
      </c>
      <c r="H12" s="463">
        <f t="shared" ca="1" si="0"/>
        <v>0</v>
      </c>
      <c r="I12" s="463">
        <f t="shared" ca="1" si="0"/>
        <v>0</v>
      </c>
      <c r="J12" s="494">
        <f t="shared" ca="1" si="5"/>
        <v>140000.79389736496</v>
      </c>
      <c r="K12" s="487">
        <f t="shared" ca="1" si="1"/>
        <v>0</v>
      </c>
      <c r="L12" s="463">
        <f t="shared" ca="1" si="1"/>
        <v>123525.94584488744</v>
      </c>
      <c r="M12" s="463">
        <f t="shared" ca="1" si="1"/>
        <v>0</v>
      </c>
      <c r="N12" s="463">
        <f t="shared" ca="1" si="1"/>
        <v>13044.783403855845</v>
      </c>
      <c r="O12" s="463">
        <f t="shared" ca="1" si="1"/>
        <v>0</v>
      </c>
      <c r="P12" s="463">
        <f t="shared" ca="1" si="1"/>
        <v>0</v>
      </c>
      <c r="Q12" s="494">
        <f t="shared" ca="1" si="10"/>
        <v>136570.72924874327</v>
      </c>
      <c r="R12" s="462">
        <f t="shared" ca="1" si="2"/>
        <v>0</v>
      </c>
      <c r="S12" s="463">
        <f t="shared" ca="1" si="2"/>
        <v>133778.68699465159</v>
      </c>
      <c r="T12" s="463">
        <f t="shared" ca="1" si="2"/>
        <v>0</v>
      </c>
      <c r="U12" s="463">
        <f t="shared" ca="1" si="2"/>
        <v>13044.783403855845</v>
      </c>
      <c r="V12" s="463">
        <f t="shared" ca="1" si="2"/>
        <v>0</v>
      </c>
      <c r="W12" s="463">
        <f t="shared" ca="1" si="2"/>
        <v>0</v>
      </c>
      <c r="X12" s="494">
        <f t="shared" ca="1" si="6"/>
        <v>146823.47039850743</v>
      </c>
      <c r="Y12" s="462">
        <f t="shared" ca="1" si="3"/>
        <v>0</v>
      </c>
      <c r="Z12" s="463">
        <f t="shared" ca="1" si="3"/>
        <v>145419.21984755641</v>
      </c>
      <c r="AA12" s="463">
        <f t="shared" ca="1" si="3"/>
        <v>0</v>
      </c>
      <c r="AB12" s="463">
        <f t="shared" ca="1" si="3"/>
        <v>0</v>
      </c>
      <c r="AC12" s="463">
        <f t="shared" ca="1" si="3"/>
        <v>0</v>
      </c>
      <c r="AD12" s="463">
        <f t="shared" ca="1" si="3"/>
        <v>0</v>
      </c>
      <c r="AE12" s="494">
        <f t="shared" ca="1" si="7"/>
        <v>145419.21984755641</v>
      </c>
      <c r="AF12" s="462">
        <f t="shared" ca="1" si="4"/>
        <v>13044.783403855845</v>
      </c>
      <c r="AG12" s="463">
        <f t="shared" ca="1" si="4"/>
        <v>156766.70367954104</v>
      </c>
      <c r="AH12" s="463">
        <f t="shared" ca="1" si="4"/>
        <v>0</v>
      </c>
      <c r="AI12" s="463">
        <f t="shared" ca="1" si="4"/>
        <v>0</v>
      </c>
      <c r="AJ12" s="463">
        <f t="shared" ca="1" si="4"/>
        <v>0</v>
      </c>
      <c r="AK12" s="463">
        <f t="shared" ca="1" si="4"/>
        <v>0</v>
      </c>
      <c r="AL12" s="494">
        <f t="shared" ca="1" si="8"/>
        <v>169811.48708339687</v>
      </c>
      <c r="AM12" s="494">
        <f t="shared" ca="1" si="9"/>
        <v>738625.700475569</v>
      </c>
    </row>
    <row r="13" spans="1:39" ht="16">
      <c r="A13" s="709" t="s">
        <v>3080</v>
      </c>
      <c r="B13" s="458">
        <v>8</v>
      </c>
      <c r="C13" s="459" t="str">
        <f>Buget_sumar_MDL!C13</f>
        <v/>
      </c>
      <c r="D13" s="462">
        <f t="shared" ca="1" si="0"/>
        <v>0</v>
      </c>
      <c r="E13" s="463">
        <f t="shared" ca="1" si="0"/>
        <v>0</v>
      </c>
      <c r="F13" s="463">
        <f t="shared" ca="1" si="0"/>
        <v>0</v>
      </c>
      <c r="G13" s="463">
        <f t="shared" ca="1" si="0"/>
        <v>0</v>
      </c>
      <c r="H13" s="463">
        <f t="shared" ca="1" si="0"/>
        <v>0</v>
      </c>
      <c r="I13" s="463">
        <f t="shared" ca="1" si="0"/>
        <v>0</v>
      </c>
      <c r="J13" s="494">
        <f t="shared" ca="1" si="5"/>
        <v>0</v>
      </c>
      <c r="K13" s="487">
        <f t="shared" ca="1" si="1"/>
        <v>0</v>
      </c>
      <c r="L13" s="463">
        <f t="shared" ca="1" si="1"/>
        <v>0</v>
      </c>
      <c r="M13" s="463">
        <f t="shared" ca="1" si="1"/>
        <v>0</v>
      </c>
      <c r="N13" s="463">
        <f t="shared" ca="1" si="1"/>
        <v>0</v>
      </c>
      <c r="O13" s="463">
        <f t="shared" ca="1" si="1"/>
        <v>0</v>
      </c>
      <c r="P13" s="463">
        <f t="shared" ca="1" si="1"/>
        <v>0</v>
      </c>
      <c r="Q13" s="494">
        <f t="shared" ca="1" si="10"/>
        <v>0</v>
      </c>
      <c r="R13" s="462">
        <f t="shared" ca="1" si="2"/>
        <v>0</v>
      </c>
      <c r="S13" s="463">
        <f t="shared" ca="1" si="2"/>
        <v>0</v>
      </c>
      <c r="T13" s="463">
        <f t="shared" ca="1" si="2"/>
        <v>0</v>
      </c>
      <c r="U13" s="463">
        <f t="shared" ca="1" si="2"/>
        <v>0</v>
      </c>
      <c r="V13" s="463">
        <f t="shared" ca="1" si="2"/>
        <v>0</v>
      </c>
      <c r="W13" s="463">
        <f t="shared" ca="1" si="2"/>
        <v>0</v>
      </c>
      <c r="X13" s="494">
        <f t="shared" ca="1" si="6"/>
        <v>0</v>
      </c>
      <c r="Y13" s="462">
        <f t="shared" ca="1" si="3"/>
        <v>0</v>
      </c>
      <c r="Z13" s="463">
        <f t="shared" ca="1" si="3"/>
        <v>0</v>
      </c>
      <c r="AA13" s="463">
        <f t="shared" ca="1" si="3"/>
        <v>0</v>
      </c>
      <c r="AB13" s="463">
        <f t="shared" ca="1" si="3"/>
        <v>0</v>
      </c>
      <c r="AC13" s="463">
        <f t="shared" ca="1" si="3"/>
        <v>0</v>
      </c>
      <c r="AD13" s="463">
        <f t="shared" ca="1" si="3"/>
        <v>0</v>
      </c>
      <c r="AE13" s="494">
        <f t="shared" ca="1" si="7"/>
        <v>0</v>
      </c>
      <c r="AF13" s="462">
        <f t="shared" ca="1" si="4"/>
        <v>0</v>
      </c>
      <c r="AG13" s="463">
        <f t="shared" ca="1" si="4"/>
        <v>0</v>
      </c>
      <c r="AH13" s="463">
        <f t="shared" ca="1" si="4"/>
        <v>0</v>
      </c>
      <c r="AI13" s="463">
        <f t="shared" ca="1" si="4"/>
        <v>0</v>
      </c>
      <c r="AJ13" s="463">
        <f t="shared" ca="1" si="4"/>
        <v>0</v>
      </c>
      <c r="AK13" s="463">
        <f t="shared" ca="1" si="4"/>
        <v>0</v>
      </c>
      <c r="AL13" s="494">
        <f t="shared" ca="1" si="8"/>
        <v>0</v>
      </c>
      <c r="AM13" s="494">
        <f t="shared" ca="1" si="9"/>
        <v>0</v>
      </c>
    </row>
    <row r="14" spans="1:39" ht="16">
      <c r="A14" s="709" t="s">
        <v>3081</v>
      </c>
      <c r="B14" s="458">
        <v>9</v>
      </c>
      <c r="C14" s="459" t="str">
        <f>Buget_sumar_MDL!C14</f>
        <v/>
      </c>
      <c r="D14" s="462">
        <f t="shared" ca="1" si="0"/>
        <v>0</v>
      </c>
      <c r="E14" s="463">
        <f t="shared" ca="1" si="0"/>
        <v>0</v>
      </c>
      <c r="F14" s="463">
        <f t="shared" ca="1" si="0"/>
        <v>0</v>
      </c>
      <c r="G14" s="463">
        <f t="shared" ca="1" si="0"/>
        <v>0</v>
      </c>
      <c r="H14" s="463">
        <f t="shared" ca="1" si="0"/>
        <v>0</v>
      </c>
      <c r="I14" s="463">
        <f t="shared" ca="1" si="0"/>
        <v>0</v>
      </c>
      <c r="J14" s="494">
        <f t="shared" ca="1" si="5"/>
        <v>0</v>
      </c>
      <c r="K14" s="487">
        <f t="shared" ca="1" si="1"/>
        <v>0</v>
      </c>
      <c r="L14" s="463">
        <f t="shared" ca="1" si="1"/>
        <v>0</v>
      </c>
      <c r="M14" s="463">
        <f t="shared" ca="1" si="1"/>
        <v>0</v>
      </c>
      <c r="N14" s="463">
        <f t="shared" ca="1" si="1"/>
        <v>0</v>
      </c>
      <c r="O14" s="463">
        <f t="shared" ca="1" si="1"/>
        <v>0</v>
      </c>
      <c r="P14" s="463">
        <f t="shared" ca="1" si="1"/>
        <v>0</v>
      </c>
      <c r="Q14" s="494">
        <f t="shared" ca="1" si="10"/>
        <v>0</v>
      </c>
      <c r="R14" s="462">
        <f t="shared" ca="1" si="2"/>
        <v>0</v>
      </c>
      <c r="S14" s="463">
        <f t="shared" ca="1" si="2"/>
        <v>0</v>
      </c>
      <c r="T14" s="463">
        <f t="shared" ca="1" si="2"/>
        <v>0</v>
      </c>
      <c r="U14" s="463">
        <f t="shared" ca="1" si="2"/>
        <v>0</v>
      </c>
      <c r="V14" s="463">
        <f t="shared" ca="1" si="2"/>
        <v>0</v>
      </c>
      <c r="W14" s="463">
        <f t="shared" ca="1" si="2"/>
        <v>0</v>
      </c>
      <c r="X14" s="494">
        <f t="shared" ca="1" si="6"/>
        <v>0</v>
      </c>
      <c r="Y14" s="462">
        <f t="shared" ca="1" si="3"/>
        <v>0</v>
      </c>
      <c r="Z14" s="463">
        <f t="shared" ca="1" si="3"/>
        <v>0</v>
      </c>
      <c r="AA14" s="463">
        <f t="shared" ca="1" si="3"/>
        <v>0</v>
      </c>
      <c r="AB14" s="463">
        <f t="shared" ca="1" si="3"/>
        <v>0</v>
      </c>
      <c r="AC14" s="463">
        <f t="shared" ca="1" si="3"/>
        <v>0</v>
      </c>
      <c r="AD14" s="463">
        <f t="shared" ca="1" si="3"/>
        <v>0</v>
      </c>
      <c r="AE14" s="494">
        <f t="shared" ca="1" si="7"/>
        <v>0</v>
      </c>
      <c r="AF14" s="462">
        <f t="shared" ca="1" si="4"/>
        <v>0</v>
      </c>
      <c r="AG14" s="463">
        <f t="shared" ca="1" si="4"/>
        <v>0</v>
      </c>
      <c r="AH14" s="463">
        <f t="shared" ca="1" si="4"/>
        <v>0</v>
      </c>
      <c r="AI14" s="463">
        <f t="shared" ca="1" si="4"/>
        <v>0</v>
      </c>
      <c r="AJ14" s="463">
        <f t="shared" ca="1" si="4"/>
        <v>0</v>
      </c>
      <c r="AK14" s="463">
        <f t="shared" ca="1" si="4"/>
        <v>0</v>
      </c>
      <c r="AL14" s="494">
        <f t="shared" ca="1" si="8"/>
        <v>0</v>
      </c>
      <c r="AM14" s="494">
        <f t="shared" ca="1" si="9"/>
        <v>0</v>
      </c>
    </row>
    <row r="15" spans="1:39" s="76" customFormat="1" ht="20" thickBot="1">
      <c r="A15" s="709" t="s">
        <v>3082</v>
      </c>
      <c r="B15" s="458">
        <v>10</v>
      </c>
      <c r="C15" s="459" t="str">
        <f>Buget_sumar_MDL!C15</f>
        <v/>
      </c>
      <c r="D15" s="464">
        <f t="shared" ca="1" si="0"/>
        <v>0</v>
      </c>
      <c r="E15" s="465">
        <f t="shared" ca="1" si="0"/>
        <v>0</v>
      </c>
      <c r="F15" s="465">
        <f t="shared" ca="1" si="0"/>
        <v>0</v>
      </c>
      <c r="G15" s="465">
        <f t="shared" ca="1" si="0"/>
        <v>0</v>
      </c>
      <c r="H15" s="465">
        <f t="shared" ca="1" si="0"/>
        <v>0</v>
      </c>
      <c r="I15" s="465">
        <f t="shared" ca="1" si="0"/>
        <v>0</v>
      </c>
      <c r="J15" s="494">
        <f t="shared" ca="1" si="5"/>
        <v>0</v>
      </c>
      <c r="K15" s="488">
        <f t="shared" ca="1" si="1"/>
        <v>0</v>
      </c>
      <c r="L15" s="465">
        <f t="shared" ca="1" si="1"/>
        <v>0</v>
      </c>
      <c r="M15" s="465">
        <f t="shared" ca="1" si="1"/>
        <v>0</v>
      </c>
      <c r="N15" s="465">
        <f t="shared" ca="1" si="1"/>
        <v>0</v>
      </c>
      <c r="O15" s="465">
        <f t="shared" ca="1" si="1"/>
        <v>0</v>
      </c>
      <c r="P15" s="465">
        <f t="shared" ca="1" si="1"/>
        <v>0</v>
      </c>
      <c r="Q15" s="494">
        <f t="shared" ca="1" si="10"/>
        <v>0</v>
      </c>
      <c r="R15" s="464">
        <f t="shared" ca="1" si="2"/>
        <v>0</v>
      </c>
      <c r="S15" s="465">
        <f t="shared" ca="1" si="2"/>
        <v>0</v>
      </c>
      <c r="T15" s="465">
        <f t="shared" ca="1" si="2"/>
        <v>0</v>
      </c>
      <c r="U15" s="465">
        <f t="shared" ca="1" si="2"/>
        <v>0</v>
      </c>
      <c r="V15" s="465">
        <f t="shared" ca="1" si="2"/>
        <v>0</v>
      </c>
      <c r="W15" s="465">
        <f t="shared" ca="1" si="2"/>
        <v>0</v>
      </c>
      <c r="X15" s="494">
        <f t="shared" ca="1" si="6"/>
        <v>0</v>
      </c>
      <c r="Y15" s="464">
        <f t="shared" ca="1" si="3"/>
        <v>0</v>
      </c>
      <c r="Z15" s="465">
        <f t="shared" ca="1" si="3"/>
        <v>0</v>
      </c>
      <c r="AA15" s="465">
        <f t="shared" ca="1" si="3"/>
        <v>0</v>
      </c>
      <c r="AB15" s="465">
        <f t="shared" ca="1" si="3"/>
        <v>0</v>
      </c>
      <c r="AC15" s="465">
        <f t="shared" ca="1" si="3"/>
        <v>0</v>
      </c>
      <c r="AD15" s="465">
        <f t="shared" ca="1" si="3"/>
        <v>0</v>
      </c>
      <c r="AE15" s="494">
        <f t="shared" ca="1" si="7"/>
        <v>0</v>
      </c>
      <c r="AF15" s="464">
        <f t="shared" ca="1" si="4"/>
        <v>0</v>
      </c>
      <c r="AG15" s="465">
        <f t="shared" ca="1" si="4"/>
        <v>0</v>
      </c>
      <c r="AH15" s="465">
        <f t="shared" ca="1" si="4"/>
        <v>0</v>
      </c>
      <c r="AI15" s="465">
        <f t="shared" ca="1" si="4"/>
        <v>0</v>
      </c>
      <c r="AJ15" s="465">
        <f t="shared" ca="1" si="4"/>
        <v>0</v>
      </c>
      <c r="AK15" s="465">
        <f t="shared" ca="1" si="4"/>
        <v>0</v>
      </c>
      <c r="AL15" s="494">
        <f t="shared" ca="1" si="8"/>
        <v>0</v>
      </c>
      <c r="AM15" s="494">
        <f t="shared" ca="1" si="9"/>
        <v>0</v>
      </c>
    </row>
    <row r="16" spans="1:39" ht="17" thickBot="1">
      <c r="B16" s="466"/>
      <c r="C16" s="467" t="s">
        <v>97</v>
      </c>
      <c r="D16" s="468">
        <f ca="1">SUM(D6:D15)</f>
        <v>9264761.3245408088</v>
      </c>
      <c r="E16" s="468">
        <f t="shared" ref="E16:AM16" ca="1" si="11">SUM(E6:E15)</f>
        <v>1530788.0865549918</v>
      </c>
      <c r="F16" s="468">
        <f t="shared" ca="1" si="11"/>
        <v>24731.848935497266</v>
      </c>
      <c r="G16" s="468">
        <f t="shared" ca="1" si="11"/>
        <v>2791386.8881259249</v>
      </c>
      <c r="H16" s="468">
        <f t="shared" ca="1" si="11"/>
        <v>152097.20205294318</v>
      </c>
      <c r="I16" s="468">
        <f t="shared" ca="1" si="11"/>
        <v>0</v>
      </c>
      <c r="J16" s="468">
        <f t="shared" ca="1" si="11"/>
        <v>13763765.350210166</v>
      </c>
      <c r="K16" s="468">
        <f t="shared" ca="1" si="11"/>
        <v>9226325.4654095918</v>
      </c>
      <c r="L16" s="468">
        <f t="shared" ca="1" si="11"/>
        <v>1636755.1874288239</v>
      </c>
      <c r="M16" s="468">
        <f t="shared" ca="1" si="11"/>
        <v>27574.300614893386</v>
      </c>
      <c r="N16" s="468">
        <f t="shared" ca="1" si="11"/>
        <v>2887738.2955485964</v>
      </c>
      <c r="O16" s="468">
        <f t="shared" ca="1" si="11"/>
        <v>159272.67445015605</v>
      </c>
      <c r="P16" s="468">
        <f t="shared" ca="1" si="11"/>
        <v>0</v>
      </c>
      <c r="Q16" s="468">
        <f t="shared" ca="1" si="11"/>
        <v>13937665.923452061</v>
      </c>
      <c r="R16" s="468">
        <f t="shared" ca="1" si="11"/>
        <v>9183842.6619755719</v>
      </c>
      <c r="S16" s="468">
        <f t="shared" ca="1" si="11"/>
        <v>1734290.4046079067</v>
      </c>
      <c r="T16" s="468">
        <f t="shared" ca="1" si="11"/>
        <v>30243.515532438891</v>
      </c>
      <c r="U16" s="468">
        <f t="shared" ca="1" si="11"/>
        <v>2827077.9843095345</v>
      </c>
      <c r="V16" s="468">
        <f t="shared" ca="1" si="11"/>
        <v>163534.83551216038</v>
      </c>
      <c r="W16" s="468">
        <f t="shared" ca="1" si="11"/>
        <v>0</v>
      </c>
      <c r="X16" s="468">
        <f t="shared" ca="1" si="11"/>
        <v>13938989.401937613</v>
      </c>
      <c r="Y16" s="468">
        <f t="shared" ca="1" si="11"/>
        <v>9732955.611224886</v>
      </c>
      <c r="Z16" s="468">
        <f t="shared" ca="1" si="11"/>
        <v>2254830.695777663</v>
      </c>
      <c r="AA16" s="468">
        <f t="shared" ca="1" si="11"/>
        <v>41314.62116904393</v>
      </c>
      <c r="AB16" s="468">
        <f t="shared" ca="1" si="11"/>
        <v>-5.3568810769002116E-4</v>
      </c>
      <c r="AC16" s="468">
        <f t="shared" ca="1" si="11"/>
        <v>1128798.6135433486</v>
      </c>
      <c r="AD16" s="468">
        <f t="shared" ca="1" si="11"/>
        <v>0</v>
      </c>
      <c r="AE16" s="468">
        <f t="shared" ca="1" si="11"/>
        <v>13157899.541179251</v>
      </c>
      <c r="AF16" s="468">
        <f t="shared" ca="1" si="11"/>
        <v>9733764.8308599554</v>
      </c>
      <c r="AG16" s="468">
        <f t="shared" ca="1" si="11"/>
        <v>2398149.0132462136</v>
      </c>
      <c r="AH16" s="468">
        <f t="shared" ca="1" si="11"/>
        <v>41439.349680858861</v>
      </c>
      <c r="AI16" s="468">
        <f t="shared" ca="1" si="11"/>
        <v>-4.0764948293656444E-4</v>
      </c>
      <c r="AJ16" s="468">
        <f t="shared" ca="1" si="11"/>
        <v>1158935.9874297203</v>
      </c>
      <c r="AK16" s="468">
        <f t="shared" ca="1" si="11"/>
        <v>0</v>
      </c>
      <c r="AL16" s="468">
        <f t="shared" ca="1" si="11"/>
        <v>13332289.180809099</v>
      </c>
      <c r="AM16" s="468">
        <f t="shared" ca="1" si="11"/>
        <v>68130609.397588193</v>
      </c>
    </row>
    <row r="17" spans="1:39">
      <c r="C17" s="67"/>
    </row>
    <row r="18" spans="1:39">
      <c r="C18" s="67"/>
      <c r="D18" s="813"/>
      <c r="E18" s="813"/>
      <c r="F18" s="813"/>
      <c r="G18" s="813"/>
      <c r="H18" s="813"/>
      <c r="I18" s="813"/>
    </row>
    <row r="19" spans="1:39">
      <c r="C19" s="67"/>
    </row>
    <row r="20" spans="1:39">
      <c r="C20" s="67"/>
    </row>
    <row r="21" spans="1:39">
      <c r="C21" s="67"/>
    </row>
    <row r="22" spans="1:39" s="76" customFormat="1" ht="20" thickBot="1">
      <c r="A22" s="710"/>
      <c r="C22" s="452"/>
    </row>
    <row r="23" spans="1:39" s="469" customFormat="1" ht="20" thickBot="1">
      <c r="A23" s="711"/>
      <c r="C23" s="470"/>
      <c r="D23" s="453">
        <v>2021</v>
      </c>
      <c r="E23" s="454"/>
      <c r="F23" s="454"/>
      <c r="G23" s="454"/>
      <c r="H23" s="454"/>
      <c r="I23" s="454"/>
      <c r="J23" s="491">
        <v>2021</v>
      </c>
      <c r="K23" s="454">
        <v>2022</v>
      </c>
      <c r="L23" s="454"/>
      <c r="M23" s="454"/>
      <c r="N23" s="454"/>
      <c r="O23" s="454"/>
      <c r="P23" s="454"/>
      <c r="Q23" s="491">
        <v>2022</v>
      </c>
      <c r="R23" s="453">
        <v>2023</v>
      </c>
      <c r="S23" s="454"/>
      <c r="T23" s="454"/>
      <c r="U23" s="454"/>
      <c r="V23" s="454"/>
      <c r="W23" s="454"/>
      <c r="X23" s="491">
        <v>2023</v>
      </c>
      <c r="Y23" s="453">
        <v>2024</v>
      </c>
      <c r="Z23" s="454"/>
      <c r="AA23" s="454"/>
      <c r="AB23" s="454"/>
      <c r="AC23" s="454"/>
      <c r="AD23" s="454"/>
      <c r="AE23" s="491">
        <v>2024</v>
      </c>
      <c r="AF23" s="453">
        <v>2025</v>
      </c>
      <c r="AG23" s="454"/>
      <c r="AH23" s="454"/>
      <c r="AI23" s="454"/>
      <c r="AJ23" s="454"/>
      <c r="AK23" s="454"/>
      <c r="AL23" s="491">
        <v>2025</v>
      </c>
      <c r="AM23" s="491" t="s">
        <v>519</v>
      </c>
    </row>
    <row r="24" spans="1:39" s="76" customFormat="1" ht="41" thickBot="1">
      <c r="A24" s="710"/>
      <c r="B24" s="456"/>
      <c r="C24" s="457" t="s">
        <v>336</v>
      </c>
      <c r="D24" s="725" t="s">
        <v>338</v>
      </c>
      <c r="E24" s="726" t="s">
        <v>349</v>
      </c>
      <c r="F24" s="726" t="s">
        <v>350</v>
      </c>
      <c r="G24" s="726" t="s">
        <v>351</v>
      </c>
      <c r="H24" s="726" t="s">
        <v>513</v>
      </c>
      <c r="I24" s="727" t="s">
        <v>514</v>
      </c>
      <c r="J24" s="728" t="s">
        <v>97</v>
      </c>
      <c r="K24" s="725" t="s">
        <v>338</v>
      </c>
      <c r="L24" s="726" t="s">
        <v>349</v>
      </c>
      <c r="M24" s="726" t="s">
        <v>350</v>
      </c>
      <c r="N24" s="726" t="s">
        <v>351</v>
      </c>
      <c r="O24" s="726" t="s">
        <v>513</v>
      </c>
      <c r="P24" s="727" t="s">
        <v>514</v>
      </c>
      <c r="Q24" s="728" t="s">
        <v>97</v>
      </c>
      <c r="R24" s="725" t="s">
        <v>338</v>
      </c>
      <c r="S24" s="726" t="s">
        <v>349</v>
      </c>
      <c r="T24" s="726" t="s">
        <v>350</v>
      </c>
      <c r="U24" s="726" t="s">
        <v>351</v>
      </c>
      <c r="V24" s="726" t="s">
        <v>513</v>
      </c>
      <c r="W24" s="727" t="s">
        <v>514</v>
      </c>
      <c r="X24" s="728" t="s">
        <v>97</v>
      </c>
      <c r="Y24" s="725" t="s">
        <v>338</v>
      </c>
      <c r="Z24" s="726" t="s">
        <v>349</v>
      </c>
      <c r="AA24" s="726" t="s">
        <v>350</v>
      </c>
      <c r="AB24" s="726" t="s">
        <v>351</v>
      </c>
      <c r="AC24" s="726" t="s">
        <v>513</v>
      </c>
      <c r="AD24" s="727" t="s">
        <v>514</v>
      </c>
      <c r="AE24" s="728" t="s">
        <v>97</v>
      </c>
      <c r="AF24" s="725" t="s">
        <v>338</v>
      </c>
      <c r="AG24" s="726" t="s">
        <v>349</v>
      </c>
      <c r="AH24" s="726" t="s">
        <v>350</v>
      </c>
      <c r="AI24" s="726" t="s">
        <v>351</v>
      </c>
      <c r="AJ24" s="726" t="s">
        <v>513</v>
      </c>
      <c r="AK24" s="727" t="s">
        <v>514</v>
      </c>
      <c r="AL24" s="728" t="s">
        <v>97</v>
      </c>
      <c r="AM24" s="728" t="s">
        <v>97</v>
      </c>
    </row>
    <row r="25" spans="1:39" ht="16">
      <c r="B25" s="200">
        <v>1</v>
      </c>
      <c r="C25" s="471" t="str">
        <f>Buget_sumar_MDL!C25</f>
        <v>1.1.  Depistarea activă a TB în grupurile cu risc și vigilență sporită pentru TB</v>
      </c>
      <c r="D25" s="462">
        <f t="shared" ref="D25:I34" ca="1" si="12">SUMIFS(_2021_Total,Buget_detal_sursa,D$24,Buget_detal_dir_act,$C25)/EUR</f>
        <v>2125377.0209923689</v>
      </c>
      <c r="E25" s="463">
        <f t="shared" ca="1" si="12"/>
        <v>0</v>
      </c>
      <c r="F25" s="463">
        <f t="shared" ca="1" si="12"/>
        <v>0</v>
      </c>
      <c r="G25" s="485">
        <f t="shared" ca="1" si="12"/>
        <v>393735.51946238376</v>
      </c>
      <c r="H25" s="485">
        <f t="shared" ca="1" si="12"/>
        <v>0</v>
      </c>
      <c r="I25" s="485">
        <f t="shared" ca="1" si="12"/>
        <v>0</v>
      </c>
      <c r="J25" s="496">
        <f ca="1">SUM(D25:I25)</f>
        <v>2519112.5404547527</v>
      </c>
      <c r="K25" s="487">
        <f t="shared" ref="K25:P34" ca="1" si="13">SUMIFS(_2022_Total,Buget_detal_sursa,K$24,Buget_detal_dir_act,$C25)/EUR</f>
        <v>2098372.5093826898</v>
      </c>
      <c r="L25" s="463">
        <f t="shared" ca="1" si="13"/>
        <v>0</v>
      </c>
      <c r="M25" s="463">
        <f t="shared" ca="1" si="13"/>
        <v>0</v>
      </c>
      <c r="N25" s="485">
        <f t="shared" ca="1" si="13"/>
        <v>554004.2766507091</v>
      </c>
      <c r="O25" s="485">
        <f t="shared" ca="1" si="13"/>
        <v>0</v>
      </c>
      <c r="P25" s="485">
        <f t="shared" ca="1" si="13"/>
        <v>0</v>
      </c>
      <c r="Q25" s="496">
        <f ca="1">SUM(K25:P25)</f>
        <v>2652376.7860333989</v>
      </c>
      <c r="R25" s="462">
        <f t="shared" ref="R25:W34" ca="1" si="14">SUMIFS(_2023_Total,Buget_detal_sursa,R$24,Buget_detal_dir_act,$C25)/EUR</f>
        <v>2071231.3699728348</v>
      </c>
      <c r="S25" s="463">
        <f t="shared" ca="1" si="14"/>
        <v>0</v>
      </c>
      <c r="T25" s="463">
        <f t="shared" ca="1" si="14"/>
        <v>0</v>
      </c>
      <c r="U25" s="485">
        <f t="shared" ca="1" si="14"/>
        <v>578364.17295079574</v>
      </c>
      <c r="V25" s="485">
        <f t="shared" ca="1" si="14"/>
        <v>0</v>
      </c>
      <c r="W25" s="485">
        <f t="shared" ca="1" si="14"/>
        <v>0</v>
      </c>
      <c r="X25" s="496">
        <f ca="1">SUM(R25:W25)</f>
        <v>2649595.5429236307</v>
      </c>
      <c r="Y25" s="462">
        <f t="shared" ref="Y25:AD34" ca="1" si="15">SUMIFS(_2024_Total,Buget_detal_sursa,Y$24,Buget_detal_dir_act,$C25)/EUR</f>
        <v>2461786.2904727785</v>
      </c>
      <c r="Z25" s="463">
        <f t="shared" ca="1" si="15"/>
        <v>0</v>
      </c>
      <c r="AA25" s="463">
        <f t="shared" ca="1" si="15"/>
        <v>0</v>
      </c>
      <c r="AB25" s="485">
        <f t="shared" ca="1" si="15"/>
        <v>0</v>
      </c>
      <c r="AC25" s="485">
        <f t="shared" ca="1" si="15"/>
        <v>143798.55837818285</v>
      </c>
      <c r="AD25" s="485">
        <f t="shared" ca="1" si="15"/>
        <v>0</v>
      </c>
      <c r="AE25" s="496">
        <f ca="1">SUM(Y25:AD25)</f>
        <v>2605584.8488509613</v>
      </c>
      <c r="AF25" s="462">
        <f t="shared" ref="AF25:AK34" ca="1" si="16">SUMIFS(_2025_Total,Buget_detal_sursa,AF$24,Buget_detal_dir_act,$C25)/EUR</f>
        <v>2430165.246322454</v>
      </c>
      <c r="AG25" s="463">
        <f t="shared" ca="1" si="16"/>
        <v>0</v>
      </c>
      <c r="AH25" s="463">
        <f t="shared" ca="1" si="16"/>
        <v>0</v>
      </c>
      <c r="AI25" s="485">
        <f t="shared" ca="1" si="16"/>
        <v>0</v>
      </c>
      <c r="AJ25" s="485">
        <f t="shared" ca="1" si="16"/>
        <v>143798.55837818285</v>
      </c>
      <c r="AK25" s="485">
        <f t="shared" ca="1" si="16"/>
        <v>0</v>
      </c>
      <c r="AL25" s="496">
        <f ca="1">SUM(AF25:AK25)</f>
        <v>2573963.8047006368</v>
      </c>
      <c r="AM25" s="494">
        <f ca="1">J25+Q25+X25+AE25+AL25</f>
        <v>13000633.522963382</v>
      </c>
    </row>
    <row r="26" spans="1:39" ht="32">
      <c r="B26" s="200">
        <v>2</v>
      </c>
      <c r="C26" s="471" t="str">
        <f>Buget_sumar_MDL!C26</f>
        <v xml:space="preserve">2.1.  Asigurarea depistării TB prin aplicarea constantă și extinderea metodelor microbiologice rapide de diagnostic </v>
      </c>
      <c r="D26" s="462">
        <f t="shared" ca="1" si="12"/>
        <v>0</v>
      </c>
      <c r="E26" s="463">
        <f t="shared" ca="1" si="12"/>
        <v>128499.29397657636</v>
      </c>
      <c r="F26" s="463">
        <f t="shared" ca="1" si="12"/>
        <v>0</v>
      </c>
      <c r="G26" s="485">
        <f t="shared" ca="1" si="12"/>
        <v>300362.52369804017</v>
      </c>
      <c r="H26" s="485">
        <f t="shared" ca="1" si="12"/>
        <v>0</v>
      </c>
      <c r="I26" s="485">
        <f t="shared" ca="1" si="12"/>
        <v>0</v>
      </c>
      <c r="J26" s="490">
        <f t="shared" ref="J26:J55" ca="1" si="17">SUM(D26:I26)</f>
        <v>428861.81767461653</v>
      </c>
      <c r="K26" s="487">
        <f t="shared" ca="1" si="13"/>
        <v>0</v>
      </c>
      <c r="L26" s="463">
        <f t="shared" ca="1" si="13"/>
        <v>146898.4473293685</v>
      </c>
      <c r="M26" s="463">
        <f t="shared" ca="1" si="13"/>
        <v>0</v>
      </c>
      <c r="N26" s="485">
        <f t="shared" ca="1" si="13"/>
        <v>163953.12327065025</v>
      </c>
      <c r="O26" s="485">
        <f t="shared" ca="1" si="13"/>
        <v>0</v>
      </c>
      <c r="P26" s="485">
        <f t="shared" ca="1" si="13"/>
        <v>0</v>
      </c>
      <c r="Q26" s="490">
        <f t="shared" ref="Q26:Q55" ca="1" si="18">SUM(K26:P26)</f>
        <v>310851.57060001872</v>
      </c>
      <c r="R26" s="462">
        <f t="shared" ca="1" si="14"/>
        <v>0</v>
      </c>
      <c r="S26" s="463">
        <f t="shared" ca="1" si="14"/>
        <v>165924.00710471897</v>
      </c>
      <c r="T26" s="463">
        <f t="shared" ca="1" si="14"/>
        <v>0</v>
      </c>
      <c r="U26" s="485">
        <f t="shared" ca="1" si="14"/>
        <v>158477.59224740876</v>
      </c>
      <c r="V26" s="485">
        <f t="shared" ca="1" si="14"/>
        <v>0</v>
      </c>
      <c r="W26" s="485">
        <f t="shared" ca="1" si="14"/>
        <v>0</v>
      </c>
      <c r="X26" s="490">
        <f t="shared" ref="X26:X55" ca="1" si="19">SUM(R26:W26)</f>
        <v>324401.59935212776</v>
      </c>
      <c r="Y26" s="462">
        <f t="shared" ca="1" si="15"/>
        <v>0</v>
      </c>
      <c r="Z26" s="463">
        <f t="shared" ca="1" si="15"/>
        <v>309162.27572972694</v>
      </c>
      <c r="AA26" s="463">
        <f t="shared" ca="1" si="15"/>
        <v>0</v>
      </c>
      <c r="AB26" s="485">
        <f t="shared" ca="1" si="15"/>
        <v>0</v>
      </c>
      <c r="AC26" s="485">
        <f t="shared" ca="1" si="15"/>
        <v>80388.824228320809</v>
      </c>
      <c r="AD26" s="485">
        <f t="shared" ca="1" si="15"/>
        <v>0</v>
      </c>
      <c r="AE26" s="490">
        <f t="shared" ref="AE26:AE55" ca="1" si="20">SUM(Y26:AD26)</f>
        <v>389551.09995804774</v>
      </c>
      <c r="AF26" s="462">
        <f t="shared" ca="1" si="16"/>
        <v>0</v>
      </c>
      <c r="AG26" s="463">
        <f t="shared" ca="1" si="16"/>
        <v>300453.99820827862</v>
      </c>
      <c r="AH26" s="463">
        <f t="shared" ca="1" si="16"/>
        <v>0</v>
      </c>
      <c r="AI26" s="485">
        <f t="shared" ca="1" si="16"/>
        <v>0</v>
      </c>
      <c r="AJ26" s="485">
        <f t="shared" ca="1" si="16"/>
        <v>80388.824228320809</v>
      </c>
      <c r="AK26" s="485">
        <f t="shared" ca="1" si="16"/>
        <v>0</v>
      </c>
      <c r="AL26" s="490">
        <f t="shared" ref="AL26:AL55" ca="1" si="21">SUM(AF26:AK26)</f>
        <v>380842.82243659941</v>
      </c>
      <c r="AM26" s="494">
        <f t="shared" ref="AM26:AM55" ca="1" si="22">J26+Q26+X26+AE26+AL26</f>
        <v>1834508.9100214103</v>
      </c>
    </row>
    <row r="27" spans="1:39" ht="65">
      <c r="A27" s="2039"/>
      <c r="B27" s="200">
        <v>3</v>
      </c>
      <c r="C27" s="471" t="str">
        <f>Buget_sumar_MDL!C27</f>
        <v>2.2.  Fortificarea rețelei de laborator prin asigurarea controlului calității și biosecurității în conformitate cu standardele naționale și internaționale în cadrul rețelei naționale de laboratoare implicate în diagnosticul microbiologic al TB</v>
      </c>
      <c r="D27" s="462">
        <f t="shared" ca="1" si="12"/>
        <v>2439.0774219614941</v>
      </c>
      <c r="E27" s="463">
        <f t="shared" ca="1" si="12"/>
        <v>0</v>
      </c>
      <c r="F27" s="463">
        <f t="shared" ca="1" si="12"/>
        <v>0</v>
      </c>
      <c r="G27" s="485">
        <f t="shared" ca="1" si="12"/>
        <v>32272.748151747823</v>
      </c>
      <c r="H27" s="485">
        <f t="shared" ca="1" si="12"/>
        <v>181.08299524329107</v>
      </c>
      <c r="I27" s="485">
        <f t="shared" ca="1" si="12"/>
        <v>0</v>
      </c>
      <c r="J27" s="490">
        <f t="shared" ca="1" si="17"/>
        <v>34892.908568952604</v>
      </c>
      <c r="K27" s="487">
        <f t="shared" ca="1" si="13"/>
        <v>2682.985317026199</v>
      </c>
      <c r="L27" s="463">
        <f t="shared" ca="1" si="13"/>
        <v>0</v>
      </c>
      <c r="M27" s="463">
        <f t="shared" ca="1" si="13"/>
        <v>0</v>
      </c>
      <c r="N27" s="485">
        <f t="shared" ca="1" si="13"/>
        <v>10631.093074929082</v>
      </c>
      <c r="O27" s="485">
        <f t="shared" ca="1" si="13"/>
        <v>199.19129476762018</v>
      </c>
      <c r="P27" s="485">
        <f t="shared" ca="1" si="13"/>
        <v>0</v>
      </c>
      <c r="Q27" s="490">
        <f t="shared" ca="1" si="18"/>
        <v>13513.269686722902</v>
      </c>
      <c r="R27" s="462">
        <f t="shared" ca="1" si="14"/>
        <v>2926.8927025290523</v>
      </c>
      <c r="S27" s="463">
        <f t="shared" ca="1" si="14"/>
        <v>0</v>
      </c>
      <c r="T27" s="463">
        <f t="shared" ca="1" si="14"/>
        <v>0</v>
      </c>
      <c r="U27" s="485">
        <f t="shared" ca="1" si="14"/>
        <v>7289.7473899019005</v>
      </c>
      <c r="V27" s="485">
        <f t="shared" ca="1" si="14"/>
        <v>217.29959429194926</v>
      </c>
      <c r="W27" s="485">
        <f t="shared" ca="1" si="14"/>
        <v>0</v>
      </c>
      <c r="X27" s="490">
        <f t="shared" ca="1" si="19"/>
        <v>10433.939686722902</v>
      </c>
      <c r="Y27" s="462">
        <f t="shared" ca="1" si="15"/>
        <v>6347.104843922988</v>
      </c>
      <c r="Z27" s="463">
        <f t="shared" ca="1" si="15"/>
        <v>0</v>
      </c>
      <c r="AA27" s="463">
        <f t="shared" ca="1" si="15"/>
        <v>0</v>
      </c>
      <c r="AB27" s="485">
        <f t="shared" ca="1" si="15"/>
        <v>0</v>
      </c>
      <c r="AC27" s="485">
        <f t="shared" ca="1" si="15"/>
        <v>362.16599048658213</v>
      </c>
      <c r="AD27" s="485">
        <f t="shared" ca="1" si="15"/>
        <v>0</v>
      </c>
      <c r="AE27" s="490">
        <f t="shared" ca="1" si="20"/>
        <v>6709.2708344095699</v>
      </c>
      <c r="AF27" s="462">
        <f t="shared" ca="1" si="16"/>
        <v>6347.104843922988</v>
      </c>
      <c r="AG27" s="463">
        <f t="shared" ca="1" si="16"/>
        <v>0</v>
      </c>
      <c r="AH27" s="463">
        <f t="shared" ca="1" si="16"/>
        <v>0</v>
      </c>
      <c r="AI27" s="485">
        <f t="shared" ca="1" si="16"/>
        <v>0</v>
      </c>
      <c r="AJ27" s="485">
        <f t="shared" ca="1" si="16"/>
        <v>362.16599048658213</v>
      </c>
      <c r="AK27" s="485">
        <f t="shared" ca="1" si="16"/>
        <v>0</v>
      </c>
      <c r="AL27" s="490">
        <f t="shared" ca="1" si="21"/>
        <v>6709.2708344095699</v>
      </c>
      <c r="AM27" s="494">
        <f t="shared" ca="1" si="22"/>
        <v>72258.659611217547</v>
      </c>
    </row>
    <row r="28" spans="1:39" ht="33">
      <c r="A28" s="2039"/>
      <c r="B28" s="200">
        <v>4</v>
      </c>
      <c r="C28" s="471" t="str">
        <f>Buget_sumar_MDL!C28</f>
        <v>2.3.  Asigurarea monitorizării tratamentului pacienților cu TB și TB MDR cu supravegherea rezistenței M. tuberculosis către medicamente</v>
      </c>
      <c r="D28" s="462">
        <f t="shared" ca="1" si="12"/>
        <v>1691.8579608567834</v>
      </c>
      <c r="E28" s="463">
        <f t="shared" ca="1" si="12"/>
        <v>509185.68472501216</v>
      </c>
      <c r="F28" s="463">
        <f t="shared" ca="1" si="12"/>
        <v>0</v>
      </c>
      <c r="G28" s="485">
        <f t="shared" ca="1" si="12"/>
        <v>270816.14355064381</v>
      </c>
      <c r="H28" s="485">
        <f t="shared" ca="1" si="12"/>
        <v>104266.36405249039</v>
      </c>
      <c r="I28" s="485">
        <f t="shared" ca="1" si="12"/>
        <v>0</v>
      </c>
      <c r="J28" s="490">
        <f t="shared" ca="1" si="17"/>
        <v>885960.05028900318</v>
      </c>
      <c r="K28" s="487">
        <f t="shared" ca="1" si="13"/>
        <v>8459.2903138457677</v>
      </c>
      <c r="L28" s="463">
        <f t="shared" ca="1" si="13"/>
        <v>516510.33174871479</v>
      </c>
      <c r="M28" s="463">
        <f t="shared" ca="1" si="13"/>
        <v>0</v>
      </c>
      <c r="N28" s="485">
        <f t="shared" ca="1" si="13"/>
        <v>205021.37151108836</v>
      </c>
      <c r="O28" s="485">
        <f t="shared" ca="1" si="13"/>
        <v>110911.17160346327</v>
      </c>
      <c r="P28" s="485">
        <f t="shared" ca="1" si="13"/>
        <v>0</v>
      </c>
      <c r="Q28" s="490">
        <f t="shared" ca="1" si="18"/>
        <v>840902.1651771121</v>
      </c>
      <c r="R28" s="462">
        <f t="shared" ca="1" si="14"/>
        <v>13534.86419641612</v>
      </c>
      <c r="S28" s="463">
        <f t="shared" ca="1" si="14"/>
        <v>517341.49893529597</v>
      </c>
      <c r="T28" s="463">
        <f t="shared" ca="1" si="14"/>
        <v>0</v>
      </c>
      <c r="U28" s="485">
        <f t="shared" ca="1" si="14"/>
        <v>299031.56742618216</v>
      </c>
      <c r="V28" s="485">
        <f t="shared" ca="1" si="14"/>
        <v>114764.22023202085</v>
      </c>
      <c r="W28" s="485">
        <f t="shared" ca="1" si="14"/>
        <v>0</v>
      </c>
      <c r="X28" s="490">
        <f t="shared" ca="1" si="19"/>
        <v>944672.15078991512</v>
      </c>
      <c r="Y28" s="462">
        <f t="shared" ca="1" si="15"/>
        <v>16918.580118129685</v>
      </c>
      <c r="Z28" s="463">
        <f t="shared" ca="1" si="15"/>
        <v>564798.907780668</v>
      </c>
      <c r="AA28" s="463">
        <f t="shared" ca="1" si="15"/>
        <v>0</v>
      </c>
      <c r="AB28" s="485">
        <f t="shared" ca="1" si="15"/>
        <v>0</v>
      </c>
      <c r="AC28" s="485">
        <f t="shared" ca="1" si="15"/>
        <v>157026.84634768742</v>
      </c>
      <c r="AD28" s="485">
        <f t="shared" ca="1" si="15"/>
        <v>0</v>
      </c>
      <c r="AE28" s="490">
        <f t="shared" ca="1" si="20"/>
        <v>738744.33424648514</v>
      </c>
      <c r="AF28" s="462">
        <f t="shared" ca="1" si="16"/>
        <v>16918.580118129685</v>
      </c>
      <c r="AG28" s="463">
        <f t="shared" ca="1" si="16"/>
        <v>738035.81713822635</v>
      </c>
      <c r="AH28" s="463">
        <f t="shared" ca="1" si="16"/>
        <v>0</v>
      </c>
      <c r="AI28" s="485">
        <f t="shared" ca="1" si="16"/>
        <v>0</v>
      </c>
      <c r="AJ28" s="485">
        <f t="shared" ca="1" si="16"/>
        <v>178089.99093234685</v>
      </c>
      <c r="AK28" s="485">
        <f t="shared" ca="1" si="16"/>
        <v>0</v>
      </c>
      <c r="AL28" s="490">
        <f t="shared" ca="1" si="21"/>
        <v>933044.38818870299</v>
      </c>
      <c r="AM28" s="494">
        <f t="shared" ca="1" si="22"/>
        <v>4343323.0886912178</v>
      </c>
    </row>
    <row r="29" spans="1:39" ht="19">
      <c r="A29" s="2040"/>
      <c r="B29" s="200">
        <v>5</v>
      </c>
      <c r="C29" s="471" t="str">
        <f>Buget_sumar_MDL!C29</f>
        <v>3.1.  Asigurarea continuă cu medicamente TB</v>
      </c>
      <c r="D29" s="462">
        <f t="shared" ca="1" si="12"/>
        <v>913.4568813601918</v>
      </c>
      <c r="E29" s="463">
        <f t="shared" ca="1" si="12"/>
        <v>574061.2364936173</v>
      </c>
      <c r="F29" s="463">
        <f t="shared" ca="1" si="12"/>
        <v>17752.949942732892</v>
      </c>
      <c r="G29" s="485">
        <f t="shared" ca="1" si="12"/>
        <v>630727.67904181452</v>
      </c>
      <c r="H29" s="485">
        <f t="shared" ca="1" si="12"/>
        <v>25865.778452800027</v>
      </c>
      <c r="I29" s="485">
        <f t="shared" ca="1" si="12"/>
        <v>0</v>
      </c>
      <c r="J29" s="490">
        <f t="shared" ca="1" si="17"/>
        <v>1249321.100812325</v>
      </c>
      <c r="K29" s="487">
        <f t="shared" ca="1" si="13"/>
        <v>4567.2833876772556</v>
      </c>
      <c r="L29" s="463">
        <f t="shared" ca="1" si="13"/>
        <v>633074.08117208199</v>
      </c>
      <c r="M29" s="463">
        <f t="shared" ca="1" si="13"/>
        <v>19613.325103569721</v>
      </c>
      <c r="N29" s="485">
        <f t="shared" ca="1" si="13"/>
        <v>1024232.3250653449</v>
      </c>
      <c r="O29" s="485">
        <f t="shared" ca="1" si="13"/>
        <v>25558.077999957502</v>
      </c>
      <c r="P29" s="485">
        <f t="shared" ca="1" si="13"/>
        <v>0</v>
      </c>
      <c r="Q29" s="490">
        <f t="shared" ca="1" si="18"/>
        <v>1707045.0927286316</v>
      </c>
      <c r="R29" s="462">
        <f t="shared" ca="1" si="14"/>
        <v>7307.6535221959793</v>
      </c>
      <c r="S29" s="463">
        <f t="shared" ca="1" si="14"/>
        <v>692368.62132384873</v>
      </c>
      <c r="T29" s="463">
        <f t="shared" ca="1" si="14"/>
        <v>21091.290400675109</v>
      </c>
      <c r="U29" s="485">
        <f t="shared" ca="1" si="14"/>
        <v>921690.91772143415</v>
      </c>
      <c r="V29" s="485">
        <f t="shared" ca="1" si="14"/>
        <v>25241.581999992562</v>
      </c>
      <c r="W29" s="485">
        <f t="shared" ca="1" si="14"/>
        <v>0</v>
      </c>
      <c r="X29" s="490">
        <f t="shared" ca="1" si="19"/>
        <v>1667700.0649681464</v>
      </c>
      <c r="Y29" s="462">
        <f t="shared" ca="1" si="15"/>
        <v>9134.5672849163639</v>
      </c>
      <c r="Z29" s="463">
        <f t="shared" ca="1" si="15"/>
        <v>908570.24231143761</v>
      </c>
      <c r="AA29" s="463">
        <f t="shared" ca="1" si="15"/>
        <v>26156.423870465704</v>
      </c>
      <c r="AB29" s="485">
        <f t="shared" ca="1" si="15"/>
        <v>0</v>
      </c>
      <c r="AC29" s="485">
        <f t="shared" ca="1" si="15"/>
        <v>486540.43426797335</v>
      </c>
      <c r="AD29" s="485">
        <f t="shared" ca="1" si="15"/>
        <v>0</v>
      </c>
      <c r="AE29" s="490">
        <f t="shared" ca="1" si="20"/>
        <v>1430401.6677347932</v>
      </c>
      <c r="AF29" s="462">
        <f t="shared" ca="1" si="16"/>
        <v>30221.928454152912</v>
      </c>
      <c r="AG29" s="463">
        <f t="shared" ca="1" si="16"/>
        <v>881958.26963597874</v>
      </c>
      <c r="AH29" s="463">
        <f t="shared" ca="1" si="16"/>
        <v>26076.320747376401</v>
      </c>
      <c r="AI29" s="485">
        <f t="shared" ca="1" si="16"/>
        <v>0</v>
      </c>
      <c r="AJ29" s="485">
        <f t="shared" ca="1" si="16"/>
        <v>495020.32311011263</v>
      </c>
      <c r="AK29" s="485">
        <f t="shared" ca="1" si="16"/>
        <v>0</v>
      </c>
      <c r="AL29" s="490">
        <f t="shared" ca="1" si="21"/>
        <v>1433276.8419476207</v>
      </c>
      <c r="AM29" s="494">
        <f t="shared" ca="1" si="22"/>
        <v>7487744.7681915173</v>
      </c>
    </row>
    <row r="30" spans="1:39" ht="32">
      <c r="B30" s="200">
        <v>6</v>
      </c>
      <c r="C30" s="471" t="str">
        <f>Buget_sumar_MDL!C30</f>
        <v>3.2.  Asigurarea monitorizării tratamentului, managementului și prevenirii reacțiilor adverse la medicamente TB</v>
      </c>
      <c r="D30" s="462">
        <f t="shared" ca="1" si="12"/>
        <v>0</v>
      </c>
      <c r="E30" s="463">
        <f t="shared" ca="1" si="12"/>
        <v>0</v>
      </c>
      <c r="F30" s="463">
        <f t="shared" ca="1" si="12"/>
        <v>0</v>
      </c>
      <c r="G30" s="485">
        <f t="shared" ca="1" si="12"/>
        <v>4076.4948137049514</v>
      </c>
      <c r="H30" s="485">
        <f t="shared" ca="1" si="12"/>
        <v>0</v>
      </c>
      <c r="I30" s="485">
        <f t="shared" ca="1" si="12"/>
        <v>0</v>
      </c>
      <c r="J30" s="490">
        <f t="shared" ca="1" si="17"/>
        <v>4076.4948137049514</v>
      </c>
      <c r="K30" s="487">
        <f t="shared" ca="1" si="13"/>
        <v>0</v>
      </c>
      <c r="L30" s="463">
        <f t="shared" ca="1" si="13"/>
        <v>0</v>
      </c>
      <c r="M30" s="463">
        <f t="shared" ca="1" si="13"/>
        <v>0</v>
      </c>
      <c r="N30" s="485">
        <f t="shared" ca="1" si="13"/>
        <v>4033.3130137052267</v>
      </c>
      <c r="O30" s="485">
        <f t="shared" ca="1" si="13"/>
        <v>0</v>
      </c>
      <c r="P30" s="485">
        <f t="shared" ca="1" si="13"/>
        <v>0</v>
      </c>
      <c r="Q30" s="490">
        <f t="shared" ca="1" si="18"/>
        <v>4033.3130137052267</v>
      </c>
      <c r="R30" s="462">
        <f t="shared" ca="1" si="14"/>
        <v>0</v>
      </c>
      <c r="S30" s="463">
        <f t="shared" ca="1" si="14"/>
        <v>0</v>
      </c>
      <c r="T30" s="463">
        <f t="shared" ca="1" si="14"/>
        <v>0</v>
      </c>
      <c r="U30" s="485">
        <f t="shared" ca="1" si="14"/>
        <v>19170.32833566959</v>
      </c>
      <c r="V30" s="485">
        <f t="shared" ca="1" si="14"/>
        <v>0</v>
      </c>
      <c r="W30" s="485">
        <f t="shared" ca="1" si="14"/>
        <v>0</v>
      </c>
      <c r="X30" s="490">
        <f t="shared" ca="1" si="19"/>
        <v>19170.32833566959</v>
      </c>
      <c r="Y30" s="462">
        <f t="shared" ca="1" si="15"/>
        <v>0</v>
      </c>
      <c r="Z30" s="463">
        <f t="shared" ca="1" si="15"/>
        <v>0</v>
      </c>
      <c r="AA30" s="463">
        <f t="shared" ca="1" si="15"/>
        <v>0</v>
      </c>
      <c r="AB30" s="485">
        <f t="shared" ca="1" si="15"/>
        <v>0</v>
      </c>
      <c r="AC30" s="485">
        <f t="shared" ca="1" si="15"/>
        <v>0</v>
      </c>
      <c r="AD30" s="485">
        <f t="shared" ca="1" si="15"/>
        <v>0</v>
      </c>
      <c r="AE30" s="490">
        <f t="shared" ca="1" si="20"/>
        <v>0</v>
      </c>
      <c r="AF30" s="462">
        <f t="shared" ca="1" si="16"/>
        <v>21087.361169236545</v>
      </c>
      <c r="AG30" s="463">
        <f t="shared" ca="1" si="16"/>
        <v>0</v>
      </c>
      <c r="AH30" s="463">
        <f t="shared" ca="1" si="16"/>
        <v>0</v>
      </c>
      <c r="AI30" s="485">
        <f t="shared" ca="1" si="16"/>
        <v>0</v>
      </c>
      <c r="AJ30" s="485">
        <f t="shared" ca="1" si="16"/>
        <v>0</v>
      </c>
      <c r="AK30" s="485">
        <f t="shared" ca="1" si="16"/>
        <v>0</v>
      </c>
      <c r="AL30" s="490">
        <f t="shared" ca="1" si="21"/>
        <v>21087.361169236545</v>
      </c>
      <c r="AM30" s="494">
        <f t="shared" ca="1" si="22"/>
        <v>48367.497332316314</v>
      </c>
    </row>
    <row r="31" spans="1:39" ht="32">
      <c r="B31" s="200">
        <v>7</v>
      </c>
      <c r="C31" s="471" t="str">
        <f>Buget_sumar_MDL!C31</f>
        <v>3.3.  Asigurarea aderenței la tratament, inclusiv prin utilizarea metodelor inovative, centrate pe persoană</v>
      </c>
      <c r="D31" s="462">
        <f t="shared" ca="1" si="12"/>
        <v>780480.65236961807</v>
      </c>
      <c r="E31" s="463">
        <f t="shared" ca="1" si="12"/>
        <v>0</v>
      </c>
      <c r="F31" s="463">
        <f t="shared" ca="1" si="12"/>
        <v>0</v>
      </c>
      <c r="G31" s="485">
        <f t="shared" ca="1" si="12"/>
        <v>332229.23552015028</v>
      </c>
      <c r="H31" s="485">
        <f t="shared" ca="1" si="12"/>
        <v>0</v>
      </c>
      <c r="I31" s="485">
        <f t="shared" ca="1" si="12"/>
        <v>0</v>
      </c>
      <c r="J31" s="490">
        <f t="shared" ca="1" si="17"/>
        <v>1112709.8878897685</v>
      </c>
      <c r="K31" s="487">
        <f t="shared" ca="1" si="13"/>
        <v>757936.10991208372</v>
      </c>
      <c r="L31" s="463">
        <f t="shared" ca="1" si="13"/>
        <v>0</v>
      </c>
      <c r="M31" s="463">
        <f t="shared" ca="1" si="13"/>
        <v>0</v>
      </c>
      <c r="N31" s="485">
        <f t="shared" ca="1" si="13"/>
        <v>283146.91310232825</v>
      </c>
      <c r="O31" s="485">
        <f t="shared" ca="1" si="13"/>
        <v>0</v>
      </c>
      <c r="P31" s="485">
        <f t="shared" ca="1" si="13"/>
        <v>0</v>
      </c>
      <c r="Q31" s="490">
        <f t="shared" ca="1" si="18"/>
        <v>1041083.023014412</v>
      </c>
      <c r="R31" s="462">
        <f t="shared" ca="1" si="14"/>
        <v>734086.5668132659</v>
      </c>
      <c r="S31" s="463">
        <f t="shared" ca="1" si="14"/>
        <v>0</v>
      </c>
      <c r="T31" s="463">
        <f t="shared" ca="1" si="14"/>
        <v>0</v>
      </c>
      <c r="U31" s="485">
        <f t="shared" ca="1" si="14"/>
        <v>270467.4761192564</v>
      </c>
      <c r="V31" s="485">
        <f t="shared" ca="1" si="14"/>
        <v>0</v>
      </c>
      <c r="W31" s="485">
        <f t="shared" ca="1" si="14"/>
        <v>0</v>
      </c>
      <c r="X31" s="490">
        <f t="shared" ca="1" si="19"/>
        <v>1004554.0429325223</v>
      </c>
      <c r="Y31" s="462">
        <f t="shared" ca="1" si="15"/>
        <v>711983.55460462254</v>
      </c>
      <c r="Z31" s="463">
        <f t="shared" ca="1" si="15"/>
        <v>0</v>
      </c>
      <c r="AA31" s="463">
        <f t="shared" ca="1" si="15"/>
        <v>0</v>
      </c>
      <c r="AB31" s="485">
        <f t="shared" ca="1" si="15"/>
        <v>0</v>
      </c>
      <c r="AC31" s="485">
        <f t="shared" ca="1" si="15"/>
        <v>186364.09529356952</v>
      </c>
      <c r="AD31" s="485">
        <f t="shared" ca="1" si="15"/>
        <v>0</v>
      </c>
      <c r="AE31" s="490">
        <f t="shared" ca="1" si="20"/>
        <v>898347.64989819203</v>
      </c>
      <c r="AF31" s="462">
        <f t="shared" ca="1" si="16"/>
        <v>692048.18793945573</v>
      </c>
      <c r="AG31" s="463">
        <f t="shared" ca="1" si="16"/>
        <v>0</v>
      </c>
      <c r="AH31" s="463">
        <f t="shared" ca="1" si="16"/>
        <v>0</v>
      </c>
      <c r="AI31" s="485">
        <f t="shared" ca="1" si="16"/>
        <v>0</v>
      </c>
      <c r="AJ31" s="485">
        <f t="shared" ca="1" si="16"/>
        <v>187494.90680190164</v>
      </c>
      <c r="AK31" s="485">
        <f t="shared" ca="1" si="16"/>
        <v>0</v>
      </c>
      <c r="AL31" s="490">
        <f t="shared" ca="1" si="21"/>
        <v>879543.09474135737</v>
      </c>
      <c r="AM31" s="494">
        <f t="shared" ca="1" si="22"/>
        <v>4936237.6984762521</v>
      </c>
    </row>
    <row r="32" spans="1:39" ht="32">
      <c r="B32" s="200">
        <v>8</v>
      </c>
      <c r="C32" s="471" t="str">
        <f>Buget_sumar_MDL!C32</f>
        <v>4.1.  Consolidarea capacităților pentru realizarea unui control eficient al co-infecţiei TB/HIV</v>
      </c>
      <c r="D32" s="462">
        <f t="shared" ca="1" si="12"/>
        <v>0</v>
      </c>
      <c r="E32" s="463">
        <f t="shared" ca="1" si="12"/>
        <v>2061.4069930128371</v>
      </c>
      <c r="F32" s="463">
        <f t="shared" ca="1" si="12"/>
        <v>66.268518815291117</v>
      </c>
      <c r="G32" s="485">
        <f t="shared" ca="1" si="12"/>
        <v>7528.2667972096187</v>
      </c>
      <c r="H32" s="485">
        <f t="shared" ca="1" si="12"/>
        <v>1348.8102214846258</v>
      </c>
      <c r="I32" s="485">
        <f t="shared" ca="1" si="12"/>
        <v>0</v>
      </c>
      <c r="J32" s="490">
        <f t="shared" ca="1" si="17"/>
        <v>11004.752530522372</v>
      </c>
      <c r="K32" s="487">
        <f t="shared" ca="1" si="13"/>
        <v>0</v>
      </c>
      <c r="L32" s="463">
        <f t="shared" ca="1" si="13"/>
        <v>1999.9793117888205</v>
      </c>
      <c r="M32" s="463">
        <f t="shared" ca="1" si="13"/>
        <v>64.434096149123889</v>
      </c>
      <c r="N32" s="485">
        <f t="shared" ca="1" si="13"/>
        <v>0</v>
      </c>
      <c r="O32" s="485">
        <f t="shared" ca="1" si="13"/>
        <v>1330.4659948229535</v>
      </c>
      <c r="P32" s="485">
        <f t="shared" ca="1" si="13"/>
        <v>0</v>
      </c>
      <c r="Q32" s="490">
        <f t="shared" ca="1" si="18"/>
        <v>3394.8794027608983</v>
      </c>
      <c r="R32" s="462">
        <f t="shared" ca="1" si="14"/>
        <v>0</v>
      </c>
      <c r="S32" s="463">
        <f t="shared" ca="1" si="14"/>
        <v>1944.5135042298475</v>
      </c>
      <c r="T32" s="463">
        <f t="shared" ca="1" si="14"/>
        <v>64.434096149123889</v>
      </c>
      <c r="U32" s="485">
        <f t="shared" ca="1" si="14"/>
        <v>0</v>
      </c>
      <c r="V32" s="485">
        <f t="shared" ca="1" si="14"/>
        <v>1343.2050411157816</v>
      </c>
      <c r="W32" s="485">
        <f t="shared" ca="1" si="14"/>
        <v>0</v>
      </c>
      <c r="X32" s="490">
        <f t="shared" ca="1" si="19"/>
        <v>3352.152641494753</v>
      </c>
      <c r="Y32" s="462">
        <f t="shared" ca="1" si="15"/>
        <v>0</v>
      </c>
      <c r="Z32" s="463">
        <f t="shared" ca="1" si="15"/>
        <v>1879.9010614326239</v>
      </c>
      <c r="AA32" s="463">
        <f t="shared" ca="1" si="15"/>
        <v>53.402082059534862</v>
      </c>
      <c r="AB32" s="485">
        <f t="shared" ca="1" si="15"/>
        <v>0</v>
      </c>
      <c r="AC32" s="485">
        <f t="shared" ca="1" si="15"/>
        <v>1355.8166969456811</v>
      </c>
      <c r="AD32" s="485">
        <f t="shared" ca="1" si="15"/>
        <v>0</v>
      </c>
      <c r="AE32" s="490">
        <f t="shared" ca="1" si="20"/>
        <v>3289.1198404378401</v>
      </c>
      <c r="AF32" s="462">
        <f t="shared" ca="1" si="16"/>
        <v>0</v>
      </c>
      <c r="AG32" s="463">
        <f t="shared" ca="1" si="16"/>
        <v>1828.9703543538976</v>
      </c>
      <c r="AH32" s="463">
        <f t="shared" ca="1" si="16"/>
        <v>53.402082059534862</v>
      </c>
      <c r="AI32" s="485">
        <f t="shared" ca="1" si="16"/>
        <v>0</v>
      </c>
      <c r="AJ32" s="485">
        <f t="shared" ca="1" si="16"/>
        <v>1366.7722767575133</v>
      </c>
      <c r="AK32" s="485">
        <f t="shared" ca="1" si="16"/>
        <v>0</v>
      </c>
      <c r="AL32" s="490">
        <f t="shared" ca="1" si="21"/>
        <v>3249.1447131709456</v>
      </c>
      <c r="AM32" s="494">
        <f t="shared" ca="1" si="22"/>
        <v>24290.04912838681</v>
      </c>
    </row>
    <row r="33" spans="2:39" ht="32">
      <c r="B33" s="200">
        <v>9</v>
      </c>
      <c r="C33" s="471" t="str">
        <f>Buget_sumar_MDL!C33</f>
        <v>4.2.  Consolidarea acțiunilor colaborative în controlul TB cu alte programe naționale</v>
      </c>
      <c r="D33" s="462">
        <f t="shared" ca="1" si="12"/>
        <v>0</v>
      </c>
      <c r="E33" s="463">
        <f t="shared" ca="1" si="12"/>
        <v>0</v>
      </c>
      <c r="F33" s="463">
        <f t="shared" ca="1" si="12"/>
        <v>0</v>
      </c>
      <c r="G33" s="485">
        <f t="shared" ca="1" si="12"/>
        <v>7653.2113632496757</v>
      </c>
      <c r="H33" s="485">
        <f t="shared" ca="1" si="12"/>
        <v>0</v>
      </c>
      <c r="I33" s="485">
        <f t="shared" ca="1" si="12"/>
        <v>0</v>
      </c>
      <c r="J33" s="490">
        <f t="shared" ca="1" si="17"/>
        <v>7653.2113632496757</v>
      </c>
      <c r="K33" s="487">
        <f t="shared" ca="1" si="13"/>
        <v>0</v>
      </c>
      <c r="L33" s="463">
        <f t="shared" ca="1" si="13"/>
        <v>0</v>
      </c>
      <c r="M33" s="463">
        <f t="shared" ca="1" si="13"/>
        <v>0</v>
      </c>
      <c r="N33" s="485">
        <f t="shared" ca="1" si="13"/>
        <v>8370.3890958247866</v>
      </c>
      <c r="O33" s="485">
        <f t="shared" ca="1" si="13"/>
        <v>0</v>
      </c>
      <c r="P33" s="485">
        <f t="shared" ca="1" si="13"/>
        <v>0</v>
      </c>
      <c r="Q33" s="490">
        <f t="shared" ca="1" si="18"/>
        <v>8370.3890958247866</v>
      </c>
      <c r="R33" s="462">
        <f t="shared" ca="1" si="14"/>
        <v>0</v>
      </c>
      <c r="S33" s="463">
        <f t="shared" ca="1" si="14"/>
        <v>0</v>
      </c>
      <c r="T33" s="463">
        <f t="shared" ca="1" si="14"/>
        <v>0</v>
      </c>
      <c r="U33" s="485">
        <f t="shared" ca="1" si="14"/>
        <v>8370.3890958247866</v>
      </c>
      <c r="V33" s="485">
        <f t="shared" ca="1" si="14"/>
        <v>0</v>
      </c>
      <c r="W33" s="485">
        <f t="shared" ca="1" si="14"/>
        <v>0</v>
      </c>
      <c r="X33" s="490">
        <f t="shared" ca="1" si="19"/>
        <v>8370.3890958247866</v>
      </c>
      <c r="Y33" s="462">
        <f t="shared" ca="1" si="15"/>
        <v>0</v>
      </c>
      <c r="Z33" s="463">
        <f t="shared" ca="1" si="15"/>
        <v>0</v>
      </c>
      <c r="AA33" s="463">
        <f t="shared" ca="1" si="15"/>
        <v>0</v>
      </c>
      <c r="AB33" s="485">
        <f t="shared" ca="1" si="15"/>
        <v>0</v>
      </c>
      <c r="AC33" s="485">
        <f t="shared" ca="1" si="15"/>
        <v>0</v>
      </c>
      <c r="AD33" s="485">
        <f t="shared" ca="1" si="15"/>
        <v>0</v>
      </c>
      <c r="AE33" s="490">
        <f t="shared" ca="1" si="20"/>
        <v>0</v>
      </c>
      <c r="AF33" s="462">
        <f t="shared" ca="1" si="16"/>
        <v>0</v>
      </c>
      <c r="AG33" s="463">
        <f t="shared" ca="1" si="16"/>
        <v>0</v>
      </c>
      <c r="AH33" s="463">
        <f t="shared" ca="1" si="16"/>
        <v>0</v>
      </c>
      <c r="AI33" s="485">
        <f t="shared" ca="1" si="16"/>
        <v>0</v>
      </c>
      <c r="AJ33" s="485">
        <f t="shared" ca="1" si="16"/>
        <v>0</v>
      </c>
      <c r="AK33" s="485">
        <f t="shared" ca="1" si="16"/>
        <v>0</v>
      </c>
      <c r="AL33" s="490">
        <f t="shared" ca="1" si="21"/>
        <v>0</v>
      </c>
      <c r="AM33" s="494">
        <f t="shared" ca="1" si="22"/>
        <v>24393.98955489925</v>
      </c>
    </row>
    <row r="34" spans="2:39" ht="16">
      <c r="B34" s="200">
        <v>10</v>
      </c>
      <c r="C34" s="471" t="str">
        <f>Buget_sumar_MDL!C34</f>
        <v>5.1.  Asigurarea măsurilor de profilaxie specifică</v>
      </c>
      <c r="D34" s="462">
        <f t="shared" ca="1" si="12"/>
        <v>0</v>
      </c>
      <c r="E34" s="463">
        <f t="shared" ca="1" si="12"/>
        <v>175470.29730844844</v>
      </c>
      <c r="F34" s="463">
        <f t="shared" ca="1" si="12"/>
        <v>6912.6304739490834</v>
      </c>
      <c r="G34" s="485">
        <f t="shared" ca="1" si="12"/>
        <v>139276.68127159507</v>
      </c>
      <c r="H34" s="485">
        <f t="shared" ca="1" si="12"/>
        <v>19900.786269224045</v>
      </c>
      <c r="I34" s="485">
        <f t="shared" ca="1" si="12"/>
        <v>0</v>
      </c>
      <c r="J34" s="490">
        <f t="shared" ca="1" si="17"/>
        <v>341560.39532321657</v>
      </c>
      <c r="K34" s="487">
        <f t="shared" ca="1" si="13"/>
        <v>0</v>
      </c>
      <c r="L34" s="463">
        <f t="shared" ca="1" si="13"/>
        <v>184765.26039655221</v>
      </c>
      <c r="M34" s="463">
        <f t="shared" ca="1" si="13"/>
        <v>7896.5414151745381</v>
      </c>
      <c r="N34" s="485">
        <f t="shared" ca="1" si="13"/>
        <v>126017.04824202033</v>
      </c>
      <c r="O34" s="485">
        <f t="shared" ca="1" si="13"/>
        <v>20685.949744054724</v>
      </c>
      <c r="P34" s="485">
        <f t="shared" ca="1" si="13"/>
        <v>0</v>
      </c>
      <c r="Q34" s="490">
        <f t="shared" ca="1" si="18"/>
        <v>339364.79979780177</v>
      </c>
      <c r="R34" s="462">
        <f t="shared" ca="1" si="14"/>
        <v>0</v>
      </c>
      <c r="S34" s="463">
        <f t="shared" ca="1" si="14"/>
        <v>192951.9351197315</v>
      </c>
      <c r="T34" s="463">
        <f t="shared" ca="1" si="14"/>
        <v>9087.7910356146549</v>
      </c>
      <c r="U34" s="485">
        <f t="shared" ca="1" si="14"/>
        <v>102641.30800044745</v>
      </c>
      <c r="V34" s="485">
        <f t="shared" ca="1" si="14"/>
        <v>21327.273080260122</v>
      </c>
      <c r="W34" s="485">
        <f t="shared" ca="1" si="14"/>
        <v>0</v>
      </c>
      <c r="X34" s="490">
        <f t="shared" ca="1" si="19"/>
        <v>326008.30723605375</v>
      </c>
      <c r="Y34" s="462">
        <f t="shared" ca="1" si="15"/>
        <v>0</v>
      </c>
      <c r="Z34" s="463">
        <f t="shared" ca="1" si="15"/>
        <v>270033.51694035827</v>
      </c>
      <c r="AA34" s="463">
        <f t="shared" ca="1" si="15"/>
        <v>15104.795216518691</v>
      </c>
      <c r="AB34" s="485">
        <f t="shared" ca="1" si="15"/>
        <v>0</v>
      </c>
      <c r="AC34" s="485">
        <f t="shared" ca="1" si="15"/>
        <v>28813.952496504025</v>
      </c>
      <c r="AD34" s="485">
        <f t="shared" ca="1" si="15"/>
        <v>0</v>
      </c>
      <c r="AE34" s="490">
        <f t="shared" ca="1" si="20"/>
        <v>313952.26465338096</v>
      </c>
      <c r="AF34" s="462">
        <f t="shared" ca="1" si="16"/>
        <v>0</v>
      </c>
      <c r="AG34" s="463">
        <f t="shared" ca="1" si="16"/>
        <v>264138.62212335132</v>
      </c>
      <c r="AH34" s="463">
        <f t="shared" ca="1" si="16"/>
        <v>15309.626851422923</v>
      </c>
      <c r="AI34" s="485">
        <f t="shared" ca="1" si="16"/>
        <v>0</v>
      </c>
      <c r="AJ34" s="485">
        <f t="shared" ca="1" si="16"/>
        <v>28195.207845948036</v>
      </c>
      <c r="AK34" s="485">
        <f t="shared" ca="1" si="16"/>
        <v>0</v>
      </c>
      <c r="AL34" s="490">
        <f t="shared" ca="1" si="21"/>
        <v>307643.45682072232</v>
      </c>
      <c r="AM34" s="494">
        <f t="shared" ca="1" si="22"/>
        <v>1628529.2238311754</v>
      </c>
    </row>
    <row r="35" spans="2:39" ht="32">
      <c r="B35" s="200">
        <v>11</v>
      </c>
      <c r="C35" s="471" t="str">
        <f>Buget_sumar_MDL!C35</f>
        <v>5.2.  Asigurarea informării privind respectarea măsurilor de control al infecției  pentru reducerea riscului de transmitere a TB în societate</v>
      </c>
      <c r="D35" s="462">
        <f t="shared" ref="D35:I44" ca="1" si="23">SUMIFS(_2021_Total,Buget_detal_sursa,D$24,Buget_detal_dir_act,$C35)/EUR</f>
        <v>0</v>
      </c>
      <c r="E35" s="463">
        <f t="shared" ca="1" si="23"/>
        <v>0</v>
      </c>
      <c r="F35" s="463">
        <f t="shared" ca="1" si="23"/>
        <v>0</v>
      </c>
      <c r="G35" s="485">
        <f t="shared" ca="1" si="23"/>
        <v>59122.946726888047</v>
      </c>
      <c r="H35" s="485">
        <f t="shared" ca="1" si="23"/>
        <v>0</v>
      </c>
      <c r="I35" s="485">
        <f t="shared" ca="1" si="23"/>
        <v>0</v>
      </c>
      <c r="J35" s="490">
        <f t="shared" ca="1" si="17"/>
        <v>59122.946726888047</v>
      </c>
      <c r="K35" s="487">
        <f t="shared" ref="K35:P44" ca="1" si="24">SUMIFS(_2022_Total,Buget_detal_sursa,K$24,Buget_detal_dir_act,$C35)/EUR</f>
        <v>0</v>
      </c>
      <c r="L35" s="463">
        <f t="shared" ca="1" si="24"/>
        <v>0</v>
      </c>
      <c r="M35" s="463">
        <f t="shared" ca="1" si="24"/>
        <v>0</v>
      </c>
      <c r="N35" s="485">
        <f t="shared" ca="1" si="24"/>
        <v>43769.355388461161</v>
      </c>
      <c r="O35" s="485">
        <f t="shared" ca="1" si="24"/>
        <v>0</v>
      </c>
      <c r="P35" s="485">
        <f t="shared" ca="1" si="24"/>
        <v>0</v>
      </c>
      <c r="Q35" s="490">
        <f t="shared" ca="1" si="18"/>
        <v>43769.355388461161</v>
      </c>
      <c r="R35" s="462">
        <f t="shared" ref="R35:W44" ca="1" si="25">SUMIFS(_2023_Total,Buget_detal_sursa,R$24,Buget_detal_dir_act,$C35)/EUR</f>
        <v>0</v>
      </c>
      <c r="S35" s="463">
        <f t="shared" ca="1" si="25"/>
        <v>0</v>
      </c>
      <c r="T35" s="463">
        <f t="shared" ca="1" si="25"/>
        <v>0</v>
      </c>
      <c r="U35" s="485">
        <f t="shared" ca="1" si="25"/>
        <v>44637.139221928606</v>
      </c>
      <c r="V35" s="485">
        <f t="shared" ca="1" si="25"/>
        <v>0</v>
      </c>
      <c r="W35" s="485">
        <f t="shared" ca="1" si="25"/>
        <v>0</v>
      </c>
      <c r="X35" s="490">
        <f t="shared" ca="1" si="19"/>
        <v>44637.139221928606</v>
      </c>
      <c r="Y35" s="462">
        <f t="shared" ref="Y35:AD44" ca="1" si="26">SUMIFS(_2024_Total,Buget_detal_sursa,Y$24,Buget_detal_dir_act,$C35)/EUR</f>
        <v>0</v>
      </c>
      <c r="Z35" s="463">
        <f t="shared" ca="1" si="26"/>
        <v>0</v>
      </c>
      <c r="AA35" s="463">
        <f t="shared" ca="1" si="26"/>
        <v>0</v>
      </c>
      <c r="AB35" s="485">
        <f t="shared" ca="1" si="26"/>
        <v>0</v>
      </c>
      <c r="AC35" s="485">
        <f t="shared" ca="1" si="26"/>
        <v>0</v>
      </c>
      <c r="AD35" s="485">
        <f t="shared" ca="1" si="26"/>
        <v>0</v>
      </c>
      <c r="AE35" s="490">
        <f t="shared" ca="1" si="20"/>
        <v>0</v>
      </c>
      <c r="AF35" s="462">
        <f t="shared" ref="AF35:AK44" ca="1" si="27">SUMIFS(_2025_Total,Buget_detal_sursa,AF$24,Buget_detal_dir_act,$C35)/EUR</f>
        <v>0</v>
      </c>
      <c r="AG35" s="463">
        <f t="shared" ca="1" si="27"/>
        <v>0</v>
      </c>
      <c r="AH35" s="463">
        <f t="shared" ca="1" si="27"/>
        <v>0</v>
      </c>
      <c r="AI35" s="485">
        <f t="shared" ca="1" si="27"/>
        <v>0</v>
      </c>
      <c r="AJ35" s="485">
        <f t="shared" ca="1" si="27"/>
        <v>0</v>
      </c>
      <c r="AK35" s="485">
        <f t="shared" ca="1" si="27"/>
        <v>0</v>
      </c>
      <c r="AL35" s="490">
        <f t="shared" ca="1" si="21"/>
        <v>0</v>
      </c>
      <c r="AM35" s="494">
        <f t="shared" ca="1" si="22"/>
        <v>147529.44133727782</v>
      </c>
    </row>
    <row r="36" spans="2:39" ht="16">
      <c r="B36" s="200">
        <v>12</v>
      </c>
      <c r="C36" s="471" t="str">
        <f>Buget_sumar_MDL!C36</f>
        <v>5.3.  Asigurarea controlului infecției în IMSP și alte AP cu rețele sanitare proprii</v>
      </c>
      <c r="D36" s="462">
        <f t="shared" ca="1" si="23"/>
        <v>0</v>
      </c>
      <c r="E36" s="463">
        <f t="shared" ca="1" si="23"/>
        <v>0</v>
      </c>
      <c r="F36" s="463">
        <f t="shared" ca="1" si="23"/>
        <v>0</v>
      </c>
      <c r="G36" s="485">
        <f t="shared" ca="1" si="23"/>
        <v>0</v>
      </c>
      <c r="H36" s="485">
        <f t="shared" ca="1" si="23"/>
        <v>0</v>
      </c>
      <c r="I36" s="485">
        <f t="shared" ca="1" si="23"/>
        <v>0</v>
      </c>
      <c r="J36" s="490">
        <f t="shared" ca="1" si="17"/>
        <v>0</v>
      </c>
      <c r="K36" s="487">
        <f t="shared" ca="1" si="24"/>
        <v>0</v>
      </c>
      <c r="L36" s="463">
        <f t="shared" ca="1" si="24"/>
        <v>0</v>
      </c>
      <c r="M36" s="463">
        <f t="shared" ca="1" si="24"/>
        <v>0</v>
      </c>
      <c r="N36" s="485">
        <f t="shared" ca="1" si="24"/>
        <v>0</v>
      </c>
      <c r="O36" s="485">
        <f t="shared" ca="1" si="24"/>
        <v>0</v>
      </c>
      <c r="P36" s="485">
        <f t="shared" ca="1" si="24"/>
        <v>0</v>
      </c>
      <c r="Q36" s="490">
        <f t="shared" ca="1" si="18"/>
        <v>0</v>
      </c>
      <c r="R36" s="462">
        <f t="shared" ca="1" si="25"/>
        <v>0</v>
      </c>
      <c r="S36" s="463">
        <f t="shared" ca="1" si="25"/>
        <v>0</v>
      </c>
      <c r="T36" s="463">
        <f t="shared" ca="1" si="25"/>
        <v>0</v>
      </c>
      <c r="U36" s="485">
        <f t="shared" ca="1" si="25"/>
        <v>0</v>
      </c>
      <c r="V36" s="485">
        <f t="shared" ca="1" si="25"/>
        <v>0</v>
      </c>
      <c r="W36" s="485">
        <f t="shared" ca="1" si="25"/>
        <v>0</v>
      </c>
      <c r="X36" s="490">
        <f t="shared" ca="1" si="19"/>
        <v>0</v>
      </c>
      <c r="Y36" s="462">
        <f t="shared" ca="1" si="26"/>
        <v>0</v>
      </c>
      <c r="Z36" s="463">
        <f t="shared" ca="1" si="26"/>
        <v>0</v>
      </c>
      <c r="AA36" s="463">
        <f t="shared" ca="1" si="26"/>
        <v>0</v>
      </c>
      <c r="AB36" s="485">
        <f t="shared" ca="1" si="26"/>
        <v>0</v>
      </c>
      <c r="AC36" s="485">
        <f t="shared" ca="1" si="26"/>
        <v>0</v>
      </c>
      <c r="AD36" s="485">
        <f t="shared" ca="1" si="26"/>
        <v>0</v>
      </c>
      <c r="AE36" s="490">
        <f t="shared" ca="1" si="20"/>
        <v>0</v>
      </c>
      <c r="AF36" s="462">
        <f t="shared" ca="1" si="27"/>
        <v>0</v>
      </c>
      <c r="AG36" s="463">
        <f t="shared" ca="1" si="27"/>
        <v>0</v>
      </c>
      <c r="AH36" s="463">
        <f t="shared" ca="1" si="27"/>
        <v>0</v>
      </c>
      <c r="AI36" s="485">
        <f t="shared" ca="1" si="27"/>
        <v>0</v>
      </c>
      <c r="AJ36" s="485">
        <f t="shared" ca="1" si="27"/>
        <v>0</v>
      </c>
      <c r="AK36" s="485">
        <f t="shared" ca="1" si="27"/>
        <v>0</v>
      </c>
      <c r="AL36" s="490">
        <f t="shared" ca="1" si="21"/>
        <v>0</v>
      </c>
      <c r="AM36" s="494">
        <f t="shared" ca="1" si="22"/>
        <v>0</v>
      </c>
    </row>
    <row r="37" spans="2:39" ht="16">
      <c r="B37" s="200">
        <v>13</v>
      </c>
      <c r="C37" s="471" t="str">
        <f>Buget_sumar_MDL!C37</f>
        <v>6.1.  Consolidarea capacităților pentru managementul eficient al PNCT</v>
      </c>
      <c r="D37" s="462">
        <f t="shared" ca="1" si="23"/>
        <v>4480.2828353631648</v>
      </c>
      <c r="E37" s="463">
        <f t="shared" ca="1" si="23"/>
        <v>0</v>
      </c>
      <c r="F37" s="463">
        <f t="shared" ca="1" si="23"/>
        <v>0</v>
      </c>
      <c r="G37" s="485">
        <f t="shared" ca="1" si="23"/>
        <v>225723.23914293022</v>
      </c>
      <c r="H37" s="485">
        <f t="shared" ca="1" si="23"/>
        <v>534.38006170080632</v>
      </c>
      <c r="I37" s="485">
        <f t="shared" ca="1" si="23"/>
        <v>0</v>
      </c>
      <c r="J37" s="490">
        <f t="shared" ca="1" si="17"/>
        <v>230737.90203999419</v>
      </c>
      <c r="K37" s="487">
        <f t="shared" ca="1" si="24"/>
        <v>4928.3110169871106</v>
      </c>
      <c r="L37" s="463">
        <f t="shared" ca="1" si="24"/>
        <v>0</v>
      </c>
      <c r="M37" s="463">
        <f t="shared" ca="1" si="24"/>
        <v>0</v>
      </c>
      <c r="N37" s="485">
        <f t="shared" ca="1" si="24"/>
        <v>127929.65189730412</v>
      </c>
      <c r="O37" s="485">
        <f t="shared" ca="1" si="24"/>
        <v>587.81781308996119</v>
      </c>
      <c r="P37" s="485">
        <f t="shared" ca="1" si="24"/>
        <v>0</v>
      </c>
      <c r="Q37" s="490">
        <f t="shared" ca="1" si="18"/>
        <v>133445.78072738121</v>
      </c>
      <c r="R37" s="462">
        <f t="shared" ca="1" si="25"/>
        <v>5376.3386890492047</v>
      </c>
      <c r="S37" s="463">
        <f t="shared" ca="1" si="25"/>
        <v>0</v>
      </c>
      <c r="T37" s="463">
        <f t="shared" ca="1" si="25"/>
        <v>0</v>
      </c>
      <c r="U37" s="485">
        <f t="shared" ca="1" si="25"/>
        <v>67299.88797170484</v>
      </c>
      <c r="V37" s="485">
        <f t="shared" ca="1" si="25"/>
        <v>641.25556447911595</v>
      </c>
      <c r="W37" s="485">
        <f t="shared" ca="1" si="25"/>
        <v>0</v>
      </c>
      <c r="X37" s="490">
        <f t="shared" ca="1" si="19"/>
        <v>73317.482225233165</v>
      </c>
      <c r="Y37" s="462">
        <f t="shared" ca="1" si="26"/>
        <v>39533.818677408774</v>
      </c>
      <c r="Z37" s="463">
        <f t="shared" ca="1" si="26"/>
        <v>0</v>
      </c>
      <c r="AA37" s="463">
        <f t="shared" ca="1" si="26"/>
        <v>0</v>
      </c>
      <c r="AB37" s="485">
        <f t="shared" ca="1" si="26"/>
        <v>0</v>
      </c>
      <c r="AC37" s="485">
        <f t="shared" ca="1" si="26"/>
        <v>1068.759613839761</v>
      </c>
      <c r="AD37" s="485">
        <f t="shared" ca="1" si="26"/>
        <v>0</v>
      </c>
      <c r="AE37" s="490">
        <f t="shared" ca="1" si="20"/>
        <v>40602.578291248537</v>
      </c>
      <c r="AF37" s="462">
        <f t="shared" ca="1" si="27"/>
        <v>39533.818677408774</v>
      </c>
      <c r="AG37" s="463">
        <f t="shared" ca="1" si="27"/>
        <v>0</v>
      </c>
      <c r="AH37" s="463">
        <f t="shared" ca="1" si="27"/>
        <v>0</v>
      </c>
      <c r="AI37" s="485">
        <f t="shared" ca="1" si="27"/>
        <v>0</v>
      </c>
      <c r="AJ37" s="485">
        <f t="shared" ca="1" si="27"/>
        <v>1068.759613839761</v>
      </c>
      <c r="AK37" s="485">
        <f t="shared" ca="1" si="27"/>
        <v>0</v>
      </c>
      <c r="AL37" s="490">
        <f t="shared" ca="1" si="21"/>
        <v>40602.578291248537</v>
      </c>
      <c r="AM37" s="494">
        <f t="shared" ca="1" si="22"/>
        <v>518706.3215751056</v>
      </c>
    </row>
    <row r="38" spans="2:39" ht="32">
      <c r="B38" s="200">
        <v>14</v>
      </c>
      <c r="C38" s="471" t="str">
        <f>Buget_sumar_MDL!C38</f>
        <v>6.2.  Consolidarea sistemelor de sănătate prin mecanisme de finanțare bine aliniate pentru TB</v>
      </c>
      <c r="D38" s="462">
        <f t="shared" ca="1" si="23"/>
        <v>6349378.9760792814</v>
      </c>
      <c r="E38" s="463">
        <f t="shared" ca="1" si="23"/>
        <v>0</v>
      </c>
      <c r="F38" s="463">
        <f t="shared" ca="1" si="23"/>
        <v>0</v>
      </c>
      <c r="G38" s="485">
        <f t="shared" ca="1" si="23"/>
        <v>94247.944240851939</v>
      </c>
      <c r="H38" s="485">
        <f t="shared" ca="1" si="23"/>
        <v>0</v>
      </c>
      <c r="I38" s="485">
        <f t="shared" ca="1" si="23"/>
        <v>0</v>
      </c>
      <c r="J38" s="490">
        <f t="shared" ca="1" si="17"/>
        <v>6443626.9203201337</v>
      </c>
      <c r="K38" s="487">
        <f t="shared" ca="1" si="24"/>
        <v>6349378.9760792814</v>
      </c>
      <c r="L38" s="463">
        <f t="shared" ca="1" si="24"/>
        <v>0</v>
      </c>
      <c r="M38" s="463">
        <f t="shared" ca="1" si="24"/>
        <v>0</v>
      </c>
      <c r="N38" s="485">
        <f t="shared" ca="1" si="24"/>
        <v>80903.248038315811</v>
      </c>
      <c r="O38" s="485">
        <f t="shared" ca="1" si="24"/>
        <v>0</v>
      </c>
      <c r="P38" s="485">
        <f t="shared" ca="1" si="24"/>
        <v>0</v>
      </c>
      <c r="Q38" s="490">
        <f t="shared" ca="1" si="18"/>
        <v>6430282.2241175976</v>
      </c>
      <c r="R38" s="462">
        <f t="shared" ca="1" si="25"/>
        <v>6349378.9760792814</v>
      </c>
      <c r="S38" s="463">
        <f t="shared" ca="1" si="25"/>
        <v>0</v>
      </c>
      <c r="T38" s="463">
        <f t="shared" ca="1" si="25"/>
        <v>0</v>
      </c>
      <c r="U38" s="485">
        <f t="shared" ca="1" si="25"/>
        <v>80903.248038315811</v>
      </c>
      <c r="V38" s="485">
        <f t="shared" ca="1" si="25"/>
        <v>0</v>
      </c>
      <c r="W38" s="485">
        <f t="shared" ca="1" si="25"/>
        <v>0</v>
      </c>
      <c r="X38" s="490">
        <f t="shared" ca="1" si="19"/>
        <v>6430282.2241175976</v>
      </c>
      <c r="Y38" s="462">
        <f t="shared" ca="1" si="26"/>
        <v>6390353.2236895505</v>
      </c>
      <c r="Z38" s="463">
        <f t="shared" ca="1" si="26"/>
        <v>24985.490481053395</v>
      </c>
      <c r="AA38" s="463">
        <f t="shared" ca="1" si="26"/>
        <v>0</v>
      </c>
      <c r="AB38" s="485">
        <f t="shared" ca="1" si="26"/>
        <v>-5.3568810769002116E-4</v>
      </c>
      <c r="AC38" s="485">
        <f t="shared" ca="1" si="26"/>
        <v>11568.438258657978</v>
      </c>
      <c r="AD38" s="485">
        <f t="shared" ca="1" si="26"/>
        <v>0</v>
      </c>
      <c r="AE38" s="490">
        <f t="shared" ca="1" si="20"/>
        <v>6426907.1518935738</v>
      </c>
      <c r="AF38" s="462">
        <f t="shared" ca="1" si="27"/>
        <v>6390353.2236895505</v>
      </c>
      <c r="AG38" s="463">
        <f t="shared" ca="1" si="27"/>
        <v>24985.490481053395</v>
      </c>
      <c r="AH38" s="463">
        <f t="shared" ca="1" si="27"/>
        <v>0</v>
      </c>
      <c r="AI38" s="485">
        <f t="shared" ca="1" si="27"/>
        <v>-4.0764948293656444E-4</v>
      </c>
      <c r="AJ38" s="485">
        <f t="shared" ca="1" si="27"/>
        <v>11568.438258657978</v>
      </c>
      <c r="AK38" s="485">
        <f t="shared" ca="1" si="27"/>
        <v>0</v>
      </c>
      <c r="AL38" s="490">
        <f t="shared" ca="1" si="21"/>
        <v>6426907.152021613</v>
      </c>
      <c r="AM38" s="494">
        <f t="shared" ca="1" si="22"/>
        <v>32158005.672470517</v>
      </c>
    </row>
    <row r="39" spans="2:39" ht="16">
      <c r="B39" s="200">
        <v>15</v>
      </c>
      <c r="C39" s="471" t="str">
        <f>Buget_sumar_MDL!C39</f>
        <v>6.3.  Consolidarea capacităților resurselor umane implicate în controlul TB</v>
      </c>
      <c r="D39" s="462">
        <f t="shared" ca="1" si="23"/>
        <v>0</v>
      </c>
      <c r="E39" s="463">
        <f t="shared" ca="1" si="23"/>
        <v>29981.141625429947</v>
      </c>
      <c r="F39" s="463">
        <f t="shared" ca="1" si="23"/>
        <v>0</v>
      </c>
      <c r="G39" s="485">
        <f t="shared" ca="1" si="23"/>
        <v>66501.539568853084</v>
      </c>
      <c r="H39" s="485">
        <f t="shared" ca="1" si="23"/>
        <v>0</v>
      </c>
      <c r="I39" s="485">
        <f t="shared" ca="1" si="23"/>
        <v>0</v>
      </c>
      <c r="J39" s="490">
        <f t="shared" ca="1" si="17"/>
        <v>96482.681194283039</v>
      </c>
      <c r="K39" s="487">
        <f t="shared" ca="1" si="24"/>
        <v>0</v>
      </c>
      <c r="L39" s="463">
        <f t="shared" ca="1" si="24"/>
        <v>29981.141625429947</v>
      </c>
      <c r="M39" s="463">
        <f t="shared" ca="1" si="24"/>
        <v>0</v>
      </c>
      <c r="N39" s="485">
        <f t="shared" ca="1" si="24"/>
        <v>31114.856264652259</v>
      </c>
      <c r="O39" s="485">
        <f t="shared" ca="1" si="24"/>
        <v>0</v>
      </c>
      <c r="P39" s="485">
        <f t="shared" ca="1" si="24"/>
        <v>0</v>
      </c>
      <c r="Q39" s="490">
        <f t="shared" ca="1" si="18"/>
        <v>61095.997890082203</v>
      </c>
      <c r="R39" s="462">
        <f t="shared" ca="1" si="25"/>
        <v>0</v>
      </c>
      <c r="S39" s="463">
        <f t="shared" ca="1" si="25"/>
        <v>29981.141625429947</v>
      </c>
      <c r="T39" s="463">
        <f t="shared" ca="1" si="25"/>
        <v>0</v>
      </c>
      <c r="U39" s="485">
        <f t="shared" ca="1" si="25"/>
        <v>29076.608857799783</v>
      </c>
      <c r="V39" s="485">
        <f t="shared" ca="1" si="25"/>
        <v>0</v>
      </c>
      <c r="W39" s="485">
        <f t="shared" ca="1" si="25"/>
        <v>0</v>
      </c>
      <c r="X39" s="490">
        <f t="shared" ca="1" si="19"/>
        <v>59057.750483229727</v>
      </c>
      <c r="Y39" s="462">
        <f t="shared" ca="1" si="26"/>
        <v>0</v>
      </c>
      <c r="Z39" s="463">
        <f t="shared" ca="1" si="26"/>
        <v>29981.141625429947</v>
      </c>
      <c r="AA39" s="463">
        <f t="shared" ca="1" si="26"/>
        <v>0</v>
      </c>
      <c r="AB39" s="485">
        <f t="shared" ca="1" si="26"/>
        <v>0</v>
      </c>
      <c r="AC39" s="485">
        <f t="shared" ca="1" si="26"/>
        <v>0</v>
      </c>
      <c r="AD39" s="485">
        <f t="shared" ca="1" si="26"/>
        <v>0</v>
      </c>
      <c r="AE39" s="490">
        <f t="shared" ca="1" si="20"/>
        <v>29981.141625429947</v>
      </c>
      <c r="AF39" s="462">
        <f t="shared" ca="1" si="27"/>
        <v>0</v>
      </c>
      <c r="AG39" s="463">
        <f t="shared" ca="1" si="27"/>
        <v>29981.141625429947</v>
      </c>
      <c r="AH39" s="463">
        <f t="shared" ca="1" si="27"/>
        <v>0</v>
      </c>
      <c r="AI39" s="485">
        <f t="shared" ca="1" si="27"/>
        <v>0</v>
      </c>
      <c r="AJ39" s="485">
        <f t="shared" ca="1" si="27"/>
        <v>0</v>
      </c>
      <c r="AK39" s="485">
        <f t="shared" ca="1" si="27"/>
        <v>0</v>
      </c>
      <c r="AL39" s="490">
        <f t="shared" ca="1" si="21"/>
        <v>29981.141625429947</v>
      </c>
      <c r="AM39" s="494">
        <f t="shared" ca="1" si="22"/>
        <v>276598.71281845489</v>
      </c>
    </row>
    <row r="40" spans="2:39" ht="48">
      <c r="B40" s="200">
        <v>16</v>
      </c>
      <c r="C40" s="471" t="str">
        <f>Buget_sumar_MDL!C40</f>
        <v>6.4.  Elaborarea actelor normative pentru supravegherea bazată pe date individuale,  îmbunătățind calitatea înregistrării actelor de stare civilă, calitatea și utilizarea rațională a medicamentelor și farmacovigilența</v>
      </c>
      <c r="D40" s="462">
        <f t="shared" ca="1" si="23"/>
        <v>0</v>
      </c>
      <c r="E40" s="463">
        <f t="shared" ca="1" si="23"/>
        <v>0</v>
      </c>
      <c r="F40" s="463">
        <f t="shared" ca="1" si="23"/>
        <v>0</v>
      </c>
      <c r="G40" s="485">
        <f t="shared" ca="1" si="23"/>
        <v>0</v>
      </c>
      <c r="H40" s="485">
        <f t="shared" ca="1" si="23"/>
        <v>0</v>
      </c>
      <c r="I40" s="485">
        <f t="shared" ca="1" si="23"/>
        <v>0</v>
      </c>
      <c r="J40" s="490">
        <f t="shared" ca="1" si="17"/>
        <v>0</v>
      </c>
      <c r="K40" s="487">
        <f t="shared" ca="1" si="24"/>
        <v>0</v>
      </c>
      <c r="L40" s="463">
        <f t="shared" ca="1" si="24"/>
        <v>0</v>
      </c>
      <c r="M40" s="463">
        <f t="shared" ca="1" si="24"/>
        <v>0</v>
      </c>
      <c r="N40" s="485">
        <f t="shared" ca="1" si="24"/>
        <v>0</v>
      </c>
      <c r="O40" s="485">
        <f t="shared" ca="1" si="24"/>
        <v>0</v>
      </c>
      <c r="P40" s="485">
        <f t="shared" ca="1" si="24"/>
        <v>0</v>
      </c>
      <c r="Q40" s="490">
        <f t="shared" ca="1" si="18"/>
        <v>0</v>
      </c>
      <c r="R40" s="462">
        <f t="shared" ca="1" si="25"/>
        <v>0</v>
      </c>
      <c r="S40" s="463">
        <f t="shared" ca="1" si="25"/>
        <v>0</v>
      </c>
      <c r="T40" s="463">
        <f t="shared" ca="1" si="25"/>
        <v>0</v>
      </c>
      <c r="U40" s="485">
        <f t="shared" ca="1" si="25"/>
        <v>0</v>
      </c>
      <c r="V40" s="485">
        <f t="shared" ca="1" si="25"/>
        <v>0</v>
      </c>
      <c r="W40" s="485">
        <f t="shared" ca="1" si="25"/>
        <v>0</v>
      </c>
      <c r="X40" s="490">
        <f t="shared" ca="1" si="19"/>
        <v>0</v>
      </c>
      <c r="Y40" s="462">
        <f t="shared" ca="1" si="26"/>
        <v>0</v>
      </c>
      <c r="Z40" s="463">
        <f t="shared" ca="1" si="26"/>
        <v>0</v>
      </c>
      <c r="AA40" s="463">
        <f t="shared" ca="1" si="26"/>
        <v>0</v>
      </c>
      <c r="AB40" s="485">
        <f t="shared" ca="1" si="26"/>
        <v>0</v>
      </c>
      <c r="AC40" s="485">
        <f t="shared" ca="1" si="26"/>
        <v>0</v>
      </c>
      <c r="AD40" s="485">
        <f t="shared" ca="1" si="26"/>
        <v>0</v>
      </c>
      <c r="AE40" s="490">
        <f t="shared" ca="1" si="20"/>
        <v>0</v>
      </c>
      <c r="AF40" s="462">
        <f t="shared" ca="1" si="27"/>
        <v>0</v>
      </c>
      <c r="AG40" s="463">
        <f t="shared" ca="1" si="27"/>
        <v>0</v>
      </c>
      <c r="AH40" s="463">
        <f t="shared" ca="1" si="27"/>
        <v>0</v>
      </c>
      <c r="AI40" s="485">
        <f t="shared" ca="1" si="27"/>
        <v>0</v>
      </c>
      <c r="AJ40" s="485">
        <f t="shared" ca="1" si="27"/>
        <v>0</v>
      </c>
      <c r="AK40" s="485">
        <f t="shared" ca="1" si="27"/>
        <v>0</v>
      </c>
      <c r="AL40" s="490">
        <f t="shared" ca="1" si="21"/>
        <v>0</v>
      </c>
      <c r="AM40" s="494">
        <f t="shared" ca="1" si="22"/>
        <v>0</v>
      </c>
    </row>
    <row r="41" spans="2:39" ht="32">
      <c r="B41" s="200">
        <v>17</v>
      </c>
      <c r="C41" s="471" t="str">
        <f>Buget_sumar_MDL!C41</f>
        <v>6.5.  Fortificarea implicării comunității și OSC în controlul TB prin abordare centrată pe persoană</v>
      </c>
      <c r="D41" s="462">
        <f t="shared" ca="1" si="23"/>
        <v>0</v>
      </c>
      <c r="E41" s="463">
        <f t="shared" ca="1" si="23"/>
        <v>0</v>
      </c>
      <c r="F41" s="463">
        <f t="shared" ca="1" si="23"/>
        <v>0</v>
      </c>
      <c r="G41" s="485">
        <f t="shared" ca="1" si="23"/>
        <v>162029.43478940803</v>
      </c>
      <c r="H41" s="485">
        <f t="shared" ca="1" si="23"/>
        <v>0</v>
      </c>
      <c r="I41" s="485">
        <f t="shared" ca="1" si="23"/>
        <v>0</v>
      </c>
      <c r="J41" s="490">
        <f t="shared" ca="1" si="17"/>
        <v>162029.43478940803</v>
      </c>
      <c r="K41" s="487">
        <f t="shared" ca="1" si="24"/>
        <v>0</v>
      </c>
      <c r="L41" s="463">
        <f t="shared" ca="1" si="24"/>
        <v>0</v>
      </c>
      <c r="M41" s="463">
        <f t="shared" ca="1" si="24"/>
        <v>0</v>
      </c>
      <c r="N41" s="485">
        <f t="shared" ca="1" si="24"/>
        <v>182734.58151188327</v>
      </c>
      <c r="O41" s="485">
        <f t="shared" ca="1" si="24"/>
        <v>0</v>
      </c>
      <c r="P41" s="485">
        <f t="shared" ca="1" si="24"/>
        <v>0</v>
      </c>
      <c r="Q41" s="490">
        <f t="shared" ca="1" si="18"/>
        <v>182734.58151188327</v>
      </c>
      <c r="R41" s="462">
        <f t="shared" ca="1" si="25"/>
        <v>0</v>
      </c>
      <c r="S41" s="463">
        <f t="shared" ca="1" si="25"/>
        <v>0</v>
      </c>
      <c r="T41" s="463">
        <f t="shared" ca="1" si="25"/>
        <v>0</v>
      </c>
      <c r="U41" s="485">
        <f t="shared" ca="1" si="25"/>
        <v>200016.40432469221</v>
      </c>
      <c r="V41" s="485">
        <f t="shared" ca="1" si="25"/>
        <v>0</v>
      </c>
      <c r="W41" s="485">
        <f t="shared" ca="1" si="25"/>
        <v>0</v>
      </c>
      <c r="X41" s="490">
        <f t="shared" ca="1" si="19"/>
        <v>200016.40432469221</v>
      </c>
      <c r="Y41" s="462">
        <f t="shared" ca="1" si="26"/>
        <v>96898.471533556454</v>
      </c>
      <c r="Z41" s="463">
        <f t="shared" ca="1" si="26"/>
        <v>0</v>
      </c>
      <c r="AA41" s="463">
        <f t="shared" ca="1" si="26"/>
        <v>0</v>
      </c>
      <c r="AB41" s="485">
        <f t="shared" ca="1" si="26"/>
        <v>0</v>
      </c>
      <c r="AC41" s="485">
        <f t="shared" ca="1" si="26"/>
        <v>31510.721971180916</v>
      </c>
      <c r="AD41" s="485">
        <f t="shared" ca="1" si="26"/>
        <v>0</v>
      </c>
      <c r="AE41" s="490">
        <f t="shared" ca="1" si="20"/>
        <v>128409.19350473737</v>
      </c>
      <c r="AF41" s="462">
        <f t="shared" ca="1" si="27"/>
        <v>94044.596241787716</v>
      </c>
      <c r="AG41" s="463">
        <f t="shared" ca="1" si="27"/>
        <v>0</v>
      </c>
      <c r="AH41" s="463">
        <f t="shared" ca="1" si="27"/>
        <v>0</v>
      </c>
      <c r="AI41" s="485">
        <f t="shared" ca="1" si="27"/>
        <v>0</v>
      </c>
      <c r="AJ41" s="485">
        <f t="shared" ca="1" si="27"/>
        <v>31582.039993165756</v>
      </c>
      <c r="AK41" s="485">
        <f t="shared" ca="1" si="27"/>
        <v>0</v>
      </c>
      <c r="AL41" s="490">
        <f t="shared" ca="1" si="21"/>
        <v>125626.63623495348</v>
      </c>
      <c r="AM41" s="494">
        <f t="shared" ca="1" si="22"/>
        <v>798816.25036567426</v>
      </c>
    </row>
    <row r="42" spans="2:39" ht="32">
      <c r="B42" s="200">
        <v>18</v>
      </c>
      <c r="C42" s="471" t="str">
        <f>Buget_sumar_MDL!C42</f>
        <v xml:space="preserve">6.6.  Protecția socială, reducerea sărăciei și acțiuni asupra altor factori determinanți ai TB, inclusiv printre migranți si deținuți </v>
      </c>
      <c r="D42" s="462">
        <f t="shared" ca="1" si="23"/>
        <v>0</v>
      </c>
      <c r="E42" s="463">
        <f t="shared" ca="1" si="23"/>
        <v>0</v>
      </c>
      <c r="F42" s="463">
        <f t="shared" ca="1" si="23"/>
        <v>0</v>
      </c>
      <c r="G42" s="485">
        <f t="shared" ca="1" si="23"/>
        <v>22384.483474730801</v>
      </c>
      <c r="H42" s="485">
        <f t="shared" ca="1" si="23"/>
        <v>0</v>
      </c>
      <c r="I42" s="485">
        <f t="shared" ca="1" si="23"/>
        <v>0</v>
      </c>
      <c r="J42" s="490">
        <f t="shared" ca="1" si="17"/>
        <v>22384.483474730801</v>
      </c>
      <c r="K42" s="487">
        <f t="shared" ca="1" si="24"/>
        <v>0</v>
      </c>
      <c r="L42" s="463">
        <f t="shared" ca="1" si="24"/>
        <v>0</v>
      </c>
      <c r="M42" s="463">
        <f t="shared" ca="1" si="24"/>
        <v>0</v>
      </c>
      <c r="N42" s="485">
        <f t="shared" ca="1" si="24"/>
        <v>19968.586021403738</v>
      </c>
      <c r="O42" s="485">
        <f t="shared" ca="1" si="24"/>
        <v>0</v>
      </c>
      <c r="P42" s="485">
        <f t="shared" ca="1" si="24"/>
        <v>0</v>
      </c>
      <c r="Q42" s="490">
        <f t="shared" ca="1" si="18"/>
        <v>19968.586021403738</v>
      </c>
      <c r="R42" s="462">
        <f t="shared" ca="1" si="25"/>
        <v>0</v>
      </c>
      <c r="S42" s="463">
        <f t="shared" ca="1" si="25"/>
        <v>0</v>
      </c>
      <c r="T42" s="463">
        <f t="shared" ca="1" si="25"/>
        <v>0</v>
      </c>
      <c r="U42" s="485">
        <f t="shared" ca="1" si="25"/>
        <v>19646.336049009253</v>
      </c>
      <c r="V42" s="485">
        <f t="shared" ca="1" si="25"/>
        <v>0</v>
      </c>
      <c r="W42" s="485">
        <f t="shared" ca="1" si="25"/>
        <v>0</v>
      </c>
      <c r="X42" s="490">
        <f t="shared" ca="1" si="19"/>
        <v>19646.336049009253</v>
      </c>
      <c r="Y42" s="462">
        <f t="shared" ca="1" si="26"/>
        <v>0</v>
      </c>
      <c r="Z42" s="463">
        <f t="shared" ca="1" si="26"/>
        <v>0</v>
      </c>
      <c r="AA42" s="463">
        <f t="shared" ca="1" si="26"/>
        <v>0</v>
      </c>
      <c r="AB42" s="485">
        <f t="shared" ca="1" si="26"/>
        <v>0</v>
      </c>
      <c r="AC42" s="485">
        <f t="shared" ca="1" si="26"/>
        <v>0</v>
      </c>
      <c r="AD42" s="485">
        <f t="shared" ca="1" si="26"/>
        <v>0</v>
      </c>
      <c r="AE42" s="490">
        <f t="shared" ca="1" si="20"/>
        <v>0</v>
      </c>
      <c r="AF42" s="462">
        <f t="shared" ca="1" si="27"/>
        <v>0</v>
      </c>
      <c r="AG42" s="463">
        <f t="shared" ca="1" si="27"/>
        <v>0</v>
      </c>
      <c r="AH42" s="463">
        <f t="shared" ca="1" si="27"/>
        <v>0</v>
      </c>
      <c r="AI42" s="485">
        <f t="shared" ca="1" si="27"/>
        <v>0</v>
      </c>
      <c r="AJ42" s="485">
        <f t="shared" ca="1" si="27"/>
        <v>0</v>
      </c>
      <c r="AK42" s="485">
        <f t="shared" ca="1" si="27"/>
        <v>0</v>
      </c>
      <c r="AL42" s="490">
        <f t="shared" ca="1" si="21"/>
        <v>0</v>
      </c>
      <c r="AM42" s="494">
        <f t="shared" ca="1" si="22"/>
        <v>61999.405545143796</v>
      </c>
    </row>
    <row r="43" spans="2:39" ht="48">
      <c r="B43" s="200">
        <v>19</v>
      </c>
      <c r="C43" s="471" t="str">
        <f>Buget_sumar_MDL!C43</f>
        <v>6.7.  Realizarea Strategiei de pledoarie, comunicare și mobilizare socială în controlul TB, inclusiv prin reducerea stigmei și discriminării, cu alocarea resurselor necesare</v>
      </c>
      <c r="D43" s="462">
        <f t="shared" ca="1" si="23"/>
        <v>0</v>
      </c>
      <c r="E43" s="463">
        <f t="shared" ca="1" si="23"/>
        <v>0</v>
      </c>
      <c r="F43" s="463">
        <f t="shared" ca="1" si="23"/>
        <v>0</v>
      </c>
      <c r="G43" s="485">
        <f t="shared" ca="1" si="23"/>
        <v>14227.028047252486</v>
      </c>
      <c r="H43" s="485">
        <f t="shared" ca="1" si="23"/>
        <v>0</v>
      </c>
      <c r="I43" s="485">
        <f t="shared" ca="1" si="23"/>
        <v>0</v>
      </c>
      <c r="J43" s="490">
        <f t="shared" ca="1" si="17"/>
        <v>14227.028047252486</v>
      </c>
      <c r="K43" s="487">
        <f t="shared" ca="1" si="24"/>
        <v>0</v>
      </c>
      <c r="L43" s="463">
        <f t="shared" ca="1" si="24"/>
        <v>0</v>
      </c>
      <c r="M43" s="463">
        <f t="shared" ca="1" si="24"/>
        <v>0</v>
      </c>
      <c r="N43" s="485">
        <f t="shared" ca="1" si="24"/>
        <v>8863.3799961201967</v>
      </c>
      <c r="O43" s="485">
        <f t="shared" ca="1" si="24"/>
        <v>0</v>
      </c>
      <c r="P43" s="485">
        <f t="shared" ca="1" si="24"/>
        <v>0</v>
      </c>
      <c r="Q43" s="490">
        <f t="shared" ca="1" si="18"/>
        <v>8863.3799961201967</v>
      </c>
      <c r="R43" s="462">
        <f t="shared" ca="1" si="25"/>
        <v>0</v>
      </c>
      <c r="S43" s="463">
        <f t="shared" ca="1" si="25"/>
        <v>0</v>
      </c>
      <c r="T43" s="463">
        <f t="shared" ca="1" si="25"/>
        <v>0</v>
      </c>
      <c r="U43" s="485">
        <f t="shared" ca="1" si="25"/>
        <v>6950.0771553077775</v>
      </c>
      <c r="V43" s="485">
        <f t="shared" ca="1" si="25"/>
        <v>0</v>
      </c>
      <c r="W43" s="485">
        <f t="shared" ca="1" si="25"/>
        <v>0</v>
      </c>
      <c r="X43" s="490">
        <f t="shared" ca="1" si="19"/>
        <v>6950.0771553077775</v>
      </c>
      <c r="Y43" s="462">
        <f t="shared" ca="1" si="26"/>
        <v>0</v>
      </c>
      <c r="Z43" s="463">
        <f t="shared" ca="1" si="26"/>
        <v>0</v>
      </c>
      <c r="AA43" s="463">
        <f t="shared" ca="1" si="26"/>
        <v>0</v>
      </c>
      <c r="AB43" s="485">
        <f t="shared" ca="1" si="26"/>
        <v>0</v>
      </c>
      <c r="AC43" s="485">
        <f t="shared" ca="1" si="26"/>
        <v>0</v>
      </c>
      <c r="AD43" s="485">
        <f t="shared" ca="1" si="26"/>
        <v>0</v>
      </c>
      <c r="AE43" s="490">
        <f t="shared" ca="1" si="20"/>
        <v>0</v>
      </c>
      <c r="AF43" s="462">
        <f t="shared" ca="1" si="27"/>
        <v>0</v>
      </c>
      <c r="AG43" s="463">
        <f t="shared" ca="1" si="27"/>
        <v>0</v>
      </c>
      <c r="AH43" s="463">
        <f t="shared" ca="1" si="27"/>
        <v>0</v>
      </c>
      <c r="AI43" s="485">
        <f t="shared" ca="1" si="27"/>
        <v>0</v>
      </c>
      <c r="AJ43" s="485">
        <f t="shared" ca="1" si="27"/>
        <v>0</v>
      </c>
      <c r="AK43" s="485">
        <f t="shared" ca="1" si="27"/>
        <v>0</v>
      </c>
      <c r="AL43" s="490">
        <f t="shared" ca="1" si="21"/>
        <v>0</v>
      </c>
      <c r="AM43" s="494">
        <f t="shared" ca="1" si="22"/>
        <v>30040.485198680464</v>
      </c>
    </row>
    <row r="44" spans="2:39" ht="16">
      <c r="B44" s="200">
        <v>20</v>
      </c>
      <c r="C44" s="471" t="str">
        <f>Buget_sumar_MDL!C44</f>
        <v>7.1.  Efectuarea cercetărilor științifice aplicative</v>
      </c>
      <c r="D44" s="462">
        <f t="shared" ca="1" si="23"/>
        <v>0</v>
      </c>
      <c r="E44" s="463">
        <f t="shared" ca="1" si="23"/>
        <v>111529.02543289444</v>
      </c>
      <c r="F44" s="463">
        <f t="shared" ca="1" si="23"/>
        <v>0</v>
      </c>
      <c r="G44" s="485">
        <f t="shared" ca="1" si="23"/>
        <v>0</v>
      </c>
      <c r="H44" s="485">
        <f t="shared" ca="1" si="23"/>
        <v>0</v>
      </c>
      <c r="I44" s="485">
        <f t="shared" ca="1" si="23"/>
        <v>0</v>
      </c>
      <c r="J44" s="490">
        <f t="shared" ca="1" si="17"/>
        <v>111529.02543289444</v>
      </c>
      <c r="K44" s="487">
        <f t="shared" ca="1" si="24"/>
        <v>0</v>
      </c>
      <c r="L44" s="463">
        <f t="shared" ca="1" si="24"/>
        <v>123525.94584488744</v>
      </c>
      <c r="M44" s="463">
        <f t="shared" ca="1" si="24"/>
        <v>0</v>
      </c>
      <c r="N44" s="485">
        <f t="shared" ca="1" si="24"/>
        <v>0</v>
      </c>
      <c r="O44" s="485">
        <f t="shared" ca="1" si="24"/>
        <v>0</v>
      </c>
      <c r="P44" s="485">
        <f t="shared" ca="1" si="24"/>
        <v>0</v>
      </c>
      <c r="Q44" s="490">
        <f t="shared" ca="1" si="18"/>
        <v>123525.94584488744</v>
      </c>
      <c r="R44" s="462">
        <f t="shared" ca="1" si="25"/>
        <v>0</v>
      </c>
      <c r="S44" s="463">
        <f t="shared" ca="1" si="25"/>
        <v>133778.68699465159</v>
      </c>
      <c r="T44" s="463">
        <f t="shared" ca="1" si="25"/>
        <v>0</v>
      </c>
      <c r="U44" s="485">
        <f t="shared" ca="1" si="25"/>
        <v>0</v>
      </c>
      <c r="V44" s="485">
        <f t="shared" ca="1" si="25"/>
        <v>0</v>
      </c>
      <c r="W44" s="485">
        <f t="shared" ca="1" si="25"/>
        <v>0</v>
      </c>
      <c r="X44" s="490">
        <f t="shared" ca="1" si="19"/>
        <v>133778.68699465159</v>
      </c>
      <c r="Y44" s="462">
        <f t="shared" ca="1" si="26"/>
        <v>0</v>
      </c>
      <c r="Z44" s="463">
        <f t="shared" ca="1" si="26"/>
        <v>145419.21984755641</v>
      </c>
      <c r="AA44" s="463">
        <f t="shared" ca="1" si="26"/>
        <v>0</v>
      </c>
      <c r="AB44" s="485">
        <f t="shared" ca="1" si="26"/>
        <v>0</v>
      </c>
      <c r="AC44" s="485">
        <f t="shared" ca="1" si="26"/>
        <v>0</v>
      </c>
      <c r="AD44" s="485">
        <f t="shared" ca="1" si="26"/>
        <v>0</v>
      </c>
      <c r="AE44" s="490">
        <f t="shared" ca="1" si="20"/>
        <v>145419.21984755641</v>
      </c>
      <c r="AF44" s="462">
        <f t="shared" ca="1" si="27"/>
        <v>0</v>
      </c>
      <c r="AG44" s="463">
        <f t="shared" ca="1" si="27"/>
        <v>156766.70367954104</v>
      </c>
      <c r="AH44" s="463">
        <f t="shared" ca="1" si="27"/>
        <v>0</v>
      </c>
      <c r="AI44" s="485">
        <f t="shared" ca="1" si="27"/>
        <v>0</v>
      </c>
      <c r="AJ44" s="485">
        <f t="shared" ca="1" si="27"/>
        <v>0</v>
      </c>
      <c r="AK44" s="485">
        <f t="shared" ca="1" si="27"/>
        <v>0</v>
      </c>
      <c r="AL44" s="490">
        <f t="shared" ca="1" si="21"/>
        <v>156766.70367954104</v>
      </c>
      <c r="AM44" s="494">
        <f t="shared" ca="1" si="22"/>
        <v>671019.58179953089</v>
      </c>
    </row>
    <row r="45" spans="2:39" ht="16">
      <c r="B45" s="200">
        <v>21</v>
      </c>
      <c r="C45" s="471" t="str">
        <f>Buget_sumar_MDL!C45</f>
        <v>7.2.  Realizarea studiilor operaționale</v>
      </c>
      <c r="D45" s="462">
        <f t="shared" ref="D45:I54" ca="1" si="28">SUMIFS(_2021_Total,Buget_detal_sursa,D$24,Buget_detal_dir_act,$C45)/EUR</f>
        <v>0</v>
      </c>
      <c r="E45" s="463">
        <f t="shared" ca="1" si="28"/>
        <v>0</v>
      </c>
      <c r="F45" s="463">
        <f t="shared" ca="1" si="28"/>
        <v>0</v>
      </c>
      <c r="G45" s="485">
        <f t="shared" ca="1" si="28"/>
        <v>28471.768464470519</v>
      </c>
      <c r="H45" s="485">
        <f t="shared" ca="1" si="28"/>
        <v>0</v>
      </c>
      <c r="I45" s="485">
        <f t="shared" ca="1" si="28"/>
        <v>0</v>
      </c>
      <c r="J45" s="490">
        <f t="shared" ca="1" si="17"/>
        <v>28471.768464470519</v>
      </c>
      <c r="K45" s="487">
        <f t="shared" ref="K45:P54" ca="1" si="29">SUMIFS(_2022_Total,Buget_detal_sursa,K$24,Buget_detal_dir_act,$C45)/EUR</f>
        <v>0</v>
      </c>
      <c r="L45" s="463">
        <f t="shared" ca="1" si="29"/>
        <v>0</v>
      </c>
      <c r="M45" s="463">
        <f t="shared" ca="1" si="29"/>
        <v>0</v>
      </c>
      <c r="N45" s="485">
        <f t="shared" ca="1" si="29"/>
        <v>13044.783403855845</v>
      </c>
      <c r="O45" s="485">
        <f t="shared" ca="1" si="29"/>
        <v>0</v>
      </c>
      <c r="P45" s="485">
        <f t="shared" ca="1" si="29"/>
        <v>0</v>
      </c>
      <c r="Q45" s="490">
        <f t="shared" ca="1" si="18"/>
        <v>13044.783403855845</v>
      </c>
      <c r="R45" s="462">
        <f t="shared" ref="R45:W54" ca="1" si="30">SUMIFS(_2023_Total,Buget_detal_sursa,R$24,Buget_detal_dir_act,$C45)/EUR</f>
        <v>0</v>
      </c>
      <c r="S45" s="463">
        <f t="shared" ca="1" si="30"/>
        <v>0</v>
      </c>
      <c r="T45" s="463">
        <f t="shared" ca="1" si="30"/>
        <v>0</v>
      </c>
      <c r="U45" s="485">
        <f t="shared" ca="1" si="30"/>
        <v>13044.783403855845</v>
      </c>
      <c r="V45" s="485">
        <f t="shared" ca="1" si="30"/>
        <v>0</v>
      </c>
      <c r="W45" s="485">
        <f t="shared" ca="1" si="30"/>
        <v>0</v>
      </c>
      <c r="X45" s="490">
        <f t="shared" ca="1" si="19"/>
        <v>13044.783403855845</v>
      </c>
      <c r="Y45" s="462">
        <f t="shared" ref="Y45:AD54" ca="1" si="31">SUMIFS(_2024_Total,Buget_detal_sursa,Y$24,Buget_detal_dir_act,$C45)/EUR</f>
        <v>0</v>
      </c>
      <c r="Z45" s="463">
        <f t="shared" ca="1" si="31"/>
        <v>0</v>
      </c>
      <c r="AA45" s="463">
        <f t="shared" ca="1" si="31"/>
        <v>0</v>
      </c>
      <c r="AB45" s="485">
        <f t="shared" ca="1" si="31"/>
        <v>0</v>
      </c>
      <c r="AC45" s="485">
        <f t="shared" ca="1" si="31"/>
        <v>0</v>
      </c>
      <c r="AD45" s="485">
        <f t="shared" ca="1" si="31"/>
        <v>0</v>
      </c>
      <c r="AE45" s="490">
        <f t="shared" ca="1" si="20"/>
        <v>0</v>
      </c>
      <c r="AF45" s="462">
        <f t="shared" ref="AF45:AK54" ca="1" si="32">SUMIFS(_2025_Total,Buget_detal_sursa,AF$24,Buget_detal_dir_act,$C45)/EUR</f>
        <v>13044.783403855845</v>
      </c>
      <c r="AG45" s="463">
        <f t="shared" ca="1" si="32"/>
        <v>0</v>
      </c>
      <c r="AH45" s="463">
        <f t="shared" ca="1" si="32"/>
        <v>0</v>
      </c>
      <c r="AI45" s="485">
        <f t="shared" ca="1" si="32"/>
        <v>0</v>
      </c>
      <c r="AJ45" s="485">
        <f t="shared" ca="1" si="32"/>
        <v>0</v>
      </c>
      <c r="AK45" s="485">
        <f t="shared" ca="1" si="32"/>
        <v>0</v>
      </c>
      <c r="AL45" s="490">
        <f t="shared" ca="1" si="21"/>
        <v>13044.783403855845</v>
      </c>
      <c r="AM45" s="494">
        <f t="shared" ca="1" si="22"/>
        <v>67606.118676038051</v>
      </c>
    </row>
    <row r="46" spans="2:39" ht="16">
      <c r="B46" s="200">
        <v>22</v>
      </c>
      <c r="C46" s="471" t="str">
        <f>Buget_sumar_MDL!C46</f>
        <v/>
      </c>
      <c r="D46" s="462">
        <f t="shared" ca="1" si="28"/>
        <v>0</v>
      </c>
      <c r="E46" s="463">
        <f t="shared" ca="1" si="28"/>
        <v>0</v>
      </c>
      <c r="F46" s="463">
        <f t="shared" ca="1" si="28"/>
        <v>0</v>
      </c>
      <c r="G46" s="485">
        <f t="shared" ca="1" si="28"/>
        <v>0</v>
      </c>
      <c r="H46" s="485">
        <f t="shared" ca="1" si="28"/>
        <v>0</v>
      </c>
      <c r="I46" s="485">
        <f t="shared" ca="1" si="28"/>
        <v>0</v>
      </c>
      <c r="J46" s="490">
        <f t="shared" ca="1" si="17"/>
        <v>0</v>
      </c>
      <c r="K46" s="487">
        <f t="shared" ca="1" si="29"/>
        <v>0</v>
      </c>
      <c r="L46" s="463">
        <f t="shared" ca="1" si="29"/>
        <v>0</v>
      </c>
      <c r="M46" s="463">
        <f t="shared" ca="1" si="29"/>
        <v>0</v>
      </c>
      <c r="N46" s="485">
        <f t="shared" ca="1" si="29"/>
        <v>0</v>
      </c>
      <c r="O46" s="485">
        <f t="shared" ca="1" si="29"/>
        <v>0</v>
      </c>
      <c r="P46" s="485">
        <f t="shared" ca="1" si="29"/>
        <v>0</v>
      </c>
      <c r="Q46" s="490">
        <f t="shared" ca="1" si="18"/>
        <v>0</v>
      </c>
      <c r="R46" s="462">
        <f t="shared" ca="1" si="30"/>
        <v>0</v>
      </c>
      <c r="S46" s="463">
        <f t="shared" ca="1" si="30"/>
        <v>0</v>
      </c>
      <c r="T46" s="463">
        <f t="shared" ca="1" si="30"/>
        <v>0</v>
      </c>
      <c r="U46" s="485">
        <f t="shared" ca="1" si="30"/>
        <v>0</v>
      </c>
      <c r="V46" s="485">
        <f t="shared" ca="1" si="30"/>
        <v>0</v>
      </c>
      <c r="W46" s="485">
        <f t="shared" ca="1" si="30"/>
        <v>0</v>
      </c>
      <c r="X46" s="490">
        <f t="shared" ca="1" si="19"/>
        <v>0</v>
      </c>
      <c r="Y46" s="462">
        <f t="shared" ca="1" si="31"/>
        <v>0</v>
      </c>
      <c r="Z46" s="463">
        <f t="shared" ca="1" si="31"/>
        <v>0</v>
      </c>
      <c r="AA46" s="463">
        <f t="shared" ca="1" si="31"/>
        <v>0</v>
      </c>
      <c r="AB46" s="485">
        <f t="shared" ca="1" si="31"/>
        <v>0</v>
      </c>
      <c r="AC46" s="485">
        <f t="shared" ca="1" si="31"/>
        <v>0</v>
      </c>
      <c r="AD46" s="485">
        <f t="shared" ca="1" si="31"/>
        <v>0</v>
      </c>
      <c r="AE46" s="490">
        <f t="shared" ca="1" si="20"/>
        <v>0</v>
      </c>
      <c r="AF46" s="462">
        <f t="shared" ca="1" si="32"/>
        <v>0</v>
      </c>
      <c r="AG46" s="463">
        <f t="shared" ca="1" si="32"/>
        <v>0</v>
      </c>
      <c r="AH46" s="463">
        <f t="shared" ca="1" si="32"/>
        <v>0</v>
      </c>
      <c r="AI46" s="485">
        <f t="shared" ca="1" si="32"/>
        <v>0</v>
      </c>
      <c r="AJ46" s="485">
        <f t="shared" ca="1" si="32"/>
        <v>0</v>
      </c>
      <c r="AK46" s="485">
        <f t="shared" ca="1" si="32"/>
        <v>0</v>
      </c>
      <c r="AL46" s="490">
        <f t="shared" ca="1" si="21"/>
        <v>0</v>
      </c>
      <c r="AM46" s="494">
        <f t="shared" ca="1" si="22"/>
        <v>0</v>
      </c>
    </row>
    <row r="47" spans="2:39" ht="16">
      <c r="B47" s="200">
        <v>23</v>
      </c>
      <c r="C47" s="471" t="str">
        <f>Buget_sumar_MDL!C47</f>
        <v/>
      </c>
      <c r="D47" s="462">
        <f t="shared" ca="1" si="28"/>
        <v>0</v>
      </c>
      <c r="E47" s="463">
        <f t="shared" ca="1" si="28"/>
        <v>0</v>
      </c>
      <c r="F47" s="463">
        <f t="shared" ca="1" si="28"/>
        <v>0</v>
      </c>
      <c r="G47" s="485">
        <f t="shared" ca="1" si="28"/>
        <v>0</v>
      </c>
      <c r="H47" s="485">
        <f t="shared" ca="1" si="28"/>
        <v>0</v>
      </c>
      <c r="I47" s="485">
        <f t="shared" ca="1" si="28"/>
        <v>0</v>
      </c>
      <c r="J47" s="490">
        <f t="shared" ca="1" si="17"/>
        <v>0</v>
      </c>
      <c r="K47" s="487">
        <f t="shared" ca="1" si="29"/>
        <v>0</v>
      </c>
      <c r="L47" s="463">
        <f t="shared" ca="1" si="29"/>
        <v>0</v>
      </c>
      <c r="M47" s="463">
        <f t="shared" ca="1" si="29"/>
        <v>0</v>
      </c>
      <c r="N47" s="485">
        <f t="shared" ca="1" si="29"/>
        <v>0</v>
      </c>
      <c r="O47" s="485">
        <f t="shared" ca="1" si="29"/>
        <v>0</v>
      </c>
      <c r="P47" s="485">
        <f t="shared" ca="1" si="29"/>
        <v>0</v>
      </c>
      <c r="Q47" s="490">
        <f t="shared" ca="1" si="18"/>
        <v>0</v>
      </c>
      <c r="R47" s="462">
        <f t="shared" ca="1" si="30"/>
        <v>0</v>
      </c>
      <c r="S47" s="463">
        <f t="shared" ca="1" si="30"/>
        <v>0</v>
      </c>
      <c r="T47" s="463">
        <f t="shared" ca="1" si="30"/>
        <v>0</v>
      </c>
      <c r="U47" s="485">
        <f t="shared" ca="1" si="30"/>
        <v>0</v>
      </c>
      <c r="V47" s="485">
        <f t="shared" ca="1" si="30"/>
        <v>0</v>
      </c>
      <c r="W47" s="485">
        <f t="shared" ca="1" si="30"/>
        <v>0</v>
      </c>
      <c r="X47" s="490">
        <f t="shared" ca="1" si="19"/>
        <v>0</v>
      </c>
      <c r="Y47" s="462">
        <f t="shared" ca="1" si="31"/>
        <v>0</v>
      </c>
      <c r="Z47" s="463">
        <f t="shared" ca="1" si="31"/>
        <v>0</v>
      </c>
      <c r="AA47" s="463">
        <f t="shared" ca="1" si="31"/>
        <v>0</v>
      </c>
      <c r="AB47" s="485">
        <f t="shared" ca="1" si="31"/>
        <v>0</v>
      </c>
      <c r="AC47" s="485">
        <f t="shared" ca="1" si="31"/>
        <v>0</v>
      </c>
      <c r="AD47" s="485">
        <f t="shared" ca="1" si="31"/>
        <v>0</v>
      </c>
      <c r="AE47" s="490">
        <f t="shared" ca="1" si="20"/>
        <v>0</v>
      </c>
      <c r="AF47" s="462">
        <f t="shared" ca="1" si="32"/>
        <v>0</v>
      </c>
      <c r="AG47" s="463">
        <f t="shared" ca="1" si="32"/>
        <v>0</v>
      </c>
      <c r="AH47" s="463">
        <f t="shared" ca="1" si="32"/>
        <v>0</v>
      </c>
      <c r="AI47" s="485">
        <f t="shared" ca="1" si="32"/>
        <v>0</v>
      </c>
      <c r="AJ47" s="485">
        <f t="shared" ca="1" si="32"/>
        <v>0</v>
      </c>
      <c r="AK47" s="485">
        <f t="shared" ca="1" si="32"/>
        <v>0</v>
      </c>
      <c r="AL47" s="490">
        <f t="shared" ca="1" si="21"/>
        <v>0</v>
      </c>
      <c r="AM47" s="494">
        <f t="shared" ca="1" si="22"/>
        <v>0</v>
      </c>
    </row>
    <row r="48" spans="2:39" ht="16">
      <c r="B48" s="200">
        <v>24</v>
      </c>
      <c r="C48" s="471" t="str">
        <f>Buget_sumar_MDL!C48</f>
        <v/>
      </c>
      <c r="D48" s="462">
        <f t="shared" ca="1" si="28"/>
        <v>0</v>
      </c>
      <c r="E48" s="463">
        <f t="shared" ca="1" si="28"/>
        <v>0</v>
      </c>
      <c r="F48" s="463">
        <f t="shared" ca="1" si="28"/>
        <v>0</v>
      </c>
      <c r="G48" s="485">
        <f t="shared" ca="1" si="28"/>
        <v>0</v>
      </c>
      <c r="H48" s="485">
        <f t="shared" ca="1" si="28"/>
        <v>0</v>
      </c>
      <c r="I48" s="485">
        <f t="shared" ca="1" si="28"/>
        <v>0</v>
      </c>
      <c r="J48" s="490">
        <f t="shared" ca="1" si="17"/>
        <v>0</v>
      </c>
      <c r="K48" s="487">
        <f t="shared" ca="1" si="29"/>
        <v>0</v>
      </c>
      <c r="L48" s="463">
        <f t="shared" ca="1" si="29"/>
        <v>0</v>
      </c>
      <c r="M48" s="463">
        <f t="shared" ca="1" si="29"/>
        <v>0</v>
      </c>
      <c r="N48" s="485">
        <f t="shared" ca="1" si="29"/>
        <v>0</v>
      </c>
      <c r="O48" s="485">
        <f t="shared" ca="1" si="29"/>
        <v>0</v>
      </c>
      <c r="P48" s="485">
        <f t="shared" ca="1" si="29"/>
        <v>0</v>
      </c>
      <c r="Q48" s="490">
        <f t="shared" ca="1" si="18"/>
        <v>0</v>
      </c>
      <c r="R48" s="462">
        <f t="shared" ca="1" si="30"/>
        <v>0</v>
      </c>
      <c r="S48" s="463">
        <f t="shared" ca="1" si="30"/>
        <v>0</v>
      </c>
      <c r="T48" s="463">
        <f t="shared" ca="1" si="30"/>
        <v>0</v>
      </c>
      <c r="U48" s="485">
        <f t="shared" ca="1" si="30"/>
        <v>0</v>
      </c>
      <c r="V48" s="485">
        <f t="shared" ca="1" si="30"/>
        <v>0</v>
      </c>
      <c r="W48" s="485">
        <f t="shared" ca="1" si="30"/>
        <v>0</v>
      </c>
      <c r="X48" s="490">
        <f t="shared" ca="1" si="19"/>
        <v>0</v>
      </c>
      <c r="Y48" s="462">
        <f t="shared" ca="1" si="31"/>
        <v>0</v>
      </c>
      <c r="Z48" s="463">
        <f t="shared" ca="1" si="31"/>
        <v>0</v>
      </c>
      <c r="AA48" s="463">
        <f t="shared" ca="1" si="31"/>
        <v>0</v>
      </c>
      <c r="AB48" s="485">
        <f t="shared" ca="1" si="31"/>
        <v>0</v>
      </c>
      <c r="AC48" s="485">
        <f t="shared" ca="1" si="31"/>
        <v>0</v>
      </c>
      <c r="AD48" s="485">
        <f t="shared" ca="1" si="31"/>
        <v>0</v>
      </c>
      <c r="AE48" s="490">
        <f t="shared" ca="1" si="20"/>
        <v>0</v>
      </c>
      <c r="AF48" s="462">
        <f t="shared" ca="1" si="32"/>
        <v>0</v>
      </c>
      <c r="AG48" s="463">
        <f t="shared" ca="1" si="32"/>
        <v>0</v>
      </c>
      <c r="AH48" s="463">
        <f t="shared" ca="1" si="32"/>
        <v>0</v>
      </c>
      <c r="AI48" s="485">
        <f t="shared" ca="1" si="32"/>
        <v>0</v>
      </c>
      <c r="AJ48" s="485">
        <f t="shared" ca="1" si="32"/>
        <v>0</v>
      </c>
      <c r="AK48" s="485">
        <f t="shared" ca="1" si="32"/>
        <v>0</v>
      </c>
      <c r="AL48" s="490">
        <f t="shared" ca="1" si="21"/>
        <v>0</v>
      </c>
      <c r="AM48" s="494">
        <f t="shared" ca="1" si="22"/>
        <v>0</v>
      </c>
    </row>
    <row r="49" spans="1:46" ht="16">
      <c r="B49" s="200">
        <v>25</v>
      </c>
      <c r="C49" s="471" t="str">
        <f>Buget_sumar_MDL!C49</f>
        <v/>
      </c>
      <c r="D49" s="462">
        <f t="shared" ca="1" si="28"/>
        <v>0</v>
      </c>
      <c r="E49" s="463">
        <f t="shared" ca="1" si="28"/>
        <v>0</v>
      </c>
      <c r="F49" s="463">
        <f t="shared" ca="1" si="28"/>
        <v>0</v>
      </c>
      <c r="G49" s="485">
        <f t="shared" ca="1" si="28"/>
        <v>0</v>
      </c>
      <c r="H49" s="485">
        <f t="shared" ca="1" si="28"/>
        <v>0</v>
      </c>
      <c r="I49" s="485">
        <f t="shared" ca="1" si="28"/>
        <v>0</v>
      </c>
      <c r="J49" s="490">
        <f t="shared" ca="1" si="17"/>
        <v>0</v>
      </c>
      <c r="K49" s="487">
        <f t="shared" ca="1" si="29"/>
        <v>0</v>
      </c>
      <c r="L49" s="463">
        <f t="shared" ca="1" si="29"/>
        <v>0</v>
      </c>
      <c r="M49" s="463">
        <f t="shared" ca="1" si="29"/>
        <v>0</v>
      </c>
      <c r="N49" s="485">
        <f t="shared" ca="1" si="29"/>
        <v>0</v>
      </c>
      <c r="O49" s="485">
        <f t="shared" ca="1" si="29"/>
        <v>0</v>
      </c>
      <c r="P49" s="485">
        <f t="shared" ca="1" si="29"/>
        <v>0</v>
      </c>
      <c r="Q49" s="490">
        <f t="shared" ca="1" si="18"/>
        <v>0</v>
      </c>
      <c r="R49" s="462">
        <f t="shared" ca="1" si="30"/>
        <v>0</v>
      </c>
      <c r="S49" s="463">
        <f t="shared" ca="1" si="30"/>
        <v>0</v>
      </c>
      <c r="T49" s="463">
        <f t="shared" ca="1" si="30"/>
        <v>0</v>
      </c>
      <c r="U49" s="485">
        <f t="shared" ca="1" si="30"/>
        <v>0</v>
      </c>
      <c r="V49" s="485">
        <f t="shared" ca="1" si="30"/>
        <v>0</v>
      </c>
      <c r="W49" s="485">
        <f t="shared" ca="1" si="30"/>
        <v>0</v>
      </c>
      <c r="X49" s="490">
        <f t="shared" ca="1" si="19"/>
        <v>0</v>
      </c>
      <c r="Y49" s="462">
        <f t="shared" ca="1" si="31"/>
        <v>0</v>
      </c>
      <c r="Z49" s="463">
        <f t="shared" ca="1" si="31"/>
        <v>0</v>
      </c>
      <c r="AA49" s="463">
        <f t="shared" ca="1" si="31"/>
        <v>0</v>
      </c>
      <c r="AB49" s="485">
        <f t="shared" ca="1" si="31"/>
        <v>0</v>
      </c>
      <c r="AC49" s="485">
        <f t="shared" ca="1" si="31"/>
        <v>0</v>
      </c>
      <c r="AD49" s="485">
        <f t="shared" ca="1" si="31"/>
        <v>0</v>
      </c>
      <c r="AE49" s="490">
        <f t="shared" ca="1" si="20"/>
        <v>0</v>
      </c>
      <c r="AF49" s="462">
        <f t="shared" ca="1" si="32"/>
        <v>0</v>
      </c>
      <c r="AG49" s="463">
        <f t="shared" ca="1" si="32"/>
        <v>0</v>
      </c>
      <c r="AH49" s="463">
        <f t="shared" ca="1" si="32"/>
        <v>0</v>
      </c>
      <c r="AI49" s="485">
        <f t="shared" ca="1" si="32"/>
        <v>0</v>
      </c>
      <c r="AJ49" s="485">
        <f t="shared" ca="1" si="32"/>
        <v>0</v>
      </c>
      <c r="AK49" s="485">
        <f t="shared" ca="1" si="32"/>
        <v>0</v>
      </c>
      <c r="AL49" s="490">
        <f t="shared" ca="1" si="21"/>
        <v>0</v>
      </c>
      <c r="AM49" s="494">
        <f t="shared" ca="1" si="22"/>
        <v>0</v>
      </c>
    </row>
    <row r="50" spans="1:46" ht="16">
      <c r="B50" s="200">
        <v>26</v>
      </c>
      <c r="C50" s="471" t="str">
        <f>Buget_sumar_MDL!C50</f>
        <v/>
      </c>
      <c r="D50" s="462">
        <f t="shared" ca="1" si="28"/>
        <v>0</v>
      </c>
      <c r="E50" s="463">
        <f t="shared" ca="1" si="28"/>
        <v>0</v>
      </c>
      <c r="F50" s="463">
        <f t="shared" ca="1" si="28"/>
        <v>0</v>
      </c>
      <c r="G50" s="485">
        <f t="shared" ca="1" si="28"/>
        <v>0</v>
      </c>
      <c r="H50" s="485">
        <f t="shared" ca="1" si="28"/>
        <v>0</v>
      </c>
      <c r="I50" s="485">
        <f t="shared" ca="1" si="28"/>
        <v>0</v>
      </c>
      <c r="J50" s="490">
        <f t="shared" ca="1" si="17"/>
        <v>0</v>
      </c>
      <c r="K50" s="487">
        <f t="shared" ca="1" si="29"/>
        <v>0</v>
      </c>
      <c r="L50" s="463">
        <f t="shared" ca="1" si="29"/>
        <v>0</v>
      </c>
      <c r="M50" s="463">
        <f t="shared" ca="1" si="29"/>
        <v>0</v>
      </c>
      <c r="N50" s="485">
        <f t="shared" ca="1" si="29"/>
        <v>0</v>
      </c>
      <c r="O50" s="485">
        <f t="shared" ca="1" si="29"/>
        <v>0</v>
      </c>
      <c r="P50" s="485">
        <f t="shared" ca="1" si="29"/>
        <v>0</v>
      </c>
      <c r="Q50" s="490">
        <f t="shared" ca="1" si="18"/>
        <v>0</v>
      </c>
      <c r="R50" s="462">
        <f t="shared" ca="1" si="30"/>
        <v>0</v>
      </c>
      <c r="S50" s="463">
        <f t="shared" ca="1" si="30"/>
        <v>0</v>
      </c>
      <c r="T50" s="463">
        <f t="shared" ca="1" si="30"/>
        <v>0</v>
      </c>
      <c r="U50" s="485">
        <f t="shared" ca="1" si="30"/>
        <v>0</v>
      </c>
      <c r="V50" s="485">
        <f t="shared" ca="1" si="30"/>
        <v>0</v>
      </c>
      <c r="W50" s="485">
        <f t="shared" ca="1" si="30"/>
        <v>0</v>
      </c>
      <c r="X50" s="490">
        <f t="shared" ca="1" si="19"/>
        <v>0</v>
      </c>
      <c r="Y50" s="462">
        <f t="shared" ca="1" si="31"/>
        <v>0</v>
      </c>
      <c r="Z50" s="463">
        <f t="shared" ca="1" si="31"/>
        <v>0</v>
      </c>
      <c r="AA50" s="463">
        <f t="shared" ca="1" si="31"/>
        <v>0</v>
      </c>
      <c r="AB50" s="485">
        <f t="shared" ca="1" si="31"/>
        <v>0</v>
      </c>
      <c r="AC50" s="485">
        <f t="shared" ca="1" si="31"/>
        <v>0</v>
      </c>
      <c r="AD50" s="485">
        <f t="shared" ca="1" si="31"/>
        <v>0</v>
      </c>
      <c r="AE50" s="490">
        <f t="shared" ca="1" si="20"/>
        <v>0</v>
      </c>
      <c r="AF50" s="462">
        <f t="shared" ca="1" si="32"/>
        <v>0</v>
      </c>
      <c r="AG50" s="463">
        <f t="shared" ca="1" si="32"/>
        <v>0</v>
      </c>
      <c r="AH50" s="463">
        <f t="shared" ca="1" si="32"/>
        <v>0</v>
      </c>
      <c r="AI50" s="485">
        <f t="shared" ca="1" si="32"/>
        <v>0</v>
      </c>
      <c r="AJ50" s="485">
        <f t="shared" ca="1" si="32"/>
        <v>0</v>
      </c>
      <c r="AK50" s="485">
        <f t="shared" ca="1" si="32"/>
        <v>0</v>
      </c>
      <c r="AL50" s="490">
        <f t="shared" ca="1" si="21"/>
        <v>0</v>
      </c>
      <c r="AM50" s="494">
        <f t="shared" ca="1" si="22"/>
        <v>0</v>
      </c>
    </row>
    <row r="51" spans="1:46" ht="16">
      <c r="B51" s="200">
        <v>27</v>
      </c>
      <c r="C51" s="471" t="str">
        <f>Buget_sumar_MDL!C51</f>
        <v/>
      </c>
      <c r="D51" s="462">
        <f t="shared" ca="1" si="28"/>
        <v>0</v>
      </c>
      <c r="E51" s="463">
        <f t="shared" ca="1" si="28"/>
        <v>0</v>
      </c>
      <c r="F51" s="463">
        <f t="shared" ca="1" si="28"/>
        <v>0</v>
      </c>
      <c r="G51" s="485">
        <f t="shared" ca="1" si="28"/>
        <v>0</v>
      </c>
      <c r="H51" s="485">
        <f t="shared" ca="1" si="28"/>
        <v>0</v>
      </c>
      <c r="I51" s="485">
        <f t="shared" ca="1" si="28"/>
        <v>0</v>
      </c>
      <c r="J51" s="490">
        <f t="shared" ca="1" si="17"/>
        <v>0</v>
      </c>
      <c r="K51" s="487">
        <f t="shared" ca="1" si="29"/>
        <v>0</v>
      </c>
      <c r="L51" s="463">
        <f t="shared" ca="1" si="29"/>
        <v>0</v>
      </c>
      <c r="M51" s="463">
        <f t="shared" ca="1" si="29"/>
        <v>0</v>
      </c>
      <c r="N51" s="485">
        <f t="shared" ca="1" si="29"/>
        <v>0</v>
      </c>
      <c r="O51" s="485">
        <f t="shared" ca="1" si="29"/>
        <v>0</v>
      </c>
      <c r="P51" s="485">
        <f t="shared" ca="1" si="29"/>
        <v>0</v>
      </c>
      <c r="Q51" s="490">
        <f t="shared" ca="1" si="18"/>
        <v>0</v>
      </c>
      <c r="R51" s="462">
        <f t="shared" ca="1" si="30"/>
        <v>0</v>
      </c>
      <c r="S51" s="463">
        <f t="shared" ca="1" si="30"/>
        <v>0</v>
      </c>
      <c r="T51" s="463">
        <f t="shared" ca="1" si="30"/>
        <v>0</v>
      </c>
      <c r="U51" s="485">
        <f t="shared" ca="1" si="30"/>
        <v>0</v>
      </c>
      <c r="V51" s="485">
        <f t="shared" ca="1" si="30"/>
        <v>0</v>
      </c>
      <c r="W51" s="485">
        <f t="shared" ca="1" si="30"/>
        <v>0</v>
      </c>
      <c r="X51" s="490">
        <f t="shared" ca="1" si="19"/>
        <v>0</v>
      </c>
      <c r="Y51" s="462">
        <f t="shared" ca="1" si="31"/>
        <v>0</v>
      </c>
      <c r="Z51" s="463">
        <f t="shared" ca="1" si="31"/>
        <v>0</v>
      </c>
      <c r="AA51" s="463">
        <f t="shared" ca="1" si="31"/>
        <v>0</v>
      </c>
      <c r="AB51" s="485">
        <f t="shared" ca="1" si="31"/>
        <v>0</v>
      </c>
      <c r="AC51" s="485">
        <f t="shared" ca="1" si="31"/>
        <v>0</v>
      </c>
      <c r="AD51" s="485">
        <f t="shared" ca="1" si="31"/>
        <v>0</v>
      </c>
      <c r="AE51" s="490">
        <f t="shared" ca="1" si="20"/>
        <v>0</v>
      </c>
      <c r="AF51" s="462">
        <f t="shared" ca="1" si="32"/>
        <v>0</v>
      </c>
      <c r="AG51" s="463">
        <f t="shared" ca="1" si="32"/>
        <v>0</v>
      </c>
      <c r="AH51" s="463">
        <f t="shared" ca="1" si="32"/>
        <v>0</v>
      </c>
      <c r="AI51" s="485">
        <f t="shared" ca="1" si="32"/>
        <v>0</v>
      </c>
      <c r="AJ51" s="485">
        <f t="shared" ca="1" si="32"/>
        <v>0</v>
      </c>
      <c r="AK51" s="485">
        <f t="shared" ca="1" si="32"/>
        <v>0</v>
      </c>
      <c r="AL51" s="490">
        <f t="shared" ca="1" si="21"/>
        <v>0</v>
      </c>
      <c r="AM51" s="494">
        <f t="shared" ca="1" si="22"/>
        <v>0</v>
      </c>
    </row>
    <row r="52" spans="1:46" ht="16">
      <c r="B52" s="200">
        <v>28</v>
      </c>
      <c r="C52" s="471" t="str">
        <f>Buget_sumar_MDL!C52</f>
        <v/>
      </c>
      <c r="D52" s="462">
        <f t="shared" ca="1" si="28"/>
        <v>0</v>
      </c>
      <c r="E52" s="463">
        <f t="shared" ca="1" si="28"/>
        <v>0</v>
      </c>
      <c r="F52" s="463">
        <f t="shared" ca="1" si="28"/>
        <v>0</v>
      </c>
      <c r="G52" s="485">
        <f t="shared" ca="1" si="28"/>
        <v>0</v>
      </c>
      <c r="H52" s="485">
        <f t="shared" ca="1" si="28"/>
        <v>0</v>
      </c>
      <c r="I52" s="485">
        <f t="shared" ca="1" si="28"/>
        <v>0</v>
      </c>
      <c r="J52" s="490">
        <f t="shared" ca="1" si="17"/>
        <v>0</v>
      </c>
      <c r="K52" s="487">
        <f t="shared" ca="1" si="29"/>
        <v>0</v>
      </c>
      <c r="L52" s="463">
        <f t="shared" ca="1" si="29"/>
        <v>0</v>
      </c>
      <c r="M52" s="463">
        <f t="shared" ca="1" si="29"/>
        <v>0</v>
      </c>
      <c r="N52" s="485">
        <f t="shared" ca="1" si="29"/>
        <v>0</v>
      </c>
      <c r="O52" s="485">
        <f t="shared" ca="1" si="29"/>
        <v>0</v>
      </c>
      <c r="P52" s="485">
        <f t="shared" ca="1" si="29"/>
        <v>0</v>
      </c>
      <c r="Q52" s="490">
        <f t="shared" ca="1" si="18"/>
        <v>0</v>
      </c>
      <c r="R52" s="462">
        <f t="shared" ca="1" si="30"/>
        <v>0</v>
      </c>
      <c r="S52" s="463">
        <f t="shared" ca="1" si="30"/>
        <v>0</v>
      </c>
      <c r="T52" s="463">
        <f t="shared" ca="1" si="30"/>
        <v>0</v>
      </c>
      <c r="U52" s="485">
        <f t="shared" ca="1" si="30"/>
        <v>0</v>
      </c>
      <c r="V52" s="485">
        <f t="shared" ca="1" si="30"/>
        <v>0</v>
      </c>
      <c r="W52" s="485">
        <f t="shared" ca="1" si="30"/>
        <v>0</v>
      </c>
      <c r="X52" s="490">
        <f t="shared" ca="1" si="19"/>
        <v>0</v>
      </c>
      <c r="Y52" s="462">
        <f t="shared" ca="1" si="31"/>
        <v>0</v>
      </c>
      <c r="Z52" s="463">
        <f t="shared" ca="1" si="31"/>
        <v>0</v>
      </c>
      <c r="AA52" s="463">
        <f t="shared" ca="1" si="31"/>
        <v>0</v>
      </c>
      <c r="AB52" s="485">
        <f t="shared" ca="1" si="31"/>
        <v>0</v>
      </c>
      <c r="AC52" s="485">
        <f t="shared" ca="1" si="31"/>
        <v>0</v>
      </c>
      <c r="AD52" s="485">
        <f t="shared" ca="1" si="31"/>
        <v>0</v>
      </c>
      <c r="AE52" s="490">
        <f t="shared" ca="1" si="20"/>
        <v>0</v>
      </c>
      <c r="AF52" s="462">
        <f t="shared" ca="1" si="32"/>
        <v>0</v>
      </c>
      <c r="AG52" s="463">
        <f t="shared" ca="1" si="32"/>
        <v>0</v>
      </c>
      <c r="AH52" s="463">
        <f t="shared" ca="1" si="32"/>
        <v>0</v>
      </c>
      <c r="AI52" s="485">
        <f t="shared" ca="1" si="32"/>
        <v>0</v>
      </c>
      <c r="AJ52" s="485">
        <f t="shared" ca="1" si="32"/>
        <v>0</v>
      </c>
      <c r="AK52" s="485">
        <f t="shared" ca="1" si="32"/>
        <v>0</v>
      </c>
      <c r="AL52" s="490">
        <f t="shared" ca="1" si="21"/>
        <v>0</v>
      </c>
      <c r="AM52" s="494">
        <f t="shared" ca="1" si="22"/>
        <v>0</v>
      </c>
    </row>
    <row r="53" spans="1:46" ht="16">
      <c r="B53" s="200">
        <v>29</v>
      </c>
      <c r="C53" s="471" t="str">
        <f>Buget_sumar_MDL!C53</f>
        <v/>
      </c>
      <c r="D53" s="462">
        <f t="shared" ca="1" si="28"/>
        <v>0</v>
      </c>
      <c r="E53" s="463">
        <f t="shared" ca="1" si="28"/>
        <v>0</v>
      </c>
      <c r="F53" s="463">
        <f t="shared" ca="1" si="28"/>
        <v>0</v>
      </c>
      <c r="G53" s="485">
        <f t="shared" ca="1" si="28"/>
        <v>0</v>
      </c>
      <c r="H53" s="485">
        <f t="shared" ca="1" si="28"/>
        <v>0</v>
      </c>
      <c r="I53" s="485">
        <f t="shared" ca="1" si="28"/>
        <v>0</v>
      </c>
      <c r="J53" s="490">
        <f t="shared" ca="1" si="17"/>
        <v>0</v>
      </c>
      <c r="K53" s="487">
        <f t="shared" ca="1" si="29"/>
        <v>0</v>
      </c>
      <c r="L53" s="463">
        <f t="shared" ca="1" si="29"/>
        <v>0</v>
      </c>
      <c r="M53" s="463">
        <f t="shared" ca="1" si="29"/>
        <v>0</v>
      </c>
      <c r="N53" s="485">
        <f t="shared" ca="1" si="29"/>
        <v>0</v>
      </c>
      <c r="O53" s="485">
        <f t="shared" ca="1" si="29"/>
        <v>0</v>
      </c>
      <c r="P53" s="485">
        <f t="shared" ca="1" si="29"/>
        <v>0</v>
      </c>
      <c r="Q53" s="490">
        <f t="shared" ca="1" si="18"/>
        <v>0</v>
      </c>
      <c r="R53" s="462">
        <f t="shared" ca="1" si="30"/>
        <v>0</v>
      </c>
      <c r="S53" s="463">
        <f t="shared" ca="1" si="30"/>
        <v>0</v>
      </c>
      <c r="T53" s="463">
        <f t="shared" ca="1" si="30"/>
        <v>0</v>
      </c>
      <c r="U53" s="485">
        <f t="shared" ca="1" si="30"/>
        <v>0</v>
      </c>
      <c r="V53" s="485">
        <f t="shared" ca="1" si="30"/>
        <v>0</v>
      </c>
      <c r="W53" s="485">
        <f t="shared" ca="1" si="30"/>
        <v>0</v>
      </c>
      <c r="X53" s="490">
        <f t="shared" ca="1" si="19"/>
        <v>0</v>
      </c>
      <c r="Y53" s="462">
        <f t="shared" ca="1" si="31"/>
        <v>0</v>
      </c>
      <c r="Z53" s="463">
        <f t="shared" ca="1" si="31"/>
        <v>0</v>
      </c>
      <c r="AA53" s="463">
        <f t="shared" ca="1" si="31"/>
        <v>0</v>
      </c>
      <c r="AB53" s="485">
        <f t="shared" ca="1" si="31"/>
        <v>0</v>
      </c>
      <c r="AC53" s="485">
        <f t="shared" ca="1" si="31"/>
        <v>0</v>
      </c>
      <c r="AD53" s="485">
        <f t="shared" ca="1" si="31"/>
        <v>0</v>
      </c>
      <c r="AE53" s="490">
        <f t="shared" ca="1" si="20"/>
        <v>0</v>
      </c>
      <c r="AF53" s="462">
        <f t="shared" ca="1" si="32"/>
        <v>0</v>
      </c>
      <c r="AG53" s="463">
        <f t="shared" ca="1" si="32"/>
        <v>0</v>
      </c>
      <c r="AH53" s="463">
        <f t="shared" ca="1" si="32"/>
        <v>0</v>
      </c>
      <c r="AI53" s="485">
        <f t="shared" ca="1" si="32"/>
        <v>0</v>
      </c>
      <c r="AJ53" s="485">
        <f t="shared" ca="1" si="32"/>
        <v>0</v>
      </c>
      <c r="AK53" s="485">
        <f t="shared" ca="1" si="32"/>
        <v>0</v>
      </c>
      <c r="AL53" s="490">
        <f t="shared" ca="1" si="21"/>
        <v>0</v>
      </c>
      <c r="AM53" s="494">
        <f t="shared" ca="1" si="22"/>
        <v>0</v>
      </c>
    </row>
    <row r="54" spans="1:46" ht="17" thickBot="1">
      <c r="B54" s="472">
        <v>30</v>
      </c>
      <c r="C54" s="471" t="str">
        <f>Buget_sumar_MDL!C54</f>
        <v/>
      </c>
      <c r="D54" s="473">
        <f t="shared" ca="1" si="28"/>
        <v>0</v>
      </c>
      <c r="E54" s="474">
        <f t="shared" ca="1" si="28"/>
        <v>0</v>
      </c>
      <c r="F54" s="474">
        <f t="shared" ca="1" si="28"/>
        <v>0</v>
      </c>
      <c r="G54" s="492">
        <f t="shared" ca="1" si="28"/>
        <v>0</v>
      </c>
      <c r="H54" s="492">
        <f t="shared" ca="1" si="28"/>
        <v>0</v>
      </c>
      <c r="I54" s="492">
        <f t="shared" ca="1" si="28"/>
        <v>0</v>
      </c>
      <c r="J54" s="490">
        <f t="shared" ca="1" si="17"/>
        <v>0</v>
      </c>
      <c r="K54" s="493">
        <f t="shared" ca="1" si="29"/>
        <v>0</v>
      </c>
      <c r="L54" s="474">
        <f t="shared" ca="1" si="29"/>
        <v>0</v>
      </c>
      <c r="M54" s="474">
        <f t="shared" ca="1" si="29"/>
        <v>0</v>
      </c>
      <c r="N54" s="492">
        <f t="shared" ca="1" si="29"/>
        <v>0</v>
      </c>
      <c r="O54" s="492">
        <f t="shared" ca="1" si="29"/>
        <v>0</v>
      </c>
      <c r="P54" s="492">
        <f t="shared" ca="1" si="29"/>
        <v>0</v>
      </c>
      <c r="Q54" s="490">
        <f t="shared" ca="1" si="18"/>
        <v>0</v>
      </c>
      <c r="R54" s="473">
        <f t="shared" ca="1" si="30"/>
        <v>0</v>
      </c>
      <c r="S54" s="474">
        <f t="shared" ca="1" si="30"/>
        <v>0</v>
      </c>
      <c r="T54" s="474">
        <f t="shared" ca="1" si="30"/>
        <v>0</v>
      </c>
      <c r="U54" s="492">
        <f t="shared" ca="1" si="30"/>
        <v>0</v>
      </c>
      <c r="V54" s="492">
        <f t="shared" ca="1" si="30"/>
        <v>0</v>
      </c>
      <c r="W54" s="492">
        <f t="shared" ca="1" si="30"/>
        <v>0</v>
      </c>
      <c r="X54" s="490">
        <f t="shared" ca="1" si="19"/>
        <v>0</v>
      </c>
      <c r="Y54" s="473">
        <f t="shared" ca="1" si="31"/>
        <v>0</v>
      </c>
      <c r="Z54" s="474">
        <f t="shared" ca="1" si="31"/>
        <v>0</v>
      </c>
      <c r="AA54" s="474">
        <f t="shared" ca="1" si="31"/>
        <v>0</v>
      </c>
      <c r="AB54" s="492">
        <f t="shared" ca="1" si="31"/>
        <v>0</v>
      </c>
      <c r="AC54" s="492">
        <f t="shared" ca="1" si="31"/>
        <v>0</v>
      </c>
      <c r="AD54" s="492">
        <f t="shared" ca="1" si="31"/>
        <v>0</v>
      </c>
      <c r="AE54" s="490">
        <f t="shared" ca="1" si="20"/>
        <v>0</v>
      </c>
      <c r="AF54" s="473">
        <f t="shared" ca="1" si="32"/>
        <v>0</v>
      </c>
      <c r="AG54" s="474">
        <f t="shared" ca="1" si="32"/>
        <v>0</v>
      </c>
      <c r="AH54" s="474">
        <f t="shared" ca="1" si="32"/>
        <v>0</v>
      </c>
      <c r="AI54" s="492">
        <f t="shared" ca="1" si="32"/>
        <v>0</v>
      </c>
      <c r="AJ54" s="492">
        <f t="shared" ca="1" si="32"/>
        <v>0</v>
      </c>
      <c r="AK54" s="492">
        <f t="shared" ca="1" si="32"/>
        <v>0</v>
      </c>
      <c r="AL54" s="490">
        <f t="shared" ca="1" si="21"/>
        <v>0</v>
      </c>
      <c r="AM54" s="494">
        <f t="shared" ca="1" si="22"/>
        <v>0</v>
      </c>
    </row>
    <row r="55" spans="1:46" ht="17" thickBot="1">
      <c r="B55" s="466"/>
      <c r="C55" s="467" t="s">
        <v>97</v>
      </c>
      <c r="D55" s="468">
        <f ca="1">SUM(D25:D54)</f>
        <v>9264761.3245408088</v>
      </c>
      <c r="E55" s="468">
        <f t="shared" ref="E55:AK55" ca="1" si="33">SUM(E25:E54)</f>
        <v>1530788.0865549915</v>
      </c>
      <c r="F55" s="468">
        <f t="shared" ca="1" si="33"/>
        <v>24731.848935497266</v>
      </c>
      <c r="G55" s="484">
        <f t="shared" ca="1" si="33"/>
        <v>2791386.8881259249</v>
      </c>
      <c r="H55" s="484">
        <f t="shared" ca="1" si="33"/>
        <v>152097.20205294318</v>
      </c>
      <c r="I55" s="484">
        <f t="shared" ca="1" si="33"/>
        <v>0</v>
      </c>
      <c r="J55" s="495">
        <f t="shared" ca="1" si="17"/>
        <v>13763765.350210166</v>
      </c>
      <c r="K55" s="489">
        <f t="shared" ca="1" si="33"/>
        <v>9226325.4654095918</v>
      </c>
      <c r="L55" s="468">
        <f t="shared" ca="1" si="33"/>
        <v>1636755.1874288239</v>
      </c>
      <c r="M55" s="468">
        <f t="shared" ca="1" si="33"/>
        <v>27574.300614893386</v>
      </c>
      <c r="N55" s="484">
        <f t="shared" ca="1" si="33"/>
        <v>2887738.295548596</v>
      </c>
      <c r="O55" s="484">
        <f t="shared" ca="1" si="33"/>
        <v>159272.67445015605</v>
      </c>
      <c r="P55" s="484">
        <f t="shared" ca="1" si="33"/>
        <v>0</v>
      </c>
      <c r="Q55" s="495">
        <f t="shared" ca="1" si="18"/>
        <v>13937665.923452061</v>
      </c>
      <c r="R55" s="468">
        <f t="shared" ca="1" si="33"/>
        <v>9183842.6619755719</v>
      </c>
      <c r="S55" s="468">
        <f t="shared" ca="1" si="33"/>
        <v>1734290.4046079067</v>
      </c>
      <c r="T55" s="468">
        <f t="shared" ca="1" si="33"/>
        <v>30243.515532438891</v>
      </c>
      <c r="U55" s="484">
        <f t="shared" ca="1" si="33"/>
        <v>2827077.9843095341</v>
      </c>
      <c r="V55" s="484">
        <f t="shared" ca="1" si="33"/>
        <v>163534.83551216038</v>
      </c>
      <c r="W55" s="484">
        <f t="shared" ca="1" si="33"/>
        <v>0</v>
      </c>
      <c r="X55" s="495">
        <f t="shared" ca="1" si="19"/>
        <v>13938989.401937613</v>
      </c>
      <c r="Y55" s="468">
        <f t="shared" ca="1" si="33"/>
        <v>9732955.6112248842</v>
      </c>
      <c r="Z55" s="468">
        <f t="shared" ca="1" si="33"/>
        <v>2254830.695777663</v>
      </c>
      <c r="AA55" s="468">
        <f t="shared" ca="1" si="33"/>
        <v>41314.62116904393</v>
      </c>
      <c r="AB55" s="484">
        <f t="shared" ca="1" si="33"/>
        <v>-5.3568810769002116E-4</v>
      </c>
      <c r="AC55" s="484">
        <f t="shared" ca="1" si="33"/>
        <v>1128798.6135433489</v>
      </c>
      <c r="AD55" s="484">
        <f t="shared" ca="1" si="33"/>
        <v>0</v>
      </c>
      <c r="AE55" s="495">
        <f t="shared" ca="1" si="20"/>
        <v>13157899.541179253</v>
      </c>
      <c r="AF55" s="468">
        <f t="shared" ca="1" si="33"/>
        <v>9733764.8308599535</v>
      </c>
      <c r="AG55" s="468">
        <f t="shared" ca="1" si="33"/>
        <v>2398149.0132462136</v>
      </c>
      <c r="AH55" s="468">
        <f t="shared" ca="1" si="33"/>
        <v>41439.349680858861</v>
      </c>
      <c r="AI55" s="484">
        <f t="shared" ca="1" si="33"/>
        <v>-4.0764948293656444E-4</v>
      </c>
      <c r="AJ55" s="484">
        <f t="shared" ca="1" si="33"/>
        <v>1158935.9874297201</v>
      </c>
      <c r="AK55" s="484">
        <f t="shared" ca="1" si="33"/>
        <v>0</v>
      </c>
      <c r="AL55" s="495">
        <f t="shared" ca="1" si="21"/>
        <v>13332289.180809097</v>
      </c>
      <c r="AM55" s="494">
        <f t="shared" ca="1" si="22"/>
        <v>68130609.397588193</v>
      </c>
    </row>
    <row r="58" spans="1:46">
      <c r="E58"/>
      <c r="F58"/>
      <c r="G58"/>
      <c r="H58"/>
      <c r="I58"/>
      <c r="J58"/>
      <c r="K58"/>
      <c r="AL58"/>
      <c r="AM58"/>
    </row>
    <row r="59" spans="1:46">
      <c r="E59"/>
      <c r="F59"/>
      <c r="G59"/>
      <c r="H59"/>
      <c r="I59"/>
      <c r="J59"/>
      <c r="K59"/>
      <c r="AL59"/>
      <c r="AM59"/>
    </row>
    <row r="61" spans="1:46" ht="16" thickBot="1"/>
    <row r="62" spans="1:46" ht="21" thickBot="1">
      <c r="B62" s="815"/>
      <c r="C62" s="816"/>
      <c r="D62" s="819" t="s">
        <v>338</v>
      </c>
      <c r="E62" s="820" t="s">
        <v>338</v>
      </c>
      <c r="F62" s="820" t="s">
        <v>338</v>
      </c>
      <c r="G62" s="820" t="s">
        <v>338</v>
      </c>
      <c r="H62" s="820" t="s">
        <v>338</v>
      </c>
      <c r="I62" s="821"/>
      <c r="J62" s="817" t="s">
        <v>338</v>
      </c>
      <c r="K62" s="819" t="s">
        <v>349</v>
      </c>
      <c r="L62" s="820" t="s">
        <v>349</v>
      </c>
      <c r="M62" s="820" t="s">
        <v>349</v>
      </c>
      <c r="N62" s="820" t="s">
        <v>349</v>
      </c>
      <c r="O62" s="820" t="s">
        <v>349</v>
      </c>
      <c r="P62" s="821"/>
      <c r="Q62" s="817" t="s">
        <v>349</v>
      </c>
      <c r="R62" s="819" t="s">
        <v>350</v>
      </c>
      <c r="S62" s="820" t="s">
        <v>350</v>
      </c>
      <c r="T62" s="820" t="s">
        <v>350</v>
      </c>
      <c r="U62" s="820" t="s">
        <v>350</v>
      </c>
      <c r="V62" s="820" t="s">
        <v>350</v>
      </c>
      <c r="W62" s="821" t="s">
        <v>350</v>
      </c>
      <c r="X62" s="817" t="s">
        <v>350</v>
      </c>
      <c r="Y62" s="819" t="s">
        <v>351</v>
      </c>
      <c r="Z62" s="820" t="s">
        <v>351</v>
      </c>
      <c r="AA62" s="820" t="s">
        <v>351</v>
      </c>
      <c r="AB62" s="820" t="s">
        <v>351</v>
      </c>
      <c r="AC62" s="820" t="s">
        <v>351</v>
      </c>
      <c r="AD62" s="821" t="s">
        <v>351</v>
      </c>
      <c r="AE62" s="817" t="s">
        <v>351</v>
      </c>
      <c r="AF62" s="819" t="s">
        <v>513</v>
      </c>
      <c r="AG62" s="820" t="s">
        <v>513</v>
      </c>
      <c r="AH62" s="820" t="s">
        <v>513</v>
      </c>
      <c r="AI62" s="820" t="s">
        <v>513</v>
      </c>
      <c r="AJ62" s="820" t="s">
        <v>513</v>
      </c>
      <c r="AK62" s="821" t="s">
        <v>513</v>
      </c>
      <c r="AL62" s="817" t="s">
        <v>513</v>
      </c>
      <c r="AM62" s="819" t="s">
        <v>514</v>
      </c>
      <c r="AN62" s="820" t="s">
        <v>514</v>
      </c>
      <c r="AO62" s="820" t="s">
        <v>514</v>
      </c>
      <c r="AP62" s="820" t="s">
        <v>514</v>
      </c>
      <c r="AQ62" s="820" t="s">
        <v>514</v>
      </c>
      <c r="AR62" s="821" t="s">
        <v>514</v>
      </c>
      <c r="AS62" s="817" t="s">
        <v>514</v>
      </c>
      <c r="AT62" s="728" t="s">
        <v>519</v>
      </c>
    </row>
    <row r="63" spans="1:46" ht="21" thickBot="1">
      <c r="B63" s="456"/>
      <c r="C63" s="457" t="s">
        <v>336</v>
      </c>
      <c r="D63" s="824">
        <v>2021</v>
      </c>
      <c r="E63" s="812">
        <v>2022</v>
      </c>
      <c r="F63" s="812">
        <v>2023</v>
      </c>
      <c r="G63" s="812">
        <v>2024</v>
      </c>
      <c r="H63" s="812">
        <v>2025</v>
      </c>
      <c r="I63" s="822"/>
      <c r="J63" s="494" t="s">
        <v>97</v>
      </c>
      <c r="K63" s="824">
        <v>2021</v>
      </c>
      <c r="L63" s="812">
        <v>2022</v>
      </c>
      <c r="M63" s="812">
        <v>2023</v>
      </c>
      <c r="N63" s="812">
        <v>2024</v>
      </c>
      <c r="O63" s="812">
        <v>2025</v>
      </c>
      <c r="P63" s="822"/>
      <c r="Q63" s="494" t="s">
        <v>97</v>
      </c>
      <c r="R63" s="824">
        <v>2021</v>
      </c>
      <c r="S63" s="812">
        <v>2022</v>
      </c>
      <c r="T63" s="812">
        <v>2023</v>
      </c>
      <c r="U63" s="812">
        <v>2024</v>
      </c>
      <c r="V63" s="812">
        <v>2025</v>
      </c>
      <c r="W63" s="822"/>
      <c r="X63" s="494" t="s">
        <v>97</v>
      </c>
      <c r="Y63" s="824">
        <v>2021</v>
      </c>
      <c r="Z63" s="812">
        <v>2022</v>
      </c>
      <c r="AA63" s="812">
        <v>2023</v>
      </c>
      <c r="AB63" s="812">
        <v>2024</v>
      </c>
      <c r="AC63" s="812">
        <v>2025</v>
      </c>
      <c r="AD63" s="822"/>
      <c r="AE63" s="494" t="s">
        <v>97</v>
      </c>
      <c r="AF63" s="824">
        <v>2021</v>
      </c>
      <c r="AG63" s="812">
        <v>2022</v>
      </c>
      <c r="AH63" s="812">
        <v>2023</v>
      </c>
      <c r="AI63" s="812">
        <v>2024</v>
      </c>
      <c r="AJ63" s="812">
        <v>2025</v>
      </c>
      <c r="AK63" s="822"/>
      <c r="AL63" s="494" t="s">
        <v>97</v>
      </c>
      <c r="AM63" s="824">
        <v>2021</v>
      </c>
      <c r="AN63" s="812">
        <v>2022</v>
      </c>
      <c r="AO63" s="812">
        <v>2023</v>
      </c>
      <c r="AP63" s="812">
        <v>2024</v>
      </c>
      <c r="AQ63" s="812">
        <v>2025</v>
      </c>
      <c r="AR63" s="822"/>
      <c r="AS63" s="494" t="s">
        <v>97</v>
      </c>
      <c r="AT63" s="728" t="s">
        <v>1807</v>
      </c>
    </row>
    <row r="64" spans="1:46" ht="19">
      <c r="A64" s="2039">
        <f>CUPRINS!L6</f>
        <v>9398343</v>
      </c>
      <c r="B64" s="200">
        <v>1</v>
      </c>
      <c r="C64" s="471" t="str">
        <f>C25</f>
        <v>1.1.  Depistarea activă a TB în grupurile cu risc și vigilență sporită pentru TB</v>
      </c>
      <c r="D64" s="462">
        <f ca="1">SUMIFS(_2021_Total,Buget_detal_sursa,D$62,Buget_detal_dir_act,$C64)/EUR</f>
        <v>2125377.0209923689</v>
      </c>
      <c r="E64" s="463">
        <f t="shared" ref="E64:E93" ca="1" si="34">SUMIFS(_2022_Total,Buget_detal_sursa,E$62,Buget_detal_dir_act,$C64)/EUR</f>
        <v>2098372.5093826898</v>
      </c>
      <c r="F64" s="463">
        <f t="shared" ref="F64:F93" ca="1" si="35">SUMIFS(_2023_Total,Buget_detal_sursa,F$62,Buget_detal_dir_act,$C64)/EUR</f>
        <v>2071231.3699728348</v>
      </c>
      <c r="G64" s="485">
        <f t="shared" ref="G64:G93" ca="1" si="36">SUMIFS(_2024_Total,Buget_detal_sursa,G$62,Buget_detal_dir_act,$C64)/EUR</f>
        <v>2461786.2904727785</v>
      </c>
      <c r="H64" s="485">
        <f t="shared" ref="H64:H93" ca="1" si="37">SUMIFS(_2025_Total,Buget_detal_sursa,H$62,Buget_detal_dir_act,$C64)/EUR</f>
        <v>2430165.246322454</v>
      </c>
      <c r="I64" s="823"/>
      <c r="J64" s="490">
        <f ca="1">SUM(D64:I64)</f>
        <v>11186932.437143125</v>
      </c>
      <c r="K64" s="462">
        <f t="shared" ref="K64:K93" ca="1" si="38">SUMIFS(_2021_Total,Buget_detal_sursa,K$62,Buget_detal_dir_act,$C64)/EUR</f>
        <v>0</v>
      </c>
      <c r="L64" s="463">
        <f t="shared" ref="L64:L93" ca="1" si="39">SUMIFS(_2022_Total,Buget_detal_sursa,L$62,Buget_detal_dir_act,$C64)/EUR</f>
        <v>0</v>
      </c>
      <c r="M64" s="463">
        <f t="shared" ref="M64:M93" ca="1" si="40">SUMIFS(_2023_Total,Buget_detal_sursa,M$62,Buget_detal_dir_act,$C64)/EUR</f>
        <v>0</v>
      </c>
      <c r="N64" s="485">
        <f t="shared" ref="N64:N93" ca="1" si="41">SUMIFS(_2024_Total,Buget_detal_sursa,N$62,Buget_detal_dir_act,$C64)/EUR</f>
        <v>0</v>
      </c>
      <c r="O64" s="485">
        <f t="shared" ref="O64:O93" ca="1" si="42">SUMIFS(_2025_Total,Buget_detal_sursa,O$62,Buget_detal_dir_act,$C64)/EUR</f>
        <v>0</v>
      </c>
      <c r="P64" s="823"/>
      <c r="Q64" s="490">
        <f ca="1">SUM(K64:P64)</f>
        <v>0</v>
      </c>
      <c r="R64" s="462">
        <f t="shared" ref="R64:R93" ca="1" si="43">SUMIFS(_2021_Total,Buget_detal_sursa,R$62,Buget_detal_dir_act,$C64)/EUR</f>
        <v>0</v>
      </c>
      <c r="S64" s="463">
        <f t="shared" ref="S64:S93" ca="1" si="44">SUMIFS(_2022_Total,Buget_detal_sursa,S$62,Buget_detal_dir_act,$C64)/EUR</f>
        <v>0</v>
      </c>
      <c r="T64" s="463">
        <f t="shared" ref="T64:T93" ca="1" si="45">SUMIFS(_2023_Total,Buget_detal_sursa,T$62,Buget_detal_dir_act,$C64)/EUR</f>
        <v>0</v>
      </c>
      <c r="U64" s="485">
        <f t="shared" ref="U64:U93" ca="1" si="46">SUMIFS(_2024_Total,Buget_detal_sursa,U$62,Buget_detal_dir_act,$C64)/EUR</f>
        <v>0</v>
      </c>
      <c r="V64" s="485">
        <f t="shared" ref="V64:V93" ca="1" si="47">SUMIFS(_2025_Total,Buget_detal_sursa,V$62,Buget_detal_dir_act,$C64)/EUR</f>
        <v>0</v>
      </c>
      <c r="W64" s="823"/>
      <c r="X64" s="490">
        <f ca="1">SUM(R64:W64)</f>
        <v>0</v>
      </c>
      <c r="Y64" s="462">
        <f t="shared" ref="Y64:Y93" ca="1" si="48">SUMIFS(_2021_Total,Buget_detal_sursa,Y$62,Buget_detal_dir_act,$C64)/EUR</f>
        <v>393735.51946238376</v>
      </c>
      <c r="Z64" s="463">
        <f t="shared" ref="Z64:Z93" ca="1" si="49">SUMIFS(_2022_Total,Buget_detal_sursa,Z$62,Buget_detal_dir_act,$C64)/EUR</f>
        <v>554004.2766507091</v>
      </c>
      <c r="AA64" s="463">
        <f t="shared" ref="AA64:AA93" ca="1" si="50">SUMIFS(_2023_Total,Buget_detal_sursa,AA$62,Buget_detal_dir_act,$C64)/EUR</f>
        <v>578364.17295079574</v>
      </c>
      <c r="AB64" s="485">
        <f t="shared" ref="AB64:AB93" ca="1" si="51">SUMIFS(_2024_Total,Buget_detal_sursa,AB$62,Buget_detal_dir_act,$C64)/EUR</f>
        <v>0</v>
      </c>
      <c r="AC64" s="485">
        <f t="shared" ref="AC64:AC93" ca="1" si="52">SUMIFS(_2025_Total,Buget_detal_sursa,AC$62,Buget_detal_dir_act,$C64)/EUR</f>
        <v>0</v>
      </c>
      <c r="AD64" s="823"/>
      <c r="AE64" s="490">
        <f ca="1">SUM(Y64:AD64)</f>
        <v>1526103.9690638888</v>
      </c>
      <c r="AF64" s="462">
        <f t="shared" ref="AF64:AF93" ca="1" si="53">SUMIFS(_2021_Total,Buget_detal_sursa,AF$62,Buget_detal_dir_act,$C64)/EUR</f>
        <v>0</v>
      </c>
      <c r="AG64" s="463">
        <f t="shared" ref="AG64:AG93" ca="1" si="54">SUMIFS(_2022_Total,Buget_detal_sursa,AG$62,Buget_detal_dir_act,$C64)/EUR</f>
        <v>0</v>
      </c>
      <c r="AH64" s="463">
        <f t="shared" ref="AH64:AH93" ca="1" si="55">SUMIFS(_2023_Total,Buget_detal_sursa,AH$62,Buget_detal_dir_act,$C64)/EUR</f>
        <v>0</v>
      </c>
      <c r="AI64" s="485">
        <f t="shared" ref="AI64:AI93" ca="1" si="56">SUMIFS(_2024_Total,Buget_detal_sursa,AI$62,Buget_detal_dir_act,$C64)/EUR</f>
        <v>143798.55837818285</v>
      </c>
      <c r="AJ64" s="485">
        <f t="shared" ref="AJ64:AJ93" ca="1" si="57">SUMIFS(_2025_Total,Buget_detal_sursa,AJ$62,Buget_detal_dir_act,$C64)/EUR</f>
        <v>143798.55837818285</v>
      </c>
      <c r="AK64" s="823"/>
      <c r="AL64" s="490">
        <f ca="1">SUM(AF64:AK64)</f>
        <v>287597.11675636569</v>
      </c>
      <c r="AM64" s="462">
        <f t="shared" ref="AM64:AM93" ca="1" si="58">SUMIFS(_2021_Total,Buget_detal_sursa,AM$62,Buget_detal_dir_act,$C64)/EUR</f>
        <v>0</v>
      </c>
      <c r="AN64" s="463">
        <f t="shared" ref="AN64:AN93" ca="1" si="59">SUMIFS(_2022_Total,Buget_detal_sursa,AN$62,Buget_detal_dir_act,$C64)/EUR</f>
        <v>0</v>
      </c>
      <c r="AO64" s="463">
        <f t="shared" ref="AO64:AO93" ca="1" si="60">SUMIFS(_2023_Total,Buget_detal_sursa,AO$62,Buget_detal_dir_act,$C64)/EUR</f>
        <v>0</v>
      </c>
      <c r="AP64" s="485">
        <f t="shared" ref="AP64:AP93" ca="1" si="61">SUMIFS(_2024_Total,Buget_detal_sursa,AP$62,Buget_detal_dir_act,$C64)/EUR</f>
        <v>0</v>
      </c>
      <c r="AQ64" s="485">
        <f t="shared" ref="AQ64:AQ93" ca="1" si="62">SUMIFS(_2025_Total,Buget_detal_sursa,AQ$62,Buget_detal_dir_act,$C64)/EUR</f>
        <v>0</v>
      </c>
      <c r="AR64" s="823"/>
      <c r="AS64" s="490">
        <f ca="1">SUM(AM64:AR64)</f>
        <v>0</v>
      </c>
      <c r="AT64" s="496">
        <f ca="1">J64+Q64+X64+AE64+AL64+AS64</f>
        <v>13000633.52296338</v>
      </c>
    </row>
    <row r="65" spans="1:46" ht="33">
      <c r="A65" s="2039">
        <f>CUPRINS!L7</f>
        <v>845851</v>
      </c>
      <c r="B65" s="200">
        <v>2</v>
      </c>
      <c r="C65" s="471" t="str">
        <f t="shared" ref="C65:C93" si="63">C26</f>
        <v xml:space="preserve">2.1.  Asigurarea depistării TB prin aplicarea constantă și extinderea metodelor microbiologice rapide de diagnostic </v>
      </c>
      <c r="D65" s="462">
        <f t="shared" ref="D65:D93" ca="1" si="64">SUMIFS(_2021_Total,Buget_detal_sursa,D$62,Buget_detal_dir_act,$C65)/EUR</f>
        <v>0</v>
      </c>
      <c r="E65" s="463">
        <f t="shared" ca="1" si="34"/>
        <v>0</v>
      </c>
      <c r="F65" s="463">
        <f t="shared" ca="1" si="35"/>
        <v>0</v>
      </c>
      <c r="G65" s="485">
        <f t="shared" ca="1" si="36"/>
        <v>0</v>
      </c>
      <c r="H65" s="485">
        <f t="shared" ca="1" si="37"/>
        <v>0</v>
      </c>
      <c r="I65" s="823"/>
      <c r="J65" s="490">
        <f t="shared" ref="J65:J93" ca="1" si="65">SUM(D65:I65)</f>
        <v>0</v>
      </c>
      <c r="K65" s="462">
        <f t="shared" ca="1" si="38"/>
        <v>128499.29397657636</v>
      </c>
      <c r="L65" s="463">
        <f t="shared" ca="1" si="39"/>
        <v>146898.4473293685</v>
      </c>
      <c r="M65" s="463">
        <f t="shared" ca="1" si="40"/>
        <v>165924.00710471897</v>
      </c>
      <c r="N65" s="485">
        <f t="shared" ca="1" si="41"/>
        <v>309162.27572972694</v>
      </c>
      <c r="O65" s="485">
        <f t="shared" ca="1" si="42"/>
        <v>300453.99820827862</v>
      </c>
      <c r="P65" s="823"/>
      <c r="Q65" s="490">
        <f t="shared" ref="Q65:Q93" ca="1" si="66">SUM(K65:P65)</f>
        <v>1050938.0223486694</v>
      </c>
      <c r="R65" s="462">
        <f t="shared" ca="1" si="43"/>
        <v>0</v>
      </c>
      <c r="S65" s="463">
        <f t="shared" ca="1" si="44"/>
        <v>0</v>
      </c>
      <c r="T65" s="463">
        <f t="shared" ca="1" si="45"/>
        <v>0</v>
      </c>
      <c r="U65" s="485">
        <f t="shared" ca="1" si="46"/>
        <v>0</v>
      </c>
      <c r="V65" s="485">
        <f t="shared" ca="1" si="47"/>
        <v>0</v>
      </c>
      <c r="W65" s="823"/>
      <c r="X65" s="490">
        <f t="shared" ref="X65:X93" ca="1" si="67">SUM(R65:W65)</f>
        <v>0</v>
      </c>
      <c r="Y65" s="462">
        <f t="shared" ca="1" si="48"/>
        <v>300362.52369804017</v>
      </c>
      <c r="Z65" s="463">
        <f t="shared" ca="1" si="49"/>
        <v>163953.12327065025</v>
      </c>
      <c r="AA65" s="463">
        <f t="shared" ca="1" si="50"/>
        <v>158477.59224740876</v>
      </c>
      <c r="AB65" s="485">
        <f t="shared" ca="1" si="51"/>
        <v>0</v>
      </c>
      <c r="AC65" s="485">
        <f t="shared" ca="1" si="52"/>
        <v>0</v>
      </c>
      <c r="AD65" s="823"/>
      <c r="AE65" s="490">
        <f t="shared" ref="AE65:AE93" ca="1" si="68">SUM(Y65:AD65)</f>
        <v>622793.23921609926</v>
      </c>
      <c r="AF65" s="462">
        <f t="shared" ca="1" si="53"/>
        <v>0</v>
      </c>
      <c r="AG65" s="463">
        <f t="shared" ca="1" si="54"/>
        <v>0</v>
      </c>
      <c r="AH65" s="463">
        <f t="shared" ca="1" si="55"/>
        <v>0</v>
      </c>
      <c r="AI65" s="485">
        <f t="shared" ca="1" si="56"/>
        <v>80388.824228320809</v>
      </c>
      <c r="AJ65" s="485">
        <f t="shared" ca="1" si="57"/>
        <v>80388.824228320809</v>
      </c>
      <c r="AK65" s="823"/>
      <c r="AL65" s="490">
        <f t="shared" ref="AL65:AL93" ca="1" si="69">SUM(AF65:AK65)</f>
        <v>160777.64845664162</v>
      </c>
      <c r="AM65" s="462">
        <f t="shared" ca="1" si="58"/>
        <v>0</v>
      </c>
      <c r="AN65" s="463">
        <f t="shared" ca="1" si="59"/>
        <v>0</v>
      </c>
      <c r="AO65" s="463">
        <f t="shared" ca="1" si="60"/>
        <v>0</v>
      </c>
      <c r="AP65" s="485">
        <f t="shared" ca="1" si="61"/>
        <v>0</v>
      </c>
      <c r="AQ65" s="485">
        <f t="shared" ca="1" si="62"/>
        <v>0</v>
      </c>
      <c r="AR65" s="823"/>
      <c r="AS65" s="490">
        <f t="shared" ref="AS65:AS93" ca="1" si="70">SUM(AM65:AR65)</f>
        <v>0</v>
      </c>
      <c r="AT65" s="490">
        <f t="shared" ref="AT65:AT93" ca="1" si="71">J65+Q65+X65+AE65+AL65+AS65</f>
        <v>1834508.9100214103</v>
      </c>
    </row>
    <row r="66" spans="1:46" ht="65">
      <c r="A66" s="2039">
        <f>CUPRINS!L8</f>
        <v>8552492</v>
      </c>
      <c r="B66" s="200">
        <v>3</v>
      </c>
      <c r="C66" s="471" t="str">
        <f t="shared" si="63"/>
        <v>2.2.  Fortificarea rețelei de laborator prin asigurarea controlului calității și biosecurității în conformitate cu standardele naționale și internaționale în cadrul rețelei naționale de laboratoare implicate în diagnosticul microbiologic al TB</v>
      </c>
      <c r="D66" s="462">
        <f t="shared" ca="1" si="64"/>
        <v>2439.0774219614941</v>
      </c>
      <c r="E66" s="463">
        <f t="shared" ca="1" si="34"/>
        <v>2682.985317026199</v>
      </c>
      <c r="F66" s="463">
        <f t="shared" ca="1" si="35"/>
        <v>2926.8927025290523</v>
      </c>
      <c r="G66" s="485">
        <f t="shared" ca="1" si="36"/>
        <v>6347.104843922988</v>
      </c>
      <c r="H66" s="485">
        <f t="shared" ca="1" si="37"/>
        <v>6347.104843922988</v>
      </c>
      <c r="I66" s="823"/>
      <c r="J66" s="490">
        <f t="shared" ca="1" si="65"/>
        <v>20743.165129362722</v>
      </c>
      <c r="K66" s="462">
        <f t="shared" ca="1" si="38"/>
        <v>0</v>
      </c>
      <c r="L66" s="463">
        <f t="shared" ca="1" si="39"/>
        <v>0</v>
      </c>
      <c r="M66" s="463">
        <f t="shared" ca="1" si="40"/>
        <v>0</v>
      </c>
      <c r="N66" s="485">
        <f t="shared" ca="1" si="41"/>
        <v>0</v>
      </c>
      <c r="O66" s="485">
        <f t="shared" ca="1" si="42"/>
        <v>0</v>
      </c>
      <c r="P66" s="823"/>
      <c r="Q66" s="490">
        <f t="shared" ca="1" si="66"/>
        <v>0</v>
      </c>
      <c r="R66" s="462">
        <f t="shared" ca="1" si="43"/>
        <v>0</v>
      </c>
      <c r="S66" s="463">
        <f t="shared" ca="1" si="44"/>
        <v>0</v>
      </c>
      <c r="T66" s="463">
        <f t="shared" ca="1" si="45"/>
        <v>0</v>
      </c>
      <c r="U66" s="485">
        <f t="shared" ca="1" si="46"/>
        <v>0</v>
      </c>
      <c r="V66" s="485">
        <f t="shared" ca="1" si="47"/>
        <v>0</v>
      </c>
      <c r="W66" s="823"/>
      <c r="X66" s="490">
        <f t="shared" ca="1" si="67"/>
        <v>0</v>
      </c>
      <c r="Y66" s="462">
        <f t="shared" ca="1" si="48"/>
        <v>32272.748151747823</v>
      </c>
      <c r="Z66" s="463">
        <f t="shared" ca="1" si="49"/>
        <v>10631.093074929082</v>
      </c>
      <c r="AA66" s="463">
        <f t="shared" ca="1" si="50"/>
        <v>7289.7473899019005</v>
      </c>
      <c r="AB66" s="485">
        <f t="shared" ca="1" si="51"/>
        <v>0</v>
      </c>
      <c r="AC66" s="485">
        <f t="shared" ca="1" si="52"/>
        <v>0</v>
      </c>
      <c r="AD66" s="823"/>
      <c r="AE66" s="490">
        <f t="shared" ca="1" si="68"/>
        <v>50193.588616578803</v>
      </c>
      <c r="AF66" s="462">
        <f t="shared" ca="1" si="53"/>
        <v>181.08299524329107</v>
      </c>
      <c r="AG66" s="463">
        <f t="shared" ca="1" si="54"/>
        <v>199.19129476762018</v>
      </c>
      <c r="AH66" s="463">
        <f t="shared" ca="1" si="55"/>
        <v>217.29959429194926</v>
      </c>
      <c r="AI66" s="485">
        <f t="shared" ca="1" si="56"/>
        <v>362.16599048658213</v>
      </c>
      <c r="AJ66" s="485">
        <f t="shared" ca="1" si="57"/>
        <v>362.16599048658213</v>
      </c>
      <c r="AK66" s="823"/>
      <c r="AL66" s="490">
        <f t="shared" ca="1" si="69"/>
        <v>1321.9058652760248</v>
      </c>
      <c r="AM66" s="462">
        <f t="shared" ca="1" si="58"/>
        <v>0</v>
      </c>
      <c r="AN66" s="463">
        <f t="shared" ca="1" si="59"/>
        <v>0</v>
      </c>
      <c r="AO66" s="463">
        <f t="shared" ca="1" si="60"/>
        <v>0</v>
      </c>
      <c r="AP66" s="485">
        <f t="shared" ca="1" si="61"/>
        <v>0</v>
      </c>
      <c r="AQ66" s="485">
        <f t="shared" ca="1" si="62"/>
        <v>0</v>
      </c>
      <c r="AR66" s="823"/>
      <c r="AS66" s="490">
        <f t="shared" ca="1" si="70"/>
        <v>0</v>
      </c>
      <c r="AT66" s="490">
        <f t="shared" ca="1" si="71"/>
        <v>72258.659611217561</v>
      </c>
    </row>
    <row r="67" spans="1:46" ht="33">
      <c r="A67" s="2039">
        <f ca="1">AE64+AE65+AE66+AE67+AE68</f>
        <v>5550610.8012130745</v>
      </c>
      <c r="B67" s="200">
        <v>4</v>
      </c>
      <c r="C67" s="471" t="str">
        <f t="shared" si="63"/>
        <v>2.3.  Asigurarea monitorizării tratamentului pacienților cu TB și TB MDR cu supravegherea rezistenței M. tuberculosis către medicamente</v>
      </c>
      <c r="D67" s="462">
        <f t="shared" ca="1" si="64"/>
        <v>1691.8579608567834</v>
      </c>
      <c r="E67" s="463">
        <f t="shared" ca="1" si="34"/>
        <v>8459.2903138457677</v>
      </c>
      <c r="F67" s="463">
        <f t="shared" ca="1" si="35"/>
        <v>13534.86419641612</v>
      </c>
      <c r="G67" s="485">
        <f t="shared" ca="1" si="36"/>
        <v>16918.580118129685</v>
      </c>
      <c r="H67" s="485">
        <f t="shared" ca="1" si="37"/>
        <v>16918.580118129685</v>
      </c>
      <c r="I67" s="823"/>
      <c r="J67" s="490">
        <f t="shared" ca="1" si="65"/>
        <v>57523.172707378042</v>
      </c>
      <c r="K67" s="462">
        <f t="shared" ca="1" si="38"/>
        <v>509185.68472501216</v>
      </c>
      <c r="L67" s="463">
        <f t="shared" ca="1" si="39"/>
        <v>516510.33174871479</v>
      </c>
      <c r="M67" s="463">
        <f t="shared" ca="1" si="40"/>
        <v>517341.49893529597</v>
      </c>
      <c r="N67" s="485">
        <f t="shared" ca="1" si="41"/>
        <v>564798.907780668</v>
      </c>
      <c r="O67" s="485">
        <f t="shared" ca="1" si="42"/>
        <v>738035.81713822635</v>
      </c>
      <c r="P67" s="823"/>
      <c r="Q67" s="490">
        <f t="shared" ca="1" si="66"/>
        <v>2845872.2403279175</v>
      </c>
      <c r="R67" s="462">
        <f t="shared" ca="1" si="43"/>
        <v>0</v>
      </c>
      <c r="S67" s="463">
        <f t="shared" ca="1" si="44"/>
        <v>0</v>
      </c>
      <c r="T67" s="463">
        <f t="shared" ca="1" si="45"/>
        <v>0</v>
      </c>
      <c r="U67" s="485">
        <f t="shared" ca="1" si="46"/>
        <v>0</v>
      </c>
      <c r="V67" s="485">
        <f t="shared" ca="1" si="47"/>
        <v>0</v>
      </c>
      <c r="W67" s="823"/>
      <c r="X67" s="490">
        <f t="shared" ca="1" si="67"/>
        <v>0</v>
      </c>
      <c r="Y67" s="462">
        <f t="shared" ca="1" si="48"/>
        <v>270816.14355064381</v>
      </c>
      <c r="Z67" s="463">
        <f t="shared" ca="1" si="49"/>
        <v>205021.37151108836</v>
      </c>
      <c r="AA67" s="463">
        <f t="shared" ca="1" si="50"/>
        <v>299031.56742618216</v>
      </c>
      <c r="AB67" s="485">
        <f t="shared" ca="1" si="51"/>
        <v>0</v>
      </c>
      <c r="AC67" s="485">
        <f t="shared" ca="1" si="52"/>
        <v>0</v>
      </c>
      <c r="AD67" s="823"/>
      <c r="AE67" s="490">
        <f t="shared" ca="1" si="68"/>
        <v>774869.08248791425</v>
      </c>
      <c r="AF67" s="462">
        <f t="shared" ca="1" si="53"/>
        <v>104266.36405249039</v>
      </c>
      <c r="AG67" s="463">
        <f t="shared" ca="1" si="54"/>
        <v>110911.17160346327</v>
      </c>
      <c r="AH67" s="463">
        <f t="shared" ca="1" si="55"/>
        <v>114764.22023202085</v>
      </c>
      <c r="AI67" s="485">
        <f t="shared" ca="1" si="56"/>
        <v>157026.84634768742</v>
      </c>
      <c r="AJ67" s="485">
        <f t="shared" ca="1" si="57"/>
        <v>178089.99093234685</v>
      </c>
      <c r="AK67" s="823"/>
      <c r="AL67" s="490">
        <f t="shared" ca="1" si="69"/>
        <v>665058.59316800884</v>
      </c>
      <c r="AM67" s="462">
        <f t="shared" ca="1" si="58"/>
        <v>0</v>
      </c>
      <c r="AN67" s="463">
        <f t="shared" ca="1" si="59"/>
        <v>0</v>
      </c>
      <c r="AO67" s="463">
        <f t="shared" ca="1" si="60"/>
        <v>0</v>
      </c>
      <c r="AP67" s="485">
        <f t="shared" ca="1" si="61"/>
        <v>0</v>
      </c>
      <c r="AQ67" s="485">
        <f t="shared" ca="1" si="62"/>
        <v>0</v>
      </c>
      <c r="AR67" s="823"/>
      <c r="AS67" s="490">
        <f t="shared" ca="1" si="70"/>
        <v>0</v>
      </c>
      <c r="AT67" s="490">
        <f t="shared" ca="1" si="71"/>
        <v>4343323.0886912188</v>
      </c>
    </row>
    <row r="68" spans="1:46" ht="19">
      <c r="A68" s="2040">
        <f ca="1">A67/A66</f>
        <v>0.64900508544329238</v>
      </c>
      <c r="B68" s="200">
        <v>5</v>
      </c>
      <c r="C68" s="471" t="str">
        <f t="shared" si="63"/>
        <v>3.1.  Asigurarea continuă cu medicamente TB</v>
      </c>
      <c r="D68" s="462">
        <f t="shared" ca="1" si="64"/>
        <v>913.4568813601918</v>
      </c>
      <c r="E68" s="463">
        <f t="shared" ca="1" si="34"/>
        <v>4567.2833876772556</v>
      </c>
      <c r="F68" s="463">
        <f t="shared" ca="1" si="35"/>
        <v>7307.6535221959793</v>
      </c>
      <c r="G68" s="485">
        <f t="shared" ca="1" si="36"/>
        <v>9134.5672849163639</v>
      </c>
      <c r="H68" s="485">
        <f t="shared" ca="1" si="37"/>
        <v>30221.928454152912</v>
      </c>
      <c r="I68" s="823"/>
      <c r="J68" s="490">
        <f t="shared" ca="1" si="65"/>
        <v>52144.889530302702</v>
      </c>
      <c r="K68" s="462">
        <f t="shared" ca="1" si="38"/>
        <v>574061.2364936173</v>
      </c>
      <c r="L68" s="463">
        <f t="shared" ca="1" si="39"/>
        <v>633074.08117208199</v>
      </c>
      <c r="M68" s="463">
        <f t="shared" ca="1" si="40"/>
        <v>692368.62132384873</v>
      </c>
      <c r="N68" s="485">
        <f t="shared" ca="1" si="41"/>
        <v>908570.24231143761</v>
      </c>
      <c r="O68" s="485">
        <f t="shared" ca="1" si="42"/>
        <v>881958.26963597874</v>
      </c>
      <c r="P68" s="823"/>
      <c r="Q68" s="490">
        <f t="shared" ca="1" si="66"/>
        <v>3690032.4509369642</v>
      </c>
      <c r="R68" s="462">
        <f t="shared" ca="1" si="43"/>
        <v>17752.949942732892</v>
      </c>
      <c r="S68" s="463">
        <f t="shared" ca="1" si="44"/>
        <v>19613.325103569721</v>
      </c>
      <c r="T68" s="463">
        <f t="shared" ca="1" si="45"/>
        <v>21091.290400675109</v>
      </c>
      <c r="U68" s="485">
        <f t="shared" ca="1" si="46"/>
        <v>26156.423870465704</v>
      </c>
      <c r="V68" s="485">
        <f t="shared" ca="1" si="47"/>
        <v>26076.320747376401</v>
      </c>
      <c r="W68" s="823"/>
      <c r="X68" s="490">
        <f t="shared" ca="1" si="67"/>
        <v>110690.31006481983</v>
      </c>
      <c r="Y68" s="462">
        <f t="shared" ca="1" si="48"/>
        <v>630727.67904181452</v>
      </c>
      <c r="Z68" s="463">
        <f t="shared" ca="1" si="49"/>
        <v>1024232.3250653449</v>
      </c>
      <c r="AA68" s="463">
        <f t="shared" ca="1" si="50"/>
        <v>921690.91772143415</v>
      </c>
      <c r="AB68" s="485">
        <f t="shared" ca="1" si="51"/>
        <v>0</v>
      </c>
      <c r="AC68" s="485">
        <f t="shared" ca="1" si="52"/>
        <v>0</v>
      </c>
      <c r="AD68" s="823"/>
      <c r="AE68" s="490">
        <f t="shared" ca="1" si="68"/>
        <v>2576650.9218285936</v>
      </c>
      <c r="AF68" s="462">
        <f t="shared" ca="1" si="53"/>
        <v>25865.778452800027</v>
      </c>
      <c r="AG68" s="463">
        <f t="shared" ca="1" si="54"/>
        <v>25558.077999957502</v>
      </c>
      <c r="AH68" s="463">
        <f t="shared" ca="1" si="55"/>
        <v>25241.581999992562</v>
      </c>
      <c r="AI68" s="485">
        <f t="shared" ca="1" si="56"/>
        <v>486540.43426797335</v>
      </c>
      <c r="AJ68" s="485">
        <f t="shared" ca="1" si="57"/>
        <v>495020.32311011263</v>
      </c>
      <c r="AK68" s="823"/>
      <c r="AL68" s="490">
        <f t="shared" ca="1" si="69"/>
        <v>1058226.1958308362</v>
      </c>
      <c r="AM68" s="462">
        <f t="shared" ca="1" si="58"/>
        <v>0</v>
      </c>
      <c r="AN68" s="463">
        <f t="shared" ca="1" si="59"/>
        <v>0</v>
      </c>
      <c r="AO68" s="463">
        <f t="shared" ca="1" si="60"/>
        <v>0</v>
      </c>
      <c r="AP68" s="485">
        <f t="shared" ca="1" si="61"/>
        <v>0</v>
      </c>
      <c r="AQ68" s="485">
        <f t="shared" ca="1" si="62"/>
        <v>0</v>
      </c>
      <c r="AR68" s="823"/>
      <c r="AS68" s="490">
        <f t="shared" ca="1" si="70"/>
        <v>0</v>
      </c>
      <c r="AT68" s="490">
        <f t="shared" ca="1" si="71"/>
        <v>7487744.7681915155</v>
      </c>
    </row>
    <row r="69" spans="1:46" ht="32">
      <c r="B69" s="200">
        <v>6</v>
      </c>
      <c r="C69" s="471" t="str">
        <f t="shared" si="63"/>
        <v>3.2.  Asigurarea monitorizării tratamentului, managementului și prevenirii reacțiilor adverse la medicamente TB</v>
      </c>
      <c r="D69" s="462">
        <f t="shared" ca="1" si="64"/>
        <v>0</v>
      </c>
      <c r="E69" s="463">
        <f t="shared" ca="1" si="34"/>
        <v>0</v>
      </c>
      <c r="F69" s="463">
        <f t="shared" ca="1" si="35"/>
        <v>0</v>
      </c>
      <c r="G69" s="485">
        <f t="shared" ca="1" si="36"/>
        <v>0</v>
      </c>
      <c r="H69" s="485">
        <f t="shared" ca="1" si="37"/>
        <v>21087.361169236545</v>
      </c>
      <c r="I69" s="823"/>
      <c r="J69" s="490">
        <f t="shared" ca="1" si="65"/>
        <v>21087.361169236545</v>
      </c>
      <c r="K69" s="462">
        <f t="shared" ca="1" si="38"/>
        <v>0</v>
      </c>
      <c r="L69" s="463">
        <f t="shared" ca="1" si="39"/>
        <v>0</v>
      </c>
      <c r="M69" s="463">
        <f t="shared" ca="1" si="40"/>
        <v>0</v>
      </c>
      <c r="N69" s="485">
        <f t="shared" ca="1" si="41"/>
        <v>0</v>
      </c>
      <c r="O69" s="485">
        <f t="shared" ca="1" si="42"/>
        <v>0</v>
      </c>
      <c r="P69" s="823"/>
      <c r="Q69" s="490">
        <f t="shared" ca="1" si="66"/>
        <v>0</v>
      </c>
      <c r="R69" s="462">
        <f t="shared" ca="1" si="43"/>
        <v>0</v>
      </c>
      <c r="S69" s="463">
        <f t="shared" ca="1" si="44"/>
        <v>0</v>
      </c>
      <c r="T69" s="463">
        <f t="shared" ca="1" si="45"/>
        <v>0</v>
      </c>
      <c r="U69" s="485">
        <f t="shared" ca="1" si="46"/>
        <v>0</v>
      </c>
      <c r="V69" s="485">
        <f t="shared" ca="1" si="47"/>
        <v>0</v>
      </c>
      <c r="W69" s="823"/>
      <c r="X69" s="490">
        <f t="shared" ca="1" si="67"/>
        <v>0</v>
      </c>
      <c r="Y69" s="462">
        <f t="shared" ca="1" si="48"/>
        <v>4076.4948137049514</v>
      </c>
      <c r="Z69" s="463">
        <f t="shared" ca="1" si="49"/>
        <v>4033.3130137052267</v>
      </c>
      <c r="AA69" s="463">
        <f t="shared" ca="1" si="50"/>
        <v>19170.32833566959</v>
      </c>
      <c r="AB69" s="485">
        <f t="shared" ca="1" si="51"/>
        <v>0</v>
      </c>
      <c r="AC69" s="485">
        <f t="shared" ca="1" si="52"/>
        <v>0</v>
      </c>
      <c r="AD69" s="823"/>
      <c r="AE69" s="490">
        <f t="shared" ca="1" si="68"/>
        <v>27280.136163079769</v>
      </c>
      <c r="AF69" s="462">
        <f t="shared" ca="1" si="53"/>
        <v>0</v>
      </c>
      <c r="AG69" s="463">
        <f t="shared" ca="1" si="54"/>
        <v>0</v>
      </c>
      <c r="AH69" s="463">
        <f t="shared" ca="1" si="55"/>
        <v>0</v>
      </c>
      <c r="AI69" s="485">
        <f t="shared" ca="1" si="56"/>
        <v>0</v>
      </c>
      <c r="AJ69" s="485">
        <f t="shared" ca="1" si="57"/>
        <v>0</v>
      </c>
      <c r="AK69" s="823"/>
      <c r="AL69" s="490">
        <f t="shared" ca="1" si="69"/>
        <v>0</v>
      </c>
      <c r="AM69" s="462">
        <f t="shared" ca="1" si="58"/>
        <v>0</v>
      </c>
      <c r="AN69" s="463">
        <f t="shared" ca="1" si="59"/>
        <v>0</v>
      </c>
      <c r="AO69" s="463">
        <f t="shared" ca="1" si="60"/>
        <v>0</v>
      </c>
      <c r="AP69" s="485">
        <f t="shared" ca="1" si="61"/>
        <v>0</v>
      </c>
      <c r="AQ69" s="485">
        <f t="shared" ca="1" si="62"/>
        <v>0</v>
      </c>
      <c r="AR69" s="823"/>
      <c r="AS69" s="490">
        <f t="shared" ca="1" si="70"/>
        <v>0</v>
      </c>
      <c r="AT69" s="490">
        <f t="shared" ca="1" si="71"/>
        <v>48367.497332316314</v>
      </c>
    </row>
    <row r="70" spans="1:46" ht="32">
      <c r="B70" s="200">
        <v>7</v>
      </c>
      <c r="C70" s="471" t="str">
        <f t="shared" si="63"/>
        <v>3.3.  Asigurarea aderenței la tratament, inclusiv prin utilizarea metodelor inovative, centrate pe persoană</v>
      </c>
      <c r="D70" s="462">
        <f t="shared" ca="1" si="64"/>
        <v>780480.65236961807</v>
      </c>
      <c r="E70" s="463">
        <f t="shared" ca="1" si="34"/>
        <v>757936.10991208372</v>
      </c>
      <c r="F70" s="463">
        <f t="shared" ca="1" si="35"/>
        <v>734086.5668132659</v>
      </c>
      <c r="G70" s="485">
        <f t="shared" ca="1" si="36"/>
        <v>711983.55460462254</v>
      </c>
      <c r="H70" s="485">
        <f t="shared" ca="1" si="37"/>
        <v>692048.18793945573</v>
      </c>
      <c r="I70" s="823"/>
      <c r="J70" s="490">
        <f t="shared" ca="1" si="65"/>
        <v>3676535.0716390461</v>
      </c>
      <c r="K70" s="462">
        <f t="shared" ca="1" si="38"/>
        <v>0</v>
      </c>
      <c r="L70" s="463">
        <f t="shared" ca="1" si="39"/>
        <v>0</v>
      </c>
      <c r="M70" s="463">
        <f t="shared" ca="1" si="40"/>
        <v>0</v>
      </c>
      <c r="N70" s="485">
        <f t="shared" ca="1" si="41"/>
        <v>0</v>
      </c>
      <c r="O70" s="485">
        <f t="shared" ca="1" si="42"/>
        <v>0</v>
      </c>
      <c r="P70" s="823"/>
      <c r="Q70" s="490">
        <f t="shared" ca="1" si="66"/>
        <v>0</v>
      </c>
      <c r="R70" s="462">
        <f t="shared" ca="1" si="43"/>
        <v>0</v>
      </c>
      <c r="S70" s="463">
        <f t="shared" ca="1" si="44"/>
        <v>0</v>
      </c>
      <c r="T70" s="463">
        <f t="shared" ca="1" si="45"/>
        <v>0</v>
      </c>
      <c r="U70" s="485">
        <f t="shared" ca="1" si="46"/>
        <v>0</v>
      </c>
      <c r="V70" s="485">
        <f t="shared" ca="1" si="47"/>
        <v>0</v>
      </c>
      <c r="W70" s="823"/>
      <c r="X70" s="490">
        <f t="shared" ca="1" si="67"/>
        <v>0</v>
      </c>
      <c r="Y70" s="462">
        <f t="shared" ca="1" si="48"/>
        <v>332229.23552015028</v>
      </c>
      <c r="Z70" s="463">
        <f t="shared" ca="1" si="49"/>
        <v>283146.91310232825</v>
      </c>
      <c r="AA70" s="463">
        <f t="shared" ca="1" si="50"/>
        <v>270467.4761192564</v>
      </c>
      <c r="AB70" s="485">
        <f t="shared" ca="1" si="51"/>
        <v>0</v>
      </c>
      <c r="AC70" s="485">
        <f t="shared" ca="1" si="52"/>
        <v>0</v>
      </c>
      <c r="AD70" s="823"/>
      <c r="AE70" s="490">
        <f t="shared" ca="1" si="68"/>
        <v>885843.62474173494</v>
      </c>
      <c r="AF70" s="462">
        <f t="shared" ca="1" si="53"/>
        <v>0</v>
      </c>
      <c r="AG70" s="463">
        <f t="shared" ca="1" si="54"/>
        <v>0</v>
      </c>
      <c r="AH70" s="463">
        <f t="shared" ca="1" si="55"/>
        <v>0</v>
      </c>
      <c r="AI70" s="485">
        <f t="shared" ca="1" si="56"/>
        <v>186364.09529356952</v>
      </c>
      <c r="AJ70" s="485">
        <f t="shared" ca="1" si="57"/>
        <v>187494.90680190164</v>
      </c>
      <c r="AK70" s="823"/>
      <c r="AL70" s="490">
        <f t="shared" ca="1" si="69"/>
        <v>373859.00209547114</v>
      </c>
      <c r="AM70" s="462">
        <f t="shared" ca="1" si="58"/>
        <v>0</v>
      </c>
      <c r="AN70" s="463">
        <f t="shared" ca="1" si="59"/>
        <v>0</v>
      </c>
      <c r="AO70" s="463">
        <f t="shared" ca="1" si="60"/>
        <v>0</v>
      </c>
      <c r="AP70" s="485">
        <f t="shared" ca="1" si="61"/>
        <v>0</v>
      </c>
      <c r="AQ70" s="485">
        <f t="shared" ca="1" si="62"/>
        <v>0</v>
      </c>
      <c r="AR70" s="823"/>
      <c r="AS70" s="490">
        <f t="shared" ca="1" si="70"/>
        <v>0</v>
      </c>
      <c r="AT70" s="490">
        <f t="shared" ca="1" si="71"/>
        <v>4936237.6984762521</v>
      </c>
    </row>
    <row r="71" spans="1:46" ht="32">
      <c r="B71" s="200">
        <v>8</v>
      </c>
      <c r="C71" s="471" t="str">
        <f t="shared" si="63"/>
        <v>4.1.  Consolidarea capacităților pentru realizarea unui control eficient al co-infecţiei TB/HIV</v>
      </c>
      <c r="D71" s="462">
        <f t="shared" ca="1" si="64"/>
        <v>0</v>
      </c>
      <c r="E71" s="463">
        <f t="shared" ca="1" si="34"/>
        <v>0</v>
      </c>
      <c r="F71" s="463">
        <f t="shared" ca="1" si="35"/>
        <v>0</v>
      </c>
      <c r="G71" s="485">
        <f t="shared" ca="1" si="36"/>
        <v>0</v>
      </c>
      <c r="H71" s="485">
        <f t="shared" ca="1" si="37"/>
        <v>0</v>
      </c>
      <c r="I71" s="823"/>
      <c r="J71" s="490">
        <f t="shared" ca="1" si="65"/>
        <v>0</v>
      </c>
      <c r="K71" s="462">
        <f t="shared" ca="1" si="38"/>
        <v>2061.4069930128371</v>
      </c>
      <c r="L71" s="463">
        <f t="shared" ca="1" si="39"/>
        <v>1999.9793117888205</v>
      </c>
      <c r="M71" s="463">
        <f t="shared" ca="1" si="40"/>
        <v>1944.5135042298475</v>
      </c>
      <c r="N71" s="485">
        <f t="shared" ca="1" si="41"/>
        <v>1879.9010614326239</v>
      </c>
      <c r="O71" s="485">
        <f t="shared" ca="1" si="42"/>
        <v>1828.9703543538976</v>
      </c>
      <c r="P71" s="823"/>
      <c r="Q71" s="490">
        <f t="shared" ca="1" si="66"/>
        <v>9714.7712248180269</v>
      </c>
      <c r="R71" s="462">
        <f t="shared" ca="1" si="43"/>
        <v>66.268518815291117</v>
      </c>
      <c r="S71" s="463">
        <f t="shared" ca="1" si="44"/>
        <v>64.434096149123889</v>
      </c>
      <c r="T71" s="463">
        <f t="shared" ca="1" si="45"/>
        <v>64.434096149123889</v>
      </c>
      <c r="U71" s="485">
        <f t="shared" ca="1" si="46"/>
        <v>53.402082059534862</v>
      </c>
      <c r="V71" s="485">
        <f t="shared" ca="1" si="47"/>
        <v>53.402082059534862</v>
      </c>
      <c r="W71" s="823"/>
      <c r="X71" s="490">
        <f t="shared" ca="1" si="67"/>
        <v>301.94087523260862</v>
      </c>
      <c r="Y71" s="462">
        <f t="shared" ca="1" si="48"/>
        <v>7528.2667972096187</v>
      </c>
      <c r="Z71" s="463">
        <f t="shared" ca="1" si="49"/>
        <v>0</v>
      </c>
      <c r="AA71" s="463">
        <f t="shared" ca="1" si="50"/>
        <v>0</v>
      </c>
      <c r="AB71" s="485">
        <f t="shared" ca="1" si="51"/>
        <v>0</v>
      </c>
      <c r="AC71" s="485">
        <f t="shared" ca="1" si="52"/>
        <v>0</v>
      </c>
      <c r="AD71" s="823"/>
      <c r="AE71" s="490">
        <f t="shared" ca="1" si="68"/>
        <v>7528.2667972096187</v>
      </c>
      <c r="AF71" s="462">
        <f t="shared" ca="1" si="53"/>
        <v>1348.8102214846258</v>
      </c>
      <c r="AG71" s="463">
        <f t="shared" ca="1" si="54"/>
        <v>1330.4659948229535</v>
      </c>
      <c r="AH71" s="463">
        <f t="shared" ca="1" si="55"/>
        <v>1343.2050411157816</v>
      </c>
      <c r="AI71" s="485">
        <f t="shared" ca="1" si="56"/>
        <v>1355.8166969456811</v>
      </c>
      <c r="AJ71" s="485">
        <f t="shared" ca="1" si="57"/>
        <v>1366.7722767575133</v>
      </c>
      <c r="AK71" s="823"/>
      <c r="AL71" s="490">
        <f t="shared" ca="1" si="69"/>
        <v>6745.070231126555</v>
      </c>
      <c r="AM71" s="462">
        <f t="shared" ca="1" si="58"/>
        <v>0</v>
      </c>
      <c r="AN71" s="463">
        <f t="shared" ca="1" si="59"/>
        <v>0</v>
      </c>
      <c r="AO71" s="463">
        <f t="shared" ca="1" si="60"/>
        <v>0</v>
      </c>
      <c r="AP71" s="485">
        <f t="shared" ca="1" si="61"/>
        <v>0</v>
      </c>
      <c r="AQ71" s="485">
        <f t="shared" ca="1" si="62"/>
        <v>0</v>
      </c>
      <c r="AR71" s="823"/>
      <c r="AS71" s="490">
        <f t="shared" ca="1" si="70"/>
        <v>0</v>
      </c>
      <c r="AT71" s="490">
        <f t="shared" ca="1" si="71"/>
        <v>24290.04912838681</v>
      </c>
    </row>
    <row r="72" spans="1:46" ht="32">
      <c r="B72" s="200">
        <v>9</v>
      </c>
      <c r="C72" s="471" t="str">
        <f t="shared" si="63"/>
        <v>4.2.  Consolidarea acțiunilor colaborative în controlul TB cu alte programe naționale</v>
      </c>
      <c r="D72" s="462">
        <f t="shared" ca="1" si="64"/>
        <v>0</v>
      </c>
      <c r="E72" s="463">
        <f t="shared" ca="1" si="34"/>
        <v>0</v>
      </c>
      <c r="F72" s="463">
        <f t="shared" ca="1" si="35"/>
        <v>0</v>
      </c>
      <c r="G72" s="485">
        <f t="shared" ca="1" si="36"/>
        <v>0</v>
      </c>
      <c r="H72" s="485">
        <f t="shared" ca="1" si="37"/>
        <v>0</v>
      </c>
      <c r="I72" s="823"/>
      <c r="J72" s="490">
        <f t="shared" ca="1" si="65"/>
        <v>0</v>
      </c>
      <c r="K72" s="462">
        <f t="shared" ca="1" si="38"/>
        <v>0</v>
      </c>
      <c r="L72" s="463">
        <f t="shared" ca="1" si="39"/>
        <v>0</v>
      </c>
      <c r="M72" s="463">
        <f t="shared" ca="1" si="40"/>
        <v>0</v>
      </c>
      <c r="N72" s="485">
        <f t="shared" ca="1" si="41"/>
        <v>0</v>
      </c>
      <c r="O72" s="485">
        <f t="shared" ca="1" si="42"/>
        <v>0</v>
      </c>
      <c r="P72" s="823"/>
      <c r="Q72" s="490">
        <f t="shared" ca="1" si="66"/>
        <v>0</v>
      </c>
      <c r="R72" s="462">
        <f t="shared" ca="1" si="43"/>
        <v>0</v>
      </c>
      <c r="S72" s="463">
        <f t="shared" ca="1" si="44"/>
        <v>0</v>
      </c>
      <c r="T72" s="463">
        <f t="shared" ca="1" si="45"/>
        <v>0</v>
      </c>
      <c r="U72" s="485">
        <f t="shared" ca="1" si="46"/>
        <v>0</v>
      </c>
      <c r="V72" s="485">
        <f t="shared" ca="1" si="47"/>
        <v>0</v>
      </c>
      <c r="W72" s="823"/>
      <c r="X72" s="490">
        <f t="shared" ca="1" si="67"/>
        <v>0</v>
      </c>
      <c r="Y72" s="462">
        <f t="shared" ca="1" si="48"/>
        <v>7653.2113632496757</v>
      </c>
      <c r="Z72" s="463">
        <f t="shared" ca="1" si="49"/>
        <v>8370.3890958247866</v>
      </c>
      <c r="AA72" s="463">
        <f t="shared" ca="1" si="50"/>
        <v>8370.3890958247866</v>
      </c>
      <c r="AB72" s="485">
        <f t="shared" ca="1" si="51"/>
        <v>0</v>
      </c>
      <c r="AC72" s="485">
        <f t="shared" ca="1" si="52"/>
        <v>0</v>
      </c>
      <c r="AD72" s="823"/>
      <c r="AE72" s="490">
        <f t="shared" ca="1" si="68"/>
        <v>24393.98955489925</v>
      </c>
      <c r="AF72" s="462">
        <f t="shared" ca="1" si="53"/>
        <v>0</v>
      </c>
      <c r="AG72" s="463">
        <f t="shared" ca="1" si="54"/>
        <v>0</v>
      </c>
      <c r="AH72" s="463">
        <f t="shared" ca="1" si="55"/>
        <v>0</v>
      </c>
      <c r="AI72" s="485">
        <f t="shared" ca="1" si="56"/>
        <v>0</v>
      </c>
      <c r="AJ72" s="485">
        <f t="shared" ca="1" si="57"/>
        <v>0</v>
      </c>
      <c r="AK72" s="823"/>
      <c r="AL72" s="490">
        <f t="shared" ca="1" si="69"/>
        <v>0</v>
      </c>
      <c r="AM72" s="462">
        <f t="shared" ca="1" si="58"/>
        <v>0</v>
      </c>
      <c r="AN72" s="463">
        <f t="shared" ca="1" si="59"/>
        <v>0</v>
      </c>
      <c r="AO72" s="463">
        <f t="shared" ca="1" si="60"/>
        <v>0</v>
      </c>
      <c r="AP72" s="485">
        <f t="shared" ca="1" si="61"/>
        <v>0</v>
      </c>
      <c r="AQ72" s="485">
        <f t="shared" ca="1" si="62"/>
        <v>0</v>
      </c>
      <c r="AR72" s="823"/>
      <c r="AS72" s="490">
        <f t="shared" ca="1" si="70"/>
        <v>0</v>
      </c>
      <c r="AT72" s="490">
        <f t="shared" ca="1" si="71"/>
        <v>24393.98955489925</v>
      </c>
    </row>
    <row r="73" spans="1:46" ht="16">
      <c r="B73" s="200">
        <v>10</v>
      </c>
      <c r="C73" s="471" t="str">
        <f t="shared" si="63"/>
        <v>5.1.  Asigurarea măsurilor de profilaxie specifică</v>
      </c>
      <c r="D73" s="462">
        <f t="shared" ca="1" si="64"/>
        <v>0</v>
      </c>
      <c r="E73" s="463">
        <f t="shared" ca="1" si="34"/>
        <v>0</v>
      </c>
      <c r="F73" s="463">
        <f t="shared" ca="1" si="35"/>
        <v>0</v>
      </c>
      <c r="G73" s="485">
        <f t="shared" ca="1" si="36"/>
        <v>0</v>
      </c>
      <c r="H73" s="485">
        <f t="shared" ca="1" si="37"/>
        <v>0</v>
      </c>
      <c r="I73" s="823"/>
      <c r="J73" s="490">
        <f t="shared" ca="1" si="65"/>
        <v>0</v>
      </c>
      <c r="K73" s="462">
        <f t="shared" ca="1" si="38"/>
        <v>175470.29730844844</v>
      </c>
      <c r="L73" s="463">
        <f t="shared" ca="1" si="39"/>
        <v>184765.26039655221</v>
      </c>
      <c r="M73" s="463">
        <f t="shared" ca="1" si="40"/>
        <v>192951.9351197315</v>
      </c>
      <c r="N73" s="485">
        <f t="shared" ca="1" si="41"/>
        <v>270033.51694035827</v>
      </c>
      <c r="O73" s="485">
        <f t="shared" ca="1" si="42"/>
        <v>264138.62212335132</v>
      </c>
      <c r="P73" s="823"/>
      <c r="Q73" s="490">
        <f t="shared" ca="1" si="66"/>
        <v>1087359.6318884417</v>
      </c>
      <c r="R73" s="462">
        <f t="shared" ca="1" si="43"/>
        <v>6912.6304739490834</v>
      </c>
      <c r="S73" s="463">
        <f t="shared" ca="1" si="44"/>
        <v>7896.5414151745381</v>
      </c>
      <c r="T73" s="463">
        <f t="shared" ca="1" si="45"/>
        <v>9087.7910356146549</v>
      </c>
      <c r="U73" s="485">
        <f t="shared" ca="1" si="46"/>
        <v>15104.795216518691</v>
      </c>
      <c r="V73" s="485">
        <f t="shared" ca="1" si="47"/>
        <v>15309.626851422923</v>
      </c>
      <c r="W73" s="823"/>
      <c r="X73" s="490">
        <f t="shared" ca="1" si="67"/>
        <v>54311.384992679894</v>
      </c>
      <c r="Y73" s="462">
        <f t="shared" ca="1" si="48"/>
        <v>139276.68127159507</v>
      </c>
      <c r="Z73" s="463">
        <f t="shared" ca="1" si="49"/>
        <v>126017.04824202033</v>
      </c>
      <c r="AA73" s="463">
        <f t="shared" ca="1" si="50"/>
        <v>102641.30800044745</v>
      </c>
      <c r="AB73" s="485">
        <f t="shared" ca="1" si="51"/>
        <v>0</v>
      </c>
      <c r="AC73" s="485">
        <f t="shared" ca="1" si="52"/>
        <v>0</v>
      </c>
      <c r="AD73" s="823"/>
      <c r="AE73" s="490">
        <f t="shared" ca="1" si="68"/>
        <v>367935.03751406283</v>
      </c>
      <c r="AF73" s="462">
        <f t="shared" ca="1" si="53"/>
        <v>19900.786269224045</v>
      </c>
      <c r="AG73" s="463">
        <f t="shared" ca="1" si="54"/>
        <v>20685.949744054724</v>
      </c>
      <c r="AH73" s="463">
        <f t="shared" ca="1" si="55"/>
        <v>21327.273080260122</v>
      </c>
      <c r="AI73" s="485">
        <f t="shared" ca="1" si="56"/>
        <v>28813.952496504025</v>
      </c>
      <c r="AJ73" s="485">
        <f t="shared" ca="1" si="57"/>
        <v>28195.207845948036</v>
      </c>
      <c r="AK73" s="823"/>
      <c r="AL73" s="490">
        <f t="shared" ca="1" si="69"/>
        <v>118923.16943599096</v>
      </c>
      <c r="AM73" s="462">
        <f t="shared" ca="1" si="58"/>
        <v>0</v>
      </c>
      <c r="AN73" s="463">
        <f t="shared" ca="1" si="59"/>
        <v>0</v>
      </c>
      <c r="AO73" s="463">
        <f t="shared" ca="1" si="60"/>
        <v>0</v>
      </c>
      <c r="AP73" s="485">
        <f t="shared" ca="1" si="61"/>
        <v>0</v>
      </c>
      <c r="AQ73" s="485">
        <f t="shared" ca="1" si="62"/>
        <v>0</v>
      </c>
      <c r="AR73" s="823"/>
      <c r="AS73" s="490">
        <f t="shared" ca="1" si="70"/>
        <v>0</v>
      </c>
      <c r="AT73" s="490">
        <f t="shared" ca="1" si="71"/>
        <v>1628529.2238311754</v>
      </c>
    </row>
    <row r="74" spans="1:46" ht="32">
      <c r="B74" s="200">
        <v>11</v>
      </c>
      <c r="C74" s="471" t="str">
        <f t="shared" si="63"/>
        <v>5.2.  Asigurarea informării privind respectarea măsurilor de control al infecției  pentru reducerea riscului de transmitere a TB în societate</v>
      </c>
      <c r="D74" s="462">
        <f t="shared" ca="1" si="64"/>
        <v>0</v>
      </c>
      <c r="E74" s="463">
        <f t="shared" ca="1" si="34"/>
        <v>0</v>
      </c>
      <c r="F74" s="463">
        <f t="shared" ca="1" si="35"/>
        <v>0</v>
      </c>
      <c r="G74" s="485">
        <f t="shared" ca="1" si="36"/>
        <v>0</v>
      </c>
      <c r="H74" s="485">
        <f t="shared" ca="1" si="37"/>
        <v>0</v>
      </c>
      <c r="I74" s="823"/>
      <c r="J74" s="490">
        <f t="shared" ca="1" si="65"/>
        <v>0</v>
      </c>
      <c r="K74" s="462">
        <f t="shared" ca="1" si="38"/>
        <v>0</v>
      </c>
      <c r="L74" s="463">
        <f t="shared" ca="1" si="39"/>
        <v>0</v>
      </c>
      <c r="M74" s="463">
        <f t="shared" ca="1" si="40"/>
        <v>0</v>
      </c>
      <c r="N74" s="485">
        <f t="shared" ca="1" si="41"/>
        <v>0</v>
      </c>
      <c r="O74" s="485">
        <f t="shared" ca="1" si="42"/>
        <v>0</v>
      </c>
      <c r="P74" s="823"/>
      <c r="Q74" s="490">
        <f t="shared" ca="1" si="66"/>
        <v>0</v>
      </c>
      <c r="R74" s="462">
        <f t="shared" ca="1" si="43"/>
        <v>0</v>
      </c>
      <c r="S74" s="463">
        <f t="shared" ca="1" si="44"/>
        <v>0</v>
      </c>
      <c r="T74" s="463">
        <f t="shared" ca="1" si="45"/>
        <v>0</v>
      </c>
      <c r="U74" s="485">
        <f t="shared" ca="1" si="46"/>
        <v>0</v>
      </c>
      <c r="V74" s="485">
        <f t="shared" ca="1" si="47"/>
        <v>0</v>
      </c>
      <c r="W74" s="823"/>
      <c r="X74" s="490">
        <f t="shared" ca="1" si="67"/>
        <v>0</v>
      </c>
      <c r="Y74" s="462">
        <f t="shared" ca="1" si="48"/>
        <v>59122.946726888047</v>
      </c>
      <c r="Z74" s="463">
        <f t="shared" ca="1" si="49"/>
        <v>43769.355388461161</v>
      </c>
      <c r="AA74" s="463">
        <f t="shared" ca="1" si="50"/>
        <v>44637.139221928606</v>
      </c>
      <c r="AB74" s="485">
        <f t="shared" ca="1" si="51"/>
        <v>0</v>
      </c>
      <c r="AC74" s="485">
        <f t="shared" ca="1" si="52"/>
        <v>0</v>
      </c>
      <c r="AD74" s="823"/>
      <c r="AE74" s="490">
        <f t="shared" ca="1" si="68"/>
        <v>147529.44133727782</v>
      </c>
      <c r="AF74" s="462">
        <f t="shared" ca="1" si="53"/>
        <v>0</v>
      </c>
      <c r="AG74" s="463">
        <f t="shared" ca="1" si="54"/>
        <v>0</v>
      </c>
      <c r="AH74" s="463">
        <f t="shared" ca="1" si="55"/>
        <v>0</v>
      </c>
      <c r="AI74" s="485">
        <f t="shared" ca="1" si="56"/>
        <v>0</v>
      </c>
      <c r="AJ74" s="485">
        <f t="shared" ca="1" si="57"/>
        <v>0</v>
      </c>
      <c r="AK74" s="823"/>
      <c r="AL74" s="490">
        <f t="shared" ca="1" si="69"/>
        <v>0</v>
      </c>
      <c r="AM74" s="462">
        <f t="shared" ca="1" si="58"/>
        <v>0</v>
      </c>
      <c r="AN74" s="463">
        <f t="shared" ca="1" si="59"/>
        <v>0</v>
      </c>
      <c r="AO74" s="463">
        <f t="shared" ca="1" si="60"/>
        <v>0</v>
      </c>
      <c r="AP74" s="485">
        <f t="shared" ca="1" si="61"/>
        <v>0</v>
      </c>
      <c r="AQ74" s="485">
        <f t="shared" ca="1" si="62"/>
        <v>0</v>
      </c>
      <c r="AR74" s="823"/>
      <c r="AS74" s="490">
        <f t="shared" ca="1" si="70"/>
        <v>0</v>
      </c>
      <c r="AT74" s="490">
        <f t="shared" ca="1" si="71"/>
        <v>147529.44133727782</v>
      </c>
    </row>
    <row r="75" spans="1:46" ht="16">
      <c r="B75" s="200">
        <v>12</v>
      </c>
      <c r="C75" s="471" t="str">
        <f t="shared" si="63"/>
        <v>5.3.  Asigurarea controlului infecției în IMSP și alte AP cu rețele sanitare proprii</v>
      </c>
      <c r="D75" s="462">
        <f t="shared" ca="1" si="64"/>
        <v>0</v>
      </c>
      <c r="E75" s="463">
        <f t="shared" ca="1" si="34"/>
        <v>0</v>
      </c>
      <c r="F75" s="463">
        <f t="shared" ca="1" si="35"/>
        <v>0</v>
      </c>
      <c r="G75" s="485">
        <f t="shared" ca="1" si="36"/>
        <v>0</v>
      </c>
      <c r="H75" s="485">
        <f t="shared" ca="1" si="37"/>
        <v>0</v>
      </c>
      <c r="I75" s="823"/>
      <c r="J75" s="490">
        <f t="shared" ca="1" si="65"/>
        <v>0</v>
      </c>
      <c r="K75" s="462">
        <f t="shared" ca="1" si="38"/>
        <v>0</v>
      </c>
      <c r="L75" s="463">
        <f t="shared" ca="1" si="39"/>
        <v>0</v>
      </c>
      <c r="M75" s="463">
        <f t="shared" ca="1" si="40"/>
        <v>0</v>
      </c>
      <c r="N75" s="485">
        <f t="shared" ca="1" si="41"/>
        <v>0</v>
      </c>
      <c r="O75" s="485">
        <f t="shared" ca="1" si="42"/>
        <v>0</v>
      </c>
      <c r="P75" s="823"/>
      <c r="Q75" s="490">
        <f t="shared" ca="1" si="66"/>
        <v>0</v>
      </c>
      <c r="R75" s="462">
        <f t="shared" ca="1" si="43"/>
        <v>0</v>
      </c>
      <c r="S75" s="463">
        <f t="shared" ca="1" si="44"/>
        <v>0</v>
      </c>
      <c r="T75" s="463">
        <f t="shared" ca="1" si="45"/>
        <v>0</v>
      </c>
      <c r="U75" s="485">
        <f t="shared" ca="1" si="46"/>
        <v>0</v>
      </c>
      <c r="V75" s="485">
        <f t="shared" ca="1" si="47"/>
        <v>0</v>
      </c>
      <c r="W75" s="823"/>
      <c r="X75" s="490">
        <f t="shared" ca="1" si="67"/>
        <v>0</v>
      </c>
      <c r="Y75" s="462">
        <f t="shared" ca="1" si="48"/>
        <v>0</v>
      </c>
      <c r="Z75" s="463">
        <f t="shared" ca="1" si="49"/>
        <v>0</v>
      </c>
      <c r="AA75" s="463">
        <f t="shared" ca="1" si="50"/>
        <v>0</v>
      </c>
      <c r="AB75" s="485">
        <f t="shared" ca="1" si="51"/>
        <v>0</v>
      </c>
      <c r="AC75" s="485">
        <f t="shared" ca="1" si="52"/>
        <v>0</v>
      </c>
      <c r="AD75" s="823"/>
      <c r="AE75" s="490">
        <f t="shared" ca="1" si="68"/>
        <v>0</v>
      </c>
      <c r="AF75" s="462">
        <f t="shared" ca="1" si="53"/>
        <v>0</v>
      </c>
      <c r="AG75" s="463">
        <f t="shared" ca="1" si="54"/>
        <v>0</v>
      </c>
      <c r="AH75" s="463">
        <f t="shared" ca="1" si="55"/>
        <v>0</v>
      </c>
      <c r="AI75" s="485">
        <f t="shared" ca="1" si="56"/>
        <v>0</v>
      </c>
      <c r="AJ75" s="485">
        <f t="shared" ca="1" si="57"/>
        <v>0</v>
      </c>
      <c r="AK75" s="823"/>
      <c r="AL75" s="490">
        <f t="shared" ca="1" si="69"/>
        <v>0</v>
      </c>
      <c r="AM75" s="462">
        <f t="shared" ca="1" si="58"/>
        <v>0</v>
      </c>
      <c r="AN75" s="463">
        <f t="shared" ca="1" si="59"/>
        <v>0</v>
      </c>
      <c r="AO75" s="463">
        <f t="shared" ca="1" si="60"/>
        <v>0</v>
      </c>
      <c r="AP75" s="485">
        <f t="shared" ca="1" si="61"/>
        <v>0</v>
      </c>
      <c r="AQ75" s="485">
        <f t="shared" ca="1" si="62"/>
        <v>0</v>
      </c>
      <c r="AR75" s="823"/>
      <c r="AS75" s="490">
        <f t="shared" ca="1" si="70"/>
        <v>0</v>
      </c>
      <c r="AT75" s="490">
        <f t="shared" ca="1" si="71"/>
        <v>0</v>
      </c>
    </row>
    <row r="76" spans="1:46" ht="16">
      <c r="B76" s="200">
        <v>13</v>
      </c>
      <c r="C76" s="471" t="str">
        <f t="shared" si="63"/>
        <v>6.1.  Consolidarea capacităților pentru managementul eficient al PNCT</v>
      </c>
      <c r="D76" s="462">
        <f t="shared" ca="1" si="64"/>
        <v>4480.2828353631648</v>
      </c>
      <c r="E76" s="463">
        <f t="shared" ca="1" si="34"/>
        <v>4928.3110169871106</v>
      </c>
      <c r="F76" s="463">
        <f t="shared" ca="1" si="35"/>
        <v>5376.3386890492047</v>
      </c>
      <c r="G76" s="485">
        <f t="shared" ca="1" si="36"/>
        <v>39533.818677408774</v>
      </c>
      <c r="H76" s="485">
        <f t="shared" ca="1" si="37"/>
        <v>39533.818677408774</v>
      </c>
      <c r="I76" s="823"/>
      <c r="J76" s="490">
        <f t="shared" ca="1" si="65"/>
        <v>93852.569896217028</v>
      </c>
      <c r="K76" s="462">
        <f t="shared" ca="1" si="38"/>
        <v>0</v>
      </c>
      <c r="L76" s="463">
        <f t="shared" ca="1" si="39"/>
        <v>0</v>
      </c>
      <c r="M76" s="463">
        <f t="shared" ca="1" si="40"/>
        <v>0</v>
      </c>
      <c r="N76" s="485">
        <f t="shared" ca="1" si="41"/>
        <v>0</v>
      </c>
      <c r="O76" s="485">
        <f t="shared" ca="1" si="42"/>
        <v>0</v>
      </c>
      <c r="P76" s="823"/>
      <c r="Q76" s="490">
        <f t="shared" ca="1" si="66"/>
        <v>0</v>
      </c>
      <c r="R76" s="462">
        <f t="shared" ca="1" si="43"/>
        <v>0</v>
      </c>
      <c r="S76" s="463">
        <f t="shared" ca="1" si="44"/>
        <v>0</v>
      </c>
      <c r="T76" s="463">
        <f t="shared" ca="1" si="45"/>
        <v>0</v>
      </c>
      <c r="U76" s="485">
        <f t="shared" ca="1" si="46"/>
        <v>0</v>
      </c>
      <c r="V76" s="485">
        <f t="shared" ca="1" si="47"/>
        <v>0</v>
      </c>
      <c r="W76" s="823"/>
      <c r="X76" s="490">
        <f t="shared" ca="1" si="67"/>
        <v>0</v>
      </c>
      <c r="Y76" s="462">
        <f t="shared" ca="1" si="48"/>
        <v>225723.23914293022</v>
      </c>
      <c r="Z76" s="463">
        <f t="shared" ca="1" si="49"/>
        <v>127929.65189730412</v>
      </c>
      <c r="AA76" s="463">
        <f t="shared" ca="1" si="50"/>
        <v>67299.88797170484</v>
      </c>
      <c r="AB76" s="485">
        <f t="shared" ca="1" si="51"/>
        <v>0</v>
      </c>
      <c r="AC76" s="485">
        <f t="shared" ca="1" si="52"/>
        <v>0</v>
      </c>
      <c r="AD76" s="823"/>
      <c r="AE76" s="490">
        <f t="shared" ca="1" si="68"/>
        <v>420952.77901193919</v>
      </c>
      <c r="AF76" s="462">
        <f t="shared" ca="1" si="53"/>
        <v>534.38006170080632</v>
      </c>
      <c r="AG76" s="463">
        <f t="shared" ca="1" si="54"/>
        <v>587.81781308996119</v>
      </c>
      <c r="AH76" s="463">
        <f t="shared" ca="1" si="55"/>
        <v>641.25556447911595</v>
      </c>
      <c r="AI76" s="485">
        <f t="shared" ca="1" si="56"/>
        <v>1068.759613839761</v>
      </c>
      <c r="AJ76" s="485">
        <f t="shared" ca="1" si="57"/>
        <v>1068.759613839761</v>
      </c>
      <c r="AK76" s="823"/>
      <c r="AL76" s="490">
        <f t="shared" ca="1" si="69"/>
        <v>3900.9726669494057</v>
      </c>
      <c r="AM76" s="462">
        <f t="shared" ca="1" si="58"/>
        <v>0</v>
      </c>
      <c r="AN76" s="463">
        <f t="shared" ca="1" si="59"/>
        <v>0</v>
      </c>
      <c r="AO76" s="463">
        <f t="shared" ca="1" si="60"/>
        <v>0</v>
      </c>
      <c r="AP76" s="485">
        <f t="shared" ca="1" si="61"/>
        <v>0</v>
      </c>
      <c r="AQ76" s="485">
        <f t="shared" ca="1" si="62"/>
        <v>0</v>
      </c>
      <c r="AR76" s="823"/>
      <c r="AS76" s="490">
        <f t="shared" ca="1" si="70"/>
        <v>0</v>
      </c>
      <c r="AT76" s="490">
        <f t="shared" ca="1" si="71"/>
        <v>518706.3215751056</v>
      </c>
    </row>
    <row r="77" spans="1:46" ht="32">
      <c r="B77" s="200">
        <v>14</v>
      </c>
      <c r="C77" s="471" t="str">
        <f t="shared" si="63"/>
        <v>6.2.  Consolidarea sistemelor de sănătate prin mecanisme de finanțare bine aliniate pentru TB</v>
      </c>
      <c r="D77" s="462">
        <f t="shared" ca="1" si="64"/>
        <v>6349378.9760792814</v>
      </c>
      <c r="E77" s="463">
        <f t="shared" ca="1" si="34"/>
        <v>6349378.9760792814</v>
      </c>
      <c r="F77" s="463">
        <f t="shared" ca="1" si="35"/>
        <v>6349378.9760792814</v>
      </c>
      <c r="G77" s="485">
        <f t="shared" ca="1" si="36"/>
        <v>6390353.2236895505</v>
      </c>
      <c r="H77" s="485">
        <f t="shared" ca="1" si="37"/>
        <v>6390353.2236895505</v>
      </c>
      <c r="I77" s="823"/>
      <c r="J77" s="490">
        <f t="shared" ca="1" si="65"/>
        <v>31828843.375616945</v>
      </c>
      <c r="K77" s="462">
        <f t="shared" ca="1" si="38"/>
        <v>0</v>
      </c>
      <c r="L77" s="463">
        <f t="shared" ca="1" si="39"/>
        <v>0</v>
      </c>
      <c r="M77" s="463">
        <f t="shared" ca="1" si="40"/>
        <v>0</v>
      </c>
      <c r="N77" s="485">
        <f t="shared" ca="1" si="41"/>
        <v>24985.490481053395</v>
      </c>
      <c r="O77" s="485">
        <f t="shared" ca="1" si="42"/>
        <v>24985.490481053395</v>
      </c>
      <c r="P77" s="823"/>
      <c r="Q77" s="490">
        <f t="shared" ca="1" si="66"/>
        <v>49970.980962106791</v>
      </c>
      <c r="R77" s="462">
        <f t="shared" ca="1" si="43"/>
        <v>0</v>
      </c>
      <c r="S77" s="463">
        <f t="shared" ca="1" si="44"/>
        <v>0</v>
      </c>
      <c r="T77" s="463">
        <f t="shared" ca="1" si="45"/>
        <v>0</v>
      </c>
      <c r="U77" s="485">
        <f t="shared" ca="1" si="46"/>
        <v>0</v>
      </c>
      <c r="V77" s="485">
        <f t="shared" ca="1" si="47"/>
        <v>0</v>
      </c>
      <c r="W77" s="823"/>
      <c r="X77" s="490">
        <f t="shared" ca="1" si="67"/>
        <v>0</v>
      </c>
      <c r="Y77" s="462">
        <f t="shared" ca="1" si="48"/>
        <v>94247.944240851939</v>
      </c>
      <c r="Z77" s="463">
        <f t="shared" ca="1" si="49"/>
        <v>80903.248038315811</v>
      </c>
      <c r="AA77" s="463">
        <f t="shared" ca="1" si="50"/>
        <v>80903.248038315811</v>
      </c>
      <c r="AB77" s="485">
        <f t="shared" ca="1" si="51"/>
        <v>-5.3568810769002116E-4</v>
      </c>
      <c r="AC77" s="485">
        <f t="shared" ca="1" si="52"/>
        <v>-4.0764948293656444E-4</v>
      </c>
      <c r="AD77" s="823"/>
      <c r="AE77" s="490">
        <f t="shared" ca="1" si="68"/>
        <v>256054.43937414596</v>
      </c>
      <c r="AF77" s="462">
        <f t="shared" ca="1" si="53"/>
        <v>0</v>
      </c>
      <c r="AG77" s="463">
        <f t="shared" ca="1" si="54"/>
        <v>0</v>
      </c>
      <c r="AH77" s="463">
        <f t="shared" ca="1" si="55"/>
        <v>0</v>
      </c>
      <c r="AI77" s="485">
        <f t="shared" ca="1" si="56"/>
        <v>11568.438258657978</v>
      </c>
      <c r="AJ77" s="485">
        <f t="shared" ca="1" si="57"/>
        <v>11568.438258657978</v>
      </c>
      <c r="AK77" s="823"/>
      <c r="AL77" s="490">
        <f t="shared" ca="1" si="69"/>
        <v>23136.876517315955</v>
      </c>
      <c r="AM77" s="462">
        <f t="shared" ca="1" si="58"/>
        <v>0</v>
      </c>
      <c r="AN77" s="463">
        <f t="shared" ca="1" si="59"/>
        <v>0</v>
      </c>
      <c r="AO77" s="463">
        <f t="shared" ca="1" si="60"/>
        <v>0</v>
      </c>
      <c r="AP77" s="485">
        <f t="shared" ca="1" si="61"/>
        <v>0</v>
      </c>
      <c r="AQ77" s="485">
        <f t="shared" ca="1" si="62"/>
        <v>0</v>
      </c>
      <c r="AR77" s="823"/>
      <c r="AS77" s="490">
        <f t="shared" ca="1" si="70"/>
        <v>0</v>
      </c>
      <c r="AT77" s="490">
        <f t="shared" ca="1" si="71"/>
        <v>32158005.67247051</v>
      </c>
    </row>
    <row r="78" spans="1:46" ht="16">
      <c r="B78" s="200">
        <v>15</v>
      </c>
      <c r="C78" s="471" t="str">
        <f t="shared" si="63"/>
        <v>6.3.  Consolidarea capacităților resurselor umane implicate în controlul TB</v>
      </c>
      <c r="D78" s="462">
        <f t="shared" ca="1" si="64"/>
        <v>0</v>
      </c>
      <c r="E78" s="463">
        <f t="shared" ca="1" si="34"/>
        <v>0</v>
      </c>
      <c r="F78" s="463">
        <f t="shared" ca="1" si="35"/>
        <v>0</v>
      </c>
      <c r="G78" s="485">
        <f t="shared" ca="1" si="36"/>
        <v>0</v>
      </c>
      <c r="H78" s="485">
        <f t="shared" ca="1" si="37"/>
        <v>0</v>
      </c>
      <c r="I78" s="823"/>
      <c r="J78" s="490">
        <f t="shared" ca="1" si="65"/>
        <v>0</v>
      </c>
      <c r="K78" s="462">
        <f t="shared" ca="1" si="38"/>
        <v>29981.141625429947</v>
      </c>
      <c r="L78" s="463">
        <f t="shared" ca="1" si="39"/>
        <v>29981.141625429947</v>
      </c>
      <c r="M78" s="463">
        <f t="shared" ca="1" si="40"/>
        <v>29981.141625429947</v>
      </c>
      <c r="N78" s="485">
        <f t="shared" ca="1" si="41"/>
        <v>29981.141625429947</v>
      </c>
      <c r="O78" s="485">
        <f t="shared" ca="1" si="42"/>
        <v>29981.141625429947</v>
      </c>
      <c r="P78" s="823"/>
      <c r="Q78" s="490">
        <f t="shared" ca="1" si="66"/>
        <v>149905.70812714973</v>
      </c>
      <c r="R78" s="462">
        <f t="shared" ca="1" si="43"/>
        <v>0</v>
      </c>
      <c r="S78" s="463">
        <f t="shared" ca="1" si="44"/>
        <v>0</v>
      </c>
      <c r="T78" s="463">
        <f t="shared" ca="1" si="45"/>
        <v>0</v>
      </c>
      <c r="U78" s="485">
        <f t="shared" ca="1" si="46"/>
        <v>0</v>
      </c>
      <c r="V78" s="485">
        <f t="shared" ca="1" si="47"/>
        <v>0</v>
      </c>
      <c r="W78" s="823"/>
      <c r="X78" s="490">
        <f t="shared" ca="1" si="67"/>
        <v>0</v>
      </c>
      <c r="Y78" s="462">
        <f t="shared" ca="1" si="48"/>
        <v>66501.539568853084</v>
      </c>
      <c r="Z78" s="463">
        <f t="shared" ca="1" si="49"/>
        <v>31114.856264652259</v>
      </c>
      <c r="AA78" s="463">
        <f t="shared" ca="1" si="50"/>
        <v>29076.608857799783</v>
      </c>
      <c r="AB78" s="485">
        <f t="shared" ca="1" si="51"/>
        <v>0</v>
      </c>
      <c r="AC78" s="485">
        <f t="shared" ca="1" si="52"/>
        <v>0</v>
      </c>
      <c r="AD78" s="823"/>
      <c r="AE78" s="490">
        <f t="shared" ca="1" si="68"/>
        <v>126693.00469130513</v>
      </c>
      <c r="AF78" s="462">
        <f t="shared" ca="1" si="53"/>
        <v>0</v>
      </c>
      <c r="AG78" s="463">
        <f t="shared" ca="1" si="54"/>
        <v>0</v>
      </c>
      <c r="AH78" s="463">
        <f t="shared" ca="1" si="55"/>
        <v>0</v>
      </c>
      <c r="AI78" s="485">
        <f t="shared" ca="1" si="56"/>
        <v>0</v>
      </c>
      <c r="AJ78" s="485">
        <f t="shared" ca="1" si="57"/>
        <v>0</v>
      </c>
      <c r="AK78" s="823"/>
      <c r="AL78" s="490">
        <f t="shared" ca="1" si="69"/>
        <v>0</v>
      </c>
      <c r="AM78" s="462">
        <f t="shared" ca="1" si="58"/>
        <v>0</v>
      </c>
      <c r="AN78" s="463">
        <f t="shared" ca="1" si="59"/>
        <v>0</v>
      </c>
      <c r="AO78" s="463">
        <f t="shared" ca="1" si="60"/>
        <v>0</v>
      </c>
      <c r="AP78" s="485">
        <f t="shared" ca="1" si="61"/>
        <v>0</v>
      </c>
      <c r="AQ78" s="485">
        <f t="shared" ca="1" si="62"/>
        <v>0</v>
      </c>
      <c r="AR78" s="823"/>
      <c r="AS78" s="490">
        <f t="shared" ca="1" si="70"/>
        <v>0</v>
      </c>
      <c r="AT78" s="490">
        <f t="shared" ca="1" si="71"/>
        <v>276598.71281845483</v>
      </c>
    </row>
    <row r="79" spans="1:46" ht="48">
      <c r="B79" s="200">
        <v>16</v>
      </c>
      <c r="C79" s="471" t="str">
        <f t="shared" si="63"/>
        <v>6.4.  Elaborarea actelor normative pentru supravegherea bazată pe date individuale,  îmbunătățind calitatea înregistrării actelor de stare civilă, calitatea și utilizarea rațională a medicamentelor și farmacovigilența</v>
      </c>
      <c r="D79" s="462">
        <f t="shared" ca="1" si="64"/>
        <v>0</v>
      </c>
      <c r="E79" s="463">
        <f t="shared" ca="1" si="34"/>
        <v>0</v>
      </c>
      <c r="F79" s="463">
        <f t="shared" ca="1" si="35"/>
        <v>0</v>
      </c>
      <c r="G79" s="485">
        <f t="shared" ca="1" si="36"/>
        <v>0</v>
      </c>
      <c r="H79" s="485">
        <f t="shared" ca="1" si="37"/>
        <v>0</v>
      </c>
      <c r="I79" s="823"/>
      <c r="J79" s="490">
        <f t="shared" ca="1" si="65"/>
        <v>0</v>
      </c>
      <c r="K79" s="462">
        <f t="shared" ca="1" si="38"/>
        <v>0</v>
      </c>
      <c r="L79" s="463">
        <f t="shared" ca="1" si="39"/>
        <v>0</v>
      </c>
      <c r="M79" s="463">
        <f t="shared" ca="1" si="40"/>
        <v>0</v>
      </c>
      <c r="N79" s="485">
        <f t="shared" ca="1" si="41"/>
        <v>0</v>
      </c>
      <c r="O79" s="485">
        <f t="shared" ca="1" si="42"/>
        <v>0</v>
      </c>
      <c r="P79" s="823"/>
      <c r="Q79" s="490">
        <f t="shared" ca="1" si="66"/>
        <v>0</v>
      </c>
      <c r="R79" s="462">
        <f t="shared" ca="1" si="43"/>
        <v>0</v>
      </c>
      <c r="S79" s="463">
        <f t="shared" ca="1" si="44"/>
        <v>0</v>
      </c>
      <c r="T79" s="463">
        <f t="shared" ca="1" si="45"/>
        <v>0</v>
      </c>
      <c r="U79" s="485">
        <f t="shared" ca="1" si="46"/>
        <v>0</v>
      </c>
      <c r="V79" s="485">
        <f t="shared" ca="1" si="47"/>
        <v>0</v>
      </c>
      <c r="W79" s="823"/>
      <c r="X79" s="490">
        <f t="shared" ca="1" si="67"/>
        <v>0</v>
      </c>
      <c r="Y79" s="462">
        <f t="shared" ca="1" si="48"/>
        <v>0</v>
      </c>
      <c r="Z79" s="463">
        <f t="shared" ca="1" si="49"/>
        <v>0</v>
      </c>
      <c r="AA79" s="463">
        <f t="shared" ca="1" si="50"/>
        <v>0</v>
      </c>
      <c r="AB79" s="485">
        <f t="shared" ca="1" si="51"/>
        <v>0</v>
      </c>
      <c r="AC79" s="485">
        <f t="shared" ca="1" si="52"/>
        <v>0</v>
      </c>
      <c r="AD79" s="823"/>
      <c r="AE79" s="490">
        <f t="shared" ca="1" si="68"/>
        <v>0</v>
      </c>
      <c r="AF79" s="462">
        <f t="shared" ca="1" si="53"/>
        <v>0</v>
      </c>
      <c r="AG79" s="463">
        <f t="shared" ca="1" si="54"/>
        <v>0</v>
      </c>
      <c r="AH79" s="463">
        <f t="shared" ca="1" si="55"/>
        <v>0</v>
      </c>
      <c r="AI79" s="485">
        <f t="shared" ca="1" si="56"/>
        <v>0</v>
      </c>
      <c r="AJ79" s="485">
        <f t="shared" ca="1" si="57"/>
        <v>0</v>
      </c>
      <c r="AK79" s="823"/>
      <c r="AL79" s="490">
        <f t="shared" ca="1" si="69"/>
        <v>0</v>
      </c>
      <c r="AM79" s="462">
        <f t="shared" ca="1" si="58"/>
        <v>0</v>
      </c>
      <c r="AN79" s="463">
        <f t="shared" ca="1" si="59"/>
        <v>0</v>
      </c>
      <c r="AO79" s="463">
        <f t="shared" ca="1" si="60"/>
        <v>0</v>
      </c>
      <c r="AP79" s="485">
        <f t="shared" ca="1" si="61"/>
        <v>0</v>
      </c>
      <c r="AQ79" s="485">
        <f t="shared" ca="1" si="62"/>
        <v>0</v>
      </c>
      <c r="AR79" s="823"/>
      <c r="AS79" s="490">
        <f t="shared" ca="1" si="70"/>
        <v>0</v>
      </c>
      <c r="AT79" s="490">
        <f t="shared" ca="1" si="71"/>
        <v>0</v>
      </c>
    </row>
    <row r="80" spans="1:46" ht="32">
      <c r="B80" s="200">
        <v>17</v>
      </c>
      <c r="C80" s="471" t="str">
        <f t="shared" si="63"/>
        <v>6.5.  Fortificarea implicării comunității și OSC în controlul TB prin abordare centrată pe persoană</v>
      </c>
      <c r="D80" s="462">
        <f t="shared" ca="1" si="64"/>
        <v>0</v>
      </c>
      <c r="E80" s="463">
        <f t="shared" ca="1" si="34"/>
        <v>0</v>
      </c>
      <c r="F80" s="463">
        <f t="shared" ca="1" si="35"/>
        <v>0</v>
      </c>
      <c r="G80" s="485">
        <f t="shared" ca="1" si="36"/>
        <v>96898.471533556454</v>
      </c>
      <c r="H80" s="485">
        <f t="shared" ca="1" si="37"/>
        <v>94044.596241787716</v>
      </c>
      <c r="I80" s="823"/>
      <c r="J80" s="490">
        <f t="shared" ca="1" si="65"/>
        <v>190943.06777534419</v>
      </c>
      <c r="K80" s="462">
        <f t="shared" ca="1" si="38"/>
        <v>0</v>
      </c>
      <c r="L80" s="463">
        <f t="shared" ca="1" si="39"/>
        <v>0</v>
      </c>
      <c r="M80" s="463">
        <f t="shared" ca="1" si="40"/>
        <v>0</v>
      </c>
      <c r="N80" s="485">
        <f t="shared" ca="1" si="41"/>
        <v>0</v>
      </c>
      <c r="O80" s="485">
        <f t="shared" ca="1" si="42"/>
        <v>0</v>
      </c>
      <c r="P80" s="823"/>
      <c r="Q80" s="490">
        <f t="shared" ca="1" si="66"/>
        <v>0</v>
      </c>
      <c r="R80" s="462">
        <f t="shared" ca="1" si="43"/>
        <v>0</v>
      </c>
      <c r="S80" s="463">
        <f t="shared" ca="1" si="44"/>
        <v>0</v>
      </c>
      <c r="T80" s="463">
        <f t="shared" ca="1" si="45"/>
        <v>0</v>
      </c>
      <c r="U80" s="485">
        <f t="shared" ca="1" si="46"/>
        <v>0</v>
      </c>
      <c r="V80" s="485">
        <f t="shared" ca="1" si="47"/>
        <v>0</v>
      </c>
      <c r="W80" s="823"/>
      <c r="X80" s="490">
        <f t="shared" ca="1" si="67"/>
        <v>0</v>
      </c>
      <c r="Y80" s="462">
        <f t="shared" ca="1" si="48"/>
        <v>162029.43478940803</v>
      </c>
      <c r="Z80" s="463">
        <f t="shared" ca="1" si="49"/>
        <v>182734.58151188327</v>
      </c>
      <c r="AA80" s="463">
        <f t="shared" ca="1" si="50"/>
        <v>200016.40432469221</v>
      </c>
      <c r="AB80" s="485">
        <f t="shared" ca="1" si="51"/>
        <v>0</v>
      </c>
      <c r="AC80" s="485">
        <f t="shared" ca="1" si="52"/>
        <v>0</v>
      </c>
      <c r="AD80" s="823"/>
      <c r="AE80" s="490">
        <f t="shared" ca="1" si="68"/>
        <v>544780.4206259835</v>
      </c>
      <c r="AF80" s="462">
        <f t="shared" ca="1" si="53"/>
        <v>0</v>
      </c>
      <c r="AG80" s="463">
        <f t="shared" ca="1" si="54"/>
        <v>0</v>
      </c>
      <c r="AH80" s="463">
        <f t="shared" ca="1" si="55"/>
        <v>0</v>
      </c>
      <c r="AI80" s="485">
        <f t="shared" ca="1" si="56"/>
        <v>31510.721971180916</v>
      </c>
      <c r="AJ80" s="485">
        <f t="shared" ca="1" si="57"/>
        <v>31582.039993165756</v>
      </c>
      <c r="AK80" s="823"/>
      <c r="AL80" s="490">
        <f t="shared" ca="1" si="69"/>
        <v>63092.761964346675</v>
      </c>
      <c r="AM80" s="462">
        <f t="shared" ca="1" si="58"/>
        <v>0</v>
      </c>
      <c r="AN80" s="463">
        <f t="shared" ca="1" si="59"/>
        <v>0</v>
      </c>
      <c r="AO80" s="463">
        <f t="shared" ca="1" si="60"/>
        <v>0</v>
      </c>
      <c r="AP80" s="485">
        <f t="shared" ca="1" si="61"/>
        <v>0</v>
      </c>
      <c r="AQ80" s="485">
        <f t="shared" ca="1" si="62"/>
        <v>0</v>
      </c>
      <c r="AR80" s="823"/>
      <c r="AS80" s="490">
        <f t="shared" ca="1" si="70"/>
        <v>0</v>
      </c>
      <c r="AT80" s="490">
        <f t="shared" ca="1" si="71"/>
        <v>798816.25036567438</v>
      </c>
    </row>
    <row r="81" spans="2:46" ht="32">
      <c r="B81" s="200">
        <v>18</v>
      </c>
      <c r="C81" s="471" t="str">
        <f t="shared" si="63"/>
        <v xml:space="preserve">6.6.  Protecția socială, reducerea sărăciei și acțiuni asupra altor factori determinanți ai TB, inclusiv printre migranți si deținuți </v>
      </c>
      <c r="D81" s="462">
        <f t="shared" ca="1" si="64"/>
        <v>0</v>
      </c>
      <c r="E81" s="463">
        <f t="shared" ca="1" si="34"/>
        <v>0</v>
      </c>
      <c r="F81" s="463">
        <f t="shared" ca="1" si="35"/>
        <v>0</v>
      </c>
      <c r="G81" s="485">
        <f t="shared" ca="1" si="36"/>
        <v>0</v>
      </c>
      <c r="H81" s="485">
        <f t="shared" ca="1" si="37"/>
        <v>0</v>
      </c>
      <c r="I81" s="823"/>
      <c r="J81" s="490">
        <f t="shared" ca="1" si="65"/>
        <v>0</v>
      </c>
      <c r="K81" s="462">
        <f t="shared" ca="1" si="38"/>
        <v>0</v>
      </c>
      <c r="L81" s="463">
        <f t="shared" ca="1" si="39"/>
        <v>0</v>
      </c>
      <c r="M81" s="463">
        <f t="shared" ca="1" si="40"/>
        <v>0</v>
      </c>
      <c r="N81" s="485">
        <f t="shared" ca="1" si="41"/>
        <v>0</v>
      </c>
      <c r="O81" s="485">
        <f t="shared" ca="1" si="42"/>
        <v>0</v>
      </c>
      <c r="P81" s="823"/>
      <c r="Q81" s="490">
        <f t="shared" ca="1" si="66"/>
        <v>0</v>
      </c>
      <c r="R81" s="462">
        <f t="shared" ca="1" si="43"/>
        <v>0</v>
      </c>
      <c r="S81" s="463">
        <f t="shared" ca="1" si="44"/>
        <v>0</v>
      </c>
      <c r="T81" s="463">
        <f t="shared" ca="1" si="45"/>
        <v>0</v>
      </c>
      <c r="U81" s="485">
        <f t="shared" ca="1" si="46"/>
        <v>0</v>
      </c>
      <c r="V81" s="485">
        <f t="shared" ca="1" si="47"/>
        <v>0</v>
      </c>
      <c r="W81" s="823"/>
      <c r="X81" s="490">
        <f t="shared" ca="1" si="67"/>
        <v>0</v>
      </c>
      <c r="Y81" s="462">
        <f t="shared" ca="1" si="48"/>
        <v>22384.483474730801</v>
      </c>
      <c r="Z81" s="463">
        <f t="shared" ca="1" si="49"/>
        <v>19968.586021403738</v>
      </c>
      <c r="AA81" s="463">
        <f t="shared" ca="1" si="50"/>
        <v>19646.336049009253</v>
      </c>
      <c r="AB81" s="485">
        <f t="shared" ca="1" si="51"/>
        <v>0</v>
      </c>
      <c r="AC81" s="485">
        <f t="shared" ca="1" si="52"/>
        <v>0</v>
      </c>
      <c r="AD81" s="823"/>
      <c r="AE81" s="490">
        <f t="shared" ca="1" si="68"/>
        <v>61999.405545143796</v>
      </c>
      <c r="AF81" s="462">
        <f t="shared" ca="1" si="53"/>
        <v>0</v>
      </c>
      <c r="AG81" s="463">
        <f t="shared" ca="1" si="54"/>
        <v>0</v>
      </c>
      <c r="AH81" s="463">
        <f t="shared" ca="1" si="55"/>
        <v>0</v>
      </c>
      <c r="AI81" s="485">
        <f t="shared" ca="1" si="56"/>
        <v>0</v>
      </c>
      <c r="AJ81" s="485">
        <f t="shared" ca="1" si="57"/>
        <v>0</v>
      </c>
      <c r="AK81" s="823"/>
      <c r="AL81" s="490">
        <f t="shared" ca="1" si="69"/>
        <v>0</v>
      </c>
      <c r="AM81" s="462">
        <f t="shared" ca="1" si="58"/>
        <v>0</v>
      </c>
      <c r="AN81" s="463">
        <f t="shared" ca="1" si="59"/>
        <v>0</v>
      </c>
      <c r="AO81" s="463">
        <f t="shared" ca="1" si="60"/>
        <v>0</v>
      </c>
      <c r="AP81" s="485">
        <f t="shared" ca="1" si="61"/>
        <v>0</v>
      </c>
      <c r="AQ81" s="485">
        <f t="shared" ca="1" si="62"/>
        <v>0</v>
      </c>
      <c r="AR81" s="823"/>
      <c r="AS81" s="490">
        <f t="shared" ca="1" si="70"/>
        <v>0</v>
      </c>
      <c r="AT81" s="490">
        <f t="shared" ca="1" si="71"/>
        <v>61999.405545143796</v>
      </c>
    </row>
    <row r="82" spans="2:46" ht="48">
      <c r="B82" s="200">
        <v>19</v>
      </c>
      <c r="C82" s="471" t="str">
        <f t="shared" si="63"/>
        <v>6.7.  Realizarea Strategiei de pledoarie, comunicare și mobilizare socială în controlul TB, inclusiv prin reducerea stigmei și discriminării, cu alocarea resurselor necesare</v>
      </c>
      <c r="D82" s="462">
        <f t="shared" ca="1" si="64"/>
        <v>0</v>
      </c>
      <c r="E82" s="463">
        <f t="shared" ca="1" si="34"/>
        <v>0</v>
      </c>
      <c r="F82" s="463">
        <f t="shared" ca="1" si="35"/>
        <v>0</v>
      </c>
      <c r="G82" s="485">
        <f t="shared" ca="1" si="36"/>
        <v>0</v>
      </c>
      <c r="H82" s="485">
        <f t="shared" ca="1" si="37"/>
        <v>0</v>
      </c>
      <c r="I82" s="823"/>
      <c r="J82" s="490">
        <f t="shared" ca="1" si="65"/>
        <v>0</v>
      </c>
      <c r="K82" s="462">
        <f t="shared" ca="1" si="38"/>
        <v>0</v>
      </c>
      <c r="L82" s="463">
        <f t="shared" ca="1" si="39"/>
        <v>0</v>
      </c>
      <c r="M82" s="463">
        <f t="shared" ca="1" si="40"/>
        <v>0</v>
      </c>
      <c r="N82" s="485">
        <f t="shared" ca="1" si="41"/>
        <v>0</v>
      </c>
      <c r="O82" s="485">
        <f t="shared" ca="1" si="42"/>
        <v>0</v>
      </c>
      <c r="P82" s="823"/>
      <c r="Q82" s="490">
        <f t="shared" ca="1" si="66"/>
        <v>0</v>
      </c>
      <c r="R82" s="462">
        <f t="shared" ca="1" si="43"/>
        <v>0</v>
      </c>
      <c r="S82" s="463">
        <f t="shared" ca="1" si="44"/>
        <v>0</v>
      </c>
      <c r="T82" s="463">
        <f t="shared" ca="1" si="45"/>
        <v>0</v>
      </c>
      <c r="U82" s="485">
        <f t="shared" ca="1" si="46"/>
        <v>0</v>
      </c>
      <c r="V82" s="485">
        <f t="shared" ca="1" si="47"/>
        <v>0</v>
      </c>
      <c r="W82" s="823"/>
      <c r="X82" s="490">
        <f t="shared" ca="1" si="67"/>
        <v>0</v>
      </c>
      <c r="Y82" s="462">
        <f t="shared" ca="1" si="48"/>
        <v>14227.028047252486</v>
      </c>
      <c r="Z82" s="463">
        <f t="shared" ca="1" si="49"/>
        <v>8863.3799961201967</v>
      </c>
      <c r="AA82" s="463">
        <f t="shared" ca="1" si="50"/>
        <v>6950.0771553077775</v>
      </c>
      <c r="AB82" s="485">
        <f t="shared" ca="1" si="51"/>
        <v>0</v>
      </c>
      <c r="AC82" s="485">
        <f t="shared" ca="1" si="52"/>
        <v>0</v>
      </c>
      <c r="AD82" s="823"/>
      <c r="AE82" s="490">
        <f t="shared" ca="1" si="68"/>
        <v>30040.485198680464</v>
      </c>
      <c r="AF82" s="462">
        <f t="shared" ca="1" si="53"/>
        <v>0</v>
      </c>
      <c r="AG82" s="463">
        <f t="shared" ca="1" si="54"/>
        <v>0</v>
      </c>
      <c r="AH82" s="463">
        <f t="shared" ca="1" si="55"/>
        <v>0</v>
      </c>
      <c r="AI82" s="485">
        <f t="shared" ca="1" si="56"/>
        <v>0</v>
      </c>
      <c r="AJ82" s="485">
        <f t="shared" ca="1" si="57"/>
        <v>0</v>
      </c>
      <c r="AK82" s="823"/>
      <c r="AL82" s="490">
        <f t="shared" ca="1" si="69"/>
        <v>0</v>
      </c>
      <c r="AM82" s="462">
        <f t="shared" ca="1" si="58"/>
        <v>0</v>
      </c>
      <c r="AN82" s="463">
        <f t="shared" ca="1" si="59"/>
        <v>0</v>
      </c>
      <c r="AO82" s="463">
        <f t="shared" ca="1" si="60"/>
        <v>0</v>
      </c>
      <c r="AP82" s="485">
        <f t="shared" ca="1" si="61"/>
        <v>0</v>
      </c>
      <c r="AQ82" s="485">
        <f t="shared" ca="1" si="62"/>
        <v>0</v>
      </c>
      <c r="AR82" s="823"/>
      <c r="AS82" s="490">
        <f t="shared" ca="1" si="70"/>
        <v>0</v>
      </c>
      <c r="AT82" s="490">
        <f t="shared" ca="1" si="71"/>
        <v>30040.485198680464</v>
      </c>
    </row>
    <row r="83" spans="2:46" ht="16">
      <c r="B83" s="200">
        <v>20</v>
      </c>
      <c r="C83" s="471" t="str">
        <f t="shared" si="63"/>
        <v>7.1.  Efectuarea cercetărilor științifice aplicative</v>
      </c>
      <c r="D83" s="462">
        <f t="shared" ca="1" si="64"/>
        <v>0</v>
      </c>
      <c r="E83" s="463">
        <f t="shared" ca="1" si="34"/>
        <v>0</v>
      </c>
      <c r="F83" s="463">
        <f t="shared" ca="1" si="35"/>
        <v>0</v>
      </c>
      <c r="G83" s="485">
        <f t="shared" ca="1" si="36"/>
        <v>0</v>
      </c>
      <c r="H83" s="485">
        <f t="shared" ca="1" si="37"/>
        <v>0</v>
      </c>
      <c r="I83" s="823"/>
      <c r="J83" s="490">
        <f t="shared" ca="1" si="65"/>
        <v>0</v>
      </c>
      <c r="K83" s="462">
        <f t="shared" ca="1" si="38"/>
        <v>111529.02543289444</v>
      </c>
      <c r="L83" s="463">
        <f t="shared" ca="1" si="39"/>
        <v>123525.94584488744</v>
      </c>
      <c r="M83" s="463">
        <f t="shared" ca="1" si="40"/>
        <v>133778.68699465159</v>
      </c>
      <c r="N83" s="485">
        <f t="shared" ca="1" si="41"/>
        <v>145419.21984755641</v>
      </c>
      <c r="O83" s="485">
        <f t="shared" ca="1" si="42"/>
        <v>156766.70367954104</v>
      </c>
      <c r="P83" s="823"/>
      <c r="Q83" s="490">
        <f t="shared" ca="1" si="66"/>
        <v>671019.58179953089</v>
      </c>
      <c r="R83" s="462">
        <f t="shared" ca="1" si="43"/>
        <v>0</v>
      </c>
      <c r="S83" s="463">
        <f t="shared" ca="1" si="44"/>
        <v>0</v>
      </c>
      <c r="T83" s="463">
        <f t="shared" ca="1" si="45"/>
        <v>0</v>
      </c>
      <c r="U83" s="485">
        <f t="shared" ca="1" si="46"/>
        <v>0</v>
      </c>
      <c r="V83" s="485">
        <f t="shared" ca="1" si="47"/>
        <v>0</v>
      </c>
      <c r="W83" s="823"/>
      <c r="X83" s="490">
        <f t="shared" ca="1" si="67"/>
        <v>0</v>
      </c>
      <c r="Y83" s="462">
        <f t="shared" ca="1" si="48"/>
        <v>0</v>
      </c>
      <c r="Z83" s="463">
        <f t="shared" ca="1" si="49"/>
        <v>0</v>
      </c>
      <c r="AA83" s="463">
        <f t="shared" ca="1" si="50"/>
        <v>0</v>
      </c>
      <c r="AB83" s="485">
        <f t="shared" ca="1" si="51"/>
        <v>0</v>
      </c>
      <c r="AC83" s="485">
        <f t="shared" ca="1" si="52"/>
        <v>0</v>
      </c>
      <c r="AD83" s="823"/>
      <c r="AE83" s="490">
        <f t="shared" ca="1" si="68"/>
        <v>0</v>
      </c>
      <c r="AF83" s="462">
        <f t="shared" ca="1" si="53"/>
        <v>0</v>
      </c>
      <c r="AG83" s="463">
        <f t="shared" ca="1" si="54"/>
        <v>0</v>
      </c>
      <c r="AH83" s="463">
        <f t="shared" ca="1" si="55"/>
        <v>0</v>
      </c>
      <c r="AI83" s="485">
        <f t="shared" ca="1" si="56"/>
        <v>0</v>
      </c>
      <c r="AJ83" s="485">
        <f t="shared" ca="1" si="57"/>
        <v>0</v>
      </c>
      <c r="AK83" s="823"/>
      <c r="AL83" s="490">
        <f t="shared" ca="1" si="69"/>
        <v>0</v>
      </c>
      <c r="AM83" s="462">
        <f t="shared" ca="1" si="58"/>
        <v>0</v>
      </c>
      <c r="AN83" s="463">
        <f t="shared" ca="1" si="59"/>
        <v>0</v>
      </c>
      <c r="AO83" s="463">
        <f t="shared" ca="1" si="60"/>
        <v>0</v>
      </c>
      <c r="AP83" s="485">
        <f t="shared" ca="1" si="61"/>
        <v>0</v>
      </c>
      <c r="AQ83" s="485">
        <f t="shared" ca="1" si="62"/>
        <v>0</v>
      </c>
      <c r="AR83" s="823"/>
      <c r="AS83" s="490">
        <f t="shared" ca="1" si="70"/>
        <v>0</v>
      </c>
      <c r="AT83" s="490">
        <f t="shared" ca="1" si="71"/>
        <v>671019.58179953089</v>
      </c>
    </row>
    <row r="84" spans="2:46" ht="16">
      <c r="B84" s="200">
        <v>21</v>
      </c>
      <c r="C84" s="471" t="str">
        <f t="shared" si="63"/>
        <v>7.2.  Realizarea studiilor operaționale</v>
      </c>
      <c r="D84" s="462">
        <f t="shared" ca="1" si="64"/>
        <v>0</v>
      </c>
      <c r="E84" s="463">
        <f t="shared" ca="1" si="34"/>
        <v>0</v>
      </c>
      <c r="F84" s="463">
        <f t="shared" ca="1" si="35"/>
        <v>0</v>
      </c>
      <c r="G84" s="485">
        <f t="shared" ca="1" si="36"/>
        <v>0</v>
      </c>
      <c r="H84" s="485">
        <f t="shared" ca="1" si="37"/>
        <v>13044.783403855845</v>
      </c>
      <c r="I84" s="823"/>
      <c r="J84" s="490">
        <f t="shared" ca="1" si="65"/>
        <v>13044.783403855845</v>
      </c>
      <c r="K84" s="462">
        <f t="shared" ca="1" si="38"/>
        <v>0</v>
      </c>
      <c r="L84" s="463">
        <f t="shared" ca="1" si="39"/>
        <v>0</v>
      </c>
      <c r="M84" s="463">
        <f t="shared" ca="1" si="40"/>
        <v>0</v>
      </c>
      <c r="N84" s="485">
        <f t="shared" ca="1" si="41"/>
        <v>0</v>
      </c>
      <c r="O84" s="485">
        <f t="shared" ca="1" si="42"/>
        <v>0</v>
      </c>
      <c r="P84" s="823"/>
      <c r="Q84" s="490">
        <f t="shared" ca="1" si="66"/>
        <v>0</v>
      </c>
      <c r="R84" s="462">
        <f t="shared" ca="1" si="43"/>
        <v>0</v>
      </c>
      <c r="S84" s="463">
        <f t="shared" ca="1" si="44"/>
        <v>0</v>
      </c>
      <c r="T84" s="463">
        <f t="shared" ca="1" si="45"/>
        <v>0</v>
      </c>
      <c r="U84" s="485">
        <f t="shared" ca="1" si="46"/>
        <v>0</v>
      </c>
      <c r="V84" s="485">
        <f t="shared" ca="1" si="47"/>
        <v>0</v>
      </c>
      <c r="W84" s="823"/>
      <c r="X84" s="490">
        <f t="shared" ca="1" si="67"/>
        <v>0</v>
      </c>
      <c r="Y84" s="462">
        <f t="shared" ca="1" si="48"/>
        <v>28471.768464470519</v>
      </c>
      <c r="Z84" s="463">
        <f t="shared" ca="1" si="49"/>
        <v>13044.783403855845</v>
      </c>
      <c r="AA84" s="463">
        <f t="shared" ca="1" si="50"/>
        <v>13044.783403855845</v>
      </c>
      <c r="AB84" s="485">
        <f t="shared" ca="1" si="51"/>
        <v>0</v>
      </c>
      <c r="AC84" s="485">
        <f t="shared" ca="1" si="52"/>
        <v>0</v>
      </c>
      <c r="AD84" s="823"/>
      <c r="AE84" s="490">
        <f t="shared" ca="1" si="68"/>
        <v>54561.335272182208</v>
      </c>
      <c r="AF84" s="462">
        <f t="shared" ca="1" si="53"/>
        <v>0</v>
      </c>
      <c r="AG84" s="463">
        <f t="shared" ca="1" si="54"/>
        <v>0</v>
      </c>
      <c r="AH84" s="463">
        <f t="shared" ca="1" si="55"/>
        <v>0</v>
      </c>
      <c r="AI84" s="485">
        <f t="shared" ca="1" si="56"/>
        <v>0</v>
      </c>
      <c r="AJ84" s="485">
        <f t="shared" ca="1" si="57"/>
        <v>0</v>
      </c>
      <c r="AK84" s="823"/>
      <c r="AL84" s="490">
        <f t="shared" ca="1" si="69"/>
        <v>0</v>
      </c>
      <c r="AM84" s="462">
        <f t="shared" ca="1" si="58"/>
        <v>0</v>
      </c>
      <c r="AN84" s="463">
        <f t="shared" ca="1" si="59"/>
        <v>0</v>
      </c>
      <c r="AO84" s="463">
        <f t="shared" ca="1" si="60"/>
        <v>0</v>
      </c>
      <c r="AP84" s="485">
        <f t="shared" ca="1" si="61"/>
        <v>0</v>
      </c>
      <c r="AQ84" s="485">
        <f t="shared" ca="1" si="62"/>
        <v>0</v>
      </c>
      <c r="AR84" s="823"/>
      <c r="AS84" s="490">
        <f t="shared" ca="1" si="70"/>
        <v>0</v>
      </c>
      <c r="AT84" s="490">
        <f t="shared" ca="1" si="71"/>
        <v>67606.118676038051</v>
      </c>
    </row>
    <row r="85" spans="2:46" ht="16">
      <c r="B85" s="200">
        <v>22</v>
      </c>
      <c r="C85" s="471" t="str">
        <f t="shared" si="63"/>
        <v/>
      </c>
      <c r="D85" s="462">
        <f t="shared" ca="1" si="64"/>
        <v>0</v>
      </c>
      <c r="E85" s="463">
        <f t="shared" ca="1" si="34"/>
        <v>0</v>
      </c>
      <c r="F85" s="463">
        <f t="shared" ca="1" si="35"/>
        <v>0</v>
      </c>
      <c r="G85" s="485">
        <f t="shared" ca="1" si="36"/>
        <v>0</v>
      </c>
      <c r="H85" s="485">
        <f t="shared" ca="1" si="37"/>
        <v>0</v>
      </c>
      <c r="I85" s="823"/>
      <c r="J85" s="490">
        <f t="shared" ca="1" si="65"/>
        <v>0</v>
      </c>
      <c r="K85" s="462">
        <f t="shared" ca="1" si="38"/>
        <v>0</v>
      </c>
      <c r="L85" s="463">
        <f t="shared" ca="1" si="39"/>
        <v>0</v>
      </c>
      <c r="M85" s="463">
        <f t="shared" ca="1" si="40"/>
        <v>0</v>
      </c>
      <c r="N85" s="485">
        <f t="shared" ca="1" si="41"/>
        <v>0</v>
      </c>
      <c r="O85" s="485">
        <f t="shared" ca="1" si="42"/>
        <v>0</v>
      </c>
      <c r="P85" s="823"/>
      <c r="Q85" s="490">
        <f t="shared" ca="1" si="66"/>
        <v>0</v>
      </c>
      <c r="R85" s="462">
        <f t="shared" ca="1" si="43"/>
        <v>0</v>
      </c>
      <c r="S85" s="463">
        <f t="shared" ca="1" si="44"/>
        <v>0</v>
      </c>
      <c r="T85" s="463">
        <f t="shared" ca="1" si="45"/>
        <v>0</v>
      </c>
      <c r="U85" s="485">
        <f t="shared" ca="1" si="46"/>
        <v>0</v>
      </c>
      <c r="V85" s="485">
        <f t="shared" ca="1" si="47"/>
        <v>0</v>
      </c>
      <c r="W85" s="823"/>
      <c r="X85" s="490">
        <f t="shared" ca="1" si="67"/>
        <v>0</v>
      </c>
      <c r="Y85" s="462">
        <f t="shared" ca="1" si="48"/>
        <v>0</v>
      </c>
      <c r="Z85" s="463">
        <f t="shared" ca="1" si="49"/>
        <v>0</v>
      </c>
      <c r="AA85" s="463">
        <f t="shared" ca="1" si="50"/>
        <v>0</v>
      </c>
      <c r="AB85" s="485">
        <f t="shared" ca="1" si="51"/>
        <v>0</v>
      </c>
      <c r="AC85" s="485">
        <f t="shared" ca="1" si="52"/>
        <v>0</v>
      </c>
      <c r="AD85" s="823"/>
      <c r="AE85" s="490">
        <f t="shared" ca="1" si="68"/>
        <v>0</v>
      </c>
      <c r="AF85" s="462">
        <f t="shared" ca="1" si="53"/>
        <v>0</v>
      </c>
      <c r="AG85" s="463">
        <f t="shared" ca="1" si="54"/>
        <v>0</v>
      </c>
      <c r="AH85" s="463">
        <f t="shared" ca="1" si="55"/>
        <v>0</v>
      </c>
      <c r="AI85" s="485">
        <f t="shared" ca="1" si="56"/>
        <v>0</v>
      </c>
      <c r="AJ85" s="485">
        <f t="shared" ca="1" si="57"/>
        <v>0</v>
      </c>
      <c r="AK85" s="823"/>
      <c r="AL85" s="490">
        <f t="shared" ca="1" si="69"/>
        <v>0</v>
      </c>
      <c r="AM85" s="462">
        <f t="shared" ca="1" si="58"/>
        <v>0</v>
      </c>
      <c r="AN85" s="463">
        <f t="shared" ca="1" si="59"/>
        <v>0</v>
      </c>
      <c r="AO85" s="463">
        <f t="shared" ca="1" si="60"/>
        <v>0</v>
      </c>
      <c r="AP85" s="485">
        <f t="shared" ca="1" si="61"/>
        <v>0</v>
      </c>
      <c r="AQ85" s="485">
        <f t="shared" ca="1" si="62"/>
        <v>0</v>
      </c>
      <c r="AR85" s="823"/>
      <c r="AS85" s="490">
        <f t="shared" ca="1" si="70"/>
        <v>0</v>
      </c>
      <c r="AT85" s="490">
        <f t="shared" ca="1" si="71"/>
        <v>0</v>
      </c>
    </row>
    <row r="86" spans="2:46" ht="16">
      <c r="B86" s="200">
        <v>24</v>
      </c>
      <c r="C86" s="471" t="str">
        <f t="shared" si="63"/>
        <v/>
      </c>
      <c r="D86" s="462">
        <f t="shared" ca="1" si="64"/>
        <v>0</v>
      </c>
      <c r="E86" s="463">
        <f t="shared" ca="1" si="34"/>
        <v>0</v>
      </c>
      <c r="F86" s="463">
        <f t="shared" ca="1" si="35"/>
        <v>0</v>
      </c>
      <c r="G86" s="485">
        <f t="shared" ca="1" si="36"/>
        <v>0</v>
      </c>
      <c r="H86" s="485">
        <f t="shared" ca="1" si="37"/>
        <v>0</v>
      </c>
      <c r="I86" s="823"/>
      <c r="J86" s="490">
        <f t="shared" ca="1" si="65"/>
        <v>0</v>
      </c>
      <c r="K86" s="462">
        <f t="shared" ca="1" si="38"/>
        <v>0</v>
      </c>
      <c r="L86" s="463">
        <f t="shared" ca="1" si="39"/>
        <v>0</v>
      </c>
      <c r="M86" s="463">
        <f t="shared" ca="1" si="40"/>
        <v>0</v>
      </c>
      <c r="N86" s="485">
        <f t="shared" ca="1" si="41"/>
        <v>0</v>
      </c>
      <c r="O86" s="485">
        <f t="shared" ca="1" si="42"/>
        <v>0</v>
      </c>
      <c r="P86" s="823"/>
      <c r="Q86" s="490">
        <f t="shared" ca="1" si="66"/>
        <v>0</v>
      </c>
      <c r="R86" s="462">
        <f t="shared" ca="1" si="43"/>
        <v>0</v>
      </c>
      <c r="S86" s="463">
        <f t="shared" ca="1" si="44"/>
        <v>0</v>
      </c>
      <c r="T86" s="463">
        <f t="shared" ca="1" si="45"/>
        <v>0</v>
      </c>
      <c r="U86" s="485">
        <f t="shared" ca="1" si="46"/>
        <v>0</v>
      </c>
      <c r="V86" s="485">
        <f t="shared" ca="1" si="47"/>
        <v>0</v>
      </c>
      <c r="W86" s="823"/>
      <c r="X86" s="490">
        <f t="shared" ca="1" si="67"/>
        <v>0</v>
      </c>
      <c r="Y86" s="462">
        <f t="shared" ca="1" si="48"/>
        <v>0</v>
      </c>
      <c r="Z86" s="463">
        <f t="shared" ca="1" si="49"/>
        <v>0</v>
      </c>
      <c r="AA86" s="463">
        <f t="shared" ca="1" si="50"/>
        <v>0</v>
      </c>
      <c r="AB86" s="485">
        <f t="shared" ca="1" si="51"/>
        <v>0</v>
      </c>
      <c r="AC86" s="485">
        <f t="shared" ca="1" si="52"/>
        <v>0</v>
      </c>
      <c r="AD86" s="823"/>
      <c r="AE86" s="490">
        <f t="shared" ca="1" si="68"/>
        <v>0</v>
      </c>
      <c r="AF86" s="462">
        <f t="shared" ca="1" si="53"/>
        <v>0</v>
      </c>
      <c r="AG86" s="463">
        <f t="shared" ca="1" si="54"/>
        <v>0</v>
      </c>
      <c r="AH86" s="463">
        <f t="shared" ca="1" si="55"/>
        <v>0</v>
      </c>
      <c r="AI86" s="485">
        <f t="shared" ca="1" si="56"/>
        <v>0</v>
      </c>
      <c r="AJ86" s="485">
        <f t="shared" ca="1" si="57"/>
        <v>0</v>
      </c>
      <c r="AK86" s="823"/>
      <c r="AL86" s="490">
        <f t="shared" ca="1" si="69"/>
        <v>0</v>
      </c>
      <c r="AM86" s="462">
        <f t="shared" ca="1" si="58"/>
        <v>0</v>
      </c>
      <c r="AN86" s="463">
        <f t="shared" ca="1" si="59"/>
        <v>0</v>
      </c>
      <c r="AO86" s="463">
        <f t="shared" ca="1" si="60"/>
        <v>0</v>
      </c>
      <c r="AP86" s="485">
        <f t="shared" ca="1" si="61"/>
        <v>0</v>
      </c>
      <c r="AQ86" s="485">
        <f t="shared" ca="1" si="62"/>
        <v>0</v>
      </c>
      <c r="AR86" s="823"/>
      <c r="AS86" s="490">
        <f t="shared" ca="1" si="70"/>
        <v>0</v>
      </c>
      <c r="AT86" s="490">
        <f t="shared" ca="1" si="71"/>
        <v>0</v>
      </c>
    </row>
    <row r="87" spans="2:46" ht="16">
      <c r="B87" s="200">
        <v>24</v>
      </c>
      <c r="C87" s="471" t="str">
        <f t="shared" si="63"/>
        <v/>
      </c>
      <c r="D87" s="462">
        <f t="shared" ca="1" si="64"/>
        <v>0</v>
      </c>
      <c r="E87" s="463">
        <f t="shared" ca="1" si="34"/>
        <v>0</v>
      </c>
      <c r="F87" s="463">
        <f t="shared" ca="1" si="35"/>
        <v>0</v>
      </c>
      <c r="G87" s="485">
        <f t="shared" ca="1" si="36"/>
        <v>0</v>
      </c>
      <c r="H87" s="485">
        <f t="shared" ca="1" si="37"/>
        <v>0</v>
      </c>
      <c r="I87" s="823"/>
      <c r="J87" s="490">
        <f t="shared" ca="1" si="65"/>
        <v>0</v>
      </c>
      <c r="K87" s="462">
        <f t="shared" ca="1" si="38"/>
        <v>0</v>
      </c>
      <c r="L87" s="463">
        <f t="shared" ca="1" si="39"/>
        <v>0</v>
      </c>
      <c r="M87" s="463">
        <f t="shared" ca="1" si="40"/>
        <v>0</v>
      </c>
      <c r="N87" s="485">
        <f t="shared" ca="1" si="41"/>
        <v>0</v>
      </c>
      <c r="O87" s="485">
        <f t="shared" ca="1" si="42"/>
        <v>0</v>
      </c>
      <c r="P87" s="823"/>
      <c r="Q87" s="490">
        <f t="shared" ca="1" si="66"/>
        <v>0</v>
      </c>
      <c r="R87" s="462">
        <f t="shared" ca="1" si="43"/>
        <v>0</v>
      </c>
      <c r="S87" s="463">
        <f t="shared" ca="1" si="44"/>
        <v>0</v>
      </c>
      <c r="T87" s="463">
        <f t="shared" ca="1" si="45"/>
        <v>0</v>
      </c>
      <c r="U87" s="485">
        <f t="shared" ca="1" si="46"/>
        <v>0</v>
      </c>
      <c r="V87" s="485">
        <f t="shared" ca="1" si="47"/>
        <v>0</v>
      </c>
      <c r="W87" s="823"/>
      <c r="X87" s="490">
        <f t="shared" ca="1" si="67"/>
        <v>0</v>
      </c>
      <c r="Y87" s="462">
        <f t="shared" ca="1" si="48"/>
        <v>0</v>
      </c>
      <c r="Z87" s="463">
        <f t="shared" ca="1" si="49"/>
        <v>0</v>
      </c>
      <c r="AA87" s="463">
        <f t="shared" ca="1" si="50"/>
        <v>0</v>
      </c>
      <c r="AB87" s="485">
        <f t="shared" ca="1" si="51"/>
        <v>0</v>
      </c>
      <c r="AC87" s="485">
        <f t="shared" ca="1" si="52"/>
        <v>0</v>
      </c>
      <c r="AD87" s="823"/>
      <c r="AE87" s="490">
        <f t="shared" ca="1" si="68"/>
        <v>0</v>
      </c>
      <c r="AF87" s="462">
        <f t="shared" ca="1" si="53"/>
        <v>0</v>
      </c>
      <c r="AG87" s="463">
        <f t="shared" ca="1" si="54"/>
        <v>0</v>
      </c>
      <c r="AH87" s="463">
        <f t="shared" ca="1" si="55"/>
        <v>0</v>
      </c>
      <c r="AI87" s="485">
        <f t="shared" ca="1" si="56"/>
        <v>0</v>
      </c>
      <c r="AJ87" s="485">
        <f t="shared" ca="1" si="57"/>
        <v>0</v>
      </c>
      <c r="AK87" s="823"/>
      <c r="AL87" s="490">
        <f t="shared" ca="1" si="69"/>
        <v>0</v>
      </c>
      <c r="AM87" s="462">
        <f t="shared" ca="1" si="58"/>
        <v>0</v>
      </c>
      <c r="AN87" s="463">
        <f t="shared" ca="1" si="59"/>
        <v>0</v>
      </c>
      <c r="AO87" s="463">
        <f t="shared" ca="1" si="60"/>
        <v>0</v>
      </c>
      <c r="AP87" s="485">
        <f t="shared" ca="1" si="61"/>
        <v>0</v>
      </c>
      <c r="AQ87" s="485">
        <f t="shared" ca="1" si="62"/>
        <v>0</v>
      </c>
      <c r="AR87" s="823"/>
      <c r="AS87" s="490">
        <f t="shared" ca="1" si="70"/>
        <v>0</v>
      </c>
      <c r="AT87" s="490">
        <f t="shared" ca="1" si="71"/>
        <v>0</v>
      </c>
    </row>
    <row r="88" spans="2:46" ht="16">
      <c r="B88" s="200">
        <v>25</v>
      </c>
      <c r="C88" s="471" t="str">
        <f t="shared" si="63"/>
        <v/>
      </c>
      <c r="D88" s="462">
        <f t="shared" ca="1" si="64"/>
        <v>0</v>
      </c>
      <c r="E88" s="463">
        <f t="shared" ca="1" si="34"/>
        <v>0</v>
      </c>
      <c r="F88" s="463">
        <f t="shared" ca="1" si="35"/>
        <v>0</v>
      </c>
      <c r="G88" s="485">
        <f t="shared" ca="1" si="36"/>
        <v>0</v>
      </c>
      <c r="H88" s="485">
        <f t="shared" ca="1" si="37"/>
        <v>0</v>
      </c>
      <c r="I88" s="823"/>
      <c r="J88" s="490">
        <f t="shared" ca="1" si="65"/>
        <v>0</v>
      </c>
      <c r="K88" s="462">
        <f t="shared" ca="1" si="38"/>
        <v>0</v>
      </c>
      <c r="L88" s="463">
        <f t="shared" ca="1" si="39"/>
        <v>0</v>
      </c>
      <c r="M88" s="463">
        <f t="shared" ca="1" si="40"/>
        <v>0</v>
      </c>
      <c r="N88" s="485">
        <f t="shared" ca="1" si="41"/>
        <v>0</v>
      </c>
      <c r="O88" s="485">
        <f t="shared" ca="1" si="42"/>
        <v>0</v>
      </c>
      <c r="P88" s="823"/>
      <c r="Q88" s="490">
        <f t="shared" ca="1" si="66"/>
        <v>0</v>
      </c>
      <c r="R88" s="462">
        <f t="shared" ca="1" si="43"/>
        <v>0</v>
      </c>
      <c r="S88" s="463">
        <f t="shared" ca="1" si="44"/>
        <v>0</v>
      </c>
      <c r="T88" s="463">
        <f t="shared" ca="1" si="45"/>
        <v>0</v>
      </c>
      <c r="U88" s="485">
        <f t="shared" ca="1" si="46"/>
        <v>0</v>
      </c>
      <c r="V88" s="485">
        <f t="shared" ca="1" si="47"/>
        <v>0</v>
      </c>
      <c r="W88" s="823"/>
      <c r="X88" s="490">
        <f t="shared" ca="1" si="67"/>
        <v>0</v>
      </c>
      <c r="Y88" s="462">
        <f t="shared" ca="1" si="48"/>
        <v>0</v>
      </c>
      <c r="Z88" s="463">
        <f t="shared" ca="1" si="49"/>
        <v>0</v>
      </c>
      <c r="AA88" s="463">
        <f t="shared" ca="1" si="50"/>
        <v>0</v>
      </c>
      <c r="AB88" s="485">
        <f t="shared" ca="1" si="51"/>
        <v>0</v>
      </c>
      <c r="AC88" s="485">
        <f t="shared" ca="1" si="52"/>
        <v>0</v>
      </c>
      <c r="AD88" s="823"/>
      <c r="AE88" s="490">
        <f t="shared" ca="1" si="68"/>
        <v>0</v>
      </c>
      <c r="AF88" s="462">
        <f t="shared" ca="1" si="53"/>
        <v>0</v>
      </c>
      <c r="AG88" s="463">
        <f t="shared" ca="1" si="54"/>
        <v>0</v>
      </c>
      <c r="AH88" s="463">
        <f t="shared" ca="1" si="55"/>
        <v>0</v>
      </c>
      <c r="AI88" s="485">
        <f t="shared" ca="1" si="56"/>
        <v>0</v>
      </c>
      <c r="AJ88" s="485">
        <f t="shared" ca="1" si="57"/>
        <v>0</v>
      </c>
      <c r="AK88" s="823"/>
      <c r="AL88" s="490">
        <f t="shared" ca="1" si="69"/>
        <v>0</v>
      </c>
      <c r="AM88" s="462">
        <f t="shared" ca="1" si="58"/>
        <v>0</v>
      </c>
      <c r="AN88" s="463">
        <f t="shared" ca="1" si="59"/>
        <v>0</v>
      </c>
      <c r="AO88" s="463">
        <f t="shared" ca="1" si="60"/>
        <v>0</v>
      </c>
      <c r="AP88" s="485">
        <f t="shared" ca="1" si="61"/>
        <v>0</v>
      </c>
      <c r="AQ88" s="485">
        <f t="shared" ca="1" si="62"/>
        <v>0</v>
      </c>
      <c r="AR88" s="823"/>
      <c r="AS88" s="490">
        <f t="shared" ca="1" si="70"/>
        <v>0</v>
      </c>
      <c r="AT88" s="490">
        <f t="shared" ca="1" si="71"/>
        <v>0</v>
      </c>
    </row>
    <row r="89" spans="2:46" ht="16">
      <c r="B89" s="200">
        <v>26</v>
      </c>
      <c r="C89" s="471" t="str">
        <f t="shared" si="63"/>
        <v/>
      </c>
      <c r="D89" s="462">
        <f t="shared" ca="1" si="64"/>
        <v>0</v>
      </c>
      <c r="E89" s="463">
        <f t="shared" ca="1" si="34"/>
        <v>0</v>
      </c>
      <c r="F89" s="463">
        <f t="shared" ca="1" si="35"/>
        <v>0</v>
      </c>
      <c r="G89" s="485">
        <f t="shared" ca="1" si="36"/>
        <v>0</v>
      </c>
      <c r="H89" s="485">
        <f t="shared" ca="1" si="37"/>
        <v>0</v>
      </c>
      <c r="I89" s="823"/>
      <c r="J89" s="490">
        <f t="shared" ca="1" si="65"/>
        <v>0</v>
      </c>
      <c r="K89" s="462">
        <f t="shared" ca="1" si="38"/>
        <v>0</v>
      </c>
      <c r="L89" s="463">
        <f t="shared" ca="1" si="39"/>
        <v>0</v>
      </c>
      <c r="M89" s="463">
        <f t="shared" ca="1" si="40"/>
        <v>0</v>
      </c>
      <c r="N89" s="485">
        <f t="shared" ca="1" si="41"/>
        <v>0</v>
      </c>
      <c r="O89" s="485">
        <f t="shared" ca="1" si="42"/>
        <v>0</v>
      </c>
      <c r="P89" s="823"/>
      <c r="Q89" s="490">
        <f t="shared" ca="1" si="66"/>
        <v>0</v>
      </c>
      <c r="R89" s="462">
        <f t="shared" ca="1" si="43"/>
        <v>0</v>
      </c>
      <c r="S89" s="463">
        <f t="shared" ca="1" si="44"/>
        <v>0</v>
      </c>
      <c r="T89" s="463">
        <f t="shared" ca="1" si="45"/>
        <v>0</v>
      </c>
      <c r="U89" s="485">
        <f t="shared" ca="1" si="46"/>
        <v>0</v>
      </c>
      <c r="V89" s="485">
        <f t="shared" ca="1" si="47"/>
        <v>0</v>
      </c>
      <c r="W89" s="823"/>
      <c r="X89" s="490">
        <f t="shared" ca="1" si="67"/>
        <v>0</v>
      </c>
      <c r="Y89" s="462">
        <f t="shared" ca="1" si="48"/>
        <v>0</v>
      </c>
      <c r="Z89" s="463">
        <f t="shared" ca="1" si="49"/>
        <v>0</v>
      </c>
      <c r="AA89" s="463">
        <f t="shared" ca="1" si="50"/>
        <v>0</v>
      </c>
      <c r="AB89" s="485">
        <f t="shared" ca="1" si="51"/>
        <v>0</v>
      </c>
      <c r="AC89" s="485">
        <f t="shared" ca="1" si="52"/>
        <v>0</v>
      </c>
      <c r="AD89" s="823"/>
      <c r="AE89" s="490">
        <f t="shared" ca="1" si="68"/>
        <v>0</v>
      </c>
      <c r="AF89" s="462">
        <f t="shared" ca="1" si="53"/>
        <v>0</v>
      </c>
      <c r="AG89" s="463">
        <f t="shared" ca="1" si="54"/>
        <v>0</v>
      </c>
      <c r="AH89" s="463">
        <f t="shared" ca="1" si="55"/>
        <v>0</v>
      </c>
      <c r="AI89" s="485">
        <f t="shared" ca="1" si="56"/>
        <v>0</v>
      </c>
      <c r="AJ89" s="485">
        <f t="shared" ca="1" si="57"/>
        <v>0</v>
      </c>
      <c r="AK89" s="823"/>
      <c r="AL89" s="490">
        <f t="shared" ca="1" si="69"/>
        <v>0</v>
      </c>
      <c r="AM89" s="462">
        <f t="shared" ca="1" si="58"/>
        <v>0</v>
      </c>
      <c r="AN89" s="463">
        <f t="shared" ca="1" si="59"/>
        <v>0</v>
      </c>
      <c r="AO89" s="463">
        <f t="shared" ca="1" si="60"/>
        <v>0</v>
      </c>
      <c r="AP89" s="485">
        <f t="shared" ca="1" si="61"/>
        <v>0</v>
      </c>
      <c r="AQ89" s="485">
        <f t="shared" ca="1" si="62"/>
        <v>0</v>
      </c>
      <c r="AR89" s="823"/>
      <c r="AS89" s="490">
        <f t="shared" ca="1" si="70"/>
        <v>0</v>
      </c>
      <c r="AT89" s="490">
        <f t="shared" ca="1" si="71"/>
        <v>0</v>
      </c>
    </row>
    <row r="90" spans="2:46" ht="16">
      <c r="B90" s="200">
        <v>27</v>
      </c>
      <c r="C90" s="471" t="str">
        <f t="shared" si="63"/>
        <v/>
      </c>
      <c r="D90" s="462">
        <f t="shared" ca="1" si="64"/>
        <v>0</v>
      </c>
      <c r="E90" s="463">
        <f t="shared" ca="1" si="34"/>
        <v>0</v>
      </c>
      <c r="F90" s="463">
        <f t="shared" ca="1" si="35"/>
        <v>0</v>
      </c>
      <c r="G90" s="485">
        <f t="shared" ca="1" si="36"/>
        <v>0</v>
      </c>
      <c r="H90" s="485">
        <f t="shared" ca="1" si="37"/>
        <v>0</v>
      </c>
      <c r="I90" s="823"/>
      <c r="J90" s="490">
        <f t="shared" ca="1" si="65"/>
        <v>0</v>
      </c>
      <c r="K90" s="462">
        <f t="shared" ca="1" si="38"/>
        <v>0</v>
      </c>
      <c r="L90" s="463">
        <f t="shared" ca="1" si="39"/>
        <v>0</v>
      </c>
      <c r="M90" s="463">
        <f t="shared" ca="1" si="40"/>
        <v>0</v>
      </c>
      <c r="N90" s="485">
        <f t="shared" ca="1" si="41"/>
        <v>0</v>
      </c>
      <c r="O90" s="485">
        <f t="shared" ca="1" si="42"/>
        <v>0</v>
      </c>
      <c r="P90" s="823"/>
      <c r="Q90" s="490">
        <f t="shared" ca="1" si="66"/>
        <v>0</v>
      </c>
      <c r="R90" s="462">
        <f t="shared" ca="1" si="43"/>
        <v>0</v>
      </c>
      <c r="S90" s="463">
        <f t="shared" ca="1" si="44"/>
        <v>0</v>
      </c>
      <c r="T90" s="463">
        <f t="shared" ca="1" si="45"/>
        <v>0</v>
      </c>
      <c r="U90" s="485">
        <f t="shared" ca="1" si="46"/>
        <v>0</v>
      </c>
      <c r="V90" s="485">
        <f t="shared" ca="1" si="47"/>
        <v>0</v>
      </c>
      <c r="W90" s="823"/>
      <c r="X90" s="490">
        <f t="shared" ca="1" si="67"/>
        <v>0</v>
      </c>
      <c r="Y90" s="462">
        <f t="shared" ca="1" si="48"/>
        <v>0</v>
      </c>
      <c r="Z90" s="463">
        <f t="shared" ca="1" si="49"/>
        <v>0</v>
      </c>
      <c r="AA90" s="463">
        <f t="shared" ca="1" si="50"/>
        <v>0</v>
      </c>
      <c r="AB90" s="485">
        <f t="shared" ca="1" si="51"/>
        <v>0</v>
      </c>
      <c r="AC90" s="485">
        <f t="shared" ca="1" si="52"/>
        <v>0</v>
      </c>
      <c r="AD90" s="823"/>
      <c r="AE90" s="490">
        <f t="shared" ca="1" si="68"/>
        <v>0</v>
      </c>
      <c r="AF90" s="462">
        <f t="shared" ca="1" si="53"/>
        <v>0</v>
      </c>
      <c r="AG90" s="463">
        <f t="shared" ca="1" si="54"/>
        <v>0</v>
      </c>
      <c r="AH90" s="463">
        <f t="shared" ca="1" si="55"/>
        <v>0</v>
      </c>
      <c r="AI90" s="485">
        <f t="shared" ca="1" si="56"/>
        <v>0</v>
      </c>
      <c r="AJ90" s="485">
        <f t="shared" ca="1" si="57"/>
        <v>0</v>
      </c>
      <c r="AK90" s="823"/>
      <c r="AL90" s="490">
        <f t="shared" ca="1" si="69"/>
        <v>0</v>
      </c>
      <c r="AM90" s="462">
        <f t="shared" ca="1" si="58"/>
        <v>0</v>
      </c>
      <c r="AN90" s="463">
        <f t="shared" ca="1" si="59"/>
        <v>0</v>
      </c>
      <c r="AO90" s="463">
        <f t="shared" ca="1" si="60"/>
        <v>0</v>
      </c>
      <c r="AP90" s="485">
        <f t="shared" ca="1" si="61"/>
        <v>0</v>
      </c>
      <c r="AQ90" s="485">
        <f t="shared" ca="1" si="62"/>
        <v>0</v>
      </c>
      <c r="AR90" s="823"/>
      <c r="AS90" s="490">
        <f t="shared" ca="1" si="70"/>
        <v>0</v>
      </c>
      <c r="AT90" s="490">
        <f t="shared" ca="1" si="71"/>
        <v>0</v>
      </c>
    </row>
    <row r="91" spans="2:46" ht="16">
      <c r="B91" s="200">
        <v>28</v>
      </c>
      <c r="C91" s="471" t="str">
        <f t="shared" si="63"/>
        <v/>
      </c>
      <c r="D91" s="462">
        <f t="shared" ca="1" si="64"/>
        <v>0</v>
      </c>
      <c r="E91" s="463">
        <f t="shared" ca="1" si="34"/>
        <v>0</v>
      </c>
      <c r="F91" s="463">
        <f t="shared" ca="1" si="35"/>
        <v>0</v>
      </c>
      <c r="G91" s="485">
        <f t="shared" ca="1" si="36"/>
        <v>0</v>
      </c>
      <c r="H91" s="485">
        <f t="shared" ca="1" si="37"/>
        <v>0</v>
      </c>
      <c r="I91" s="823"/>
      <c r="J91" s="490">
        <f t="shared" ca="1" si="65"/>
        <v>0</v>
      </c>
      <c r="K91" s="462">
        <f t="shared" ca="1" si="38"/>
        <v>0</v>
      </c>
      <c r="L91" s="463">
        <f t="shared" ca="1" si="39"/>
        <v>0</v>
      </c>
      <c r="M91" s="463">
        <f t="shared" ca="1" si="40"/>
        <v>0</v>
      </c>
      <c r="N91" s="485">
        <f t="shared" ca="1" si="41"/>
        <v>0</v>
      </c>
      <c r="O91" s="485">
        <f t="shared" ca="1" si="42"/>
        <v>0</v>
      </c>
      <c r="P91" s="823"/>
      <c r="Q91" s="490">
        <f t="shared" ca="1" si="66"/>
        <v>0</v>
      </c>
      <c r="R91" s="462">
        <f t="shared" ca="1" si="43"/>
        <v>0</v>
      </c>
      <c r="S91" s="463">
        <f t="shared" ca="1" si="44"/>
        <v>0</v>
      </c>
      <c r="T91" s="463">
        <f t="shared" ca="1" si="45"/>
        <v>0</v>
      </c>
      <c r="U91" s="485">
        <f t="shared" ca="1" si="46"/>
        <v>0</v>
      </c>
      <c r="V91" s="485">
        <f t="shared" ca="1" si="47"/>
        <v>0</v>
      </c>
      <c r="W91" s="823"/>
      <c r="X91" s="490">
        <f t="shared" ca="1" si="67"/>
        <v>0</v>
      </c>
      <c r="Y91" s="462">
        <f t="shared" ca="1" si="48"/>
        <v>0</v>
      </c>
      <c r="Z91" s="463">
        <f t="shared" ca="1" si="49"/>
        <v>0</v>
      </c>
      <c r="AA91" s="463">
        <f t="shared" ca="1" si="50"/>
        <v>0</v>
      </c>
      <c r="AB91" s="485">
        <f t="shared" ca="1" si="51"/>
        <v>0</v>
      </c>
      <c r="AC91" s="485">
        <f t="shared" ca="1" si="52"/>
        <v>0</v>
      </c>
      <c r="AD91" s="823"/>
      <c r="AE91" s="490">
        <f t="shared" ca="1" si="68"/>
        <v>0</v>
      </c>
      <c r="AF91" s="462">
        <f t="shared" ca="1" si="53"/>
        <v>0</v>
      </c>
      <c r="AG91" s="463">
        <f t="shared" ca="1" si="54"/>
        <v>0</v>
      </c>
      <c r="AH91" s="463">
        <f t="shared" ca="1" si="55"/>
        <v>0</v>
      </c>
      <c r="AI91" s="485">
        <f t="shared" ca="1" si="56"/>
        <v>0</v>
      </c>
      <c r="AJ91" s="485">
        <f t="shared" ca="1" si="57"/>
        <v>0</v>
      </c>
      <c r="AK91" s="823"/>
      <c r="AL91" s="490">
        <f t="shared" ca="1" si="69"/>
        <v>0</v>
      </c>
      <c r="AM91" s="462">
        <f t="shared" ca="1" si="58"/>
        <v>0</v>
      </c>
      <c r="AN91" s="463">
        <f t="shared" ca="1" si="59"/>
        <v>0</v>
      </c>
      <c r="AO91" s="463">
        <f t="shared" ca="1" si="60"/>
        <v>0</v>
      </c>
      <c r="AP91" s="485">
        <f t="shared" ca="1" si="61"/>
        <v>0</v>
      </c>
      <c r="AQ91" s="485">
        <f t="shared" ca="1" si="62"/>
        <v>0</v>
      </c>
      <c r="AR91" s="823"/>
      <c r="AS91" s="490">
        <f t="shared" ca="1" si="70"/>
        <v>0</v>
      </c>
      <c r="AT91" s="490">
        <f t="shared" ca="1" si="71"/>
        <v>0</v>
      </c>
    </row>
    <row r="92" spans="2:46" ht="16">
      <c r="B92" s="200">
        <v>29</v>
      </c>
      <c r="C92" s="471" t="str">
        <f t="shared" si="63"/>
        <v/>
      </c>
      <c r="D92" s="462">
        <f t="shared" ca="1" si="64"/>
        <v>0</v>
      </c>
      <c r="E92" s="463">
        <f t="shared" ca="1" si="34"/>
        <v>0</v>
      </c>
      <c r="F92" s="463">
        <f t="shared" ca="1" si="35"/>
        <v>0</v>
      </c>
      <c r="G92" s="485">
        <f t="shared" ca="1" si="36"/>
        <v>0</v>
      </c>
      <c r="H92" s="485">
        <f t="shared" ca="1" si="37"/>
        <v>0</v>
      </c>
      <c r="I92" s="823"/>
      <c r="J92" s="490">
        <f t="shared" ca="1" si="65"/>
        <v>0</v>
      </c>
      <c r="K92" s="462">
        <f t="shared" ca="1" si="38"/>
        <v>0</v>
      </c>
      <c r="L92" s="463">
        <f t="shared" ca="1" si="39"/>
        <v>0</v>
      </c>
      <c r="M92" s="463">
        <f t="shared" ca="1" si="40"/>
        <v>0</v>
      </c>
      <c r="N92" s="485">
        <f t="shared" ca="1" si="41"/>
        <v>0</v>
      </c>
      <c r="O92" s="485">
        <f t="shared" ca="1" si="42"/>
        <v>0</v>
      </c>
      <c r="P92" s="823"/>
      <c r="Q92" s="490">
        <f t="shared" ca="1" si="66"/>
        <v>0</v>
      </c>
      <c r="R92" s="462">
        <f t="shared" ca="1" si="43"/>
        <v>0</v>
      </c>
      <c r="S92" s="463">
        <f t="shared" ca="1" si="44"/>
        <v>0</v>
      </c>
      <c r="T92" s="463">
        <f t="shared" ca="1" si="45"/>
        <v>0</v>
      </c>
      <c r="U92" s="485">
        <f t="shared" ca="1" si="46"/>
        <v>0</v>
      </c>
      <c r="V92" s="485">
        <f t="shared" ca="1" si="47"/>
        <v>0</v>
      </c>
      <c r="W92" s="823"/>
      <c r="X92" s="490">
        <f t="shared" ca="1" si="67"/>
        <v>0</v>
      </c>
      <c r="Y92" s="462">
        <f t="shared" ca="1" si="48"/>
        <v>0</v>
      </c>
      <c r="Z92" s="463">
        <f t="shared" ca="1" si="49"/>
        <v>0</v>
      </c>
      <c r="AA92" s="463">
        <f t="shared" ca="1" si="50"/>
        <v>0</v>
      </c>
      <c r="AB92" s="485">
        <f t="shared" ca="1" si="51"/>
        <v>0</v>
      </c>
      <c r="AC92" s="485">
        <f t="shared" ca="1" si="52"/>
        <v>0</v>
      </c>
      <c r="AD92" s="823"/>
      <c r="AE92" s="490">
        <f t="shared" ca="1" si="68"/>
        <v>0</v>
      </c>
      <c r="AF92" s="462">
        <f t="shared" ca="1" si="53"/>
        <v>0</v>
      </c>
      <c r="AG92" s="463">
        <f t="shared" ca="1" si="54"/>
        <v>0</v>
      </c>
      <c r="AH92" s="463">
        <f t="shared" ca="1" si="55"/>
        <v>0</v>
      </c>
      <c r="AI92" s="485">
        <f t="shared" ca="1" si="56"/>
        <v>0</v>
      </c>
      <c r="AJ92" s="485">
        <f t="shared" ca="1" si="57"/>
        <v>0</v>
      </c>
      <c r="AK92" s="823"/>
      <c r="AL92" s="490">
        <f t="shared" ca="1" si="69"/>
        <v>0</v>
      </c>
      <c r="AM92" s="462">
        <f t="shared" ca="1" si="58"/>
        <v>0</v>
      </c>
      <c r="AN92" s="463">
        <f t="shared" ca="1" si="59"/>
        <v>0</v>
      </c>
      <c r="AO92" s="463">
        <f t="shared" ca="1" si="60"/>
        <v>0</v>
      </c>
      <c r="AP92" s="485">
        <f t="shared" ca="1" si="61"/>
        <v>0</v>
      </c>
      <c r="AQ92" s="485">
        <f t="shared" ca="1" si="62"/>
        <v>0</v>
      </c>
      <c r="AR92" s="823"/>
      <c r="AS92" s="490">
        <f t="shared" ca="1" si="70"/>
        <v>0</v>
      </c>
      <c r="AT92" s="490">
        <f t="shared" ca="1" si="71"/>
        <v>0</v>
      </c>
    </row>
    <row r="93" spans="2:46" ht="17" thickBot="1">
      <c r="B93" s="472">
        <v>30</v>
      </c>
      <c r="C93" s="471" t="str">
        <f t="shared" si="63"/>
        <v/>
      </c>
      <c r="D93" s="462">
        <f t="shared" ca="1" si="64"/>
        <v>0</v>
      </c>
      <c r="E93" s="463">
        <f t="shared" ca="1" si="34"/>
        <v>0</v>
      </c>
      <c r="F93" s="463">
        <f t="shared" ca="1" si="35"/>
        <v>0</v>
      </c>
      <c r="G93" s="485">
        <f t="shared" ca="1" si="36"/>
        <v>0</v>
      </c>
      <c r="H93" s="485">
        <f t="shared" ca="1" si="37"/>
        <v>0</v>
      </c>
      <c r="I93" s="823"/>
      <c r="J93" s="490">
        <f t="shared" ca="1" si="65"/>
        <v>0</v>
      </c>
      <c r="K93" s="462">
        <f t="shared" ca="1" si="38"/>
        <v>0</v>
      </c>
      <c r="L93" s="463">
        <f t="shared" ca="1" si="39"/>
        <v>0</v>
      </c>
      <c r="M93" s="463">
        <f t="shared" ca="1" si="40"/>
        <v>0</v>
      </c>
      <c r="N93" s="485">
        <f t="shared" ca="1" si="41"/>
        <v>0</v>
      </c>
      <c r="O93" s="485">
        <f t="shared" ca="1" si="42"/>
        <v>0</v>
      </c>
      <c r="P93" s="823"/>
      <c r="Q93" s="490">
        <f t="shared" ca="1" si="66"/>
        <v>0</v>
      </c>
      <c r="R93" s="462">
        <f t="shared" ca="1" si="43"/>
        <v>0</v>
      </c>
      <c r="S93" s="463">
        <f t="shared" ca="1" si="44"/>
        <v>0</v>
      </c>
      <c r="T93" s="463">
        <f t="shared" ca="1" si="45"/>
        <v>0</v>
      </c>
      <c r="U93" s="485">
        <f t="shared" ca="1" si="46"/>
        <v>0</v>
      </c>
      <c r="V93" s="485">
        <f t="shared" ca="1" si="47"/>
        <v>0</v>
      </c>
      <c r="W93" s="823"/>
      <c r="X93" s="490">
        <f t="shared" ca="1" si="67"/>
        <v>0</v>
      </c>
      <c r="Y93" s="462">
        <f t="shared" ca="1" si="48"/>
        <v>0</v>
      </c>
      <c r="Z93" s="463">
        <f t="shared" ca="1" si="49"/>
        <v>0</v>
      </c>
      <c r="AA93" s="463">
        <f t="shared" ca="1" si="50"/>
        <v>0</v>
      </c>
      <c r="AB93" s="485">
        <f t="shared" ca="1" si="51"/>
        <v>0</v>
      </c>
      <c r="AC93" s="485">
        <f t="shared" ca="1" si="52"/>
        <v>0</v>
      </c>
      <c r="AD93" s="823"/>
      <c r="AE93" s="490">
        <f t="shared" ca="1" si="68"/>
        <v>0</v>
      </c>
      <c r="AF93" s="462">
        <f t="shared" ca="1" si="53"/>
        <v>0</v>
      </c>
      <c r="AG93" s="463">
        <f t="shared" ca="1" si="54"/>
        <v>0</v>
      </c>
      <c r="AH93" s="463">
        <f t="shared" ca="1" si="55"/>
        <v>0</v>
      </c>
      <c r="AI93" s="485">
        <f t="shared" ca="1" si="56"/>
        <v>0</v>
      </c>
      <c r="AJ93" s="485">
        <f t="shared" ca="1" si="57"/>
        <v>0</v>
      </c>
      <c r="AK93" s="823"/>
      <c r="AL93" s="490">
        <f t="shared" ca="1" si="69"/>
        <v>0</v>
      </c>
      <c r="AM93" s="462">
        <f t="shared" ca="1" si="58"/>
        <v>0</v>
      </c>
      <c r="AN93" s="463">
        <f t="shared" ca="1" si="59"/>
        <v>0</v>
      </c>
      <c r="AO93" s="463">
        <f t="shared" ca="1" si="60"/>
        <v>0</v>
      </c>
      <c r="AP93" s="485">
        <f t="shared" ca="1" si="61"/>
        <v>0</v>
      </c>
      <c r="AQ93" s="485">
        <f t="shared" ca="1" si="62"/>
        <v>0</v>
      </c>
      <c r="AR93" s="823"/>
      <c r="AS93" s="490">
        <f t="shared" ca="1" si="70"/>
        <v>0</v>
      </c>
      <c r="AT93" s="490">
        <f t="shared" ca="1" si="71"/>
        <v>0</v>
      </c>
    </row>
    <row r="94" spans="2:46" ht="17" thickBot="1">
      <c r="B94" s="466"/>
      <c r="C94" s="467" t="s">
        <v>97</v>
      </c>
      <c r="D94" s="468">
        <f ca="1">SUM(D64:D93)</f>
        <v>9264761.3245408088</v>
      </c>
      <c r="E94" s="468">
        <f t="shared" ref="E94:AT94" ca="1" si="72">SUM(E64:E93)</f>
        <v>9226325.4654095918</v>
      </c>
      <c r="F94" s="468">
        <f t="shared" ca="1" si="72"/>
        <v>9183842.6619755719</v>
      </c>
      <c r="G94" s="468">
        <f t="shared" ca="1" si="72"/>
        <v>9732955.6112248842</v>
      </c>
      <c r="H94" s="468">
        <f t="shared" ca="1" si="72"/>
        <v>9733764.8308599535</v>
      </c>
      <c r="I94" s="468">
        <f t="shared" si="72"/>
        <v>0</v>
      </c>
      <c r="J94" s="468">
        <f t="shared" ca="1" si="72"/>
        <v>47141649.894010819</v>
      </c>
      <c r="K94" s="468">
        <f t="shared" ca="1" si="72"/>
        <v>1530788.0865549915</v>
      </c>
      <c r="L94" s="468">
        <f t="shared" ca="1" si="72"/>
        <v>1636755.1874288239</v>
      </c>
      <c r="M94" s="468">
        <f t="shared" ca="1" si="72"/>
        <v>1734290.4046079067</v>
      </c>
      <c r="N94" s="468">
        <f t="shared" ca="1" si="72"/>
        <v>2254830.695777663</v>
      </c>
      <c r="O94" s="468">
        <f t="shared" ca="1" si="72"/>
        <v>2398149.0132462136</v>
      </c>
      <c r="P94" s="468">
        <f t="shared" si="72"/>
        <v>0</v>
      </c>
      <c r="Q94" s="468">
        <f t="shared" ca="1" si="72"/>
        <v>9554813.3876156006</v>
      </c>
      <c r="R94" s="468">
        <f t="shared" ca="1" si="72"/>
        <v>24731.848935497266</v>
      </c>
      <c r="S94" s="468">
        <f t="shared" ca="1" si="72"/>
        <v>27574.300614893386</v>
      </c>
      <c r="T94" s="468">
        <f t="shared" ca="1" si="72"/>
        <v>30243.515532438891</v>
      </c>
      <c r="U94" s="468">
        <f t="shared" ca="1" si="72"/>
        <v>41314.62116904393</v>
      </c>
      <c r="V94" s="468">
        <f t="shared" ca="1" si="72"/>
        <v>41439.349680858861</v>
      </c>
      <c r="W94" s="468">
        <f t="shared" si="72"/>
        <v>0</v>
      </c>
      <c r="X94" s="468">
        <f t="shared" ca="1" si="72"/>
        <v>165303.63593273234</v>
      </c>
      <c r="Y94" s="468">
        <f t="shared" ca="1" si="72"/>
        <v>2791386.8881259249</v>
      </c>
      <c r="Z94" s="468">
        <f t="shared" ca="1" si="72"/>
        <v>2887738.295548596</v>
      </c>
      <c r="AA94" s="468">
        <f t="shared" ca="1" si="72"/>
        <v>2827077.9843095341</v>
      </c>
      <c r="AB94" s="468">
        <f t="shared" ca="1" si="72"/>
        <v>-5.3568810769002116E-4</v>
      </c>
      <c r="AC94" s="468">
        <f t="shared" ca="1" si="72"/>
        <v>-4.0764948293656444E-4</v>
      </c>
      <c r="AD94" s="468">
        <f t="shared" si="72"/>
        <v>0</v>
      </c>
      <c r="AE94" s="468">
        <f t="shared" ca="1" si="72"/>
        <v>8506203.1670407187</v>
      </c>
      <c r="AF94" s="468">
        <f t="shared" ca="1" si="72"/>
        <v>152097.20205294318</v>
      </c>
      <c r="AG94" s="468">
        <f t="shared" ca="1" si="72"/>
        <v>159272.67445015605</v>
      </c>
      <c r="AH94" s="468">
        <f t="shared" ca="1" si="72"/>
        <v>163534.83551216038</v>
      </c>
      <c r="AI94" s="468">
        <f t="shared" ca="1" si="72"/>
        <v>1128798.6135433489</v>
      </c>
      <c r="AJ94" s="468">
        <f t="shared" ca="1" si="72"/>
        <v>1158935.9874297201</v>
      </c>
      <c r="AK94" s="468">
        <f t="shared" si="72"/>
        <v>0</v>
      </c>
      <c r="AL94" s="468">
        <f t="shared" ca="1" si="72"/>
        <v>2762639.3129883292</v>
      </c>
      <c r="AM94" s="468">
        <f t="shared" ca="1" si="72"/>
        <v>0</v>
      </c>
      <c r="AN94" s="468">
        <f t="shared" ca="1" si="72"/>
        <v>0</v>
      </c>
      <c r="AO94" s="468">
        <f t="shared" ca="1" si="72"/>
        <v>0</v>
      </c>
      <c r="AP94" s="468">
        <f t="shared" ca="1" si="72"/>
        <v>0</v>
      </c>
      <c r="AQ94" s="468">
        <f t="shared" ca="1" si="72"/>
        <v>0</v>
      </c>
      <c r="AR94" s="468">
        <f t="shared" si="72"/>
        <v>0</v>
      </c>
      <c r="AS94" s="468">
        <f t="shared" ca="1" si="72"/>
        <v>0</v>
      </c>
      <c r="AT94" s="468">
        <f t="shared" ca="1" si="72"/>
        <v>68130609.397588193</v>
      </c>
    </row>
    <row r="107" spans="4:8">
      <c r="D107" s="813">
        <f ca="1">D94+K94+R94+AF94</f>
        <v>10972378.462084241</v>
      </c>
      <c r="E107" s="813">
        <f t="shared" ref="E107:F107" ca="1" si="73">E94+L94+S94+AG94</f>
        <v>11049927.627903465</v>
      </c>
      <c r="F107" s="813">
        <f t="shared" ca="1" si="73"/>
        <v>11111911.41762808</v>
      </c>
      <c r="G107" s="813">
        <f t="shared" ref="G107" ca="1" si="74">G94+N94+U94+AI94</f>
        <v>13157899.54171494</v>
      </c>
      <c r="H107" s="813">
        <f t="shared" ref="H107" ca="1" si="75">H94+O94+V94+AJ94</f>
        <v>13332289.181216747</v>
      </c>
    </row>
    <row r="108" spans="4:8">
      <c r="D108" s="67">
        <v>2819395.4417312806</v>
      </c>
      <c r="E108" s="67">
        <v>2899325.1672986629</v>
      </c>
      <c r="F108" s="67">
        <v>2831530.9927347731</v>
      </c>
    </row>
    <row r="111" spans="4:8">
      <c r="D111" s="2471">
        <v>2021</v>
      </c>
      <c r="E111" s="2471">
        <v>2022</v>
      </c>
      <c r="F111" s="2471">
        <v>2023</v>
      </c>
    </row>
    <row r="112" spans="4:8">
      <c r="D112" s="2472">
        <f ca="1">SUM(D107:D108)</f>
        <v>13791773.903815523</v>
      </c>
      <c r="E112" s="2472">
        <f ca="1">SUM(E107:E108)</f>
        <v>13949252.795202129</v>
      </c>
      <c r="F112" s="2472">
        <f ca="1">SUM(F107:F108)</f>
        <v>13943442.410362853</v>
      </c>
    </row>
  </sheetData>
  <sheetProtection formatColumns="0" formatRows="0"/>
  <pageMargins left="0.7" right="0.7" top="0.75" bottom="0.75" header="0.3" footer="0.3"/>
  <pageSetup orientation="portrait" r:id="rId1"/>
</worksheet>
</file>

<file path=xl/worksheets/sheet3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92D050"/>
  </sheetPr>
  <dimension ref="A1:M599"/>
  <sheetViews>
    <sheetView zoomScale="70" zoomScaleNormal="70" workbookViewId="0">
      <selection activeCell="D36" sqref="D36"/>
    </sheetView>
  </sheetViews>
  <sheetFormatPr baseColWidth="10" defaultColWidth="48" defaultRowHeight="15"/>
  <cols>
    <col min="1" max="2" width="7.6640625" customWidth="1"/>
    <col min="3" max="3" width="10.33203125" bestFit="1" customWidth="1"/>
    <col min="4" max="4" width="54.5" bestFit="1" customWidth="1"/>
    <col min="5" max="5" width="8.33203125" customWidth="1"/>
    <col min="6" max="13" width="17.1640625" customWidth="1"/>
  </cols>
  <sheetData>
    <row r="1" spans="1:13">
      <c r="A1" s="416" t="s">
        <v>453</v>
      </c>
      <c r="B1" s="416"/>
      <c r="C1" s="416" t="s">
        <v>352</v>
      </c>
      <c r="D1" s="416" t="s">
        <v>331</v>
      </c>
      <c r="E1" s="416" t="s">
        <v>484</v>
      </c>
      <c r="F1" s="417" t="s">
        <v>434</v>
      </c>
      <c r="G1" s="417" t="s">
        <v>436</v>
      </c>
      <c r="H1" s="417" t="s">
        <v>437</v>
      </c>
      <c r="I1" s="417" t="s">
        <v>2383</v>
      </c>
      <c r="J1" s="417" t="s">
        <v>444</v>
      </c>
      <c r="K1" s="417" t="s">
        <v>441</v>
      </c>
      <c r="L1" s="417" t="s">
        <v>440</v>
      </c>
      <c r="M1" s="417" t="s">
        <v>2384</v>
      </c>
    </row>
    <row r="2" spans="1:13">
      <c r="A2" s="416">
        <v>1</v>
      </c>
      <c r="B2" s="416"/>
      <c r="C2" s="416"/>
      <c r="D2" s="432" t="s">
        <v>322</v>
      </c>
      <c r="E2" s="437"/>
      <c r="F2" s="448">
        <v>45.64</v>
      </c>
      <c r="G2" s="446">
        <v>1</v>
      </c>
      <c r="H2" s="446">
        <v>45.64</v>
      </c>
      <c r="I2" s="436">
        <f t="shared" ref="I2:I10" si="0">IF(G2="","",ROUND(H2/G2,2))</f>
        <v>45.64</v>
      </c>
      <c r="J2" s="439" t="s">
        <v>443</v>
      </c>
      <c r="K2" s="416" t="str">
        <f t="shared" ref="K2:K63" si="1">IF(J2="USD",USD,IF(J2="EUR",EUR,""))</f>
        <v/>
      </c>
      <c r="L2" s="416"/>
      <c r="M2" s="446"/>
    </row>
    <row r="3" spans="1:13">
      <c r="A3" s="416">
        <v>2</v>
      </c>
      <c r="B3" s="416"/>
      <c r="C3" s="416"/>
      <c r="D3" s="432" t="s">
        <v>321</v>
      </c>
      <c r="E3" s="437"/>
      <c r="F3" s="448">
        <v>3.65</v>
      </c>
      <c r="G3" s="446">
        <v>1</v>
      </c>
      <c r="H3" s="446">
        <v>3.65</v>
      </c>
      <c r="I3" s="436">
        <f t="shared" si="0"/>
        <v>3.65</v>
      </c>
      <c r="J3" s="439" t="s">
        <v>443</v>
      </c>
      <c r="K3" s="416" t="str">
        <f t="shared" si="1"/>
        <v/>
      </c>
      <c r="L3" s="416"/>
      <c r="M3" s="446"/>
    </row>
    <row r="4" spans="1:13">
      <c r="A4" s="416">
        <v>4</v>
      </c>
      <c r="B4" s="416"/>
      <c r="C4" s="416"/>
      <c r="D4" s="449" t="s">
        <v>446</v>
      </c>
      <c r="E4" s="437"/>
      <c r="F4" s="448">
        <v>0.2</v>
      </c>
      <c r="G4" s="446">
        <v>1</v>
      </c>
      <c r="H4" s="446">
        <v>0.19500000000000001</v>
      </c>
      <c r="I4" s="436">
        <f t="shared" si="0"/>
        <v>0.2</v>
      </c>
      <c r="J4" s="439" t="s">
        <v>443</v>
      </c>
      <c r="K4" s="416" t="str">
        <f t="shared" si="1"/>
        <v/>
      </c>
      <c r="L4" s="416"/>
      <c r="M4" s="446"/>
    </row>
    <row r="5" spans="1:13">
      <c r="A5" s="416">
        <v>5</v>
      </c>
      <c r="B5" s="416"/>
      <c r="C5" s="416"/>
      <c r="D5" s="432" t="s">
        <v>320</v>
      </c>
      <c r="E5" s="437"/>
      <c r="F5" s="448">
        <v>0.22</v>
      </c>
      <c r="G5" s="446">
        <v>1</v>
      </c>
      <c r="H5" s="446">
        <v>0.22</v>
      </c>
      <c r="I5" s="436">
        <f t="shared" si="0"/>
        <v>0.22</v>
      </c>
      <c r="J5" s="439" t="s">
        <v>443</v>
      </c>
      <c r="K5" s="416" t="str">
        <f t="shared" si="1"/>
        <v/>
      </c>
      <c r="L5" s="416"/>
      <c r="M5" s="446"/>
    </row>
    <row r="6" spans="1:13">
      <c r="A6" s="416">
        <v>6</v>
      </c>
      <c r="B6" s="416"/>
      <c r="C6" s="416"/>
      <c r="D6" s="432" t="s">
        <v>319</v>
      </c>
      <c r="E6" s="437"/>
      <c r="F6" s="448">
        <v>2.0499999999999998</v>
      </c>
      <c r="G6" s="446">
        <v>1</v>
      </c>
      <c r="H6" s="446">
        <v>2.052</v>
      </c>
      <c r="I6" s="436">
        <f t="shared" si="0"/>
        <v>2.0499999999999998</v>
      </c>
      <c r="J6" s="439" t="s">
        <v>443</v>
      </c>
      <c r="K6" s="416" t="str">
        <f t="shared" si="1"/>
        <v/>
      </c>
      <c r="L6" s="416"/>
      <c r="M6" s="446"/>
    </row>
    <row r="7" spans="1:13">
      <c r="A7" s="416">
        <v>7</v>
      </c>
      <c r="B7" s="416"/>
      <c r="C7" s="416"/>
      <c r="D7" s="432" t="s">
        <v>315</v>
      </c>
      <c r="E7" s="437"/>
      <c r="F7" s="448">
        <v>0.78</v>
      </c>
      <c r="G7" s="446">
        <v>1</v>
      </c>
      <c r="H7" s="446">
        <v>0.78</v>
      </c>
      <c r="I7" s="436">
        <f t="shared" si="0"/>
        <v>0.78</v>
      </c>
      <c r="J7" s="439" t="s">
        <v>443</v>
      </c>
      <c r="K7" s="416" t="str">
        <f t="shared" si="1"/>
        <v/>
      </c>
      <c r="L7" s="416"/>
      <c r="M7" s="446"/>
    </row>
    <row r="8" spans="1:13" ht="30">
      <c r="A8" s="416">
        <v>8</v>
      </c>
      <c r="B8" s="416"/>
      <c r="C8" s="416"/>
      <c r="D8" s="432" t="s">
        <v>325</v>
      </c>
      <c r="E8" s="437"/>
      <c r="F8" s="448">
        <v>1.4</v>
      </c>
      <c r="G8" s="446">
        <v>1</v>
      </c>
      <c r="H8" s="446">
        <v>1.4</v>
      </c>
      <c r="I8" s="436">
        <f t="shared" si="0"/>
        <v>1.4</v>
      </c>
      <c r="J8" s="439" t="s">
        <v>443</v>
      </c>
      <c r="K8" s="416" t="str">
        <f t="shared" si="1"/>
        <v/>
      </c>
      <c r="L8" s="416"/>
      <c r="M8" s="446"/>
    </row>
    <row r="9" spans="1:13">
      <c r="A9" s="416">
        <v>10</v>
      </c>
      <c r="B9" s="416"/>
      <c r="C9" s="416"/>
      <c r="D9" s="416" t="s">
        <v>428</v>
      </c>
      <c r="E9" s="437"/>
      <c r="F9" s="448">
        <v>0.7</v>
      </c>
      <c r="G9" s="447">
        <v>84</v>
      </c>
      <c r="H9" s="447">
        <v>3</v>
      </c>
      <c r="I9" s="436">
        <f t="shared" si="0"/>
        <v>0.04</v>
      </c>
      <c r="J9" s="439" t="s">
        <v>435</v>
      </c>
      <c r="K9" s="416">
        <f t="shared" si="1"/>
        <v>17.568909999999999</v>
      </c>
      <c r="L9" s="416"/>
      <c r="M9" s="447"/>
    </row>
    <row r="10" spans="1:13">
      <c r="A10" s="416">
        <v>11</v>
      </c>
      <c r="B10" s="416"/>
      <c r="C10" s="416"/>
      <c r="D10" s="435" t="s">
        <v>429</v>
      </c>
      <c r="E10" s="437"/>
      <c r="F10" s="448">
        <v>0.7</v>
      </c>
      <c r="G10" s="446">
        <v>84</v>
      </c>
      <c r="H10" s="446">
        <v>3.6</v>
      </c>
      <c r="I10" s="436">
        <f t="shared" si="0"/>
        <v>0.04</v>
      </c>
      <c r="J10" s="439" t="s">
        <v>435</v>
      </c>
      <c r="K10" s="416">
        <f t="shared" si="1"/>
        <v>17.568909999999999</v>
      </c>
      <c r="L10" s="416"/>
      <c r="M10" s="446"/>
    </row>
    <row r="11" spans="1:13">
      <c r="A11" s="416">
        <v>12</v>
      </c>
      <c r="B11" s="416"/>
      <c r="C11" s="416"/>
      <c r="D11" s="435" t="s">
        <v>445</v>
      </c>
      <c r="E11" s="437"/>
      <c r="F11" s="448">
        <v>4.04</v>
      </c>
      <c r="G11" s="446">
        <v>100</v>
      </c>
      <c r="H11" s="446">
        <v>22.5</v>
      </c>
      <c r="I11" s="436">
        <f>IF(G11="","",ROUND(H11/G11,2))</f>
        <v>0.23</v>
      </c>
      <c r="J11" s="439" t="s">
        <v>435</v>
      </c>
      <c r="K11" s="416">
        <f t="shared" si="1"/>
        <v>17.568909999999999</v>
      </c>
      <c r="L11" s="416"/>
      <c r="M11" s="446"/>
    </row>
    <row r="12" spans="1:13">
      <c r="A12" s="416">
        <v>13</v>
      </c>
      <c r="B12" s="416"/>
      <c r="C12" s="416"/>
      <c r="D12" s="432" t="s">
        <v>463</v>
      </c>
      <c r="E12" s="437"/>
      <c r="F12" s="448">
        <v>11.59</v>
      </c>
      <c r="G12" s="446">
        <v>1</v>
      </c>
      <c r="H12" s="446">
        <v>11.59</v>
      </c>
      <c r="I12" s="436">
        <f t="shared" ref="I12" si="2">IF(G12="","",ROUND(H12/G12,2))</f>
        <v>11.59</v>
      </c>
      <c r="J12" s="439" t="s">
        <v>443</v>
      </c>
      <c r="K12" s="416" t="str">
        <f t="shared" si="1"/>
        <v/>
      </c>
      <c r="L12" s="416"/>
      <c r="M12" s="446">
        <v>0.68300000000000005</v>
      </c>
    </row>
    <row r="13" spans="1:13">
      <c r="A13" s="416">
        <v>14</v>
      </c>
      <c r="B13" s="416"/>
      <c r="C13" s="416"/>
      <c r="D13" s="432" t="s">
        <v>464</v>
      </c>
      <c r="E13" s="437"/>
      <c r="F13" s="525">
        <v>37.42</v>
      </c>
      <c r="G13" s="446">
        <v>1</v>
      </c>
      <c r="H13" s="446">
        <v>2.13</v>
      </c>
      <c r="I13" s="436">
        <f t="shared" ref="I13:I60" si="3">IF(G13="","",ROUND(H13/G13,2))</f>
        <v>2.13</v>
      </c>
      <c r="J13" s="439" t="s">
        <v>435</v>
      </c>
      <c r="K13" s="416">
        <f t="shared" si="1"/>
        <v>17.568909999999999</v>
      </c>
      <c r="L13" s="416"/>
      <c r="M13" s="446">
        <v>2.13</v>
      </c>
    </row>
    <row r="14" spans="1:13">
      <c r="A14" s="416">
        <v>15</v>
      </c>
      <c r="B14" s="416"/>
      <c r="C14" s="416"/>
      <c r="D14" s="432" t="s">
        <v>465</v>
      </c>
      <c r="E14" s="437"/>
      <c r="F14" s="448">
        <v>25.81</v>
      </c>
      <c r="G14" s="446">
        <v>1</v>
      </c>
      <c r="H14" s="446">
        <v>25.81</v>
      </c>
      <c r="I14" s="436">
        <f t="shared" si="3"/>
        <v>25.81</v>
      </c>
      <c r="J14" s="439" t="s">
        <v>443</v>
      </c>
      <c r="K14" s="416" t="str">
        <f t="shared" si="1"/>
        <v/>
      </c>
      <c r="L14" s="416"/>
      <c r="M14" s="446">
        <v>0.5</v>
      </c>
    </row>
    <row r="15" spans="1:13">
      <c r="A15" s="416">
        <v>16</v>
      </c>
      <c r="B15" s="416"/>
      <c r="C15" s="416"/>
      <c r="D15" s="432" t="s">
        <v>466</v>
      </c>
      <c r="E15" s="437"/>
      <c r="F15" s="448">
        <v>5.55</v>
      </c>
      <c r="G15" s="446">
        <v>1</v>
      </c>
      <c r="H15" s="446">
        <v>5.55</v>
      </c>
      <c r="I15" s="436">
        <f t="shared" si="3"/>
        <v>5.55</v>
      </c>
      <c r="J15" s="439" t="s">
        <v>443</v>
      </c>
      <c r="K15" s="416" t="str">
        <f t="shared" si="1"/>
        <v/>
      </c>
      <c r="L15" s="416"/>
      <c r="M15" s="446">
        <v>0.25</v>
      </c>
    </row>
    <row r="16" spans="1:13">
      <c r="A16" s="416">
        <v>17</v>
      </c>
      <c r="B16" s="416"/>
      <c r="C16" s="416"/>
      <c r="D16" s="432" t="s">
        <v>467</v>
      </c>
      <c r="E16" s="437"/>
      <c r="F16" s="448">
        <v>2.5299999999999998</v>
      </c>
      <c r="G16" s="446">
        <v>1</v>
      </c>
      <c r="H16" s="446">
        <v>2.5297999999999998</v>
      </c>
      <c r="I16" s="436">
        <f t="shared" si="3"/>
        <v>2.5299999999999998</v>
      </c>
      <c r="J16" s="439" t="s">
        <v>443</v>
      </c>
      <c r="K16" s="416" t="str">
        <f t="shared" si="1"/>
        <v/>
      </c>
      <c r="L16" s="416"/>
      <c r="M16" s="446">
        <v>2.5299999999999998</v>
      </c>
    </row>
    <row r="17" spans="1:13">
      <c r="A17" s="416">
        <v>18</v>
      </c>
      <c r="B17" s="416"/>
      <c r="C17" s="416"/>
      <c r="D17" s="432" t="s">
        <v>313</v>
      </c>
      <c r="E17" s="437"/>
      <c r="F17" s="448">
        <v>1</v>
      </c>
      <c r="G17" s="446">
        <v>1</v>
      </c>
      <c r="H17" s="446">
        <v>1</v>
      </c>
      <c r="I17" s="436">
        <f t="shared" si="3"/>
        <v>1</v>
      </c>
      <c r="J17" s="439" t="s">
        <v>443</v>
      </c>
      <c r="K17" s="416" t="str">
        <f t="shared" si="1"/>
        <v/>
      </c>
      <c r="L17" s="416"/>
      <c r="M17" s="446">
        <v>3.6999999999999998E-2</v>
      </c>
    </row>
    <row r="18" spans="1:13">
      <c r="A18" s="416">
        <v>19</v>
      </c>
      <c r="B18" s="416"/>
      <c r="C18" s="416"/>
      <c r="D18" s="432" t="s">
        <v>468</v>
      </c>
      <c r="E18" s="437"/>
      <c r="F18" s="448">
        <v>1.81</v>
      </c>
      <c r="G18" s="446">
        <v>1</v>
      </c>
      <c r="H18" s="446">
        <v>1.81</v>
      </c>
      <c r="I18" s="436">
        <f t="shared" si="3"/>
        <v>1.81</v>
      </c>
      <c r="J18" s="439" t="s">
        <v>443</v>
      </c>
      <c r="K18" s="416" t="str">
        <f t="shared" si="1"/>
        <v/>
      </c>
      <c r="L18" s="416"/>
      <c r="M18" s="446">
        <v>6.7000000000000004E-2</v>
      </c>
    </row>
    <row r="19" spans="1:13">
      <c r="A19" s="416">
        <v>20</v>
      </c>
      <c r="B19" s="416"/>
      <c r="C19" s="416"/>
      <c r="D19" s="432" t="s">
        <v>469</v>
      </c>
      <c r="E19" s="437"/>
      <c r="F19" s="448">
        <v>0.71</v>
      </c>
      <c r="G19" s="446">
        <v>1</v>
      </c>
      <c r="H19" s="446">
        <v>0.71</v>
      </c>
      <c r="I19" s="436">
        <f t="shared" si="3"/>
        <v>0.71</v>
      </c>
      <c r="J19" s="439" t="s">
        <v>443</v>
      </c>
      <c r="K19" s="416" t="str">
        <f t="shared" si="1"/>
        <v/>
      </c>
      <c r="L19" s="416"/>
      <c r="M19" s="446">
        <v>2.6499999999999999E-2</v>
      </c>
    </row>
    <row r="20" spans="1:13">
      <c r="A20" s="416">
        <v>21</v>
      </c>
      <c r="B20" s="416"/>
      <c r="C20" s="416"/>
      <c r="D20" s="432" t="s">
        <v>470</v>
      </c>
      <c r="E20" s="437"/>
      <c r="F20" s="448">
        <v>1.38</v>
      </c>
      <c r="G20" s="446">
        <v>1</v>
      </c>
      <c r="H20" s="446">
        <v>1.379</v>
      </c>
      <c r="I20" s="436">
        <f t="shared" si="3"/>
        <v>1.38</v>
      </c>
      <c r="J20" s="439" t="s">
        <v>443</v>
      </c>
      <c r="K20" s="416" t="str">
        <f t="shared" si="1"/>
        <v/>
      </c>
      <c r="L20" s="416"/>
      <c r="M20" s="446">
        <v>0.75</v>
      </c>
    </row>
    <row r="21" spans="1:13">
      <c r="A21" s="416">
        <v>22</v>
      </c>
      <c r="B21" s="416"/>
      <c r="C21" s="416"/>
      <c r="D21" s="432" t="s">
        <v>471</v>
      </c>
      <c r="E21" s="437"/>
      <c r="F21" s="448">
        <v>7.07</v>
      </c>
      <c r="G21" s="446">
        <v>1</v>
      </c>
      <c r="H21" s="446">
        <v>7.07</v>
      </c>
      <c r="I21" s="436">
        <f t="shared" si="3"/>
        <v>7.07</v>
      </c>
      <c r="J21" s="439" t="s">
        <v>443</v>
      </c>
      <c r="K21" s="416" t="str">
        <f t="shared" si="1"/>
        <v/>
      </c>
      <c r="L21" s="416"/>
      <c r="M21" s="446">
        <v>0.31</v>
      </c>
    </row>
    <row r="22" spans="1:13">
      <c r="A22" s="416">
        <v>23</v>
      </c>
      <c r="B22" s="416"/>
      <c r="C22" s="416"/>
      <c r="D22" s="432" t="s">
        <v>472</v>
      </c>
      <c r="E22" s="437"/>
      <c r="F22" s="448">
        <v>30.86</v>
      </c>
      <c r="G22" s="446">
        <v>1</v>
      </c>
      <c r="H22" s="446">
        <v>30.86</v>
      </c>
      <c r="I22" s="436">
        <f t="shared" si="3"/>
        <v>30.86</v>
      </c>
      <c r="J22" s="439" t="s">
        <v>443</v>
      </c>
      <c r="K22" s="416" t="str">
        <f t="shared" si="1"/>
        <v/>
      </c>
      <c r="L22" s="416"/>
      <c r="M22" s="446">
        <v>1.32</v>
      </c>
    </row>
    <row r="23" spans="1:13">
      <c r="A23" s="416">
        <v>24</v>
      </c>
      <c r="B23" s="416"/>
      <c r="C23" s="416"/>
      <c r="D23" s="432" t="s">
        <v>314</v>
      </c>
      <c r="E23" s="437"/>
      <c r="F23" s="448">
        <v>0.5</v>
      </c>
      <c r="G23" s="446">
        <v>1</v>
      </c>
      <c r="H23" s="446">
        <v>0.5</v>
      </c>
      <c r="I23" s="436">
        <f t="shared" si="3"/>
        <v>0.5</v>
      </c>
      <c r="J23" s="439" t="s">
        <v>443</v>
      </c>
      <c r="K23" s="416" t="str">
        <f t="shared" si="1"/>
        <v/>
      </c>
      <c r="L23" s="416"/>
      <c r="M23" s="446">
        <v>0.02</v>
      </c>
    </row>
    <row r="24" spans="1:13">
      <c r="A24" s="416">
        <v>25</v>
      </c>
      <c r="B24" s="416"/>
      <c r="C24" s="416"/>
      <c r="D24" s="481" t="s">
        <v>492</v>
      </c>
      <c r="E24" s="437"/>
      <c r="F24" s="448">
        <v>6.32</v>
      </c>
      <c r="G24" s="446">
        <v>1</v>
      </c>
      <c r="H24" s="446">
        <v>0.35780000000000001</v>
      </c>
      <c r="I24" s="436">
        <f t="shared" si="3"/>
        <v>0.36</v>
      </c>
      <c r="J24" s="439" t="s">
        <v>435</v>
      </c>
      <c r="K24" s="416">
        <f t="shared" si="1"/>
        <v>17.568909999999999</v>
      </c>
      <c r="L24" s="416"/>
      <c r="M24" s="446">
        <v>0.49120000000000003</v>
      </c>
    </row>
    <row r="25" spans="1:13">
      <c r="A25" s="416">
        <v>26</v>
      </c>
      <c r="B25" s="416"/>
      <c r="C25" s="416"/>
      <c r="D25" s="435" t="s">
        <v>493</v>
      </c>
      <c r="E25" s="437"/>
      <c r="F25" s="448">
        <v>7.91</v>
      </c>
      <c r="G25" s="446">
        <v>1</v>
      </c>
      <c r="H25" s="446">
        <v>0.45</v>
      </c>
      <c r="I25" s="436">
        <f t="shared" si="3"/>
        <v>0.45</v>
      </c>
      <c r="J25" s="439" t="s">
        <v>435</v>
      </c>
      <c r="K25" s="416">
        <f t="shared" si="1"/>
        <v>17.568909999999999</v>
      </c>
      <c r="L25" s="416"/>
      <c r="M25" s="446">
        <v>0.45</v>
      </c>
    </row>
    <row r="26" spans="1:13">
      <c r="A26" s="416">
        <v>27</v>
      </c>
      <c r="B26" s="416"/>
      <c r="C26" s="416"/>
      <c r="D26" s="435" t="s">
        <v>494</v>
      </c>
      <c r="E26" s="437"/>
      <c r="F26" s="448">
        <v>35.14</v>
      </c>
      <c r="G26" s="446">
        <v>1</v>
      </c>
      <c r="H26" s="446">
        <v>2</v>
      </c>
      <c r="I26" s="436">
        <f t="shared" si="3"/>
        <v>2</v>
      </c>
      <c r="J26" s="439" t="s">
        <v>435</v>
      </c>
      <c r="K26" s="416">
        <f t="shared" si="1"/>
        <v>17.568909999999999</v>
      </c>
      <c r="L26" s="416"/>
      <c r="M26" s="446">
        <v>2.5299999999999998</v>
      </c>
    </row>
    <row r="27" spans="1:13">
      <c r="A27" s="416">
        <v>28</v>
      </c>
      <c r="B27" s="416"/>
      <c r="C27" s="416"/>
      <c r="D27" s="435" t="s">
        <v>495</v>
      </c>
      <c r="E27" s="437"/>
      <c r="F27" s="448">
        <v>0.7</v>
      </c>
      <c r="G27" s="446">
        <v>1</v>
      </c>
      <c r="H27" s="446">
        <v>4.2999999999999997E-2</v>
      </c>
      <c r="I27" s="436">
        <f t="shared" si="3"/>
        <v>0.04</v>
      </c>
      <c r="J27" s="439" t="s">
        <v>435</v>
      </c>
      <c r="K27" s="416">
        <f t="shared" si="1"/>
        <v>17.568909999999999</v>
      </c>
      <c r="L27" s="416"/>
      <c r="M27" s="446">
        <v>0.22500000000000001</v>
      </c>
    </row>
    <row r="28" spans="1:13">
      <c r="A28" s="416">
        <v>29</v>
      </c>
      <c r="B28" s="416"/>
      <c r="C28" s="416"/>
      <c r="D28" s="432" t="s">
        <v>496</v>
      </c>
      <c r="E28" s="437"/>
      <c r="F28" s="448">
        <v>2.2799999999999998</v>
      </c>
      <c r="G28" s="446">
        <v>1</v>
      </c>
      <c r="H28" s="446">
        <v>0.12909999999999999</v>
      </c>
      <c r="I28" s="436">
        <f t="shared" si="3"/>
        <v>0.13</v>
      </c>
      <c r="J28" s="439" t="s">
        <v>435</v>
      </c>
      <c r="K28" s="416">
        <f t="shared" si="1"/>
        <v>17.568909999999999</v>
      </c>
      <c r="L28" s="416"/>
      <c r="M28" s="446">
        <v>0.12909999999999999</v>
      </c>
    </row>
    <row r="29" spans="1:13">
      <c r="A29" s="416">
        <v>30</v>
      </c>
      <c r="B29" s="416"/>
      <c r="C29" s="416"/>
      <c r="D29" s="432" t="s">
        <v>497</v>
      </c>
      <c r="E29" s="437"/>
      <c r="F29" s="448">
        <v>13.18</v>
      </c>
      <c r="G29" s="446">
        <v>1</v>
      </c>
      <c r="H29" s="446">
        <v>0.75</v>
      </c>
      <c r="I29" s="436">
        <f t="shared" si="3"/>
        <v>0.75</v>
      </c>
      <c r="J29" s="439" t="s">
        <v>435</v>
      </c>
      <c r="K29" s="416">
        <f t="shared" si="1"/>
        <v>17.568909999999999</v>
      </c>
      <c r="L29" s="416"/>
      <c r="M29" s="446">
        <v>0.75</v>
      </c>
    </row>
    <row r="30" spans="1:13">
      <c r="A30" s="416">
        <v>31</v>
      </c>
      <c r="B30" s="416"/>
      <c r="C30" s="416"/>
      <c r="D30" s="432" t="s">
        <v>498</v>
      </c>
      <c r="E30" s="437"/>
      <c r="F30" s="448">
        <v>3.51</v>
      </c>
      <c r="G30" s="446">
        <v>1</v>
      </c>
      <c r="H30" s="446">
        <v>0.19900000000000001</v>
      </c>
      <c r="I30" s="436">
        <f t="shared" si="3"/>
        <v>0.2</v>
      </c>
      <c r="J30" s="439" t="s">
        <v>435</v>
      </c>
      <c r="K30" s="416">
        <f t="shared" si="1"/>
        <v>17.568909999999999</v>
      </c>
      <c r="L30" s="416"/>
      <c r="M30" s="446">
        <v>0.19900000000000001</v>
      </c>
    </row>
    <row r="31" spans="1:13">
      <c r="A31" s="416">
        <v>32</v>
      </c>
      <c r="B31" s="416"/>
      <c r="C31" s="416"/>
      <c r="D31" s="432" t="s">
        <v>499</v>
      </c>
      <c r="E31" s="437"/>
      <c r="F31" s="448">
        <v>1.58</v>
      </c>
      <c r="G31" s="446">
        <v>1</v>
      </c>
      <c r="H31" s="446">
        <v>9.4E-2</v>
      </c>
      <c r="I31" s="436">
        <f t="shared" si="3"/>
        <v>0.09</v>
      </c>
      <c r="J31" s="439" t="s">
        <v>435</v>
      </c>
      <c r="K31" s="416">
        <f t="shared" si="1"/>
        <v>17.568909999999999</v>
      </c>
      <c r="L31" s="416"/>
      <c r="M31" s="446">
        <v>9.4E-2</v>
      </c>
    </row>
    <row r="32" spans="1:13">
      <c r="A32" s="416">
        <v>33</v>
      </c>
      <c r="B32" s="416"/>
      <c r="C32" s="416"/>
      <c r="D32" s="432" t="s">
        <v>1808</v>
      </c>
      <c r="E32" s="437"/>
      <c r="F32" s="448">
        <v>85.29</v>
      </c>
      <c r="G32" s="446">
        <v>1</v>
      </c>
      <c r="H32" s="446">
        <v>85.29</v>
      </c>
      <c r="I32" s="436">
        <f t="shared" si="3"/>
        <v>85.29</v>
      </c>
      <c r="J32" s="439" t="s">
        <v>443</v>
      </c>
      <c r="K32" s="416" t="str">
        <f t="shared" si="1"/>
        <v/>
      </c>
      <c r="L32" s="416"/>
      <c r="M32" s="446">
        <v>3.05</v>
      </c>
    </row>
    <row r="33" spans="1:13">
      <c r="A33" s="416">
        <v>34</v>
      </c>
      <c r="B33" s="416"/>
      <c r="C33" s="416"/>
      <c r="D33" s="432" t="s">
        <v>1809</v>
      </c>
      <c r="E33" s="437"/>
      <c r="F33" s="448">
        <v>3.03</v>
      </c>
      <c r="G33" s="446">
        <v>1</v>
      </c>
      <c r="H33" s="446">
        <v>3.03</v>
      </c>
      <c r="I33" s="436">
        <f t="shared" si="3"/>
        <v>3.03</v>
      </c>
      <c r="J33" s="439" t="s">
        <v>443</v>
      </c>
      <c r="K33" s="416" t="str">
        <f t="shared" si="1"/>
        <v/>
      </c>
      <c r="L33" s="416"/>
      <c r="M33" s="446">
        <v>0.12</v>
      </c>
    </row>
    <row r="34" spans="1:13">
      <c r="A34" s="416">
        <v>35</v>
      </c>
      <c r="B34" s="416"/>
      <c r="C34" s="416"/>
      <c r="D34" t="s">
        <v>2177</v>
      </c>
      <c r="E34" s="437"/>
      <c r="F34" s="448">
        <v>0.5</v>
      </c>
      <c r="G34" s="446">
        <v>1</v>
      </c>
      <c r="H34" s="446">
        <v>0.5</v>
      </c>
      <c r="I34" s="436">
        <f t="shared" si="3"/>
        <v>0.5</v>
      </c>
      <c r="J34" s="439" t="s">
        <v>443</v>
      </c>
      <c r="K34" s="416" t="str">
        <f t="shared" si="1"/>
        <v/>
      </c>
      <c r="L34" s="416"/>
      <c r="M34" s="446"/>
    </row>
    <row r="35" spans="1:13">
      <c r="A35" s="416">
        <v>36</v>
      </c>
      <c r="B35" s="416"/>
      <c r="C35" s="416"/>
      <c r="D35" s="432" t="s">
        <v>2201</v>
      </c>
      <c r="E35" s="437"/>
      <c r="F35" s="448">
        <v>11.07</v>
      </c>
      <c r="G35" s="446">
        <v>24</v>
      </c>
      <c r="H35" s="446">
        <v>15</v>
      </c>
      <c r="I35" s="436">
        <f t="shared" si="3"/>
        <v>0.63</v>
      </c>
      <c r="J35" s="439" t="s">
        <v>435</v>
      </c>
      <c r="K35" s="416">
        <f t="shared" si="1"/>
        <v>17.568909999999999</v>
      </c>
      <c r="L35" s="416"/>
      <c r="M35" s="446"/>
    </row>
    <row r="36" spans="1:13">
      <c r="A36" s="416">
        <v>37</v>
      </c>
      <c r="B36" s="416"/>
      <c r="C36" s="416"/>
      <c r="D36" t="s">
        <v>2237</v>
      </c>
      <c r="E36" s="437"/>
      <c r="F36" s="448">
        <v>7.38</v>
      </c>
      <c r="G36" s="446">
        <v>36</v>
      </c>
      <c r="H36" s="446">
        <v>15</v>
      </c>
      <c r="I36" s="436">
        <f>IF(G36="","",ROUND(H36/G36,2))</f>
        <v>0.42</v>
      </c>
      <c r="J36" s="439" t="s">
        <v>435</v>
      </c>
      <c r="K36" s="416">
        <f t="shared" si="1"/>
        <v>17.568909999999999</v>
      </c>
      <c r="L36" s="416"/>
      <c r="M36" s="446">
        <v>0.42</v>
      </c>
    </row>
    <row r="37" spans="1:13" ht="32">
      <c r="A37" s="416">
        <v>38</v>
      </c>
      <c r="B37" s="416"/>
      <c r="C37" s="416"/>
      <c r="D37" s="959" t="s">
        <v>2211</v>
      </c>
      <c r="E37" s="437"/>
      <c r="F37" s="448">
        <v>8254</v>
      </c>
      <c r="G37" s="1203">
        <v>1</v>
      </c>
      <c r="H37" s="1203">
        <v>8254</v>
      </c>
      <c r="I37" s="436">
        <f t="shared" si="3"/>
        <v>8254</v>
      </c>
      <c r="J37" s="439" t="s">
        <v>443</v>
      </c>
      <c r="K37" s="416" t="str">
        <f t="shared" si="1"/>
        <v/>
      </c>
      <c r="L37" s="416"/>
      <c r="M37" s="1203">
        <v>8254</v>
      </c>
    </row>
    <row r="38" spans="1:13" ht="32">
      <c r="A38" s="416">
        <v>39</v>
      </c>
      <c r="B38" s="416"/>
      <c r="C38" s="416"/>
      <c r="D38" s="959" t="s">
        <v>2212</v>
      </c>
      <c r="E38" s="437"/>
      <c r="F38" s="448">
        <v>13715</v>
      </c>
      <c r="G38" s="1395">
        <v>1</v>
      </c>
      <c r="H38" s="1395">
        <v>13715</v>
      </c>
      <c r="I38" s="436">
        <f t="shared" si="3"/>
        <v>13715</v>
      </c>
      <c r="J38" s="439" t="s">
        <v>443</v>
      </c>
      <c r="K38" s="416" t="str">
        <f t="shared" si="1"/>
        <v/>
      </c>
      <c r="L38" s="416"/>
      <c r="M38" s="1395">
        <v>13715</v>
      </c>
    </row>
    <row r="39" spans="1:13">
      <c r="A39" s="416">
        <v>40</v>
      </c>
      <c r="B39" s="416"/>
      <c r="C39" s="416"/>
      <c r="D39" s="1405" t="s">
        <v>2403</v>
      </c>
      <c r="E39" s="437"/>
      <c r="F39" s="448">
        <v>0.5</v>
      </c>
      <c r="G39" s="1406">
        <v>1</v>
      </c>
      <c r="H39" s="1406">
        <v>0.5</v>
      </c>
      <c r="I39" s="436">
        <f t="shared" si="3"/>
        <v>0.5</v>
      </c>
      <c r="J39" s="439" t="s">
        <v>443</v>
      </c>
      <c r="K39" s="416" t="str">
        <f t="shared" si="1"/>
        <v/>
      </c>
      <c r="L39" s="416"/>
      <c r="M39" s="446"/>
    </row>
    <row r="40" spans="1:13">
      <c r="A40" s="416">
        <v>41</v>
      </c>
      <c r="B40" s="416"/>
      <c r="C40" s="416"/>
      <c r="D40" s="432"/>
      <c r="E40" s="437"/>
      <c r="F40" s="448" t="s">
        <v>3241</v>
      </c>
      <c r="G40" s="446"/>
      <c r="H40" s="446"/>
      <c r="I40" s="436" t="str">
        <f t="shared" si="3"/>
        <v/>
      </c>
      <c r="J40" s="439"/>
      <c r="K40" s="416" t="str">
        <f t="shared" si="1"/>
        <v/>
      </c>
      <c r="L40" s="416"/>
      <c r="M40" s="446"/>
    </row>
    <row r="41" spans="1:13">
      <c r="A41" s="416">
        <v>42</v>
      </c>
      <c r="B41" s="416"/>
      <c r="C41" s="416"/>
      <c r="D41" s="432"/>
      <c r="E41" s="437"/>
      <c r="F41" s="448" t="s">
        <v>3241</v>
      </c>
      <c r="G41" s="446"/>
      <c r="H41" s="446"/>
      <c r="I41" s="436" t="str">
        <f t="shared" si="3"/>
        <v/>
      </c>
      <c r="J41" s="439"/>
      <c r="K41" s="416" t="str">
        <f t="shared" si="1"/>
        <v/>
      </c>
      <c r="L41" s="416"/>
      <c r="M41" s="446"/>
    </row>
    <row r="42" spans="1:13">
      <c r="A42" s="416">
        <v>43</v>
      </c>
      <c r="B42" s="416"/>
      <c r="C42" s="416"/>
      <c r="D42" s="432"/>
      <c r="E42" s="437"/>
      <c r="F42" s="448" t="s">
        <v>3241</v>
      </c>
      <c r="G42" s="446"/>
      <c r="H42" s="446"/>
      <c r="I42" s="436" t="str">
        <f t="shared" si="3"/>
        <v/>
      </c>
      <c r="J42" s="439"/>
      <c r="K42" s="416" t="str">
        <f t="shared" si="1"/>
        <v/>
      </c>
      <c r="L42" s="416"/>
      <c r="M42" s="446"/>
    </row>
    <row r="43" spans="1:13">
      <c r="A43" s="416">
        <v>44</v>
      </c>
      <c r="B43" s="416"/>
      <c r="C43" s="416"/>
      <c r="D43" s="432"/>
      <c r="E43" s="437"/>
      <c r="F43" s="448" t="s">
        <v>3241</v>
      </c>
      <c r="G43" s="446"/>
      <c r="H43" s="446"/>
      <c r="I43" s="436" t="str">
        <f t="shared" si="3"/>
        <v/>
      </c>
      <c r="J43" s="439"/>
      <c r="K43" s="416" t="str">
        <f t="shared" si="1"/>
        <v/>
      </c>
      <c r="L43" s="416"/>
      <c r="M43" s="446"/>
    </row>
    <row r="44" spans="1:13">
      <c r="A44" s="416">
        <v>45</v>
      </c>
      <c r="B44" s="416"/>
      <c r="C44" s="416"/>
      <c r="D44" s="432"/>
      <c r="E44" s="437"/>
      <c r="F44" s="448" t="s">
        <v>3241</v>
      </c>
      <c r="G44" s="446"/>
      <c r="H44" s="446"/>
      <c r="I44" s="436" t="str">
        <f t="shared" si="3"/>
        <v/>
      </c>
      <c r="J44" s="439"/>
      <c r="K44" s="416" t="str">
        <f t="shared" si="1"/>
        <v/>
      </c>
      <c r="L44" s="416"/>
      <c r="M44" s="446"/>
    </row>
    <row r="45" spans="1:13">
      <c r="A45" s="416">
        <v>46</v>
      </c>
      <c r="B45" s="416"/>
      <c r="C45" s="416"/>
      <c r="D45" s="432"/>
      <c r="E45" s="437"/>
      <c r="F45" s="448" t="s">
        <v>3241</v>
      </c>
      <c r="G45" s="446"/>
      <c r="H45" s="446"/>
      <c r="I45" s="436" t="str">
        <f t="shared" si="3"/>
        <v/>
      </c>
      <c r="J45" s="439"/>
      <c r="K45" s="416" t="str">
        <f t="shared" si="1"/>
        <v/>
      </c>
      <c r="L45" s="416"/>
      <c r="M45" s="446"/>
    </row>
    <row r="46" spans="1:13">
      <c r="A46" s="416">
        <v>47</v>
      </c>
      <c r="B46" s="416"/>
      <c r="C46" s="416"/>
      <c r="D46" s="432"/>
      <c r="E46" s="437"/>
      <c r="F46" s="448" t="s">
        <v>3241</v>
      </c>
      <c r="G46" s="446"/>
      <c r="H46" s="446"/>
      <c r="I46" s="436" t="str">
        <f t="shared" si="3"/>
        <v/>
      </c>
      <c r="J46" s="439"/>
      <c r="K46" s="416" t="str">
        <f t="shared" si="1"/>
        <v/>
      </c>
      <c r="L46" s="416"/>
      <c r="M46" s="446"/>
    </row>
    <row r="47" spans="1:13">
      <c r="A47" s="416">
        <v>48</v>
      </c>
      <c r="B47" s="416"/>
      <c r="C47" s="416"/>
      <c r="D47" s="432"/>
      <c r="E47" s="437"/>
      <c r="F47" s="448" t="s">
        <v>3241</v>
      </c>
      <c r="G47" s="446"/>
      <c r="H47" s="446"/>
      <c r="I47" s="436" t="str">
        <f t="shared" si="3"/>
        <v/>
      </c>
      <c r="J47" s="439"/>
      <c r="K47" s="416" t="str">
        <f t="shared" si="1"/>
        <v/>
      </c>
      <c r="L47" s="416"/>
      <c r="M47" s="446"/>
    </row>
    <row r="48" spans="1:13">
      <c r="A48" s="416">
        <v>49</v>
      </c>
      <c r="B48" s="416"/>
      <c r="C48" s="416"/>
      <c r="D48" s="432"/>
      <c r="E48" s="437"/>
      <c r="F48" s="448" t="s">
        <v>3241</v>
      </c>
      <c r="G48" s="446"/>
      <c r="H48" s="446"/>
      <c r="I48" s="436" t="str">
        <f t="shared" si="3"/>
        <v/>
      </c>
      <c r="J48" s="439"/>
      <c r="K48" s="416" t="str">
        <f t="shared" si="1"/>
        <v/>
      </c>
      <c r="L48" s="416"/>
      <c r="M48" s="446"/>
    </row>
    <row r="49" spans="1:13">
      <c r="A49" s="416">
        <v>50</v>
      </c>
      <c r="B49" s="416"/>
      <c r="C49" s="416"/>
      <c r="D49" s="432"/>
      <c r="E49" s="437"/>
      <c r="F49" s="448" t="s">
        <v>3241</v>
      </c>
      <c r="G49" s="446"/>
      <c r="H49" s="446"/>
      <c r="I49" s="436" t="str">
        <f t="shared" si="3"/>
        <v/>
      </c>
      <c r="J49" s="439"/>
      <c r="K49" s="416" t="str">
        <f t="shared" si="1"/>
        <v/>
      </c>
      <c r="L49" s="416"/>
      <c r="M49" s="446"/>
    </row>
    <row r="50" spans="1:13">
      <c r="A50" s="416">
        <v>51</v>
      </c>
      <c r="B50" s="416"/>
      <c r="C50" s="416"/>
      <c r="D50" s="432"/>
      <c r="E50" s="437"/>
      <c r="F50" s="448" t="s">
        <v>3241</v>
      </c>
      <c r="G50" s="446"/>
      <c r="H50" s="446"/>
      <c r="I50" s="436" t="str">
        <f t="shared" si="3"/>
        <v/>
      </c>
      <c r="J50" s="439"/>
      <c r="K50" s="416" t="str">
        <f t="shared" si="1"/>
        <v/>
      </c>
      <c r="L50" s="416"/>
      <c r="M50" s="446"/>
    </row>
    <row r="51" spans="1:13">
      <c r="A51" s="416">
        <v>52</v>
      </c>
      <c r="B51" s="416"/>
      <c r="C51" s="416"/>
      <c r="D51" s="432"/>
      <c r="E51" s="437"/>
      <c r="F51" s="448" t="s">
        <v>3241</v>
      </c>
      <c r="G51" s="446"/>
      <c r="H51" s="446"/>
      <c r="I51" s="436" t="str">
        <f t="shared" si="3"/>
        <v/>
      </c>
      <c r="J51" s="439"/>
      <c r="K51" s="416" t="str">
        <f t="shared" si="1"/>
        <v/>
      </c>
      <c r="L51" s="416"/>
      <c r="M51" s="446"/>
    </row>
    <row r="52" spans="1:13">
      <c r="A52" s="416">
        <v>53</v>
      </c>
      <c r="B52" s="416"/>
      <c r="C52" s="416"/>
      <c r="D52" s="432"/>
      <c r="E52" s="437"/>
      <c r="F52" s="448" t="s">
        <v>3241</v>
      </c>
      <c r="G52" s="446"/>
      <c r="H52" s="446"/>
      <c r="I52" s="436" t="str">
        <f t="shared" si="3"/>
        <v/>
      </c>
      <c r="J52" s="439"/>
      <c r="K52" s="416" t="str">
        <f t="shared" si="1"/>
        <v/>
      </c>
      <c r="L52" s="416"/>
      <c r="M52" s="446"/>
    </row>
    <row r="53" spans="1:13">
      <c r="A53" s="416">
        <v>54</v>
      </c>
      <c r="B53" s="416"/>
      <c r="C53" s="416"/>
      <c r="D53" s="432"/>
      <c r="E53" s="437"/>
      <c r="F53" s="448" t="s">
        <v>3241</v>
      </c>
      <c r="G53" s="446"/>
      <c r="H53" s="446"/>
      <c r="I53" s="436" t="str">
        <f t="shared" si="3"/>
        <v/>
      </c>
      <c r="J53" s="439"/>
      <c r="K53" s="416" t="str">
        <f t="shared" si="1"/>
        <v/>
      </c>
      <c r="L53" s="416"/>
      <c r="M53" s="446"/>
    </row>
    <row r="54" spans="1:13">
      <c r="A54" s="416">
        <v>55</v>
      </c>
      <c r="B54" s="416"/>
      <c r="C54" s="416"/>
      <c r="D54" s="432"/>
      <c r="E54" s="437"/>
      <c r="F54" s="448" t="s">
        <v>3241</v>
      </c>
      <c r="G54" s="446"/>
      <c r="H54" s="446"/>
      <c r="I54" s="436" t="str">
        <f t="shared" si="3"/>
        <v/>
      </c>
      <c r="J54" s="439"/>
      <c r="K54" s="416" t="str">
        <f t="shared" si="1"/>
        <v/>
      </c>
      <c r="L54" s="416"/>
      <c r="M54" s="446"/>
    </row>
    <row r="55" spans="1:13">
      <c r="A55" s="416">
        <v>56</v>
      </c>
      <c r="B55" s="416"/>
      <c r="C55" s="416"/>
      <c r="D55" s="432"/>
      <c r="E55" s="437"/>
      <c r="F55" s="448" t="s">
        <v>3241</v>
      </c>
      <c r="G55" s="446"/>
      <c r="H55" s="446"/>
      <c r="I55" s="436" t="str">
        <f t="shared" si="3"/>
        <v/>
      </c>
      <c r="J55" s="439"/>
      <c r="K55" s="416" t="str">
        <f t="shared" si="1"/>
        <v/>
      </c>
      <c r="L55" s="416"/>
      <c r="M55" s="446"/>
    </row>
    <row r="56" spans="1:13">
      <c r="A56" s="416">
        <v>57</v>
      </c>
      <c r="B56" s="416"/>
      <c r="C56" s="416"/>
      <c r="D56" s="432"/>
      <c r="E56" s="437"/>
      <c r="F56" s="448" t="s">
        <v>3241</v>
      </c>
      <c r="G56" s="446"/>
      <c r="H56" s="446"/>
      <c r="I56" s="436" t="str">
        <f t="shared" si="3"/>
        <v/>
      </c>
      <c r="J56" s="439"/>
      <c r="K56" s="416" t="str">
        <f t="shared" si="1"/>
        <v/>
      </c>
      <c r="L56" s="416"/>
      <c r="M56" s="446"/>
    </row>
    <row r="57" spans="1:13">
      <c r="A57" s="416">
        <v>58</v>
      </c>
      <c r="B57" s="416"/>
      <c r="C57" s="416"/>
      <c r="D57" s="432"/>
      <c r="E57" s="437"/>
      <c r="F57" s="448" t="s">
        <v>3241</v>
      </c>
      <c r="G57" s="446"/>
      <c r="H57" s="446"/>
      <c r="I57" s="436" t="str">
        <f t="shared" si="3"/>
        <v/>
      </c>
      <c r="J57" s="439"/>
      <c r="K57" s="416" t="str">
        <f t="shared" si="1"/>
        <v/>
      </c>
      <c r="L57" s="416"/>
      <c r="M57" s="446"/>
    </row>
    <row r="58" spans="1:13">
      <c r="A58" s="416">
        <v>59</v>
      </c>
      <c r="B58" s="416"/>
      <c r="C58" s="416"/>
      <c r="D58" s="432"/>
      <c r="E58" s="437"/>
      <c r="F58" s="448" t="s">
        <v>3241</v>
      </c>
      <c r="G58" s="446"/>
      <c r="H58" s="446"/>
      <c r="I58" s="436" t="str">
        <f t="shared" si="3"/>
        <v/>
      </c>
      <c r="J58" s="439"/>
      <c r="K58" s="416" t="str">
        <f t="shared" si="1"/>
        <v/>
      </c>
      <c r="L58" s="416"/>
      <c r="M58" s="446"/>
    </row>
    <row r="59" spans="1:13">
      <c r="A59" s="416">
        <v>60</v>
      </c>
      <c r="B59" s="416"/>
      <c r="C59" s="416"/>
      <c r="D59" s="432"/>
      <c r="E59" s="437"/>
      <c r="F59" s="448" t="s">
        <v>3241</v>
      </c>
      <c r="G59" s="446"/>
      <c r="H59" s="446"/>
      <c r="I59" s="436" t="str">
        <f t="shared" si="3"/>
        <v/>
      </c>
      <c r="J59" s="439"/>
      <c r="K59" s="416" t="str">
        <f t="shared" si="1"/>
        <v/>
      </c>
      <c r="L59" s="416"/>
      <c r="M59" s="446"/>
    </row>
    <row r="60" spans="1:13">
      <c r="A60" s="416">
        <v>61</v>
      </c>
      <c r="B60" s="416"/>
      <c r="C60" s="416"/>
      <c r="D60" s="432"/>
      <c r="E60" s="437"/>
      <c r="F60" s="448" t="s">
        <v>3241</v>
      </c>
      <c r="G60" s="446"/>
      <c r="H60" s="446"/>
      <c r="I60" s="436" t="str">
        <f t="shared" si="3"/>
        <v/>
      </c>
      <c r="J60" s="439"/>
      <c r="K60" s="416" t="str">
        <f t="shared" si="1"/>
        <v/>
      </c>
      <c r="L60" s="416"/>
      <c r="M60" s="446"/>
    </row>
    <row r="61" spans="1:13">
      <c r="A61" s="416">
        <v>62</v>
      </c>
      <c r="B61" s="416"/>
      <c r="C61" s="416"/>
      <c r="D61" s="432"/>
      <c r="E61" s="437"/>
      <c r="F61" s="448" t="s">
        <v>3241</v>
      </c>
      <c r="G61" s="446"/>
      <c r="H61" s="446"/>
      <c r="I61" s="436" t="str">
        <f t="shared" ref="I61:I124" si="4">IF(G61="","",ROUND(H61/G61,2))</f>
        <v/>
      </c>
      <c r="J61" s="439"/>
      <c r="K61" s="416" t="str">
        <f t="shared" si="1"/>
        <v/>
      </c>
      <c r="L61" s="416"/>
      <c r="M61" s="446"/>
    </row>
    <row r="62" spans="1:13">
      <c r="A62" s="416">
        <v>63</v>
      </c>
      <c r="B62" s="416"/>
      <c r="C62" s="416"/>
      <c r="D62" s="432"/>
      <c r="E62" s="437"/>
      <c r="F62" s="448" t="s">
        <v>3241</v>
      </c>
      <c r="G62" s="446"/>
      <c r="H62" s="446"/>
      <c r="I62" s="436" t="str">
        <f t="shared" si="4"/>
        <v/>
      </c>
      <c r="J62" s="439"/>
      <c r="K62" s="416" t="str">
        <f t="shared" si="1"/>
        <v/>
      </c>
      <c r="L62" s="416"/>
      <c r="M62" s="446"/>
    </row>
    <row r="63" spans="1:13">
      <c r="A63" s="416">
        <v>64</v>
      </c>
      <c r="B63" s="416"/>
      <c r="C63" s="416"/>
      <c r="D63" s="432"/>
      <c r="E63" s="437"/>
      <c r="F63" s="448" t="s">
        <v>3241</v>
      </c>
      <c r="G63" s="446"/>
      <c r="H63" s="446"/>
      <c r="I63" s="436" t="str">
        <f t="shared" si="4"/>
        <v/>
      </c>
      <c r="J63" s="439"/>
      <c r="K63" s="416" t="str">
        <f t="shared" si="1"/>
        <v/>
      </c>
      <c r="L63" s="416"/>
      <c r="M63" s="446"/>
    </row>
    <row r="64" spans="1:13">
      <c r="A64" s="416">
        <v>65</v>
      </c>
      <c r="B64" s="416"/>
      <c r="C64" s="416"/>
      <c r="D64" s="432"/>
      <c r="E64" s="437"/>
      <c r="F64" s="448" t="s">
        <v>3241</v>
      </c>
      <c r="G64" s="446"/>
      <c r="H64" s="446"/>
      <c r="I64" s="436" t="str">
        <f t="shared" si="4"/>
        <v/>
      </c>
      <c r="J64" s="439"/>
      <c r="K64" s="416" t="str">
        <f t="shared" ref="K64:K127" si="5">IF(J64="USD",USD,IF(J64="EUR",EUR,""))</f>
        <v/>
      </c>
      <c r="L64" s="416"/>
      <c r="M64" s="446"/>
    </row>
    <row r="65" spans="1:13">
      <c r="A65" s="416">
        <v>66</v>
      </c>
      <c r="B65" s="416"/>
      <c r="C65" s="416"/>
      <c r="D65" s="432"/>
      <c r="E65" s="437"/>
      <c r="F65" s="448" t="s">
        <v>3241</v>
      </c>
      <c r="G65" s="446"/>
      <c r="H65" s="446"/>
      <c r="I65" s="436" t="str">
        <f t="shared" si="4"/>
        <v/>
      </c>
      <c r="J65" s="439"/>
      <c r="K65" s="416" t="str">
        <f t="shared" si="5"/>
        <v/>
      </c>
      <c r="L65" s="416"/>
      <c r="M65" s="446"/>
    </row>
    <row r="66" spans="1:13">
      <c r="A66" s="416">
        <v>67</v>
      </c>
      <c r="B66" s="416"/>
      <c r="C66" s="416"/>
      <c r="D66" s="432"/>
      <c r="E66" s="437"/>
      <c r="F66" s="448" t="s">
        <v>3241</v>
      </c>
      <c r="G66" s="446"/>
      <c r="H66" s="446"/>
      <c r="I66" s="436" t="str">
        <f t="shared" si="4"/>
        <v/>
      </c>
      <c r="J66" s="439"/>
      <c r="K66" s="416" t="str">
        <f t="shared" si="5"/>
        <v/>
      </c>
      <c r="L66" s="416"/>
      <c r="M66" s="446"/>
    </row>
    <row r="67" spans="1:13">
      <c r="A67" s="416">
        <v>68</v>
      </c>
      <c r="B67" s="416"/>
      <c r="C67" s="416"/>
      <c r="D67" s="432"/>
      <c r="E67" s="437"/>
      <c r="F67" s="448" t="s">
        <v>3241</v>
      </c>
      <c r="G67" s="446"/>
      <c r="H67" s="446"/>
      <c r="I67" s="436" t="str">
        <f t="shared" si="4"/>
        <v/>
      </c>
      <c r="J67" s="439"/>
      <c r="K67" s="416" t="str">
        <f t="shared" si="5"/>
        <v/>
      </c>
      <c r="L67" s="416"/>
      <c r="M67" s="446"/>
    </row>
    <row r="68" spans="1:13">
      <c r="A68" s="416">
        <v>69</v>
      </c>
      <c r="B68" s="416"/>
      <c r="C68" s="416"/>
      <c r="D68" s="432"/>
      <c r="E68" s="437"/>
      <c r="F68" s="448" t="s">
        <v>3241</v>
      </c>
      <c r="G68" s="446"/>
      <c r="H68" s="446"/>
      <c r="I68" s="436" t="str">
        <f t="shared" si="4"/>
        <v/>
      </c>
      <c r="J68" s="439"/>
      <c r="K68" s="416" t="str">
        <f t="shared" si="5"/>
        <v/>
      </c>
      <c r="L68" s="416"/>
      <c r="M68" s="446"/>
    </row>
    <row r="69" spans="1:13">
      <c r="A69" s="416">
        <v>70</v>
      </c>
      <c r="B69" s="416"/>
      <c r="C69" s="416"/>
      <c r="D69" s="432"/>
      <c r="E69" s="437"/>
      <c r="F69" s="448" t="s">
        <v>3241</v>
      </c>
      <c r="G69" s="446"/>
      <c r="H69" s="446"/>
      <c r="I69" s="436" t="str">
        <f t="shared" si="4"/>
        <v/>
      </c>
      <c r="J69" s="439"/>
      <c r="K69" s="416" t="str">
        <f t="shared" si="5"/>
        <v/>
      </c>
      <c r="L69" s="416"/>
      <c r="M69" s="446"/>
    </row>
    <row r="70" spans="1:13">
      <c r="A70" s="416">
        <v>71</v>
      </c>
      <c r="B70" s="416"/>
      <c r="C70" s="416"/>
      <c r="D70" s="432"/>
      <c r="E70" s="437"/>
      <c r="F70" s="448" t="s">
        <v>3241</v>
      </c>
      <c r="G70" s="446"/>
      <c r="H70" s="446"/>
      <c r="I70" s="436" t="str">
        <f t="shared" si="4"/>
        <v/>
      </c>
      <c r="J70" s="439"/>
      <c r="K70" s="416" t="str">
        <f t="shared" si="5"/>
        <v/>
      </c>
      <c r="L70" s="416"/>
      <c r="M70" s="446"/>
    </row>
    <row r="71" spans="1:13">
      <c r="A71" s="416">
        <v>72</v>
      </c>
      <c r="B71" s="416"/>
      <c r="C71" s="416"/>
      <c r="D71" s="432"/>
      <c r="E71" s="437"/>
      <c r="F71" s="448" t="s">
        <v>3241</v>
      </c>
      <c r="G71" s="446"/>
      <c r="H71" s="446"/>
      <c r="I71" s="436" t="str">
        <f t="shared" si="4"/>
        <v/>
      </c>
      <c r="J71" s="439"/>
      <c r="K71" s="416" t="str">
        <f t="shared" si="5"/>
        <v/>
      </c>
      <c r="L71" s="416"/>
      <c r="M71" s="446"/>
    </row>
    <row r="72" spans="1:13">
      <c r="A72" s="416">
        <v>73</v>
      </c>
      <c r="B72" s="416"/>
      <c r="C72" s="416"/>
      <c r="D72" s="432"/>
      <c r="E72" s="437"/>
      <c r="F72" s="448" t="s">
        <v>3241</v>
      </c>
      <c r="G72" s="446"/>
      <c r="H72" s="446"/>
      <c r="I72" s="436" t="str">
        <f t="shared" si="4"/>
        <v/>
      </c>
      <c r="J72" s="439"/>
      <c r="K72" s="416" t="str">
        <f t="shared" si="5"/>
        <v/>
      </c>
      <c r="L72" s="416"/>
      <c r="M72" s="446"/>
    </row>
    <row r="73" spans="1:13">
      <c r="A73" s="416">
        <v>74</v>
      </c>
      <c r="B73" s="416"/>
      <c r="C73" s="416"/>
      <c r="D73" s="432"/>
      <c r="E73" s="437"/>
      <c r="F73" s="448" t="s">
        <v>3241</v>
      </c>
      <c r="G73" s="446"/>
      <c r="H73" s="446"/>
      <c r="I73" s="436" t="str">
        <f t="shared" si="4"/>
        <v/>
      </c>
      <c r="J73" s="439"/>
      <c r="K73" s="416" t="str">
        <f t="shared" si="5"/>
        <v/>
      </c>
      <c r="L73" s="416"/>
      <c r="M73" s="446"/>
    </row>
    <row r="74" spans="1:13">
      <c r="A74" s="416">
        <v>75</v>
      </c>
      <c r="B74" s="416"/>
      <c r="C74" s="416"/>
      <c r="D74" s="432"/>
      <c r="E74" s="437"/>
      <c r="F74" s="448" t="s">
        <v>3241</v>
      </c>
      <c r="G74" s="446"/>
      <c r="H74" s="446"/>
      <c r="I74" s="436" t="str">
        <f t="shared" si="4"/>
        <v/>
      </c>
      <c r="J74" s="439"/>
      <c r="K74" s="416" t="str">
        <f t="shared" si="5"/>
        <v/>
      </c>
      <c r="L74" s="416"/>
      <c r="M74" s="446"/>
    </row>
    <row r="75" spans="1:13">
      <c r="A75" s="416">
        <v>76</v>
      </c>
      <c r="B75" s="416"/>
      <c r="C75" s="416"/>
      <c r="D75" s="432"/>
      <c r="E75" s="437"/>
      <c r="F75" s="448" t="s">
        <v>3241</v>
      </c>
      <c r="G75" s="446"/>
      <c r="H75" s="446"/>
      <c r="I75" s="436" t="str">
        <f t="shared" si="4"/>
        <v/>
      </c>
      <c r="J75" s="439"/>
      <c r="K75" s="416" t="str">
        <f t="shared" si="5"/>
        <v/>
      </c>
      <c r="L75" s="416"/>
      <c r="M75" s="446"/>
    </row>
    <row r="76" spans="1:13">
      <c r="A76" s="416">
        <v>77</v>
      </c>
      <c r="B76" s="416"/>
      <c r="C76" s="416"/>
      <c r="D76" s="432"/>
      <c r="E76" s="437"/>
      <c r="F76" s="448" t="s">
        <v>3241</v>
      </c>
      <c r="G76" s="446"/>
      <c r="H76" s="446"/>
      <c r="I76" s="436" t="str">
        <f t="shared" si="4"/>
        <v/>
      </c>
      <c r="J76" s="439"/>
      <c r="K76" s="416" t="str">
        <f t="shared" si="5"/>
        <v/>
      </c>
      <c r="L76" s="416"/>
      <c r="M76" s="446"/>
    </row>
    <row r="77" spans="1:13">
      <c r="A77" s="416">
        <v>78</v>
      </c>
      <c r="B77" s="416"/>
      <c r="C77" s="416"/>
      <c r="D77" s="432"/>
      <c r="E77" s="437"/>
      <c r="F77" s="448" t="s">
        <v>3241</v>
      </c>
      <c r="G77" s="446"/>
      <c r="H77" s="446"/>
      <c r="I77" s="436" t="str">
        <f t="shared" si="4"/>
        <v/>
      </c>
      <c r="J77" s="439"/>
      <c r="K77" s="416" t="str">
        <f t="shared" si="5"/>
        <v/>
      </c>
      <c r="L77" s="416"/>
      <c r="M77" s="446"/>
    </row>
    <row r="78" spans="1:13">
      <c r="A78" s="416">
        <v>79</v>
      </c>
      <c r="B78" s="416"/>
      <c r="C78" s="416"/>
      <c r="D78" s="432"/>
      <c r="E78" s="437"/>
      <c r="F78" s="448" t="s">
        <v>3241</v>
      </c>
      <c r="G78" s="446"/>
      <c r="H78" s="446"/>
      <c r="I78" s="436" t="str">
        <f t="shared" si="4"/>
        <v/>
      </c>
      <c r="J78" s="439"/>
      <c r="K78" s="416" t="str">
        <f t="shared" si="5"/>
        <v/>
      </c>
      <c r="L78" s="416"/>
      <c r="M78" s="446"/>
    </row>
    <row r="79" spans="1:13">
      <c r="A79" s="416">
        <v>80</v>
      </c>
      <c r="B79" s="416"/>
      <c r="C79" s="416"/>
      <c r="D79" s="432"/>
      <c r="E79" s="437"/>
      <c r="F79" s="448" t="s">
        <v>3241</v>
      </c>
      <c r="G79" s="446"/>
      <c r="H79" s="446"/>
      <c r="I79" s="436" t="str">
        <f t="shared" si="4"/>
        <v/>
      </c>
      <c r="J79" s="439"/>
      <c r="K79" s="416" t="str">
        <f t="shared" si="5"/>
        <v/>
      </c>
      <c r="L79" s="416"/>
      <c r="M79" s="446"/>
    </row>
    <row r="80" spans="1:13">
      <c r="A80" s="416">
        <v>81</v>
      </c>
      <c r="B80" s="416"/>
      <c r="C80" s="416"/>
      <c r="D80" s="432"/>
      <c r="E80" s="437"/>
      <c r="F80" s="448" t="s">
        <v>3241</v>
      </c>
      <c r="G80" s="446"/>
      <c r="H80" s="446"/>
      <c r="I80" s="436" t="str">
        <f t="shared" si="4"/>
        <v/>
      </c>
      <c r="J80" s="439"/>
      <c r="K80" s="416" t="str">
        <f t="shared" si="5"/>
        <v/>
      </c>
      <c r="L80" s="416"/>
      <c r="M80" s="446"/>
    </row>
    <row r="81" spans="1:13">
      <c r="A81" s="416">
        <v>82</v>
      </c>
      <c r="B81" s="416"/>
      <c r="C81" s="416"/>
      <c r="D81" s="432"/>
      <c r="E81" s="437"/>
      <c r="F81" s="448" t="s">
        <v>3241</v>
      </c>
      <c r="G81" s="446"/>
      <c r="H81" s="446"/>
      <c r="I81" s="436" t="str">
        <f t="shared" si="4"/>
        <v/>
      </c>
      <c r="J81" s="439"/>
      <c r="K81" s="416" t="str">
        <f t="shared" si="5"/>
        <v/>
      </c>
      <c r="L81" s="416"/>
      <c r="M81" s="446"/>
    </row>
    <row r="82" spans="1:13">
      <c r="A82" s="416">
        <v>83</v>
      </c>
      <c r="B82" s="416"/>
      <c r="C82" s="416"/>
      <c r="D82" s="432"/>
      <c r="E82" s="437"/>
      <c r="F82" s="448" t="s">
        <v>3241</v>
      </c>
      <c r="G82" s="446"/>
      <c r="H82" s="446"/>
      <c r="I82" s="436" t="str">
        <f t="shared" si="4"/>
        <v/>
      </c>
      <c r="J82" s="439"/>
      <c r="K82" s="416" t="str">
        <f t="shared" si="5"/>
        <v/>
      </c>
      <c r="L82" s="416"/>
      <c r="M82" s="446"/>
    </row>
    <row r="83" spans="1:13">
      <c r="A83" s="416">
        <v>84</v>
      </c>
      <c r="B83" s="416"/>
      <c r="C83" s="416"/>
      <c r="D83" s="432"/>
      <c r="E83" s="437"/>
      <c r="F83" s="448" t="s">
        <v>3241</v>
      </c>
      <c r="G83" s="446"/>
      <c r="H83" s="446"/>
      <c r="I83" s="436" t="str">
        <f t="shared" si="4"/>
        <v/>
      </c>
      <c r="J83" s="439"/>
      <c r="K83" s="416" t="str">
        <f t="shared" si="5"/>
        <v/>
      </c>
      <c r="L83" s="416"/>
      <c r="M83" s="446"/>
    </row>
    <row r="84" spans="1:13">
      <c r="A84" s="416">
        <v>85</v>
      </c>
      <c r="B84" s="416"/>
      <c r="C84" s="416"/>
      <c r="D84" s="432"/>
      <c r="E84" s="437"/>
      <c r="F84" s="448" t="s">
        <v>3241</v>
      </c>
      <c r="G84" s="446"/>
      <c r="H84" s="446"/>
      <c r="I84" s="436" t="str">
        <f t="shared" si="4"/>
        <v/>
      </c>
      <c r="J84" s="439"/>
      <c r="K84" s="416" t="str">
        <f t="shared" si="5"/>
        <v/>
      </c>
      <c r="L84" s="416"/>
      <c r="M84" s="446"/>
    </row>
    <row r="85" spans="1:13">
      <c r="A85" s="416">
        <v>86</v>
      </c>
      <c r="B85" s="416"/>
      <c r="C85" s="416"/>
      <c r="D85" s="432"/>
      <c r="E85" s="437"/>
      <c r="F85" s="448" t="s">
        <v>3241</v>
      </c>
      <c r="G85" s="446"/>
      <c r="H85" s="446"/>
      <c r="I85" s="436" t="str">
        <f t="shared" si="4"/>
        <v/>
      </c>
      <c r="J85" s="439"/>
      <c r="K85" s="416" t="str">
        <f t="shared" si="5"/>
        <v/>
      </c>
      <c r="L85" s="416"/>
      <c r="M85" s="446"/>
    </row>
    <row r="86" spans="1:13">
      <c r="A86" s="416">
        <v>87</v>
      </c>
      <c r="B86" s="416"/>
      <c r="C86" s="416"/>
      <c r="D86" s="432"/>
      <c r="E86" s="437"/>
      <c r="F86" s="448" t="s">
        <v>3241</v>
      </c>
      <c r="G86" s="446"/>
      <c r="H86" s="446"/>
      <c r="I86" s="436" t="str">
        <f t="shared" si="4"/>
        <v/>
      </c>
      <c r="J86" s="439"/>
      <c r="K86" s="416" t="str">
        <f t="shared" si="5"/>
        <v/>
      </c>
      <c r="L86" s="416"/>
      <c r="M86" s="446"/>
    </row>
    <row r="87" spans="1:13">
      <c r="A87" s="416">
        <v>88</v>
      </c>
      <c r="B87" s="416"/>
      <c r="C87" s="416"/>
      <c r="D87" s="432"/>
      <c r="E87" s="437"/>
      <c r="F87" s="448" t="s">
        <v>3241</v>
      </c>
      <c r="G87" s="446"/>
      <c r="H87" s="446"/>
      <c r="I87" s="436" t="str">
        <f t="shared" si="4"/>
        <v/>
      </c>
      <c r="J87" s="439"/>
      <c r="K87" s="416" t="str">
        <f t="shared" si="5"/>
        <v/>
      </c>
      <c r="L87" s="416"/>
      <c r="M87" s="446"/>
    </row>
    <row r="88" spans="1:13">
      <c r="A88" s="416">
        <v>89</v>
      </c>
      <c r="B88" s="416"/>
      <c r="C88" s="416"/>
      <c r="D88" s="432"/>
      <c r="E88" s="437"/>
      <c r="F88" s="448" t="s">
        <v>3241</v>
      </c>
      <c r="G88" s="446"/>
      <c r="H88" s="446"/>
      <c r="I88" s="436" t="str">
        <f t="shared" si="4"/>
        <v/>
      </c>
      <c r="J88" s="439"/>
      <c r="K88" s="416" t="str">
        <f t="shared" si="5"/>
        <v/>
      </c>
      <c r="L88" s="416"/>
      <c r="M88" s="446"/>
    </row>
    <row r="89" spans="1:13">
      <c r="A89" s="416">
        <v>90</v>
      </c>
      <c r="B89" s="416"/>
      <c r="C89" s="416"/>
      <c r="D89" s="432"/>
      <c r="E89" s="437"/>
      <c r="F89" s="448" t="s">
        <v>3241</v>
      </c>
      <c r="G89" s="446"/>
      <c r="H89" s="446"/>
      <c r="I89" s="436" t="str">
        <f t="shared" si="4"/>
        <v/>
      </c>
      <c r="J89" s="439"/>
      <c r="K89" s="416" t="str">
        <f t="shared" si="5"/>
        <v/>
      </c>
      <c r="L89" s="416"/>
      <c r="M89" s="446"/>
    </row>
    <row r="90" spans="1:13">
      <c r="A90" s="416">
        <v>91</v>
      </c>
      <c r="B90" s="416"/>
      <c r="C90" s="416"/>
      <c r="D90" s="432"/>
      <c r="E90" s="437"/>
      <c r="F90" s="448" t="s">
        <v>3241</v>
      </c>
      <c r="G90" s="446"/>
      <c r="H90" s="446"/>
      <c r="I90" s="436" t="str">
        <f t="shared" si="4"/>
        <v/>
      </c>
      <c r="J90" s="439"/>
      <c r="K90" s="416" t="str">
        <f t="shared" si="5"/>
        <v/>
      </c>
      <c r="L90" s="416"/>
      <c r="M90" s="446"/>
    </row>
    <row r="91" spans="1:13">
      <c r="A91" s="416">
        <v>92</v>
      </c>
      <c r="B91" s="416"/>
      <c r="C91" s="416"/>
      <c r="D91" s="432"/>
      <c r="E91" s="437"/>
      <c r="F91" s="448" t="s">
        <v>3241</v>
      </c>
      <c r="G91" s="446"/>
      <c r="H91" s="446"/>
      <c r="I91" s="436" t="str">
        <f t="shared" si="4"/>
        <v/>
      </c>
      <c r="J91" s="439"/>
      <c r="K91" s="416" t="str">
        <f t="shared" si="5"/>
        <v/>
      </c>
      <c r="L91" s="416"/>
      <c r="M91" s="446"/>
    </row>
    <row r="92" spans="1:13">
      <c r="A92" s="416">
        <v>93</v>
      </c>
      <c r="B92" s="416"/>
      <c r="C92" s="416"/>
      <c r="D92" s="432"/>
      <c r="E92" s="437"/>
      <c r="F92" s="448" t="s">
        <v>3241</v>
      </c>
      <c r="G92" s="446"/>
      <c r="H92" s="446"/>
      <c r="I92" s="436" t="str">
        <f t="shared" si="4"/>
        <v/>
      </c>
      <c r="J92" s="439"/>
      <c r="K92" s="416" t="str">
        <f t="shared" si="5"/>
        <v/>
      </c>
      <c r="L92" s="416"/>
      <c r="M92" s="446"/>
    </row>
    <row r="93" spans="1:13">
      <c r="A93" s="416">
        <v>94</v>
      </c>
      <c r="B93" s="416"/>
      <c r="C93" s="416"/>
      <c r="D93" s="432"/>
      <c r="E93" s="437"/>
      <c r="F93" s="448" t="s">
        <v>3241</v>
      </c>
      <c r="G93" s="446"/>
      <c r="H93" s="446"/>
      <c r="I93" s="436" t="str">
        <f t="shared" si="4"/>
        <v/>
      </c>
      <c r="J93" s="439"/>
      <c r="K93" s="416" t="str">
        <f t="shared" si="5"/>
        <v/>
      </c>
      <c r="L93" s="416"/>
      <c r="M93" s="446"/>
    </row>
    <row r="94" spans="1:13">
      <c r="A94" s="416">
        <v>95</v>
      </c>
      <c r="B94" s="416"/>
      <c r="C94" s="416"/>
      <c r="D94" s="432"/>
      <c r="E94" s="437"/>
      <c r="F94" s="448" t="s">
        <v>3241</v>
      </c>
      <c r="G94" s="446"/>
      <c r="H94" s="446"/>
      <c r="I94" s="436" t="str">
        <f t="shared" si="4"/>
        <v/>
      </c>
      <c r="J94" s="439"/>
      <c r="K94" s="416" t="str">
        <f t="shared" si="5"/>
        <v/>
      </c>
      <c r="L94" s="416"/>
      <c r="M94" s="446"/>
    </row>
    <row r="95" spans="1:13">
      <c r="A95" s="416">
        <v>96</v>
      </c>
      <c r="B95" s="416"/>
      <c r="C95" s="416"/>
      <c r="D95" s="432"/>
      <c r="E95" s="437"/>
      <c r="F95" s="448" t="s">
        <v>3241</v>
      </c>
      <c r="G95" s="446"/>
      <c r="H95" s="446"/>
      <c r="I95" s="436" t="str">
        <f t="shared" si="4"/>
        <v/>
      </c>
      <c r="J95" s="439"/>
      <c r="K95" s="416" t="str">
        <f t="shared" si="5"/>
        <v/>
      </c>
      <c r="L95" s="416"/>
      <c r="M95" s="446"/>
    </row>
    <row r="96" spans="1:13">
      <c r="A96" s="416">
        <v>97</v>
      </c>
      <c r="B96" s="416"/>
      <c r="C96" s="416"/>
      <c r="D96" s="432"/>
      <c r="E96" s="437"/>
      <c r="F96" s="448" t="s">
        <v>3241</v>
      </c>
      <c r="G96" s="446"/>
      <c r="H96" s="446"/>
      <c r="I96" s="436" t="str">
        <f t="shared" si="4"/>
        <v/>
      </c>
      <c r="J96" s="439"/>
      <c r="K96" s="416" t="str">
        <f t="shared" si="5"/>
        <v/>
      </c>
      <c r="L96" s="416"/>
      <c r="M96" s="446"/>
    </row>
    <row r="97" spans="1:13">
      <c r="A97" s="416">
        <v>98</v>
      </c>
      <c r="B97" s="416"/>
      <c r="C97" s="416"/>
      <c r="D97" s="432"/>
      <c r="E97" s="437"/>
      <c r="F97" s="448" t="s">
        <v>3241</v>
      </c>
      <c r="G97" s="446"/>
      <c r="H97" s="446"/>
      <c r="I97" s="436" t="str">
        <f t="shared" si="4"/>
        <v/>
      </c>
      <c r="J97" s="439"/>
      <c r="K97" s="416" t="str">
        <f t="shared" si="5"/>
        <v/>
      </c>
      <c r="L97" s="416"/>
      <c r="M97" s="446"/>
    </row>
    <row r="98" spans="1:13">
      <c r="A98" s="416">
        <v>99</v>
      </c>
      <c r="B98" s="416"/>
      <c r="C98" s="416"/>
      <c r="D98" s="432"/>
      <c r="E98" s="437"/>
      <c r="F98" s="448" t="s">
        <v>3241</v>
      </c>
      <c r="G98" s="446"/>
      <c r="H98" s="446"/>
      <c r="I98" s="436" t="str">
        <f t="shared" si="4"/>
        <v/>
      </c>
      <c r="J98" s="439"/>
      <c r="K98" s="416" t="str">
        <f t="shared" si="5"/>
        <v/>
      </c>
      <c r="L98" s="416"/>
      <c r="M98" s="446"/>
    </row>
    <row r="99" spans="1:13">
      <c r="A99" s="416">
        <v>100</v>
      </c>
      <c r="B99" s="416"/>
      <c r="C99" s="416"/>
      <c r="D99" s="432"/>
      <c r="E99" s="437"/>
      <c r="F99" s="448" t="s">
        <v>3241</v>
      </c>
      <c r="G99" s="446"/>
      <c r="H99" s="446"/>
      <c r="I99" s="436" t="str">
        <f t="shared" si="4"/>
        <v/>
      </c>
      <c r="J99" s="439"/>
      <c r="K99" s="416" t="str">
        <f t="shared" si="5"/>
        <v/>
      </c>
      <c r="L99" s="416"/>
      <c r="M99" s="446"/>
    </row>
    <row r="100" spans="1:13">
      <c r="A100" s="416">
        <v>101</v>
      </c>
      <c r="B100" s="416"/>
      <c r="C100" s="416"/>
      <c r="D100" s="432"/>
      <c r="E100" s="437"/>
      <c r="F100" s="448" t="s">
        <v>3241</v>
      </c>
      <c r="G100" s="446"/>
      <c r="H100" s="446"/>
      <c r="I100" s="436" t="str">
        <f t="shared" si="4"/>
        <v/>
      </c>
      <c r="J100" s="439"/>
      <c r="K100" s="416" t="str">
        <f t="shared" si="5"/>
        <v/>
      </c>
      <c r="L100" s="416"/>
      <c r="M100" s="446"/>
    </row>
    <row r="101" spans="1:13">
      <c r="A101" s="416">
        <v>102</v>
      </c>
      <c r="B101" s="416"/>
      <c r="C101" s="416"/>
      <c r="D101" s="432"/>
      <c r="E101" s="437"/>
      <c r="F101" s="448" t="s">
        <v>3241</v>
      </c>
      <c r="G101" s="446"/>
      <c r="H101" s="446"/>
      <c r="I101" s="436" t="str">
        <f t="shared" si="4"/>
        <v/>
      </c>
      <c r="J101" s="439"/>
      <c r="K101" s="416" t="str">
        <f t="shared" si="5"/>
        <v/>
      </c>
      <c r="L101" s="416"/>
      <c r="M101" s="446"/>
    </row>
    <row r="102" spans="1:13">
      <c r="A102" s="416">
        <v>103</v>
      </c>
      <c r="B102" s="416"/>
      <c r="C102" s="416"/>
      <c r="D102" s="432"/>
      <c r="E102" s="437"/>
      <c r="F102" s="448" t="s">
        <v>3241</v>
      </c>
      <c r="G102" s="446"/>
      <c r="H102" s="446"/>
      <c r="I102" s="436" t="str">
        <f t="shared" si="4"/>
        <v/>
      </c>
      <c r="J102" s="439"/>
      <c r="K102" s="416" t="str">
        <f t="shared" si="5"/>
        <v/>
      </c>
      <c r="L102" s="416"/>
      <c r="M102" s="446"/>
    </row>
    <row r="103" spans="1:13">
      <c r="A103" s="416">
        <v>104</v>
      </c>
      <c r="B103" s="416"/>
      <c r="C103" s="416"/>
      <c r="D103" s="432"/>
      <c r="E103" s="437"/>
      <c r="F103" s="448" t="s">
        <v>3241</v>
      </c>
      <c r="G103" s="446"/>
      <c r="H103" s="446"/>
      <c r="I103" s="436" t="str">
        <f t="shared" si="4"/>
        <v/>
      </c>
      <c r="J103" s="439"/>
      <c r="K103" s="416" t="str">
        <f t="shared" si="5"/>
        <v/>
      </c>
      <c r="L103" s="416"/>
      <c r="M103" s="446"/>
    </row>
    <row r="104" spans="1:13">
      <c r="A104" s="416">
        <v>105</v>
      </c>
      <c r="B104" s="416"/>
      <c r="C104" s="416"/>
      <c r="D104" s="432"/>
      <c r="E104" s="437"/>
      <c r="F104" s="448" t="s">
        <v>3241</v>
      </c>
      <c r="G104" s="446"/>
      <c r="H104" s="446"/>
      <c r="I104" s="436" t="str">
        <f t="shared" si="4"/>
        <v/>
      </c>
      <c r="J104" s="439"/>
      <c r="K104" s="416" t="str">
        <f t="shared" si="5"/>
        <v/>
      </c>
      <c r="L104" s="416"/>
      <c r="M104" s="446"/>
    </row>
    <row r="105" spans="1:13">
      <c r="A105" s="416">
        <v>106</v>
      </c>
      <c r="B105" s="416"/>
      <c r="C105" s="416"/>
      <c r="D105" s="432"/>
      <c r="E105" s="437"/>
      <c r="F105" s="448" t="s">
        <v>3241</v>
      </c>
      <c r="G105" s="446"/>
      <c r="H105" s="446"/>
      <c r="I105" s="436" t="str">
        <f t="shared" si="4"/>
        <v/>
      </c>
      <c r="J105" s="439"/>
      <c r="K105" s="416" t="str">
        <f t="shared" si="5"/>
        <v/>
      </c>
      <c r="L105" s="416"/>
      <c r="M105" s="446"/>
    </row>
    <row r="106" spans="1:13">
      <c r="A106" s="416">
        <v>107</v>
      </c>
      <c r="B106" s="416"/>
      <c r="C106" s="416"/>
      <c r="D106" s="432"/>
      <c r="E106" s="437"/>
      <c r="F106" s="448" t="s">
        <v>3241</v>
      </c>
      <c r="G106" s="446"/>
      <c r="H106" s="446"/>
      <c r="I106" s="436" t="str">
        <f t="shared" si="4"/>
        <v/>
      </c>
      <c r="J106" s="439"/>
      <c r="K106" s="416" t="str">
        <f t="shared" si="5"/>
        <v/>
      </c>
      <c r="L106" s="416"/>
      <c r="M106" s="446"/>
    </row>
    <row r="107" spans="1:13">
      <c r="A107" s="416">
        <v>108</v>
      </c>
      <c r="B107" s="416"/>
      <c r="C107" s="416"/>
      <c r="D107" s="432"/>
      <c r="E107" s="437"/>
      <c r="F107" s="448" t="s">
        <v>3241</v>
      </c>
      <c r="G107" s="446"/>
      <c r="H107" s="446"/>
      <c r="I107" s="436" t="str">
        <f t="shared" si="4"/>
        <v/>
      </c>
      <c r="J107" s="439"/>
      <c r="K107" s="416" t="str">
        <f t="shared" si="5"/>
        <v/>
      </c>
      <c r="L107" s="416"/>
      <c r="M107" s="446"/>
    </row>
    <row r="108" spans="1:13">
      <c r="A108" s="416">
        <v>109</v>
      </c>
      <c r="B108" s="416"/>
      <c r="C108" s="416"/>
      <c r="D108" s="432"/>
      <c r="E108" s="437"/>
      <c r="F108" s="448" t="s">
        <v>3241</v>
      </c>
      <c r="G108" s="446"/>
      <c r="H108" s="446"/>
      <c r="I108" s="436" t="str">
        <f t="shared" si="4"/>
        <v/>
      </c>
      <c r="J108" s="439"/>
      <c r="K108" s="416" t="str">
        <f t="shared" si="5"/>
        <v/>
      </c>
      <c r="L108" s="416"/>
      <c r="M108" s="446"/>
    </row>
    <row r="109" spans="1:13">
      <c r="A109" s="416">
        <v>110</v>
      </c>
      <c r="B109" s="416"/>
      <c r="C109" s="416"/>
      <c r="D109" s="432"/>
      <c r="E109" s="437"/>
      <c r="F109" s="448" t="s">
        <v>3241</v>
      </c>
      <c r="G109" s="446"/>
      <c r="H109" s="446"/>
      <c r="I109" s="436" t="str">
        <f t="shared" si="4"/>
        <v/>
      </c>
      <c r="J109" s="439"/>
      <c r="K109" s="416" t="str">
        <f t="shared" si="5"/>
        <v/>
      </c>
      <c r="L109" s="416"/>
      <c r="M109" s="446"/>
    </row>
    <row r="110" spans="1:13">
      <c r="A110" s="416">
        <v>111</v>
      </c>
      <c r="B110" s="416"/>
      <c r="C110" s="416"/>
      <c r="D110" s="432"/>
      <c r="E110" s="437"/>
      <c r="F110" s="448" t="s">
        <v>3241</v>
      </c>
      <c r="G110" s="446"/>
      <c r="H110" s="446"/>
      <c r="I110" s="436" t="str">
        <f t="shared" si="4"/>
        <v/>
      </c>
      <c r="J110" s="439"/>
      <c r="K110" s="416" t="str">
        <f t="shared" si="5"/>
        <v/>
      </c>
      <c r="L110" s="416"/>
      <c r="M110" s="446"/>
    </row>
    <row r="111" spans="1:13">
      <c r="A111" s="416">
        <v>112</v>
      </c>
      <c r="B111" s="416"/>
      <c r="C111" s="416"/>
      <c r="D111" s="432"/>
      <c r="E111" s="437"/>
      <c r="F111" s="448" t="s">
        <v>3241</v>
      </c>
      <c r="G111" s="446"/>
      <c r="H111" s="446"/>
      <c r="I111" s="436" t="str">
        <f t="shared" si="4"/>
        <v/>
      </c>
      <c r="J111" s="439"/>
      <c r="K111" s="416" t="str">
        <f t="shared" si="5"/>
        <v/>
      </c>
      <c r="L111" s="416"/>
      <c r="M111" s="446"/>
    </row>
    <row r="112" spans="1:13">
      <c r="A112" s="416">
        <v>113</v>
      </c>
      <c r="B112" s="416"/>
      <c r="C112" s="416"/>
      <c r="D112" s="432"/>
      <c r="E112" s="437"/>
      <c r="F112" s="448" t="s">
        <v>3241</v>
      </c>
      <c r="G112" s="446"/>
      <c r="H112" s="446"/>
      <c r="I112" s="436" t="str">
        <f t="shared" si="4"/>
        <v/>
      </c>
      <c r="J112" s="439"/>
      <c r="K112" s="416" t="str">
        <f t="shared" si="5"/>
        <v/>
      </c>
      <c r="L112" s="416"/>
      <c r="M112" s="446"/>
    </row>
    <row r="113" spans="1:13">
      <c r="A113" s="416">
        <v>114</v>
      </c>
      <c r="B113" s="416"/>
      <c r="C113" s="416"/>
      <c r="D113" s="432"/>
      <c r="E113" s="437"/>
      <c r="F113" s="448" t="s">
        <v>3241</v>
      </c>
      <c r="G113" s="446"/>
      <c r="H113" s="446"/>
      <c r="I113" s="436" t="str">
        <f t="shared" si="4"/>
        <v/>
      </c>
      <c r="J113" s="439"/>
      <c r="K113" s="416" t="str">
        <f t="shared" si="5"/>
        <v/>
      </c>
      <c r="L113" s="416"/>
      <c r="M113" s="446"/>
    </row>
    <row r="114" spans="1:13">
      <c r="A114" s="416">
        <v>115</v>
      </c>
      <c r="B114" s="416"/>
      <c r="C114" s="416"/>
      <c r="D114" s="432"/>
      <c r="E114" s="437"/>
      <c r="F114" s="448" t="s">
        <v>3241</v>
      </c>
      <c r="G114" s="446"/>
      <c r="H114" s="446"/>
      <c r="I114" s="436" t="str">
        <f t="shared" si="4"/>
        <v/>
      </c>
      <c r="J114" s="439"/>
      <c r="K114" s="416" t="str">
        <f t="shared" si="5"/>
        <v/>
      </c>
      <c r="L114" s="416"/>
      <c r="M114" s="446"/>
    </row>
    <row r="115" spans="1:13">
      <c r="A115" s="416">
        <v>116</v>
      </c>
      <c r="B115" s="416"/>
      <c r="C115" s="416"/>
      <c r="D115" s="432"/>
      <c r="E115" s="437"/>
      <c r="F115" s="448" t="s">
        <v>3241</v>
      </c>
      <c r="G115" s="446"/>
      <c r="H115" s="446"/>
      <c r="I115" s="436" t="str">
        <f t="shared" si="4"/>
        <v/>
      </c>
      <c r="J115" s="439"/>
      <c r="K115" s="416" t="str">
        <f t="shared" si="5"/>
        <v/>
      </c>
      <c r="L115" s="416"/>
      <c r="M115" s="446"/>
    </row>
    <row r="116" spans="1:13">
      <c r="A116" s="416">
        <v>117</v>
      </c>
      <c r="B116" s="416"/>
      <c r="C116" s="416"/>
      <c r="D116" s="432"/>
      <c r="E116" s="437"/>
      <c r="F116" s="448" t="s">
        <v>3241</v>
      </c>
      <c r="G116" s="446"/>
      <c r="H116" s="446"/>
      <c r="I116" s="436" t="str">
        <f t="shared" si="4"/>
        <v/>
      </c>
      <c r="J116" s="439"/>
      <c r="K116" s="416" t="str">
        <f t="shared" si="5"/>
        <v/>
      </c>
      <c r="L116" s="416"/>
      <c r="M116" s="446"/>
    </row>
    <row r="117" spans="1:13">
      <c r="A117" s="416">
        <v>118</v>
      </c>
      <c r="B117" s="416"/>
      <c r="C117" s="416"/>
      <c r="D117" s="432"/>
      <c r="E117" s="437"/>
      <c r="F117" s="448" t="s">
        <v>3241</v>
      </c>
      <c r="G117" s="446"/>
      <c r="H117" s="446"/>
      <c r="I117" s="436" t="str">
        <f t="shared" si="4"/>
        <v/>
      </c>
      <c r="J117" s="439"/>
      <c r="K117" s="416" t="str">
        <f t="shared" si="5"/>
        <v/>
      </c>
      <c r="L117" s="416"/>
      <c r="M117" s="446"/>
    </row>
    <row r="118" spans="1:13">
      <c r="A118" s="416">
        <v>119</v>
      </c>
      <c r="B118" s="416"/>
      <c r="C118" s="416"/>
      <c r="D118" s="432"/>
      <c r="E118" s="437"/>
      <c r="F118" s="448" t="s">
        <v>3241</v>
      </c>
      <c r="G118" s="446"/>
      <c r="H118" s="446"/>
      <c r="I118" s="436" t="str">
        <f t="shared" si="4"/>
        <v/>
      </c>
      <c r="J118" s="439"/>
      <c r="K118" s="416" t="str">
        <f t="shared" si="5"/>
        <v/>
      </c>
      <c r="L118" s="416"/>
      <c r="M118" s="446"/>
    </row>
    <row r="119" spans="1:13">
      <c r="A119" s="416">
        <v>120</v>
      </c>
      <c r="B119" s="416"/>
      <c r="C119" s="416"/>
      <c r="D119" s="432"/>
      <c r="E119" s="437"/>
      <c r="F119" s="448" t="s">
        <v>3241</v>
      </c>
      <c r="G119" s="446"/>
      <c r="H119" s="446"/>
      <c r="I119" s="436" t="str">
        <f t="shared" si="4"/>
        <v/>
      </c>
      <c r="J119" s="439"/>
      <c r="K119" s="416" t="str">
        <f t="shared" si="5"/>
        <v/>
      </c>
      <c r="L119" s="416"/>
      <c r="M119" s="446"/>
    </row>
    <row r="120" spans="1:13">
      <c r="A120" s="416">
        <v>121</v>
      </c>
      <c r="B120" s="416"/>
      <c r="C120" s="416"/>
      <c r="D120" s="432"/>
      <c r="E120" s="437"/>
      <c r="F120" s="448" t="s">
        <v>3241</v>
      </c>
      <c r="G120" s="446"/>
      <c r="H120" s="446"/>
      <c r="I120" s="436" t="str">
        <f t="shared" si="4"/>
        <v/>
      </c>
      <c r="J120" s="439"/>
      <c r="K120" s="416" t="str">
        <f t="shared" si="5"/>
        <v/>
      </c>
      <c r="L120" s="416"/>
      <c r="M120" s="446"/>
    </row>
    <row r="121" spans="1:13">
      <c r="A121" s="416">
        <v>122</v>
      </c>
      <c r="B121" s="416"/>
      <c r="C121" s="416"/>
      <c r="D121" s="432"/>
      <c r="E121" s="437"/>
      <c r="F121" s="448" t="s">
        <v>3241</v>
      </c>
      <c r="G121" s="446"/>
      <c r="H121" s="446"/>
      <c r="I121" s="436" t="str">
        <f t="shared" si="4"/>
        <v/>
      </c>
      <c r="J121" s="439"/>
      <c r="K121" s="416" t="str">
        <f t="shared" si="5"/>
        <v/>
      </c>
      <c r="L121" s="416"/>
      <c r="M121" s="446"/>
    </row>
    <row r="122" spans="1:13">
      <c r="A122" s="416">
        <v>123</v>
      </c>
      <c r="B122" s="416"/>
      <c r="C122" s="416"/>
      <c r="D122" s="432"/>
      <c r="E122" s="437"/>
      <c r="F122" s="448" t="s">
        <v>3241</v>
      </c>
      <c r="G122" s="446"/>
      <c r="H122" s="446"/>
      <c r="I122" s="436" t="str">
        <f t="shared" si="4"/>
        <v/>
      </c>
      <c r="J122" s="439"/>
      <c r="K122" s="416" t="str">
        <f t="shared" si="5"/>
        <v/>
      </c>
      <c r="L122" s="416"/>
      <c r="M122" s="446"/>
    </row>
    <row r="123" spans="1:13">
      <c r="A123" s="416">
        <v>124</v>
      </c>
      <c r="B123" s="416"/>
      <c r="C123" s="416"/>
      <c r="D123" s="432"/>
      <c r="E123" s="437"/>
      <c r="F123" s="448" t="s">
        <v>3241</v>
      </c>
      <c r="G123" s="446"/>
      <c r="H123" s="446"/>
      <c r="I123" s="436" t="str">
        <f t="shared" si="4"/>
        <v/>
      </c>
      <c r="J123" s="439"/>
      <c r="K123" s="416" t="str">
        <f t="shared" si="5"/>
        <v/>
      </c>
      <c r="L123" s="416"/>
      <c r="M123" s="446"/>
    </row>
    <row r="124" spans="1:13">
      <c r="A124" s="416">
        <v>125</v>
      </c>
      <c r="B124" s="416"/>
      <c r="C124" s="416"/>
      <c r="D124" s="432"/>
      <c r="E124" s="437"/>
      <c r="F124" s="448" t="s">
        <v>3241</v>
      </c>
      <c r="G124" s="446"/>
      <c r="H124" s="446"/>
      <c r="I124" s="436" t="str">
        <f t="shared" si="4"/>
        <v/>
      </c>
      <c r="J124" s="439"/>
      <c r="K124" s="416" t="str">
        <f t="shared" si="5"/>
        <v/>
      </c>
      <c r="L124" s="416"/>
      <c r="M124" s="446"/>
    </row>
    <row r="125" spans="1:13">
      <c r="A125" s="416">
        <v>126</v>
      </c>
      <c r="B125" s="416"/>
      <c r="C125" s="416"/>
      <c r="D125" s="432"/>
      <c r="E125" s="437"/>
      <c r="F125" s="448" t="s">
        <v>3241</v>
      </c>
      <c r="G125" s="446"/>
      <c r="H125" s="446"/>
      <c r="I125" s="436" t="str">
        <f t="shared" ref="I125:I188" si="6">IF(G125="","",ROUND(H125/G125,2))</f>
        <v/>
      </c>
      <c r="J125" s="439"/>
      <c r="K125" s="416" t="str">
        <f t="shared" si="5"/>
        <v/>
      </c>
      <c r="L125" s="416"/>
      <c r="M125" s="446"/>
    </row>
    <row r="126" spans="1:13">
      <c r="A126" s="416">
        <v>127</v>
      </c>
      <c r="B126" s="416"/>
      <c r="C126" s="416"/>
      <c r="D126" s="432"/>
      <c r="E126" s="437"/>
      <c r="F126" s="448" t="s">
        <v>3241</v>
      </c>
      <c r="G126" s="446"/>
      <c r="H126" s="446"/>
      <c r="I126" s="436" t="str">
        <f t="shared" si="6"/>
        <v/>
      </c>
      <c r="J126" s="439"/>
      <c r="K126" s="416" t="str">
        <f t="shared" si="5"/>
        <v/>
      </c>
      <c r="L126" s="416"/>
      <c r="M126" s="446"/>
    </row>
    <row r="127" spans="1:13">
      <c r="A127" s="416">
        <v>128</v>
      </c>
      <c r="B127" s="416"/>
      <c r="C127" s="416"/>
      <c r="D127" s="432"/>
      <c r="E127" s="437"/>
      <c r="F127" s="448" t="s">
        <v>3241</v>
      </c>
      <c r="G127" s="446"/>
      <c r="H127" s="446"/>
      <c r="I127" s="436" t="str">
        <f t="shared" si="6"/>
        <v/>
      </c>
      <c r="J127" s="439"/>
      <c r="K127" s="416" t="str">
        <f t="shared" si="5"/>
        <v/>
      </c>
      <c r="L127" s="416"/>
      <c r="M127" s="446"/>
    </row>
    <row r="128" spans="1:13">
      <c r="A128" s="416">
        <v>129</v>
      </c>
      <c r="B128" s="416"/>
      <c r="C128" s="416"/>
      <c r="D128" s="432"/>
      <c r="E128" s="437"/>
      <c r="F128" s="448" t="s">
        <v>3241</v>
      </c>
      <c r="G128" s="446"/>
      <c r="H128" s="446"/>
      <c r="I128" s="436" t="str">
        <f t="shared" si="6"/>
        <v/>
      </c>
      <c r="J128" s="439"/>
      <c r="K128" s="416" t="str">
        <f t="shared" ref="K128:K191" si="7">IF(J128="USD",USD,IF(J128="EUR",EUR,""))</f>
        <v/>
      </c>
      <c r="L128" s="416"/>
      <c r="M128" s="446"/>
    </row>
    <row r="129" spans="1:13">
      <c r="A129" s="416">
        <v>130</v>
      </c>
      <c r="B129" s="416"/>
      <c r="C129" s="416"/>
      <c r="D129" s="432"/>
      <c r="E129" s="437"/>
      <c r="F129" s="448" t="s">
        <v>3241</v>
      </c>
      <c r="G129" s="446"/>
      <c r="H129" s="446"/>
      <c r="I129" s="436" t="str">
        <f t="shared" si="6"/>
        <v/>
      </c>
      <c r="J129" s="439"/>
      <c r="K129" s="416" t="str">
        <f t="shared" si="7"/>
        <v/>
      </c>
      <c r="L129" s="416"/>
      <c r="M129" s="446"/>
    </row>
    <row r="130" spans="1:13">
      <c r="A130" s="416">
        <v>131</v>
      </c>
      <c r="B130" s="416"/>
      <c r="C130" s="416"/>
      <c r="D130" s="432"/>
      <c r="E130" s="437"/>
      <c r="F130" s="448" t="s">
        <v>3241</v>
      </c>
      <c r="G130" s="446"/>
      <c r="H130" s="446"/>
      <c r="I130" s="436" t="str">
        <f t="shared" si="6"/>
        <v/>
      </c>
      <c r="J130" s="439"/>
      <c r="K130" s="416" t="str">
        <f t="shared" si="7"/>
        <v/>
      </c>
      <c r="L130" s="416"/>
      <c r="M130" s="446"/>
    </row>
    <row r="131" spans="1:13">
      <c r="A131" s="416">
        <v>132</v>
      </c>
      <c r="B131" s="416"/>
      <c r="C131" s="416"/>
      <c r="D131" s="432"/>
      <c r="E131" s="437"/>
      <c r="F131" s="448" t="s">
        <v>3241</v>
      </c>
      <c r="G131" s="446"/>
      <c r="H131" s="446"/>
      <c r="I131" s="436" t="str">
        <f t="shared" si="6"/>
        <v/>
      </c>
      <c r="J131" s="439"/>
      <c r="K131" s="416" t="str">
        <f t="shared" si="7"/>
        <v/>
      </c>
      <c r="L131" s="416"/>
      <c r="M131" s="446"/>
    </row>
    <row r="132" spans="1:13">
      <c r="A132" s="416">
        <v>133</v>
      </c>
      <c r="B132" s="416"/>
      <c r="C132" s="416"/>
      <c r="D132" s="432"/>
      <c r="E132" s="437"/>
      <c r="F132" s="448" t="s">
        <v>3241</v>
      </c>
      <c r="G132" s="446"/>
      <c r="H132" s="446"/>
      <c r="I132" s="436" t="str">
        <f t="shared" si="6"/>
        <v/>
      </c>
      <c r="J132" s="439"/>
      <c r="K132" s="416" t="str">
        <f t="shared" si="7"/>
        <v/>
      </c>
      <c r="L132" s="416"/>
      <c r="M132" s="446"/>
    </row>
    <row r="133" spans="1:13">
      <c r="A133" s="416">
        <v>134</v>
      </c>
      <c r="B133" s="416"/>
      <c r="C133" s="416"/>
      <c r="D133" s="432"/>
      <c r="E133" s="437"/>
      <c r="F133" s="448" t="s">
        <v>3241</v>
      </c>
      <c r="G133" s="446"/>
      <c r="H133" s="446"/>
      <c r="I133" s="436" t="str">
        <f t="shared" si="6"/>
        <v/>
      </c>
      <c r="J133" s="439"/>
      <c r="K133" s="416" t="str">
        <f t="shared" si="7"/>
        <v/>
      </c>
      <c r="L133" s="416"/>
      <c r="M133" s="446"/>
    </row>
    <row r="134" spans="1:13">
      <c r="A134" s="416">
        <v>135</v>
      </c>
      <c r="B134" s="416"/>
      <c r="C134" s="416"/>
      <c r="D134" s="432"/>
      <c r="E134" s="437"/>
      <c r="F134" s="448" t="s">
        <v>3241</v>
      </c>
      <c r="G134" s="446"/>
      <c r="H134" s="446"/>
      <c r="I134" s="436" t="str">
        <f t="shared" si="6"/>
        <v/>
      </c>
      <c r="J134" s="439"/>
      <c r="K134" s="416" t="str">
        <f t="shared" si="7"/>
        <v/>
      </c>
      <c r="L134" s="416"/>
      <c r="M134" s="446"/>
    </row>
    <row r="135" spans="1:13">
      <c r="A135" s="416">
        <v>136</v>
      </c>
      <c r="B135" s="416"/>
      <c r="C135" s="416"/>
      <c r="D135" s="432"/>
      <c r="E135" s="437"/>
      <c r="F135" s="448" t="s">
        <v>3241</v>
      </c>
      <c r="G135" s="446"/>
      <c r="H135" s="446"/>
      <c r="I135" s="436" t="str">
        <f t="shared" si="6"/>
        <v/>
      </c>
      <c r="J135" s="439"/>
      <c r="K135" s="416" t="str">
        <f t="shared" si="7"/>
        <v/>
      </c>
      <c r="L135" s="416"/>
      <c r="M135" s="446"/>
    </row>
    <row r="136" spans="1:13">
      <c r="A136" s="416">
        <v>137</v>
      </c>
      <c r="B136" s="416"/>
      <c r="C136" s="416"/>
      <c r="D136" s="432"/>
      <c r="E136" s="437"/>
      <c r="F136" s="448" t="s">
        <v>3241</v>
      </c>
      <c r="G136" s="446"/>
      <c r="H136" s="446"/>
      <c r="I136" s="436" t="str">
        <f t="shared" si="6"/>
        <v/>
      </c>
      <c r="J136" s="439"/>
      <c r="K136" s="416" t="str">
        <f t="shared" si="7"/>
        <v/>
      </c>
      <c r="L136" s="416"/>
      <c r="M136" s="446"/>
    </row>
    <row r="137" spans="1:13">
      <c r="A137" s="416">
        <v>138</v>
      </c>
      <c r="B137" s="416"/>
      <c r="C137" s="416"/>
      <c r="D137" s="432"/>
      <c r="E137" s="437"/>
      <c r="F137" s="448" t="s">
        <v>3241</v>
      </c>
      <c r="G137" s="446"/>
      <c r="H137" s="446"/>
      <c r="I137" s="436" t="str">
        <f t="shared" si="6"/>
        <v/>
      </c>
      <c r="J137" s="439"/>
      <c r="K137" s="416" t="str">
        <f t="shared" si="7"/>
        <v/>
      </c>
      <c r="L137" s="416"/>
      <c r="M137" s="446"/>
    </row>
    <row r="138" spans="1:13">
      <c r="A138" s="416">
        <v>139</v>
      </c>
      <c r="B138" s="416"/>
      <c r="C138" s="416"/>
      <c r="D138" s="432"/>
      <c r="E138" s="437"/>
      <c r="F138" s="448" t="s">
        <v>3241</v>
      </c>
      <c r="G138" s="446"/>
      <c r="H138" s="446"/>
      <c r="I138" s="436" t="str">
        <f t="shared" si="6"/>
        <v/>
      </c>
      <c r="J138" s="439"/>
      <c r="K138" s="416" t="str">
        <f t="shared" si="7"/>
        <v/>
      </c>
      <c r="L138" s="416"/>
      <c r="M138" s="446"/>
    </row>
    <row r="139" spans="1:13">
      <c r="A139" s="416">
        <v>140</v>
      </c>
      <c r="B139" s="416"/>
      <c r="C139" s="416"/>
      <c r="D139" s="432"/>
      <c r="E139" s="437"/>
      <c r="F139" s="448" t="s">
        <v>3241</v>
      </c>
      <c r="G139" s="446"/>
      <c r="H139" s="446"/>
      <c r="I139" s="436" t="str">
        <f t="shared" si="6"/>
        <v/>
      </c>
      <c r="J139" s="439"/>
      <c r="K139" s="416" t="str">
        <f t="shared" si="7"/>
        <v/>
      </c>
      <c r="L139" s="416"/>
      <c r="M139" s="446"/>
    </row>
    <row r="140" spans="1:13">
      <c r="A140" s="416">
        <v>141</v>
      </c>
      <c r="B140" s="416"/>
      <c r="C140" s="416"/>
      <c r="D140" s="432"/>
      <c r="E140" s="437"/>
      <c r="F140" s="448" t="s">
        <v>3241</v>
      </c>
      <c r="G140" s="446"/>
      <c r="H140" s="446"/>
      <c r="I140" s="436" t="str">
        <f t="shared" si="6"/>
        <v/>
      </c>
      <c r="J140" s="439"/>
      <c r="K140" s="416" t="str">
        <f t="shared" si="7"/>
        <v/>
      </c>
      <c r="L140" s="416"/>
      <c r="M140" s="446"/>
    </row>
    <row r="141" spans="1:13">
      <c r="A141" s="416">
        <v>142</v>
      </c>
      <c r="B141" s="416"/>
      <c r="C141" s="416"/>
      <c r="D141" s="432"/>
      <c r="E141" s="437"/>
      <c r="F141" s="448" t="s">
        <v>3241</v>
      </c>
      <c r="G141" s="446"/>
      <c r="H141" s="446"/>
      <c r="I141" s="436" t="str">
        <f t="shared" si="6"/>
        <v/>
      </c>
      <c r="J141" s="439"/>
      <c r="K141" s="416" t="str">
        <f t="shared" si="7"/>
        <v/>
      </c>
      <c r="L141" s="416"/>
      <c r="M141" s="446"/>
    </row>
    <row r="142" spans="1:13">
      <c r="A142" s="416">
        <v>143</v>
      </c>
      <c r="B142" s="416"/>
      <c r="C142" s="416"/>
      <c r="D142" s="432"/>
      <c r="E142" s="437"/>
      <c r="F142" s="448" t="s">
        <v>3241</v>
      </c>
      <c r="G142" s="446"/>
      <c r="H142" s="446"/>
      <c r="I142" s="436" t="str">
        <f t="shared" si="6"/>
        <v/>
      </c>
      <c r="J142" s="439"/>
      <c r="K142" s="416" t="str">
        <f t="shared" si="7"/>
        <v/>
      </c>
      <c r="L142" s="416"/>
      <c r="M142" s="446"/>
    </row>
    <row r="143" spans="1:13">
      <c r="A143" s="416">
        <v>144</v>
      </c>
      <c r="B143" s="416"/>
      <c r="C143" s="416"/>
      <c r="D143" s="432"/>
      <c r="E143" s="437"/>
      <c r="F143" s="448" t="s">
        <v>3241</v>
      </c>
      <c r="G143" s="446"/>
      <c r="H143" s="446"/>
      <c r="I143" s="436" t="str">
        <f t="shared" si="6"/>
        <v/>
      </c>
      <c r="J143" s="439"/>
      <c r="K143" s="416" t="str">
        <f t="shared" si="7"/>
        <v/>
      </c>
      <c r="L143" s="416"/>
      <c r="M143" s="446"/>
    </row>
    <row r="144" spans="1:13">
      <c r="A144" s="416">
        <v>145</v>
      </c>
      <c r="B144" s="416"/>
      <c r="C144" s="416"/>
      <c r="D144" s="432"/>
      <c r="E144" s="437"/>
      <c r="F144" s="448" t="s">
        <v>3241</v>
      </c>
      <c r="G144" s="446"/>
      <c r="H144" s="446"/>
      <c r="I144" s="436" t="str">
        <f t="shared" si="6"/>
        <v/>
      </c>
      <c r="J144" s="439"/>
      <c r="K144" s="416" t="str">
        <f t="shared" si="7"/>
        <v/>
      </c>
      <c r="L144" s="416"/>
      <c r="M144" s="446"/>
    </row>
    <row r="145" spans="1:13">
      <c r="A145" s="416">
        <v>146</v>
      </c>
      <c r="B145" s="416"/>
      <c r="C145" s="416"/>
      <c r="D145" s="432"/>
      <c r="E145" s="437"/>
      <c r="F145" s="448" t="s">
        <v>3241</v>
      </c>
      <c r="G145" s="446"/>
      <c r="H145" s="446"/>
      <c r="I145" s="436" t="str">
        <f t="shared" si="6"/>
        <v/>
      </c>
      <c r="J145" s="439"/>
      <c r="K145" s="416" t="str">
        <f t="shared" si="7"/>
        <v/>
      </c>
      <c r="L145" s="416"/>
      <c r="M145" s="446"/>
    </row>
    <row r="146" spans="1:13">
      <c r="A146" s="416">
        <v>147</v>
      </c>
      <c r="B146" s="416"/>
      <c r="C146" s="416"/>
      <c r="D146" s="432"/>
      <c r="E146" s="437"/>
      <c r="F146" s="448" t="s">
        <v>3241</v>
      </c>
      <c r="G146" s="446"/>
      <c r="H146" s="446"/>
      <c r="I146" s="436" t="str">
        <f t="shared" si="6"/>
        <v/>
      </c>
      <c r="J146" s="439"/>
      <c r="K146" s="416" t="str">
        <f t="shared" si="7"/>
        <v/>
      </c>
      <c r="L146" s="416"/>
      <c r="M146" s="446"/>
    </row>
    <row r="147" spans="1:13">
      <c r="A147" s="416">
        <v>148</v>
      </c>
      <c r="B147" s="416"/>
      <c r="C147" s="416"/>
      <c r="D147" s="432"/>
      <c r="E147" s="437"/>
      <c r="F147" s="448" t="s">
        <v>3241</v>
      </c>
      <c r="G147" s="446"/>
      <c r="H147" s="446"/>
      <c r="I147" s="436" t="str">
        <f t="shared" si="6"/>
        <v/>
      </c>
      <c r="J147" s="439"/>
      <c r="K147" s="416" t="str">
        <f t="shared" si="7"/>
        <v/>
      </c>
      <c r="L147" s="416"/>
      <c r="M147" s="446"/>
    </row>
    <row r="148" spans="1:13">
      <c r="A148" s="416">
        <v>149</v>
      </c>
      <c r="B148" s="416"/>
      <c r="C148" s="416"/>
      <c r="D148" s="432"/>
      <c r="E148" s="437"/>
      <c r="F148" s="448" t="s">
        <v>3241</v>
      </c>
      <c r="G148" s="446"/>
      <c r="H148" s="446"/>
      <c r="I148" s="436" t="str">
        <f t="shared" si="6"/>
        <v/>
      </c>
      <c r="J148" s="439"/>
      <c r="K148" s="416" t="str">
        <f t="shared" si="7"/>
        <v/>
      </c>
      <c r="L148" s="416"/>
      <c r="M148" s="446"/>
    </row>
    <row r="149" spans="1:13">
      <c r="A149" s="416">
        <v>150</v>
      </c>
      <c r="B149" s="416"/>
      <c r="C149" s="416"/>
      <c r="D149" s="432"/>
      <c r="E149" s="437"/>
      <c r="F149" s="448" t="s">
        <v>3241</v>
      </c>
      <c r="G149" s="446"/>
      <c r="H149" s="446"/>
      <c r="I149" s="436" t="str">
        <f t="shared" si="6"/>
        <v/>
      </c>
      <c r="J149" s="439"/>
      <c r="K149" s="416" t="str">
        <f t="shared" si="7"/>
        <v/>
      </c>
      <c r="L149" s="416"/>
      <c r="M149" s="446"/>
    </row>
    <row r="150" spans="1:13">
      <c r="A150" s="416">
        <v>151</v>
      </c>
      <c r="B150" s="416"/>
      <c r="C150" s="416"/>
      <c r="D150" s="432"/>
      <c r="E150" s="437"/>
      <c r="F150" s="448" t="s">
        <v>3241</v>
      </c>
      <c r="G150" s="446"/>
      <c r="H150" s="446"/>
      <c r="I150" s="436" t="str">
        <f t="shared" si="6"/>
        <v/>
      </c>
      <c r="J150" s="439"/>
      <c r="K150" s="416" t="str">
        <f t="shared" si="7"/>
        <v/>
      </c>
      <c r="L150" s="416"/>
      <c r="M150" s="446"/>
    </row>
    <row r="151" spans="1:13">
      <c r="A151" s="416">
        <v>152</v>
      </c>
      <c r="B151" s="416"/>
      <c r="C151" s="416"/>
      <c r="D151" s="432"/>
      <c r="E151" s="437"/>
      <c r="F151" s="448" t="s">
        <v>3241</v>
      </c>
      <c r="G151" s="446"/>
      <c r="H151" s="446"/>
      <c r="I151" s="436" t="str">
        <f t="shared" si="6"/>
        <v/>
      </c>
      <c r="J151" s="439"/>
      <c r="K151" s="416" t="str">
        <f t="shared" si="7"/>
        <v/>
      </c>
      <c r="L151" s="416"/>
      <c r="M151" s="446"/>
    </row>
    <row r="152" spans="1:13">
      <c r="A152" s="416">
        <v>153</v>
      </c>
      <c r="B152" s="416"/>
      <c r="C152" s="416"/>
      <c r="D152" s="432"/>
      <c r="E152" s="437"/>
      <c r="F152" s="448" t="s">
        <v>3241</v>
      </c>
      <c r="G152" s="446"/>
      <c r="H152" s="446"/>
      <c r="I152" s="436" t="str">
        <f t="shared" si="6"/>
        <v/>
      </c>
      <c r="J152" s="439"/>
      <c r="K152" s="416" t="str">
        <f t="shared" si="7"/>
        <v/>
      </c>
      <c r="L152" s="416"/>
      <c r="M152" s="446"/>
    </row>
    <row r="153" spans="1:13">
      <c r="A153" s="416">
        <v>154</v>
      </c>
      <c r="B153" s="416"/>
      <c r="C153" s="416"/>
      <c r="D153" s="432"/>
      <c r="E153" s="437"/>
      <c r="F153" s="448" t="s">
        <v>3241</v>
      </c>
      <c r="G153" s="446"/>
      <c r="H153" s="446"/>
      <c r="I153" s="436" t="str">
        <f t="shared" si="6"/>
        <v/>
      </c>
      <c r="J153" s="439"/>
      <c r="K153" s="416" t="str">
        <f t="shared" si="7"/>
        <v/>
      </c>
      <c r="L153" s="416"/>
      <c r="M153" s="446"/>
    </row>
    <row r="154" spans="1:13">
      <c r="A154" s="416">
        <v>155</v>
      </c>
      <c r="B154" s="416"/>
      <c r="C154" s="416"/>
      <c r="D154" s="432"/>
      <c r="E154" s="437"/>
      <c r="F154" s="448" t="s">
        <v>3241</v>
      </c>
      <c r="G154" s="446"/>
      <c r="H154" s="446"/>
      <c r="I154" s="436" t="str">
        <f t="shared" si="6"/>
        <v/>
      </c>
      <c r="J154" s="439"/>
      <c r="K154" s="416" t="str">
        <f t="shared" si="7"/>
        <v/>
      </c>
      <c r="L154" s="416"/>
      <c r="M154" s="446"/>
    </row>
    <row r="155" spans="1:13">
      <c r="A155" s="416">
        <v>156</v>
      </c>
      <c r="B155" s="416"/>
      <c r="C155" s="416"/>
      <c r="D155" s="432"/>
      <c r="E155" s="437"/>
      <c r="F155" s="448" t="s">
        <v>3241</v>
      </c>
      <c r="G155" s="446"/>
      <c r="H155" s="446"/>
      <c r="I155" s="436" t="str">
        <f t="shared" si="6"/>
        <v/>
      </c>
      <c r="J155" s="439"/>
      <c r="K155" s="416" t="str">
        <f t="shared" si="7"/>
        <v/>
      </c>
      <c r="L155" s="416"/>
      <c r="M155" s="446"/>
    </row>
    <row r="156" spans="1:13">
      <c r="A156" s="416">
        <v>157</v>
      </c>
      <c r="B156" s="416"/>
      <c r="C156" s="416"/>
      <c r="D156" s="432"/>
      <c r="E156" s="437"/>
      <c r="F156" s="448" t="s">
        <v>3241</v>
      </c>
      <c r="G156" s="446"/>
      <c r="H156" s="446"/>
      <c r="I156" s="436" t="str">
        <f t="shared" si="6"/>
        <v/>
      </c>
      <c r="J156" s="439"/>
      <c r="K156" s="416" t="str">
        <f t="shared" si="7"/>
        <v/>
      </c>
      <c r="L156" s="416"/>
      <c r="M156" s="446"/>
    </row>
    <row r="157" spans="1:13">
      <c r="A157" s="416">
        <v>158</v>
      </c>
      <c r="B157" s="416"/>
      <c r="C157" s="416"/>
      <c r="D157" s="432"/>
      <c r="E157" s="437"/>
      <c r="F157" s="448" t="s">
        <v>3241</v>
      </c>
      <c r="G157" s="446"/>
      <c r="H157" s="446"/>
      <c r="I157" s="436" t="str">
        <f t="shared" si="6"/>
        <v/>
      </c>
      <c r="J157" s="439"/>
      <c r="K157" s="416" t="str">
        <f t="shared" si="7"/>
        <v/>
      </c>
      <c r="L157" s="416"/>
      <c r="M157" s="446"/>
    </row>
    <row r="158" spans="1:13">
      <c r="A158" s="416">
        <v>159</v>
      </c>
      <c r="B158" s="416"/>
      <c r="C158" s="416"/>
      <c r="D158" s="432"/>
      <c r="E158" s="437"/>
      <c r="F158" s="448" t="s">
        <v>3241</v>
      </c>
      <c r="G158" s="446"/>
      <c r="H158" s="446"/>
      <c r="I158" s="436" t="str">
        <f t="shared" si="6"/>
        <v/>
      </c>
      <c r="J158" s="439"/>
      <c r="K158" s="416" t="str">
        <f t="shared" si="7"/>
        <v/>
      </c>
      <c r="L158" s="416"/>
      <c r="M158" s="446"/>
    </row>
    <row r="159" spans="1:13">
      <c r="A159" s="416">
        <v>160</v>
      </c>
      <c r="B159" s="416"/>
      <c r="C159" s="416"/>
      <c r="D159" s="432"/>
      <c r="E159" s="437"/>
      <c r="F159" s="448" t="s">
        <v>3241</v>
      </c>
      <c r="G159" s="446"/>
      <c r="H159" s="446"/>
      <c r="I159" s="436" t="str">
        <f t="shared" si="6"/>
        <v/>
      </c>
      <c r="J159" s="439"/>
      <c r="K159" s="416" t="str">
        <f t="shared" si="7"/>
        <v/>
      </c>
      <c r="L159" s="416"/>
      <c r="M159" s="446"/>
    </row>
    <row r="160" spans="1:13">
      <c r="A160" s="416">
        <v>161</v>
      </c>
      <c r="B160" s="416"/>
      <c r="C160" s="416"/>
      <c r="D160" s="432"/>
      <c r="E160" s="437"/>
      <c r="F160" s="448" t="s">
        <v>3241</v>
      </c>
      <c r="G160" s="446"/>
      <c r="H160" s="446"/>
      <c r="I160" s="436" t="str">
        <f t="shared" si="6"/>
        <v/>
      </c>
      <c r="J160" s="439"/>
      <c r="K160" s="416" t="str">
        <f t="shared" si="7"/>
        <v/>
      </c>
      <c r="L160" s="416"/>
      <c r="M160" s="446"/>
    </row>
    <row r="161" spans="1:13">
      <c r="A161" s="416">
        <v>162</v>
      </c>
      <c r="B161" s="416"/>
      <c r="C161" s="416"/>
      <c r="D161" s="432"/>
      <c r="E161" s="437"/>
      <c r="F161" s="448" t="s">
        <v>3241</v>
      </c>
      <c r="G161" s="446"/>
      <c r="H161" s="446"/>
      <c r="I161" s="436" t="str">
        <f t="shared" si="6"/>
        <v/>
      </c>
      <c r="J161" s="439"/>
      <c r="K161" s="416" t="str">
        <f t="shared" si="7"/>
        <v/>
      </c>
      <c r="L161" s="416"/>
      <c r="M161" s="446"/>
    </row>
    <row r="162" spans="1:13">
      <c r="A162" s="416">
        <v>163</v>
      </c>
      <c r="B162" s="416"/>
      <c r="C162" s="416"/>
      <c r="D162" s="432"/>
      <c r="E162" s="437"/>
      <c r="F162" s="448" t="s">
        <v>3241</v>
      </c>
      <c r="G162" s="446"/>
      <c r="H162" s="446"/>
      <c r="I162" s="436" t="str">
        <f t="shared" si="6"/>
        <v/>
      </c>
      <c r="J162" s="439"/>
      <c r="K162" s="416" t="str">
        <f t="shared" si="7"/>
        <v/>
      </c>
      <c r="L162" s="416"/>
      <c r="M162" s="446"/>
    </row>
    <row r="163" spans="1:13">
      <c r="A163" s="416">
        <v>164</v>
      </c>
      <c r="B163" s="416"/>
      <c r="C163" s="416"/>
      <c r="D163" s="432"/>
      <c r="E163" s="437"/>
      <c r="F163" s="448" t="s">
        <v>3241</v>
      </c>
      <c r="G163" s="446"/>
      <c r="H163" s="446"/>
      <c r="I163" s="436" t="str">
        <f t="shared" si="6"/>
        <v/>
      </c>
      <c r="J163" s="439"/>
      <c r="K163" s="416" t="str">
        <f t="shared" si="7"/>
        <v/>
      </c>
      <c r="L163" s="416"/>
      <c r="M163" s="446"/>
    </row>
    <row r="164" spans="1:13">
      <c r="A164" s="416">
        <v>165</v>
      </c>
      <c r="B164" s="416"/>
      <c r="C164" s="416"/>
      <c r="D164" s="432"/>
      <c r="E164" s="437"/>
      <c r="F164" s="448" t="s">
        <v>3241</v>
      </c>
      <c r="G164" s="446"/>
      <c r="H164" s="446"/>
      <c r="I164" s="436" t="str">
        <f t="shared" si="6"/>
        <v/>
      </c>
      <c r="J164" s="439"/>
      <c r="K164" s="416" t="str">
        <f t="shared" si="7"/>
        <v/>
      </c>
      <c r="L164" s="416"/>
      <c r="M164" s="446"/>
    </row>
    <row r="165" spans="1:13">
      <c r="A165" s="416">
        <v>166</v>
      </c>
      <c r="B165" s="416"/>
      <c r="C165" s="416"/>
      <c r="D165" s="432"/>
      <c r="E165" s="437"/>
      <c r="F165" s="448" t="s">
        <v>3241</v>
      </c>
      <c r="G165" s="446"/>
      <c r="H165" s="446"/>
      <c r="I165" s="436" t="str">
        <f t="shared" si="6"/>
        <v/>
      </c>
      <c r="J165" s="439"/>
      <c r="K165" s="416" t="str">
        <f t="shared" si="7"/>
        <v/>
      </c>
      <c r="L165" s="416"/>
      <c r="M165" s="446"/>
    </row>
    <row r="166" spans="1:13">
      <c r="A166" s="416">
        <v>167</v>
      </c>
      <c r="B166" s="416"/>
      <c r="C166" s="416"/>
      <c r="D166" s="432"/>
      <c r="E166" s="437"/>
      <c r="F166" s="448" t="s">
        <v>3241</v>
      </c>
      <c r="G166" s="446"/>
      <c r="H166" s="446"/>
      <c r="I166" s="436" t="str">
        <f t="shared" si="6"/>
        <v/>
      </c>
      <c r="J166" s="439"/>
      <c r="K166" s="416" t="str">
        <f t="shared" si="7"/>
        <v/>
      </c>
      <c r="L166" s="416"/>
      <c r="M166" s="446"/>
    </row>
    <row r="167" spans="1:13">
      <c r="A167" s="416">
        <v>168</v>
      </c>
      <c r="B167" s="416"/>
      <c r="C167" s="416"/>
      <c r="D167" s="432"/>
      <c r="E167" s="437"/>
      <c r="F167" s="448" t="s">
        <v>3241</v>
      </c>
      <c r="G167" s="446"/>
      <c r="H167" s="446"/>
      <c r="I167" s="436" t="str">
        <f t="shared" si="6"/>
        <v/>
      </c>
      <c r="J167" s="439"/>
      <c r="K167" s="416" t="str">
        <f t="shared" si="7"/>
        <v/>
      </c>
      <c r="L167" s="416"/>
      <c r="M167" s="446"/>
    </row>
    <row r="168" spans="1:13">
      <c r="A168" s="416">
        <v>169</v>
      </c>
      <c r="B168" s="416"/>
      <c r="C168" s="416"/>
      <c r="D168" s="432"/>
      <c r="E168" s="437"/>
      <c r="F168" s="448" t="s">
        <v>3241</v>
      </c>
      <c r="G168" s="446"/>
      <c r="H168" s="446"/>
      <c r="I168" s="436" t="str">
        <f t="shared" si="6"/>
        <v/>
      </c>
      <c r="J168" s="439"/>
      <c r="K168" s="416" t="str">
        <f t="shared" si="7"/>
        <v/>
      </c>
      <c r="L168" s="416"/>
      <c r="M168" s="446"/>
    </row>
    <row r="169" spans="1:13">
      <c r="A169" s="416">
        <v>170</v>
      </c>
      <c r="B169" s="416"/>
      <c r="C169" s="416"/>
      <c r="D169" s="432"/>
      <c r="E169" s="437"/>
      <c r="F169" s="448" t="s">
        <v>3241</v>
      </c>
      <c r="G169" s="446"/>
      <c r="H169" s="446"/>
      <c r="I169" s="436" t="str">
        <f t="shared" si="6"/>
        <v/>
      </c>
      <c r="J169" s="439"/>
      <c r="K169" s="416" t="str">
        <f t="shared" si="7"/>
        <v/>
      </c>
      <c r="L169" s="416"/>
      <c r="M169" s="446"/>
    </row>
    <row r="170" spans="1:13">
      <c r="A170" s="416">
        <v>171</v>
      </c>
      <c r="B170" s="416"/>
      <c r="C170" s="416"/>
      <c r="D170" s="432"/>
      <c r="E170" s="437"/>
      <c r="F170" s="448" t="s">
        <v>3241</v>
      </c>
      <c r="G170" s="446"/>
      <c r="H170" s="446"/>
      <c r="I170" s="436" t="str">
        <f t="shared" si="6"/>
        <v/>
      </c>
      <c r="J170" s="439"/>
      <c r="K170" s="416" t="str">
        <f t="shared" si="7"/>
        <v/>
      </c>
      <c r="L170" s="416"/>
      <c r="M170" s="446"/>
    </row>
    <row r="171" spans="1:13">
      <c r="A171" s="416">
        <v>172</v>
      </c>
      <c r="B171" s="416"/>
      <c r="C171" s="416"/>
      <c r="D171" s="432"/>
      <c r="E171" s="437"/>
      <c r="F171" s="448" t="s">
        <v>3241</v>
      </c>
      <c r="G171" s="446"/>
      <c r="H171" s="446"/>
      <c r="I171" s="436" t="str">
        <f t="shared" si="6"/>
        <v/>
      </c>
      <c r="J171" s="439"/>
      <c r="K171" s="416" t="str">
        <f t="shared" si="7"/>
        <v/>
      </c>
      <c r="L171" s="416"/>
      <c r="M171" s="446"/>
    </row>
    <row r="172" spans="1:13">
      <c r="A172" s="416">
        <v>173</v>
      </c>
      <c r="B172" s="416"/>
      <c r="C172" s="416"/>
      <c r="D172" s="432"/>
      <c r="E172" s="437"/>
      <c r="F172" s="448" t="s">
        <v>3241</v>
      </c>
      <c r="G172" s="446"/>
      <c r="H172" s="446"/>
      <c r="I172" s="436" t="str">
        <f t="shared" si="6"/>
        <v/>
      </c>
      <c r="J172" s="439"/>
      <c r="K172" s="416" t="str">
        <f t="shared" si="7"/>
        <v/>
      </c>
      <c r="L172" s="416"/>
      <c r="M172" s="446"/>
    </row>
    <row r="173" spans="1:13">
      <c r="A173" s="416">
        <v>174</v>
      </c>
      <c r="B173" s="416"/>
      <c r="C173" s="416"/>
      <c r="D173" s="432"/>
      <c r="E173" s="437"/>
      <c r="F173" s="448" t="s">
        <v>3241</v>
      </c>
      <c r="G173" s="446"/>
      <c r="H173" s="446"/>
      <c r="I173" s="436" t="str">
        <f t="shared" si="6"/>
        <v/>
      </c>
      <c r="J173" s="439"/>
      <c r="K173" s="416" t="str">
        <f t="shared" si="7"/>
        <v/>
      </c>
      <c r="L173" s="416"/>
      <c r="M173" s="446"/>
    </row>
    <row r="174" spans="1:13">
      <c r="A174" s="416">
        <v>175</v>
      </c>
      <c r="B174" s="416"/>
      <c r="C174" s="416"/>
      <c r="D174" s="432"/>
      <c r="E174" s="437"/>
      <c r="F174" s="448" t="s">
        <v>3241</v>
      </c>
      <c r="G174" s="446"/>
      <c r="H174" s="446"/>
      <c r="I174" s="436" t="str">
        <f t="shared" si="6"/>
        <v/>
      </c>
      <c r="J174" s="439"/>
      <c r="K174" s="416" t="str">
        <f t="shared" si="7"/>
        <v/>
      </c>
      <c r="L174" s="416"/>
      <c r="M174" s="446"/>
    </row>
    <row r="175" spans="1:13">
      <c r="A175" s="416">
        <v>176</v>
      </c>
      <c r="B175" s="416"/>
      <c r="C175" s="416"/>
      <c r="D175" s="432"/>
      <c r="E175" s="437"/>
      <c r="F175" s="448" t="s">
        <v>3241</v>
      </c>
      <c r="G175" s="446"/>
      <c r="H175" s="446"/>
      <c r="I175" s="436" t="str">
        <f t="shared" si="6"/>
        <v/>
      </c>
      <c r="J175" s="439"/>
      <c r="K175" s="416" t="str">
        <f t="shared" si="7"/>
        <v/>
      </c>
      <c r="L175" s="416"/>
      <c r="M175" s="446"/>
    </row>
    <row r="176" spans="1:13">
      <c r="A176" s="416">
        <v>177</v>
      </c>
      <c r="B176" s="416"/>
      <c r="C176" s="416"/>
      <c r="D176" s="432"/>
      <c r="E176" s="437"/>
      <c r="F176" s="448" t="s">
        <v>3241</v>
      </c>
      <c r="G176" s="446"/>
      <c r="H176" s="446"/>
      <c r="I176" s="436" t="str">
        <f t="shared" si="6"/>
        <v/>
      </c>
      <c r="J176" s="439"/>
      <c r="K176" s="416" t="str">
        <f t="shared" si="7"/>
        <v/>
      </c>
      <c r="L176" s="416"/>
      <c r="M176" s="446"/>
    </row>
    <row r="177" spans="1:13">
      <c r="A177" s="416">
        <v>178</v>
      </c>
      <c r="B177" s="416"/>
      <c r="C177" s="416"/>
      <c r="D177" s="432"/>
      <c r="E177" s="437"/>
      <c r="F177" s="448" t="s">
        <v>3241</v>
      </c>
      <c r="G177" s="446"/>
      <c r="H177" s="446"/>
      <c r="I177" s="436" t="str">
        <f t="shared" si="6"/>
        <v/>
      </c>
      <c r="J177" s="439"/>
      <c r="K177" s="416" t="str">
        <f t="shared" si="7"/>
        <v/>
      </c>
      <c r="L177" s="416"/>
      <c r="M177" s="446"/>
    </row>
    <row r="178" spans="1:13">
      <c r="A178" s="416">
        <v>179</v>
      </c>
      <c r="B178" s="416"/>
      <c r="C178" s="416"/>
      <c r="D178" s="432"/>
      <c r="E178" s="437"/>
      <c r="F178" s="448" t="s">
        <v>3241</v>
      </c>
      <c r="G178" s="446"/>
      <c r="H178" s="446"/>
      <c r="I178" s="436" t="str">
        <f t="shared" si="6"/>
        <v/>
      </c>
      <c r="J178" s="439"/>
      <c r="K178" s="416" t="str">
        <f t="shared" si="7"/>
        <v/>
      </c>
      <c r="L178" s="416"/>
      <c r="M178" s="446"/>
    </row>
    <row r="179" spans="1:13">
      <c r="A179" s="416">
        <v>180</v>
      </c>
      <c r="B179" s="416"/>
      <c r="C179" s="416"/>
      <c r="D179" s="432"/>
      <c r="E179" s="437"/>
      <c r="F179" s="448" t="s">
        <v>3241</v>
      </c>
      <c r="G179" s="446"/>
      <c r="H179" s="446"/>
      <c r="I179" s="436" t="str">
        <f t="shared" si="6"/>
        <v/>
      </c>
      <c r="J179" s="439"/>
      <c r="K179" s="416" t="str">
        <f t="shared" si="7"/>
        <v/>
      </c>
      <c r="L179" s="416"/>
      <c r="M179" s="446"/>
    </row>
    <row r="180" spans="1:13">
      <c r="A180" s="416">
        <v>181</v>
      </c>
      <c r="B180" s="416"/>
      <c r="C180" s="416"/>
      <c r="D180" s="432"/>
      <c r="E180" s="437"/>
      <c r="F180" s="448" t="s">
        <v>3241</v>
      </c>
      <c r="G180" s="446"/>
      <c r="H180" s="446"/>
      <c r="I180" s="436" t="str">
        <f t="shared" si="6"/>
        <v/>
      </c>
      <c r="J180" s="439"/>
      <c r="K180" s="416" t="str">
        <f t="shared" si="7"/>
        <v/>
      </c>
      <c r="L180" s="416"/>
      <c r="M180" s="446"/>
    </row>
    <row r="181" spans="1:13">
      <c r="A181" s="416">
        <v>182</v>
      </c>
      <c r="B181" s="416"/>
      <c r="C181" s="416"/>
      <c r="D181" s="432"/>
      <c r="E181" s="437"/>
      <c r="F181" s="448" t="s">
        <v>3241</v>
      </c>
      <c r="G181" s="446"/>
      <c r="H181" s="446"/>
      <c r="I181" s="436" t="str">
        <f t="shared" si="6"/>
        <v/>
      </c>
      <c r="J181" s="439"/>
      <c r="K181" s="416" t="str">
        <f t="shared" si="7"/>
        <v/>
      </c>
      <c r="L181" s="416"/>
      <c r="M181" s="446"/>
    </row>
    <row r="182" spans="1:13">
      <c r="A182" s="416">
        <v>183</v>
      </c>
      <c r="B182" s="416"/>
      <c r="C182" s="416"/>
      <c r="D182" s="432"/>
      <c r="E182" s="437"/>
      <c r="F182" s="448" t="s">
        <v>3241</v>
      </c>
      <c r="G182" s="446"/>
      <c r="H182" s="446"/>
      <c r="I182" s="436" t="str">
        <f t="shared" si="6"/>
        <v/>
      </c>
      <c r="J182" s="439"/>
      <c r="K182" s="416" t="str">
        <f t="shared" si="7"/>
        <v/>
      </c>
      <c r="L182" s="416"/>
      <c r="M182" s="446"/>
    </row>
    <row r="183" spans="1:13">
      <c r="A183" s="416">
        <v>184</v>
      </c>
      <c r="B183" s="416"/>
      <c r="C183" s="416"/>
      <c r="D183" s="432"/>
      <c r="E183" s="437"/>
      <c r="F183" s="448" t="s">
        <v>3241</v>
      </c>
      <c r="G183" s="446"/>
      <c r="H183" s="446"/>
      <c r="I183" s="436" t="str">
        <f t="shared" si="6"/>
        <v/>
      </c>
      <c r="J183" s="439"/>
      <c r="K183" s="416" t="str">
        <f t="shared" si="7"/>
        <v/>
      </c>
      <c r="L183" s="416"/>
      <c r="M183" s="446"/>
    </row>
    <row r="184" spans="1:13">
      <c r="A184" s="416">
        <v>185</v>
      </c>
      <c r="B184" s="416"/>
      <c r="C184" s="416"/>
      <c r="D184" s="432"/>
      <c r="E184" s="437"/>
      <c r="F184" s="448" t="s">
        <v>3241</v>
      </c>
      <c r="G184" s="446"/>
      <c r="H184" s="446"/>
      <c r="I184" s="436" t="str">
        <f t="shared" si="6"/>
        <v/>
      </c>
      <c r="J184" s="439"/>
      <c r="K184" s="416" t="str">
        <f t="shared" si="7"/>
        <v/>
      </c>
      <c r="L184" s="416"/>
      <c r="M184" s="446"/>
    </row>
    <row r="185" spans="1:13">
      <c r="A185" s="416">
        <v>186</v>
      </c>
      <c r="B185" s="416"/>
      <c r="C185" s="416"/>
      <c r="D185" s="432"/>
      <c r="E185" s="437"/>
      <c r="F185" s="448" t="s">
        <v>3241</v>
      </c>
      <c r="G185" s="446"/>
      <c r="H185" s="446"/>
      <c r="I185" s="436" t="str">
        <f t="shared" si="6"/>
        <v/>
      </c>
      <c r="J185" s="439"/>
      <c r="K185" s="416" t="str">
        <f t="shared" si="7"/>
        <v/>
      </c>
      <c r="L185" s="416"/>
      <c r="M185" s="446"/>
    </row>
    <row r="186" spans="1:13">
      <c r="A186" s="416">
        <v>187</v>
      </c>
      <c r="B186" s="416"/>
      <c r="C186" s="416"/>
      <c r="D186" s="432"/>
      <c r="E186" s="437"/>
      <c r="F186" s="448" t="s">
        <v>3241</v>
      </c>
      <c r="G186" s="446"/>
      <c r="H186" s="446"/>
      <c r="I186" s="436" t="str">
        <f t="shared" si="6"/>
        <v/>
      </c>
      <c r="J186" s="439"/>
      <c r="K186" s="416" t="str">
        <f t="shared" si="7"/>
        <v/>
      </c>
      <c r="L186" s="416"/>
      <c r="M186" s="446"/>
    </row>
    <row r="187" spans="1:13">
      <c r="A187" s="416">
        <v>188</v>
      </c>
      <c r="B187" s="416"/>
      <c r="C187" s="416"/>
      <c r="D187" s="432"/>
      <c r="E187" s="437"/>
      <c r="F187" s="448" t="s">
        <v>3241</v>
      </c>
      <c r="G187" s="446"/>
      <c r="H187" s="446"/>
      <c r="I187" s="436" t="str">
        <f t="shared" si="6"/>
        <v/>
      </c>
      <c r="J187" s="439"/>
      <c r="K187" s="416" t="str">
        <f t="shared" si="7"/>
        <v/>
      </c>
      <c r="L187" s="416"/>
      <c r="M187" s="446"/>
    </row>
    <row r="188" spans="1:13">
      <c r="A188" s="416">
        <v>189</v>
      </c>
      <c r="B188" s="416"/>
      <c r="C188" s="416"/>
      <c r="D188" s="432"/>
      <c r="E188" s="437"/>
      <c r="F188" s="448" t="s">
        <v>3241</v>
      </c>
      <c r="G188" s="446"/>
      <c r="H188" s="446"/>
      <c r="I188" s="436" t="str">
        <f t="shared" si="6"/>
        <v/>
      </c>
      <c r="J188" s="439"/>
      <c r="K188" s="416" t="str">
        <f t="shared" si="7"/>
        <v/>
      </c>
      <c r="L188" s="416"/>
      <c r="M188" s="446"/>
    </row>
    <row r="189" spans="1:13">
      <c r="A189" s="416">
        <v>190</v>
      </c>
      <c r="B189" s="416"/>
      <c r="C189" s="416"/>
      <c r="D189" s="432"/>
      <c r="E189" s="437"/>
      <c r="F189" s="448" t="s">
        <v>3241</v>
      </c>
      <c r="G189" s="446"/>
      <c r="H189" s="446"/>
      <c r="I189" s="436" t="str">
        <f t="shared" ref="I189:I252" si="8">IF(G189="","",ROUND(H189/G189,2))</f>
        <v/>
      </c>
      <c r="J189" s="439"/>
      <c r="K189" s="416" t="str">
        <f t="shared" si="7"/>
        <v/>
      </c>
      <c r="L189" s="416"/>
      <c r="M189" s="446"/>
    </row>
    <row r="190" spans="1:13">
      <c r="A190" s="416">
        <v>191</v>
      </c>
      <c r="B190" s="416"/>
      <c r="C190" s="416"/>
      <c r="D190" s="432"/>
      <c r="E190" s="437"/>
      <c r="F190" s="448" t="s">
        <v>3241</v>
      </c>
      <c r="G190" s="446"/>
      <c r="H190" s="446"/>
      <c r="I190" s="436" t="str">
        <f t="shared" si="8"/>
        <v/>
      </c>
      <c r="J190" s="439"/>
      <c r="K190" s="416" t="str">
        <f t="shared" si="7"/>
        <v/>
      </c>
      <c r="L190" s="416"/>
      <c r="M190" s="446"/>
    </row>
    <row r="191" spans="1:13">
      <c r="A191" s="416">
        <v>192</v>
      </c>
      <c r="B191" s="416"/>
      <c r="C191" s="416"/>
      <c r="D191" s="432"/>
      <c r="E191" s="437"/>
      <c r="F191" s="448" t="s">
        <v>3241</v>
      </c>
      <c r="G191" s="446"/>
      <c r="H191" s="446"/>
      <c r="I191" s="436" t="str">
        <f t="shared" si="8"/>
        <v/>
      </c>
      <c r="J191" s="439"/>
      <c r="K191" s="416" t="str">
        <f t="shared" si="7"/>
        <v/>
      </c>
      <c r="L191" s="416"/>
      <c r="M191" s="446"/>
    </row>
    <row r="192" spans="1:13">
      <c r="A192" s="416">
        <v>193</v>
      </c>
      <c r="B192" s="416"/>
      <c r="C192" s="416"/>
      <c r="D192" s="432"/>
      <c r="E192" s="437"/>
      <c r="F192" s="448" t="s">
        <v>3241</v>
      </c>
      <c r="G192" s="446"/>
      <c r="H192" s="446"/>
      <c r="I192" s="436" t="str">
        <f t="shared" si="8"/>
        <v/>
      </c>
      <c r="J192" s="439"/>
      <c r="K192" s="416" t="str">
        <f t="shared" ref="K192:K255" si="9">IF(J192="USD",USD,IF(J192="EUR",EUR,""))</f>
        <v/>
      </c>
      <c r="L192" s="416"/>
      <c r="M192" s="446"/>
    </row>
    <row r="193" spans="1:13">
      <c r="A193" s="416">
        <v>194</v>
      </c>
      <c r="B193" s="416"/>
      <c r="C193" s="416"/>
      <c r="D193" s="432"/>
      <c r="E193" s="437"/>
      <c r="F193" s="448" t="s">
        <v>3241</v>
      </c>
      <c r="G193" s="446"/>
      <c r="H193" s="446"/>
      <c r="I193" s="436" t="str">
        <f t="shared" si="8"/>
        <v/>
      </c>
      <c r="J193" s="439"/>
      <c r="K193" s="416" t="str">
        <f t="shared" si="9"/>
        <v/>
      </c>
      <c r="L193" s="416"/>
      <c r="M193" s="446"/>
    </row>
    <row r="194" spans="1:13">
      <c r="A194" s="416">
        <v>195</v>
      </c>
      <c r="B194" s="416"/>
      <c r="C194" s="416"/>
      <c r="D194" s="432"/>
      <c r="E194" s="437"/>
      <c r="F194" s="448" t="s">
        <v>3241</v>
      </c>
      <c r="G194" s="446"/>
      <c r="H194" s="446"/>
      <c r="I194" s="436" t="str">
        <f t="shared" si="8"/>
        <v/>
      </c>
      <c r="J194" s="439"/>
      <c r="K194" s="416" t="str">
        <f t="shared" si="9"/>
        <v/>
      </c>
      <c r="L194" s="416"/>
      <c r="M194" s="446"/>
    </row>
    <row r="195" spans="1:13">
      <c r="A195" s="416">
        <v>196</v>
      </c>
      <c r="B195" s="416"/>
      <c r="C195" s="416"/>
      <c r="D195" s="432"/>
      <c r="E195" s="437"/>
      <c r="F195" s="448" t="s">
        <v>3241</v>
      </c>
      <c r="G195" s="446"/>
      <c r="H195" s="446"/>
      <c r="I195" s="436" t="str">
        <f t="shared" si="8"/>
        <v/>
      </c>
      <c r="J195" s="439"/>
      <c r="K195" s="416" t="str">
        <f t="shared" si="9"/>
        <v/>
      </c>
      <c r="L195" s="416"/>
      <c r="M195" s="446"/>
    </row>
    <row r="196" spans="1:13">
      <c r="A196" s="416">
        <v>197</v>
      </c>
      <c r="B196" s="416"/>
      <c r="C196" s="416"/>
      <c r="D196" s="432"/>
      <c r="E196" s="437"/>
      <c r="F196" s="448" t="s">
        <v>3241</v>
      </c>
      <c r="G196" s="446"/>
      <c r="H196" s="446"/>
      <c r="I196" s="436" t="str">
        <f t="shared" si="8"/>
        <v/>
      </c>
      <c r="J196" s="439"/>
      <c r="K196" s="416" t="str">
        <f t="shared" si="9"/>
        <v/>
      </c>
      <c r="L196" s="416"/>
      <c r="M196" s="446"/>
    </row>
    <row r="197" spans="1:13">
      <c r="A197" s="416">
        <v>198</v>
      </c>
      <c r="B197" s="416"/>
      <c r="C197" s="416"/>
      <c r="D197" s="432"/>
      <c r="E197" s="437"/>
      <c r="F197" s="448" t="s">
        <v>3241</v>
      </c>
      <c r="G197" s="446"/>
      <c r="H197" s="446"/>
      <c r="I197" s="436" t="str">
        <f t="shared" si="8"/>
        <v/>
      </c>
      <c r="J197" s="439"/>
      <c r="K197" s="416" t="str">
        <f t="shared" si="9"/>
        <v/>
      </c>
      <c r="L197" s="416"/>
      <c r="M197" s="446"/>
    </row>
    <row r="198" spans="1:13">
      <c r="A198" s="416">
        <v>199</v>
      </c>
      <c r="B198" s="416"/>
      <c r="C198" s="416"/>
      <c r="D198" s="432"/>
      <c r="E198" s="437"/>
      <c r="F198" s="448" t="s">
        <v>3241</v>
      </c>
      <c r="G198" s="446"/>
      <c r="H198" s="446"/>
      <c r="I198" s="436" t="str">
        <f t="shared" si="8"/>
        <v/>
      </c>
      <c r="J198" s="439"/>
      <c r="K198" s="416" t="str">
        <f t="shared" si="9"/>
        <v/>
      </c>
      <c r="L198" s="416"/>
      <c r="M198" s="446"/>
    </row>
    <row r="199" spans="1:13">
      <c r="A199" s="416">
        <v>200</v>
      </c>
      <c r="B199" s="416"/>
      <c r="C199" s="416"/>
      <c r="D199" s="432"/>
      <c r="E199" s="437"/>
      <c r="F199" s="448" t="s">
        <v>3241</v>
      </c>
      <c r="G199" s="446"/>
      <c r="H199" s="446"/>
      <c r="I199" s="436" t="str">
        <f t="shared" si="8"/>
        <v/>
      </c>
      <c r="J199" s="439"/>
      <c r="K199" s="416" t="str">
        <f t="shared" si="9"/>
        <v/>
      </c>
      <c r="L199" s="416"/>
      <c r="M199" s="446"/>
    </row>
    <row r="200" spans="1:13">
      <c r="A200" s="416">
        <v>201</v>
      </c>
      <c r="B200" s="416"/>
      <c r="C200" s="416"/>
      <c r="D200" s="432"/>
      <c r="E200" s="437"/>
      <c r="F200" s="448" t="s">
        <v>3241</v>
      </c>
      <c r="G200" s="446"/>
      <c r="H200" s="446"/>
      <c r="I200" s="436" t="str">
        <f t="shared" si="8"/>
        <v/>
      </c>
      <c r="J200" s="439"/>
      <c r="K200" s="416" t="str">
        <f t="shared" si="9"/>
        <v/>
      </c>
      <c r="L200" s="416"/>
      <c r="M200" s="446"/>
    </row>
    <row r="201" spans="1:13">
      <c r="A201" s="416">
        <v>202</v>
      </c>
      <c r="B201" s="416"/>
      <c r="C201" s="416"/>
      <c r="D201" s="432"/>
      <c r="E201" s="437"/>
      <c r="F201" s="448" t="s">
        <v>3241</v>
      </c>
      <c r="G201" s="446"/>
      <c r="H201" s="446"/>
      <c r="I201" s="436" t="str">
        <f t="shared" si="8"/>
        <v/>
      </c>
      <c r="J201" s="439"/>
      <c r="K201" s="416" t="str">
        <f t="shared" si="9"/>
        <v/>
      </c>
      <c r="L201" s="416"/>
      <c r="M201" s="446"/>
    </row>
    <row r="202" spans="1:13">
      <c r="A202" s="416">
        <v>203</v>
      </c>
      <c r="B202" s="416"/>
      <c r="C202" s="416"/>
      <c r="D202" s="432"/>
      <c r="E202" s="437"/>
      <c r="F202" s="448" t="s">
        <v>3241</v>
      </c>
      <c r="G202" s="446"/>
      <c r="H202" s="446"/>
      <c r="I202" s="436" t="str">
        <f t="shared" si="8"/>
        <v/>
      </c>
      <c r="J202" s="439"/>
      <c r="K202" s="416" t="str">
        <f t="shared" si="9"/>
        <v/>
      </c>
      <c r="L202" s="416"/>
      <c r="M202" s="446"/>
    </row>
    <row r="203" spans="1:13">
      <c r="A203" s="416">
        <v>204</v>
      </c>
      <c r="B203" s="416"/>
      <c r="C203" s="416"/>
      <c r="D203" s="432"/>
      <c r="E203" s="437"/>
      <c r="F203" s="448" t="s">
        <v>3241</v>
      </c>
      <c r="G203" s="446"/>
      <c r="H203" s="446"/>
      <c r="I203" s="436" t="str">
        <f t="shared" si="8"/>
        <v/>
      </c>
      <c r="J203" s="439"/>
      <c r="K203" s="416" t="str">
        <f t="shared" si="9"/>
        <v/>
      </c>
      <c r="L203" s="416"/>
      <c r="M203" s="446"/>
    </row>
    <row r="204" spans="1:13">
      <c r="A204" s="416">
        <v>205</v>
      </c>
      <c r="B204" s="416"/>
      <c r="C204" s="416"/>
      <c r="D204" s="432"/>
      <c r="E204" s="437"/>
      <c r="F204" s="448" t="s">
        <v>3241</v>
      </c>
      <c r="G204" s="446"/>
      <c r="H204" s="446"/>
      <c r="I204" s="436" t="str">
        <f t="shared" si="8"/>
        <v/>
      </c>
      <c r="J204" s="439"/>
      <c r="K204" s="416" t="str">
        <f t="shared" si="9"/>
        <v/>
      </c>
      <c r="L204" s="416"/>
      <c r="M204" s="446"/>
    </row>
    <row r="205" spans="1:13">
      <c r="A205" s="416">
        <v>206</v>
      </c>
      <c r="B205" s="416"/>
      <c r="C205" s="416"/>
      <c r="D205" s="432"/>
      <c r="E205" s="437"/>
      <c r="F205" s="448" t="s">
        <v>3241</v>
      </c>
      <c r="G205" s="446"/>
      <c r="H205" s="446"/>
      <c r="I205" s="436" t="str">
        <f t="shared" si="8"/>
        <v/>
      </c>
      <c r="J205" s="439"/>
      <c r="K205" s="416" t="str">
        <f t="shared" si="9"/>
        <v/>
      </c>
      <c r="L205" s="416"/>
      <c r="M205" s="446"/>
    </row>
    <row r="206" spans="1:13">
      <c r="A206" s="416">
        <v>207</v>
      </c>
      <c r="B206" s="416"/>
      <c r="C206" s="416"/>
      <c r="D206" s="432"/>
      <c r="E206" s="437"/>
      <c r="F206" s="448" t="s">
        <v>3241</v>
      </c>
      <c r="G206" s="446"/>
      <c r="H206" s="446"/>
      <c r="I206" s="436" t="str">
        <f t="shared" si="8"/>
        <v/>
      </c>
      <c r="J206" s="439"/>
      <c r="K206" s="416" t="str">
        <f t="shared" si="9"/>
        <v/>
      </c>
      <c r="L206" s="416"/>
      <c r="M206" s="446"/>
    </row>
    <row r="207" spans="1:13">
      <c r="A207" s="416">
        <v>208</v>
      </c>
      <c r="B207" s="416"/>
      <c r="C207" s="416"/>
      <c r="D207" s="432"/>
      <c r="E207" s="437"/>
      <c r="F207" s="448" t="s">
        <v>3241</v>
      </c>
      <c r="G207" s="446"/>
      <c r="H207" s="446"/>
      <c r="I207" s="436" t="str">
        <f t="shared" si="8"/>
        <v/>
      </c>
      <c r="J207" s="439"/>
      <c r="K207" s="416" t="str">
        <f t="shared" si="9"/>
        <v/>
      </c>
      <c r="L207" s="416"/>
      <c r="M207" s="446"/>
    </row>
    <row r="208" spans="1:13">
      <c r="A208" s="416">
        <v>209</v>
      </c>
      <c r="B208" s="416"/>
      <c r="C208" s="416"/>
      <c r="D208" s="432"/>
      <c r="E208" s="437"/>
      <c r="F208" s="448" t="s">
        <v>3241</v>
      </c>
      <c r="G208" s="446"/>
      <c r="H208" s="446"/>
      <c r="I208" s="436" t="str">
        <f t="shared" si="8"/>
        <v/>
      </c>
      <c r="J208" s="439"/>
      <c r="K208" s="416" t="str">
        <f t="shared" si="9"/>
        <v/>
      </c>
      <c r="L208" s="416"/>
      <c r="M208" s="446"/>
    </row>
    <row r="209" spans="1:13">
      <c r="A209" s="416">
        <v>210</v>
      </c>
      <c r="B209" s="416"/>
      <c r="C209" s="416"/>
      <c r="D209" s="432"/>
      <c r="E209" s="437"/>
      <c r="F209" s="448" t="s">
        <v>3241</v>
      </c>
      <c r="G209" s="446"/>
      <c r="H209" s="446"/>
      <c r="I209" s="436" t="str">
        <f t="shared" si="8"/>
        <v/>
      </c>
      <c r="J209" s="439"/>
      <c r="K209" s="416" t="str">
        <f t="shared" si="9"/>
        <v/>
      </c>
      <c r="L209" s="416"/>
      <c r="M209" s="446"/>
    </row>
    <row r="210" spans="1:13">
      <c r="A210" s="416">
        <v>211</v>
      </c>
      <c r="B210" s="416"/>
      <c r="C210" s="416"/>
      <c r="D210" s="432"/>
      <c r="E210" s="437"/>
      <c r="F210" s="448" t="s">
        <v>3241</v>
      </c>
      <c r="G210" s="446"/>
      <c r="H210" s="446"/>
      <c r="I210" s="436" t="str">
        <f t="shared" si="8"/>
        <v/>
      </c>
      <c r="J210" s="439"/>
      <c r="K210" s="416" t="str">
        <f t="shared" si="9"/>
        <v/>
      </c>
      <c r="L210" s="416"/>
      <c r="M210" s="446"/>
    </row>
    <row r="211" spans="1:13">
      <c r="A211" s="416">
        <v>212</v>
      </c>
      <c r="B211" s="416"/>
      <c r="C211" s="416"/>
      <c r="D211" s="432"/>
      <c r="E211" s="437"/>
      <c r="F211" s="448" t="s">
        <v>3241</v>
      </c>
      <c r="G211" s="446"/>
      <c r="H211" s="446"/>
      <c r="I211" s="436" t="str">
        <f t="shared" si="8"/>
        <v/>
      </c>
      <c r="J211" s="439"/>
      <c r="K211" s="416" t="str">
        <f t="shared" si="9"/>
        <v/>
      </c>
      <c r="L211" s="416"/>
      <c r="M211" s="446"/>
    </row>
    <row r="212" spans="1:13">
      <c r="A212" s="416">
        <v>213</v>
      </c>
      <c r="B212" s="416"/>
      <c r="C212" s="416"/>
      <c r="D212" s="432"/>
      <c r="E212" s="437"/>
      <c r="F212" s="448" t="s">
        <v>3241</v>
      </c>
      <c r="G212" s="446"/>
      <c r="H212" s="446"/>
      <c r="I212" s="436" t="str">
        <f t="shared" si="8"/>
        <v/>
      </c>
      <c r="J212" s="439"/>
      <c r="K212" s="416" t="str">
        <f t="shared" si="9"/>
        <v/>
      </c>
      <c r="L212" s="416"/>
      <c r="M212" s="446"/>
    </row>
    <row r="213" spans="1:13">
      <c r="A213" s="416">
        <v>214</v>
      </c>
      <c r="B213" s="416"/>
      <c r="C213" s="416"/>
      <c r="D213" s="432"/>
      <c r="E213" s="437"/>
      <c r="F213" s="448" t="s">
        <v>3241</v>
      </c>
      <c r="G213" s="446"/>
      <c r="H213" s="446"/>
      <c r="I213" s="436" t="str">
        <f t="shared" si="8"/>
        <v/>
      </c>
      <c r="J213" s="439"/>
      <c r="K213" s="416" t="str">
        <f t="shared" si="9"/>
        <v/>
      </c>
      <c r="L213" s="416"/>
      <c r="M213" s="446"/>
    </row>
    <row r="214" spans="1:13">
      <c r="A214" s="416">
        <v>215</v>
      </c>
      <c r="B214" s="416"/>
      <c r="C214" s="416"/>
      <c r="D214" s="432"/>
      <c r="E214" s="437"/>
      <c r="F214" s="448" t="s">
        <v>3241</v>
      </c>
      <c r="G214" s="446"/>
      <c r="H214" s="446"/>
      <c r="I214" s="436" t="str">
        <f t="shared" si="8"/>
        <v/>
      </c>
      <c r="J214" s="439"/>
      <c r="K214" s="416" t="str">
        <f t="shared" si="9"/>
        <v/>
      </c>
      <c r="L214" s="416"/>
      <c r="M214" s="446"/>
    </row>
    <row r="215" spans="1:13">
      <c r="A215" s="416">
        <v>216</v>
      </c>
      <c r="B215" s="416"/>
      <c r="C215" s="416"/>
      <c r="D215" s="432"/>
      <c r="E215" s="437"/>
      <c r="F215" s="448" t="s">
        <v>3241</v>
      </c>
      <c r="G215" s="446"/>
      <c r="H215" s="446"/>
      <c r="I215" s="436" t="str">
        <f t="shared" si="8"/>
        <v/>
      </c>
      <c r="J215" s="439"/>
      <c r="K215" s="416" t="str">
        <f t="shared" si="9"/>
        <v/>
      </c>
      <c r="L215" s="416"/>
      <c r="M215" s="446"/>
    </row>
    <row r="216" spans="1:13">
      <c r="A216" s="416">
        <v>217</v>
      </c>
      <c r="B216" s="416"/>
      <c r="C216" s="416"/>
      <c r="D216" s="432"/>
      <c r="E216" s="437"/>
      <c r="F216" s="448" t="s">
        <v>3241</v>
      </c>
      <c r="G216" s="446"/>
      <c r="H216" s="446"/>
      <c r="I216" s="436" t="str">
        <f t="shared" si="8"/>
        <v/>
      </c>
      <c r="J216" s="439"/>
      <c r="K216" s="416" t="str">
        <f t="shared" si="9"/>
        <v/>
      </c>
      <c r="L216" s="416"/>
      <c r="M216" s="446"/>
    </row>
    <row r="217" spans="1:13">
      <c r="A217" s="416">
        <v>218</v>
      </c>
      <c r="B217" s="416"/>
      <c r="C217" s="416"/>
      <c r="D217" s="432"/>
      <c r="E217" s="437"/>
      <c r="F217" s="448" t="s">
        <v>3241</v>
      </c>
      <c r="G217" s="446"/>
      <c r="H217" s="446"/>
      <c r="I217" s="436" t="str">
        <f t="shared" si="8"/>
        <v/>
      </c>
      <c r="J217" s="439"/>
      <c r="K217" s="416" t="str">
        <f t="shared" si="9"/>
        <v/>
      </c>
      <c r="L217" s="416"/>
      <c r="M217" s="446"/>
    </row>
    <row r="218" spans="1:13">
      <c r="A218" s="416">
        <v>219</v>
      </c>
      <c r="B218" s="416"/>
      <c r="C218" s="416"/>
      <c r="D218" s="432"/>
      <c r="E218" s="437"/>
      <c r="F218" s="448" t="s">
        <v>3241</v>
      </c>
      <c r="G218" s="446"/>
      <c r="H218" s="446"/>
      <c r="I218" s="436" t="str">
        <f t="shared" si="8"/>
        <v/>
      </c>
      <c r="J218" s="439"/>
      <c r="K218" s="416" t="str">
        <f t="shared" si="9"/>
        <v/>
      </c>
      <c r="L218" s="416"/>
      <c r="M218" s="446"/>
    </row>
    <row r="219" spans="1:13">
      <c r="A219" s="416">
        <v>220</v>
      </c>
      <c r="B219" s="416"/>
      <c r="C219" s="416"/>
      <c r="D219" s="432"/>
      <c r="E219" s="437"/>
      <c r="F219" s="448" t="s">
        <v>3241</v>
      </c>
      <c r="G219" s="446"/>
      <c r="H219" s="446"/>
      <c r="I219" s="436" t="str">
        <f t="shared" si="8"/>
        <v/>
      </c>
      <c r="J219" s="439"/>
      <c r="K219" s="416" t="str">
        <f t="shared" si="9"/>
        <v/>
      </c>
      <c r="L219" s="416"/>
      <c r="M219" s="446"/>
    </row>
    <row r="220" spans="1:13">
      <c r="A220" s="416">
        <v>221</v>
      </c>
      <c r="B220" s="416"/>
      <c r="C220" s="416"/>
      <c r="D220" s="432"/>
      <c r="E220" s="437"/>
      <c r="F220" s="448" t="s">
        <v>3241</v>
      </c>
      <c r="G220" s="446"/>
      <c r="H220" s="446"/>
      <c r="I220" s="436" t="str">
        <f t="shared" si="8"/>
        <v/>
      </c>
      <c r="J220" s="439"/>
      <c r="K220" s="416" t="str">
        <f t="shared" si="9"/>
        <v/>
      </c>
      <c r="L220" s="416"/>
      <c r="M220" s="446"/>
    </row>
    <row r="221" spans="1:13">
      <c r="A221" s="416">
        <v>222</v>
      </c>
      <c r="B221" s="416"/>
      <c r="C221" s="416"/>
      <c r="D221" s="432"/>
      <c r="E221" s="437"/>
      <c r="F221" s="448" t="s">
        <v>3241</v>
      </c>
      <c r="G221" s="446"/>
      <c r="H221" s="446"/>
      <c r="I221" s="436" t="str">
        <f t="shared" si="8"/>
        <v/>
      </c>
      <c r="J221" s="439"/>
      <c r="K221" s="416" t="str">
        <f t="shared" si="9"/>
        <v/>
      </c>
      <c r="L221" s="416"/>
      <c r="M221" s="446"/>
    </row>
    <row r="222" spans="1:13">
      <c r="A222" s="416">
        <v>223</v>
      </c>
      <c r="B222" s="416"/>
      <c r="C222" s="416"/>
      <c r="D222" s="432"/>
      <c r="E222" s="437"/>
      <c r="F222" s="448" t="s">
        <v>3241</v>
      </c>
      <c r="G222" s="446"/>
      <c r="H222" s="446"/>
      <c r="I222" s="436" t="str">
        <f t="shared" si="8"/>
        <v/>
      </c>
      <c r="J222" s="439"/>
      <c r="K222" s="416" t="str">
        <f t="shared" si="9"/>
        <v/>
      </c>
      <c r="L222" s="416"/>
      <c r="M222" s="446"/>
    </row>
    <row r="223" spans="1:13">
      <c r="A223" s="416">
        <v>224</v>
      </c>
      <c r="B223" s="416"/>
      <c r="C223" s="416"/>
      <c r="D223" s="432"/>
      <c r="E223" s="437"/>
      <c r="F223" s="448" t="s">
        <v>3241</v>
      </c>
      <c r="G223" s="446"/>
      <c r="H223" s="446"/>
      <c r="I223" s="436" t="str">
        <f t="shared" si="8"/>
        <v/>
      </c>
      <c r="J223" s="439"/>
      <c r="K223" s="416" t="str">
        <f t="shared" si="9"/>
        <v/>
      </c>
      <c r="L223" s="416"/>
      <c r="M223" s="446"/>
    </row>
    <row r="224" spans="1:13">
      <c r="A224" s="416">
        <v>225</v>
      </c>
      <c r="B224" s="416"/>
      <c r="C224" s="416"/>
      <c r="D224" s="432"/>
      <c r="E224" s="437"/>
      <c r="F224" s="448" t="s">
        <v>3241</v>
      </c>
      <c r="G224" s="446"/>
      <c r="H224" s="446"/>
      <c r="I224" s="436" t="str">
        <f t="shared" si="8"/>
        <v/>
      </c>
      <c r="J224" s="439"/>
      <c r="K224" s="416" t="str">
        <f t="shared" si="9"/>
        <v/>
      </c>
      <c r="L224" s="416"/>
      <c r="M224" s="446"/>
    </row>
    <row r="225" spans="1:13">
      <c r="A225" s="416">
        <v>226</v>
      </c>
      <c r="B225" s="416"/>
      <c r="C225" s="416"/>
      <c r="D225" s="432"/>
      <c r="E225" s="437"/>
      <c r="F225" s="448" t="s">
        <v>3241</v>
      </c>
      <c r="G225" s="446"/>
      <c r="H225" s="446"/>
      <c r="I225" s="436" t="str">
        <f t="shared" si="8"/>
        <v/>
      </c>
      <c r="J225" s="439"/>
      <c r="K225" s="416" t="str">
        <f t="shared" si="9"/>
        <v/>
      </c>
      <c r="L225" s="416"/>
      <c r="M225" s="446"/>
    </row>
    <row r="226" spans="1:13">
      <c r="A226" s="416">
        <v>227</v>
      </c>
      <c r="B226" s="416"/>
      <c r="C226" s="416"/>
      <c r="D226" s="432"/>
      <c r="E226" s="437"/>
      <c r="F226" s="448" t="s">
        <v>3241</v>
      </c>
      <c r="G226" s="446"/>
      <c r="H226" s="446"/>
      <c r="I226" s="436" t="str">
        <f t="shared" si="8"/>
        <v/>
      </c>
      <c r="J226" s="439"/>
      <c r="K226" s="416" t="str">
        <f t="shared" si="9"/>
        <v/>
      </c>
      <c r="L226" s="416"/>
      <c r="M226" s="446"/>
    </row>
    <row r="227" spans="1:13">
      <c r="A227" s="416">
        <v>228</v>
      </c>
      <c r="B227" s="416"/>
      <c r="C227" s="416"/>
      <c r="D227" s="432"/>
      <c r="E227" s="437"/>
      <c r="F227" s="448" t="s">
        <v>3241</v>
      </c>
      <c r="G227" s="446"/>
      <c r="H227" s="446"/>
      <c r="I227" s="436" t="str">
        <f t="shared" si="8"/>
        <v/>
      </c>
      <c r="J227" s="439"/>
      <c r="K227" s="416" t="str">
        <f t="shared" si="9"/>
        <v/>
      </c>
      <c r="L227" s="416"/>
      <c r="M227" s="446"/>
    </row>
    <row r="228" spans="1:13">
      <c r="A228" s="416">
        <v>229</v>
      </c>
      <c r="B228" s="416"/>
      <c r="C228" s="416"/>
      <c r="D228" s="432"/>
      <c r="E228" s="437"/>
      <c r="F228" s="448" t="s">
        <v>3241</v>
      </c>
      <c r="G228" s="446"/>
      <c r="H228" s="446"/>
      <c r="I228" s="436" t="str">
        <f t="shared" si="8"/>
        <v/>
      </c>
      <c r="J228" s="439"/>
      <c r="K228" s="416" t="str">
        <f t="shared" si="9"/>
        <v/>
      </c>
      <c r="L228" s="416"/>
      <c r="M228" s="446"/>
    </row>
    <row r="229" spans="1:13">
      <c r="A229" s="416">
        <v>230</v>
      </c>
      <c r="B229" s="416"/>
      <c r="C229" s="416"/>
      <c r="D229" s="432"/>
      <c r="E229" s="437"/>
      <c r="F229" s="448" t="s">
        <v>3241</v>
      </c>
      <c r="G229" s="446"/>
      <c r="H229" s="446"/>
      <c r="I229" s="436" t="str">
        <f t="shared" si="8"/>
        <v/>
      </c>
      <c r="J229" s="439"/>
      <c r="K229" s="416" t="str">
        <f t="shared" si="9"/>
        <v/>
      </c>
      <c r="L229" s="416"/>
      <c r="M229" s="446"/>
    </row>
    <row r="230" spans="1:13">
      <c r="A230" s="416">
        <v>231</v>
      </c>
      <c r="B230" s="416"/>
      <c r="C230" s="416"/>
      <c r="D230" s="432"/>
      <c r="E230" s="437"/>
      <c r="F230" s="448" t="s">
        <v>3241</v>
      </c>
      <c r="G230" s="446"/>
      <c r="H230" s="446"/>
      <c r="I230" s="436" t="str">
        <f t="shared" si="8"/>
        <v/>
      </c>
      <c r="J230" s="439"/>
      <c r="K230" s="416" t="str">
        <f t="shared" si="9"/>
        <v/>
      </c>
      <c r="L230" s="416"/>
      <c r="M230" s="446"/>
    </row>
    <row r="231" spans="1:13">
      <c r="A231" s="416">
        <v>232</v>
      </c>
      <c r="B231" s="416"/>
      <c r="C231" s="416"/>
      <c r="D231" s="432"/>
      <c r="E231" s="437"/>
      <c r="F231" s="448" t="s">
        <v>3241</v>
      </c>
      <c r="G231" s="446"/>
      <c r="H231" s="446"/>
      <c r="I231" s="436" t="str">
        <f t="shared" si="8"/>
        <v/>
      </c>
      <c r="J231" s="439"/>
      <c r="K231" s="416" t="str">
        <f t="shared" si="9"/>
        <v/>
      </c>
      <c r="L231" s="416"/>
      <c r="M231" s="446"/>
    </row>
    <row r="232" spans="1:13">
      <c r="A232" s="416">
        <v>233</v>
      </c>
      <c r="B232" s="416"/>
      <c r="C232" s="416"/>
      <c r="D232" s="432"/>
      <c r="E232" s="437"/>
      <c r="F232" s="448" t="s">
        <v>3241</v>
      </c>
      <c r="G232" s="446"/>
      <c r="H232" s="446"/>
      <c r="I232" s="436" t="str">
        <f t="shared" si="8"/>
        <v/>
      </c>
      <c r="J232" s="439"/>
      <c r="K232" s="416" t="str">
        <f t="shared" si="9"/>
        <v/>
      </c>
      <c r="L232" s="416"/>
      <c r="M232" s="446"/>
    </row>
    <row r="233" spans="1:13">
      <c r="A233" s="416">
        <v>234</v>
      </c>
      <c r="B233" s="416"/>
      <c r="C233" s="416"/>
      <c r="D233" s="432"/>
      <c r="E233" s="437"/>
      <c r="F233" s="448" t="s">
        <v>3241</v>
      </c>
      <c r="G233" s="446"/>
      <c r="H233" s="446"/>
      <c r="I233" s="436" t="str">
        <f t="shared" si="8"/>
        <v/>
      </c>
      <c r="J233" s="439"/>
      <c r="K233" s="416" t="str">
        <f t="shared" si="9"/>
        <v/>
      </c>
      <c r="L233" s="416"/>
      <c r="M233" s="446"/>
    </row>
    <row r="234" spans="1:13">
      <c r="A234" s="416">
        <v>235</v>
      </c>
      <c r="B234" s="416"/>
      <c r="C234" s="416"/>
      <c r="D234" s="432"/>
      <c r="E234" s="437"/>
      <c r="F234" s="448" t="s">
        <v>3241</v>
      </c>
      <c r="G234" s="446"/>
      <c r="H234" s="446"/>
      <c r="I234" s="436" t="str">
        <f t="shared" si="8"/>
        <v/>
      </c>
      <c r="J234" s="439"/>
      <c r="K234" s="416" t="str">
        <f t="shared" si="9"/>
        <v/>
      </c>
      <c r="L234" s="416"/>
      <c r="M234" s="446"/>
    </row>
    <row r="235" spans="1:13">
      <c r="A235" s="416">
        <v>236</v>
      </c>
      <c r="B235" s="416"/>
      <c r="C235" s="416"/>
      <c r="D235" s="432"/>
      <c r="E235" s="437"/>
      <c r="F235" s="448" t="s">
        <v>3241</v>
      </c>
      <c r="G235" s="446"/>
      <c r="H235" s="446"/>
      <c r="I235" s="436" t="str">
        <f t="shared" si="8"/>
        <v/>
      </c>
      <c r="J235" s="439"/>
      <c r="K235" s="416" t="str">
        <f t="shared" si="9"/>
        <v/>
      </c>
      <c r="L235" s="416"/>
      <c r="M235" s="446"/>
    </row>
    <row r="236" spans="1:13">
      <c r="A236" s="416">
        <v>237</v>
      </c>
      <c r="B236" s="416"/>
      <c r="C236" s="416"/>
      <c r="D236" s="432"/>
      <c r="E236" s="437"/>
      <c r="F236" s="448" t="s">
        <v>3241</v>
      </c>
      <c r="G236" s="446"/>
      <c r="H236" s="446"/>
      <c r="I236" s="436" t="str">
        <f t="shared" si="8"/>
        <v/>
      </c>
      <c r="J236" s="439"/>
      <c r="K236" s="416" t="str">
        <f t="shared" si="9"/>
        <v/>
      </c>
      <c r="L236" s="416"/>
      <c r="M236" s="446"/>
    </row>
    <row r="237" spans="1:13">
      <c r="A237" s="416">
        <v>238</v>
      </c>
      <c r="B237" s="416"/>
      <c r="C237" s="416"/>
      <c r="D237" s="432"/>
      <c r="E237" s="437"/>
      <c r="F237" s="448" t="s">
        <v>3241</v>
      </c>
      <c r="G237" s="446"/>
      <c r="H237" s="446"/>
      <c r="I237" s="436" t="str">
        <f t="shared" si="8"/>
        <v/>
      </c>
      <c r="J237" s="439"/>
      <c r="K237" s="416" t="str">
        <f t="shared" si="9"/>
        <v/>
      </c>
      <c r="L237" s="416"/>
      <c r="M237" s="446"/>
    </row>
    <row r="238" spans="1:13">
      <c r="A238" s="416">
        <v>239</v>
      </c>
      <c r="B238" s="416"/>
      <c r="C238" s="416"/>
      <c r="D238" s="432"/>
      <c r="E238" s="437"/>
      <c r="F238" s="448" t="s">
        <v>3241</v>
      </c>
      <c r="G238" s="446"/>
      <c r="H238" s="446"/>
      <c r="I238" s="436" t="str">
        <f t="shared" si="8"/>
        <v/>
      </c>
      <c r="J238" s="439"/>
      <c r="K238" s="416" t="str">
        <f t="shared" si="9"/>
        <v/>
      </c>
      <c r="L238" s="416"/>
      <c r="M238" s="446"/>
    </row>
    <row r="239" spans="1:13">
      <c r="A239" s="416">
        <v>240</v>
      </c>
      <c r="B239" s="416"/>
      <c r="C239" s="416"/>
      <c r="D239" s="432"/>
      <c r="E239" s="437"/>
      <c r="F239" s="448" t="s">
        <v>3241</v>
      </c>
      <c r="G239" s="446"/>
      <c r="H239" s="446"/>
      <c r="I239" s="436" t="str">
        <f t="shared" si="8"/>
        <v/>
      </c>
      <c r="J239" s="439"/>
      <c r="K239" s="416" t="str">
        <f t="shared" si="9"/>
        <v/>
      </c>
      <c r="L239" s="416"/>
      <c r="M239" s="446"/>
    </row>
    <row r="240" spans="1:13">
      <c r="A240" s="416">
        <v>241</v>
      </c>
      <c r="B240" s="416"/>
      <c r="C240" s="416"/>
      <c r="D240" s="432"/>
      <c r="E240" s="437"/>
      <c r="F240" s="448" t="s">
        <v>3241</v>
      </c>
      <c r="G240" s="446"/>
      <c r="H240" s="446"/>
      <c r="I240" s="436" t="str">
        <f t="shared" si="8"/>
        <v/>
      </c>
      <c r="J240" s="439"/>
      <c r="K240" s="416" t="str">
        <f t="shared" si="9"/>
        <v/>
      </c>
      <c r="L240" s="416"/>
      <c r="M240" s="446"/>
    </row>
    <row r="241" spans="1:13">
      <c r="A241" s="416">
        <v>242</v>
      </c>
      <c r="B241" s="416"/>
      <c r="C241" s="416"/>
      <c r="D241" s="432"/>
      <c r="E241" s="437"/>
      <c r="F241" s="448" t="s">
        <v>3241</v>
      </c>
      <c r="G241" s="446"/>
      <c r="H241" s="446"/>
      <c r="I241" s="436" t="str">
        <f t="shared" si="8"/>
        <v/>
      </c>
      <c r="J241" s="439"/>
      <c r="K241" s="416" t="str">
        <f t="shared" si="9"/>
        <v/>
      </c>
      <c r="L241" s="416"/>
      <c r="M241" s="446"/>
    </row>
    <row r="242" spans="1:13">
      <c r="A242" s="416">
        <v>243</v>
      </c>
      <c r="B242" s="416"/>
      <c r="C242" s="416"/>
      <c r="D242" s="432"/>
      <c r="E242" s="437"/>
      <c r="F242" s="448" t="s">
        <v>3241</v>
      </c>
      <c r="G242" s="446"/>
      <c r="H242" s="446"/>
      <c r="I242" s="436" t="str">
        <f t="shared" si="8"/>
        <v/>
      </c>
      <c r="J242" s="439"/>
      <c r="K242" s="416" t="str">
        <f t="shared" si="9"/>
        <v/>
      </c>
      <c r="L242" s="416"/>
      <c r="M242" s="446"/>
    </row>
    <row r="243" spans="1:13">
      <c r="A243" s="416">
        <v>244</v>
      </c>
      <c r="B243" s="416"/>
      <c r="C243" s="416"/>
      <c r="D243" s="432"/>
      <c r="E243" s="437"/>
      <c r="F243" s="448" t="s">
        <v>3241</v>
      </c>
      <c r="G243" s="446"/>
      <c r="H243" s="446"/>
      <c r="I243" s="436" t="str">
        <f t="shared" si="8"/>
        <v/>
      </c>
      <c r="J243" s="439"/>
      <c r="K243" s="416" t="str">
        <f t="shared" si="9"/>
        <v/>
      </c>
      <c r="L243" s="416"/>
      <c r="M243" s="446"/>
    </row>
    <row r="244" spans="1:13">
      <c r="A244" s="416">
        <v>245</v>
      </c>
      <c r="B244" s="416"/>
      <c r="C244" s="416"/>
      <c r="D244" s="432"/>
      <c r="E244" s="437"/>
      <c r="F244" s="448" t="s">
        <v>3241</v>
      </c>
      <c r="G244" s="446"/>
      <c r="H244" s="446"/>
      <c r="I244" s="436" t="str">
        <f t="shared" si="8"/>
        <v/>
      </c>
      <c r="J244" s="439"/>
      <c r="K244" s="416" t="str">
        <f t="shared" si="9"/>
        <v/>
      </c>
      <c r="L244" s="416"/>
      <c r="M244" s="446"/>
    </row>
    <row r="245" spans="1:13">
      <c r="A245" s="416">
        <v>246</v>
      </c>
      <c r="B245" s="416"/>
      <c r="C245" s="416"/>
      <c r="D245" s="432"/>
      <c r="E245" s="437"/>
      <c r="F245" s="448" t="s">
        <v>3241</v>
      </c>
      <c r="G245" s="446"/>
      <c r="H245" s="446"/>
      <c r="I245" s="436" t="str">
        <f t="shared" si="8"/>
        <v/>
      </c>
      <c r="J245" s="439"/>
      <c r="K245" s="416" t="str">
        <f t="shared" si="9"/>
        <v/>
      </c>
      <c r="L245" s="416"/>
      <c r="M245" s="446"/>
    </row>
    <row r="246" spans="1:13">
      <c r="A246" s="416">
        <v>247</v>
      </c>
      <c r="B246" s="416"/>
      <c r="C246" s="416"/>
      <c r="D246" s="432"/>
      <c r="E246" s="437"/>
      <c r="F246" s="448" t="s">
        <v>3241</v>
      </c>
      <c r="G246" s="446"/>
      <c r="H246" s="446"/>
      <c r="I246" s="436" t="str">
        <f t="shared" si="8"/>
        <v/>
      </c>
      <c r="J246" s="439"/>
      <c r="K246" s="416" t="str">
        <f t="shared" si="9"/>
        <v/>
      </c>
      <c r="L246" s="416"/>
      <c r="M246" s="446"/>
    </row>
    <row r="247" spans="1:13">
      <c r="A247" s="416">
        <v>248</v>
      </c>
      <c r="B247" s="416"/>
      <c r="C247" s="416"/>
      <c r="D247" s="432"/>
      <c r="E247" s="437"/>
      <c r="F247" s="448" t="s">
        <v>3241</v>
      </c>
      <c r="G247" s="446"/>
      <c r="H247" s="446"/>
      <c r="I247" s="436" t="str">
        <f t="shared" si="8"/>
        <v/>
      </c>
      <c r="J247" s="439"/>
      <c r="K247" s="416" t="str">
        <f t="shared" si="9"/>
        <v/>
      </c>
      <c r="L247" s="416"/>
      <c r="M247" s="446"/>
    </row>
    <row r="248" spans="1:13">
      <c r="A248" s="416">
        <v>249</v>
      </c>
      <c r="B248" s="416"/>
      <c r="C248" s="416"/>
      <c r="D248" s="432"/>
      <c r="E248" s="437"/>
      <c r="F248" s="448" t="s">
        <v>3241</v>
      </c>
      <c r="G248" s="446"/>
      <c r="H248" s="446"/>
      <c r="I248" s="436" t="str">
        <f t="shared" si="8"/>
        <v/>
      </c>
      <c r="J248" s="439"/>
      <c r="K248" s="416" t="str">
        <f t="shared" si="9"/>
        <v/>
      </c>
      <c r="L248" s="416"/>
      <c r="M248" s="446"/>
    </row>
    <row r="249" spans="1:13">
      <c r="A249" s="416">
        <v>250</v>
      </c>
      <c r="B249" s="416"/>
      <c r="C249" s="416"/>
      <c r="D249" s="432"/>
      <c r="E249" s="437"/>
      <c r="F249" s="448" t="s">
        <v>3241</v>
      </c>
      <c r="G249" s="446"/>
      <c r="H249" s="446"/>
      <c r="I249" s="436" t="str">
        <f t="shared" si="8"/>
        <v/>
      </c>
      <c r="J249" s="439"/>
      <c r="K249" s="416" t="str">
        <f t="shared" si="9"/>
        <v/>
      </c>
      <c r="L249" s="416"/>
      <c r="M249" s="446"/>
    </row>
    <row r="250" spans="1:13">
      <c r="A250" s="416">
        <v>251</v>
      </c>
      <c r="B250" s="416"/>
      <c r="C250" s="416"/>
      <c r="D250" s="432"/>
      <c r="E250" s="437"/>
      <c r="F250" s="448" t="s">
        <v>3241</v>
      </c>
      <c r="G250" s="446"/>
      <c r="H250" s="446"/>
      <c r="I250" s="436" t="str">
        <f t="shared" si="8"/>
        <v/>
      </c>
      <c r="J250" s="439"/>
      <c r="K250" s="416" t="str">
        <f t="shared" si="9"/>
        <v/>
      </c>
      <c r="L250" s="416"/>
      <c r="M250" s="446"/>
    </row>
    <row r="251" spans="1:13">
      <c r="A251" s="416">
        <v>252</v>
      </c>
      <c r="B251" s="416"/>
      <c r="C251" s="416"/>
      <c r="D251" s="432"/>
      <c r="E251" s="437"/>
      <c r="F251" s="448" t="s">
        <v>3241</v>
      </c>
      <c r="G251" s="446"/>
      <c r="H251" s="446"/>
      <c r="I251" s="436" t="str">
        <f t="shared" si="8"/>
        <v/>
      </c>
      <c r="J251" s="439"/>
      <c r="K251" s="416" t="str">
        <f t="shared" si="9"/>
        <v/>
      </c>
      <c r="L251" s="416"/>
      <c r="M251" s="446"/>
    </row>
    <row r="252" spans="1:13">
      <c r="A252" s="416">
        <v>253</v>
      </c>
      <c r="B252" s="416"/>
      <c r="C252" s="416"/>
      <c r="D252" s="432"/>
      <c r="E252" s="437"/>
      <c r="F252" s="448" t="s">
        <v>3241</v>
      </c>
      <c r="G252" s="446"/>
      <c r="H252" s="446"/>
      <c r="I252" s="436" t="str">
        <f t="shared" si="8"/>
        <v/>
      </c>
      <c r="J252" s="439"/>
      <c r="K252" s="416" t="str">
        <f t="shared" si="9"/>
        <v/>
      </c>
      <c r="L252" s="416"/>
      <c r="M252" s="446"/>
    </row>
    <row r="253" spans="1:13">
      <c r="A253" s="416">
        <v>254</v>
      </c>
      <c r="B253" s="416"/>
      <c r="C253" s="416"/>
      <c r="D253" s="432"/>
      <c r="E253" s="437"/>
      <c r="F253" s="448" t="s">
        <v>3241</v>
      </c>
      <c r="G253" s="446"/>
      <c r="H253" s="446"/>
      <c r="I253" s="436" t="str">
        <f t="shared" ref="I253:I316" si="10">IF(G253="","",ROUND(H253/G253,2))</f>
        <v/>
      </c>
      <c r="J253" s="439"/>
      <c r="K253" s="416" t="str">
        <f t="shared" si="9"/>
        <v/>
      </c>
      <c r="L253" s="416"/>
      <c r="M253" s="446"/>
    </row>
    <row r="254" spans="1:13">
      <c r="A254" s="416">
        <v>255</v>
      </c>
      <c r="B254" s="416"/>
      <c r="C254" s="416"/>
      <c r="D254" s="432"/>
      <c r="E254" s="437"/>
      <c r="F254" s="448" t="s">
        <v>3241</v>
      </c>
      <c r="G254" s="446"/>
      <c r="H254" s="446"/>
      <c r="I254" s="436" t="str">
        <f t="shared" si="10"/>
        <v/>
      </c>
      <c r="J254" s="439"/>
      <c r="K254" s="416" t="str">
        <f t="shared" si="9"/>
        <v/>
      </c>
      <c r="L254" s="416"/>
      <c r="M254" s="446"/>
    </row>
    <row r="255" spans="1:13">
      <c r="A255" s="416">
        <v>256</v>
      </c>
      <c r="B255" s="416"/>
      <c r="C255" s="416"/>
      <c r="D255" s="432"/>
      <c r="E255" s="437"/>
      <c r="F255" s="448" t="s">
        <v>3241</v>
      </c>
      <c r="G255" s="446"/>
      <c r="H255" s="446"/>
      <c r="I255" s="436" t="str">
        <f t="shared" si="10"/>
        <v/>
      </c>
      <c r="J255" s="439"/>
      <c r="K255" s="416" t="str">
        <f t="shared" si="9"/>
        <v/>
      </c>
      <c r="L255" s="416"/>
      <c r="M255" s="446"/>
    </row>
    <row r="256" spans="1:13">
      <c r="A256" s="416">
        <v>257</v>
      </c>
      <c r="B256" s="416"/>
      <c r="C256" s="416"/>
      <c r="D256" s="432"/>
      <c r="E256" s="437"/>
      <c r="F256" s="448" t="s">
        <v>3241</v>
      </c>
      <c r="G256" s="446"/>
      <c r="H256" s="446"/>
      <c r="I256" s="436" t="str">
        <f t="shared" si="10"/>
        <v/>
      </c>
      <c r="J256" s="439"/>
      <c r="K256" s="416" t="str">
        <f t="shared" ref="K256:K319" si="11">IF(J256="USD",USD,IF(J256="EUR",EUR,""))</f>
        <v/>
      </c>
      <c r="L256" s="416"/>
      <c r="M256" s="446"/>
    </row>
    <row r="257" spans="1:13">
      <c r="A257" s="416">
        <v>258</v>
      </c>
      <c r="B257" s="416"/>
      <c r="C257" s="416"/>
      <c r="D257" s="432"/>
      <c r="E257" s="437"/>
      <c r="F257" s="448" t="s">
        <v>3241</v>
      </c>
      <c r="G257" s="446"/>
      <c r="H257" s="446"/>
      <c r="I257" s="436" t="str">
        <f t="shared" si="10"/>
        <v/>
      </c>
      <c r="J257" s="439"/>
      <c r="K257" s="416" t="str">
        <f t="shared" si="11"/>
        <v/>
      </c>
      <c r="L257" s="416"/>
      <c r="M257" s="446"/>
    </row>
    <row r="258" spans="1:13">
      <c r="A258" s="416">
        <v>259</v>
      </c>
      <c r="B258" s="416"/>
      <c r="C258" s="416"/>
      <c r="D258" s="432"/>
      <c r="E258" s="437"/>
      <c r="F258" s="448" t="s">
        <v>3241</v>
      </c>
      <c r="G258" s="446"/>
      <c r="H258" s="446"/>
      <c r="I258" s="436" t="str">
        <f t="shared" si="10"/>
        <v/>
      </c>
      <c r="J258" s="439"/>
      <c r="K258" s="416" t="str">
        <f t="shared" si="11"/>
        <v/>
      </c>
      <c r="L258" s="416"/>
      <c r="M258" s="446"/>
    </row>
    <row r="259" spans="1:13">
      <c r="A259" s="416">
        <v>260</v>
      </c>
      <c r="B259" s="416"/>
      <c r="C259" s="416"/>
      <c r="D259" s="432"/>
      <c r="E259" s="437"/>
      <c r="F259" s="448" t="s">
        <v>3241</v>
      </c>
      <c r="G259" s="446"/>
      <c r="H259" s="446"/>
      <c r="I259" s="436" t="str">
        <f t="shared" si="10"/>
        <v/>
      </c>
      <c r="J259" s="439"/>
      <c r="K259" s="416" t="str">
        <f t="shared" si="11"/>
        <v/>
      </c>
      <c r="L259" s="416"/>
      <c r="M259" s="446"/>
    </row>
    <row r="260" spans="1:13">
      <c r="A260" s="416">
        <v>261</v>
      </c>
      <c r="B260" s="416"/>
      <c r="C260" s="416"/>
      <c r="D260" s="432"/>
      <c r="E260" s="437"/>
      <c r="F260" s="448" t="s">
        <v>3241</v>
      </c>
      <c r="G260" s="446"/>
      <c r="H260" s="446"/>
      <c r="I260" s="436" t="str">
        <f t="shared" si="10"/>
        <v/>
      </c>
      <c r="J260" s="439"/>
      <c r="K260" s="416" t="str">
        <f t="shared" si="11"/>
        <v/>
      </c>
      <c r="L260" s="416"/>
      <c r="M260" s="446"/>
    </row>
    <row r="261" spans="1:13">
      <c r="A261" s="416">
        <v>262</v>
      </c>
      <c r="B261" s="416"/>
      <c r="C261" s="416"/>
      <c r="D261" s="432"/>
      <c r="E261" s="437"/>
      <c r="F261" s="448" t="s">
        <v>3241</v>
      </c>
      <c r="G261" s="446"/>
      <c r="H261" s="446"/>
      <c r="I261" s="436" t="str">
        <f t="shared" si="10"/>
        <v/>
      </c>
      <c r="J261" s="439"/>
      <c r="K261" s="416" t="str">
        <f t="shared" si="11"/>
        <v/>
      </c>
      <c r="L261" s="416"/>
      <c r="M261" s="446"/>
    </row>
    <row r="262" spans="1:13">
      <c r="A262" s="416">
        <v>263</v>
      </c>
      <c r="B262" s="416"/>
      <c r="C262" s="416"/>
      <c r="D262" s="432"/>
      <c r="E262" s="437"/>
      <c r="F262" s="448" t="s">
        <v>3241</v>
      </c>
      <c r="G262" s="446"/>
      <c r="H262" s="446"/>
      <c r="I262" s="436" t="str">
        <f t="shared" si="10"/>
        <v/>
      </c>
      <c r="J262" s="439"/>
      <c r="K262" s="416" t="str">
        <f t="shared" si="11"/>
        <v/>
      </c>
      <c r="L262" s="416"/>
      <c r="M262" s="446"/>
    </row>
    <row r="263" spans="1:13">
      <c r="A263" s="416">
        <v>264</v>
      </c>
      <c r="B263" s="416"/>
      <c r="C263" s="416"/>
      <c r="D263" s="432"/>
      <c r="E263" s="437"/>
      <c r="F263" s="448" t="s">
        <v>3241</v>
      </c>
      <c r="G263" s="446"/>
      <c r="H263" s="446"/>
      <c r="I263" s="436" t="str">
        <f t="shared" si="10"/>
        <v/>
      </c>
      <c r="J263" s="439"/>
      <c r="K263" s="416" t="str">
        <f t="shared" si="11"/>
        <v/>
      </c>
      <c r="L263" s="416"/>
      <c r="M263" s="446"/>
    </row>
    <row r="264" spans="1:13">
      <c r="A264" s="416">
        <v>265</v>
      </c>
      <c r="B264" s="416"/>
      <c r="C264" s="416"/>
      <c r="D264" s="432"/>
      <c r="E264" s="437"/>
      <c r="F264" s="448" t="s">
        <v>3241</v>
      </c>
      <c r="G264" s="446"/>
      <c r="H264" s="446"/>
      <c r="I264" s="436" t="str">
        <f t="shared" si="10"/>
        <v/>
      </c>
      <c r="J264" s="439"/>
      <c r="K264" s="416" t="str">
        <f t="shared" si="11"/>
        <v/>
      </c>
      <c r="L264" s="416"/>
      <c r="M264" s="446"/>
    </row>
    <row r="265" spans="1:13">
      <c r="A265" s="416">
        <v>266</v>
      </c>
      <c r="B265" s="416"/>
      <c r="C265" s="416"/>
      <c r="D265" s="432"/>
      <c r="E265" s="437"/>
      <c r="F265" s="448" t="s">
        <v>3241</v>
      </c>
      <c r="G265" s="446"/>
      <c r="H265" s="446"/>
      <c r="I265" s="436" t="str">
        <f t="shared" si="10"/>
        <v/>
      </c>
      <c r="J265" s="439"/>
      <c r="K265" s="416" t="str">
        <f t="shared" si="11"/>
        <v/>
      </c>
      <c r="L265" s="416"/>
      <c r="M265" s="446"/>
    </row>
    <row r="266" spans="1:13">
      <c r="A266" s="416">
        <v>267</v>
      </c>
      <c r="B266" s="416"/>
      <c r="C266" s="416"/>
      <c r="D266" s="432"/>
      <c r="E266" s="437"/>
      <c r="F266" s="448" t="s">
        <v>3241</v>
      </c>
      <c r="G266" s="446"/>
      <c r="H266" s="446"/>
      <c r="I266" s="436" t="str">
        <f t="shared" si="10"/>
        <v/>
      </c>
      <c r="J266" s="439"/>
      <c r="K266" s="416" t="str">
        <f t="shared" si="11"/>
        <v/>
      </c>
      <c r="L266" s="416"/>
      <c r="M266" s="446"/>
    </row>
    <row r="267" spans="1:13">
      <c r="A267" s="416">
        <v>268</v>
      </c>
      <c r="B267" s="416"/>
      <c r="C267" s="416"/>
      <c r="D267" s="432"/>
      <c r="E267" s="437"/>
      <c r="F267" s="448" t="s">
        <v>3241</v>
      </c>
      <c r="G267" s="446"/>
      <c r="H267" s="446"/>
      <c r="I267" s="436" t="str">
        <f t="shared" si="10"/>
        <v/>
      </c>
      <c r="J267" s="439"/>
      <c r="K267" s="416" t="str">
        <f t="shared" si="11"/>
        <v/>
      </c>
      <c r="L267" s="416"/>
      <c r="M267" s="446"/>
    </row>
    <row r="268" spans="1:13">
      <c r="A268" s="416">
        <v>269</v>
      </c>
      <c r="B268" s="416"/>
      <c r="C268" s="416"/>
      <c r="D268" s="432"/>
      <c r="E268" s="437"/>
      <c r="F268" s="448" t="s">
        <v>3241</v>
      </c>
      <c r="G268" s="446"/>
      <c r="H268" s="446"/>
      <c r="I268" s="436" t="str">
        <f t="shared" si="10"/>
        <v/>
      </c>
      <c r="J268" s="439"/>
      <c r="K268" s="416" t="str">
        <f t="shared" si="11"/>
        <v/>
      </c>
      <c r="L268" s="416"/>
      <c r="M268" s="446"/>
    </row>
    <row r="269" spans="1:13">
      <c r="A269" s="416">
        <v>270</v>
      </c>
      <c r="B269" s="416"/>
      <c r="C269" s="416"/>
      <c r="D269" s="432"/>
      <c r="E269" s="437"/>
      <c r="F269" s="448" t="s">
        <v>3241</v>
      </c>
      <c r="G269" s="446"/>
      <c r="H269" s="446"/>
      <c r="I269" s="436" t="str">
        <f t="shared" si="10"/>
        <v/>
      </c>
      <c r="J269" s="439"/>
      <c r="K269" s="416" t="str">
        <f t="shared" si="11"/>
        <v/>
      </c>
      <c r="L269" s="416"/>
      <c r="M269" s="446"/>
    </row>
    <row r="270" spans="1:13">
      <c r="A270" s="416">
        <v>271</v>
      </c>
      <c r="B270" s="416"/>
      <c r="C270" s="416"/>
      <c r="D270" s="432"/>
      <c r="E270" s="437"/>
      <c r="F270" s="448" t="s">
        <v>3241</v>
      </c>
      <c r="G270" s="446"/>
      <c r="H270" s="446"/>
      <c r="I270" s="436" t="str">
        <f t="shared" si="10"/>
        <v/>
      </c>
      <c r="J270" s="439"/>
      <c r="K270" s="416" t="str">
        <f t="shared" si="11"/>
        <v/>
      </c>
      <c r="L270" s="416"/>
      <c r="M270" s="446"/>
    </row>
    <row r="271" spans="1:13">
      <c r="A271" s="416">
        <v>272</v>
      </c>
      <c r="B271" s="416"/>
      <c r="C271" s="416"/>
      <c r="D271" s="432"/>
      <c r="E271" s="437"/>
      <c r="F271" s="448" t="s">
        <v>3241</v>
      </c>
      <c r="G271" s="446"/>
      <c r="H271" s="446"/>
      <c r="I271" s="436" t="str">
        <f t="shared" si="10"/>
        <v/>
      </c>
      <c r="J271" s="439"/>
      <c r="K271" s="416" t="str">
        <f t="shared" si="11"/>
        <v/>
      </c>
      <c r="L271" s="416"/>
      <c r="M271" s="446"/>
    </row>
    <row r="272" spans="1:13">
      <c r="A272" s="416">
        <v>273</v>
      </c>
      <c r="B272" s="416"/>
      <c r="C272" s="416"/>
      <c r="D272" s="432"/>
      <c r="E272" s="437"/>
      <c r="F272" s="448" t="s">
        <v>3241</v>
      </c>
      <c r="G272" s="446"/>
      <c r="H272" s="446"/>
      <c r="I272" s="436" t="str">
        <f t="shared" si="10"/>
        <v/>
      </c>
      <c r="J272" s="439"/>
      <c r="K272" s="416" t="str">
        <f t="shared" si="11"/>
        <v/>
      </c>
      <c r="L272" s="416"/>
      <c r="M272" s="446"/>
    </row>
    <row r="273" spans="1:13">
      <c r="A273" s="416">
        <v>274</v>
      </c>
      <c r="B273" s="416"/>
      <c r="C273" s="416"/>
      <c r="D273" s="432"/>
      <c r="E273" s="437"/>
      <c r="F273" s="448" t="s">
        <v>3241</v>
      </c>
      <c r="G273" s="446"/>
      <c r="H273" s="446"/>
      <c r="I273" s="436" t="str">
        <f t="shared" si="10"/>
        <v/>
      </c>
      <c r="J273" s="439"/>
      <c r="K273" s="416" t="str">
        <f t="shared" si="11"/>
        <v/>
      </c>
      <c r="L273" s="416"/>
      <c r="M273" s="446"/>
    </row>
    <row r="274" spans="1:13">
      <c r="A274" s="416">
        <v>275</v>
      </c>
      <c r="B274" s="416"/>
      <c r="C274" s="416"/>
      <c r="D274" s="432"/>
      <c r="E274" s="437"/>
      <c r="F274" s="448" t="s">
        <v>3241</v>
      </c>
      <c r="G274" s="446"/>
      <c r="H274" s="446"/>
      <c r="I274" s="436" t="str">
        <f t="shared" si="10"/>
        <v/>
      </c>
      <c r="J274" s="439"/>
      <c r="K274" s="416" t="str">
        <f t="shared" si="11"/>
        <v/>
      </c>
      <c r="L274" s="416"/>
      <c r="M274" s="446"/>
    </row>
    <row r="275" spans="1:13">
      <c r="A275" s="416">
        <v>276</v>
      </c>
      <c r="B275" s="416"/>
      <c r="C275" s="416"/>
      <c r="D275" s="432"/>
      <c r="E275" s="437"/>
      <c r="F275" s="448" t="s">
        <v>3241</v>
      </c>
      <c r="G275" s="446"/>
      <c r="H275" s="446"/>
      <c r="I275" s="436" t="str">
        <f t="shared" si="10"/>
        <v/>
      </c>
      <c r="J275" s="439"/>
      <c r="K275" s="416" t="str">
        <f t="shared" si="11"/>
        <v/>
      </c>
      <c r="L275" s="416"/>
      <c r="M275" s="446"/>
    </row>
    <row r="276" spans="1:13">
      <c r="A276" s="416">
        <v>277</v>
      </c>
      <c r="B276" s="416"/>
      <c r="C276" s="416"/>
      <c r="D276" s="432"/>
      <c r="E276" s="437"/>
      <c r="F276" s="448" t="s">
        <v>3241</v>
      </c>
      <c r="G276" s="446"/>
      <c r="H276" s="446"/>
      <c r="I276" s="436" t="str">
        <f t="shared" si="10"/>
        <v/>
      </c>
      <c r="J276" s="439"/>
      <c r="K276" s="416" t="str">
        <f t="shared" si="11"/>
        <v/>
      </c>
      <c r="L276" s="416"/>
      <c r="M276" s="446"/>
    </row>
    <row r="277" spans="1:13">
      <c r="A277" s="416">
        <v>278</v>
      </c>
      <c r="B277" s="416"/>
      <c r="C277" s="416"/>
      <c r="D277" s="432"/>
      <c r="E277" s="437"/>
      <c r="F277" s="448" t="s">
        <v>3241</v>
      </c>
      <c r="G277" s="446"/>
      <c r="H277" s="446"/>
      <c r="I277" s="436" t="str">
        <f t="shared" si="10"/>
        <v/>
      </c>
      <c r="J277" s="439"/>
      <c r="K277" s="416" t="str">
        <f t="shared" si="11"/>
        <v/>
      </c>
      <c r="L277" s="416"/>
      <c r="M277" s="446"/>
    </row>
    <row r="278" spans="1:13">
      <c r="A278" s="416">
        <v>279</v>
      </c>
      <c r="B278" s="416"/>
      <c r="C278" s="416"/>
      <c r="D278" s="432"/>
      <c r="E278" s="437"/>
      <c r="F278" s="448" t="s">
        <v>3241</v>
      </c>
      <c r="G278" s="446"/>
      <c r="H278" s="446"/>
      <c r="I278" s="436" t="str">
        <f t="shared" si="10"/>
        <v/>
      </c>
      <c r="J278" s="439"/>
      <c r="K278" s="416" t="str">
        <f t="shared" si="11"/>
        <v/>
      </c>
      <c r="L278" s="416"/>
      <c r="M278" s="446"/>
    </row>
    <row r="279" spans="1:13">
      <c r="A279" s="416">
        <v>280</v>
      </c>
      <c r="B279" s="416"/>
      <c r="C279" s="416"/>
      <c r="D279" s="432"/>
      <c r="E279" s="437"/>
      <c r="F279" s="448" t="s">
        <v>3241</v>
      </c>
      <c r="G279" s="446"/>
      <c r="H279" s="446"/>
      <c r="I279" s="436" t="str">
        <f t="shared" si="10"/>
        <v/>
      </c>
      <c r="J279" s="439"/>
      <c r="K279" s="416" t="str">
        <f t="shared" si="11"/>
        <v/>
      </c>
      <c r="L279" s="416"/>
      <c r="M279" s="446"/>
    </row>
    <row r="280" spans="1:13">
      <c r="A280" s="416">
        <v>281</v>
      </c>
      <c r="B280" s="416"/>
      <c r="C280" s="416"/>
      <c r="D280" s="432"/>
      <c r="E280" s="437"/>
      <c r="F280" s="448" t="s">
        <v>3241</v>
      </c>
      <c r="G280" s="446"/>
      <c r="H280" s="446"/>
      <c r="I280" s="436" t="str">
        <f t="shared" si="10"/>
        <v/>
      </c>
      <c r="J280" s="439"/>
      <c r="K280" s="416" t="str">
        <f t="shared" si="11"/>
        <v/>
      </c>
      <c r="L280" s="416"/>
      <c r="M280" s="446"/>
    </row>
    <row r="281" spans="1:13">
      <c r="A281" s="416">
        <v>282</v>
      </c>
      <c r="B281" s="416"/>
      <c r="C281" s="416"/>
      <c r="D281" s="432"/>
      <c r="E281" s="437"/>
      <c r="F281" s="448" t="s">
        <v>3241</v>
      </c>
      <c r="G281" s="446"/>
      <c r="H281" s="446"/>
      <c r="I281" s="436" t="str">
        <f t="shared" si="10"/>
        <v/>
      </c>
      <c r="J281" s="439"/>
      <c r="K281" s="416" t="str">
        <f t="shared" si="11"/>
        <v/>
      </c>
      <c r="L281" s="416"/>
      <c r="M281" s="446"/>
    </row>
    <row r="282" spans="1:13">
      <c r="A282" s="416">
        <v>283</v>
      </c>
      <c r="B282" s="416"/>
      <c r="C282" s="416"/>
      <c r="D282" s="432"/>
      <c r="E282" s="437"/>
      <c r="F282" s="448" t="s">
        <v>3241</v>
      </c>
      <c r="G282" s="446"/>
      <c r="H282" s="446"/>
      <c r="I282" s="436" t="str">
        <f t="shared" si="10"/>
        <v/>
      </c>
      <c r="J282" s="439"/>
      <c r="K282" s="416" t="str">
        <f t="shared" si="11"/>
        <v/>
      </c>
      <c r="L282" s="416"/>
      <c r="M282" s="446"/>
    </row>
    <row r="283" spans="1:13">
      <c r="A283" s="416">
        <v>284</v>
      </c>
      <c r="B283" s="416"/>
      <c r="C283" s="416"/>
      <c r="D283" s="432"/>
      <c r="E283" s="437"/>
      <c r="F283" s="448" t="s">
        <v>3241</v>
      </c>
      <c r="G283" s="446"/>
      <c r="H283" s="446"/>
      <c r="I283" s="436" t="str">
        <f t="shared" si="10"/>
        <v/>
      </c>
      <c r="J283" s="439"/>
      <c r="K283" s="416" t="str">
        <f t="shared" si="11"/>
        <v/>
      </c>
      <c r="L283" s="416"/>
      <c r="M283" s="446"/>
    </row>
    <row r="284" spans="1:13">
      <c r="A284" s="416">
        <v>285</v>
      </c>
      <c r="B284" s="416"/>
      <c r="C284" s="416"/>
      <c r="D284" s="432"/>
      <c r="E284" s="437"/>
      <c r="F284" s="448" t="s">
        <v>3241</v>
      </c>
      <c r="G284" s="446"/>
      <c r="H284" s="446"/>
      <c r="I284" s="436" t="str">
        <f t="shared" si="10"/>
        <v/>
      </c>
      <c r="J284" s="439"/>
      <c r="K284" s="416" t="str">
        <f t="shared" si="11"/>
        <v/>
      </c>
      <c r="L284" s="416"/>
      <c r="M284" s="446"/>
    </row>
    <row r="285" spans="1:13">
      <c r="A285" s="416">
        <v>286</v>
      </c>
      <c r="B285" s="416"/>
      <c r="C285" s="416"/>
      <c r="D285" s="432"/>
      <c r="E285" s="437"/>
      <c r="F285" s="448" t="s">
        <v>3241</v>
      </c>
      <c r="G285" s="446"/>
      <c r="H285" s="446"/>
      <c r="I285" s="436" t="str">
        <f t="shared" si="10"/>
        <v/>
      </c>
      <c r="J285" s="439"/>
      <c r="K285" s="416" t="str">
        <f t="shared" si="11"/>
        <v/>
      </c>
      <c r="L285" s="416"/>
      <c r="M285" s="446"/>
    </row>
    <row r="286" spans="1:13">
      <c r="A286" s="416">
        <v>287</v>
      </c>
      <c r="B286" s="416"/>
      <c r="C286" s="416"/>
      <c r="D286" s="432"/>
      <c r="E286" s="437"/>
      <c r="F286" s="448" t="s">
        <v>3241</v>
      </c>
      <c r="G286" s="446"/>
      <c r="H286" s="446"/>
      <c r="I286" s="436" t="str">
        <f t="shared" si="10"/>
        <v/>
      </c>
      <c r="J286" s="439"/>
      <c r="K286" s="416" t="str">
        <f t="shared" si="11"/>
        <v/>
      </c>
      <c r="L286" s="416"/>
      <c r="M286" s="446"/>
    </row>
    <row r="287" spans="1:13">
      <c r="A287" s="416">
        <v>288</v>
      </c>
      <c r="B287" s="416"/>
      <c r="C287" s="416"/>
      <c r="D287" s="432"/>
      <c r="E287" s="437"/>
      <c r="F287" s="448" t="s">
        <v>3241</v>
      </c>
      <c r="G287" s="446"/>
      <c r="H287" s="446"/>
      <c r="I287" s="436" t="str">
        <f t="shared" si="10"/>
        <v/>
      </c>
      <c r="J287" s="439"/>
      <c r="K287" s="416" t="str">
        <f t="shared" si="11"/>
        <v/>
      </c>
      <c r="L287" s="416"/>
      <c r="M287" s="446"/>
    </row>
    <row r="288" spans="1:13">
      <c r="A288" s="416">
        <v>289</v>
      </c>
      <c r="B288" s="416"/>
      <c r="C288" s="416"/>
      <c r="D288" s="432"/>
      <c r="E288" s="437"/>
      <c r="F288" s="448" t="s">
        <v>3241</v>
      </c>
      <c r="G288" s="446"/>
      <c r="H288" s="446"/>
      <c r="I288" s="436" t="str">
        <f t="shared" si="10"/>
        <v/>
      </c>
      <c r="J288" s="439"/>
      <c r="K288" s="416" t="str">
        <f t="shared" si="11"/>
        <v/>
      </c>
      <c r="L288" s="416"/>
      <c r="M288" s="446"/>
    </row>
    <row r="289" spans="1:13">
      <c r="A289" s="416">
        <v>290</v>
      </c>
      <c r="B289" s="416"/>
      <c r="C289" s="416"/>
      <c r="D289" s="432"/>
      <c r="E289" s="437"/>
      <c r="F289" s="448" t="s">
        <v>3241</v>
      </c>
      <c r="G289" s="446"/>
      <c r="H289" s="446"/>
      <c r="I289" s="436" t="str">
        <f t="shared" si="10"/>
        <v/>
      </c>
      <c r="J289" s="439"/>
      <c r="K289" s="416" t="str">
        <f t="shared" si="11"/>
        <v/>
      </c>
      <c r="L289" s="416"/>
      <c r="M289" s="446"/>
    </row>
    <row r="290" spans="1:13">
      <c r="A290" s="416">
        <v>291</v>
      </c>
      <c r="B290" s="416"/>
      <c r="C290" s="416"/>
      <c r="D290" s="432"/>
      <c r="E290" s="437"/>
      <c r="F290" s="448" t="s">
        <v>3241</v>
      </c>
      <c r="G290" s="446"/>
      <c r="H290" s="446"/>
      <c r="I290" s="436" t="str">
        <f t="shared" si="10"/>
        <v/>
      </c>
      <c r="J290" s="439"/>
      <c r="K290" s="416" t="str">
        <f t="shared" si="11"/>
        <v/>
      </c>
      <c r="L290" s="416"/>
      <c r="M290" s="446"/>
    </row>
    <row r="291" spans="1:13">
      <c r="A291" s="416">
        <v>292</v>
      </c>
      <c r="B291" s="416"/>
      <c r="C291" s="416"/>
      <c r="D291" s="432"/>
      <c r="E291" s="437"/>
      <c r="F291" s="448" t="s">
        <v>3241</v>
      </c>
      <c r="G291" s="446"/>
      <c r="H291" s="446"/>
      <c r="I291" s="436" t="str">
        <f t="shared" si="10"/>
        <v/>
      </c>
      <c r="J291" s="439"/>
      <c r="K291" s="416" t="str">
        <f t="shared" si="11"/>
        <v/>
      </c>
      <c r="L291" s="416"/>
      <c r="M291" s="446"/>
    </row>
    <row r="292" spans="1:13">
      <c r="A292" s="416">
        <v>293</v>
      </c>
      <c r="B292" s="416"/>
      <c r="C292" s="416"/>
      <c r="D292" s="432"/>
      <c r="E292" s="437"/>
      <c r="F292" s="448" t="s">
        <v>3241</v>
      </c>
      <c r="G292" s="446"/>
      <c r="H292" s="446"/>
      <c r="I292" s="436" t="str">
        <f t="shared" si="10"/>
        <v/>
      </c>
      <c r="J292" s="439"/>
      <c r="K292" s="416" t="str">
        <f t="shared" si="11"/>
        <v/>
      </c>
      <c r="L292" s="416"/>
      <c r="M292" s="446"/>
    </row>
    <row r="293" spans="1:13">
      <c r="A293" s="416">
        <v>294</v>
      </c>
      <c r="B293" s="416"/>
      <c r="C293" s="416"/>
      <c r="D293" s="432"/>
      <c r="E293" s="437"/>
      <c r="F293" s="448" t="s">
        <v>3241</v>
      </c>
      <c r="G293" s="446"/>
      <c r="H293" s="446"/>
      <c r="I293" s="436" t="str">
        <f t="shared" si="10"/>
        <v/>
      </c>
      <c r="J293" s="439"/>
      <c r="K293" s="416" t="str">
        <f t="shared" si="11"/>
        <v/>
      </c>
      <c r="L293" s="416"/>
      <c r="M293" s="446"/>
    </row>
    <row r="294" spans="1:13">
      <c r="A294" s="416">
        <v>295</v>
      </c>
      <c r="B294" s="416"/>
      <c r="C294" s="416"/>
      <c r="D294" s="432"/>
      <c r="E294" s="437"/>
      <c r="F294" s="448" t="s">
        <v>3241</v>
      </c>
      <c r="G294" s="446"/>
      <c r="H294" s="446"/>
      <c r="I294" s="436" t="str">
        <f t="shared" si="10"/>
        <v/>
      </c>
      <c r="J294" s="439"/>
      <c r="K294" s="416" t="str">
        <f t="shared" si="11"/>
        <v/>
      </c>
      <c r="L294" s="416"/>
      <c r="M294" s="446"/>
    </row>
    <row r="295" spans="1:13">
      <c r="A295" s="416">
        <v>296</v>
      </c>
      <c r="B295" s="416"/>
      <c r="C295" s="416"/>
      <c r="D295" s="432"/>
      <c r="E295" s="437"/>
      <c r="F295" s="448" t="s">
        <v>3241</v>
      </c>
      <c r="G295" s="446"/>
      <c r="H295" s="446"/>
      <c r="I295" s="436" t="str">
        <f t="shared" si="10"/>
        <v/>
      </c>
      <c r="J295" s="439"/>
      <c r="K295" s="416" t="str">
        <f t="shared" si="11"/>
        <v/>
      </c>
      <c r="L295" s="416"/>
      <c r="M295" s="446"/>
    </row>
    <row r="296" spans="1:13">
      <c r="A296" s="416">
        <v>297</v>
      </c>
      <c r="B296" s="416"/>
      <c r="C296" s="416"/>
      <c r="D296" s="432"/>
      <c r="E296" s="437"/>
      <c r="F296" s="448" t="s">
        <v>3241</v>
      </c>
      <c r="G296" s="446"/>
      <c r="H296" s="446"/>
      <c r="I296" s="436" t="str">
        <f t="shared" si="10"/>
        <v/>
      </c>
      <c r="J296" s="439"/>
      <c r="K296" s="416" t="str">
        <f t="shared" si="11"/>
        <v/>
      </c>
      <c r="L296" s="416"/>
      <c r="M296" s="446"/>
    </row>
    <row r="297" spans="1:13">
      <c r="A297" s="416">
        <v>298</v>
      </c>
      <c r="B297" s="416"/>
      <c r="C297" s="416"/>
      <c r="D297" s="432"/>
      <c r="E297" s="437"/>
      <c r="F297" s="448" t="s">
        <v>3241</v>
      </c>
      <c r="G297" s="446"/>
      <c r="H297" s="446"/>
      <c r="I297" s="436" t="str">
        <f t="shared" si="10"/>
        <v/>
      </c>
      <c r="J297" s="439"/>
      <c r="K297" s="416" t="str">
        <f t="shared" si="11"/>
        <v/>
      </c>
      <c r="L297" s="416"/>
      <c r="M297" s="446"/>
    </row>
    <row r="298" spans="1:13">
      <c r="A298" s="416">
        <v>299</v>
      </c>
      <c r="B298" s="416"/>
      <c r="C298" s="416"/>
      <c r="D298" s="432"/>
      <c r="E298" s="437"/>
      <c r="F298" s="448" t="s">
        <v>3241</v>
      </c>
      <c r="G298" s="446"/>
      <c r="H298" s="446"/>
      <c r="I298" s="436" t="str">
        <f t="shared" si="10"/>
        <v/>
      </c>
      <c r="J298" s="439"/>
      <c r="K298" s="416" t="str">
        <f t="shared" si="11"/>
        <v/>
      </c>
      <c r="L298" s="416"/>
      <c r="M298" s="446"/>
    </row>
    <row r="299" spans="1:13">
      <c r="A299" s="416">
        <v>300</v>
      </c>
      <c r="B299" s="416"/>
      <c r="C299" s="416"/>
      <c r="D299" s="432"/>
      <c r="E299" s="437"/>
      <c r="F299" s="448" t="s">
        <v>3241</v>
      </c>
      <c r="G299" s="446"/>
      <c r="H299" s="446"/>
      <c r="I299" s="436" t="str">
        <f t="shared" si="10"/>
        <v/>
      </c>
      <c r="J299" s="439"/>
      <c r="K299" s="416" t="str">
        <f t="shared" si="11"/>
        <v/>
      </c>
      <c r="L299" s="416"/>
      <c r="M299" s="446"/>
    </row>
    <row r="300" spans="1:13">
      <c r="A300" s="416">
        <v>301</v>
      </c>
      <c r="B300" s="416"/>
      <c r="C300" s="416"/>
      <c r="D300" s="432"/>
      <c r="E300" s="437"/>
      <c r="F300" s="448" t="s">
        <v>3241</v>
      </c>
      <c r="G300" s="446"/>
      <c r="H300" s="446"/>
      <c r="I300" s="436" t="str">
        <f t="shared" si="10"/>
        <v/>
      </c>
      <c r="J300" s="439"/>
      <c r="K300" s="416" t="str">
        <f t="shared" si="11"/>
        <v/>
      </c>
      <c r="L300" s="416"/>
      <c r="M300" s="446"/>
    </row>
    <row r="301" spans="1:13">
      <c r="A301" s="416">
        <v>302</v>
      </c>
      <c r="B301" s="416"/>
      <c r="C301" s="416"/>
      <c r="D301" s="432"/>
      <c r="E301" s="437"/>
      <c r="F301" s="448" t="s">
        <v>3241</v>
      </c>
      <c r="G301" s="446"/>
      <c r="H301" s="446"/>
      <c r="I301" s="436" t="str">
        <f t="shared" si="10"/>
        <v/>
      </c>
      <c r="J301" s="439"/>
      <c r="K301" s="416" t="str">
        <f t="shared" si="11"/>
        <v/>
      </c>
      <c r="L301" s="416"/>
      <c r="M301" s="446"/>
    </row>
    <row r="302" spans="1:13">
      <c r="A302" s="416">
        <v>303</v>
      </c>
      <c r="B302" s="416"/>
      <c r="C302" s="416"/>
      <c r="D302" s="432"/>
      <c r="E302" s="437"/>
      <c r="F302" s="448" t="s">
        <v>3241</v>
      </c>
      <c r="G302" s="446"/>
      <c r="H302" s="446"/>
      <c r="I302" s="436" t="str">
        <f t="shared" si="10"/>
        <v/>
      </c>
      <c r="J302" s="439"/>
      <c r="K302" s="416" t="str">
        <f t="shared" si="11"/>
        <v/>
      </c>
      <c r="L302" s="416"/>
      <c r="M302" s="446"/>
    </row>
    <row r="303" spans="1:13">
      <c r="A303" s="416">
        <v>304</v>
      </c>
      <c r="B303" s="416"/>
      <c r="C303" s="416"/>
      <c r="D303" s="432"/>
      <c r="E303" s="437"/>
      <c r="F303" s="448" t="s">
        <v>3241</v>
      </c>
      <c r="G303" s="446"/>
      <c r="H303" s="446"/>
      <c r="I303" s="436" t="str">
        <f t="shared" si="10"/>
        <v/>
      </c>
      <c r="J303" s="439"/>
      <c r="K303" s="416" t="str">
        <f t="shared" si="11"/>
        <v/>
      </c>
      <c r="L303" s="416"/>
      <c r="M303" s="446"/>
    </row>
    <row r="304" spans="1:13">
      <c r="A304" s="416">
        <v>305</v>
      </c>
      <c r="B304" s="416"/>
      <c r="C304" s="416"/>
      <c r="D304" s="432"/>
      <c r="E304" s="437"/>
      <c r="F304" s="448" t="s">
        <v>3241</v>
      </c>
      <c r="G304" s="446"/>
      <c r="H304" s="446"/>
      <c r="I304" s="436" t="str">
        <f t="shared" si="10"/>
        <v/>
      </c>
      <c r="J304" s="439"/>
      <c r="K304" s="416" t="str">
        <f t="shared" si="11"/>
        <v/>
      </c>
      <c r="L304" s="416"/>
      <c r="M304" s="446"/>
    </row>
    <row r="305" spans="1:13">
      <c r="A305" s="416">
        <v>306</v>
      </c>
      <c r="B305" s="416"/>
      <c r="C305" s="416"/>
      <c r="D305" s="432"/>
      <c r="E305" s="437"/>
      <c r="F305" s="448" t="s">
        <v>3241</v>
      </c>
      <c r="G305" s="446"/>
      <c r="H305" s="446"/>
      <c r="I305" s="436" t="str">
        <f t="shared" si="10"/>
        <v/>
      </c>
      <c r="J305" s="439"/>
      <c r="K305" s="416" t="str">
        <f t="shared" si="11"/>
        <v/>
      </c>
      <c r="L305" s="416"/>
      <c r="M305" s="446"/>
    </row>
    <row r="306" spans="1:13">
      <c r="A306" s="416">
        <v>307</v>
      </c>
      <c r="B306" s="416"/>
      <c r="C306" s="416"/>
      <c r="D306" s="432"/>
      <c r="E306" s="437"/>
      <c r="F306" s="448" t="s">
        <v>3241</v>
      </c>
      <c r="G306" s="446"/>
      <c r="H306" s="446"/>
      <c r="I306" s="436" t="str">
        <f t="shared" si="10"/>
        <v/>
      </c>
      <c r="J306" s="439"/>
      <c r="K306" s="416" t="str">
        <f t="shared" si="11"/>
        <v/>
      </c>
      <c r="L306" s="416"/>
      <c r="M306" s="446"/>
    </row>
    <row r="307" spans="1:13">
      <c r="A307" s="416">
        <v>308</v>
      </c>
      <c r="B307" s="416"/>
      <c r="C307" s="416"/>
      <c r="D307" s="432"/>
      <c r="E307" s="437"/>
      <c r="F307" s="448" t="s">
        <v>3241</v>
      </c>
      <c r="G307" s="446"/>
      <c r="H307" s="446"/>
      <c r="I307" s="436" t="str">
        <f t="shared" si="10"/>
        <v/>
      </c>
      <c r="J307" s="439"/>
      <c r="K307" s="416" t="str">
        <f t="shared" si="11"/>
        <v/>
      </c>
      <c r="L307" s="416"/>
      <c r="M307" s="446"/>
    </row>
    <row r="308" spans="1:13">
      <c r="A308" s="416">
        <v>309</v>
      </c>
      <c r="B308" s="416"/>
      <c r="C308" s="416"/>
      <c r="D308" s="432"/>
      <c r="E308" s="437"/>
      <c r="F308" s="448" t="s">
        <v>3241</v>
      </c>
      <c r="G308" s="446"/>
      <c r="H308" s="446"/>
      <c r="I308" s="436" t="str">
        <f t="shared" si="10"/>
        <v/>
      </c>
      <c r="J308" s="439"/>
      <c r="K308" s="416" t="str">
        <f t="shared" si="11"/>
        <v/>
      </c>
      <c r="L308" s="416"/>
      <c r="M308" s="446"/>
    </row>
    <row r="309" spans="1:13">
      <c r="A309" s="416">
        <v>310</v>
      </c>
      <c r="B309" s="416"/>
      <c r="C309" s="416"/>
      <c r="D309" s="432"/>
      <c r="E309" s="437"/>
      <c r="F309" s="448" t="s">
        <v>3241</v>
      </c>
      <c r="G309" s="446"/>
      <c r="H309" s="446"/>
      <c r="I309" s="436" t="str">
        <f t="shared" si="10"/>
        <v/>
      </c>
      <c r="J309" s="439"/>
      <c r="K309" s="416" t="str">
        <f t="shared" si="11"/>
        <v/>
      </c>
      <c r="L309" s="416"/>
      <c r="M309" s="446"/>
    </row>
    <row r="310" spans="1:13">
      <c r="A310" s="416">
        <v>311</v>
      </c>
      <c r="B310" s="416"/>
      <c r="C310" s="416"/>
      <c r="D310" s="432"/>
      <c r="E310" s="437"/>
      <c r="F310" s="448" t="s">
        <v>3241</v>
      </c>
      <c r="G310" s="446"/>
      <c r="H310" s="446"/>
      <c r="I310" s="436" t="str">
        <f t="shared" si="10"/>
        <v/>
      </c>
      <c r="J310" s="439"/>
      <c r="K310" s="416" t="str">
        <f t="shared" si="11"/>
        <v/>
      </c>
      <c r="L310" s="416"/>
      <c r="M310" s="446"/>
    </row>
    <row r="311" spans="1:13">
      <c r="A311" s="416">
        <v>312</v>
      </c>
      <c r="B311" s="416"/>
      <c r="C311" s="416"/>
      <c r="D311" s="432"/>
      <c r="E311" s="437"/>
      <c r="F311" s="448" t="s">
        <v>3241</v>
      </c>
      <c r="G311" s="446"/>
      <c r="H311" s="446"/>
      <c r="I311" s="436" t="str">
        <f t="shared" si="10"/>
        <v/>
      </c>
      <c r="J311" s="439"/>
      <c r="K311" s="416" t="str">
        <f t="shared" si="11"/>
        <v/>
      </c>
      <c r="L311" s="416"/>
      <c r="M311" s="446"/>
    </row>
    <row r="312" spans="1:13">
      <c r="A312" s="416">
        <v>313</v>
      </c>
      <c r="B312" s="416"/>
      <c r="C312" s="416"/>
      <c r="D312" s="432"/>
      <c r="E312" s="437"/>
      <c r="F312" s="448" t="s">
        <v>3241</v>
      </c>
      <c r="G312" s="446"/>
      <c r="H312" s="446"/>
      <c r="I312" s="436" t="str">
        <f t="shared" si="10"/>
        <v/>
      </c>
      <c r="J312" s="439"/>
      <c r="K312" s="416" t="str">
        <f t="shared" si="11"/>
        <v/>
      </c>
      <c r="L312" s="416"/>
      <c r="M312" s="446"/>
    </row>
    <row r="313" spans="1:13">
      <c r="A313" s="416">
        <v>314</v>
      </c>
      <c r="B313" s="416"/>
      <c r="C313" s="416"/>
      <c r="D313" s="432"/>
      <c r="E313" s="437"/>
      <c r="F313" s="448" t="s">
        <v>3241</v>
      </c>
      <c r="G313" s="446"/>
      <c r="H313" s="446"/>
      <c r="I313" s="436" t="str">
        <f t="shared" si="10"/>
        <v/>
      </c>
      <c r="J313" s="439"/>
      <c r="K313" s="416" t="str">
        <f t="shared" si="11"/>
        <v/>
      </c>
      <c r="L313" s="416"/>
      <c r="M313" s="446"/>
    </row>
    <row r="314" spans="1:13">
      <c r="A314" s="416">
        <v>315</v>
      </c>
      <c r="B314" s="416"/>
      <c r="C314" s="416"/>
      <c r="D314" s="432"/>
      <c r="E314" s="437"/>
      <c r="F314" s="448" t="s">
        <v>3241</v>
      </c>
      <c r="G314" s="446"/>
      <c r="H314" s="446"/>
      <c r="I314" s="436" t="str">
        <f t="shared" si="10"/>
        <v/>
      </c>
      <c r="J314" s="439"/>
      <c r="K314" s="416" t="str">
        <f t="shared" si="11"/>
        <v/>
      </c>
      <c r="L314" s="416"/>
      <c r="M314" s="446"/>
    </row>
    <row r="315" spans="1:13">
      <c r="A315" s="416">
        <v>316</v>
      </c>
      <c r="B315" s="416"/>
      <c r="C315" s="416"/>
      <c r="D315" s="432"/>
      <c r="E315" s="437"/>
      <c r="F315" s="448" t="s">
        <v>3241</v>
      </c>
      <c r="G315" s="446"/>
      <c r="H315" s="446"/>
      <c r="I315" s="436" t="str">
        <f t="shared" si="10"/>
        <v/>
      </c>
      <c r="J315" s="439"/>
      <c r="K315" s="416" t="str">
        <f t="shared" si="11"/>
        <v/>
      </c>
      <c r="L315" s="416"/>
      <c r="M315" s="446"/>
    </row>
    <row r="316" spans="1:13">
      <c r="A316" s="416">
        <v>317</v>
      </c>
      <c r="B316" s="416"/>
      <c r="C316" s="416"/>
      <c r="D316" s="432"/>
      <c r="E316" s="437"/>
      <c r="F316" s="448" t="s">
        <v>3241</v>
      </c>
      <c r="G316" s="446"/>
      <c r="H316" s="446"/>
      <c r="I316" s="436" t="str">
        <f t="shared" si="10"/>
        <v/>
      </c>
      <c r="J316" s="439"/>
      <c r="K316" s="416" t="str">
        <f t="shared" si="11"/>
        <v/>
      </c>
      <c r="L316" s="416"/>
      <c r="M316" s="446"/>
    </row>
    <row r="317" spans="1:13">
      <c r="A317" s="416">
        <v>318</v>
      </c>
      <c r="B317" s="416"/>
      <c r="C317" s="416"/>
      <c r="D317" s="432"/>
      <c r="E317" s="437"/>
      <c r="F317" s="448" t="s">
        <v>3241</v>
      </c>
      <c r="G317" s="446"/>
      <c r="H317" s="446"/>
      <c r="I317" s="436" t="str">
        <f t="shared" ref="I317:I380" si="12">IF(G317="","",ROUND(H317/G317,2))</f>
        <v/>
      </c>
      <c r="J317" s="439"/>
      <c r="K317" s="416" t="str">
        <f t="shared" si="11"/>
        <v/>
      </c>
      <c r="L317" s="416"/>
      <c r="M317" s="446"/>
    </row>
    <row r="318" spans="1:13">
      <c r="A318" s="416">
        <v>319</v>
      </c>
      <c r="B318" s="416"/>
      <c r="C318" s="416"/>
      <c r="D318" s="432"/>
      <c r="E318" s="437"/>
      <c r="F318" s="448" t="s">
        <v>3241</v>
      </c>
      <c r="G318" s="446"/>
      <c r="H318" s="446"/>
      <c r="I318" s="436" t="str">
        <f t="shared" si="12"/>
        <v/>
      </c>
      <c r="J318" s="439"/>
      <c r="K318" s="416" t="str">
        <f t="shared" si="11"/>
        <v/>
      </c>
      <c r="L318" s="416"/>
      <c r="M318" s="446"/>
    </row>
    <row r="319" spans="1:13">
      <c r="A319" s="416">
        <v>320</v>
      </c>
      <c r="B319" s="416"/>
      <c r="C319" s="416"/>
      <c r="D319" s="432"/>
      <c r="E319" s="437"/>
      <c r="F319" s="448" t="s">
        <v>3241</v>
      </c>
      <c r="G319" s="446"/>
      <c r="H319" s="446"/>
      <c r="I319" s="436" t="str">
        <f t="shared" si="12"/>
        <v/>
      </c>
      <c r="J319" s="439"/>
      <c r="K319" s="416" t="str">
        <f t="shared" si="11"/>
        <v/>
      </c>
      <c r="L319" s="416"/>
      <c r="M319" s="446"/>
    </row>
    <row r="320" spans="1:13">
      <c r="A320" s="416">
        <v>321</v>
      </c>
      <c r="B320" s="416"/>
      <c r="C320" s="416"/>
      <c r="D320" s="432"/>
      <c r="E320" s="437"/>
      <c r="F320" s="448" t="s">
        <v>3241</v>
      </c>
      <c r="G320" s="446"/>
      <c r="H320" s="446"/>
      <c r="I320" s="436" t="str">
        <f t="shared" si="12"/>
        <v/>
      </c>
      <c r="J320" s="439"/>
      <c r="K320" s="416" t="str">
        <f t="shared" ref="K320:K383" si="13">IF(J320="USD",USD,IF(J320="EUR",EUR,""))</f>
        <v/>
      </c>
      <c r="L320" s="416"/>
      <c r="M320" s="446"/>
    </row>
    <row r="321" spans="1:13">
      <c r="A321" s="416">
        <v>322</v>
      </c>
      <c r="B321" s="416"/>
      <c r="C321" s="416"/>
      <c r="D321" s="432"/>
      <c r="E321" s="437"/>
      <c r="F321" s="448" t="s">
        <v>3241</v>
      </c>
      <c r="G321" s="446"/>
      <c r="H321" s="446"/>
      <c r="I321" s="436" t="str">
        <f t="shared" si="12"/>
        <v/>
      </c>
      <c r="J321" s="439"/>
      <c r="K321" s="416" t="str">
        <f t="shared" si="13"/>
        <v/>
      </c>
      <c r="L321" s="416"/>
      <c r="M321" s="446"/>
    </row>
    <row r="322" spans="1:13">
      <c r="A322" s="416">
        <v>323</v>
      </c>
      <c r="B322" s="416"/>
      <c r="C322" s="416"/>
      <c r="D322" s="432"/>
      <c r="E322" s="437"/>
      <c r="F322" s="448" t="s">
        <v>3241</v>
      </c>
      <c r="G322" s="446"/>
      <c r="H322" s="446"/>
      <c r="I322" s="436" t="str">
        <f t="shared" si="12"/>
        <v/>
      </c>
      <c r="J322" s="439"/>
      <c r="K322" s="416" t="str">
        <f t="shared" si="13"/>
        <v/>
      </c>
      <c r="L322" s="416"/>
      <c r="M322" s="446"/>
    </row>
    <row r="323" spans="1:13">
      <c r="A323" s="416">
        <v>324</v>
      </c>
      <c r="B323" s="416"/>
      <c r="C323" s="416"/>
      <c r="D323" s="432"/>
      <c r="E323" s="437"/>
      <c r="F323" s="448" t="s">
        <v>3241</v>
      </c>
      <c r="G323" s="446"/>
      <c r="H323" s="446"/>
      <c r="I323" s="436" t="str">
        <f t="shared" si="12"/>
        <v/>
      </c>
      <c r="J323" s="439"/>
      <c r="K323" s="416" t="str">
        <f t="shared" si="13"/>
        <v/>
      </c>
      <c r="L323" s="416"/>
      <c r="M323" s="446"/>
    </row>
    <row r="324" spans="1:13">
      <c r="A324" s="416">
        <v>325</v>
      </c>
      <c r="B324" s="416"/>
      <c r="C324" s="416"/>
      <c r="D324" s="432"/>
      <c r="E324" s="437"/>
      <c r="F324" s="448" t="s">
        <v>3241</v>
      </c>
      <c r="G324" s="446"/>
      <c r="H324" s="446"/>
      <c r="I324" s="436" t="str">
        <f t="shared" si="12"/>
        <v/>
      </c>
      <c r="J324" s="439"/>
      <c r="K324" s="416" t="str">
        <f t="shared" si="13"/>
        <v/>
      </c>
      <c r="L324" s="416"/>
      <c r="M324" s="446"/>
    </row>
    <row r="325" spans="1:13">
      <c r="A325" s="416">
        <v>326</v>
      </c>
      <c r="B325" s="416"/>
      <c r="C325" s="416"/>
      <c r="D325" s="432"/>
      <c r="E325" s="437"/>
      <c r="F325" s="448" t="s">
        <v>3241</v>
      </c>
      <c r="G325" s="446"/>
      <c r="H325" s="446"/>
      <c r="I325" s="436" t="str">
        <f t="shared" si="12"/>
        <v/>
      </c>
      <c r="J325" s="439"/>
      <c r="K325" s="416" t="str">
        <f t="shared" si="13"/>
        <v/>
      </c>
      <c r="L325" s="416"/>
      <c r="M325" s="446"/>
    </row>
    <row r="326" spans="1:13">
      <c r="A326" s="416">
        <v>327</v>
      </c>
      <c r="B326" s="416"/>
      <c r="C326" s="416"/>
      <c r="D326" s="432"/>
      <c r="E326" s="437"/>
      <c r="F326" s="448" t="s">
        <v>3241</v>
      </c>
      <c r="G326" s="446"/>
      <c r="H326" s="446"/>
      <c r="I326" s="436" t="str">
        <f t="shared" si="12"/>
        <v/>
      </c>
      <c r="J326" s="439"/>
      <c r="K326" s="416" t="str">
        <f t="shared" si="13"/>
        <v/>
      </c>
      <c r="L326" s="416"/>
      <c r="M326" s="446"/>
    </row>
    <row r="327" spans="1:13">
      <c r="A327" s="416">
        <v>328</v>
      </c>
      <c r="B327" s="416"/>
      <c r="C327" s="416"/>
      <c r="D327" s="432"/>
      <c r="E327" s="437"/>
      <c r="F327" s="448" t="s">
        <v>3241</v>
      </c>
      <c r="G327" s="446"/>
      <c r="H327" s="446"/>
      <c r="I327" s="436" t="str">
        <f t="shared" si="12"/>
        <v/>
      </c>
      <c r="J327" s="439"/>
      <c r="K327" s="416" t="str">
        <f t="shared" si="13"/>
        <v/>
      </c>
      <c r="L327" s="416"/>
      <c r="M327" s="446"/>
    </row>
    <row r="328" spans="1:13">
      <c r="A328" s="416">
        <v>329</v>
      </c>
      <c r="B328" s="416"/>
      <c r="C328" s="416"/>
      <c r="D328" s="432"/>
      <c r="E328" s="437"/>
      <c r="F328" s="448" t="s">
        <v>3241</v>
      </c>
      <c r="G328" s="446"/>
      <c r="H328" s="446"/>
      <c r="I328" s="436" t="str">
        <f t="shared" si="12"/>
        <v/>
      </c>
      <c r="J328" s="439"/>
      <c r="K328" s="416" t="str">
        <f t="shared" si="13"/>
        <v/>
      </c>
      <c r="L328" s="416"/>
      <c r="M328" s="446"/>
    </row>
    <row r="329" spans="1:13">
      <c r="A329" s="416">
        <v>330</v>
      </c>
      <c r="B329" s="416"/>
      <c r="C329" s="416"/>
      <c r="D329" s="432"/>
      <c r="E329" s="437"/>
      <c r="F329" s="448" t="s">
        <v>3241</v>
      </c>
      <c r="G329" s="446"/>
      <c r="H329" s="446"/>
      <c r="I329" s="436" t="str">
        <f t="shared" si="12"/>
        <v/>
      </c>
      <c r="J329" s="439"/>
      <c r="K329" s="416" t="str">
        <f t="shared" si="13"/>
        <v/>
      </c>
      <c r="L329" s="416"/>
      <c r="M329" s="446"/>
    </row>
    <row r="330" spans="1:13">
      <c r="A330" s="416">
        <v>331</v>
      </c>
      <c r="B330" s="416"/>
      <c r="C330" s="416"/>
      <c r="D330" s="432"/>
      <c r="E330" s="437"/>
      <c r="F330" s="448" t="s">
        <v>3241</v>
      </c>
      <c r="G330" s="446"/>
      <c r="H330" s="446"/>
      <c r="I330" s="436" t="str">
        <f t="shared" si="12"/>
        <v/>
      </c>
      <c r="J330" s="439"/>
      <c r="K330" s="416" t="str">
        <f t="shared" si="13"/>
        <v/>
      </c>
      <c r="L330" s="416"/>
      <c r="M330" s="446"/>
    </row>
    <row r="331" spans="1:13">
      <c r="A331" s="416">
        <v>332</v>
      </c>
      <c r="B331" s="416"/>
      <c r="C331" s="416"/>
      <c r="D331" s="432"/>
      <c r="E331" s="437"/>
      <c r="F331" s="448" t="s">
        <v>3241</v>
      </c>
      <c r="G331" s="446"/>
      <c r="H331" s="446"/>
      <c r="I331" s="436" t="str">
        <f t="shared" si="12"/>
        <v/>
      </c>
      <c r="J331" s="439"/>
      <c r="K331" s="416" t="str">
        <f t="shared" si="13"/>
        <v/>
      </c>
      <c r="L331" s="416"/>
      <c r="M331" s="446"/>
    </row>
    <row r="332" spans="1:13">
      <c r="A332" s="416">
        <v>333</v>
      </c>
      <c r="B332" s="416"/>
      <c r="C332" s="416"/>
      <c r="D332" s="432"/>
      <c r="E332" s="437"/>
      <c r="F332" s="448" t="s">
        <v>3241</v>
      </c>
      <c r="G332" s="446"/>
      <c r="H332" s="446"/>
      <c r="I332" s="436" t="str">
        <f t="shared" si="12"/>
        <v/>
      </c>
      <c r="J332" s="439"/>
      <c r="K332" s="416" t="str">
        <f t="shared" si="13"/>
        <v/>
      </c>
      <c r="L332" s="416"/>
      <c r="M332" s="446"/>
    </row>
    <row r="333" spans="1:13">
      <c r="A333" s="416">
        <v>334</v>
      </c>
      <c r="B333" s="416"/>
      <c r="C333" s="416"/>
      <c r="D333" s="432"/>
      <c r="E333" s="437"/>
      <c r="F333" s="448" t="s">
        <v>3241</v>
      </c>
      <c r="G333" s="446"/>
      <c r="H333" s="446"/>
      <c r="I333" s="436" t="str">
        <f t="shared" si="12"/>
        <v/>
      </c>
      <c r="J333" s="439"/>
      <c r="K333" s="416" t="str">
        <f t="shared" si="13"/>
        <v/>
      </c>
      <c r="L333" s="416"/>
      <c r="M333" s="446"/>
    </row>
    <row r="334" spans="1:13">
      <c r="A334" s="416">
        <v>335</v>
      </c>
      <c r="B334" s="416"/>
      <c r="C334" s="416"/>
      <c r="D334" s="432"/>
      <c r="E334" s="437"/>
      <c r="F334" s="448" t="s">
        <v>3241</v>
      </c>
      <c r="G334" s="446"/>
      <c r="H334" s="446"/>
      <c r="I334" s="436" t="str">
        <f t="shared" si="12"/>
        <v/>
      </c>
      <c r="J334" s="439"/>
      <c r="K334" s="416" t="str">
        <f t="shared" si="13"/>
        <v/>
      </c>
      <c r="L334" s="416"/>
      <c r="M334" s="446"/>
    </row>
    <row r="335" spans="1:13">
      <c r="A335" s="416">
        <v>336</v>
      </c>
      <c r="B335" s="416"/>
      <c r="C335" s="416"/>
      <c r="D335" s="432"/>
      <c r="E335" s="437"/>
      <c r="F335" s="448" t="s">
        <v>3241</v>
      </c>
      <c r="G335" s="446"/>
      <c r="H335" s="446"/>
      <c r="I335" s="436" t="str">
        <f t="shared" si="12"/>
        <v/>
      </c>
      <c r="J335" s="439"/>
      <c r="K335" s="416" t="str">
        <f t="shared" si="13"/>
        <v/>
      </c>
      <c r="L335" s="416"/>
      <c r="M335" s="446"/>
    </row>
    <row r="336" spans="1:13">
      <c r="A336" s="416">
        <v>337</v>
      </c>
      <c r="B336" s="416"/>
      <c r="C336" s="416"/>
      <c r="D336" s="432"/>
      <c r="E336" s="437"/>
      <c r="F336" s="448" t="s">
        <v>3241</v>
      </c>
      <c r="G336" s="446"/>
      <c r="H336" s="446"/>
      <c r="I336" s="436" t="str">
        <f t="shared" si="12"/>
        <v/>
      </c>
      <c r="J336" s="439"/>
      <c r="K336" s="416" t="str">
        <f t="shared" si="13"/>
        <v/>
      </c>
      <c r="L336" s="416"/>
      <c r="M336" s="446"/>
    </row>
    <row r="337" spans="1:13">
      <c r="A337" s="416">
        <v>338</v>
      </c>
      <c r="B337" s="416"/>
      <c r="C337" s="416"/>
      <c r="D337" s="432"/>
      <c r="E337" s="437"/>
      <c r="F337" s="448" t="s">
        <v>3241</v>
      </c>
      <c r="G337" s="446"/>
      <c r="H337" s="446"/>
      <c r="I337" s="436" t="str">
        <f t="shared" si="12"/>
        <v/>
      </c>
      <c r="J337" s="439"/>
      <c r="K337" s="416" t="str">
        <f t="shared" si="13"/>
        <v/>
      </c>
      <c r="L337" s="416"/>
      <c r="M337" s="446"/>
    </row>
    <row r="338" spans="1:13">
      <c r="A338" s="416">
        <v>339</v>
      </c>
      <c r="B338" s="416"/>
      <c r="C338" s="416"/>
      <c r="D338" s="432"/>
      <c r="E338" s="437"/>
      <c r="F338" s="448" t="s">
        <v>3241</v>
      </c>
      <c r="G338" s="446"/>
      <c r="H338" s="446"/>
      <c r="I338" s="436" t="str">
        <f t="shared" si="12"/>
        <v/>
      </c>
      <c r="J338" s="439"/>
      <c r="K338" s="416" t="str">
        <f t="shared" si="13"/>
        <v/>
      </c>
      <c r="L338" s="416"/>
      <c r="M338" s="446"/>
    </row>
    <row r="339" spans="1:13">
      <c r="A339" s="416">
        <v>340</v>
      </c>
      <c r="B339" s="416"/>
      <c r="C339" s="416"/>
      <c r="D339" s="432"/>
      <c r="E339" s="437"/>
      <c r="F339" s="448" t="s">
        <v>3241</v>
      </c>
      <c r="G339" s="446"/>
      <c r="H339" s="446"/>
      <c r="I339" s="436" t="str">
        <f t="shared" si="12"/>
        <v/>
      </c>
      <c r="J339" s="439"/>
      <c r="K339" s="416" t="str">
        <f t="shared" si="13"/>
        <v/>
      </c>
      <c r="L339" s="416"/>
      <c r="M339" s="446"/>
    </row>
    <row r="340" spans="1:13">
      <c r="A340" s="416">
        <v>341</v>
      </c>
      <c r="B340" s="416"/>
      <c r="C340" s="416"/>
      <c r="D340" s="432"/>
      <c r="E340" s="437"/>
      <c r="F340" s="448" t="s">
        <v>3241</v>
      </c>
      <c r="G340" s="446"/>
      <c r="H340" s="446"/>
      <c r="I340" s="436" t="str">
        <f t="shared" si="12"/>
        <v/>
      </c>
      <c r="J340" s="439"/>
      <c r="K340" s="416" t="str">
        <f t="shared" si="13"/>
        <v/>
      </c>
      <c r="L340" s="416"/>
      <c r="M340" s="446"/>
    </row>
    <row r="341" spans="1:13">
      <c r="A341" s="416">
        <v>342</v>
      </c>
      <c r="B341" s="416"/>
      <c r="C341" s="416"/>
      <c r="D341" s="432"/>
      <c r="E341" s="437"/>
      <c r="F341" s="448" t="s">
        <v>3241</v>
      </c>
      <c r="G341" s="446"/>
      <c r="H341" s="446"/>
      <c r="I341" s="436" t="str">
        <f t="shared" si="12"/>
        <v/>
      </c>
      <c r="J341" s="439"/>
      <c r="K341" s="416" t="str">
        <f t="shared" si="13"/>
        <v/>
      </c>
      <c r="L341" s="416"/>
      <c r="M341" s="446"/>
    </row>
    <row r="342" spans="1:13">
      <c r="A342" s="416">
        <v>343</v>
      </c>
      <c r="B342" s="416"/>
      <c r="C342" s="416"/>
      <c r="D342" s="432"/>
      <c r="E342" s="437"/>
      <c r="F342" s="448" t="s">
        <v>3241</v>
      </c>
      <c r="G342" s="446"/>
      <c r="H342" s="446"/>
      <c r="I342" s="436" t="str">
        <f t="shared" si="12"/>
        <v/>
      </c>
      <c r="J342" s="439"/>
      <c r="K342" s="416" t="str">
        <f t="shared" si="13"/>
        <v/>
      </c>
      <c r="L342" s="416"/>
      <c r="M342" s="446"/>
    </row>
    <row r="343" spans="1:13">
      <c r="A343" s="416">
        <v>344</v>
      </c>
      <c r="B343" s="416"/>
      <c r="C343" s="416"/>
      <c r="D343" s="432"/>
      <c r="E343" s="437"/>
      <c r="F343" s="448" t="s">
        <v>3241</v>
      </c>
      <c r="G343" s="446"/>
      <c r="H343" s="446"/>
      <c r="I343" s="436" t="str">
        <f t="shared" si="12"/>
        <v/>
      </c>
      <c r="J343" s="439"/>
      <c r="K343" s="416" t="str">
        <f t="shared" si="13"/>
        <v/>
      </c>
      <c r="L343" s="416"/>
      <c r="M343" s="446"/>
    </row>
    <row r="344" spans="1:13">
      <c r="A344" s="416">
        <v>345</v>
      </c>
      <c r="B344" s="416"/>
      <c r="C344" s="416"/>
      <c r="D344" s="432"/>
      <c r="E344" s="437"/>
      <c r="F344" s="448" t="s">
        <v>3241</v>
      </c>
      <c r="G344" s="446"/>
      <c r="H344" s="446"/>
      <c r="I344" s="436" t="str">
        <f t="shared" si="12"/>
        <v/>
      </c>
      <c r="J344" s="439"/>
      <c r="K344" s="416" t="str">
        <f t="shared" si="13"/>
        <v/>
      </c>
      <c r="L344" s="416"/>
      <c r="M344" s="446"/>
    </row>
    <row r="345" spans="1:13">
      <c r="A345" s="416">
        <v>346</v>
      </c>
      <c r="B345" s="416"/>
      <c r="C345" s="416"/>
      <c r="D345" s="432"/>
      <c r="E345" s="437"/>
      <c r="F345" s="448" t="s">
        <v>3241</v>
      </c>
      <c r="G345" s="446"/>
      <c r="H345" s="446"/>
      <c r="I345" s="436" t="str">
        <f t="shared" si="12"/>
        <v/>
      </c>
      <c r="J345" s="439"/>
      <c r="K345" s="416" t="str">
        <f t="shared" si="13"/>
        <v/>
      </c>
      <c r="L345" s="416"/>
      <c r="M345" s="446"/>
    </row>
    <row r="346" spans="1:13">
      <c r="A346" s="416">
        <v>347</v>
      </c>
      <c r="B346" s="416"/>
      <c r="C346" s="416"/>
      <c r="D346" s="432"/>
      <c r="E346" s="437"/>
      <c r="F346" s="448" t="s">
        <v>3241</v>
      </c>
      <c r="G346" s="446"/>
      <c r="H346" s="446"/>
      <c r="I346" s="436" t="str">
        <f t="shared" si="12"/>
        <v/>
      </c>
      <c r="J346" s="439"/>
      <c r="K346" s="416" t="str">
        <f t="shared" si="13"/>
        <v/>
      </c>
      <c r="L346" s="416"/>
      <c r="M346" s="446"/>
    </row>
    <row r="347" spans="1:13">
      <c r="A347" s="416">
        <v>348</v>
      </c>
      <c r="B347" s="416"/>
      <c r="C347" s="416"/>
      <c r="D347" s="432"/>
      <c r="E347" s="437"/>
      <c r="F347" s="448" t="s">
        <v>3241</v>
      </c>
      <c r="G347" s="446"/>
      <c r="H347" s="446"/>
      <c r="I347" s="436" t="str">
        <f t="shared" si="12"/>
        <v/>
      </c>
      <c r="J347" s="439"/>
      <c r="K347" s="416" t="str">
        <f t="shared" si="13"/>
        <v/>
      </c>
      <c r="L347" s="416"/>
      <c r="M347" s="446"/>
    </row>
    <row r="348" spans="1:13">
      <c r="A348" s="416">
        <v>349</v>
      </c>
      <c r="B348" s="416"/>
      <c r="C348" s="416"/>
      <c r="D348" s="432"/>
      <c r="E348" s="437"/>
      <c r="F348" s="448" t="s">
        <v>3241</v>
      </c>
      <c r="G348" s="446"/>
      <c r="H348" s="446"/>
      <c r="I348" s="436" t="str">
        <f t="shared" si="12"/>
        <v/>
      </c>
      <c r="J348" s="439"/>
      <c r="K348" s="416" t="str">
        <f t="shared" si="13"/>
        <v/>
      </c>
      <c r="L348" s="416"/>
      <c r="M348" s="446"/>
    </row>
    <row r="349" spans="1:13">
      <c r="A349" s="416">
        <v>350</v>
      </c>
      <c r="B349" s="416"/>
      <c r="C349" s="416"/>
      <c r="D349" s="432"/>
      <c r="E349" s="437"/>
      <c r="F349" s="448" t="s">
        <v>3241</v>
      </c>
      <c r="G349" s="446"/>
      <c r="H349" s="446"/>
      <c r="I349" s="436" t="str">
        <f t="shared" si="12"/>
        <v/>
      </c>
      <c r="J349" s="439"/>
      <c r="K349" s="416" t="str">
        <f t="shared" si="13"/>
        <v/>
      </c>
      <c r="L349" s="416"/>
      <c r="M349" s="446"/>
    </row>
    <row r="350" spans="1:13">
      <c r="A350" s="416">
        <v>351</v>
      </c>
      <c r="B350" s="416"/>
      <c r="C350" s="416"/>
      <c r="D350" s="432"/>
      <c r="E350" s="437"/>
      <c r="F350" s="448" t="s">
        <v>3241</v>
      </c>
      <c r="G350" s="446"/>
      <c r="H350" s="446"/>
      <c r="I350" s="436" t="str">
        <f t="shared" si="12"/>
        <v/>
      </c>
      <c r="J350" s="439"/>
      <c r="K350" s="416" t="str">
        <f t="shared" si="13"/>
        <v/>
      </c>
      <c r="L350" s="416"/>
      <c r="M350" s="446"/>
    </row>
    <row r="351" spans="1:13">
      <c r="A351" s="416">
        <v>352</v>
      </c>
      <c r="B351" s="416"/>
      <c r="C351" s="416"/>
      <c r="D351" s="432"/>
      <c r="E351" s="437"/>
      <c r="F351" s="448" t="s">
        <v>3241</v>
      </c>
      <c r="G351" s="446"/>
      <c r="H351" s="446"/>
      <c r="I351" s="436" t="str">
        <f t="shared" si="12"/>
        <v/>
      </c>
      <c r="J351" s="439"/>
      <c r="K351" s="416" t="str">
        <f t="shared" si="13"/>
        <v/>
      </c>
      <c r="L351" s="416"/>
      <c r="M351" s="446"/>
    </row>
    <row r="352" spans="1:13">
      <c r="A352" s="416">
        <v>353</v>
      </c>
      <c r="B352" s="416"/>
      <c r="C352" s="416"/>
      <c r="D352" s="432"/>
      <c r="E352" s="437"/>
      <c r="F352" s="448" t="s">
        <v>3241</v>
      </c>
      <c r="G352" s="446"/>
      <c r="H352" s="446"/>
      <c r="I352" s="436" t="str">
        <f t="shared" si="12"/>
        <v/>
      </c>
      <c r="J352" s="439"/>
      <c r="K352" s="416" t="str">
        <f t="shared" si="13"/>
        <v/>
      </c>
      <c r="L352" s="416"/>
      <c r="M352" s="446"/>
    </row>
    <row r="353" spans="1:13">
      <c r="A353" s="416">
        <v>354</v>
      </c>
      <c r="B353" s="416"/>
      <c r="C353" s="416"/>
      <c r="D353" s="432"/>
      <c r="E353" s="437"/>
      <c r="F353" s="448" t="s">
        <v>3241</v>
      </c>
      <c r="G353" s="446"/>
      <c r="H353" s="446"/>
      <c r="I353" s="436" t="str">
        <f t="shared" si="12"/>
        <v/>
      </c>
      <c r="J353" s="439"/>
      <c r="K353" s="416" t="str">
        <f t="shared" si="13"/>
        <v/>
      </c>
      <c r="L353" s="416"/>
      <c r="M353" s="446"/>
    </row>
    <row r="354" spans="1:13">
      <c r="A354" s="416">
        <v>355</v>
      </c>
      <c r="B354" s="416"/>
      <c r="C354" s="416"/>
      <c r="D354" s="432"/>
      <c r="E354" s="437"/>
      <c r="F354" s="448" t="s">
        <v>3241</v>
      </c>
      <c r="G354" s="446"/>
      <c r="H354" s="446"/>
      <c r="I354" s="436" t="str">
        <f t="shared" si="12"/>
        <v/>
      </c>
      <c r="J354" s="439"/>
      <c r="K354" s="416" t="str">
        <f t="shared" si="13"/>
        <v/>
      </c>
      <c r="L354" s="416"/>
      <c r="M354" s="446"/>
    </row>
    <row r="355" spans="1:13">
      <c r="A355" s="416">
        <v>356</v>
      </c>
      <c r="B355" s="416"/>
      <c r="C355" s="416"/>
      <c r="D355" s="432"/>
      <c r="E355" s="437"/>
      <c r="F355" s="448" t="s">
        <v>3241</v>
      </c>
      <c r="G355" s="446"/>
      <c r="H355" s="446"/>
      <c r="I355" s="436" t="str">
        <f t="shared" si="12"/>
        <v/>
      </c>
      <c r="J355" s="439"/>
      <c r="K355" s="416" t="str">
        <f t="shared" si="13"/>
        <v/>
      </c>
      <c r="L355" s="416"/>
      <c r="M355" s="446"/>
    </row>
    <row r="356" spans="1:13">
      <c r="A356" s="416">
        <v>357</v>
      </c>
      <c r="B356" s="416"/>
      <c r="C356" s="416"/>
      <c r="D356" s="432"/>
      <c r="E356" s="437"/>
      <c r="F356" s="448" t="s">
        <v>3241</v>
      </c>
      <c r="G356" s="446"/>
      <c r="H356" s="446"/>
      <c r="I356" s="436" t="str">
        <f t="shared" si="12"/>
        <v/>
      </c>
      <c r="J356" s="439"/>
      <c r="K356" s="416" t="str">
        <f t="shared" si="13"/>
        <v/>
      </c>
      <c r="L356" s="416"/>
      <c r="M356" s="446"/>
    </row>
    <row r="357" spans="1:13">
      <c r="A357" s="416">
        <v>358</v>
      </c>
      <c r="B357" s="416"/>
      <c r="C357" s="416"/>
      <c r="D357" s="432"/>
      <c r="E357" s="437"/>
      <c r="F357" s="448" t="s">
        <v>3241</v>
      </c>
      <c r="G357" s="446"/>
      <c r="H357" s="446"/>
      <c r="I357" s="436" t="str">
        <f t="shared" si="12"/>
        <v/>
      </c>
      <c r="J357" s="439"/>
      <c r="K357" s="416" t="str">
        <f t="shared" si="13"/>
        <v/>
      </c>
      <c r="L357" s="416"/>
      <c r="M357" s="446"/>
    </row>
    <row r="358" spans="1:13">
      <c r="A358" s="416">
        <v>359</v>
      </c>
      <c r="B358" s="416"/>
      <c r="C358" s="416"/>
      <c r="D358" s="432"/>
      <c r="E358" s="437"/>
      <c r="F358" s="448" t="s">
        <v>3241</v>
      </c>
      <c r="G358" s="446"/>
      <c r="H358" s="446"/>
      <c r="I358" s="436" t="str">
        <f t="shared" si="12"/>
        <v/>
      </c>
      <c r="J358" s="439"/>
      <c r="K358" s="416" t="str">
        <f t="shared" si="13"/>
        <v/>
      </c>
      <c r="L358" s="416"/>
      <c r="M358" s="446"/>
    </row>
    <row r="359" spans="1:13">
      <c r="A359" s="416">
        <v>360</v>
      </c>
      <c r="B359" s="416"/>
      <c r="C359" s="416"/>
      <c r="D359" s="432"/>
      <c r="E359" s="437"/>
      <c r="F359" s="448" t="s">
        <v>3241</v>
      </c>
      <c r="G359" s="446"/>
      <c r="H359" s="446"/>
      <c r="I359" s="436" t="str">
        <f t="shared" si="12"/>
        <v/>
      </c>
      <c r="J359" s="439"/>
      <c r="K359" s="416" t="str">
        <f t="shared" si="13"/>
        <v/>
      </c>
      <c r="L359" s="416"/>
      <c r="M359" s="446"/>
    </row>
    <row r="360" spans="1:13">
      <c r="A360" s="416">
        <v>361</v>
      </c>
      <c r="B360" s="416"/>
      <c r="C360" s="416"/>
      <c r="D360" s="432"/>
      <c r="E360" s="437"/>
      <c r="F360" s="448" t="s">
        <v>3241</v>
      </c>
      <c r="G360" s="446"/>
      <c r="H360" s="446"/>
      <c r="I360" s="436" t="str">
        <f t="shared" si="12"/>
        <v/>
      </c>
      <c r="J360" s="439"/>
      <c r="K360" s="416" t="str">
        <f t="shared" si="13"/>
        <v/>
      </c>
      <c r="L360" s="416"/>
      <c r="M360" s="446"/>
    </row>
    <row r="361" spans="1:13">
      <c r="A361" s="416">
        <v>362</v>
      </c>
      <c r="B361" s="416"/>
      <c r="C361" s="416"/>
      <c r="D361" s="432"/>
      <c r="E361" s="437"/>
      <c r="F361" s="448" t="s">
        <v>3241</v>
      </c>
      <c r="G361" s="446"/>
      <c r="H361" s="446"/>
      <c r="I361" s="436" t="str">
        <f t="shared" si="12"/>
        <v/>
      </c>
      <c r="J361" s="439"/>
      <c r="K361" s="416" t="str">
        <f t="shared" si="13"/>
        <v/>
      </c>
      <c r="L361" s="416"/>
      <c r="M361" s="446"/>
    </row>
    <row r="362" spans="1:13">
      <c r="A362" s="416">
        <v>363</v>
      </c>
      <c r="B362" s="416"/>
      <c r="C362" s="416"/>
      <c r="D362" s="432"/>
      <c r="E362" s="437"/>
      <c r="F362" s="448" t="s">
        <v>3241</v>
      </c>
      <c r="G362" s="446"/>
      <c r="H362" s="446"/>
      <c r="I362" s="436" t="str">
        <f t="shared" si="12"/>
        <v/>
      </c>
      <c r="J362" s="439"/>
      <c r="K362" s="416" t="str">
        <f t="shared" si="13"/>
        <v/>
      </c>
      <c r="L362" s="416"/>
      <c r="M362" s="446"/>
    </row>
    <row r="363" spans="1:13">
      <c r="A363" s="416">
        <v>364</v>
      </c>
      <c r="B363" s="416"/>
      <c r="C363" s="416"/>
      <c r="D363" s="432"/>
      <c r="E363" s="437"/>
      <c r="F363" s="448" t="s">
        <v>3241</v>
      </c>
      <c r="G363" s="446"/>
      <c r="H363" s="446"/>
      <c r="I363" s="436" t="str">
        <f t="shared" si="12"/>
        <v/>
      </c>
      <c r="J363" s="439"/>
      <c r="K363" s="416" t="str">
        <f t="shared" si="13"/>
        <v/>
      </c>
      <c r="L363" s="416"/>
      <c r="M363" s="446"/>
    </row>
    <row r="364" spans="1:13">
      <c r="A364" s="416">
        <v>365</v>
      </c>
      <c r="B364" s="416"/>
      <c r="C364" s="416"/>
      <c r="D364" s="432"/>
      <c r="E364" s="437"/>
      <c r="F364" s="448" t="s">
        <v>3241</v>
      </c>
      <c r="G364" s="446"/>
      <c r="H364" s="446"/>
      <c r="I364" s="436" t="str">
        <f t="shared" si="12"/>
        <v/>
      </c>
      <c r="J364" s="439"/>
      <c r="K364" s="416" t="str">
        <f t="shared" si="13"/>
        <v/>
      </c>
      <c r="L364" s="416"/>
      <c r="M364" s="446"/>
    </row>
    <row r="365" spans="1:13">
      <c r="A365" s="416">
        <v>366</v>
      </c>
      <c r="B365" s="416"/>
      <c r="C365" s="416"/>
      <c r="D365" s="432"/>
      <c r="E365" s="437"/>
      <c r="F365" s="448" t="s">
        <v>3241</v>
      </c>
      <c r="G365" s="446"/>
      <c r="H365" s="446"/>
      <c r="I365" s="436" t="str">
        <f t="shared" si="12"/>
        <v/>
      </c>
      <c r="J365" s="439"/>
      <c r="K365" s="416" t="str">
        <f t="shared" si="13"/>
        <v/>
      </c>
      <c r="L365" s="416"/>
      <c r="M365" s="446"/>
    </row>
    <row r="366" spans="1:13">
      <c r="A366" s="416">
        <v>367</v>
      </c>
      <c r="B366" s="416"/>
      <c r="C366" s="416"/>
      <c r="D366" s="432"/>
      <c r="E366" s="437"/>
      <c r="F366" s="448" t="s">
        <v>3241</v>
      </c>
      <c r="G366" s="446"/>
      <c r="H366" s="446"/>
      <c r="I366" s="436" t="str">
        <f t="shared" si="12"/>
        <v/>
      </c>
      <c r="J366" s="439"/>
      <c r="K366" s="416" t="str">
        <f t="shared" si="13"/>
        <v/>
      </c>
      <c r="L366" s="416"/>
      <c r="M366" s="446"/>
    </row>
    <row r="367" spans="1:13">
      <c r="A367" s="416">
        <v>368</v>
      </c>
      <c r="B367" s="416"/>
      <c r="C367" s="416"/>
      <c r="D367" s="432"/>
      <c r="E367" s="437"/>
      <c r="F367" s="448" t="s">
        <v>3241</v>
      </c>
      <c r="G367" s="446"/>
      <c r="H367" s="446"/>
      <c r="I367" s="436" t="str">
        <f t="shared" si="12"/>
        <v/>
      </c>
      <c r="J367" s="439"/>
      <c r="K367" s="416" t="str">
        <f t="shared" si="13"/>
        <v/>
      </c>
      <c r="L367" s="416"/>
      <c r="M367" s="446"/>
    </row>
    <row r="368" spans="1:13">
      <c r="A368" s="416">
        <v>369</v>
      </c>
      <c r="B368" s="416"/>
      <c r="C368" s="416"/>
      <c r="D368" s="432"/>
      <c r="E368" s="437"/>
      <c r="F368" s="448" t="s">
        <v>3241</v>
      </c>
      <c r="G368" s="446"/>
      <c r="H368" s="446"/>
      <c r="I368" s="436" t="str">
        <f t="shared" si="12"/>
        <v/>
      </c>
      <c r="J368" s="439"/>
      <c r="K368" s="416" t="str">
        <f t="shared" si="13"/>
        <v/>
      </c>
      <c r="L368" s="416"/>
      <c r="M368" s="446"/>
    </row>
    <row r="369" spans="1:13">
      <c r="A369" s="416">
        <v>370</v>
      </c>
      <c r="B369" s="416"/>
      <c r="C369" s="416"/>
      <c r="D369" s="432"/>
      <c r="E369" s="437"/>
      <c r="F369" s="448" t="s">
        <v>3241</v>
      </c>
      <c r="G369" s="446"/>
      <c r="H369" s="446"/>
      <c r="I369" s="436" t="str">
        <f t="shared" si="12"/>
        <v/>
      </c>
      <c r="J369" s="439"/>
      <c r="K369" s="416" t="str">
        <f t="shared" si="13"/>
        <v/>
      </c>
      <c r="L369" s="416"/>
      <c r="M369" s="446"/>
    </row>
    <row r="370" spans="1:13">
      <c r="A370" s="416">
        <v>371</v>
      </c>
      <c r="B370" s="416"/>
      <c r="C370" s="416"/>
      <c r="D370" s="432"/>
      <c r="E370" s="437"/>
      <c r="F370" s="448" t="s">
        <v>3241</v>
      </c>
      <c r="G370" s="446"/>
      <c r="H370" s="446"/>
      <c r="I370" s="436" t="str">
        <f t="shared" si="12"/>
        <v/>
      </c>
      <c r="J370" s="439"/>
      <c r="K370" s="416" t="str">
        <f t="shared" si="13"/>
        <v/>
      </c>
      <c r="L370" s="416"/>
      <c r="M370" s="446"/>
    </row>
    <row r="371" spans="1:13">
      <c r="A371" s="416">
        <v>372</v>
      </c>
      <c r="B371" s="416"/>
      <c r="C371" s="416"/>
      <c r="D371" s="432"/>
      <c r="E371" s="437"/>
      <c r="F371" s="448" t="s">
        <v>3241</v>
      </c>
      <c r="G371" s="446"/>
      <c r="H371" s="446"/>
      <c r="I371" s="436" t="str">
        <f t="shared" si="12"/>
        <v/>
      </c>
      <c r="J371" s="439"/>
      <c r="K371" s="416" t="str">
        <f t="shared" si="13"/>
        <v/>
      </c>
      <c r="L371" s="416"/>
      <c r="M371" s="446"/>
    </row>
    <row r="372" spans="1:13">
      <c r="A372" s="416">
        <v>373</v>
      </c>
      <c r="B372" s="416"/>
      <c r="C372" s="416"/>
      <c r="D372" s="432"/>
      <c r="E372" s="437"/>
      <c r="F372" s="448" t="s">
        <v>3241</v>
      </c>
      <c r="G372" s="446"/>
      <c r="H372" s="446"/>
      <c r="I372" s="436" t="str">
        <f t="shared" si="12"/>
        <v/>
      </c>
      <c r="J372" s="439"/>
      <c r="K372" s="416" t="str">
        <f t="shared" si="13"/>
        <v/>
      </c>
      <c r="L372" s="416"/>
      <c r="M372" s="446"/>
    </row>
    <row r="373" spans="1:13">
      <c r="A373" s="416">
        <v>374</v>
      </c>
      <c r="B373" s="416"/>
      <c r="C373" s="416"/>
      <c r="D373" s="432"/>
      <c r="E373" s="437"/>
      <c r="F373" s="448" t="s">
        <v>3241</v>
      </c>
      <c r="G373" s="446"/>
      <c r="H373" s="446"/>
      <c r="I373" s="436" t="str">
        <f t="shared" si="12"/>
        <v/>
      </c>
      <c r="J373" s="439"/>
      <c r="K373" s="416" t="str">
        <f t="shared" si="13"/>
        <v/>
      </c>
      <c r="L373" s="416"/>
      <c r="M373" s="446"/>
    </row>
    <row r="374" spans="1:13">
      <c r="A374" s="416">
        <v>375</v>
      </c>
      <c r="B374" s="416"/>
      <c r="C374" s="416"/>
      <c r="D374" s="432"/>
      <c r="E374" s="437"/>
      <c r="F374" s="448" t="s">
        <v>3241</v>
      </c>
      <c r="G374" s="446"/>
      <c r="H374" s="446"/>
      <c r="I374" s="436" t="str">
        <f t="shared" si="12"/>
        <v/>
      </c>
      <c r="J374" s="439"/>
      <c r="K374" s="416" t="str">
        <f t="shared" si="13"/>
        <v/>
      </c>
      <c r="L374" s="416"/>
      <c r="M374" s="446"/>
    </row>
    <row r="375" spans="1:13">
      <c r="A375" s="416">
        <v>376</v>
      </c>
      <c r="B375" s="416"/>
      <c r="C375" s="416"/>
      <c r="D375" s="432"/>
      <c r="E375" s="437"/>
      <c r="F375" s="448" t="s">
        <v>3241</v>
      </c>
      <c r="G375" s="446"/>
      <c r="H375" s="446"/>
      <c r="I375" s="436" t="str">
        <f t="shared" si="12"/>
        <v/>
      </c>
      <c r="J375" s="439"/>
      <c r="K375" s="416" t="str">
        <f t="shared" si="13"/>
        <v/>
      </c>
      <c r="L375" s="416"/>
      <c r="M375" s="446"/>
    </row>
    <row r="376" spans="1:13">
      <c r="A376" s="416">
        <v>377</v>
      </c>
      <c r="B376" s="416"/>
      <c r="C376" s="416"/>
      <c r="D376" s="432"/>
      <c r="E376" s="437"/>
      <c r="F376" s="448" t="s">
        <v>3241</v>
      </c>
      <c r="G376" s="446"/>
      <c r="H376" s="446"/>
      <c r="I376" s="436" t="str">
        <f t="shared" si="12"/>
        <v/>
      </c>
      <c r="J376" s="439"/>
      <c r="K376" s="416" t="str">
        <f t="shared" si="13"/>
        <v/>
      </c>
      <c r="L376" s="416"/>
      <c r="M376" s="446"/>
    </row>
    <row r="377" spans="1:13">
      <c r="A377" s="416">
        <v>378</v>
      </c>
      <c r="B377" s="416"/>
      <c r="C377" s="416"/>
      <c r="D377" s="432"/>
      <c r="E377" s="437"/>
      <c r="F377" s="448" t="s">
        <v>3241</v>
      </c>
      <c r="G377" s="446"/>
      <c r="H377" s="446"/>
      <c r="I377" s="436" t="str">
        <f t="shared" si="12"/>
        <v/>
      </c>
      <c r="J377" s="439"/>
      <c r="K377" s="416" t="str">
        <f t="shared" si="13"/>
        <v/>
      </c>
      <c r="L377" s="416"/>
      <c r="M377" s="446"/>
    </row>
    <row r="378" spans="1:13">
      <c r="A378" s="416">
        <v>379</v>
      </c>
      <c r="B378" s="416"/>
      <c r="C378" s="416"/>
      <c r="D378" s="432"/>
      <c r="E378" s="437"/>
      <c r="F378" s="448" t="s">
        <v>3241</v>
      </c>
      <c r="G378" s="446"/>
      <c r="H378" s="446"/>
      <c r="I378" s="436" t="str">
        <f t="shared" si="12"/>
        <v/>
      </c>
      <c r="J378" s="439"/>
      <c r="K378" s="416" t="str">
        <f t="shared" si="13"/>
        <v/>
      </c>
      <c r="L378" s="416"/>
      <c r="M378" s="446"/>
    </row>
    <row r="379" spans="1:13">
      <c r="A379" s="416">
        <v>380</v>
      </c>
      <c r="B379" s="416"/>
      <c r="C379" s="416"/>
      <c r="D379" s="432"/>
      <c r="E379" s="437"/>
      <c r="F379" s="448" t="s">
        <v>3241</v>
      </c>
      <c r="G379" s="446"/>
      <c r="H379" s="446"/>
      <c r="I379" s="436" t="str">
        <f t="shared" si="12"/>
        <v/>
      </c>
      <c r="J379" s="439"/>
      <c r="K379" s="416" t="str">
        <f t="shared" si="13"/>
        <v/>
      </c>
      <c r="L379" s="416"/>
      <c r="M379" s="446"/>
    </row>
    <row r="380" spans="1:13">
      <c r="A380" s="416">
        <v>381</v>
      </c>
      <c r="B380" s="416"/>
      <c r="C380" s="416"/>
      <c r="D380" s="432"/>
      <c r="E380" s="437"/>
      <c r="F380" s="448" t="s">
        <v>3241</v>
      </c>
      <c r="G380" s="446"/>
      <c r="H380" s="446"/>
      <c r="I380" s="436" t="str">
        <f t="shared" si="12"/>
        <v/>
      </c>
      <c r="J380" s="439"/>
      <c r="K380" s="416" t="str">
        <f t="shared" si="13"/>
        <v/>
      </c>
      <c r="L380" s="416"/>
      <c r="M380" s="446"/>
    </row>
    <row r="381" spans="1:13">
      <c r="A381" s="416">
        <v>382</v>
      </c>
      <c r="B381" s="416"/>
      <c r="C381" s="416"/>
      <c r="D381" s="432"/>
      <c r="E381" s="437"/>
      <c r="F381" s="448" t="s">
        <v>3241</v>
      </c>
      <c r="G381" s="446"/>
      <c r="H381" s="446"/>
      <c r="I381" s="436" t="str">
        <f t="shared" ref="I381:I444" si="14">IF(G381="","",ROUND(H381/G381,2))</f>
        <v/>
      </c>
      <c r="J381" s="439"/>
      <c r="K381" s="416" t="str">
        <f t="shared" si="13"/>
        <v/>
      </c>
      <c r="L381" s="416"/>
      <c r="M381" s="446"/>
    </row>
    <row r="382" spans="1:13">
      <c r="A382" s="416">
        <v>383</v>
      </c>
      <c r="B382" s="416"/>
      <c r="C382" s="416"/>
      <c r="D382" s="432"/>
      <c r="E382" s="437"/>
      <c r="F382" s="448" t="s">
        <v>3241</v>
      </c>
      <c r="G382" s="446"/>
      <c r="H382" s="446"/>
      <c r="I382" s="436" t="str">
        <f t="shared" si="14"/>
        <v/>
      </c>
      <c r="J382" s="439"/>
      <c r="K382" s="416" t="str">
        <f t="shared" si="13"/>
        <v/>
      </c>
      <c r="L382" s="416"/>
      <c r="M382" s="446"/>
    </row>
    <row r="383" spans="1:13">
      <c r="A383" s="416">
        <v>384</v>
      </c>
      <c r="B383" s="416"/>
      <c r="C383" s="416"/>
      <c r="D383" s="432"/>
      <c r="E383" s="437"/>
      <c r="F383" s="448" t="s">
        <v>3241</v>
      </c>
      <c r="G383" s="446"/>
      <c r="H383" s="446"/>
      <c r="I383" s="436" t="str">
        <f t="shared" si="14"/>
        <v/>
      </c>
      <c r="J383" s="439"/>
      <c r="K383" s="416" t="str">
        <f t="shared" si="13"/>
        <v/>
      </c>
      <c r="L383" s="416"/>
      <c r="M383" s="446"/>
    </row>
    <row r="384" spans="1:13">
      <c r="A384" s="416">
        <v>385</v>
      </c>
      <c r="B384" s="416"/>
      <c r="C384" s="416"/>
      <c r="D384" s="432"/>
      <c r="E384" s="437"/>
      <c r="F384" s="448" t="s">
        <v>3241</v>
      </c>
      <c r="G384" s="446"/>
      <c r="H384" s="446"/>
      <c r="I384" s="436" t="str">
        <f t="shared" si="14"/>
        <v/>
      </c>
      <c r="J384" s="439"/>
      <c r="K384" s="416" t="str">
        <f t="shared" ref="K384:K447" si="15">IF(J384="USD",USD,IF(J384="EUR",EUR,""))</f>
        <v/>
      </c>
      <c r="L384" s="416"/>
      <c r="M384" s="446"/>
    </row>
    <row r="385" spans="1:13">
      <c r="A385" s="416">
        <v>386</v>
      </c>
      <c r="B385" s="416"/>
      <c r="C385" s="416"/>
      <c r="D385" s="432"/>
      <c r="E385" s="437"/>
      <c r="F385" s="448" t="s">
        <v>3241</v>
      </c>
      <c r="G385" s="446"/>
      <c r="H385" s="446"/>
      <c r="I385" s="436" t="str">
        <f t="shared" si="14"/>
        <v/>
      </c>
      <c r="J385" s="439"/>
      <c r="K385" s="416" t="str">
        <f t="shared" si="15"/>
        <v/>
      </c>
      <c r="L385" s="416"/>
      <c r="M385" s="446"/>
    </row>
    <row r="386" spans="1:13">
      <c r="A386" s="416">
        <v>387</v>
      </c>
      <c r="B386" s="416"/>
      <c r="C386" s="416"/>
      <c r="D386" s="432"/>
      <c r="E386" s="437"/>
      <c r="F386" s="448" t="s">
        <v>3241</v>
      </c>
      <c r="G386" s="446"/>
      <c r="H386" s="446"/>
      <c r="I386" s="436" t="str">
        <f t="shared" si="14"/>
        <v/>
      </c>
      <c r="J386" s="439"/>
      <c r="K386" s="416" t="str">
        <f t="shared" si="15"/>
        <v/>
      </c>
      <c r="L386" s="416"/>
      <c r="M386" s="446"/>
    </row>
    <row r="387" spans="1:13">
      <c r="A387" s="416">
        <v>388</v>
      </c>
      <c r="B387" s="416"/>
      <c r="C387" s="416"/>
      <c r="D387" s="432"/>
      <c r="E387" s="437"/>
      <c r="F387" s="448" t="s">
        <v>3241</v>
      </c>
      <c r="G387" s="446"/>
      <c r="H387" s="446"/>
      <c r="I387" s="436" t="str">
        <f t="shared" si="14"/>
        <v/>
      </c>
      <c r="J387" s="439"/>
      <c r="K387" s="416" t="str">
        <f t="shared" si="15"/>
        <v/>
      </c>
      <c r="L387" s="416"/>
      <c r="M387" s="446"/>
    </row>
    <row r="388" spans="1:13">
      <c r="A388" s="416">
        <v>389</v>
      </c>
      <c r="B388" s="416"/>
      <c r="C388" s="416"/>
      <c r="D388" s="432"/>
      <c r="E388" s="437"/>
      <c r="F388" s="448" t="s">
        <v>3241</v>
      </c>
      <c r="G388" s="446"/>
      <c r="H388" s="446"/>
      <c r="I388" s="436" t="str">
        <f t="shared" si="14"/>
        <v/>
      </c>
      <c r="J388" s="439"/>
      <c r="K388" s="416" t="str">
        <f t="shared" si="15"/>
        <v/>
      </c>
      <c r="L388" s="416"/>
      <c r="M388" s="446"/>
    </row>
    <row r="389" spans="1:13">
      <c r="A389" s="416">
        <v>390</v>
      </c>
      <c r="B389" s="416"/>
      <c r="C389" s="416"/>
      <c r="D389" s="432"/>
      <c r="E389" s="437"/>
      <c r="F389" s="448" t="s">
        <v>3241</v>
      </c>
      <c r="G389" s="446"/>
      <c r="H389" s="446"/>
      <c r="I389" s="436" t="str">
        <f t="shared" si="14"/>
        <v/>
      </c>
      <c r="J389" s="439"/>
      <c r="K389" s="416" t="str">
        <f t="shared" si="15"/>
        <v/>
      </c>
      <c r="L389" s="416"/>
      <c r="M389" s="446"/>
    </row>
    <row r="390" spans="1:13">
      <c r="A390" s="416">
        <v>391</v>
      </c>
      <c r="B390" s="416"/>
      <c r="C390" s="416"/>
      <c r="D390" s="432"/>
      <c r="E390" s="437"/>
      <c r="F390" s="448" t="s">
        <v>3241</v>
      </c>
      <c r="G390" s="446"/>
      <c r="H390" s="446"/>
      <c r="I390" s="436" t="str">
        <f t="shared" si="14"/>
        <v/>
      </c>
      <c r="J390" s="439"/>
      <c r="K390" s="416" t="str">
        <f t="shared" si="15"/>
        <v/>
      </c>
      <c r="L390" s="416"/>
      <c r="M390" s="446"/>
    </row>
    <row r="391" spans="1:13">
      <c r="A391" s="416">
        <v>392</v>
      </c>
      <c r="B391" s="416"/>
      <c r="C391" s="416"/>
      <c r="D391" s="432"/>
      <c r="E391" s="437"/>
      <c r="F391" s="448" t="s">
        <v>3241</v>
      </c>
      <c r="G391" s="446"/>
      <c r="H391" s="446"/>
      <c r="I391" s="436" t="str">
        <f t="shared" si="14"/>
        <v/>
      </c>
      <c r="J391" s="439"/>
      <c r="K391" s="416" t="str">
        <f t="shared" si="15"/>
        <v/>
      </c>
      <c r="L391" s="416"/>
      <c r="M391" s="446"/>
    </row>
    <row r="392" spans="1:13">
      <c r="A392" s="416">
        <v>393</v>
      </c>
      <c r="B392" s="416"/>
      <c r="C392" s="416"/>
      <c r="D392" s="432"/>
      <c r="E392" s="437"/>
      <c r="F392" s="448" t="s">
        <v>3241</v>
      </c>
      <c r="G392" s="446"/>
      <c r="H392" s="446"/>
      <c r="I392" s="436" t="str">
        <f t="shared" si="14"/>
        <v/>
      </c>
      <c r="J392" s="439"/>
      <c r="K392" s="416" t="str">
        <f t="shared" si="15"/>
        <v/>
      </c>
      <c r="L392" s="416"/>
      <c r="M392" s="446"/>
    </row>
    <row r="393" spans="1:13">
      <c r="A393" s="416">
        <v>394</v>
      </c>
      <c r="B393" s="416"/>
      <c r="C393" s="416"/>
      <c r="D393" s="432"/>
      <c r="E393" s="437"/>
      <c r="F393" s="448" t="s">
        <v>3241</v>
      </c>
      <c r="G393" s="446"/>
      <c r="H393" s="446"/>
      <c r="I393" s="436" t="str">
        <f t="shared" si="14"/>
        <v/>
      </c>
      <c r="J393" s="439"/>
      <c r="K393" s="416" t="str">
        <f t="shared" si="15"/>
        <v/>
      </c>
      <c r="L393" s="416"/>
      <c r="M393" s="446"/>
    </row>
    <row r="394" spans="1:13">
      <c r="A394" s="416">
        <v>395</v>
      </c>
      <c r="B394" s="416"/>
      <c r="C394" s="416"/>
      <c r="D394" s="432"/>
      <c r="E394" s="437"/>
      <c r="F394" s="448" t="s">
        <v>3241</v>
      </c>
      <c r="G394" s="446"/>
      <c r="H394" s="446"/>
      <c r="I394" s="436" t="str">
        <f t="shared" si="14"/>
        <v/>
      </c>
      <c r="J394" s="439"/>
      <c r="K394" s="416" t="str">
        <f t="shared" si="15"/>
        <v/>
      </c>
      <c r="L394" s="416"/>
      <c r="M394" s="446"/>
    </row>
    <row r="395" spans="1:13">
      <c r="A395" s="416">
        <v>396</v>
      </c>
      <c r="B395" s="416"/>
      <c r="C395" s="416"/>
      <c r="D395" s="432"/>
      <c r="E395" s="437"/>
      <c r="F395" s="448" t="s">
        <v>3241</v>
      </c>
      <c r="G395" s="446"/>
      <c r="H395" s="446"/>
      <c r="I395" s="436" t="str">
        <f t="shared" si="14"/>
        <v/>
      </c>
      <c r="J395" s="439"/>
      <c r="K395" s="416" t="str">
        <f t="shared" si="15"/>
        <v/>
      </c>
      <c r="L395" s="416"/>
      <c r="M395" s="446"/>
    </row>
    <row r="396" spans="1:13">
      <c r="A396" s="416">
        <v>397</v>
      </c>
      <c r="B396" s="416"/>
      <c r="C396" s="416"/>
      <c r="D396" s="432"/>
      <c r="E396" s="437"/>
      <c r="F396" s="448" t="s">
        <v>3241</v>
      </c>
      <c r="G396" s="446"/>
      <c r="H396" s="446"/>
      <c r="I396" s="436" t="str">
        <f t="shared" si="14"/>
        <v/>
      </c>
      <c r="J396" s="439"/>
      <c r="K396" s="416" t="str">
        <f t="shared" si="15"/>
        <v/>
      </c>
      <c r="L396" s="416"/>
      <c r="M396" s="446"/>
    </row>
    <row r="397" spans="1:13">
      <c r="A397" s="416">
        <v>398</v>
      </c>
      <c r="B397" s="416"/>
      <c r="C397" s="416"/>
      <c r="D397" s="432"/>
      <c r="E397" s="437"/>
      <c r="F397" s="448" t="s">
        <v>3241</v>
      </c>
      <c r="G397" s="446"/>
      <c r="H397" s="446"/>
      <c r="I397" s="436" t="str">
        <f t="shared" si="14"/>
        <v/>
      </c>
      <c r="J397" s="439"/>
      <c r="K397" s="416" t="str">
        <f t="shared" si="15"/>
        <v/>
      </c>
      <c r="L397" s="416"/>
      <c r="M397" s="446"/>
    </row>
    <row r="398" spans="1:13">
      <c r="A398" s="416">
        <v>399</v>
      </c>
      <c r="B398" s="416"/>
      <c r="C398" s="416"/>
      <c r="D398" s="432"/>
      <c r="E398" s="437"/>
      <c r="F398" s="448" t="s">
        <v>3241</v>
      </c>
      <c r="G398" s="446"/>
      <c r="H398" s="446"/>
      <c r="I398" s="436" t="str">
        <f t="shared" si="14"/>
        <v/>
      </c>
      <c r="J398" s="439"/>
      <c r="K398" s="416" t="str">
        <f t="shared" si="15"/>
        <v/>
      </c>
      <c r="L398" s="416"/>
      <c r="M398" s="446"/>
    </row>
    <row r="399" spans="1:13">
      <c r="A399" s="416">
        <v>400</v>
      </c>
      <c r="B399" s="416"/>
      <c r="C399" s="416"/>
      <c r="D399" s="432"/>
      <c r="E399" s="437"/>
      <c r="F399" s="448" t="s">
        <v>3241</v>
      </c>
      <c r="G399" s="446"/>
      <c r="H399" s="446"/>
      <c r="I399" s="436" t="str">
        <f t="shared" si="14"/>
        <v/>
      </c>
      <c r="J399" s="439"/>
      <c r="K399" s="416" t="str">
        <f t="shared" si="15"/>
        <v/>
      </c>
      <c r="L399" s="416"/>
      <c r="M399" s="446"/>
    </row>
    <row r="400" spans="1:13">
      <c r="A400" s="416">
        <v>401</v>
      </c>
      <c r="B400" s="416"/>
      <c r="C400" s="416"/>
      <c r="D400" s="432"/>
      <c r="E400" s="437"/>
      <c r="F400" s="448" t="s">
        <v>3241</v>
      </c>
      <c r="G400" s="446"/>
      <c r="H400" s="446"/>
      <c r="I400" s="436" t="str">
        <f t="shared" si="14"/>
        <v/>
      </c>
      <c r="J400" s="439"/>
      <c r="K400" s="416" t="str">
        <f t="shared" si="15"/>
        <v/>
      </c>
      <c r="L400" s="416"/>
      <c r="M400" s="446"/>
    </row>
    <row r="401" spans="1:13">
      <c r="A401" s="416">
        <v>402</v>
      </c>
      <c r="B401" s="416"/>
      <c r="C401" s="416"/>
      <c r="D401" s="432"/>
      <c r="E401" s="437"/>
      <c r="F401" s="448" t="s">
        <v>3241</v>
      </c>
      <c r="G401" s="446"/>
      <c r="H401" s="446"/>
      <c r="I401" s="436" t="str">
        <f t="shared" si="14"/>
        <v/>
      </c>
      <c r="J401" s="439"/>
      <c r="K401" s="416" t="str">
        <f t="shared" si="15"/>
        <v/>
      </c>
      <c r="L401" s="416"/>
      <c r="M401" s="446"/>
    </row>
    <row r="402" spans="1:13">
      <c r="A402" s="416">
        <v>403</v>
      </c>
      <c r="B402" s="416"/>
      <c r="C402" s="416"/>
      <c r="D402" s="432"/>
      <c r="E402" s="437"/>
      <c r="F402" s="448" t="s">
        <v>3241</v>
      </c>
      <c r="G402" s="446"/>
      <c r="H402" s="446"/>
      <c r="I402" s="436" t="str">
        <f t="shared" si="14"/>
        <v/>
      </c>
      <c r="J402" s="439"/>
      <c r="K402" s="416" t="str">
        <f t="shared" si="15"/>
        <v/>
      </c>
      <c r="L402" s="416"/>
      <c r="M402" s="446"/>
    </row>
    <row r="403" spans="1:13">
      <c r="A403" s="416">
        <v>404</v>
      </c>
      <c r="B403" s="416"/>
      <c r="C403" s="416"/>
      <c r="D403" s="432"/>
      <c r="E403" s="437"/>
      <c r="F403" s="448" t="s">
        <v>3241</v>
      </c>
      <c r="G403" s="446"/>
      <c r="H403" s="446"/>
      <c r="I403" s="436" t="str">
        <f t="shared" si="14"/>
        <v/>
      </c>
      <c r="J403" s="439"/>
      <c r="K403" s="416" t="str">
        <f t="shared" si="15"/>
        <v/>
      </c>
      <c r="L403" s="416"/>
      <c r="M403" s="446"/>
    </row>
    <row r="404" spans="1:13">
      <c r="A404" s="416">
        <v>405</v>
      </c>
      <c r="B404" s="416"/>
      <c r="C404" s="416"/>
      <c r="D404" s="432"/>
      <c r="E404" s="437"/>
      <c r="F404" s="448" t="s">
        <v>3241</v>
      </c>
      <c r="G404" s="446"/>
      <c r="H404" s="446"/>
      <c r="I404" s="436" t="str">
        <f t="shared" si="14"/>
        <v/>
      </c>
      <c r="J404" s="439"/>
      <c r="K404" s="416" t="str">
        <f t="shared" si="15"/>
        <v/>
      </c>
      <c r="L404" s="416"/>
      <c r="M404" s="446"/>
    </row>
    <row r="405" spans="1:13">
      <c r="A405" s="416">
        <v>406</v>
      </c>
      <c r="B405" s="416"/>
      <c r="C405" s="416"/>
      <c r="D405" s="432"/>
      <c r="E405" s="437"/>
      <c r="F405" s="448" t="s">
        <v>3241</v>
      </c>
      <c r="G405" s="446"/>
      <c r="H405" s="446"/>
      <c r="I405" s="436" t="str">
        <f t="shared" si="14"/>
        <v/>
      </c>
      <c r="J405" s="439"/>
      <c r="K405" s="416" t="str">
        <f t="shared" si="15"/>
        <v/>
      </c>
      <c r="L405" s="416"/>
      <c r="M405" s="446"/>
    </row>
    <row r="406" spans="1:13">
      <c r="A406" s="416">
        <v>407</v>
      </c>
      <c r="B406" s="416"/>
      <c r="C406" s="416"/>
      <c r="D406" s="432"/>
      <c r="E406" s="437"/>
      <c r="F406" s="448" t="s">
        <v>3241</v>
      </c>
      <c r="G406" s="446"/>
      <c r="H406" s="446"/>
      <c r="I406" s="436" t="str">
        <f t="shared" si="14"/>
        <v/>
      </c>
      <c r="J406" s="439"/>
      <c r="K406" s="416" t="str">
        <f t="shared" si="15"/>
        <v/>
      </c>
      <c r="L406" s="416"/>
      <c r="M406" s="446"/>
    </row>
    <row r="407" spans="1:13">
      <c r="A407" s="416">
        <v>408</v>
      </c>
      <c r="B407" s="416"/>
      <c r="C407" s="416"/>
      <c r="D407" s="432"/>
      <c r="E407" s="437"/>
      <c r="F407" s="448" t="s">
        <v>3241</v>
      </c>
      <c r="G407" s="446"/>
      <c r="H407" s="446"/>
      <c r="I407" s="436" t="str">
        <f t="shared" si="14"/>
        <v/>
      </c>
      <c r="J407" s="439"/>
      <c r="K407" s="416" t="str">
        <f t="shared" si="15"/>
        <v/>
      </c>
      <c r="L407" s="416"/>
      <c r="M407" s="446"/>
    </row>
    <row r="408" spans="1:13">
      <c r="A408" s="416">
        <v>409</v>
      </c>
      <c r="B408" s="416"/>
      <c r="C408" s="416"/>
      <c r="D408" s="432"/>
      <c r="E408" s="437"/>
      <c r="F408" s="448" t="s">
        <v>3241</v>
      </c>
      <c r="G408" s="446"/>
      <c r="H408" s="446"/>
      <c r="I408" s="436" t="str">
        <f t="shared" si="14"/>
        <v/>
      </c>
      <c r="J408" s="439"/>
      <c r="K408" s="416" t="str">
        <f t="shared" si="15"/>
        <v/>
      </c>
      <c r="L408" s="416"/>
      <c r="M408" s="446"/>
    </row>
    <row r="409" spans="1:13">
      <c r="A409" s="416">
        <v>410</v>
      </c>
      <c r="B409" s="416"/>
      <c r="C409" s="416"/>
      <c r="D409" s="432"/>
      <c r="E409" s="437"/>
      <c r="F409" s="448" t="s">
        <v>3241</v>
      </c>
      <c r="G409" s="446"/>
      <c r="H409" s="446"/>
      <c r="I409" s="436" t="str">
        <f t="shared" si="14"/>
        <v/>
      </c>
      <c r="J409" s="439"/>
      <c r="K409" s="416" t="str">
        <f t="shared" si="15"/>
        <v/>
      </c>
      <c r="L409" s="416"/>
      <c r="M409" s="446"/>
    </row>
    <row r="410" spans="1:13">
      <c r="A410" s="416">
        <v>411</v>
      </c>
      <c r="B410" s="416"/>
      <c r="C410" s="416"/>
      <c r="D410" s="432"/>
      <c r="E410" s="437"/>
      <c r="F410" s="448" t="s">
        <v>3241</v>
      </c>
      <c r="G410" s="446"/>
      <c r="H410" s="446"/>
      <c r="I410" s="436" t="str">
        <f t="shared" si="14"/>
        <v/>
      </c>
      <c r="J410" s="439"/>
      <c r="K410" s="416" t="str">
        <f t="shared" si="15"/>
        <v/>
      </c>
      <c r="L410" s="416"/>
      <c r="M410" s="446"/>
    </row>
    <row r="411" spans="1:13">
      <c r="A411" s="416">
        <v>412</v>
      </c>
      <c r="B411" s="416"/>
      <c r="C411" s="416"/>
      <c r="D411" s="432"/>
      <c r="E411" s="437"/>
      <c r="F411" s="448" t="s">
        <v>3241</v>
      </c>
      <c r="G411" s="446"/>
      <c r="H411" s="446"/>
      <c r="I411" s="436" t="str">
        <f t="shared" si="14"/>
        <v/>
      </c>
      <c r="J411" s="439"/>
      <c r="K411" s="416" t="str">
        <f t="shared" si="15"/>
        <v/>
      </c>
      <c r="L411" s="416"/>
      <c r="M411" s="446"/>
    </row>
    <row r="412" spans="1:13">
      <c r="A412" s="416">
        <v>413</v>
      </c>
      <c r="B412" s="416"/>
      <c r="C412" s="416"/>
      <c r="D412" s="432"/>
      <c r="E412" s="437"/>
      <c r="F412" s="448" t="s">
        <v>3241</v>
      </c>
      <c r="G412" s="446"/>
      <c r="H412" s="446"/>
      <c r="I412" s="436" t="str">
        <f t="shared" si="14"/>
        <v/>
      </c>
      <c r="J412" s="439"/>
      <c r="K412" s="416" t="str">
        <f t="shared" si="15"/>
        <v/>
      </c>
      <c r="L412" s="416"/>
      <c r="M412" s="446"/>
    </row>
    <row r="413" spans="1:13">
      <c r="A413" s="416">
        <v>414</v>
      </c>
      <c r="B413" s="416"/>
      <c r="C413" s="416"/>
      <c r="D413" s="432"/>
      <c r="E413" s="437"/>
      <c r="F413" s="448" t="s">
        <v>3241</v>
      </c>
      <c r="G413" s="446"/>
      <c r="H413" s="446"/>
      <c r="I413" s="436" t="str">
        <f t="shared" si="14"/>
        <v/>
      </c>
      <c r="J413" s="439"/>
      <c r="K413" s="416" t="str">
        <f t="shared" si="15"/>
        <v/>
      </c>
      <c r="L413" s="416"/>
      <c r="M413" s="446"/>
    </row>
    <row r="414" spans="1:13">
      <c r="A414" s="416">
        <v>415</v>
      </c>
      <c r="B414" s="416"/>
      <c r="C414" s="416"/>
      <c r="D414" s="432"/>
      <c r="E414" s="437"/>
      <c r="F414" s="448" t="s">
        <v>3241</v>
      </c>
      <c r="G414" s="446"/>
      <c r="H414" s="446"/>
      <c r="I414" s="436" t="str">
        <f t="shared" si="14"/>
        <v/>
      </c>
      <c r="J414" s="439"/>
      <c r="K414" s="416" t="str">
        <f t="shared" si="15"/>
        <v/>
      </c>
      <c r="L414" s="416"/>
      <c r="M414" s="446"/>
    </row>
    <row r="415" spans="1:13">
      <c r="A415" s="416">
        <v>416</v>
      </c>
      <c r="B415" s="416"/>
      <c r="C415" s="416"/>
      <c r="D415" s="432"/>
      <c r="E415" s="437"/>
      <c r="F415" s="448" t="s">
        <v>3241</v>
      </c>
      <c r="G415" s="446"/>
      <c r="H415" s="446"/>
      <c r="I415" s="436" t="str">
        <f t="shared" si="14"/>
        <v/>
      </c>
      <c r="J415" s="439"/>
      <c r="K415" s="416" t="str">
        <f t="shared" si="15"/>
        <v/>
      </c>
      <c r="L415" s="416"/>
      <c r="M415" s="446"/>
    </row>
    <row r="416" spans="1:13">
      <c r="A416" s="416">
        <v>417</v>
      </c>
      <c r="B416" s="416"/>
      <c r="C416" s="416"/>
      <c r="D416" s="432"/>
      <c r="E416" s="437"/>
      <c r="F416" s="448" t="s">
        <v>3241</v>
      </c>
      <c r="G416" s="446"/>
      <c r="H416" s="446"/>
      <c r="I416" s="436" t="str">
        <f t="shared" si="14"/>
        <v/>
      </c>
      <c r="J416" s="439"/>
      <c r="K416" s="416" t="str">
        <f t="shared" si="15"/>
        <v/>
      </c>
      <c r="L416" s="416"/>
      <c r="M416" s="446"/>
    </row>
    <row r="417" spans="1:13">
      <c r="A417" s="416">
        <v>418</v>
      </c>
      <c r="B417" s="416"/>
      <c r="C417" s="416"/>
      <c r="D417" s="432"/>
      <c r="E417" s="437"/>
      <c r="F417" s="448" t="s">
        <v>3241</v>
      </c>
      <c r="G417" s="446"/>
      <c r="H417" s="446"/>
      <c r="I417" s="436" t="str">
        <f t="shared" si="14"/>
        <v/>
      </c>
      <c r="J417" s="439"/>
      <c r="K417" s="416" t="str">
        <f t="shared" si="15"/>
        <v/>
      </c>
      <c r="L417" s="416"/>
      <c r="M417" s="446"/>
    </row>
    <row r="418" spans="1:13">
      <c r="A418" s="416">
        <v>419</v>
      </c>
      <c r="B418" s="416"/>
      <c r="C418" s="416"/>
      <c r="D418" s="432"/>
      <c r="E418" s="437"/>
      <c r="F418" s="448" t="s">
        <v>3241</v>
      </c>
      <c r="G418" s="446"/>
      <c r="H418" s="446"/>
      <c r="I418" s="436" t="str">
        <f t="shared" si="14"/>
        <v/>
      </c>
      <c r="J418" s="439"/>
      <c r="K418" s="416" t="str">
        <f t="shared" si="15"/>
        <v/>
      </c>
      <c r="L418" s="416"/>
      <c r="M418" s="446"/>
    </row>
    <row r="419" spans="1:13">
      <c r="A419" s="416">
        <v>420</v>
      </c>
      <c r="B419" s="416"/>
      <c r="C419" s="416"/>
      <c r="D419" s="432"/>
      <c r="E419" s="437"/>
      <c r="F419" s="448" t="s">
        <v>3241</v>
      </c>
      <c r="G419" s="446"/>
      <c r="H419" s="446"/>
      <c r="I419" s="436" t="str">
        <f t="shared" si="14"/>
        <v/>
      </c>
      <c r="J419" s="439"/>
      <c r="K419" s="416" t="str">
        <f t="shared" si="15"/>
        <v/>
      </c>
      <c r="L419" s="416"/>
      <c r="M419" s="446"/>
    </row>
    <row r="420" spans="1:13">
      <c r="A420" s="416">
        <v>421</v>
      </c>
      <c r="B420" s="416"/>
      <c r="C420" s="416"/>
      <c r="D420" s="432"/>
      <c r="E420" s="437"/>
      <c r="F420" s="448" t="s">
        <v>3241</v>
      </c>
      <c r="G420" s="446"/>
      <c r="H420" s="446"/>
      <c r="I420" s="436" t="str">
        <f t="shared" si="14"/>
        <v/>
      </c>
      <c r="J420" s="439"/>
      <c r="K420" s="416" t="str">
        <f t="shared" si="15"/>
        <v/>
      </c>
      <c r="L420" s="416"/>
      <c r="M420" s="446"/>
    </row>
    <row r="421" spans="1:13">
      <c r="A421" s="416">
        <v>422</v>
      </c>
      <c r="B421" s="416"/>
      <c r="C421" s="416"/>
      <c r="D421" s="432"/>
      <c r="E421" s="437"/>
      <c r="F421" s="448" t="s">
        <v>3241</v>
      </c>
      <c r="G421" s="446"/>
      <c r="H421" s="446"/>
      <c r="I421" s="436" t="str">
        <f t="shared" si="14"/>
        <v/>
      </c>
      <c r="J421" s="439"/>
      <c r="K421" s="416" t="str">
        <f t="shared" si="15"/>
        <v/>
      </c>
      <c r="L421" s="416"/>
      <c r="M421" s="446"/>
    </row>
    <row r="422" spans="1:13">
      <c r="A422" s="416">
        <v>423</v>
      </c>
      <c r="B422" s="416"/>
      <c r="C422" s="416"/>
      <c r="D422" s="432"/>
      <c r="E422" s="437"/>
      <c r="F422" s="448" t="s">
        <v>3241</v>
      </c>
      <c r="G422" s="446"/>
      <c r="H422" s="446"/>
      <c r="I422" s="436" t="str">
        <f t="shared" si="14"/>
        <v/>
      </c>
      <c r="J422" s="439"/>
      <c r="K422" s="416" t="str">
        <f t="shared" si="15"/>
        <v/>
      </c>
      <c r="L422" s="416"/>
      <c r="M422" s="446"/>
    </row>
    <row r="423" spans="1:13">
      <c r="A423" s="416">
        <v>424</v>
      </c>
      <c r="B423" s="416"/>
      <c r="C423" s="416"/>
      <c r="D423" s="432"/>
      <c r="E423" s="437"/>
      <c r="F423" s="448" t="s">
        <v>3241</v>
      </c>
      <c r="G423" s="446"/>
      <c r="H423" s="446"/>
      <c r="I423" s="436" t="str">
        <f t="shared" si="14"/>
        <v/>
      </c>
      <c r="J423" s="439"/>
      <c r="K423" s="416" t="str">
        <f t="shared" si="15"/>
        <v/>
      </c>
      <c r="L423" s="416"/>
      <c r="M423" s="446"/>
    </row>
    <row r="424" spans="1:13">
      <c r="A424" s="416">
        <v>425</v>
      </c>
      <c r="B424" s="416"/>
      <c r="C424" s="416"/>
      <c r="D424" s="432"/>
      <c r="E424" s="437"/>
      <c r="F424" s="448" t="s">
        <v>3241</v>
      </c>
      <c r="G424" s="446"/>
      <c r="H424" s="446"/>
      <c r="I424" s="436" t="str">
        <f t="shared" si="14"/>
        <v/>
      </c>
      <c r="J424" s="439"/>
      <c r="K424" s="416" t="str">
        <f t="shared" si="15"/>
        <v/>
      </c>
      <c r="L424" s="416"/>
      <c r="M424" s="446"/>
    </row>
    <row r="425" spans="1:13">
      <c r="A425" s="416">
        <v>426</v>
      </c>
      <c r="B425" s="416"/>
      <c r="C425" s="416"/>
      <c r="D425" s="432"/>
      <c r="E425" s="437"/>
      <c r="F425" s="448" t="s">
        <v>3241</v>
      </c>
      <c r="G425" s="446"/>
      <c r="H425" s="446"/>
      <c r="I425" s="436" t="str">
        <f t="shared" si="14"/>
        <v/>
      </c>
      <c r="J425" s="439"/>
      <c r="K425" s="416" t="str">
        <f t="shared" si="15"/>
        <v/>
      </c>
      <c r="L425" s="416"/>
      <c r="M425" s="446"/>
    </row>
    <row r="426" spans="1:13">
      <c r="A426" s="416">
        <v>427</v>
      </c>
      <c r="B426" s="416"/>
      <c r="C426" s="416"/>
      <c r="D426" s="432"/>
      <c r="E426" s="437"/>
      <c r="F426" s="448" t="s">
        <v>3241</v>
      </c>
      <c r="G426" s="446"/>
      <c r="H426" s="446"/>
      <c r="I426" s="436" t="str">
        <f t="shared" si="14"/>
        <v/>
      </c>
      <c r="J426" s="439"/>
      <c r="K426" s="416" t="str">
        <f t="shared" si="15"/>
        <v/>
      </c>
      <c r="L426" s="416"/>
      <c r="M426" s="446"/>
    </row>
    <row r="427" spans="1:13">
      <c r="A427" s="416">
        <v>428</v>
      </c>
      <c r="B427" s="416"/>
      <c r="C427" s="416"/>
      <c r="D427" s="432"/>
      <c r="E427" s="437"/>
      <c r="F427" s="448" t="s">
        <v>3241</v>
      </c>
      <c r="G427" s="446"/>
      <c r="H427" s="446"/>
      <c r="I427" s="436" t="str">
        <f t="shared" si="14"/>
        <v/>
      </c>
      <c r="J427" s="439"/>
      <c r="K427" s="416" t="str">
        <f t="shared" si="15"/>
        <v/>
      </c>
      <c r="L427" s="416"/>
      <c r="M427" s="446"/>
    </row>
    <row r="428" spans="1:13">
      <c r="A428" s="416">
        <v>429</v>
      </c>
      <c r="B428" s="416"/>
      <c r="C428" s="416"/>
      <c r="D428" s="432"/>
      <c r="E428" s="437"/>
      <c r="F428" s="448" t="s">
        <v>3241</v>
      </c>
      <c r="G428" s="446"/>
      <c r="H428" s="446"/>
      <c r="I428" s="436" t="str">
        <f t="shared" si="14"/>
        <v/>
      </c>
      <c r="J428" s="439"/>
      <c r="K428" s="416" t="str">
        <f t="shared" si="15"/>
        <v/>
      </c>
      <c r="L428" s="416"/>
      <c r="M428" s="446"/>
    </row>
    <row r="429" spans="1:13">
      <c r="A429" s="416">
        <v>430</v>
      </c>
      <c r="B429" s="416"/>
      <c r="C429" s="416"/>
      <c r="D429" s="432"/>
      <c r="E429" s="437"/>
      <c r="F429" s="448" t="s">
        <v>3241</v>
      </c>
      <c r="G429" s="446"/>
      <c r="H429" s="446"/>
      <c r="I429" s="436" t="str">
        <f t="shared" si="14"/>
        <v/>
      </c>
      <c r="J429" s="439"/>
      <c r="K429" s="416" t="str">
        <f t="shared" si="15"/>
        <v/>
      </c>
      <c r="L429" s="416"/>
      <c r="M429" s="446"/>
    </row>
    <row r="430" spans="1:13">
      <c r="A430" s="416">
        <v>431</v>
      </c>
      <c r="B430" s="416"/>
      <c r="C430" s="416"/>
      <c r="D430" s="432"/>
      <c r="E430" s="437"/>
      <c r="F430" s="448" t="s">
        <v>3241</v>
      </c>
      <c r="G430" s="446"/>
      <c r="H430" s="446"/>
      <c r="I430" s="436" t="str">
        <f t="shared" si="14"/>
        <v/>
      </c>
      <c r="J430" s="439"/>
      <c r="K430" s="416" t="str">
        <f t="shared" si="15"/>
        <v/>
      </c>
      <c r="L430" s="416"/>
      <c r="M430" s="446"/>
    </row>
    <row r="431" spans="1:13">
      <c r="A431" s="416">
        <v>432</v>
      </c>
      <c r="B431" s="416"/>
      <c r="C431" s="416"/>
      <c r="D431" s="432"/>
      <c r="E431" s="437"/>
      <c r="F431" s="448" t="s">
        <v>3241</v>
      </c>
      <c r="G431" s="446"/>
      <c r="H431" s="446"/>
      <c r="I431" s="436" t="str">
        <f t="shared" si="14"/>
        <v/>
      </c>
      <c r="J431" s="439"/>
      <c r="K431" s="416" t="str">
        <f t="shared" si="15"/>
        <v/>
      </c>
      <c r="L431" s="416"/>
      <c r="M431" s="446"/>
    </row>
    <row r="432" spans="1:13">
      <c r="A432" s="416">
        <v>433</v>
      </c>
      <c r="B432" s="416"/>
      <c r="C432" s="416"/>
      <c r="D432" s="432"/>
      <c r="E432" s="437"/>
      <c r="F432" s="448" t="s">
        <v>3241</v>
      </c>
      <c r="G432" s="446"/>
      <c r="H432" s="446"/>
      <c r="I432" s="436" t="str">
        <f t="shared" si="14"/>
        <v/>
      </c>
      <c r="J432" s="439"/>
      <c r="K432" s="416" t="str">
        <f t="shared" si="15"/>
        <v/>
      </c>
      <c r="L432" s="416"/>
      <c r="M432" s="446"/>
    </row>
    <row r="433" spans="1:13">
      <c r="A433" s="416">
        <v>434</v>
      </c>
      <c r="B433" s="416"/>
      <c r="C433" s="416"/>
      <c r="D433" s="432"/>
      <c r="E433" s="437"/>
      <c r="F433" s="448" t="s">
        <v>3241</v>
      </c>
      <c r="G433" s="446"/>
      <c r="H433" s="446"/>
      <c r="I433" s="436" t="str">
        <f t="shared" si="14"/>
        <v/>
      </c>
      <c r="J433" s="439"/>
      <c r="K433" s="416" t="str">
        <f t="shared" si="15"/>
        <v/>
      </c>
      <c r="L433" s="416"/>
      <c r="M433" s="446"/>
    </row>
    <row r="434" spans="1:13">
      <c r="A434" s="416">
        <v>435</v>
      </c>
      <c r="B434" s="416"/>
      <c r="C434" s="416"/>
      <c r="D434" s="432"/>
      <c r="E434" s="437"/>
      <c r="F434" s="448" t="s">
        <v>3241</v>
      </c>
      <c r="G434" s="446"/>
      <c r="H434" s="446"/>
      <c r="I434" s="436" t="str">
        <f t="shared" si="14"/>
        <v/>
      </c>
      <c r="J434" s="439"/>
      <c r="K434" s="416" t="str">
        <f t="shared" si="15"/>
        <v/>
      </c>
      <c r="L434" s="416"/>
      <c r="M434" s="446"/>
    </row>
    <row r="435" spans="1:13">
      <c r="A435" s="416">
        <v>436</v>
      </c>
      <c r="B435" s="416"/>
      <c r="C435" s="416"/>
      <c r="D435" s="432"/>
      <c r="E435" s="437"/>
      <c r="F435" s="448" t="s">
        <v>3241</v>
      </c>
      <c r="G435" s="446"/>
      <c r="H435" s="446"/>
      <c r="I435" s="436" t="str">
        <f t="shared" si="14"/>
        <v/>
      </c>
      <c r="J435" s="439"/>
      <c r="K435" s="416" t="str">
        <f t="shared" si="15"/>
        <v/>
      </c>
      <c r="L435" s="416"/>
      <c r="M435" s="446"/>
    </row>
    <row r="436" spans="1:13">
      <c r="A436" s="416">
        <v>437</v>
      </c>
      <c r="B436" s="416"/>
      <c r="C436" s="416"/>
      <c r="D436" s="432"/>
      <c r="E436" s="437"/>
      <c r="F436" s="448" t="s">
        <v>3241</v>
      </c>
      <c r="G436" s="446"/>
      <c r="H436" s="446"/>
      <c r="I436" s="436" t="str">
        <f t="shared" si="14"/>
        <v/>
      </c>
      <c r="J436" s="439"/>
      <c r="K436" s="416" t="str">
        <f t="shared" si="15"/>
        <v/>
      </c>
      <c r="L436" s="416"/>
      <c r="M436" s="446"/>
    </row>
    <row r="437" spans="1:13">
      <c r="A437" s="416">
        <v>438</v>
      </c>
      <c r="B437" s="416"/>
      <c r="C437" s="416"/>
      <c r="D437" s="432"/>
      <c r="E437" s="437"/>
      <c r="F437" s="448" t="s">
        <v>3241</v>
      </c>
      <c r="G437" s="446"/>
      <c r="H437" s="446"/>
      <c r="I437" s="436" t="str">
        <f t="shared" si="14"/>
        <v/>
      </c>
      <c r="J437" s="439"/>
      <c r="K437" s="416" t="str">
        <f t="shared" si="15"/>
        <v/>
      </c>
      <c r="L437" s="416"/>
      <c r="M437" s="446"/>
    </row>
    <row r="438" spans="1:13">
      <c r="A438" s="416">
        <v>439</v>
      </c>
      <c r="B438" s="416"/>
      <c r="C438" s="416"/>
      <c r="D438" s="432"/>
      <c r="E438" s="437"/>
      <c r="F438" s="448" t="s">
        <v>3241</v>
      </c>
      <c r="G438" s="446"/>
      <c r="H438" s="446"/>
      <c r="I438" s="436" t="str">
        <f t="shared" si="14"/>
        <v/>
      </c>
      <c r="J438" s="439"/>
      <c r="K438" s="416" t="str">
        <f t="shared" si="15"/>
        <v/>
      </c>
      <c r="L438" s="416"/>
      <c r="M438" s="446"/>
    </row>
    <row r="439" spans="1:13">
      <c r="A439" s="416">
        <v>440</v>
      </c>
      <c r="B439" s="416"/>
      <c r="C439" s="416"/>
      <c r="D439" s="432"/>
      <c r="E439" s="437"/>
      <c r="F439" s="448" t="s">
        <v>3241</v>
      </c>
      <c r="G439" s="446"/>
      <c r="H439" s="446"/>
      <c r="I439" s="436" t="str">
        <f t="shared" si="14"/>
        <v/>
      </c>
      <c r="J439" s="439"/>
      <c r="K439" s="416" t="str">
        <f t="shared" si="15"/>
        <v/>
      </c>
      <c r="L439" s="416"/>
      <c r="M439" s="446"/>
    </row>
    <row r="440" spans="1:13">
      <c r="A440" s="416">
        <v>441</v>
      </c>
      <c r="B440" s="416"/>
      <c r="C440" s="416"/>
      <c r="D440" s="432"/>
      <c r="E440" s="437"/>
      <c r="F440" s="448" t="s">
        <v>3241</v>
      </c>
      <c r="G440" s="446"/>
      <c r="H440" s="446"/>
      <c r="I440" s="436" t="str">
        <f t="shared" si="14"/>
        <v/>
      </c>
      <c r="J440" s="439"/>
      <c r="K440" s="416" t="str">
        <f t="shared" si="15"/>
        <v/>
      </c>
      <c r="L440" s="416"/>
      <c r="M440" s="446"/>
    </row>
    <row r="441" spans="1:13">
      <c r="A441" s="416">
        <v>442</v>
      </c>
      <c r="B441" s="416"/>
      <c r="C441" s="416"/>
      <c r="D441" s="432"/>
      <c r="E441" s="437"/>
      <c r="F441" s="448" t="s">
        <v>3241</v>
      </c>
      <c r="G441" s="446"/>
      <c r="H441" s="446"/>
      <c r="I441" s="436" t="str">
        <f t="shared" si="14"/>
        <v/>
      </c>
      <c r="J441" s="439"/>
      <c r="K441" s="416" t="str">
        <f t="shared" si="15"/>
        <v/>
      </c>
      <c r="L441" s="416"/>
      <c r="M441" s="446"/>
    </row>
    <row r="442" spans="1:13">
      <c r="A442" s="416">
        <v>443</v>
      </c>
      <c r="B442" s="416"/>
      <c r="C442" s="416"/>
      <c r="D442" s="432"/>
      <c r="E442" s="437"/>
      <c r="F442" s="448" t="s">
        <v>3241</v>
      </c>
      <c r="G442" s="446"/>
      <c r="H442" s="446"/>
      <c r="I442" s="436" t="str">
        <f t="shared" si="14"/>
        <v/>
      </c>
      <c r="J442" s="439"/>
      <c r="K442" s="416" t="str">
        <f t="shared" si="15"/>
        <v/>
      </c>
      <c r="L442" s="416"/>
      <c r="M442" s="446"/>
    </row>
    <row r="443" spans="1:13">
      <c r="A443" s="416">
        <v>444</v>
      </c>
      <c r="B443" s="416"/>
      <c r="C443" s="416"/>
      <c r="D443" s="432"/>
      <c r="E443" s="437"/>
      <c r="F443" s="448" t="s">
        <v>3241</v>
      </c>
      <c r="G443" s="446"/>
      <c r="H443" s="446"/>
      <c r="I443" s="436" t="str">
        <f t="shared" si="14"/>
        <v/>
      </c>
      <c r="J443" s="439"/>
      <c r="K443" s="416" t="str">
        <f t="shared" si="15"/>
        <v/>
      </c>
      <c r="L443" s="416"/>
      <c r="M443" s="446"/>
    </row>
    <row r="444" spans="1:13">
      <c r="A444" s="416">
        <v>445</v>
      </c>
      <c r="B444" s="416"/>
      <c r="C444" s="416"/>
      <c r="D444" s="432"/>
      <c r="E444" s="437"/>
      <c r="F444" s="448" t="s">
        <v>3241</v>
      </c>
      <c r="G444" s="446"/>
      <c r="H444" s="446"/>
      <c r="I444" s="436" t="str">
        <f t="shared" si="14"/>
        <v/>
      </c>
      <c r="J444" s="439"/>
      <c r="K444" s="416" t="str">
        <f t="shared" si="15"/>
        <v/>
      </c>
      <c r="L444" s="416"/>
      <c r="M444" s="446"/>
    </row>
    <row r="445" spans="1:13">
      <c r="A445" s="416">
        <v>446</v>
      </c>
      <c r="B445" s="416"/>
      <c r="C445" s="416"/>
      <c r="D445" s="432"/>
      <c r="E445" s="437"/>
      <c r="F445" s="448" t="s">
        <v>3241</v>
      </c>
      <c r="G445" s="446"/>
      <c r="H445" s="446"/>
      <c r="I445" s="436" t="str">
        <f t="shared" ref="I445:I508" si="16">IF(G445="","",ROUND(H445/G445,2))</f>
        <v/>
      </c>
      <c r="J445" s="439"/>
      <c r="K445" s="416" t="str">
        <f t="shared" si="15"/>
        <v/>
      </c>
      <c r="L445" s="416"/>
      <c r="M445" s="446"/>
    </row>
    <row r="446" spans="1:13">
      <c r="A446" s="416">
        <v>447</v>
      </c>
      <c r="B446" s="416"/>
      <c r="C446" s="416"/>
      <c r="D446" s="432"/>
      <c r="E446" s="437"/>
      <c r="F446" s="448" t="s">
        <v>3241</v>
      </c>
      <c r="G446" s="446"/>
      <c r="H446" s="446"/>
      <c r="I446" s="436" t="str">
        <f t="shared" si="16"/>
        <v/>
      </c>
      <c r="J446" s="439"/>
      <c r="K446" s="416" t="str">
        <f t="shared" si="15"/>
        <v/>
      </c>
      <c r="L446" s="416"/>
      <c r="M446" s="446"/>
    </row>
    <row r="447" spans="1:13">
      <c r="A447" s="416">
        <v>448</v>
      </c>
      <c r="B447" s="416"/>
      <c r="C447" s="416"/>
      <c r="D447" s="432"/>
      <c r="E447" s="437"/>
      <c r="F447" s="448" t="s">
        <v>3241</v>
      </c>
      <c r="G447" s="446"/>
      <c r="H447" s="446"/>
      <c r="I447" s="436" t="str">
        <f t="shared" si="16"/>
        <v/>
      </c>
      <c r="J447" s="439"/>
      <c r="K447" s="416" t="str">
        <f t="shared" si="15"/>
        <v/>
      </c>
      <c r="L447" s="416"/>
      <c r="M447" s="446"/>
    </row>
    <row r="448" spans="1:13">
      <c r="A448" s="416">
        <v>449</v>
      </c>
      <c r="B448" s="416"/>
      <c r="C448" s="416"/>
      <c r="D448" s="432"/>
      <c r="E448" s="437"/>
      <c r="F448" s="448" t="s">
        <v>3241</v>
      </c>
      <c r="G448" s="446"/>
      <c r="H448" s="446"/>
      <c r="I448" s="436" t="str">
        <f t="shared" si="16"/>
        <v/>
      </c>
      <c r="J448" s="439"/>
      <c r="K448" s="416" t="str">
        <f t="shared" ref="K448:K511" si="17">IF(J448="USD",USD,IF(J448="EUR",EUR,""))</f>
        <v/>
      </c>
      <c r="L448" s="416"/>
      <c r="M448" s="446"/>
    </row>
    <row r="449" spans="1:13">
      <c r="A449" s="416">
        <v>450</v>
      </c>
      <c r="B449" s="416"/>
      <c r="C449" s="416"/>
      <c r="D449" s="432"/>
      <c r="E449" s="437"/>
      <c r="F449" s="448" t="s">
        <v>3241</v>
      </c>
      <c r="G449" s="446"/>
      <c r="H449" s="446"/>
      <c r="I449" s="436" t="str">
        <f t="shared" si="16"/>
        <v/>
      </c>
      <c r="J449" s="439"/>
      <c r="K449" s="416" t="str">
        <f t="shared" si="17"/>
        <v/>
      </c>
      <c r="L449" s="416"/>
      <c r="M449" s="446"/>
    </row>
    <row r="450" spans="1:13">
      <c r="A450" s="416">
        <v>451</v>
      </c>
      <c r="B450" s="416"/>
      <c r="C450" s="416"/>
      <c r="D450" s="432"/>
      <c r="E450" s="437"/>
      <c r="F450" s="448" t="s">
        <v>3241</v>
      </c>
      <c r="G450" s="446"/>
      <c r="H450" s="446"/>
      <c r="I450" s="436" t="str">
        <f t="shared" si="16"/>
        <v/>
      </c>
      <c r="J450" s="439"/>
      <c r="K450" s="416" t="str">
        <f t="shared" si="17"/>
        <v/>
      </c>
      <c r="L450" s="416"/>
      <c r="M450" s="446"/>
    </row>
    <row r="451" spans="1:13">
      <c r="A451" s="416">
        <v>452</v>
      </c>
      <c r="B451" s="416"/>
      <c r="C451" s="416"/>
      <c r="D451" s="432"/>
      <c r="E451" s="437"/>
      <c r="F451" s="448" t="s">
        <v>3241</v>
      </c>
      <c r="G451" s="446"/>
      <c r="H451" s="446"/>
      <c r="I451" s="436" t="str">
        <f t="shared" si="16"/>
        <v/>
      </c>
      <c r="J451" s="439"/>
      <c r="K451" s="416" t="str">
        <f t="shared" si="17"/>
        <v/>
      </c>
      <c r="L451" s="416"/>
      <c r="M451" s="446"/>
    </row>
    <row r="452" spans="1:13">
      <c r="A452" s="416">
        <v>453</v>
      </c>
      <c r="B452" s="416"/>
      <c r="C452" s="416"/>
      <c r="D452" s="432"/>
      <c r="E452" s="437"/>
      <c r="F452" s="448" t="s">
        <v>3241</v>
      </c>
      <c r="G452" s="446"/>
      <c r="H452" s="446"/>
      <c r="I452" s="436" t="str">
        <f t="shared" si="16"/>
        <v/>
      </c>
      <c r="J452" s="439"/>
      <c r="K452" s="416" t="str">
        <f t="shared" si="17"/>
        <v/>
      </c>
      <c r="L452" s="416"/>
      <c r="M452" s="446"/>
    </row>
    <row r="453" spans="1:13">
      <c r="A453" s="416">
        <v>454</v>
      </c>
      <c r="B453" s="416"/>
      <c r="C453" s="416"/>
      <c r="D453" s="432"/>
      <c r="E453" s="437"/>
      <c r="F453" s="448" t="s">
        <v>3241</v>
      </c>
      <c r="G453" s="446"/>
      <c r="H453" s="446"/>
      <c r="I453" s="436" t="str">
        <f t="shared" si="16"/>
        <v/>
      </c>
      <c r="J453" s="439"/>
      <c r="K453" s="416" t="str">
        <f t="shared" si="17"/>
        <v/>
      </c>
      <c r="L453" s="416"/>
      <c r="M453" s="446"/>
    </row>
    <row r="454" spans="1:13">
      <c r="A454" s="416">
        <v>455</v>
      </c>
      <c r="B454" s="416"/>
      <c r="C454" s="416"/>
      <c r="D454" s="432"/>
      <c r="E454" s="437"/>
      <c r="F454" s="448" t="s">
        <v>3241</v>
      </c>
      <c r="G454" s="446"/>
      <c r="H454" s="446"/>
      <c r="I454" s="436" t="str">
        <f t="shared" si="16"/>
        <v/>
      </c>
      <c r="J454" s="439"/>
      <c r="K454" s="416" t="str">
        <f t="shared" si="17"/>
        <v/>
      </c>
      <c r="L454" s="416"/>
      <c r="M454" s="446"/>
    </row>
    <row r="455" spans="1:13">
      <c r="A455" s="416">
        <v>456</v>
      </c>
      <c r="B455" s="416"/>
      <c r="C455" s="416"/>
      <c r="D455" s="432"/>
      <c r="E455" s="437"/>
      <c r="F455" s="448" t="s">
        <v>3241</v>
      </c>
      <c r="G455" s="446"/>
      <c r="H455" s="446"/>
      <c r="I455" s="436" t="str">
        <f t="shared" si="16"/>
        <v/>
      </c>
      <c r="J455" s="439"/>
      <c r="K455" s="416" t="str">
        <f t="shared" si="17"/>
        <v/>
      </c>
      <c r="L455" s="416"/>
      <c r="M455" s="446"/>
    </row>
    <row r="456" spans="1:13">
      <c r="A456" s="416">
        <v>457</v>
      </c>
      <c r="B456" s="416"/>
      <c r="C456" s="416"/>
      <c r="D456" s="432"/>
      <c r="E456" s="437"/>
      <c r="F456" s="448" t="s">
        <v>3241</v>
      </c>
      <c r="G456" s="446"/>
      <c r="H456" s="446"/>
      <c r="I456" s="436" t="str">
        <f t="shared" si="16"/>
        <v/>
      </c>
      <c r="J456" s="439"/>
      <c r="K456" s="416" t="str">
        <f t="shared" si="17"/>
        <v/>
      </c>
      <c r="L456" s="416"/>
      <c r="M456" s="446"/>
    </row>
    <row r="457" spans="1:13">
      <c r="A457" s="416">
        <v>458</v>
      </c>
      <c r="B457" s="416"/>
      <c r="C457" s="416"/>
      <c r="D457" s="432"/>
      <c r="E457" s="437"/>
      <c r="F457" s="448" t="s">
        <v>3241</v>
      </c>
      <c r="G457" s="446"/>
      <c r="H457" s="446"/>
      <c r="I457" s="436" t="str">
        <f t="shared" si="16"/>
        <v/>
      </c>
      <c r="J457" s="439"/>
      <c r="K457" s="416" t="str">
        <f t="shared" si="17"/>
        <v/>
      </c>
      <c r="L457" s="416"/>
      <c r="M457" s="446"/>
    </row>
    <row r="458" spans="1:13">
      <c r="A458" s="416">
        <v>459</v>
      </c>
      <c r="B458" s="416"/>
      <c r="C458" s="416"/>
      <c r="D458" s="432"/>
      <c r="E458" s="437"/>
      <c r="F458" s="448" t="s">
        <v>3241</v>
      </c>
      <c r="G458" s="446"/>
      <c r="H458" s="446"/>
      <c r="I458" s="436" t="str">
        <f t="shared" si="16"/>
        <v/>
      </c>
      <c r="J458" s="439"/>
      <c r="K458" s="416" t="str">
        <f t="shared" si="17"/>
        <v/>
      </c>
      <c r="L458" s="416"/>
      <c r="M458" s="446"/>
    </row>
    <row r="459" spans="1:13">
      <c r="A459" s="416">
        <v>460</v>
      </c>
      <c r="B459" s="416"/>
      <c r="C459" s="416"/>
      <c r="D459" s="432"/>
      <c r="E459" s="437"/>
      <c r="F459" s="448" t="s">
        <v>3241</v>
      </c>
      <c r="G459" s="446"/>
      <c r="H459" s="446"/>
      <c r="I459" s="436" t="str">
        <f t="shared" si="16"/>
        <v/>
      </c>
      <c r="J459" s="439"/>
      <c r="K459" s="416" t="str">
        <f t="shared" si="17"/>
        <v/>
      </c>
      <c r="L459" s="416"/>
      <c r="M459" s="446"/>
    </row>
    <row r="460" spans="1:13">
      <c r="A460" s="416">
        <v>461</v>
      </c>
      <c r="B460" s="416"/>
      <c r="C460" s="416"/>
      <c r="D460" s="432"/>
      <c r="E460" s="437"/>
      <c r="F460" s="448" t="s">
        <v>3241</v>
      </c>
      <c r="G460" s="446"/>
      <c r="H460" s="446"/>
      <c r="I460" s="436" t="str">
        <f t="shared" si="16"/>
        <v/>
      </c>
      <c r="J460" s="439"/>
      <c r="K460" s="416" t="str">
        <f t="shared" si="17"/>
        <v/>
      </c>
      <c r="L460" s="416"/>
      <c r="M460" s="446"/>
    </row>
    <row r="461" spans="1:13">
      <c r="A461" s="416">
        <v>462</v>
      </c>
      <c r="B461" s="416"/>
      <c r="C461" s="416"/>
      <c r="D461" s="432"/>
      <c r="E461" s="437"/>
      <c r="F461" s="448" t="s">
        <v>3241</v>
      </c>
      <c r="G461" s="446"/>
      <c r="H461" s="446"/>
      <c r="I461" s="436" t="str">
        <f t="shared" si="16"/>
        <v/>
      </c>
      <c r="J461" s="439"/>
      <c r="K461" s="416" t="str">
        <f t="shared" si="17"/>
        <v/>
      </c>
      <c r="L461" s="416"/>
      <c r="M461" s="446"/>
    </row>
    <row r="462" spans="1:13">
      <c r="A462" s="416">
        <v>463</v>
      </c>
      <c r="B462" s="416"/>
      <c r="C462" s="416"/>
      <c r="D462" s="432"/>
      <c r="E462" s="437"/>
      <c r="F462" s="448" t="s">
        <v>3241</v>
      </c>
      <c r="G462" s="446"/>
      <c r="H462" s="446"/>
      <c r="I462" s="436" t="str">
        <f t="shared" si="16"/>
        <v/>
      </c>
      <c r="J462" s="439"/>
      <c r="K462" s="416" t="str">
        <f t="shared" si="17"/>
        <v/>
      </c>
      <c r="L462" s="416"/>
      <c r="M462" s="446"/>
    </row>
    <row r="463" spans="1:13">
      <c r="A463" s="416">
        <v>464</v>
      </c>
      <c r="B463" s="416"/>
      <c r="C463" s="416"/>
      <c r="D463" s="432"/>
      <c r="E463" s="437"/>
      <c r="F463" s="448" t="s">
        <v>3241</v>
      </c>
      <c r="G463" s="446"/>
      <c r="H463" s="446"/>
      <c r="I463" s="436" t="str">
        <f t="shared" si="16"/>
        <v/>
      </c>
      <c r="J463" s="439"/>
      <c r="K463" s="416" t="str">
        <f t="shared" si="17"/>
        <v/>
      </c>
      <c r="L463" s="416"/>
      <c r="M463" s="446"/>
    </row>
    <row r="464" spans="1:13">
      <c r="A464" s="416">
        <v>465</v>
      </c>
      <c r="B464" s="416"/>
      <c r="C464" s="416"/>
      <c r="D464" s="432"/>
      <c r="E464" s="437"/>
      <c r="F464" s="448" t="s">
        <v>3241</v>
      </c>
      <c r="G464" s="446"/>
      <c r="H464" s="446"/>
      <c r="I464" s="436" t="str">
        <f t="shared" si="16"/>
        <v/>
      </c>
      <c r="J464" s="439"/>
      <c r="K464" s="416" t="str">
        <f t="shared" si="17"/>
        <v/>
      </c>
      <c r="L464" s="416"/>
      <c r="M464" s="446"/>
    </row>
    <row r="465" spans="1:13">
      <c r="A465" s="416">
        <v>466</v>
      </c>
      <c r="B465" s="416"/>
      <c r="C465" s="416"/>
      <c r="D465" s="432"/>
      <c r="E465" s="437"/>
      <c r="F465" s="448" t="s">
        <v>3241</v>
      </c>
      <c r="G465" s="446"/>
      <c r="H465" s="446"/>
      <c r="I465" s="436" t="str">
        <f t="shared" si="16"/>
        <v/>
      </c>
      <c r="J465" s="439"/>
      <c r="K465" s="416" t="str">
        <f t="shared" si="17"/>
        <v/>
      </c>
      <c r="L465" s="416"/>
      <c r="M465" s="446"/>
    </row>
    <row r="466" spans="1:13">
      <c r="A466" s="416">
        <v>467</v>
      </c>
      <c r="B466" s="416"/>
      <c r="C466" s="416"/>
      <c r="D466" s="432"/>
      <c r="E466" s="437"/>
      <c r="F466" s="448" t="s">
        <v>3241</v>
      </c>
      <c r="G466" s="446"/>
      <c r="H466" s="446"/>
      <c r="I466" s="436" t="str">
        <f t="shared" si="16"/>
        <v/>
      </c>
      <c r="J466" s="439"/>
      <c r="K466" s="416" t="str">
        <f t="shared" si="17"/>
        <v/>
      </c>
      <c r="L466" s="416"/>
      <c r="M466" s="446"/>
    </row>
    <row r="467" spans="1:13">
      <c r="A467" s="416">
        <v>468</v>
      </c>
      <c r="B467" s="416"/>
      <c r="C467" s="416"/>
      <c r="D467" s="432"/>
      <c r="E467" s="437"/>
      <c r="F467" s="448" t="s">
        <v>3241</v>
      </c>
      <c r="G467" s="446"/>
      <c r="H467" s="446"/>
      <c r="I467" s="436" t="str">
        <f t="shared" si="16"/>
        <v/>
      </c>
      <c r="J467" s="439"/>
      <c r="K467" s="416" t="str">
        <f t="shared" si="17"/>
        <v/>
      </c>
      <c r="L467" s="416"/>
      <c r="M467" s="446"/>
    </row>
    <row r="468" spans="1:13">
      <c r="A468" s="416">
        <v>469</v>
      </c>
      <c r="B468" s="416"/>
      <c r="C468" s="416"/>
      <c r="D468" s="432"/>
      <c r="E468" s="437"/>
      <c r="F468" s="448" t="s">
        <v>3241</v>
      </c>
      <c r="G468" s="446"/>
      <c r="H468" s="446"/>
      <c r="I468" s="436" t="str">
        <f t="shared" si="16"/>
        <v/>
      </c>
      <c r="J468" s="439"/>
      <c r="K468" s="416" t="str">
        <f t="shared" si="17"/>
        <v/>
      </c>
      <c r="L468" s="416"/>
      <c r="M468" s="446"/>
    </row>
    <row r="469" spans="1:13">
      <c r="A469" s="416">
        <v>470</v>
      </c>
      <c r="B469" s="416"/>
      <c r="C469" s="416"/>
      <c r="D469" s="432"/>
      <c r="E469" s="437"/>
      <c r="F469" s="448" t="s">
        <v>3241</v>
      </c>
      <c r="G469" s="446"/>
      <c r="H469" s="446"/>
      <c r="I469" s="436" t="str">
        <f t="shared" si="16"/>
        <v/>
      </c>
      <c r="J469" s="439"/>
      <c r="K469" s="416" t="str">
        <f t="shared" si="17"/>
        <v/>
      </c>
      <c r="L469" s="416"/>
      <c r="M469" s="446"/>
    </row>
    <row r="470" spans="1:13">
      <c r="A470" s="416">
        <v>471</v>
      </c>
      <c r="B470" s="416"/>
      <c r="C470" s="416"/>
      <c r="D470" s="432"/>
      <c r="E470" s="437"/>
      <c r="F470" s="448" t="s">
        <v>3241</v>
      </c>
      <c r="G470" s="446"/>
      <c r="H470" s="446"/>
      <c r="I470" s="436" t="str">
        <f t="shared" si="16"/>
        <v/>
      </c>
      <c r="J470" s="439"/>
      <c r="K470" s="416" t="str">
        <f t="shared" si="17"/>
        <v/>
      </c>
      <c r="L470" s="416"/>
      <c r="M470" s="446"/>
    </row>
    <row r="471" spans="1:13">
      <c r="A471" s="416">
        <v>472</v>
      </c>
      <c r="B471" s="416"/>
      <c r="C471" s="416"/>
      <c r="D471" s="432"/>
      <c r="E471" s="437"/>
      <c r="F471" s="448" t="s">
        <v>3241</v>
      </c>
      <c r="G471" s="446"/>
      <c r="H471" s="446"/>
      <c r="I471" s="436" t="str">
        <f t="shared" si="16"/>
        <v/>
      </c>
      <c r="J471" s="439"/>
      <c r="K471" s="416" t="str">
        <f t="shared" si="17"/>
        <v/>
      </c>
      <c r="L471" s="416"/>
      <c r="M471" s="446"/>
    </row>
    <row r="472" spans="1:13">
      <c r="A472" s="416">
        <v>473</v>
      </c>
      <c r="B472" s="416"/>
      <c r="C472" s="416"/>
      <c r="D472" s="432"/>
      <c r="E472" s="437"/>
      <c r="F472" s="448" t="s">
        <v>3241</v>
      </c>
      <c r="G472" s="446"/>
      <c r="H472" s="446"/>
      <c r="I472" s="436" t="str">
        <f t="shared" si="16"/>
        <v/>
      </c>
      <c r="J472" s="439"/>
      <c r="K472" s="416" t="str">
        <f t="shared" si="17"/>
        <v/>
      </c>
      <c r="L472" s="416"/>
      <c r="M472" s="446"/>
    </row>
    <row r="473" spans="1:13">
      <c r="A473" s="416">
        <v>474</v>
      </c>
      <c r="B473" s="416"/>
      <c r="C473" s="416"/>
      <c r="D473" s="432"/>
      <c r="E473" s="437"/>
      <c r="F473" s="448" t="s">
        <v>3241</v>
      </c>
      <c r="G473" s="446"/>
      <c r="H473" s="446"/>
      <c r="I473" s="436" t="str">
        <f t="shared" si="16"/>
        <v/>
      </c>
      <c r="J473" s="439"/>
      <c r="K473" s="416" t="str">
        <f t="shared" si="17"/>
        <v/>
      </c>
      <c r="L473" s="416"/>
      <c r="M473" s="446"/>
    </row>
    <row r="474" spans="1:13">
      <c r="A474" s="416">
        <v>475</v>
      </c>
      <c r="B474" s="416"/>
      <c r="C474" s="416"/>
      <c r="D474" s="432"/>
      <c r="E474" s="437"/>
      <c r="F474" s="448" t="s">
        <v>3241</v>
      </c>
      <c r="G474" s="446"/>
      <c r="H474" s="446"/>
      <c r="I474" s="436" t="str">
        <f t="shared" si="16"/>
        <v/>
      </c>
      <c r="J474" s="439"/>
      <c r="K474" s="416" t="str">
        <f t="shared" si="17"/>
        <v/>
      </c>
      <c r="L474" s="416"/>
      <c r="M474" s="446"/>
    </row>
    <row r="475" spans="1:13">
      <c r="A475" s="416">
        <v>476</v>
      </c>
      <c r="B475" s="416"/>
      <c r="C475" s="416"/>
      <c r="D475" s="432"/>
      <c r="E475" s="437"/>
      <c r="F475" s="448" t="s">
        <v>3241</v>
      </c>
      <c r="G475" s="446"/>
      <c r="H475" s="446"/>
      <c r="I475" s="436" t="str">
        <f t="shared" si="16"/>
        <v/>
      </c>
      <c r="J475" s="439"/>
      <c r="K475" s="416" t="str">
        <f t="shared" si="17"/>
        <v/>
      </c>
      <c r="L475" s="416"/>
      <c r="M475" s="446"/>
    </row>
    <row r="476" spans="1:13">
      <c r="A476" s="416">
        <v>477</v>
      </c>
      <c r="B476" s="416"/>
      <c r="C476" s="416"/>
      <c r="D476" s="432"/>
      <c r="E476" s="437"/>
      <c r="F476" s="448" t="s">
        <v>3241</v>
      </c>
      <c r="G476" s="446"/>
      <c r="H476" s="446"/>
      <c r="I476" s="436" t="str">
        <f t="shared" si="16"/>
        <v/>
      </c>
      <c r="J476" s="439"/>
      <c r="K476" s="416" t="str">
        <f t="shared" si="17"/>
        <v/>
      </c>
      <c r="L476" s="416"/>
      <c r="M476" s="446"/>
    </row>
    <row r="477" spans="1:13">
      <c r="A477" s="416">
        <v>478</v>
      </c>
      <c r="B477" s="416"/>
      <c r="C477" s="416"/>
      <c r="D477" s="432"/>
      <c r="E477" s="437"/>
      <c r="F477" s="448" t="s">
        <v>3241</v>
      </c>
      <c r="G477" s="446"/>
      <c r="H477" s="446"/>
      <c r="I477" s="436" t="str">
        <f t="shared" si="16"/>
        <v/>
      </c>
      <c r="J477" s="439"/>
      <c r="K477" s="416" t="str">
        <f t="shared" si="17"/>
        <v/>
      </c>
      <c r="L477" s="416"/>
      <c r="M477" s="446"/>
    </row>
    <row r="478" spans="1:13">
      <c r="A478" s="416">
        <v>479</v>
      </c>
      <c r="B478" s="416"/>
      <c r="C478" s="416"/>
      <c r="D478" s="432"/>
      <c r="E478" s="437"/>
      <c r="F478" s="448" t="s">
        <v>3241</v>
      </c>
      <c r="G478" s="446"/>
      <c r="H478" s="446"/>
      <c r="I478" s="436" t="str">
        <f t="shared" si="16"/>
        <v/>
      </c>
      <c r="J478" s="439"/>
      <c r="K478" s="416" t="str">
        <f t="shared" si="17"/>
        <v/>
      </c>
      <c r="L478" s="416"/>
      <c r="M478" s="446"/>
    </row>
    <row r="479" spans="1:13">
      <c r="A479" s="416">
        <v>480</v>
      </c>
      <c r="B479" s="416"/>
      <c r="C479" s="416"/>
      <c r="D479" s="432"/>
      <c r="E479" s="437"/>
      <c r="F479" s="448" t="s">
        <v>3241</v>
      </c>
      <c r="G479" s="446"/>
      <c r="H479" s="446"/>
      <c r="I479" s="436" t="str">
        <f t="shared" si="16"/>
        <v/>
      </c>
      <c r="J479" s="439"/>
      <c r="K479" s="416" t="str">
        <f t="shared" si="17"/>
        <v/>
      </c>
      <c r="L479" s="416"/>
      <c r="M479" s="446"/>
    </row>
    <row r="480" spans="1:13">
      <c r="A480" s="416">
        <v>481</v>
      </c>
      <c r="B480" s="416"/>
      <c r="C480" s="416"/>
      <c r="D480" s="432"/>
      <c r="E480" s="437"/>
      <c r="F480" s="448" t="s">
        <v>3241</v>
      </c>
      <c r="G480" s="446"/>
      <c r="H480" s="446"/>
      <c r="I480" s="436" t="str">
        <f t="shared" si="16"/>
        <v/>
      </c>
      <c r="J480" s="439"/>
      <c r="K480" s="416" t="str">
        <f t="shared" si="17"/>
        <v/>
      </c>
      <c r="L480" s="416"/>
      <c r="M480" s="446"/>
    </row>
    <row r="481" spans="1:13">
      <c r="A481" s="416">
        <v>482</v>
      </c>
      <c r="B481" s="416"/>
      <c r="C481" s="416"/>
      <c r="D481" s="432"/>
      <c r="E481" s="437"/>
      <c r="F481" s="448" t="s">
        <v>3241</v>
      </c>
      <c r="G481" s="446"/>
      <c r="H481" s="446"/>
      <c r="I481" s="436" t="str">
        <f t="shared" si="16"/>
        <v/>
      </c>
      <c r="J481" s="439"/>
      <c r="K481" s="416" t="str">
        <f t="shared" si="17"/>
        <v/>
      </c>
      <c r="L481" s="416"/>
      <c r="M481" s="446"/>
    </row>
    <row r="482" spans="1:13">
      <c r="A482" s="416">
        <v>483</v>
      </c>
      <c r="B482" s="416"/>
      <c r="C482" s="416"/>
      <c r="D482" s="432"/>
      <c r="E482" s="437"/>
      <c r="F482" s="448" t="s">
        <v>3241</v>
      </c>
      <c r="G482" s="446"/>
      <c r="H482" s="446"/>
      <c r="I482" s="436" t="str">
        <f t="shared" si="16"/>
        <v/>
      </c>
      <c r="J482" s="439"/>
      <c r="K482" s="416" t="str">
        <f t="shared" si="17"/>
        <v/>
      </c>
      <c r="L482" s="416"/>
      <c r="M482" s="446"/>
    </row>
    <row r="483" spans="1:13">
      <c r="A483" s="416">
        <v>484</v>
      </c>
      <c r="B483" s="416"/>
      <c r="C483" s="416"/>
      <c r="D483" s="432"/>
      <c r="E483" s="437"/>
      <c r="F483" s="448" t="s">
        <v>3241</v>
      </c>
      <c r="G483" s="446"/>
      <c r="H483" s="446"/>
      <c r="I483" s="436" t="str">
        <f t="shared" si="16"/>
        <v/>
      </c>
      <c r="J483" s="439"/>
      <c r="K483" s="416" t="str">
        <f t="shared" si="17"/>
        <v/>
      </c>
      <c r="L483" s="416"/>
      <c r="M483" s="446"/>
    </row>
    <row r="484" spans="1:13">
      <c r="A484" s="416">
        <v>485</v>
      </c>
      <c r="B484" s="416"/>
      <c r="C484" s="416"/>
      <c r="D484" s="432"/>
      <c r="E484" s="437"/>
      <c r="F484" s="448" t="s">
        <v>3241</v>
      </c>
      <c r="G484" s="446"/>
      <c r="H484" s="446"/>
      <c r="I484" s="436" t="str">
        <f t="shared" si="16"/>
        <v/>
      </c>
      <c r="J484" s="439"/>
      <c r="K484" s="416" t="str">
        <f t="shared" si="17"/>
        <v/>
      </c>
      <c r="L484" s="416"/>
      <c r="M484" s="446"/>
    </row>
    <row r="485" spans="1:13">
      <c r="A485" s="416">
        <v>486</v>
      </c>
      <c r="B485" s="416"/>
      <c r="C485" s="416"/>
      <c r="D485" s="432"/>
      <c r="E485" s="437"/>
      <c r="F485" s="448" t="s">
        <v>3241</v>
      </c>
      <c r="G485" s="446"/>
      <c r="H485" s="446"/>
      <c r="I485" s="436" t="str">
        <f t="shared" si="16"/>
        <v/>
      </c>
      <c r="J485" s="439"/>
      <c r="K485" s="416" t="str">
        <f t="shared" si="17"/>
        <v/>
      </c>
      <c r="L485" s="416"/>
      <c r="M485" s="446"/>
    </row>
    <row r="486" spans="1:13">
      <c r="A486" s="416">
        <v>487</v>
      </c>
      <c r="B486" s="416"/>
      <c r="C486" s="416"/>
      <c r="D486" s="432"/>
      <c r="E486" s="437"/>
      <c r="F486" s="448" t="s">
        <v>3241</v>
      </c>
      <c r="G486" s="446"/>
      <c r="H486" s="446"/>
      <c r="I486" s="436" t="str">
        <f t="shared" si="16"/>
        <v/>
      </c>
      <c r="J486" s="439"/>
      <c r="K486" s="416" t="str">
        <f t="shared" si="17"/>
        <v/>
      </c>
      <c r="L486" s="416"/>
      <c r="M486" s="446"/>
    </row>
    <row r="487" spans="1:13">
      <c r="A487" s="416">
        <v>488</v>
      </c>
      <c r="B487" s="416"/>
      <c r="C487" s="416"/>
      <c r="D487" s="432"/>
      <c r="E487" s="437"/>
      <c r="F487" s="448" t="s">
        <v>3241</v>
      </c>
      <c r="G487" s="446"/>
      <c r="H487" s="446"/>
      <c r="I487" s="436" t="str">
        <f t="shared" si="16"/>
        <v/>
      </c>
      <c r="J487" s="439"/>
      <c r="K487" s="416" t="str">
        <f t="shared" si="17"/>
        <v/>
      </c>
      <c r="L487" s="416"/>
      <c r="M487" s="446"/>
    </row>
    <row r="488" spans="1:13">
      <c r="A488" s="416">
        <v>489</v>
      </c>
      <c r="B488" s="416"/>
      <c r="C488" s="416"/>
      <c r="D488" s="432"/>
      <c r="E488" s="437"/>
      <c r="F488" s="448" t="s">
        <v>3241</v>
      </c>
      <c r="G488" s="446"/>
      <c r="H488" s="446"/>
      <c r="I488" s="436" t="str">
        <f t="shared" si="16"/>
        <v/>
      </c>
      <c r="J488" s="439"/>
      <c r="K488" s="416" t="str">
        <f t="shared" si="17"/>
        <v/>
      </c>
      <c r="L488" s="416"/>
      <c r="M488" s="446"/>
    </row>
    <row r="489" spans="1:13">
      <c r="A489" s="416">
        <v>490</v>
      </c>
      <c r="B489" s="416"/>
      <c r="C489" s="416"/>
      <c r="D489" s="432"/>
      <c r="E489" s="437"/>
      <c r="F489" s="448" t="s">
        <v>3241</v>
      </c>
      <c r="G489" s="446"/>
      <c r="H489" s="446"/>
      <c r="I489" s="436" t="str">
        <f t="shared" si="16"/>
        <v/>
      </c>
      <c r="J489" s="439"/>
      <c r="K489" s="416" t="str">
        <f t="shared" si="17"/>
        <v/>
      </c>
      <c r="L489" s="416"/>
      <c r="M489" s="446"/>
    </row>
    <row r="490" spans="1:13">
      <c r="A490" s="416">
        <v>491</v>
      </c>
      <c r="B490" s="416"/>
      <c r="C490" s="416"/>
      <c r="D490" s="432"/>
      <c r="E490" s="437"/>
      <c r="F490" s="448" t="s">
        <v>3241</v>
      </c>
      <c r="G490" s="446"/>
      <c r="H490" s="446"/>
      <c r="I490" s="436" t="str">
        <f t="shared" si="16"/>
        <v/>
      </c>
      <c r="J490" s="439"/>
      <c r="K490" s="416" t="str">
        <f t="shared" si="17"/>
        <v/>
      </c>
      <c r="L490" s="416"/>
      <c r="M490" s="446"/>
    </row>
    <row r="491" spans="1:13">
      <c r="A491" s="416">
        <v>492</v>
      </c>
      <c r="B491" s="416"/>
      <c r="C491" s="416"/>
      <c r="D491" s="432"/>
      <c r="E491" s="437"/>
      <c r="F491" s="448" t="s">
        <v>3241</v>
      </c>
      <c r="G491" s="446"/>
      <c r="H491" s="446"/>
      <c r="I491" s="436" t="str">
        <f t="shared" si="16"/>
        <v/>
      </c>
      <c r="J491" s="439"/>
      <c r="K491" s="416" t="str">
        <f t="shared" si="17"/>
        <v/>
      </c>
      <c r="L491" s="416"/>
      <c r="M491" s="446"/>
    </row>
    <row r="492" spans="1:13">
      <c r="A492" s="416">
        <v>493</v>
      </c>
      <c r="B492" s="416"/>
      <c r="C492" s="416"/>
      <c r="D492" s="432"/>
      <c r="E492" s="437"/>
      <c r="F492" s="448" t="s">
        <v>3241</v>
      </c>
      <c r="G492" s="446"/>
      <c r="H492" s="446"/>
      <c r="I492" s="436" t="str">
        <f t="shared" si="16"/>
        <v/>
      </c>
      <c r="J492" s="439"/>
      <c r="K492" s="416" t="str">
        <f t="shared" si="17"/>
        <v/>
      </c>
      <c r="L492" s="416"/>
      <c r="M492" s="446"/>
    </row>
    <row r="493" spans="1:13">
      <c r="A493" s="416">
        <v>494</v>
      </c>
      <c r="B493" s="416"/>
      <c r="C493" s="416"/>
      <c r="D493" s="432"/>
      <c r="E493" s="437"/>
      <c r="F493" s="448" t="s">
        <v>3241</v>
      </c>
      <c r="G493" s="446"/>
      <c r="H493" s="446"/>
      <c r="I493" s="436" t="str">
        <f t="shared" si="16"/>
        <v/>
      </c>
      <c r="J493" s="439"/>
      <c r="K493" s="416" t="str">
        <f t="shared" si="17"/>
        <v/>
      </c>
      <c r="L493" s="416"/>
      <c r="M493" s="446"/>
    </row>
    <row r="494" spans="1:13">
      <c r="A494" s="416">
        <v>495</v>
      </c>
      <c r="B494" s="416"/>
      <c r="C494" s="416"/>
      <c r="D494" s="432"/>
      <c r="E494" s="437"/>
      <c r="F494" s="448" t="s">
        <v>3241</v>
      </c>
      <c r="G494" s="446"/>
      <c r="H494" s="446"/>
      <c r="I494" s="436" t="str">
        <f t="shared" si="16"/>
        <v/>
      </c>
      <c r="J494" s="439"/>
      <c r="K494" s="416" t="str">
        <f t="shared" si="17"/>
        <v/>
      </c>
      <c r="L494" s="416"/>
      <c r="M494" s="446"/>
    </row>
    <row r="495" spans="1:13">
      <c r="A495" s="416">
        <v>496</v>
      </c>
      <c r="B495" s="416"/>
      <c r="C495" s="416"/>
      <c r="D495" s="432"/>
      <c r="E495" s="437"/>
      <c r="F495" s="448" t="s">
        <v>3241</v>
      </c>
      <c r="G495" s="446"/>
      <c r="H495" s="446"/>
      <c r="I495" s="436" t="str">
        <f t="shared" si="16"/>
        <v/>
      </c>
      <c r="J495" s="439"/>
      <c r="K495" s="416" t="str">
        <f t="shared" si="17"/>
        <v/>
      </c>
      <c r="L495" s="416"/>
      <c r="M495" s="446"/>
    </row>
    <row r="496" spans="1:13">
      <c r="A496" s="416">
        <v>497</v>
      </c>
      <c r="B496" s="416"/>
      <c r="C496" s="416"/>
      <c r="D496" s="432"/>
      <c r="E496" s="437"/>
      <c r="F496" s="448" t="s">
        <v>3241</v>
      </c>
      <c r="G496" s="446"/>
      <c r="H496" s="446"/>
      <c r="I496" s="436" t="str">
        <f t="shared" si="16"/>
        <v/>
      </c>
      <c r="J496" s="439"/>
      <c r="K496" s="416" t="str">
        <f t="shared" si="17"/>
        <v/>
      </c>
      <c r="L496" s="416"/>
      <c r="M496" s="446"/>
    </row>
    <row r="497" spans="1:13">
      <c r="A497" s="416">
        <v>498</v>
      </c>
      <c r="B497" s="416"/>
      <c r="C497" s="416"/>
      <c r="D497" s="432"/>
      <c r="E497" s="437"/>
      <c r="F497" s="448" t="s">
        <v>3241</v>
      </c>
      <c r="G497" s="446"/>
      <c r="H497" s="446"/>
      <c r="I497" s="436" t="str">
        <f t="shared" si="16"/>
        <v/>
      </c>
      <c r="J497" s="439"/>
      <c r="K497" s="416" t="str">
        <f t="shared" si="17"/>
        <v/>
      </c>
      <c r="L497" s="416"/>
      <c r="M497" s="446"/>
    </row>
    <row r="498" spans="1:13">
      <c r="A498" s="416">
        <v>499</v>
      </c>
      <c r="B498" s="416"/>
      <c r="C498" s="416"/>
      <c r="D498" s="432"/>
      <c r="E498" s="437"/>
      <c r="F498" s="448" t="s">
        <v>3241</v>
      </c>
      <c r="G498" s="446"/>
      <c r="H498" s="446"/>
      <c r="I498" s="436" t="str">
        <f t="shared" si="16"/>
        <v/>
      </c>
      <c r="J498" s="439"/>
      <c r="K498" s="416" t="str">
        <f t="shared" si="17"/>
        <v/>
      </c>
      <c r="L498" s="416"/>
      <c r="M498" s="446"/>
    </row>
    <row r="499" spans="1:13">
      <c r="A499" s="416">
        <v>500</v>
      </c>
      <c r="B499" s="416"/>
      <c r="C499" s="416"/>
      <c r="D499" s="432"/>
      <c r="E499" s="437"/>
      <c r="F499" s="448" t="s">
        <v>3241</v>
      </c>
      <c r="G499" s="446"/>
      <c r="H499" s="446"/>
      <c r="I499" s="436" t="str">
        <f t="shared" si="16"/>
        <v/>
      </c>
      <c r="J499" s="439"/>
      <c r="K499" s="416" t="str">
        <f t="shared" si="17"/>
        <v/>
      </c>
      <c r="L499" s="416"/>
      <c r="M499" s="446"/>
    </row>
    <row r="500" spans="1:13">
      <c r="A500" s="416">
        <v>501</v>
      </c>
      <c r="B500" s="416"/>
      <c r="C500" s="416"/>
      <c r="D500" s="432"/>
      <c r="E500" s="437"/>
      <c r="F500" s="448" t="s">
        <v>3241</v>
      </c>
      <c r="G500" s="446"/>
      <c r="H500" s="446"/>
      <c r="I500" s="436" t="str">
        <f t="shared" si="16"/>
        <v/>
      </c>
      <c r="J500" s="439"/>
      <c r="K500" s="416" t="str">
        <f t="shared" si="17"/>
        <v/>
      </c>
      <c r="L500" s="416"/>
      <c r="M500" s="446"/>
    </row>
    <row r="501" spans="1:13">
      <c r="A501" s="416">
        <v>502</v>
      </c>
      <c r="B501" s="416"/>
      <c r="C501" s="416"/>
      <c r="D501" s="432"/>
      <c r="E501" s="437"/>
      <c r="F501" s="448" t="s">
        <v>3241</v>
      </c>
      <c r="G501" s="446"/>
      <c r="H501" s="446"/>
      <c r="I501" s="436" t="str">
        <f t="shared" si="16"/>
        <v/>
      </c>
      <c r="J501" s="439"/>
      <c r="K501" s="416" t="str">
        <f t="shared" si="17"/>
        <v/>
      </c>
      <c r="L501" s="416"/>
      <c r="M501" s="446"/>
    </row>
    <row r="502" spans="1:13">
      <c r="A502" s="416">
        <v>503</v>
      </c>
      <c r="B502" s="416"/>
      <c r="C502" s="416"/>
      <c r="D502" s="432"/>
      <c r="E502" s="437"/>
      <c r="F502" s="448" t="s">
        <v>3241</v>
      </c>
      <c r="G502" s="446"/>
      <c r="H502" s="446"/>
      <c r="I502" s="436" t="str">
        <f t="shared" si="16"/>
        <v/>
      </c>
      <c r="J502" s="439"/>
      <c r="K502" s="416" t="str">
        <f t="shared" si="17"/>
        <v/>
      </c>
      <c r="L502" s="416"/>
      <c r="M502" s="446"/>
    </row>
    <row r="503" spans="1:13">
      <c r="A503" s="416">
        <v>504</v>
      </c>
      <c r="B503" s="416"/>
      <c r="C503" s="416"/>
      <c r="D503" s="432"/>
      <c r="E503" s="437"/>
      <c r="F503" s="448" t="s">
        <v>3241</v>
      </c>
      <c r="G503" s="446"/>
      <c r="H503" s="446"/>
      <c r="I503" s="436" t="str">
        <f t="shared" si="16"/>
        <v/>
      </c>
      <c r="J503" s="439"/>
      <c r="K503" s="416" t="str">
        <f t="shared" si="17"/>
        <v/>
      </c>
      <c r="L503" s="416"/>
      <c r="M503" s="446"/>
    </row>
    <row r="504" spans="1:13">
      <c r="A504" s="416">
        <v>505</v>
      </c>
      <c r="B504" s="416"/>
      <c r="C504" s="416"/>
      <c r="D504" s="432"/>
      <c r="E504" s="437"/>
      <c r="F504" s="448" t="s">
        <v>3241</v>
      </c>
      <c r="G504" s="446"/>
      <c r="H504" s="446"/>
      <c r="I504" s="436" t="str">
        <f t="shared" si="16"/>
        <v/>
      </c>
      <c r="J504" s="439"/>
      <c r="K504" s="416" t="str">
        <f t="shared" si="17"/>
        <v/>
      </c>
      <c r="L504" s="416"/>
      <c r="M504" s="446"/>
    </row>
    <row r="505" spans="1:13">
      <c r="A505" s="416">
        <v>506</v>
      </c>
      <c r="B505" s="416"/>
      <c r="C505" s="416"/>
      <c r="D505" s="432"/>
      <c r="E505" s="437"/>
      <c r="F505" s="448" t="s">
        <v>3241</v>
      </c>
      <c r="G505" s="446"/>
      <c r="H505" s="446"/>
      <c r="I505" s="436" t="str">
        <f t="shared" si="16"/>
        <v/>
      </c>
      <c r="J505" s="439"/>
      <c r="K505" s="416" t="str">
        <f t="shared" si="17"/>
        <v/>
      </c>
      <c r="L505" s="416"/>
      <c r="M505" s="446"/>
    </row>
    <row r="506" spans="1:13">
      <c r="A506" s="416">
        <v>507</v>
      </c>
      <c r="B506" s="416"/>
      <c r="C506" s="416"/>
      <c r="D506" s="432"/>
      <c r="E506" s="437"/>
      <c r="F506" s="448" t="s">
        <v>3241</v>
      </c>
      <c r="G506" s="446"/>
      <c r="H506" s="446"/>
      <c r="I506" s="436" t="str">
        <f t="shared" si="16"/>
        <v/>
      </c>
      <c r="J506" s="439"/>
      <c r="K506" s="416" t="str">
        <f t="shared" si="17"/>
        <v/>
      </c>
      <c r="L506" s="416"/>
      <c r="M506" s="446"/>
    </row>
    <row r="507" spans="1:13">
      <c r="A507" s="416">
        <v>508</v>
      </c>
      <c r="B507" s="416"/>
      <c r="C507" s="416"/>
      <c r="D507" s="432"/>
      <c r="E507" s="437"/>
      <c r="F507" s="448" t="s">
        <v>3241</v>
      </c>
      <c r="G507" s="446"/>
      <c r="H507" s="446"/>
      <c r="I507" s="436" t="str">
        <f t="shared" si="16"/>
        <v/>
      </c>
      <c r="J507" s="439"/>
      <c r="K507" s="416" t="str">
        <f t="shared" si="17"/>
        <v/>
      </c>
      <c r="L507" s="416"/>
      <c r="M507" s="446"/>
    </row>
    <row r="508" spans="1:13">
      <c r="A508" s="416">
        <v>509</v>
      </c>
      <c r="B508" s="416"/>
      <c r="C508" s="416"/>
      <c r="D508" s="432"/>
      <c r="E508" s="437"/>
      <c r="F508" s="448" t="s">
        <v>3241</v>
      </c>
      <c r="G508" s="446"/>
      <c r="H508" s="446"/>
      <c r="I508" s="436" t="str">
        <f t="shared" si="16"/>
        <v/>
      </c>
      <c r="J508" s="439"/>
      <c r="K508" s="416" t="str">
        <f t="shared" si="17"/>
        <v/>
      </c>
      <c r="L508" s="416"/>
      <c r="M508" s="446"/>
    </row>
    <row r="509" spans="1:13">
      <c r="A509" s="416">
        <v>510</v>
      </c>
      <c r="B509" s="416"/>
      <c r="C509" s="416"/>
      <c r="D509" s="432"/>
      <c r="E509" s="437"/>
      <c r="F509" s="448" t="s">
        <v>3241</v>
      </c>
      <c r="G509" s="446"/>
      <c r="H509" s="446"/>
      <c r="I509" s="436" t="str">
        <f t="shared" ref="I509:I572" si="18">IF(G509="","",ROUND(H509/G509,2))</f>
        <v/>
      </c>
      <c r="J509" s="439"/>
      <c r="K509" s="416" t="str">
        <f t="shared" si="17"/>
        <v/>
      </c>
      <c r="L509" s="416"/>
      <c r="M509" s="446"/>
    </row>
    <row r="510" spans="1:13">
      <c r="A510" s="416">
        <v>511</v>
      </c>
      <c r="B510" s="416"/>
      <c r="C510" s="416"/>
      <c r="D510" s="432"/>
      <c r="E510" s="437"/>
      <c r="F510" s="448" t="s">
        <v>3241</v>
      </c>
      <c r="G510" s="446"/>
      <c r="H510" s="446"/>
      <c r="I510" s="436" t="str">
        <f t="shared" si="18"/>
        <v/>
      </c>
      <c r="J510" s="439"/>
      <c r="K510" s="416" t="str">
        <f t="shared" si="17"/>
        <v/>
      </c>
      <c r="L510" s="416"/>
      <c r="M510" s="446"/>
    </row>
    <row r="511" spans="1:13">
      <c r="A511" s="416">
        <v>512</v>
      </c>
      <c r="B511" s="416"/>
      <c r="C511" s="416"/>
      <c r="D511" s="432"/>
      <c r="E511" s="437"/>
      <c r="F511" s="448" t="s">
        <v>3241</v>
      </c>
      <c r="G511" s="446"/>
      <c r="H511" s="446"/>
      <c r="I511" s="436" t="str">
        <f t="shared" si="18"/>
        <v/>
      </c>
      <c r="J511" s="439"/>
      <c r="K511" s="416" t="str">
        <f t="shared" si="17"/>
        <v/>
      </c>
      <c r="L511" s="416"/>
      <c r="M511" s="446"/>
    </row>
    <row r="512" spans="1:13">
      <c r="A512" s="416">
        <v>513</v>
      </c>
      <c r="B512" s="416"/>
      <c r="C512" s="416"/>
      <c r="D512" s="432"/>
      <c r="E512" s="437"/>
      <c r="F512" s="448" t="s">
        <v>3241</v>
      </c>
      <c r="G512" s="446"/>
      <c r="H512" s="446"/>
      <c r="I512" s="436" t="str">
        <f t="shared" si="18"/>
        <v/>
      </c>
      <c r="J512" s="439"/>
      <c r="K512" s="416" t="str">
        <f t="shared" ref="K512:K575" si="19">IF(J512="USD",USD,IF(J512="EUR",EUR,""))</f>
        <v/>
      </c>
      <c r="L512" s="416"/>
      <c r="M512" s="446"/>
    </row>
    <row r="513" spans="1:13">
      <c r="A513" s="416">
        <v>514</v>
      </c>
      <c r="B513" s="416"/>
      <c r="C513" s="416"/>
      <c r="D513" s="432"/>
      <c r="E513" s="437"/>
      <c r="F513" s="448" t="s">
        <v>3241</v>
      </c>
      <c r="G513" s="446"/>
      <c r="H513" s="446"/>
      <c r="I513" s="436" t="str">
        <f t="shared" si="18"/>
        <v/>
      </c>
      <c r="J513" s="439"/>
      <c r="K513" s="416" t="str">
        <f t="shared" si="19"/>
        <v/>
      </c>
      <c r="L513" s="416"/>
      <c r="M513" s="446"/>
    </row>
    <row r="514" spans="1:13">
      <c r="A514" s="416">
        <v>515</v>
      </c>
      <c r="B514" s="416"/>
      <c r="C514" s="416"/>
      <c r="D514" s="432"/>
      <c r="E514" s="437"/>
      <c r="F514" s="448" t="s">
        <v>3241</v>
      </c>
      <c r="G514" s="446"/>
      <c r="H514" s="446"/>
      <c r="I514" s="436" t="str">
        <f t="shared" si="18"/>
        <v/>
      </c>
      <c r="J514" s="439"/>
      <c r="K514" s="416" t="str">
        <f t="shared" si="19"/>
        <v/>
      </c>
      <c r="L514" s="416"/>
      <c r="M514" s="446"/>
    </row>
    <row r="515" spans="1:13">
      <c r="A515" s="416">
        <v>516</v>
      </c>
      <c r="B515" s="416"/>
      <c r="C515" s="416"/>
      <c r="D515" s="432"/>
      <c r="E515" s="437"/>
      <c r="F515" s="448" t="s">
        <v>3241</v>
      </c>
      <c r="G515" s="446"/>
      <c r="H515" s="446"/>
      <c r="I515" s="436" t="str">
        <f t="shared" si="18"/>
        <v/>
      </c>
      <c r="J515" s="439"/>
      <c r="K515" s="416" t="str">
        <f t="shared" si="19"/>
        <v/>
      </c>
      <c r="L515" s="416"/>
      <c r="M515" s="446"/>
    </row>
    <row r="516" spans="1:13">
      <c r="A516" s="416">
        <v>517</v>
      </c>
      <c r="B516" s="416"/>
      <c r="C516" s="416"/>
      <c r="D516" s="432"/>
      <c r="E516" s="437"/>
      <c r="F516" s="448" t="s">
        <v>3241</v>
      </c>
      <c r="G516" s="446"/>
      <c r="H516" s="446"/>
      <c r="I516" s="436" t="str">
        <f t="shared" si="18"/>
        <v/>
      </c>
      <c r="J516" s="439"/>
      <c r="K516" s="416" t="str">
        <f t="shared" si="19"/>
        <v/>
      </c>
      <c r="L516" s="416"/>
      <c r="M516" s="446"/>
    </row>
    <row r="517" spans="1:13">
      <c r="A517" s="416">
        <v>518</v>
      </c>
      <c r="B517" s="416"/>
      <c r="C517" s="416"/>
      <c r="D517" s="432"/>
      <c r="E517" s="437"/>
      <c r="F517" s="448" t="s">
        <v>3241</v>
      </c>
      <c r="G517" s="446"/>
      <c r="H517" s="446"/>
      <c r="I517" s="436" t="str">
        <f t="shared" si="18"/>
        <v/>
      </c>
      <c r="J517" s="439"/>
      <c r="K517" s="416" t="str">
        <f t="shared" si="19"/>
        <v/>
      </c>
      <c r="L517" s="416"/>
      <c r="M517" s="446"/>
    </row>
    <row r="518" spans="1:13">
      <c r="A518" s="416">
        <v>519</v>
      </c>
      <c r="B518" s="416"/>
      <c r="C518" s="416"/>
      <c r="D518" s="432"/>
      <c r="E518" s="437"/>
      <c r="F518" s="448" t="s">
        <v>3241</v>
      </c>
      <c r="G518" s="446"/>
      <c r="H518" s="446"/>
      <c r="I518" s="436" t="str">
        <f t="shared" si="18"/>
        <v/>
      </c>
      <c r="J518" s="439"/>
      <c r="K518" s="416" t="str">
        <f t="shared" si="19"/>
        <v/>
      </c>
      <c r="L518" s="416"/>
      <c r="M518" s="446"/>
    </row>
    <row r="519" spans="1:13">
      <c r="A519" s="416">
        <v>520</v>
      </c>
      <c r="B519" s="416"/>
      <c r="C519" s="416"/>
      <c r="D519" s="432"/>
      <c r="E519" s="437"/>
      <c r="F519" s="448" t="s">
        <v>3241</v>
      </c>
      <c r="G519" s="446"/>
      <c r="H519" s="446"/>
      <c r="I519" s="436" t="str">
        <f t="shared" si="18"/>
        <v/>
      </c>
      <c r="J519" s="439"/>
      <c r="K519" s="416" t="str">
        <f t="shared" si="19"/>
        <v/>
      </c>
      <c r="L519" s="416"/>
      <c r="M519" s="446"/>
    </row>
    <row r="520" spans="1:13">
      <c r="A520" s="416">
        <v>521</v>
      </c>
      <c r="B520" s="416"/>
      <c r="C520" s="416"/>
      <c r="D520" s="432"/>
      <c r="E520" s="437"/>
      <c r="F520" s="448" t="s">
        <v>3241</v>
      </c>
      <c r="G520" s="446"/>
      <c r="H520" s="446"/>
      <c r="I520" s="436" t="str">
        <f t="shared" si="18"/>
        <v/>
      </c>
      <c r="J520" s="439"/>
      <c r="K520" s="416" t="str">
        <f t="shared" si="19"/>
        <v/>
      </c>
      <c r="L520" s="416"/>
      <c r="M520" s="446"/>
    </row>
    <row r="521" spans="1:13">
      <c r="A521" s="416">
        <v>522</v>
      </c>
      <c r="B521" s="416"/>
      <c r="C521" s="416"/>
      <c r="D521" s="432"/>
      <c r="E521" s="437"/>
      <c r="F521" s="448" t="s">
        <v>3241</v>
      </c>
      <c r="G521" s="446"/>
      <c r="H521" s="446"/>
      <c r="I521" s="436" t="str">
        <f t="shared" si="18"/>
        <v/>
      </c>
      <c r="J521" s="439"/>
      <c r="K521" s="416" t="str">
        <f t="shared" si="19"/>
        <v/>
      </c>
      <c r="L521" s="416"/>
      <c r="M521" s="446"/>
    </row>
    <row r="522" spans="1:13">
      <c r="A522" s="416">
        <v>523</v>
      </c>
      <c r="B522" s="416"/>
      <c r="C522" s="416"/>
      <c r="D522" s="432"/>
      <c r="E522" s="437"/>
      <c r="F522" s="448" t="s">
        <v>3241</v>
      </c>
      <c r="G522" s="446"/>
      <c r="H522" s="446"/>
      <c r="I522" s="436" t="str">
        <f t="shared" si="18"/>
        <v/>
      </c>
      <c r="J522" s="439"/>
      <c r="K522" s="416" t="str">
        <f t="shared" si="19"/>
        <v/>
      </c>
      <c r="L522" s="416"/>
      <c r="M522" s="446"/>
    </row>
    <row r="523" spans="1:13">
      <c r="A523" s="416">
        <v>524</v>
      </c>
      <c r="B523" s="416"/>
      <c r="C523" s="416"/>
      <c r="D523" s="432"/>
      <c r="E523" s="437"/>
      <c r="F523" s="448" t="s">
        <v>3241</v>
      </c>
      <c r="G523" s="446"/>
      <c r="H523" s="446"/>
      <c r="I523" s="436" t="str">
        <f t="shared" si="18"/>
        <v/>
      </c>
      <c r="J523" s="439"/>
      <c r="K523" s="416" t="str">
        <f t="shared" si="19"/>
        <v/>
      </c>
      <c r="L523" s="416"/>
      <c r="M523" s="446"/>
    </row>
    <row r="524" spans="1:13">
      <c r="A524" s="416">
        <v>525</v>
      </c>
      <c r="B524" s="416"/>
      <c r="C524" s="416"/>
      <c r="D524" s="432"/>
      <c r="E524" s="437"/>
      <c r="F524" s="448" t="s">
        <v>3241</v>
      </c>
      <c r="G524" s="446"/>
      <c r="H524" s="446"/>
      <c r="I524" s="436" t="str">
        <f t="shared" si="18"/>
        <v/>
      </c>
      <c r="J524" s="439"/>
      <c r="K524" s="416" t="str">
        <f t="shared" si="19"/>
        <v/>
      </c>
      <c r="L524" s="416"/>
      <c r="M524" s="446"/>
    </row>
    <row r="525" spans="1:13">
      <c r="A525" s="416">
        <v>526</v>
      </c>
      <c r="B525" s="416"/>
      <c r="C525" s="416"/>
      <c r="D525" s="432"/>
      <c r="E525" s="437"/>
      <c r="F525" s="448" t="s">
        <v>3241</v>
      </c>
      <c r="G525" s="446"/>
      <c r="H525" s="446"/>
      <c r="I525" s="436" t="str">
        <f t="shared" si="18"/>
        <v/>
      </c>
      <c r="J525" s="439"/>
      <c r="K525" s="416" t="str">
        <f t="shared" si="19"/>
        <v/>
      </c>
      <c r="L525" s="416"/>
      <c r="M525" s="446"/>
    </row>
    <row r="526" spans="1:13">
      <c r="A526" s="416">
        <v>527</v>
      </c>
      <c r="B526" s="416"/>
      <c r="C526" s="416"/>
      <c r="D526" s="432"/>
      <c r="E526" s="437"/>
      <c r="F526" s="448" t="s">
        <v>3241</v>
      </c>
      <c r="G526" s="446"/>
      <c r="H526" s="446"/>
      <c r="I526" s="436" t="str">
        <f t="shared" si="18"/>
        <v/>
      </c>
      <c r="J526" s="439"/>
      <c r="K526" s="416" t="str">
        <f t="shared" si="19"/>
        <v/>
      </c>
      <c r="L526" s="416"/>
      <c r="M526" s="446"/>
    </row>
    <row r="527" spans="1:13">
      <c r="A527" s="416">
        <v>528</v>
      </c>
      <c r="B527" s="416"/>
      <c r="C527" s="416"/>
      <c r="D527" s="432"/>
      <c r="E527" s="437"/>
      <c r="F527" s="448" t="s">
        <v>3241</v>
      </c>
      <c r="G527" s="446"/>
      <c r="H527" s="446"/>
      <c r="I527" s="436" t="str">
        <f t="shared" si="18"/>
        <v/>
      </c>
      <c r="J527" s="439"/>
      <c r="K527" s="416" t="str">
        <f t="shared" si="19"/>
        <v/>
      </c>
      <c r="L527" s="416"/>
      <c r="M527" s="446"/>
    </row>
    <row r="528" spans="1:13">
      <c r="A528" s="416">
        <v>529</v>
      </c>
      <c r="B528" s="416"/>
      <c r="C528" s="416"/>
      <c r="D528" s="432"/>
      <c r="E528" s="437"/>
      <c r="F528" s="448" t="s">
        <v>3241</v>
      </c>
      <c r="G528" s="446"/>
      <c r="H528" s="446"/>
      <c r="I528" s="436" t="str">
        <f t="shared" si="18"/>
        <v/>
      </c>
      <c r="J528" s="439"/>
      <c r="K528" s="416" t="str">
        <f t="shared" si="19"/>
        <v/>
      </c>
      <c r="L528" s="416"/>
      <c r="M528" s="446"/>
    </row>
    <row r="529" spans="1:13">
      <c r="A529" s="416">
        <v>530</v>
      </c>
      <c r="B529" s="416"/>
      <c r="C529" s="416"/>
      <c r="D529" s="432"/>
      <c r="E529" s="437"/>
      <c r="F529" s="448" t="s">
        <v>3241</v>
      </c>
      <c r="G529" s="446"/>
      <c r="H529" s="446"/>
      <c r="I529" s="436" t="str">
        <f t="shared" si="18"/>
        <v/>
      </c>
      <c r="J529" s="439"/>
      <c r="K529" s="416" t="str">
        <f t="shared" si="19"/>
        <v/>
      </c>
      <c r="L529" s="416"/>
      <c r="M529" s="446"/>
    </row>
    <row r="530" spans="1:13">
      <c r="A530" s="416">
        <v>531</v>
      </c>
      <c r="B530" s="416"/>
      <c r="C530" s="416"/>
      <c r="D530" s="432"/>
      <c r="E530" s="437"/>
      <c r="F530" s="448" t="s">
        <v>3241</v>
      </c>
      <c r="G530" s="446"/>
      <c r="H530" s="446"/>
      <c r="I530" s="436" t="str">
        <f t="shared" si="18"/>
        <v/>
      </c>
      <c r="J530" s="439"/>
      <c r="K530" s="416" t="str">
        <f t="shared" si="19"/>
        <v/>
      </c>
      <c r="L530" s="416"/>
      <c r="M530" s="446"/>
    </row>
    <row r="531" spans="1:13">
      <c r="A531" s="416">
        <v>532</v>
      </c>
      <c r="B531" s="416"/>
      <c r="C531" s="416"/>
      <c r="D531" s="432"/>
      <c r="E531" s="437"/>
      <c r="F531" s="448" t="s">
        <v>3241</v>
      </c>
      <c r="G531" s="446"/>
      <c r="H531" s="446"/>
      <c r="I531" s="436" t="str">
        <f t="shared" si="18"/>
        <v/>
      </c>
      <c r="J531" s="439"/>
      <c r="K531" s="416" t="str">
        <f t="shared" si="19"/>
        <v/>
      </c>
      <c r="L531" s="416"/>
      <c r="M531" s="446"/>
    </row>
    <row r="532" spans="1:13">
      <c r="A532" s="416">
        <v>533</v>
      </c>
      <c r="B532" s="416"/>
      <c r="C532" s="416"/>
      <c r="D532" s="432"/>
      <c r="E532" s="437"/>
      <c r="F532" s="448" t="s">
        <v>3241</v>
      </c>
      <c r="G532" s="446"/>
      <c r="H532" s="446"/>
      <c r="I532" s="436" t="str">
        <f t="shared" si="18"/>
        <v/>
      </c>
      <c r="J532" s="439"/>
      <c r="K532" s="416" t="str">
        <f t="shared" si="19"/>
        <v/>
      </c>
      <c r="L532" s="416"/>
      <c r="M532" s="446"/>
    </row>
    <row r="533" spans="1:13">
      <c r="A533" s="416">
        <v>534</v>
      </c>
      <c r="B533" s="416"/>
      <c r="C533" s="416"/>
      <c r="D533" s="432"/>
      <c r="E533" s="437"/>
      <c r="F533" s="448" t="s">
        <v>3241</v>
      </c>
      <c r="G533" s="446"/>
      <c r="H533" s="446"/>
      <c r="I533" s="436" t="str">
        <f t="shared" si="18"/>
        <v/>
      </c>
      <c r="J533" s="439"/>
      <c r="K533" s="416" t="str">
        <f t="shared" si="19"/>
        <v/>
      </c>
      <c r="L533" s="416"/>
      <c r="M533" s="446"/>
    </row>
    <row r="534" spans="1:13">
      <c r="A534" s="416">
        <v>535</v>
      </c>
      <c r="B534" s="416"/>
      <c r="C534" s="416"/>
      <c r="D534" s="432"/>
      <c r="E534" s="437"/>
      <c r="F534" s="448" t="s">
        <v>3241</v>
      </c>
      <c r="G534" s="446"/>
      <c r="H534" s="446"/>
      <c r="I534" s="436" t="str">
        <f t="shared" si="18"/>
        <v/>
      </c>
      <c r="J534" s="439"/>
      <c r="K534" s="416" t="str">
        <f t="shared" si="19"/>
        <v/>
      </c>
      <c r="L534" s="416"/>
      <c r="M534" s="446"/>
    </row>
    <row r="535" spans="1:13">
      <c r="A535" s="416">
        <v>536</v>
      </c>
      <c r="B535" s="416"/>
      <c r="C535" s="416"/>
      <c r="D535" s="432"/>
      <c r="E535" s="437"/>
      <c r="F535" s="448" t="s">
        <v>3241</v>
      </c>
      <c r="G535" s="446"/>
      <c r="H535" s="446"/>
      <c r="I535" s="436" t="str">
        <f t="shared" si="18"/>
        <v/>
      </c>
      <c r="J535" s="439"/>
      <c r="K535" s="416" t="str">
        <f t="shared" si="19"/>
        <v/>
      </c>
      <c r="L535" s="416"/>
      <c r="M535" s="446"/>
    </row>
    <row r="536" spans="1:13">
      <c r="A536" s="416">
        <v>537</v>
      </c>
      <c r="B536" s="416"/>
      <c r="C536" s="416"/>
      <c r="D536" s="432"/>
      <c r="E536" s="437"/>
      <c r="F536" s="448" t="s">
        <v>3241</v>
      </c>
      <c r="G536" s="446"/>
      <c r="H536" s="446"/>
      <c r="I536" s="436" t="str">
        <f t="shared" si="18"/>
        <v/>
      </c>
      <c r="J536" s="439"/>
      <c r="K536" s="416" t="str">
        <f t="shared" si="19"/>
        <v/>
      </c>
      <c r="L536" s="416"/>
      <c r="M536" s="446"/>
    </row>
    <row r="537" spans="1:13">
      <c r="A537" s="416">
        <v>538</v>
      </c>
      <c r="B537" s="416"/>
      <c r="C537" s="416"/>
      <c r="D537" s="432"/>
      <c r="E537" s="437"/>
      <c r="F537" s="448" t="s">
        <v>3241</v>
      </c>
      <c r="G537" s="446"/>
      <c r="H537" s="446"/>
      <c r="I537" s="436" t="str">
        <f t="shared" si="18"/>
        <v/>
      </c>
      <c r="J537" s="439"/>
      <c r="K537" s="416" t="str">
        <f t="shared" si="19"/>
        <v/>
      </c>
      <c r="L537" s="416"/>
      <c r="M537" s="446"/>
    </row>
    <row r="538" spans="1:13">
      <c r="A538" s="416">
        <v>539</v>
      </c>
      <c r="B538" s="416"/>
      <c r="C538" s="416"/>
      <c r="D538" s="432"/>
      <c r="E538" s="437"/>
      <c r="F538" s="448" t="s">
        <v>3241</v>
      </c>
      <c r="G538" s="446"/>
      <c r="H538" s="446"/>
      <c r="I538" s="436" t="str">
        <f t="shared" si="18"/>
        <v/>
      </c>
      <c r="J538" s="439"/>
      <c r="K538" s="416" t="str">
        <f t="shared" si="19"/>
        <v/>
      </c>
      <c r="L538" s="416"/>
      <c r="M538" s="446"/>
    </row>
    <row r="539" spans="1:13">
      <c r="A539" s="416">
        <v>540</v>
      </c>
      <c r="B539" s="416"/>
      <c r="C539" s="416"/>
      <c r="D539" s="432"/>
      <c r="E539" s="437"/>
      <c r="F539" s="448" t="s">
        <v>3241</v>
      </c>
      <c r="G539" s="446"/>
      <c r="H539" s="446"/>
      <c r="I539" s="436" t="str">
        <f t="shared" si="18"/>
        <v/>
      </c>
      <c r="J539" s="439"/>
      <c r="K539" s="416" t="str">
        <f t="shared" si="19"/>
        <v/>
      </c>
      <c r="L539" s="416"/>
      <c r="M539" s="446"/>
    </row>
    <row r="540" spans="1:13">
      <c r="A540" s="416">
        <v>541</v>
      </c>
      <c r="B540" s="416"/>
      <c r="C540" s="416"/>
      <c r="D540" s="432"/>
      <c r="E540" s="437"/>
      <c r="F540" s="448" t="s">
        <v>3241</v>
      </c>
      <c r="G540" s="446"/>
      <c r="H540" s="446"/>
      <c r="I540" s="436" t="str">
        <f t="shared" si="18"/>
        <v/>
      </c>
      <c r="J540" s="439"/>
      <c r="K540" s="416" t="str">
        <f t="shared" si="19"/>
        <v/>
      </c>
      <c r="L540" s="416"/>
      <c r="M540" s="446"/>
    </row>
    <row r="541" spans="1:13">
      <c r="A541" s="416">
        <v>542</v>
      </c>
      <c r="B541" s="416"/>
      <c r="C541" s="416"/>
      <c r="D541" s="432"/>
      <c r="E541" s="437"/>
      <c r="F541" s="448" t="s">
        <v>3241</v>
      </c>
      <c r="G541" s="446"/>
      <c r="H541" s="446"/>
      <c r="I541" s="436" t="str">
        <f t="shared" si="18"/>
        <v/>
      </c>
      <c r="J541" s="439"/>
      <c r="K541" s="416" t="str">
        <f t="shared" si="19"/>
        <v/>
      </c>
      <c r="L541" s="416"/>
      <c r="M541" s="446"/>
    </row>
    <row r="542" spans="1:13">
      <c r="A542" s="416">
        <v>543</v>
      </c>
      <c r="B542" s="416"/>
      <c r="C542" s="416"/>
      <c r="D542" s="432"/>
      <c r="E542" s="437"/>
      <c r="F542" s="448" t="s">
        <v>3241</v>
      </c>
      <c r="G542" s="446"/>
      <c r="H542" s="446"/>
      <c r="I542" s="436" t="str">
        <f t="shared" si="18"/>
        <v/>
      </c>
      <c r="J542" s="439"/>
      <c r="K542" s="416" t="str">
        <f t="shared" si="19"/>
        <v/>
      </c>
      <c r="L542" s="416"/>
      <c r="M542" s="446"/>
    </row>
    <row r="543" spans="1:13">
      <c r="A543" s="416">
        <v>544</v>
      </c>
      <c r="B543" s="416"/>
      <c r="C543" s="416"/>
      <c r="D543" s="432"/>
      <c r="E543" s="437"/>
      <c r="F543" s="448" t="s">
        <v>3241</v>
      </c>
      <c r="G543" s="446"/>
      <c r="H543" s="446"/>
      <c r="I543" s="436" t="str">
        <f t="shared" si="18"/>
        <v/>
      </c>
      <c r="J543" s="439"/>
      <c r="K543" s="416" t="str">
        <f t="shared" si="19"/>
        <v/>
      </c>
      <c r="L543" s="416"/>
      <c r="M543" s="446"/>
    </row>
    <row r="544" spans="1:13">
      <c r="A544" s="416">
        <v>545</v>
      </c>
      <c r="B544" s="416"/>
      <c r="C544" s="416"/>
      <c r="D544" s="432"/>
      <c r="E544" s="437"/>
      <c r="F544" s="448" t="s">
        <v>3241</v>
      </c>
      <c r="G544" s="446"/>
      <c r="H544" s="446"/>
      <c r="I544" s="436" t="str">
        <f t="shared" si="18"/>
        <v/>
      </c>
      <c r="J544" s="439"/>
      <c r="K544" s="416" t="str">
        <f t="shared" si="19"/>
        <v/>
      </c>
      <c r="L544" s="416"/>
      <c r="M544" s="446"/>
    </row>
    <row r="545" spans="1:13">
      <c r="A545" s="416">
        <v>546</v>
      </c>
      <c r="B545" s="416"/>
      <c r="C545" s="416"/>
      <c r="D545" s="432"/>
      <c r="E545" s="437"/>
      <c r="F545" s="448" t="s">
        <v>3241</v>
      </c>
      <c r="G545" s="446"/>
      <c r="H545" s="446"/>
      <c r="I545" s="436" t="str">
        <f t="shared" si="18"/>
        <v/>
      </c>
      <c r="J545" s="439"/>
      <c r="K545" s="416" t="str">
        <f t="shared" si="19"/>
        <v/>
      </c>
      <c r="L545" s="416"/>
      <c r="M545" s="446"/>
    </row>
    <row r="546" spans="1:13">
      <c r="A546" s="416">
        <v>547</v>
      </c>
      <c r="B546" s="416"/>
      <c r="C546" s="416"/>
      <c r="D546" s="432"/>
      <c r="E546" s="437"/>
      <c r="F546" s="448" t="s">
        <v>3241</v>
      </c>
      <c r="G546" s="446"/>
      <c r="H546" s="446"/>
      <c r="I546" s="436" t="str">
        <f t="shared" si="18"/>
        <v/>
      </c>
      <c r="J546" s="439"/>
      <c r="K546" s="416" t="str">
        <f t="shared" si="19"/>
        <v/>
      </c>
      <c r="L546" s="416"/>
      <c r="M546" s="446"/>
    </row>
    <row r="547" spans="1:13">
      <c r="A547" s="416">
        <v>548</v>
      </c>
      <c r="B547" s="416"/>
      <c r="C547" s="416"/>
      <c r="D547" s="432"/>
      <c r="E547" s="437"/>
      <c r="F547" s="448" t="s">
        <v>3241</v>
      </c>
      <c r="G547" s="446"/>
      <c r="H547" s="446"/>
      <c r="I547" s="436" t="str">
        <f t="shared" si="18"/>
        <v/>
      </c>
      <c r="J547" s="439"/>
      <c r="K547" s="416" t="str">
        <f t="shared" si="19"/>
        <v/>
      </c>
      <c r="L547" s="416"/>
      <c r="M547" s="446"/>
    </row>
    <row r="548" spans="1:13">
      <c r="A548" s="416">
        <v>549</v>
      </c>
      <c r="B548" s="416"/>
      <c r="C548" s="416"/>
      <c r="D548" s="432"/>
      <c r="E548" s="437"/>
      <c r="F548" s="448" t="s">
        <v>3241</v>
      </c>
      <c r="G548" s="446"/>
      <c r="H548" s="446"/>
      <c r="I548" s="436" t="str">
        <f t="shared" si="18"/>
        <v/>
      </c>
      <c r="J548" s="439"/>
      <c r="K548" s="416" t="str">
        <f t="shared" si="19"/>
        <v/>
      </c>
      <c r="L548" s="416"/>
      <c r="M548" s="446"/>
    </row>
    <row r="549" spans="1:13">
      <c r="A549" s="416">
        <v>550</v>
      </c>
      <c r="B549" s="416"/>
      <c r="C549" s="416"/>
      <c r="D549" s="432"/>
      <c r="E549" s="437"/>
      <c r="F549" s="448" t="s">
        <v>3241</v>
      </c>
      <c r="G549" s="446"/>
      <c r="H549" s="446"/>
      <c r="I549" s="436" t="str">
        <f t="shared" si="18"/>
        <v/>
      </c>
      <c r="J549" s="439"/>
      <c r="K549" s="416" t="str">
        <f t="shared" si="19"/>
        <v/>
      </c>
      <c r="L549" s="416"/>
      <c r="M549" s="446"/>
    </row>
    <row r="550" spans="1:13">
      <c r="A550" s="416">
        <v>551</v>
      </c>
      <c r="B550" s="416"/>
      <c r="C550" s="416"/>
      <c r="D550" s="432"/>
      <c r="E550" s="437"/>
      <c r="F550" s="448" t="s">
        <v>3241</v>
      </c>
      <c r="G550" s="446"/>
      <c r="H550" s="446"/>
      <c r="I550" s="436" t="str">
        <f t="shared" si="18"/>
        <v/>
      </c>
      <c r="J550" s="439"/>
      <c r="K550" s="416" t="str">
        <f t="shared" si="19"/>
        <v/>
      </c>
      <c r="L550" s="416"/>
      <c r="M550" s="446"/>
    </row>
    <row r="551" spans="1:13">
      <c r="A551" s="416">
        <v>552</v>
      </c>
      <c r="B551" s="416"/>
      <c r="C551" s="416"/>
      <c r="D551" s="432"/>
      <c r="E551" s="437"/>
      <c r="F551" s="448" t="s">
        <v>3241</v>
      </c>
      <c r="G551" s="446"/>
      <c r="H551" s="446"/>
      <c r="I551" s="436" t="str">
        <f t="shared" si="18"/>
        <v/>
      </c>
      <c r="J551" s="439"/>
      <c r="K551" s="416" t="str">
        <f t="shared" si="19"/>
        <v/>
      </c>
      <c r="L551" s="416"/>
      <c r="M551" s="446"/>
    </row>
    <row r="552" spans="1:13">
      <c r="A552" s="416">
        <v>553</v>
      </c>
      <c r="B552" s="416"/>
      <c r="C552" s="416"/>
      <c r="D552" s="432"/>
      <c r="E552" s="437"/>
      <c r="F552" s="448" t="s">
        <v>3241</v>
      </c>
      <c r="G552" s="446"/>
      <c r="H552" s="446"/>
      <c r="I552" s="436" t="str">
        <f t="shared" si="18"/>
        <v/>
      </c>
      <c r="J552" s="439"/>
      <c r="K552" s="416" t="str">
        <f t="shared" si="19"/>
        <v/>
      </c>
      <c r="L552" s="416"/>
      <c r="M552" s="446"/>
    </row>
    <row r="553" spans="1:13">
      <c r="A553" s="416">
        <v>554</v>
      </c>
      <c r="B553" s="416"/>
      <c r="C553" s="416"/>
      <c r="D553" s="432"/>
      <c r="E553" s="437"/>
      <c r="F553" s="448" t="s">
        <v>3241</v>
      </c>
      <c r="G553" s="446"/>
      <c r="H553" s="446"/>
      <c r="I553" s="436" t="str">
        <f t="shared" si="18"/>
        <v/>
      </c>
      <c r="J553" s="439"/>
      <c r="K553" s="416" t="str">
        <f t="shared" si="19"/>
        <v/>
      </c>
      <c r="L553" s="416"/>
      <c r="M553" s="446"/>
    </row>
    <row r="554" spans="1:13">
      <c r="A554" s="416">
        <v>555</v>
      </c>
      <c r="B554" s="416"/>
      <c r="C554" s="416"/>
      <c r="D554" s="432"/>
      <c r="E554" s="437"/>
      <c r="F554" s="448" t="s">
        <v>3241</v>
      </c>
      <c r="G554" s="446"/>
      <c r="H554" s="446"/>
      <c r="I554" s="436" t="str">
        <f t="shared" si="18"/>
        <v/>
      </c>
      <c r="J554" s="439"/>
      <c r="K554" s="416" t="str">
        <f t="shared" si="19"/>
        <v/>
      </c>
      <c r="L554" s="416"/>
      <c r="M554" s="446"/>
    </row>
    <row r="555" spans="1:13">
      <c r="A555" s="416">
        <v>556</v>
      </c>
      <c r="B555" s="416"/>
      <c r="C555" s="416"/>
      <c r="D555" s="432"/>
      <c r="E555" s="437"/>
      <c r="F555" s="448" t="s">
        <v>3241</v>
      </c>
      <c r="G555" s="446"/>
      <c r="H555" s="446"/>
      <c r="I555" s="436" t="str">
        <f t="shared" si="18"/>
        <v/>
      </c>
      <c r="J555" s="439"/>
      <c r="K555" s="416" t="str">
        <f t="shared" si="19"/>
        <v/>
      </c>
      <c r="L555" s="416"/>
      <c r="M555" s="446"/>
    </row>
    <row r="556" spans="1:13">
      <c r="A556" s="416">
        <v>557</v>
      </c>
      <c r="B556" s="416"/>
      <c r="C556" s="416"/>
      <c r="D556" s="432"/>
      <c r="E556" s="437"/>
      <c r="F556" s="448" t="s">
        <v>3241</v>
      </c>
      <c r="G556" s="446"/>
      <c r="H556" s="446"/>
      <c r="I556" s="436" t="str">
        <f t="shared" si="18"/>
        <v/>
      </c>
      <c r="J556" s="439"/>
      <c r="K556" s="416" t="str">
        <f t="shared" si="19"/>
        <v/>
      </c>
      <c r="L556" s="416"/>
      <c r="M556" s="446"/>
    </row>
    <row r="557" spans="1:13">
      <c r="A557" s="416">
        <v>558</v>
      </c>
      <c r="B557" s="416"/>
      <c r="C557" s="416"/>
      <c r="D557" s="432"/>
      <c r="E557" s="437"/>
      <c r="F557" s="448" t="s">
        <v>3241</v>
      </c>
      <c r="G557" s="446"/>
      <c r="H557" s="446"/>
      <c r="I557" s="436" t="str">
        <f t="shared" si="18"/>
        <v/>
      </c>
      <c r="J557" s="439"/>
      <c r="K557" s="416" t="str">
        <f t="shared" si="19"/>
        <v/>
      </c>
      <c r="L557" s="416"/>
      <c r="M557" s="446"/>
    </row>
    <row r="558" spans="1:13">
      <c r="A558" s="416">
        <v>559</v>
      </c>
      <c r="B558" s="416"/>
      <c r="C558" s="416"/>
      <c r="D558" s="432"/>
      <c r="E558" s="437"/>
      <c r="F558" s="448" t="s">
        <v>3241</v>
      </c>
      <c r="G558" s="446"/>
      <c r="H558" s="446"/>
      <c r="I558" s="436" t="str">
        <f t="shared" si="18"/>
        <v/>
      </c>
      <c r="J558" s="439"/>
      <c r="K558" s="416" t="str">
        <f t="shared" si="19"/>
        <v/>
      </c>
      <c r="L558" s="416"/>
      <c r="M558" s="446"/>
    </row>
    <row r="559" spans="1:13">
      <c r="A559" s="416">
        <v>560</v>
      </c>
      <c r="B559" s="416"/>
      <c r="C559" s="416"/>
      <c r="D559" s="432"/>
      <c r="E559" s="437"/>
      <c r="F559" s="448" t="s">
        <v>3241</v>
      </c>
      <c r="G559" s="446"/>
      <c r="H559" s="446"/>
      <c r="I559" s="436" t="str">
        <f t="shared" si="18"/>
        <v/>
      </c>
      <c r="J559" s="439"/>
      <c r="K559" s="416" t="str">
        <f t="shared" si="19"/>
        <v/>
      </c>
      <c r="L559" s="416"/>
      <c r="M559" s="446"/>
    </row>
    <row r="560" spans="1:13">
      <c r="A560" s="416">
        <v>561</v>
      </c>
      <c r="B560" s="416"/>
      <c r="C560" s="416"/>
      <c r="D560" s="432"/>
      <c r="E560" s="437"/>
      <c r="F560" s="448" t="s">
        <v>3241</v>
      </c>
      <c r="G560" s="446"/>
      <c r="H560" s="446"/>
      <c r="I560" s="436" t="str">
        <f t="shared" si="18"/>
        <v/>
      </c>
      <c r="J560" s="439"/>
      <c r="K560" s="416" t="str">
        <f t="shared" si="19"/>
        <v/>
      </c>
      <c r="L560" s="416"/>
      <c r="M560" s="446"/>
    </row>
    <row r="561" spans="1:13">
      <c r="A561" s="416">
        <v>562</v>
      </c>
      <c r="B561" s="416"/>
      <c r="C561" s="416"/>
      <c r="D561" s="432"/>
      <c r="E561" s="437"/>
      <c r="F561" s="448" t="s">
        <v>3241</v>
      </c>
      <c r="G561" s="446"/>
      <c r="H561" s="446"/>
      <c r="I561" s="436" t="str">
        <f t="shared" si="18"/>
        <v/>
      </c>
      <c r="J561" s="439"/>
      <c r="K561" s="416" t="str">
        <f t="shared" si="19"/>
        <v/>
      </c>
      <c r="L561" s="416"/>
      <c r="M561" s="446"/>
    </row>
    <row r="562" spans="1:13">
      <c r="A562" s="416">
        <v>563</v>
      </c>
      <c r="B562" s="416"/>
      <c r="C562" s="416"/>
      <c r="D562" s="432"/>
      <c r="E562" s="437"/>
      <c r="F562" s="448" t="s">
        <v>3241</v>
      </c>
      <c r="G562" s="446"/>
      <c r="H562" s="446"/>
      <c r="I562" s="436" t="str">
        <f t="shared" si="18"/>
        <v/>
      </c>
      <c r="J562" s="439"/>
      <c r="K562" s="416" t="str">
        <f t="shared" si="19"/>
        <v/>
      </c>
      <c r="L562" s="416"/>
      <c r="M562" s="446"/>
    </row>
    <row r="563" spans="1:13">
      <c r="A563" s="416">
        <v>564</v>
      </c>
      <c r="B563" s="416"/>
      <c r="C563" s="416"/>
      <c r="D563" s="432"/>
      <c r="E563" s="437"/>
      <c r="F563" s="448" t="s">
        <v>3241</v>
      </c>
      <c r="G563" s="446"/>
      <c r="H563" s="446"/>
      <c r="I563" s="436" t="str">
        <f t="shared" si="18"/>
        <v/>
      </c>
      <c r="J563" s="439"/>
      <c r="K563" s="416" t="str">
        <f t="shared" si="19"/>
        <v/>
      </c>
      <c r="L563" s="416"/>
      <c r="M563" s="446"/>
    </row>
    <row r="564" spans="1:13">
      <c r="A564" s="416">
        <v>565</v>
      </c>
      <c r="B564" s="416"/>
      <c r="C564" s="416"/>
      <c r="D564" s="432"/>
      <c r="E564" s="437"/>
      <c r="F564" s="448" t="s">
        <v>3241</v>
      </c>
      <c r="G564" s="446"/>
      <c r="H564" s="446"/>
      <c r="I564" s="436" t="str">
        <f t="shared" si="18"/>
        <v/>
      </c>
      <c r="J564" s="439"/>
      <c r="K564" s="416" t="str">
        <f t="shared" si="19"/>
        <v/>
      </c>
      <c r="L564" s="416"/>
      <c r="M564" s="446"/>
    </row>
    <row r="565" spans="1:13">
      <c r="A565" s="416">
        <v>566</v>
      </c>
      <c r="B565" s="416"/>
      <c r="C565" s="416"/>
      <c r="D565" s="432"/>
      <c r="E565" s="437"/>
      <c r="F565" s="448" t="s">
        <v>3241</v>
      </c>
      <c r="G565" s="446"/>
      <c r="H565" s="446"/>
      <c r="I565" s="436" t="str">
        <f t="shared" si="18"/>
        <v/>
      </c>
      <c r="J565" s="439"/>
      <c r="K565" s="416" t="str">
        <f t="shared" si="19"/>
        <v/>
      </c>
      <c r="L565" s="416"/>
      <c r="M565" s="446"/>
    </row>
    <row r="566" spans="1:13">
      <c r="A566" s="416">
        <v>567</v>
      </c>
      <c r="B566" s="416"/>
      <c r="C566" s="416"/>
      <c r="D566" s="432"/>
      <c r="E566" s="437"/>
      <c r="F566" s="448" t="s">
        <v>3241</v>
      </c>
      <c r="G566" s="446"/>
      <c r="H566" s="446"/>
      <c r="I566" s="436" t="str">
        <f t="shared" si="18"/>
        <v/>
      </c>
      <c r="J566" s="439"/>
      <c r="K566" s="416" t="str">
        <f t="shared" si="19"/>
        <v/>
      </c>
      <c r="L566" s="416"/>
      <c r="M566" s="446"/>
    </row>
    <row r="567" spans="1:13">
      <c r="A567" s="416">
        <v>568</v>
      </c>
      <c r="B567" s="416"/>
      <c r="C567" s="416"/>
      <c r="D567" s="432"/>
      <c r="E567" s="437"/>
      <c r="F567" s="448" t="s">
        <v>3241</v>
      </c>
      <c r="G567" s="446"/>
      <c r="H567" s="446"/>
      <c r="I567" s="436" t="str">
        <f t="shared" si="18"/>
        <v/>
      </c>
      <c r="J567" s="439"/>
      <c r="K567" s="416" t="str">
        <f t="shared" si="19"/>
        <v/>
      </c>
      <c r="L567" s="416"/>
      <c r="M567" s="446"/>
    </row>
    <row r="568" spans="1:13">
      <c r="A568" s="416">
        <v>569</v>
      </c>
      <c r="B568" s="416"/>
      <c r="C568" s="416"/>
      <c r="D568" s="432"/>
      <c r="E568" s="437"/>
      <c r="F568" s="448" t="s">
        <v>3241</v>
      </c>
      <c r="G568" s="446"/>
      <c r="H568" s="446"/>
      <c r="I568" s="436" t="str">
        <f t="shared" si="18"/>
        <v/>
      </c>
      <c r="J568" s="439"/>
      <c r="K568" s="416" t="str">
        <f t="shared" si="19"/>
        <v/>
      </c>
      <c r="L568" s="416"/>
      <c r="M568" s="446"/>
    </row>
    <row r="569" spans="1:13">
      <c r="A569" s="416">
        <v>570</v>
      </c>
      <c r="B569" s="416"/>
      <c r="C569" s="416"/>
      <c r="D569" s="432"/>
      <c r="E569" s="437"/>
      <c r="F569" s="448" t="s">
        <v>3241</v>
      </c>
      <c r="G569" s="446"/>
      <c r="H569" s="446"/>
      <c r="I569" s="436" t="str">
        <f t="shared" si="18"/>
        <v/>
      </c>
      <c r="J569" s="439"/>
      <c r="K569" s="416" t="str">
        <f t="shared" si="19"/>
        <v/>
      </c>
      <c r="L569" s="416"/>
      <c r="M569" s="446"/>
    </row>
    <row r="570" spans="1:13">
      <c r="A570" s="416">
        <v>571</v>
      </c>
      <c r="B570" s="416"/>
      <c r="C570" s="416"/>
      <c r="D570" s="432"/>
      <c r="E570" s="437"/>
      <c r="F570" s="448" t="s">
        <v>3241</v>
      </c>
      <c r="G570" s="446"/>
      <c r="H570" s="446"/>
      <c r="I570" s="436" t="str">
        <f t="shared" si="18"/>
        <v/>
      </c>
      <c r="J570" s="439"/>
      <c r="K570" s="416" t="str">
        <f t="shared" si="19"/>
        <v/>
      </c>
      <c r="L570" s="416"/>
      <c r="M570" s="446"/>
    </row>
    <row r="571" spans="1:13">
      <c r="A571" s="416">
        <v>572</v>
      </c>
      <c r="B571" s="416"/>
      <c r="C571" s="416"/>
      <c r="D571" s="432"/>
      <c r="E571" s="437"/>
      <c r="F571" s="448" t="s">
        <v>3241</v>
      </c>
      <c r="G571" s="446"/>
      <c r="H571" s="446"/>
      <c r="I571" s="436" t="str">
        <f t="shared" si="18"/>
        <v/>
      </c>
      <c r="J571" s="439"/>
      <c r="K571" s="416" t="str">
        <f t="shared" si="19"/>
        <v/>
      </c>
      <c r="L571" s="416"/>
      <c r="M571" s="446"/>
    </row>
    <row r="572" spans="1:13">
      <c r="A572" s="416">
        <v>573</v>
      </c>
      <c r="B572" s="416"/>
      <c r="C572" s="416"/>
      <c r="D572" s="432"/>
      <c r="E572" s="437"/>
      <c r="F572" s="448" t="s">
        <v>3241</v>
      </c>
      <c r="G572" s="446"/>
      <c r="H572" s="446"/>
      <c r="I572" s="436" t="str">
        <f t="shared" si="18"/>
        <v/>
      </c>
      <c r="J572" s="439"/>
      <c r="K572" s="416" t="str">
        <f t="shared" si="19"/>
        <v/>
      </c>
      <c r="L572" s="416"/>
      <c r="M572" s="446"/>
    </row>
    <row r="573" spans="1:13">
      <c r="A573" s="416">
        <v>574</v>
      </c>
      <c r="B573" s="416"/>
      <c r="C573" s="416"/>
      <c r="D573" s="432"/>
      <c r="E573" s="437"/>
      <c r="F573" s="448" t="s">
        <v>3241</v>
      </c>
      <c r="G573" s="446"/>
      <c r="H573" s="446"/>
      <c r="I573" s="436" t="str">
        <f t="shared" ref="I573:I581" si="20">IF(G573="","",ROUND(H573/G573,2))</f>
        <v/>
      </c>
      <c r="J573" s="439"/>
      <c r="K573" s="416" t="str">
        <f t="shared" si="19"/>
        <v/>
      </c>
      <c r="L573" s="416"/>
      <c r="M573" s="446"/>
    </row>
    <row r="574" spans="1:13">
      <c r="A574" s="416">
        <v>575</v>
      </c>
      <c r="B574" s="416"/>
      <c r="C574" s="416"/>
      <c r="D574" s="432"/>
      <c r="E574" s="437"/>
      <c r="F574" s="448" t="s">
        <v>3241</v>
      </c>
      <c r="G574" s="446"/>
      <c r="H574" s="446"/>
      <c r="I574" s="436" t="str">
        <f t="shared" si="20"/>
        <v/>
      </c>
      <c r="J574" s="439"/>
      <c r="K574" s="416" t="str">
        <f t="shared" si="19"/>
        <v/>
      </c>
      <c r="L574" s="416"/>
      <c r="M574" s="446"/>
    </row>
    <row r="575" spans="1:13">
      <c r="A575" s="416">
        <v>576</v>
      </c>
      <c r="B575" s="416"/>
      <c r="C575" s="416"/>
      <c r="D575" s="432"/>
      <c r="E575" s="437"/>
      <c r="F575" s="448" t="s">
        <v>3241</v>
      </c>
      <c r="G575" s="446"/>
      <c r="H575" s="446"/>
      <c r="I575" s="436" t="str">
        <f t="shared" si="20"/>
        <v/>
      </c>
      <c r="J575" s="439"/>
      <c r="K575" s="416" t="str">
        <f t="shared" si="19"/>
        <v/>
      </c>
      <c r="L575" s="416"/>
      <c r="M575" s="446"/>
    </row>
    <row r="576" spans="1:13">
      <c r="A576" s="416">
        <v>577</v>
      </c>
      <c r="B576" s="416"/>
      <c r="C576" s="416"/>
      <c r="D576" s="432"/>
      <c r="E576" s="437"/>
      <c r="F576" s="448" t="s">
        <v>3241</v>
      </c>
      <c r="G576" s="446"/>
      <c r="H576" s="446"/>
      <c r="I576" s="436" t="str">
        <f t="shared" si="20"/>
        <v/>
      </c>
      <c r="J576" s="439"/>
      <c r="K576" s="416" t="str">
        <f t="shared" ref="K576:K581" si="21">IF(J576="USD",USD,IF(J576="EUR",EUR,""))</f>
        <v/>
      </c>
      <c r="L576" s="416"/>
      <c r="M576" s="446"/>
    </row>
    <row r="577" spans="1:13">
      <c r="A577" s="416">
        <v>578</v>
      </c>
      <c r="B577" s="416"/>
      <c r="C577" s="416"/>
      <c r="D577" s="432"/>
      <c r="E577" s="437"/>
      <c r="F577" s="448" t="s">
        <v>3241</v>
      </c>
      <c r="G577" s="446"/>
      <c r="H577" s="446"/>
      <c r="I577" s="436" t="str">
        <f t="shared" si="20"/>
        <v/>
      </c>
      <c r="J577" s="439"/>
      <c r="K577" s="416" t="str">
        <f t="shared" si="21"/>
        <v/>
      </c>
      <c r="L577" s="416"/>
      <c r="M577" s="446"/>
    </row>
    <row r="578" spans="1:13">
      <c r="A578" s="416">
        <v>579</v>
      </c>
      <c r="B578" s="416"/>
      <c r="C578" s="416"/>
      <c r="D578" s="432"/>
      <c r="E578" s="437"/>
      <c r="F578" s="448" t="s">
        <v>3241</v>
      </c>
      <c r="G578" s="446"/>
      <c r="H578" s="446"/>
      <c r="I578" s="436" t="str">
        <f t="shared" si="20"/>
        <v/>
      </c>
      <c r="J578" s="439"/>
      <c r="K578" s="416" t="str">
        <f t="shared" si="21"/>
        <v/>
      </c>
      <c r="L578" s="416"/>
      <c r="M578" s="446"/>
    </row>
    <row r="579" spans="1:13">
      <c r="A579" s="416">
        <v>580</v>
      </c>
      <c r="B579" s="416"/>
      <c r="C579" s="416"/>
      <c r="D579" s="432"/>
      <c r="E579" s="437"/>
      <c r="F579" s="448" t="s">
        <v>3241</v>
      </c>
      <c r="G579" s="446"/>
      <c r="H579" s="446"/>
      <c r="I579" s="436" t="str">
        <f t="shared" si="20"/>
        <v/>
      </c>
      <c r="J579" s="439"/>
      <c r="K579" s="416" t="str">
        <f t="shared" si="21"/>
        <v/>
      </c>
      <c r="L579" s="416"/>
      <c r="M579" s="446"/>
    </row>
    <row r="580" spans="1:13">
      <c r="A580" s="416">
        <v>581</v>
      </c>
      <c r="B580" s="416"/>
      <c r="C580" s="416"/>
      <c r="D580" s="432"/>
      <c r="E580" s="437"/>
      <c r="F580" s="448" t="s">
        <v>3241</v>
      </c>
      <c r="G580" s="446"/>
      <c r="H580" s="446"/>
      <c r="I580" s="436" t="str">
        <f t="shared" si="20"/>
        <v/>
      </c>
      <c r="J580" s="439"/>
      <c r="K580" s="416" t="str">
        <f t="shared" si="21"/>
        <v/>
      </c>
      <c r="L580" s="416"/>
      <c r="M580" s="446"/>
    </row>
    <row r="581" spans="1:13">
      <c r="A581" s="416">
        <v>582</v>
      </c>
      <c r="B581" s="416"/>
      <c r="C581" s="416"/>
      <c r="D581" s="432"/>
      <c r="E581" s="437"/>
      <c r="F581" s="448" t="s">
        <v>3241</v>
      </c>
      <c r="G581" s="446"/>
      <c r="H581" s="446"/>
      <c r="I581" s="436" t="str">
        <f t="shared" si="20"/>
        <v/>
      </c>
      <c r="J581" s="439"/>
      <c r="K581" s="416" t="str">
        <f t="shared" si="21"/>
        <v/>
      </c>
      <c r="L581" s="416"/>
      <c r="M581" s="446"/>
    </row>
    <row r="582" spans="1:13">
      <c r="A582" s="416">
        <v>583</v>
      </c>
      <c r="B582" s="416"/>
      <c r="C582" s="416"/>
      <c r="D582" s="432"/>
      <c r="E582" s="437"/>
      <c r="F582" s="448" t="s">
        <v>3241</v>
      </c>
      <c r="G582" s="446"/>
      <c r="H582" s="446"/>
      <c r="I582" s="436" t="str">
        <f t="shared" ref="I582:I599" si="22">IF(G582="","",ROUND(H582/G582,2))</f>
        <v/>
      </c>
      <c r="J582" s="439"/>
      <c r="K582" s="416" t="str">
        <f t="shared" ref="K582:K599" si="23">IF(J582="USD",USD,IF(J582="EUR",EUR,""))</f>
        <v/>
      </c>
      <c r="L582" s="416"/>
      <c r="M582" s="446"/>
    </row>
    <row r="583" spans="1:13">
      <c r="A583" s="416">
        <v>584</v>
      </c>
      <c r="B583" s="416"/>
      <c r="C583" s="416"/>
      <c r="D583" s="416"/>
      <c r="E583" s="416"/>
      <c r="F583" s="448" t="s">
        <v>3241</v>
      </c>
      <c r="G583" s="446"/>
      <c r="H583" s="446"/>
      <c r="I583" s="436" t="str">
        <f t="shared" si="22"/>
        <v/>
      </c>
      <c r="J583" s="439"/>
      <c r="K583" s="416" t="str">
        <f t="shared" si="23"/>
        <v/>
      </c>
      <c r="L583" s="416"/>
      <c r="M583" s="446"/>
    </row>
    <row r="584" spans="1:13">
      <c r="A584" s="416">
        <v>585</v>
      </c>
      <c r="B584" s="416"/>
      <c r="C584" s="416"/>
      <c r="D584" s="416"/>
      <c r="E584" s="416"/>
      <c r="F584" s="448" t="s">
        <v>3241</v>
      </c>
      <c r="G584" s="446"/>
      <c r="H584" s="446"/>
      <c r="I584" s="436" t="str">
        <f t="shared" si="22"/>
        <v/>
      </c>
      <c r="J584" s="439"/>
      <c r="K584" s="416" t="str">
        <f t="shared" si="23"/>
        <v/>
      </c>
      <c r="L584" s="416"/>
      <c r="M584" s="446"/>
    </row>
    <row r="585" spans="1:13">
      <c r="A585" s="416">
        <v>586</v>
      </c>
      <c r="B585" s="416"/>
      <c r="C585" s="416"/>
      <c r="D585" s="416"/>
      <c r="E585" s="416"/>
      <c r="F585" s="448" t="s">
        <v>3241</v>
      </c>
      <c r="G585" s="446"/>
      <c r="H585" s="446"/>
      <c r="I585" s="436" t="str">
        <f t="shared" si="22"/>
        <v/>
      </c>
      <c r="J585" s="439"/>
      <c r="K585" s="416" t="str">
        <f t="shared" si="23"/>
        <v/>
      </c>
      <c r="L585" s="416"/>
      <c r="M585" s="446"/>
    </row>
    <row r="586" spans="1:13">
      <c r="A586" s="416">
        <v>587</v>
      </c>
      <c r="B586" s="416"/>
      <c r="C586" s="416"/>
      <c r="D586" s="416"/>
      <c r="E586" s="416"/>
      <c r="F586" s="448" t="s">
        <v>3241</v>
      </c>
      <c r="G586" s="446"/>
      <c r="H586" s="446"/>
      <c r="I586" s="436" t="str">
        <f t="shared" si="22"/>
        <v/>
      </c>
      <c r="J586" s="439"/>
      <c r="K586" s="416" t="str">
        <f t="shared" si="23"/>
        <v/>
      </c>
      <c r="L586" s="416"/>
      <c r="M586" s="446"/>
    </row>
    <row r="587" spans="1:13">
      <c r="A587" s="416">
        <v>588</v>
      </c>
      <c r="B587" s="416"/>
      <c r="C587" s="416"/>
      <c r="D587" s="416"/>
      <c r="E587" s="416"/>
      <c r="F587" s="448" t="s">
        <v>3241</v>
      </c>
      <c r="G587" s="446"/>
      <c r="H587" s="446"/>
      <c r="I587" s="436" t="str">
        <f t="shared" si="22"/>
        <v/>
      </c>
      <c r="J587" s="439"/>
      <c r="K587" s="416" t="str">
        <f t="shared" si="23"/>
        <v/>
      </c>
      <c r="L587" s="416"/>
      <c r="M587" s="446"/>
    </row>
    <row r="588" spans="1:13">
      <c r="A588" s="416">
        <v>589</v>
      </c>
      <c r="B588" s="416"/>
      <c r="C588" s="416"/>
      <c r="D588" s="416"/>
      <c r="E588" s="416"/>
      <c r="F588" s="448" t="s">
        <v>3241</v>
      </c>
      <c r="G588" s="446"/>
      <c r="H588" s="446"/>
      <c r="I588" s="436" t="str">
        <f t="shared" si="22"/>
        <v/>
      </c>
      <c r="J588" s="439"/>
      <c r="K588" s="416" t="str">
        <f t="shared" si="23"/>
        <v/>
      </c>
      <c r="L588" s="416"/>
      <c r="M588" s="446"/>
    </row>
    <row r="589" spans="1:13">
      <c r="A589" s="416">
        <v>590</v>
      </c>
      <c r="B589" s="416"/>
      <c r="C589" s="416"/>
      <c r="D589" s="416"/>
      <c r="E589" s="416"/>
      <c r="F589" s="448" t="s">
        <v>3241</v>
      </c>
      <c r="G589" s="446"/>
      <c r="H589" s="446"/>
      <c r="I589" s="436" t="str">
        <f t="shared" si="22"/>
        <v/>
      </c>
      <c r="J589" s="439"/>
      <c r="K589" s="416" t="str">
        <f t="shared" si="23"/>
        <v/>
      </c>
      <c r="L589" s="416"/>
      <c r="M589" s="446"/>
    </row>
    <row r="590" spans="1:13">
      <c r="A590" s="416">
        <v>591</v>
      </c>
      <c r="B590" s="416"/>
      <c r="C590" s="416"/>
      <c r="D590" s="416"/>
      <c r="E590" s="416"/>
      <c r="F590" s="448" t="s">
        <v>3241</v>
      </c>
      <c r="G590" s="446"/>
      <c r="H590" s="446"/>
      <c r="I590" s="436" t="str">
        <f t="shared" si="22"/>
        <v/>
      </c>
      <c r="J590" s="439"/>
      <c r="K590" s="416" t="str">
        <f t="shared" si="23"/>
        <v/>
      </c>
      <c r="L590" s="416"/>
      <c r="M590" s="446"/>
    </row>
    <row r="591" spans="1:13">
      <c r="A591" s="416">
        <v>592</v>
      </c>
      <c r="B591" s="416"/>
      <c r="C591" s="416"/>
      <c r="D591" s="416"/>
      <c r="E591" s="416"/>
      <c r="F591" s="448" t="s">
        <v>3241</v>
      </c>
      <c r="G591" s="446"/>
      <c r="H591" s="446"/>
      <c r="I591" s="436" t="str">
        <f t="shared" si="22"/>
        <v/>
      </c>
      <c r="J591" s="439"/>
      <c r="K591" s="416" t="str">
        <f t="shared" si="23"/>
        <v/>
      </c>
      <c r="L591" s="416"/>
      <c r="M591" s="446"/>
    </row>
    <row r="592" spans="1:13">
      <c r="A592" s="416">
        <v>593</v>
      </c>
      <c r="B592" s="416"/>
      <c r="C592" s="416"/>
      <c r="D592" s="416"/>
      <c r="E592" s="416"/>
      <c r="F592" s="448" t="s">
        <v>3241</v>
      </c>
      <c r="G592" s="446"/>
      <c r="H592" s="446"/>
      <c r="I592" s="436" t="str">
        <f t="shared" si="22"/>
        <v/>
      </c>
      <c r="J592" s="439"/>
      <c r="K592" s="416" t="str">
        <f t="shared" si="23"/>
        <v/>
      </c>
      <c r="L592" s="416"/>
      <c r="M592" s="446"/>
    </row>
    <row r="593" spans="1:13">
      <c r="A593" s="416">
        <v>594</v>
      </c>
      <c r="B593" s="416"/>
      <c r="C593" s="416"/>
      <c r="D593" s="416"/>
      <c r="E593" s="416"/>
      <c r="F593" s="448" t="s">
        <v>3241</v>
      </c>
      <c r="G593" s="446"/>
      <c r="H593" s="446"/>
      <c r="I593" s="436" t="str">
        <f t="shared" si="22"/>
        <v/>
      </c>
      <c r="J593" s="439"/>
      <c r="K593" s="416" t="str">
        <f t="shared" si="23"/>
        <v/>
      </c>
      <c r="L593" s="416"/>
      <c r="M593" s="446"/>
    </row>
    <row r="594" spans="1:13">
      <c r="A594" s="416">
        <v>595</v>
      </c>
      <c r="B594" s="416"/>
      <c r="C594" s="416"/>
      <c r="D594" s="416"/>
      <c r="E594" s="416"/>
      <c r="F594" s="448" t="s">
        <v>3241</v>
      </c>
      <c r="G594" s="446"/>
      <c r="H594" s="446"/>
      <c r="I594" s="436" t="str">
        <f t="shared" si="22"/>
        <v/>
      </c>
      <c r="J594" s="439"/>
      <c r="K594" s="416" t="str">
        <f t="shared" si="23"/>
        <v/>
      </c>
      <c r="L594" s="416"/>
      <c r="M594" s="446"/>
    </row>
    <row r="595" spans="1:13">
      <c r="A595" s="416">
        <v>596</v>
      </c>
      <c r="B595" s="416"/>
      <c r="C595" s="416"/>
      <c r="D595" s="416"/>
      <c r="E595" s="416"/>
      <c r="F595" s="448" t="s">
        <v>3241</v>
      </c>
      <c r="G595" s="446"/>
      <c r="H595" s="446"/>
      <c r="I595" s="436" t="str">
        <f t="shared" si="22"/>
        <v/>
      </c>
      <c r="J595" s="439"/>
      <c r="K595" s="416" t="str">
        <f t="shared" si="23"/>
        <v/>
      </c>
      <c r="L595" s="416"/>
      <c r="M595" s="446"/>
    </row>
    <row r="596" spans="1:13">
      <c r="A596" s="416">
        <v>597</v>
      </c>
      <c r="B596" s="416"/>
      <c r="C596" s="416"/>
      <c r="D596" s="416"/>
      <c r="E596" s="416"/>
      <c r="F596" s="448" t="s">
        <v>3241</v>
      </c>
      <c r="G596" s="446"/>
      <c r="H596" s="446"/>
      <c r="I596" s="436" t="str">
        <f t="shared" si="22"/>
        <v/>
      </c>
      <c r="J596" s="439"/>
      <c r="K596" s="416" t="str">
        <f t="shared" si="23"/>
        <v/>
      </c>
      <c r="L596" s="416"/>
      <c r="M596" s="446"/>
    </row>
    <row r="597" spans="1:13">
      <c r="A597" s="416">
        <v>598</v>
      </c>
      <c r="B597" s="416"/>
      <c r="C597" s="416"/>
      <c r="D597" s="416"/>
      <c r="E597" s="416"/>
      <c r="F597" s="448" t="s">
        <v>3241</v>
      </c>
      <c r="G597" s="446"/>
      <c r="H597" s="446"/>
      <c r="I597" s="436" t="str">
        <f t="shared" si="22"/>
        <v/>
      </c>
      <c r="J597" s="439"/>
      <c r="K597" s="416" t="str">
        <f t="shared" si="23"/>
        <v/>
      </c>
      <c r="L597" s="416"/>
      <c r="M597" s="446"/>
    </row>
    <row r="598" spans="1:13">
      <c r="A598" s="416">
        <v>599</v>
      </c>
      <c r="B598" s="416"/>
      <c r="C598" s="416"/>
      <c r="D598" s="416"/>
      <c r="E598" s="416"/>
      <c r="F598" s="448" t="s">
        <v>3241</v>
      </c>
      <c r="G598" s="446"/>
      <c r="H598" s="446"/>
      <c r="I598" s="436" t="str">
        <f t="shared" si="22"/>
        <v/>
      </c>
      <c r="J598" s="439"/>
      <c r="K598" s="416" t="str">
        <f t="shared" si="23"/>
        <v/>
      </c>
      <c r="L598" s="416"/>
      <c r="M598" s="446"/>
    </row>
    <row r="599" spans="1:13">
      <c r="A599" s="416">
        <v>600</v>
      </c>
      <c r="B599" s="416"/>
      <c r="C599" s="416"/>
      <c r="D599" s="416"/>
      <c r="E599" s="416"/>
      <c r="F599" s="448" t="s">
        <v>3241</v>
      </c>
      <c r="G599" s="446"/>
      <c r="H599" s="446"/>
      <c r="I599" s="436" t="str">
        <f t="shared" si="22"/>
        <v/>
      </c>
      <c r="J599" s="439"/>
      <c r="K599" s="416" t="str">
        <f t="shared" si="23"/>
        <v/>
      </c>
      <c r="L599" s="416"/>
      <c r="M599" s="446"/>
    </row>
  </sheetData>
  <conditionalFormatting sqref="D583:D1048576 D1:D11">
    <cfRule type="duplicateValues" dxfId="51" priority="2"/>
  </conditionalFormatting>
  <conditionalFormatting sqref="D12:D33 D35 D40:D582">
    <cfRule type="duplicateValues" dxfId="50" priority="30"/>
  </conditionalFormatting>
  <dataValidations count="1">
    <dataValidation type="list" allowBlank="1" showInputMessage="1" showErrorMessage="1" sqref="J2:J599" xr:uid="{00000000-0002-0000-1D00-000000000000}">
      <formula1>Valuta</formula1>
    </dataValidation>
  </dataValidations>
  <pageMargins left="0.7" right="0.7" top="0.75" bottom="0.75" header="0.3" footer="0.3"/>
</worksheet>
</file>

<file path=xl/worksheets/sheet3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92D050"/>
  </sheetPr>
  <dimension ref="A1:H49"/>
  <sheetViews>
    <sheetView workbookViewId="0">
      <pane xSplit="1" ySplit="1" topLeftCell="B2" activePane="bottomRight" state="frozen"/>
      <selection pane="topRight" activeCell="B1" sqref="B1"/>
      <selection pane="bottomLeft" activeCell="A2" sqref="A2"/>
      <selection pane="bottomRight" activeCell="H25" sqref="H25"/>
    </sheetView>
  </sheetViews>
  <sheetFormatPr baseColWidth="10" defaultColWidth="8.83203125" defaultRowHeight="15"/>
  <cols>
    <col min="2" max="2" width="10.1640625" bestFit="1" customWidth="1"/>
    <col min="3" max="3" width="18.6640625" bestFit="1" customWidth="1"/>
    <col min="4" max="4" width="106.33203125" bestFit="1" customWidth="1"/>
    <col min="5" max="5" width="17.33203125" style="734" bestFit="1" customWidth="1"/>
    <col min="6" max="6" width="10.1640625" bestFit="1" customWidth="1"/>
  </cols>
  <sheetData>
    <row r="1" spans="1:8">
      <c r="A1" s="416" t="s">
        <v>453</v>
      </c>
      <c r="B1" s="416" t="s">
        <v>450</v>
      </c>
      <c r="C1" s="416" t="s">
        <v>451</v>
      </c>
      <c r="D1" s="416" t="s">
        <v>452</v>
      </c>
      <c r="E1" s="417" t="s">
        <v>525</v>
      </c>
      <c r="F1" s="736" t="s">
        <v>526</v>
      </c>
    </row>
    <row r="2" spans="1:8">
      <c r="A2" s="416">
        <v>1</v>
      </c>
      <c r="B2" s="450" t="d">
        <v>2020-03-29</v>
      </c>
      <c r="C2" s="416" t="s">
        <v>422</v>
      </c>
      <c r="D2" s="416" t="s">
        <v>517</v>
      </c>
      <c r="E2" s="417" t="s">
        <v>524</v>
      </c>
      <c r="F2" s="450" t="d">
        <v>2020-04-01</v>
      </c>
      <c r="G2" t="s">
        <v>1810</v>
      </c>
    </row>
    <row r="3" spans="1:8">
      <c r="A3" s="416">
        <f>IF(D2="","",A2+1)</f>
        <v>2</v>
      </c>
      <c r="B3" s="450" t="d">
        <v>2020-03-29</v>
      </c>
      <c r="C3" s="416" t="s">
        <v>422</v>
      </c>
      <c r="D3" s="416" t="s">
        <v>454</v>
      </c>
      <c r="E3" s="417" t="s">
        <v>524</v>
      </c>
      <c r="F3" s="450" t="d">
        <v>2020-04-01</v>
      </c>
      <c r="G3" t="s">
        <v>1810</v>
      </c>
    </row>
    <row r="4" spans="1:8">
      <c r="A4" s="416">
        <f t="shared" ref="A4:A49" si="0">IF(D3="","",A3+1)</f>
        <v>3</v>
      </c>
      <c r="B4" s="450" t="d">
        <v>2020-03-29</v>
      </c>
      <c r="C4" s="416" t="s">
        <v>422</v>
      </c>
      <c r="D4" s="416" t="s">
        <v>455</v>
      </c>
      <c r="E4" s="417" t="s">
        <v>527</v>
      </c>
      <c r="F4" s="450" t="d">
        <v>2020-04-01</v>
      </c>
      <c r="G4" t="s">
        <v>1810</v>
      </c>
    </row>
    <row r="5" spans="1:8">
      <c r="A5" s="416">
        <f t="shared" si="0"/>
        <v>4</v>
      </c>
      <c r="B5" s="450" t="d">
        <v>2020-03-29</v>
      </c>
      <c r="C5" s="416" t="s">
        <v>422</v>
      </c>
      <c r="D5" s="416" t="s">
        <v>457</v>
      </c>
      <c r="E5" s="417" t="s">
        <v>521</v>
      </c>
      <c r="F5" s="450" t="d">
        <v>2020-04-01</v>
      </c>
      <c r="G5" t="s">
        <v>1810</v>
      </c>
    </row>
    <row r="6" spans="1:8">
      <c r="A6" s="416">
        <f t="shared" si="0"/>
        <v>5</v>
      </c>
      <c r="B6" s="450" t="d">
        <v>2020-03-29</v>
      </c>
      <c r="C6" s="416" t="s">
        <v>422</v>
      </c>
      <c r="D6" s="416" t="s">
        <v>461</v>
      </c>
      <c r="E6" s="417" t="s">
        <v>522</v>
      </c>
      <c r="F6" s="450" t="d">
        <v>2020-04-01</v>
      </c>
      <c r="G6" t="s">
        <v>1810</v>
      </c>
    </row>
    <row r="7" spans="1:8">
      <c r="A7" s="416">
        <f t="shared" si="0"/>
        <v>6</v>
      </c>
      <c r="B7" s="450" t="d">
        <v>2020-03-29</v>
      </c>
      <c r="C7" s="416" t="s">
        <v>422</v>
      </c>
      <c r="D7" s="416" t="s">
        <v>479</v>
      </c>
      <c r="E7" s="737" t="s">
        <v>528</v>
      </c>
      <c r="F7" s="450" t="d">
        <v>2020-04-01</v>
      </c>
      <c r="G7" t="s">
        <v>1810</v>
      </c>
    </row>
    <row r="8" spans="1:8">
      <c r="A8" s="416">
        <f t="shared" si="0"/>
        <v>7</v>
      </c>
      <c r="B8" s="450" t="d">
        <v>2020-03-29</v>
      </c>
      <c r="C8" s="416" t="s">
        <v>422</v>
      </c>
      <c r="D8" s="416" t="s">
        <v>480</v>
      </c>
      <c r="E8" s="429">
        <v>0.05</v>
      </c>
      <c r="F8" s="450" t="d">
        <v>2020-04-01</v>
      </c>
      <c r="G8" t="s">
        <v>1810</v>
      </c>
    </row>
    <row r="9" spans="1:8">
      <c r="A9" s="416">
        <f t="shared" si="0"/>
        <v>8</v>
      </c>
      <c r="B9" s="450" t="d">
        <v>2020-03-29</v>
      </c>
      <c r="C9" s="416" t="s">
        <v>422</v>
      </c>
      <c r="D9" s="1271" t="s">
        <v>512</v>
      </c>
      <c r="E9" s="1272" t="s">
        <v>523</v>
      </c>
      <c r="F9" s="1273" t="d">
        <v>2020-04-01</v>
      </c>
      <c r="G9" t="s">
        <v>1810</v>
      </c>
      <c r="H9" t="s">
        <v>2244</v>
      </c>
    </row>
    <row r="10" spans="1:8">
      <c r="A10" s="416">
        <f t="shared" si="0"/>
        <v>9</v>
      </c>
      <c r="B10" s="450" t="d">
        <v>2020-03-30</v>
      </c>
      <c r="C10" s="416" t="s">
        <v>422</v>
      </c>
      <c r="D10" s="416" t="s">
        <v>518</v>
      </c>
      <c r="E10" s="417" t="s">
        <v>524</v>
      </c>
      <c r="F10" s="450" t="d">
        <v>2020-04-01</v>
      </c>
      <c r="G10" t="s">
        <v>1810</v>
      </c>
    </row>
    <row r="11" spans="1:8">
      <c r="A11" s="416">
        <f t="shared" si="0"/>
        <v>10</v>
      </c>
      <c r="B11" s="450" t="d">
        <v>2020-03-30</v>
      </c>
      <c r="C11" s="416" t="s">
        <v>422</v>
      </c>
      <c r="D11" s="416" t="s">
        <v>520</v>
      </c>
      <c r="E11" s="737"/>
      <c r="F11" s="450" t="d">
        <v>2020-04-01</v>
      </c>
    </row>
    <row r="12" spans="1:8">
      <c r="A12" s="416">
        <f t="shared" si="0"/>
        <v>11</v>
      </c>
      <c r="B12" s="450" t="d">
        <v>2020-04-01</v>
      </c>
      <c r="C12" s="416" t="s">
        <v>422</v>
      </c>
      <c r="D12" s="416" t="s">
        <v>529</v>
      </c>
      <c r="E12" s="417"/>
      <c r="F12" s="416"/>
    </row>
    <row r="13" spans="1:8">
      <c r="A13" s="416">
        <f t="shared" si="0"/>
        <v>12</v>
      </c>
      <c r="B13" s="450" t="d">
        <v>2020-04-26</v>
      </c>
      <c r="C13" s="416" t="s">
        <v>2013</v>
      </c>
      <c r="D13" s="416" t="s">
        <v>2169</v>
      </c>
      <c r="E13" s="417"/>
      <c r="F13" s="416"/>
      <c r="G13" t="s">
        <v>1810</v>
      </c>
    </row>
    <row r="14" spans="1:8">
      <c r="A14" s="416">
        <f t="shared" si="0"/>
        <v>13</v>
      </c>
      <c r="B14" s="450" t="d">
        <v>2020-04-29</v>
      </c>
      <c r="C14" s="416" t="s">
        <v>2014</v>
      </c>
      <c r="D14" s="416" t="s">
        <v>2166</v>
      </c>
      <c r="E14" s="417"/>
      <c r="F14" s="416"/>
      <c r="G14" t="s">
        <v>2380</v>
      </c>
    </row>
    <row r="15" spans="1:8">
      <c r="A15" s="416">
        <f t="shared" si="0"/>
        <v>14</v>
      </c>
      <c r="B15" s="450" t="d">
        <v>2020-04-29</v>
      </c>
      <c r="C15" s="416" t="s">
        <v>2014</v>
      </c>
      <c r="D15" s="416" t="s">
        <v>2167</v>
      </c>
      <c r="E15" s="417"/>
      <c r="F15" s="416"/>
      <c r="G15" t="s">
        <v>1810</v>
      </c>
    </row>
    <row r="16" spans="1:8">
      <c r="A16" s="416">
        <f t="shared" si="0"/>
        <v>15</v>
      </c>
      <c r="B16" s="450" t="d">
        <v>2020-04-29</v>
      </c>
      <c r="C16" s="416" t="s">
        <v>2014</v>
      </c>
      <c r="D16" s="416" t="s">
        <v>2168</v>
      </c>
      <c r="E16" s="417"/>
      <c r="F16" s="416"/>
      <c r="G16" t="s">
        <v>1810</v>
      </c>
    </row>
    <row r="17" spans="1:7">
      <c r="A17" s="416">
        <f t="shared" si="0"/>
        <v>16</v>
      </c>
      <c r="B17" s="450" t="d">
        <v>2020-04-29</v>
      </c>
      <c r="C17" s="416" t="s">
        <v>2035</v>
      </c>
      <c r="D17" s="416" t="s">
        <v>2326</v>
      </c>
      <c r="E17" s="417"/>
      <c r="F17" s="416"/>
      <c r="G17" t="s">
        <v>1810</v>
      </c>
    </row>
    <row r="18" spans="1:7">
      <c r="A18" s="416">
        <f t="shared" si="0"/>
        <v>17</v>
      </c>
      <c r="B18" s="450" t="d">
        <v>2020-04-29</v>
      </c>
      <c r="C18" s="416" t="s">
        <v>423</v>
      </c>
      <c r="D18" s="416" t="s">
        <v>2174</v>
      </c>
      <c r="E18" s="417"/>
      <c r="F18" s="416"/>
      <c r="G18" t="s">
        <v>2327</v>
      </c>
    </row>
    <row r="19" spans="1:7">
      <c r="A19" s="416">
        <f t="shared" si="0"/>
        <v>18</v>
      </c>
      <c r="B19" s="450" t="d">
        <v>2020-04-29</v>
      </c>
      <c r="C19" s="416" t="s">
        <v>2035</v>
      </c>
      <c r="D19" s="416" t="s">
        <v>2175</v>
      </c>
      <c r="E19" s="417"/>
      <c r="F19" s="416"/>
      <c r="G19" t="s">
        <v>1810</v>
      </c>
    </row>
    <row r="20" spans="1:7">
      <c r="A20" s="416">
        <f t="shared" si="0"/>
        <v>19</v>
      </c>
      <c r="B20" s="450" t="d">
        <v>2020-05-05</v>
      </c>
      <c r="C20" s="416" t="s">
        <v>2013</v>
      </c>
      <c r="D20" s="416" t="s">
        <v>2235</v>
      </c>
      <c r="E20" s="417"/>
      <c r="F20" s="416"/>
    </row>
    <row r="21" spans="1:7" ht="16">
      <c r="A21" s="416">
        <f t="shared" si="0"/>
        <v>20</v>
      </c>
      <c r="B21" s="450" t="d">
        <v>2020-05-05</v>
      </c>
      <c r="C21" s="416" t="s">
        <v>2013</v>
      </c>
      <c r="D21" s="1243" t="s">
        <v>2236</v>
      </c>
      <c r="E21" s="417"/>
      <c r="F21" s="416"/>
      <c r="G21" t="s">
        <v>1810</v>
      </c>
    </row>
    <row r="22" spans="1:7">
      <c r="A22" s="416">
        <f t="shared" si="0"/>
        <v>21</v>
      </c>
      <c r="B22" s="450" t="d">
        <v>2020-05-05</v>
      </c>
      <c r="C22" s="416" t="s">
        <v>2035</v>
      </c>
      <c r="D22" s="416" t="s">
        <v>2240</v>
      </c>
      <c r="E22" s="417"/>
      <c r="F22" s="416"/>
      <c r="G22" t="s">
        <v>2381</v>
      </c>
    </row>
    <row r="23" spans="1:7">
      <c r="A23" s="416">
        <f t="shared" si="0"/>
        <v>22</v>
      </c>
      <c r="B23" s="450" t="d">
        <v>2020-05-05</v>
      </c>
      <c r="C23" s="416" t="s">
        <v>2013</v>
      </c>
      <c r="D23" s="416" t="s">
        <v>2241</v>
      </c>
      <c r="E23" s="417"/>
      <c r="F23" s="416"/>
      <c r="G23" t="s">
        <v>1810</v>
      </c>
    </row>
    <row r="24" spans="1:7">
      <c r="A24" s="416">
        <f t="shared" si="0"/>
        <v>23</v>
      </c>
      <c r="B24" s="450" t="d">
        <v>2020-05-06</v>
      </c>
      <c r="C24" s="416"/>
      <c r="D24" s="416" t="s">
        <v>2389</v>
      </c>
      <c r="E24" s="417"/>
      <c r="F24" s="2057"/>
    </row>
    <row r="25" spans="1:7">
      <c r="A25" s="416">
        <f t="shared" si="0"/>
        <v>24</v>
      </c>
      <c r="B25" s="450" t="d">
        <v>2020-05-10</v>
      </c>
      <c r="C25" s="416"/>
      <c r="D25" s="416" t="s">
        <v>2390</v>
      </c>
      <c r="E25" s="417"/>
      <c r="F25" s="2057"/>
    </row>
    <row r="26" spans="1:7">
      <c r="A26" s="416">
        <f t="shared" si="0"/>
        <v>25</v>
      </c>
      <c r="B26" s="450" t="d">
        <v>2020-05-10</v>
      </c>
      <c r="C26" s="416"/>
      <c r="D26" s="416" t="s">
        <v>2406</v>
      </c>
      <c r="E26" s="417"/>
      <c r="F26" s="416"/>
      <c r="G26" t="s">
        <v>1810</v>
      </c>
    </row>
    <row r="27" spans="1:7">
      <c r="A27" s="416">
        <f t="shared" si="0"/>
        <v>26</v>
      </c>
      <c r="B27" s="450" t="d">
        <v>2020-05-17</v>
      </c>
      <c r="C27" s="416"/>
      <c r="D27" s="416" t="s">
        <v>3117</v>
      </c>
      <c r="E27" s="417"/>
      <c r="F27" s="416"/>
      <c r="G27" t="s">
        <v>1810</v>
      </c>
    </row>
    <row r="28" spans="1:7">
      <c r="A28" s="416">
        <f t="shared" si="0"/>
        <v>27</v>
      </c>
      <c r="B28" s="416"/>
      <c r="C28" s="416"/>
      <c r="D28" s="416" t="s">
        <v>3294</v>
      </c>
      <c r="E28" s="417"/>
      <c r="F28" s="416"/>
      <c r="G28" t="s">
        <v>1810</v>
      </c>
    </row>
    <row r="29" spans="1:7">
      <c r="A29" s="416">
        <f t="shared" si="0"/>
        <v>28</v>
      </c>
      <c r="B29" s="416"/>
      <c r="C29" s="416"/>
      <c r="D29" s="416"/>
      <c r="E29" s="417"/>
      <c r="F29" s="416"/>
    </row>
    <row r="30" spans="1:7">
      <c r="A30" s="416" t="str">
        <f t="shared" si="0"/>
        <v/>
      </c>
      <c r="B30" s="416"/>
      <c r="C30" s="416"/>
      <c r="D30" s="416"/>
      <c r="E30" s="417"/>
      <c r="F30" s="416"/>
    </row>
    <row r="31" spans="1:7">
      <c r="A31" s="416" t="str">
        <f t="shared" si="0"/>
        <v/>
      </c>
      <c r="B31" s="416"/>
      <c r="C31" s="416"/>
      <c r="D31" s="416"/>
      <c r="E31" s="417"/>
      <c r="F31" s="416"/>
    </row>
    <row r="32" spans="1:7">
      <c r="A32" s="416" t="str">
        <f t="shared" si="0"/>
        <v/>
      </c>
      <c r="B32" s="416"/>
      <c r="C32" s="416"/>
      <c r="D32" s="416"/>
      <c r="E32" s="417"/>
      <c r="F32" s="416"/>
    </row>
    <row r="33" spans="1:6">
      <c r="A33" s="416" t="str">
        <f t="shared" si="0"/>
        <v/>
      </c>
      <c r="B33" s="416"/>
      <c r="C33" s="416"/>
      <c r="D33" s="416"/>
      <c r="E33" s="417"/>
      <c r="F33" s="416"/>
    </row>
    <row r="34" spans="1:6">
      <c r="A34" s="416" t="str">
        <f t="shared" si="0"/>
        <v/>
      </c>
      <c r="B34" s="416"/>
      <c r="C34" s="416"/>
      <c r="D34" s="416"/>
      <c r="E34" s="417"/>
      <c r="F34" s="416"/>
    </row>
    <row r="35" spans="1:6">
      <c r="A35" s="416" t="str">
        <f t="shared" si="0"/>
        <v/>
      </c>
      <c r="B35" s="416"/>
      <c r="C35" s="416"/>
      <c r="D35" s="416"/>
      <c r="E35" s="417"/>
      <c r="F35" s="416"/>
    </row>
    <row r="36" spans="1:6">
      <c r="A36" s="416" t="str">
        <f t="shared" si="0"/>
        <v/>
      </c>
      <c r="B36" s="416"/>
      <c r="C36" s="416"/>
      <c r="D36" s="416"/>
      <c r="E36" s="417"/>
      <c r="F36" s="416"/>
    </row>
    <row r="37" spans="1:6">
      <c r="A37" s="416" t="str">
        <f t="shared" si="0"/>
        <v/>
      </c>
      <c r="B37" s="416"/>
      <c r="C37" s="416"/>
      <c r="D37" s="416"/>
      <c r="E37" s="417"/>
      <c r="F37" s="416"/>
    </row>
    <row r="38" spans="1:6">
      <c r="A38" s="416" t="str">
        <f t="shared" si="0"/>
        <v/>
      </c>
      <c r="B38" s="416"/>
      <c r="C38" s="416"/>
      <c r="D38" s="416"/>
      <c r="E38" s="417"/>
      <c r="F38" s="416"/>
    </row>
    <row r="39" spans="1:6">
      <c r="A39" s="416" t="str">
        <f t="shared" si="0"/>
        <v/>
      </c>
      <c r="B39" s="416"/>
      <c r="C39" s="416"/>
      <c r="D39" s="416"/>
      <c r="E39" s="417"/>
      <c r="F39" s="416"/>
    </row>
    <row r="40" spans="1:6">
      <c r="A40" s="416" t="str">
        <f t="shared" si="0"/>
        <v/>
      </c>
      <c r="B40" s="416"/>
      <c r="C40" s="416"/>
      <c r="D40" s="416"/>
      <c r="E40" s="417"/>
      <c r="F40" s="416"/>
    </row>
    <row r="41" spans="1:6">
      <c r="A41" s="416" t="str">
        <f t="shared" si="0"/>
        <v/>
      </c>
      <c r="B41" s="416"/>
      <c r="C41" s="416"/>
      <c r="D41" s="416"/>
      <c r="E41" s="417"/>
      <c r="F41" s="416"/>
    </row>
    <row r="42" spans="1:6">
      <c r="A42" s="416" t="str">
        <f t="shared" si="0"/>
        <v/>
      </c>
      <c r="B42" s="416"/>
      <c r="C42" s="416"/>
      <c r="D42" s="416"/>
      <c r="E42" s="417"/>
      <c r="F42" s="416"/>
    </row>
    <row r="43" spans="1:6">
      <c r="A43" s="416" t="str">
        <f t="shared" si="0"/>
        <v/>
      </c>
      <c r="B43" s="416"/>
      <c r="C43" s="416"/>
      <c r="D43" s="416"/>
      <c r="E43" s="417"/>
      <c r="F43" s="416"/>
    </row>
    <row r="44" spans="1:6">
      <c r="A44" s="416" t="str">
        <f t="shared" si="0"/>
        <v/>
      </c>
      <c r="B44" s="416"/>
      <c r="C44" s="416"/>
      <c r="D44" s="416"/>
      <c r="E44" s="417"/>
      <c r="F44" s="416"/>
    </row>
    <row r="45" spans="1:6">
      <c r="A45" s="416" t="str">
        <f t="shared" si="0"/>
        <v/>
      </c>
      <c r="B45" s="416"/>
      <c r="C45" s="416"/>
      <c r="D45" s="416"/>
      <c r="E45" s="417"/>
      <c r="F45" s="416"/>
    </row>
    <row r="46" spans="1:6">
      <c r="A46" s="416" t="str">
        <f t="shared" si="0"/>
        <v/>
      </c>
      <c r="B46" s="416"/>
      <c r="C46" s="416"/>
      <c r="D46" s="416"/>
      <c r="E46" s="417"/>
      <c r="F46" s="416"/>
    </row>
    <row r="47" spans="1:6">
      <c r="A47" s="416" t="str">
        <f t="shared" si="0"/>
        <v/>
      </c>
      <c r="B47" s="416"/>
      <c r="C47" s="416"/>
      <c r="D47" s="416"/>
      <c r="E47" s="417"/>
      <c r="F47" s="416"/>
    </row>
    <row r="48" spans="1:6">
      <c r="A48" s="416" t="str">
        <f t="shared" si="0"/>
        <v/>
      </c>
      <c r="B48" s="416"/>
      <c r="C48" s="416"/>
      <c r="D48" s="416"/>
      <c r="E48" s="417"/>
      <c r="F48" s="416"/>
    </row>
    <row r="49" spans="1:6">
      <c r="A49" s="416" t="str">
        <f t="shared" si="0"/>
        <v/>
      </c>
      <c r="B49" s="416"/>
      <c r="C49" s="416"/>
      <c r="D49" s="416"/>
      <c r="E49" s="417"/>
      <c r="F49" s="416"/>
    </row>
  </sheetData>
  <dataValidations count="1">
    <dataValidation type="list" allowBlank="1" showInputMessage="1" showErrorMessage="1" sqref="C2:C49" xr:uid="{00000000-0002-0000-1E00-000000000000}">
      <formula1>Book_sheet</formula1>
    </dataValidation>
  </dataValidations>
  <pageMargins left="0.7" right="0.7" top="0.75" bottom="0.75" header="0.3" footer="0.3"/>
</worksheet>
</file>

<file path=xl/worksheets/sheet3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
  <dimension ref="A1:AI177"/>
  <sheetViews>
    <sheetView topLeftCell="K70" zoomScale="70" zoomScaleNormal="70" workbookViewId="0">
      <selection activeCell="O1" sqref="O1"/>
    </sheetView>
  </sheetViews>
  <sheetFormatPr baseColWidth="10" defaultColWidth="114" defaultRowHeight="15" outlineLevelCol="1"/>
  <cols>
    <col min="1" max="10" width="23.6640625" hidden="1" customWidth="1" outlineLevel="1"/>
    <col min="11" max="11" width="2" style="735" customWidth="1" collapsed="1"/>
    <col min="12" max="12" width="12.5" style="907" customWidth="1"/>
    <col min="13" max="13" width="105.6640625" customWidth="1"/>
    <col min="14" max="14" width="18.33203125" bestFit="1" customWidth="1"/>
    <col min="15" max="15" width="22.33203125" bestFit="1" customWidth="1"/>
    <col min="16" max="16" width="17.5" bestFit="1" customWidth="1"/>
    <col min="17" max="17" width="23.83203125" customWidth="1"/>
    <col min="18" max="18" width="17.5" bestFit="1" customWidth="1"/>
    <col min="19" max="19" width="11.33203125" bestFit="1" customWidth="1"/>
    <col min="20" max="20" width="17.5" bestFit="1" customWidth="1"/>
    <col min="21" max="21" width="11.6640625" bestFit="1" customWidth="1"/>
    <col min="22" max="22" width="17.5" bestFit="1" customWidth="1"/>
    <col min="23" max="23" width="11.33203125" bestFit="1" customWidth="1"/>
    <col min="24" max="24" width="24.5" bestFit="1" customWidth="1"/>
    <col min="25" max="25" width="11.33203125" bestFit="1" customWidth="1"/>
    <col min="26" max="26" width="21" bestFit="1" customWidth="1"/>
    <col min="27" max="27" width="11.33203125" bestFit="1" customWidth="1"/>
    <col min="28" max="28" width="24.1640625" bestFit="1" customWidth="1"/>
    <col min="29" max="29" width="11.33203125" bestFit="1" customWidth="1"/>
    <col min="30" max="30" width="20.5" bestFit="1" customWidth="1"/>
    <col min="31" max="31" width="11.33203125" bestFit="1" customWidth="1"/>
    <col min="32" max="32" width="17.5" bestFit="1" customWidth="1"/>
    <col min="33" max="33" width="11.33203125" bestFit="1" customWidth="1"/>
    <col min="34" max="34" width="17.5" bestFit="1" customWidth="1"/>
    <col min="35" max="35" width="11.33203125" bestFit="1" customWidth="1"/>
  </cols>
  <sheetData>
    <row r="1" spans="1:35" ht="16" thickBot="1">
      <c r="A1" s="730" t="s">
        <v>345</v>
      </c>
      <c r="B1" s="731">
        <v>2021</v>
      </c>
      <c r="C1" s="731">
        <v>2022</v>
      </c>
      <c r="D1" s="731">
        <v>2023</v>
      </c>
      <c r="E1" s="731">
        <v>2024</v>
      </c>
      <c r="F1" s="731">
        <v>2025</v>
      </c>
      <c r="G1" s="731" t="s">
        <v>484</v>
      </c>
      <c r="H1" s="731" t="s">
        <v>515</v>
      </c>
      <c r="I1" s="732" t="s">
        <v>1834</v>
      </c>
      <c r="J1" s="859"/>
      <c r="K1" s="712"/>
      <c r="L1" s="833"/>
      <c r="O1" s="1836" t="s">
        <v>356</v>
      </c>
    </row>
    <row r="2" spans="1:35" s="853" customFormat="1" ht="22" thickBot="1">
      <c r="A2" s="1023"/>
      <c r="B2" s="1024"/>
      <c r="C2" s="1024"/>
      <c r="D2" s="1024"/>
      <c r="E2" s="1024"/>
      <c r="F2" s="1024"/>
      <c r="G2" s="1024"/>
      <c r="H2" s="1024"/>
      <c r="I2" s="1024"/>
      <c r="J2" s="1024"/>
      <c r="K2" s="712"/>
      <c r="L2" s="833"/>
      <c r="M2" s="1074" t="s">
        <v>2176</v>
      </c>
    </row>
    <row r="3" spans="1:35" ht="16" thickBot="1">
      <c r="K3" s="712"/>
      <c r="L3" s="833"/>
      <c r="N3" s="999"/>
      <c r="O3" s="1000"/>
      <c r="P3" s="965" t="s">
        <v>2036</v>
      </c>
      <c r="Q3" s="1000"/>
      <c r="R3" s="965" t="s">
        <v>2037</v>
      </c>
      <c r="S3" s="1000"/>
      <c r="T3" s="965" t="s">
        <v>2067</v>
      </c>
      <c r="U3" s="1000"/>
      <c r="V3" s="965" t="s">
        <v>2068</v>
      </c>
      <c r="W3" s="1000"/>
      <c r="X3" s="965" t="s">
        <v>2069</v>
      </c>
      <c r="Y3" s="1000"/>
      <c r="Z3" s="965" t="s">
        <v>2070</v>
      </c>
      <c r="AA3" s="1000"/>
      <c r="AB3" s="965" t="s">
        <v>2071</v>
      </c>
      <c r="AC3" s="1000"/>
      <c r="AD3" s="965" t="s">
        <v>2072</v>
      </c>
      <c r="AE3" s="1000"/>
      <c r="AF3" s="965" t="s">
        <v>2073</v>
      </c>
      <c r="AG3" s="1000"/>
      <c r="AH3" s="965" t="s">
        <v>2074</v>
      </c>
      <c r="AI3" s="1000"/>
    </row>
    <row r="4" spans="1:35" ht="16">
      <c r="K4" s="712"/>
      <c r="L4" s="833"/>
      <c r="M4" s="1001" t="s">
        <v>2075</v>
      </c>
      <c r="N4" s="1002" t="s">
        <v>2076</v>
      </c>
      <c r="O4" s="1003" t="s">
        <v>2077</v>
      </c>
      <c r="P4" s="1004" t="s">
        <v>2078</v>
      </c>
      <c r="Q4" s="1005" t="s">
        <v>2079</v>
      </c>
      <c r="R4" s="1004" t="s">
        <v>2078</v>
      </c>
      <c r="S4" s="1005" t="s">
        <v>2079</v>
      </c>
      <c r="T4" s="1004" t="s">
        <v>2078</v>
      </c>
      <c r="U4" s="1005" t="s">
        <v>2079</v>
      </c>
      <c r="V4" s="1004" t="s">
        <v>2078</v>
      </c>
      <c r="W4" s="1005" t="s">
        <v>2079</v>
      </c>
      <c r="X4" s="1004" t="s">
        <v>2078</v>
      </c>
      <c r="Y4" s="1005" t="s">
        <v>2079</v>
      </c>
      <c r="Z4" s="1004" t="s">
        <v>2078</v>
      </c>
      <c r="AA4" s="1005" t="s">
        <v>2079</v>
      </c>
      <c r="AB4" s="1004" t="s">
        <v>2078</v>
      </c>
      <c r="AC4" s="1005" t="s">
        <v>2079</v>
      </c>
      <c r="AD4" s="1004" t="s">
        <v>2078</v>
      </c>
      <c r="AE4" s="1005" t="s">
        <v>2079</v>
      </c>
      <c r="AF4" s="1004" t="s">
        <v>2078</v>
      </c>
      <c r="AG4" s="1005" t="s">
        <v>2079</v>
      </c>
      <c r="AH4" s="1004" t="s">
        <v>2078</v>
      </c>
      <c r="AI4" s="1005" t="s">
        <v>2079</v>
      </c>
    </row>
    <row r="5" spans="1:35">
      <c r="K5" s="712"/>
      <c r="L5" s="833"/>
      <c r="M5" s="1006" t="s">
        <v>2080</v>
      </c>
      <c r="N5" s="1007">
        <v>1518</v>
      </c>
      <c r="O5" s="1008">
        <v>75</v>
      </c>
      <c r="P5" s="1007">
        <v>3</v>
      </c>
      <c r="Q5" s="1008">
        <f>IF(P5="x",0,P5*O5)</f>
        <v>225</v>
      </c>
      <c r="R5" s="1007">
        <v>18</v>
      </c>
      <c r="S5" s="1008">
        <f>IF(R5="x",0,R5*O5)</f>
        <v>1350</v>
      </c>
      <c r="T5" s="1007">
        <v>6</v>
      </c>
      <c r="U5" s="1008">
        <f>IF(T5="x",0,T5*O5)</f>
        <v>450</v>
      </c>
      <c r="V5" s="1007">
        <v>18</v>
      </c>
      <c r="W5" s="1008">
        <f>IF(V5="x",0,V5*O5)</f>
        <v>1350</v>
      </c>
      <c r="X5" s="1007">
        <v>6</v>
      </c>
      <c r="Y5" s="1008">
        <f>IF(X5="x",0,X5*O5)</f>
        <v>450</v>
      </c>
      <c r="Z5" s="1007">
        <v>18</v>
      </c>
      <c r="AA5" s="1008">
        <f>IF(Z5="x",0,Z5*O5)</f>
        <v>1350</v>
      </c>
      <c r="AB5" s="1007">
        <v>6</v>
      </c>
      <c r="AC5" s="1008">
        <f>IF(AB5="x",0,AB5*O5)</f>
        <v>450</v>
      </c>
      <c r="AD5" s="1007">
        <v>18</v>
      </c>
      <c r="AE5" s="1008">
        <f>IF(AD5="x",0,AD5*O5)</f>
        <v>1350</v>
      </c>
      <c r="AF5" s="1007">
        <v>3</v>
      </c>
      <c r="AG5" s="1008">
        <f>IF(AF5="x",0,AF5*O5)</f>
        <v>225</v>
      </c>
      <c r="AH5" s="734">
        <v>18</v>
      </c>
      <c r="AI5" s="1008">
        <f>IF(AH5="x",0,AH5*O5)</f>
        <v>1350</v>
      </c>
    </row>
    <row r="6" spans="1:35">
      <c r="K6" s="712"/>
      <c r="L6" s="833"/>
      <c r="M6" s="1006" t="s">
        <v>2038</v>
      </c>
      <c r="N6" s="1007" t="s">
        <v>2081</v>
      </c>
      <c r="O6" s="1008">
        <v>128</v>
      </c>
      <c r="P6" s="1007">
        <v>3</v>
      </c>
      <c r="Q6" s="1008">
        <f t="shared" ref="Q6:Q69" si="0">IF(P6="x",0,P6*O6)</f>
        <v>384</v>
      </c>
      <c r="R6" s="1007">
        <v>10</v>
      </c>
      <c r="S6" s="1008">
        <f t="shared" ref="S6:S69" si="1">IF(R6="x",0,R6*O6)</f>
        <v>1280</v>
      </c>
      <c r="T6" s="1007">
        <v>3</v>
      </c>
      <c r="U6" s="1008">
        <f t="shared" ref="U6:U69" si="2">IF(T6="x",0,T6*O6)</f>
        <v>384</v>
      </c>
      <c r="V6" s="1007">
        <v>10</v>
      </c>
      <c r="W6" s="1008">
        <f t="shared" ref="W6:W69" si="3">IF(V6="x",0,V6*O6)</f>
        <v>1280</v>
      </c>
      <c r="X6" s="1007">
        <v>3</v>
      </c>
      <c r="Y6" s="1008">
        <f t="shared" ref="Y6:Y69" si="4">IF(X6="x",0,X6*O6)</f>
        <v>384</v>
      </c>
      <c r="Z6" s="1007">
        <v>10</v>
      </c>
      <c r="AA6" s="1008">
        <f t="shared" ref="AA6:AA69" si="5">IF(Z6="x",0,Z6*O6)</f>
        <v>1280</v>
      </c>
      <c r="AB6" s="1007">
        <v>3</v>
      </c>
      <c r="AC6" s="1008">
        <f t="shared" ref="AC6:AC69" si="6">IF(AB6="x",0,AB6*O6)</f>
        <v>384</v>
      </c>
      <c r="AD6" s="1007">
        <v>10</v>
      </c>
      <c r="AE6" s="1008">
        <f t="shared" ref="AE6:AE69" si="7">IF(AD6="x",0,AD6*O6)</f>
        <v>1280</v>
      </c>
      <c r="AF6" s="1007">
        <v>3</v>
      </c>
      <c r="AG6" s="1008">
        <f t="shared" ref="AG6:AG69" si="8">IF(AF6="x",0,AF6*O6)</f>
        <v>384</v>
      </c>
      <c r="AH6" s="1007">
        <v>12</v>
      </c>
      <c r="AI6" s="1008">
        <f t="shared" ref="AI6:AI69" si="9">IF(AH6="x",0,AH6*O6)</f>
        <v>1536</v>
      </c>
    </row>
    <row r="7" spans="1:35">
      <c r="K7" s="712"/>
      <c r="L7" s="833"/>
      <c r="M7" s="1009" t="s">
        <v>2039</v>
      </c>
      <c r="N7" s="1010">
        <v>994</v>
      </c>
      <c r="O7" s="1011">
        <v>52</v>
      </c>
      <c r="P7" s="1007">
        <v>3</v>
      </c>
      <c r="Q7" s="1008">
        <f t="shared" si="0"/>
        <v>156</v>
      </c>
      <c r="R7" s="1007">
        <v>6</v>
      </c>
      <c r="S7" s="1008">
        <f t="shared" si="1"/>
        <v>312</v>
      </c>
      <c r="T7" s="1007">
        <v>2</v>
      </c>
      <c r="U7" s="1008">
        <f t="shared" si="2"/>
        <v>104</v>
      </c>
      <c r="V7" s="1007">
        <v>6</v>
      </c>
      <c r="W7" s="1008">
        <f t="shared" si="3"/>
        <v>312</v>
      </c>
      <c r="X7" s="1007">
        <v>2</v>
      </c>
      <c r="Y7" s="1008">
        <f t="shared" si="4"/>
        <v>104</v>
      </c>
      <c r="Z7" s="1007">
        <v>6</v>
      </c>
      <c r="AA7" s="1008">
        <f t="shared" si="5"/>
        <v>312</v>
      </c>
      <c r="AB7" s="1007">
        <v>2</v>
      </c>
      <c r="AC7" s="1008">
        <f t="shared" si="6"/>
        <v>104</v>
      </c>
      <c r="AD7" s="1007">
        <v>6</v>
      </c>
      <c r="AE7" s="1008">
        <f t="shared" si="7"/>
        <v>312</v>
      </c>
      <c r="AF7" s="1007">
        <v>2</v>
      </c>
      <c r="AG7" s="1008">
        <f t="shared" si="8"/>
        <v>104</v>
      </c>
      <c r="AH7" s="1007">
        <v>6</v>
      </c>
      <c r="AI7" s="1008">
        <f t="shared" si="9"/>
        <v>312</v>
      </c>
    </row>
    <row r="8" spans="1:35">
      <c r="K8" s="712"/>
      <c r="L8" s="833"/>
      <c r="M8" s="1006" t="s">
        <v>2040</v>
      </c>
      <c r="N8" s="1007">
        <v>1535</v>
      </c>
      <c r="O8" s="1008">
        <v>44</v>
      </c>
      <c r="P8" s="1007">
        <v>3</v>
      </c>
      <c r="Q8" s="1008">
        <f t="shared" si="0"/>
        <v>132</v>
      </c>
      <c r="R8" s="1007">
        <v>7</v>
      </c>
      <c r="S8" s="1008">
        <f t="shared" si="1"/>
        <v>308</v>
      </c>
      <c r="T8" s="1007">
        <v>3</v>
      </c>
      <c r="U8" s="1008">
        <f t="shared" si="2"/>
        <v>132</v>
      </c>
      <c r="V8" s="1007">
        <v>12</v>
      </c>
      <c r="W8" s="1008">
        <f t="shared" si="3"/>
        <v>528</v>
      </c>
      <c r="X8" s="1007">
        <v>8</v>
      </c>
      <c r="Y8" s="1008">
        <f t="shared" si="4"/>
        <v>352</v>
      </c>
      <c r="Z8" s="1007">
        <v>7</v>
      </c>
      <c r="AA8" s="1008">
        <f t="shared" si="5"/>
        <v>308</v>
      </c>
      <c r="AB8" s="1007">
        <v>6</v>
      </c>
      <c r="AC8" s="1008">
        <f t="shared" si="6"/>
        <v>264</v>
      </c>
      <c r="AD8" s="1007">
        <v>18</v>
      </c>
      <c r="AE8" s="1008">
        <f t="shared" si="7"/>
        <v>792</v>
      </c>
      <c r="AF8" s="1007">
        <v>3</v>
      </c>
      <c r="AG8" s="1008">
        <f t="shared" si="8"/>
        <v>132</v>
      </c>
      <c r="AH8" s="1007">
        <v>8</v>
      </c>
      <c r="AI8" s="1008">
        <f t="shared" si="9"/>
        <v>352</v>
      </c>
    </row>
    <row r="9" spans="1:35">
      <c r="K9" s="712"/>
      <c r="L9" s="833"/>
      <c r="M9" s="1006" t="s">
        <v>2041</v>
      </c>
      <c r="N9" s="1007">
        <v>1600</v>
      </c>
      <c r="O9" s="1008">
        <v>20</v>
      </c>
      <c r="P9" s="1007">
        <v>4</v>
      </c>
      <c r="Q9" s="1008">
        <f t="shared" si="0"/>
        <v>80</v>
      </c>
      <c r="R9" s="1007">
        <v>18</v>
      </c>
      <c r="S9" s="1008">
        <f t="shared" si="1"/>
        <v>360</v>
      </c>
      <c r="T9" s="1007">
        <v>4</v>
      </c>
      <c r="U9" s="1008">
        <f t="shared" si="2"/>
        <v>80</v>
      </c>
      <c r="V9" s="1007">
        <v>18</v>
      </c>
      <c r="W9" s="1008">
        <f t="shared" si="3"/>
        <v>360</v>
      </c>
      <c r="X9" s="1007">
        <v>3</v>
      </c>
      <c r="Y9" s="1008">
        <f t="shared" si="4"/>
        <v>60</v>
      </c>
      <c r="Z9" s="1007">
        <v>18</v>
      </c>
      <c r="AA9" s="1008">
        <f t="shared" si="5"/>
        <v>360</v>
      </c>
      <c r="AB9" s="1007">
        <v>3</v>
      </c>
      <c r="AC9" s="1008">
        <f t="shared" si="6"/>
        <v>60</v>
      </c>
      <c r="AD9" s="1007">
        <v>18</v>
      </c>
      <c r="AE9" s="1008">
        <f t="shared" si="7"/>
        <v>360</v>
      </c>
      <c r="AF9" s="1007">
        <v>4</v>
      </c>
      <c r="AG9" s="1008">
        <f t="shared" si="8"/>
        <v>80</v>
      </c>
      <c r="AH9" s="1007">
        <v>18</v>
      </c>
      <c r="AI9" s="1008">
        <f t="shared" si="9"/>
        <v>360</v>
      </c>
    </row>
    <row r="10" spans="1:35">
      <c r="K10" s="712"/>
      <c r="L10" s="833"/>
      <c r="M10" s="1006" t="s">
        <v>2042</v>
      </c>
      <c r="N10" s="1007">
        <v>1601</v>
      </c>
      <c r="O10" s="1008">
        <v>20</v>
      </c>
      <c r="P10" s="1007">
        <v>4</v>
      </c>
      <c r="Q10" s="1008">
        <f t="shared" si="0"/>
        <v>80</v>
      </c>
      <c r="R10" s="1007">
        <v>18</v>
      </c>
      <c r="S10" s="1008">
        <f t="shared" si="1"/>
        <v>360</v>
      </c>
      <c r="T10" s="1007">
        <v>4</v>
      </c>
      <c r="U10" s="1008">
        <f t="shared" si="2"/>
        <v>80</v>
      </c>
      <c r="V10" s="1007">
        <v>18</v>
      </c>
      <c r="W10" s="1008">
        <f t="shared" si="3"/>
        <v>360</v>
      </c>
      <c r="X10" s="1007">
        <v>8</v>
      </c>
      <c r="Y10" s="1008">
        <f t="shared" si="4"/>
        <v>160</v>
      </c>
      <c r="Z10" s="1007">
        <v>18</v>
      </c>
      <c r="AA10" s="1008">
        <f t="shared" si="5"/>
        <v>360</v>
      </c>
      <c r="AB10" s="1007">
        <v>3</v>
      </c>
      <c r="AC10" s="1008">
        <f t="shared" si="6"/>
        <v>60</v>
      </c>
      <c r="AD10" s="1007">
        <v>18</v>
      </c>
      <c r="AE10" s="1008">
        <f t="shared" si="7"/>
        <v>360</v>
      </c>
      <c r="AF10" s="1007">
        <v>4</v>
      </c>
      <c r="AG10" s="1008">
        <f t="shared" si="8"/>
        <v>80</v>
      </c>
      <c r="AH10" s="1007">
        <v>18</v>
      </c>
      <c r="AI10" s="1008">
        <f t="shared" si="9"/>
        <v>360</v>
      </c>
    </row>
    <row r="11" spans="1:35">
      <c r="K11" s="712"/>
      <c r="L11" s="833"/>
      <c r="M11" s="1006" t="s">
        <v>2082</v>
      </c>
      <c r="N11" s="1007">
        <v>1632</v>
      </c>
      <c r="O11" s="1008">
        <v>20</v>
      </c>
      <c r="P11" s="1007">
        <v>4</v>
      </c>
      <c r="Q11" s="1008">
        <f t="shared" si="0"/>
        <v>80</v>
      </c>
      <c r="R11" s="1007">
        <v>18</v>
      </c>
      <c r="S11" s="1008">
        <f t="shared" si="1"/>
        <v>360</v>
      </c>
      <c r="T11" s="1007">
        <v>4</v>
      </c>
      <c r="U11" s="1008">
        <f t="shared" si="2"/>
        <v>80</v>
      </c>
      <c r="V11" s="1007">
        <v>18</v>
      </c>
      <c r="W11" s="1008">
        <f t="shared" si="3"/>
        <v>360</v>
      </c>
      <c r="X11" s="1007">
        <v>8</v>
      </c>
      <c r="Y11" s="1008">
        <f t="shared" si="4"/>
        <v>160</v>
      </c>
      <c r="Z11" s="1007">
        <v>18</v>
      </c>
      <c r="AA11" s="1008">
        <f t="shared" si="5"/>
        <v>360</v>
      </c>
      <c r="AB11" s="1007">
        <v>3</v>
      </c>
      <c r="AC11" s="1008">
        <f t="shared" si="6"/>
        <v>60</v>
      </c>
      <c r="AD11" s="1007">
        <v>18</v>
      </c>
      <c r="AE11" s="1008">
        <f t="shared" si="7"/>
        <v>360</v>
      </c>
      <c r="AF11" s="1007">
        <v>4</v>
      </c>
      <c r="AG11" s="1008">
        <f t="shared" si="8"/>
        <v>80</v>
      </c>
      <c r="AH11" s="1007">
        <v>18</v>
      </c>
      <c r="AI11" s="1008">
        <f t="shared" si="9"/>
        <v>360</v>
      </c>
    </row>
    <row r="12" spans="1:35">
      <c r="K12" s="712"/>
      <c r="L12" s="833"/>
      <c r="M12" s="1006" t="s">
        <v>2043</v>
      </c>
      <c r="N12" s="1007">
        <v>1610</v>
      </c>
      <c r="O12" s="1008">
        <v>19</v>
      </c>
      <c r="P12" s="1007">
        <v>3</v>
      </c>
      <c r="Q12" s="1008">
        <f t="shared" si="0"/>
        <v>57</v>
      </c>
      <c r="R12" s="1007">
        <v>18</v>
      </c>
      <c r="S12" s="1008">
        <f t="shared" si="1"/>
        <v>342</v>
      </c>
      <c r="T12" s="1007">
        <v>9</v>
      </c>
      <c r="U12" s="1008">
        <f t="shared" si="2"/>
        <v>171</v>
      </c>
      <c r="V12" s="1007">
        <v>21</v>
      </c>
      <c r="W12" s="1008">
        <f t="shared" si="3"/>
        <v>399</v>
      </c>
      <c r="X12" s="1007">
        <v>8</v>
      </c>
      <c r="Y12" s="1008">
        <f t="shared" si="4"/>
        <v>152</v>
      </c>
      <c r="Z12" s="1007">
        <v>18</v>
      </c>
      <c r="AA12" s="1008">
        <f t="shared" si="5"/>
        <v>342</v>
      </c>
      <c r="AB12" s="1007">
        <v>24</v>
      </c>
      <c r="AC12" s="1008">
        <f t="shared" si="6"/>
        <v>456</v>
      </c>
      <c r="AD12" s="1007">
        <v>72</v>
      </c>
      <c r="AE12" s="1008">
        <f t="shared" si="7"/>
        <v>1368</v>
      </c>
      <c r="AF12" s="1007">
        <v>3</v>
      </c>
      <c r="AG12" s="1008">
        <f t="shared" si="8"/>
        <v>57</v>
      </c>
      <c r="AH12" s="1007">
        <v>18</v>
      </c>
      <c r="AI12" s="1008">
        <f t="shared" si="9"/>
        <v>342</v>
      </c>
    </row>
    <row r="13" spans="1:35">
      <c r="K13" s="712"/>
      <c r="L13" s="833"/>
      <c r="M13" s="1006" t="s">
        <v>2044</v>
      </c>
      <c r="N13" s="1007">
        <v>1609</v>
      </c>
      <c r="O13" s="1008">
        <v>20</v>
      </c>
      <c r="P13" s="1007">
        <v>3</v>
      </c>
      <c r="Q13" s="1008">
        <f t="shared" si="0"/>
        <v>60</v>
      </c>
      <c r="R13" s="1007">
        <v>20</v>
      </c>
      <c r="S13" s="1008">
        <f t="shared" si="1"/>
        <v>400</v>
      </c>
      <c r="T13" s="1007">
        <v>8</v>
      </c>
      <c r="U13" s="1008">
        <f t="shared" si="2"/>
        <v>160</v>
      </c>
      <c r="V13" s="1007">
        <v>22</v>
      </c>
      <c r="W13" s="1008">
        <f t="shared" si="3"/>
        <v>440</v>
      </c>
      <c r="X13" s="1007">
        <v>8</v>
      </c>
      <c r="Y13" s="1008">
        <f t="shared" si="4"/>
        <v>160</v>
      </c>
      <c r="Z13" s="1007">
        <v>22</v>
      </c>
      <c r="AA13" s="1008">
        <f t="shared" si="5"/>
        <v>440</v>
      </c>
      <c r="AB13" s="1007">
        <v>8</v>
      </c>
      <c r="AC13" s="1008">
        <f t="shared" si="6"/>
        <v>160</v>
      </c>
      <c r="AD13" s="1007">
        <v>72</v>
      </c>
      <c r="AE13" s="1008">
        <f t="shared" si="7"/>
        <v>1440</v>
      </c>
      <c r="AF13" s="1007">
        <v>3</v>
      </c>
      <c r="AG13" s="1008">
        <f t="shared" si="8"/>
        <v>60</v>
      </c>
      <c r="AH13" s="1007">
        <v>18</v>
      </c>
      <c r="AI13" s="1008">
        <f t="shared" si="9"/>
        <v>360</v>
      </c>
    </row>
    <row r="14" spans="1:35">
      <c r="K14" s="712"/>
      <c r="L14" s="833"/>
      <c r="M14" s="1006" t="s">
        <v>2045</v>
      </c>
      <c r="N14" s="1007">
        <v>1612</v>
      </c>
      <c r="O14" s="1008">
        <v>19</v>
      </c>
      <c r="P14" s="1007">
        <v>2</v>
      </c>
      <c r="Q14" s="1008">
        <f t="shared" si="0"/>
        <v>38</v>
      </c>
      <c r="R14" s="1007">
        <v>5</v>
      </c>
      <c r="S14" s="1008">
        <f t="shared" si="1"/>
        <v>95</v>
      </c>
      <c r="T14" s="1007">
        <v>10</v>
      </c>
      <c r="U14" s="1008">
        <f t="shared" si="2"/>
        <v>190</v>
      </c>
      <c r="V14" s="1007">
        <v>18</v>
      </c>
      <c r="W14" s="1008">
        <f t="shared" si="3"/>
        <v>342</v>
      </c>
      <c r="X14" s="1007">
        <v>2</v>
      </c>
      <c r="Y14" s="1008">
        <f t="shared" si="4"/>
        <v>38</v>
      </c>
      <c r="Z14" s="1007">
        <v>5</v>
      </c>
      <c r="AA14" s="1008">
        <f t="shared" si="5"/>
        <v>95</v>
      </c>
      <c r="AB14" s="1007">
        <v>2</v>
      </c>
      <c r="AC14" s="1008">
        <f t="shared" si="6"/>
        <v>38</v>
      </c>
      <c r="AD14" s="1007">
        <v>5</v>
      </c>
      <c r="AE14" s="1008">
        <f t="shared" si="7"/>
        <v>95</v>
      </c>
      <c r="AF14" s="1007">
        <v>2</v>
      </c>
      <c r="AG14" s="1008">
        <f t="shared" si="8"/>
        <v>38</v>
      </c>
      <c r="AH14" s="1007">
        <v>5</v>
      </c>
      <c r="AI14" s="1008">
        <f t="shared" si="9"/>
        <v>95</v>
      </c>
    </row>
    <row r="15" spans="1:35">
      <c r="K15" s="832"/>
      <c r="L15" s="906"/>
      <c r="M15" s="1006" t="s">
        <v>2046</v>
      </c>
      <c r="N15" s="1007">
        <v>1602</v>
      </c>
      <c r="O15" s="1008">
        <v>23</v>
      </c>
      <c r="P15" s="1007" t="s">
        <v>238</v>
      </c>
      <c r="Q15" s="1008">
        <f t="shared" si="0"/>
        <v>0</v>
      </c>
      <c r="R15" s="1007">
        <v>1</v>
      </c>
      <c r="S15" s="1008">
        <f t="shared" si="1"/>
        <v>23</v>
      </c>
      <c r="T15" s="1007">
        <v>1</v>
      </c>
      <c r="U15" s="1008">
        <f t="shared" si="2"/>
        <v>23</v>
      </c>
      <c r="V15" s="1007">
        <v>2</v>
      </c>
      <c r="W15" s="1008">
        <f t="shared" si="3"/>
        <v>46</v>
      </c>
      <c r="X15" s="1007">
        <v>2</v>
      </c>
      <c r="Y15" s="1008">
        <f t="shared" si="4"/>
        <v>46</v>
      </c>
      <c r="Z15" s="1007">
        <v>1</v>
      </c>
      <c r="AA15" s="1008">
        <f t="shared" si="5"/>
        <v>23</v>
      </c>
      <c r="AB15" s="1007">
        <v>2</v>
      </c>
      <c r="AC15" s="1008">
        <f t="shared" si="6"/>
        <v>46</v>
      </c>
      <c r="AD15" s="1007">
        <v>1</v>
      </c>
      <c r="AE15" s="1008">
        <f t="shared" si="7"/>
        <v>23</v>
      </c>
      <c r="AF15" s="1007">
        <v>1</v>
      </c>
      <c r="AG15" s="1008">
        <f t="shared" si="8"/>
        <v>23</v>
      </c>
      <c r="AH15" s="1007">
        <v>1</v>
      </c>
      <c r="AI15" s="1008">
        <f t="shared" si="9"/>
        <v>23</v>
      </c>
    </row>
    <row r="16" spans="1:35">
      <c r="K16" s="712"/>
      <c r="L16" s="833"/>
      <c r="M16" s="1006" t="s">
        <v>2083</v>
      </c>
      <c r="N16" s="1007">
        <v>1607</v>
      </c>
      <c r="O16" s="1008">
        <v>44</v>
      </c>
      <c r="P16" s="1007" t="s">
        <v>238</v>
      </c>
      <c r="Q16" s="1008">
        <f t="shared" si="0"/>
        <v>0</v>
      </c>
      <c r="R16" s="1007">
        <v>1</v>
      </c>
      <c r="S16" s="1008">
        <f t="shared" si="1"/>
        <v>44</v>
      </c>
      <c r="T16" s="1007">
        <v>1</v>
      </c>
      <c r="U16" s="1008">
        <f t="shared" si="2"/>
        <v>44</v>
      </c>
      <c r="V16" s="1007">
        <v>2</v>
      </c>
      <c r="W16" s="1008">
        <f t="shared" si="3"/>
        <v>88</v>
      </c>
      <c r="X16" s="1007">
        <v>7</v>
      </c>
      <c r="Y16" s="1008">
        <f t="shared" si="4"/>
        <v>308</v>
      </c>
      <c r="Z16" s="1007">
        <v>1</v>
      </c>
      <c r="AA16" s="1008">
        <f t="shared" si="5"/>
        <v>44</v>
      </c>
      <c r="AB16" s="1007" t="s">
        <v>238</v>
      </c>
      <c r="AC16" s="1008">
        <f t="shared" si="6"/>
        <v>0</v>
      </c>
      <c r="AD16" s="1007">
        <v>1</v>
      </c>
      <c r="AE16" s="1008">
        <f t="shared" si="7"/>
        <v>44</v>
      </c>
      <c r="AF16" s="1007" t="s">
        <v>238</v>
      </c>
      <c r="AG16" s="1008">
        <f t="shared" si="8"/>
        <v>0</v>
      </c>
      <c r="AH16" s="1007">
        <v>1</v>
      </c>
      <c r="AI16" s="1008">
        <f t="shared" si="9"/>
        <v>44</v>
      </c>
    </row>
    <row r="17" spans="11:35">
      <c r="K17" s="712"/>
      <c r="L17" s="833"/>
      <c r="M17" s="1006" t="s">
        <v>2084</v>
      </c>
      <c r="N17" s="1007">
        <v>1594</v>
      </c>
      <c r="O17" s="1008">
        <v>20</v>
      </c>
      <c r="P17" s="1007">
        <v>1</v>
      </c>
      <c r="Q17" s="1008">
        <f t="shared" si="0"/>
        <v>20</v>
      </c>
      <c r="R17" s="1007">
        <v>1</v>
      </c>
      <c r="S17" s="1008">
        <f t="shared" si="1"/>
        <v>20</v>
      </c>
      <c r="T17" s="1007">
        <v>1</v>
      </c>
      <c r="U17" s="1008">
        <f t="shared" si="2"/>
        <v>20</v>
      </c>
      <c r="V17" s="1007">
        <v>10</v>
      </c>
      <c r="W17" s="1008">
        <f t="shared" si="3"/>
        <v>200</v>
      </c>
      <c r="X17" s="1007">
        <v>7</v>
      </c>
      <c r="Y17" s="1008">
        <f t="shared" si="4"/>
        <v>140</v>
      </c>
      <c r="Z17" s="1007">
        <v>18</v>
      </c>
      <c r="AA17" s="1008">
        <f t="shared" si="5"/>
        <v>360</v>
      </c>
      <c r="AB17" s="1007">
        <v>3</v>
      </c>
      <c r="AC17" s="1008">
        <f t="shared" si="6"/>
        <v>60</v>
      </c>
      <c r="AD17" s="1007">
        <v>10</v>
      </c>
      <c r="AE17" s="1008">
        <f t="shared" si="7"/>
        <v>200</v>
      </c>
      <c r="AF17" s="1007">
        <v>1</v>
      </c>
      <c r="AG17" s="1008">
        <f t="shared" si="8"/>
        <v>20</v>
      </c>
      <c r="AH17" s="1007">
        <v>10</v>
      </c>
      <c r="AI17" s="1008">
        <f t="shared" si="9"/>
        <v>200</v>
      </c>
    </row>
    <row r="18" spans="11:35">
      <c r="K18" s="712"/>
      <c r="L18" s="833"/>
      <c r="M18" s="1006" t="s">
        <v>2047</v>
      </c>
      <c r="N18" s="1007">
        <v>1598</v>
      </c>
      <c r="O18" s="1008">
        <v>20</v>
      </c>
      <c r="P18" s="1007">
        <v>1</v>
      </c>
      <c r="Q18" s="1008">
        <f t="shared" si="0"/>
        <v>20</v>
      </c>
      <c r="R18" s="1007">
        <v>1</v>
      </c>
      <c r="S18" s="1008">
        <f t="shared" si="1"/>
        <v>20</v>
      </c>
      <c r="T18" s="1007">
        <v>1</v>
      </c>
      <c r="U18" s="1008">
        <f t="shared" si="2"/>
        <v>20</v>
      </c>
      <c r="V18" s="1007">
        <v>10</v>
      </c>
      <c r="W18" s="1008">
        <f t="shared" si="3"/>
        <v>200</v>
      </c>
      <c r="X18" s="1007" t="s">
        <v>238</v>
      </c>
      <c r="Y18" s="1008">
        <f t="shared" si="4"/>
        <v>0</v>
      </c>
      <c r="Z18" s="1007">
        <v>18</v>
      </c>
      <c r="AA18" s="1008">
        <f t="shared" si="5"/>
        <v>360</v>
      </c>
      <c r="AB18" s="1007">
        <v>2</v>
      </c>
      <c r="AC18" s="1008">
        <f t="shared" si="6"/>
        <v>40</v>
      </c>
      <c r="AD18" s="1007">
        <v>10</v>
      </c>
      <c r="AE18" s="1008">
        <f t="shared" si="7"/>
        <v>200</v>
      </c>
      <c r="AF18" s="1007">
        <v>1</v>
      </c>
      <c r="AG18" s="1008">
        <f t="shared" si="8"/>
        <v>20</v>
      </c>
      <c r="AH18" s="1007">
        <v>10</v>
      </c>
      <c r="AI18" s="1008">
        <f t="shared" si="9"/>
        <v>200</v>
      </c>
    </row>
    <row r="19" spans="11:35">
      <c r="K19" s="712"/>
      <c r="L19" s="833"/>
      <c r="M19" s="1006" t="s">
        <v>2048</v>
      </c>
      <c r="N19" s="1007">
        <v>1634</v>
      </c>
      <c r="O19" s="1008">
        <v>22</v>
      </c>
      <c r="P19" s="1007">
        <v>1</v>
      </c>
      <c r="Q19" s="1008">
        <f t="shared" si="0"/>
        <v>22</v>
      </c>
      <c r="R19" s="1007">
        <v>1</v>
      </c>
      <c r="S19" s="1008">
        <f t="shared" si="1"/>
        <v>22</v>
      </c>
      <c r="T19" s="1007">
        <v>1</v>
      </c>
      <c r="U19" s="1008">
        <f t="shared" si="2"/>
        <v>22</v>
      </c>
      <c r="V19" s="1007">
        <v>2</v>
      </c>
      <c r="W19" s="1008">
        <f t="shared" si="3"/>
        <v>44</v>
      </c>
      <c r="X19" s="1007">
        <v>1</v>
      </c>
      <c r="Y19" s="1008">
        <f t="shared" si="4"/>
        <v>22</v>
      </c>
      <c r="Z19" s="1007">
        <v>2</v>
      </c>
      <c r="AA19" s="1008">
        <f t="shared" si="5"/>
        <v>44</v>
      </c>
      <c r="AB19" s="1007">
        <v>3</v>
      </c>
      <c r="AC19" s="1008">
        <f t="shared" si="6"/>
        <v>66</v>
      </c>
      <c r="AD19" s="1007">
        <v>5</v>
      </c>
      <c r="AE19" s="1008">
        <f t="shared" si="7"/>
        <v>110</v>
      </c>
      <c r="AF19" s="1007">
        <v>1</v>
      </c>
      <c r="AG19" s="1008">
        <f t="shared" si="8"/>
        <v>22</v>
      </c>
      <c r="AH19" s="1007">
        <v>1</v>
      </c>
      <c r="AI19" s="1008">
        <f t="shared" si="9"/>
        <v>22</v>
      </c>
    </row>
    <row r="20" spans="11:35">
      <c r="K20" s="712"/>
      <c r="L20" s="833"/>
      <c r="M20" s="1006" t="s">
        <v>2049</v>
      </c>
      <c r="N20" s="1007">
        <v>1586</v>
      </c>
      <c r="O20" s="1008">
        <v>21</v>
      </c>
      <c r="P20" s="1007">
        <v>2</v>
      </c>
      <c r="Q20" s="1008">
        <f t="shared" si="0"/>
        <v>42</v>
      </c>
      <c r="R20" s="1007">
        <v>18</v>
      </c>
      <c r="S20" s="1008">
        <f t="shared" si="1"/>
        <v>378</v>
      </c>
      <c r="T20" s="1007">
        <v>9</v>
      </c>
      <c r="U20" s="1008">
        <f t="shared" si="2"/>
        <v>189</v>
      </c>
      <c r="V20" s="1007">
        <v>21</v>
      </c>
      <c r="W20" s="1008">
        <f t="shared" si="3"/>
        <v>441</v>
      </c>
      <c r="X20" s="1007">
        <v>6</v>
      </c>
      <c r="Y20" s="1008">
        <f t="shared" si="4"/>
        <v>126</v>
      </c>
      <c r="Z20" s="1007">
        <v>18</v>
      </c>
      <c r="AA20" s="1008">
        <f t="shared" si="5"/>
        <v>378</v>
      </c>
      <c r="AB20" s="1007">
        <v>6</v>
      </c>
      <c r="AC20" s="1008">
        <f t="shared" si="6"/>
        <v>126</v>
      </c>
      <c r="AD20" s="1007">
        <v>18</v>
      </c>
      <c r="AE20" s="1008">
        <f t="shared" si="7"/>
        <v>378</v>
      </c>
      <c r="AF20" s="1007">
        <v>3</v>
      </c>
      <c r="AG20" s="1008">
        <f t="shared" si="8"/>
        <v>63</v>
      </c>
      <c r="AH20" s="1007">
        <v>18</v>
      </c>
      <c r="AI20" s="1008">
        <f t="shared" si="9"/>
        <v>378</v>
      </c>
    </row>
    <row r="21" spans="11:35">
      <c r="K21" s="712"/>
      <c r="L21" s="833"/>
      <c r="M21" s="1006" t="s">
        <v>2050</v>
      </c>
      <c r="N21" s="1007" t="s">
        <v>2085</v>
      </c>
      <c r="O21" s="1008">
        <v>171</v>
      </c>
      <c r="P21" s="1007" t="s">
        <v>238</v>
      </c>
      <c r="Q21" s="1008">
        <f t="shared" si="0"/>
        <v>0</v>
      </c>
      <c r="R21" s="1007">
        <v>1</v>
      </c>
      <c r="S21" s="1008">
        <f t="shared" si="1"/>
        <v>171</v>
      </c>
      <c r="T21" s="1007" t="s">
        <v>238</v>
      </c>
      <c r="U21" s="1008">
        <f t="shared" si="2"/>
        <v>0</v>
      </c>
      <c r="V21" s="1007">
        <v>1</v>
      </c>
      <c r="W21" s="1008">
        <f t="shared" si="3"/>
        <v>171</v>
      </c>
      <c r="X21" s="1007" t="s">
        <v>238</v>
      </c>
      <c r="Y21" s="1008">
        <f t="shared" si="4"/>
        <v>0</v>
      </c>
      <c r="Z21" s="1007">
        <v>2</v>
      </c>
      <c r="AA21" s="1008">
        <f t="shared" si="5"/>
        <v>342</v>
      </c>
      <c r="AB21" s="1007" t="s">
        <v>238</v>
      </c>
      <c r="AC21" s="1008">
        <f t="shared" si="6"/>
        <v>0</v>
      </c>
      <c r="AD21" s="1007">
        <v>5</v>
      </c>
      <c r="AE21" s="1008">
        <f t="shared" si="7"/>
        <v>855</v>
      </c>
      <c r="AF21" s="1007">
        <v>1</v>
      </c>
      <c r="AG21" s="1008">
        <f t="shared" si="8"/>
        <v>171</v>
      </c>
      <c r="AH21" s="1007">
        <v>1</v>
      </c>
      <c r="AI21" s="1008">
        <f t="shared" si="9"/>
        <v>171</v>
      </c>
    </row>
    <row r="22" spans="11:35">
      <c r="K22" s="947"/>
      <c r="L22" s="1021"/>
      <c r="M22" s="1009" t="s">
        <v>2051</v>
      </c>
      <c r="N22" s="1010">
        <v>1618</v>
      </c>
      <c r="O22" s="1011">
        <v>21</v>
      </c>
      <c r="P22" s="1007" t="s">
        <v>238</v>
      </c>
      <c r="Q22" s="1008">
        <f t="shared" si="0"/>
        <v>0</v>
      </c>
      <c r="R22" s="1007" t="s">
        <v>238</v>
      </c>
      <c r="S22" s="1008">
        <f t="shared" si="1"/>
        <v>0</v>
      </c>
      <c r="T22" s="1007">
        <v>1</v>
      </c>
      <c r="U22" s="1008">
        <f t="shared" si="2"/>
        <v>21</v>
      </c>
      <c r="V22" s="1007">
        <v>3</v>
      </c>
      <c r="W22" s="1008">
        <f t="shared" si="3"/>
        <v>63</v>
      </c>
      <c r="X22" s="1007">
        <v>1</v>
      </c>
      <c r="Y22" s="1008">
        <f t="shared" si="4"/>
        <v>21</v>
      </c>
      <c r="Z22" s="1007">
        <v>18</v>
      </c>
      <c r="AA22" s="1008">
        <f t="shared" si="5"/>
        <v>378</v>
      </c>
      <c r="AB22" s="1007">
        <v>2</v>
      </c>
      <c r="AC22" s="1008">
        <f t="shared" si="6"/>
        <v>42</v>
      </c>
      <c r="AD22" s="1007">
        <v>5</v>
      </c>
      <c r="AE22" s="1008">
        <f t="shared" si="7"/>
        <v>105</v>
      </c>
      <c r="AF22" s="1007" t="s">
        <v>238</v>
      </c>
      <c r="AG22" s="1008">
        <f t="shared" si="8"/>
        <v>0</v>
      </c>
      <c r="AH22" s="1007" t="s">
        <v>238</v>
      </c>
      <c r="AI22" s="1008">
        <f t="shared" si="9"/>
        <v>0</v>
      </c>
    </row>
    <row r="23" spans="11:35">
      <c r="K23" s="712"/>
      <c r="L23" s="833"/>
      <c r="M23" s="1006" t="s">
        <v>2052</v>
      </c>
      <c r="N23" s="1007">
        <v>1619</v>
      </c>
      <c r="O23" s="1008">
        <v>20</v>
      </c>
      <c r="P23" s="1007" t="s">
        <v>238</v>
      </c>
      <c r="Q23" s="1008">
        <f t="shared" si="0"/>
        <v>0</v>
      </c>
      <c r="R23" s="1007" t="s">
        <v>238</v>
      </c>
      <c r="S23" s="1008">
        <f t="shared" si="1"/>
        <v>0</v>
      </c>
      <c r="T23" s="1007">
        <v>1</v>
      </c>
      <c r="U23" s="1008">
        <f t="shared" si="2"/>
        <v>20</v>
      </c>
      <c r="V23" s="1007" t="s">
        <v>238</v>
      </c>
      <c r="W23" s="1008">
        <f t="shared" si="3"/>
        <v>0</v>
      </c>
      <c r="X23" s="1007">
        <v>1</v>
      </c>
      <c r="Y23" s="1008">
        <f t="shared" si="4"/>
        <v>20</v>
      </c>
      <c r="Z23" s="1007">
        <v>18</v>
      </c>
      <c r="AA23" s="1008">
        <f t="shared" si="5"/>
        <v>360</v>
      </c>
      <c r="AB23" s="1007">
        <v>2</v>
      </c>
      <c r="AC23" s="1008">
        <f t="shared" si="6"/>
        <v>40</v>
      </c>
      <c r="AD23" s="1007">
        <v>3</v>
      </c>
      <c r="AE23" s="1008">
        <f t="shared" si="7"/>
        <v>60</v>
      </c>
      <c r="AF23" s="1007" t="s">
        <v>238</v>
      </c>
      <c r="AG23" s="1008">
        <f t="shared" si="8"/>
        <v>0</v>
      </c>
      <c r="AH23" s="1007" t="s">
        <v>238</v>
      </c>
      <c r="AI23" s="1008">
        <f t="shared" si="9"/>
        <v>0</v>
      </c>
    </row>
    <row r="24" spans="11:35">
      <c r="K24" s="712"/>
      <c r="L24" s="833"/>
      <c r="M24" s="1006" t="s">
        <v>2053</v>
      </c>
      <c r="N24" s="1007">
        <v>1584</v>
      </c>
      <c r="O24" s="1008">
        <v>21</v>
      </c>
      <c r="P24" s="1007">
        <v>1</v>
      </c>
      <c r="Q24" s="1008">
        <f t="shared" si="0"/>
        <v>21</v>
      </c>
      <c r="R24" s="1007">
        <v>1</v>
      </c>
      <c r="S24" s="1008">
        <f t="shared" si="1"/>
        <v>21</v>
      </c>
      <c r="T24" s="1007">
        <v>1</v>
      </c>
      <c r="U24" s="1008">
        <f t="shared" si="2"/>
        <v>21</v>
      </c>
      <c r="V24" s="1007">
        <v>1</v>
      </c>
      <c r="W24" s="1008">
        <f t="shared" si="3"/>
        <v>21</v>
      </c>
      <c r="X24" s="1007">
        <v>2</v>
      </c>
      <c r="Y24" s="1008">
        <f t="shared" si="4"/>
        <v>42</v>
      </c>
      <c r="Z24" s="1007">
        <v>1</v>
      </c>
      <c r="AA24" s="1008">
        <f t="shared" si="5"/>
        <v>21</v>
      </c>
      <c r="AB24" s="1007">
        <v>2</v>
      </c>
      <c r="AC24" s="1008">
        <f t="shared" si="6"/>
        <v>42</v>
      </c>
      <c r="AD24" s="1007">
        <v>1</v>
      </c>
      <c r="AE24" s="1008">
        <f t="shared" si="7"/>
        <v>21</v>
      </c>
      <c r="AF24" s="1007">
        <v>1</v>
      </c>
      <c r="AG24" s="1008">
        <f t="shared" si="8"/>
        <v>21</v>
      </c>
      <c r="AH24" s="1007">
        <v>1</v>
      </c>
      <c r="AI24" s="1008">
        <f t="shared" si="9"/>
        <v>21</v>
      </c>
    </row>
    <row r="25" spans="11:35">
      <c r="K25" s="712"/>
      <c r="L25" s="833"/>
      <c r="M25" s="1006" t="s">
        <v>2054</v>
      </c>
      <c r="N25" s="1007">
        <v>1591</v>
      </c>
      <c r="O25" s="1008">
        <v>24</v>
      </c>
      <c r="P25" s="1007">
        <v>1</v>
      </c>
      <c r="Q25" s="1008">
        <f t="shared" si="0"/>
        <v>24</v>
      </c>
      <c r="R25" s="1007">
        <v>1</v>
      </c>
      <c r="S25" s="1008">
        <f t="shared" si="1"/>
        <v>24</v>
      </c>
      <c r="T25" s="1007">
        <v>1</v>
      </c>
      <c r="U25" s="1008">
        <f t="shared" si="2"/>
        <v>24</v>
      </c>
      <c r="V25" s="1007">
        <v>1</v>
      </c>
      <c r="W25" s="1008">
        <f t="shared" si="3"/>
        <v>24</v>
      </c>
      <c r="X25" s="1007">
        <v>1</v>
      </c>
      <c r="Y25" s="1008">
        <f t="shared" si="4"/>
        <v>24</v>
      </c>
      <c r="Z25" s="1007">
        <v>1</v>
      </c>
      <c r="AA25" s="1008">
        <f t="shared" si="5"/>
        <v>24</v>
      </c>
      <c r="AB25" s="1007">
        <v>2</v>
      </c>
      <c r="AC25" s="1008">
        <f t="shared" si="6"/>
        <v>48</v>
      </c>
      <c r="AD25" s="1007">
        <v>1</v>
      </c>
      <c r="AE25" s="1008">
        <f t="shared" si="7"/>
        <v>24</v>
      </c>
      <c r="AF25" s="1007">
        <v>2</v>
      </c>
      <c r="AG25" s="1008">
        <f t="shared" si="8"/>
        <v>48</v>
      </c>
      <c r="AH25" s="1007">
        <v>1</v>
      </c>
      <c r="AI25" s="1008">
        <f t="shared" si="9"/>
        <v>24</v>
      </c>
    </row>
    <row r="26" spans="11:35">
      <c r="K26" s="712"/>
      <c r="L26" s="833"/>
      <c r="M26" s="1006" t="s">
        <v>2055</v>
      </c>
      <c r="N26" s="1007">
        <v>1585</v>
      </c>
      <c r="O26" s="1008">
        <v>20</v>
      </c>
      <c r="P26" s="1007">
        <v>1</v>
      </c>
      <c r="Q26" s="1008">
        <f t="shared" si="0"/>
        <v>20</v>
      </c>
      <c r="R26" s="1007">
        <v>1</v>
      </c>
      <c r="S26" s="1008">
        <f t="shared" si="1"/>
        <v>20</v>
      </c>
      <c r="T26" s="1007">
        <v>1</v>
      </c>
      <c r="U26" s="1008">
        <f t="shared" si="2"/>
        <v>20</v>
      </c>
      <c r="V26" s="1007">
        <v>1</v>
      </c>
      <c r="W26" s="1008">
        <f t="shared" si="3"/>
        <v>20</v>
      </c>
      <c r="X26" s="1007">
        <v>1</v>
      </c>
      <c r="Y26" s="1008">
        <f t="shared" si="4"/>
        <v>20</v>
      </c>
      <c r="Z26" s="1007">
        <v>2</v>
      </c>
      <c r="AA26" s="1008">
        <f t="shared" si="5"/>
        <v>40</v>
      </c>
      <c r="AB26" s="1007">
        <v>2</v>
      </c>
      <c r="AC26" s="1008">
        <f t="shared" si="6"/>
        <v>40</v>
      </c>
      <c r="AD26" s="1007" t="s">
        <v>238</v>
      </c>
      <c r="AE26" s="1008">
        <f t="shared" si="7"/>
        <v>0</v>
      </c>
      <c r="AF26" s="1007">
        <v>1</v>
      </c>
      <c r="AG26" s="1008">
        <f t="shared" si="8"/>
        <v>20</v>
      </c>
      <c r="AH26" s="1007">
        <v>1</v>
      </c>
      <c r="AI26" s="1008">
        <f t="shared" si="9"/>
        <v>20</v>
      </c>
    </row>
    <row r="27" spans="11:35">
      <c r="K27" s="712"/>
      <c r="L27" s="833"/>
      <c r="M27" s="1006" t="s">
        <v>2086</v>
      </c>
      <c r="N27" s="1007" t="s">
        <v>2087</v>
      </c>
      <c r="O27" s="1008">
        <v>72</v>
      </c>
      <c r="P27" s="1007" t="s">
        <v>238</v>
      </c>
      <c r="Q27" s="1008">
        <f t="shared" si="0"/>
        <v>0</v>
      </c>
      <c r="R27" s="1007">
        <v>1</v>
      </c>
      <c r="S27" s="1008">
        <f t="shared" si="1"/>
        <v>72</v>
      </c>
      <c r="T27" s="1007" t="s">
        <v>238</v>
      </c>
      <c r="U27" s="1008">
        <f t="shared" si="2"/>
        <v>0</v>
      </c>
      <c r="V27" s="1007">
        <v>1</v>
      </c>
      <c r="W27" s="1008">
        <f t="shared" si="3"/>
        <v>72</v>
      </c>
      <c r="X27" s="1007" t="s">
        <v>238</v>
      </c>
      <c r="Y27" s="1008">
        <f t="shared" si="4"/>
        <v>0</v>
      </c>
      <c r="Z27" s="1007">
        <v>1</v>
      </c>
      <c r="AA27" s="1008">
        <f t="shared" si="5"/>
        <v>72</v>
      </c>
      <c r="AB27" s="1007" t="s">
        <v>238</v>
      </c>
      <c r="AC27" s="1008">
        <f t="shared" si="6"/>
        <v>0</v>
      </c>
      <c r="AD27" s="1007">
        <v>1</v>
      </c>
      <c r="AE27" s="1008">
        <f t="shared" si="7"/>
        <v>72</v>
      </c>
      <c r="AF27" s="1007" t="s">
        <v>238</v>
      </c>
      <c r="AG27" s="1008">
        <f t="shared" si="8"/>
        <v>0</v>
      </c>
      <c r="AH27" s="1007">
        <v>1</v>
      </c>
      <c r="AI27" s="1008">
        <f t="shared" si="9"/>
        <v>72</v>
      </c>
    </row>
    <row r="28" spans="11:35" ht="16">
      <c r="K28" s="712"/>
      <c r="L28" s="833"/>
      <c r="M28" s="1012" t="s">
        <v>2088</v>
      </c>
      <c r="N28" s="1007">
        <v>3850</v>
      </c>
      <c r="O28" s="1008">
        <v>40</v>
      </c>
      <c r="P28" s="1007">
        <v>1</v>
      </c>
      <c r="Q28" s="1008">
        <f t="shared" si="0"/>
        <v>40</v>
      </c>
      <c r="R28" s="1007">
        <v>1</v>
      </c>
      <c r="S28" s="1008">
        <f t="shared" si="1"/>
        <v>40</v>
      </c>
      <c r="T28" s="1007">
        <v>1</v>
      </c>
      <c r="U28" s="1008">
        <f t="shared" si="2"/>
        <v>40</v>
      </c>
      <c r="V28" s="1007">
        <v>1</v>
      </c>
      <c r="W28" s="1008">
        <f t="shared" si="3"/>
        <v>40</v>
      </c>
      <c r="X28" s="1007">
        <v>1</v>
      </c>
      <c r="Y28" s="1008">
        <f t="shared" si="4"/>
        <v>40</v>
      </c>
      <c r="Z28" s="1007">
        <v>1</v>
      </c>
      <c r="AA28" s="1008">
        <f t="shared" si="5"/>
        <v>40</v>
      </c>
      <c r="AB28" s="1007">
        <v>1</v>
      </c>
      <c r="AC28" s="1008">
        <f t="shared" si="6"/>
        <v>40</v>
      </c>
      <c r="AD28" s="1007">
        <v>1</v>
      </c>
      <c r="AE28" s="1008">
        <f t="shared" si="7"/>
        <v>40</v>
      </c>
      <c r="AF28" s="1007" t="s">
        <v>238</v>
      </c>
      <c r="AG28" s="1008">
        <f t="shared" si="8"/>
        <v>0</v>
      </c>
      <c r="AH28" s="1007" t="s">
        <v>238</v>
      </c>
      <c r="AI28" s="1008">
        <f t="shared" si="9"/>
        <v>0</v>
      </c>
    </row>
    <row r="29" spans="11:35">
      <c r="K29" s="712"/>
      <c r="L29" s="833"/>
      <c r="M29" s="1006" t="s">
        <v>2056</v>
      </c>
      <c r="N29" s="1007"/>
      <c r="O29" s="1008">
        <v>8</v>
      </c>
      <c r="P29" s="1007">
        <v>1</v>
      </c>
      <c r="Q29" s="1008">
        <f t="shared" si="0"/>
        <v>8</v>
      </c>
      <c r="R29" s="1007">
        <v>1</v>
      </c>
      <c r="S29" s="1008">
        <f t="shared" si="1"/>
        <v>8</v>
      </c>
      <c r="T29" s="1007">
        <v>1</v>
      </c>
      <c r="U29" s="1008">
        <f t="shared" si="2"/>
        <v>8</v>
      </c>
      <c r="V29" s="1007">
        <v>1</v>
      </c>
      <c r="W29" s="1008">
        <f t="shared" si="3"/>
        <v>8</v>
      </c>
      <c r="X29" s="1007">
        <v>1</v>
      </c>
      <c r="Y29" s="1008">
        <f t="shared" si="4"/>
        <v>8</v>
      </c>
      <c r="Z29" s="1007">
        <v>1</v>
      </c>
      <c r="AA29" s="1008">
        <f t="shared" si="5"/>
        <v>8</v>
      </c>
      <c r="AB29" s="1007">
        <v>1</v>
      </c>
      <c r="AC29" s="1008">
        <f t="shared" si="6"/>
        <v>8</v>
      </c>
      <c r="AD29" s="1007">
        <v>1</v>
      </c>
      <c r="AE29" s="1008">
        <f t="shared" si="7"/>
        <v>8</v>
      </c>
      <c r="AF29" s="1007">
        <v>2</v>
      </c>
      <c r="AG29" s="1008">
        <f t="shared" si="8"/>
        <v>16</v>
      </c>
      <c r="AH29" s="1007">
        <v>1</v>
      </c>
      <c r="AI29" s="1008">
        <f t="shared" si="9"/>
        <v>8</v>
      </c>
    </row>
    <row r="30" spans="11:35">
      <c r="K30" s="712"/>
      <c r="L30" s="833"/>
      <c r="M30" s="1006" t="s">
        <v>2057</v>
      </c>
      <c r="N30" s="1007">
        <v>659</v>
      </c>
      <c r="O30" s="1008">
        <v>56</v>
      </c>
      <c r="P30" s="1007">
        <v>0</v>
      </c>
      <c r="Q30" s="1008">
        <f t="shared" si="0"/>
        <v>0</v>
      </c>
      <c r="R30" s="1007">
        <v>1</v>
      </c>
      <c r="S30" s="1008">
        <f t="shared" si="1"/>
        <v>56</v>
      </c>
      <c r="T30" s="1007" t="s">
        <v>238</v>
      </c>
      <c r="U30" s="1008">
        <f t="shared" si="2"/>
        <v>0</v>
      </c>
      <c r="V30" s="1007">
        <v>1</v>
      </c>
      <c r="W30" s="1008">
        <f t="shared" si="3"/>
        <v>56</v>
      </c>
      <c r="X30" s="1007" t="s">
        <v>238</v>
      </c>
      <c r="Y30" s="1008">
        <f t="shared" si="4"/>
        <v>0</v>
      </c>
      <c r="Z30" s="1007">
        <v>1</v>
      </c>
      <c r="AA30" s="1008">
        <f t="shared" si="5"/>
        <v>56</v>
      </c>
      <c r="AB30" s="1007" t="s">
        <v>238</v>
      </c>
      <c r="AC30" s="1008">
        <f t="shared" si="6"/>
        <v>0</v>
      </c>
      <c r="AD30" s="1007">
        <v>1</v>
      </c>
      <c r="AE30" s="1008">
        <f t="shared" si="7"/>
        <v>56</v>
      </c>
      <c r="AF30" s="1007" t="s">
        <v>238</v>
      </c>
      <c r="AG30" s="1008">
        <f t="shared" si="8"/>
        <v>0</v>
      </c>
      <c r="AH30" s="1007">
        <v>1</v>
      </c>
      <c r="AI30" s="1008">
        <f t="shared" si="9"/>
        <v>56</v>
      </c>
    </row>
    <row r="31" spans="11:35">
      <c r="K31" s="712"/>
      <c r="L31" s="833"/>
      <c r="M31" s="1006" t="s">
        <v>2089</v>
      </c>
      <c r="N31" s="1007">
        <v>715</v>
      </c>
      <c r="O31" s="1008">
        <v>35</v>
      </c>
      <c r="P31" s="1007">
        <v>2</v>
      </c>
      <c r="Q31" s="1008">
        <f t="shared" si="0"/>
        <v>70</v>
      </c>
      <c r="R31" s="1007">
        <v>2</v>
      </c>
      <c r="S31" s="1008">
        <f t="shared" si="1"/>
        <v>70</v>
      </c>
      <c r="T31" s="1007">
        <v>2</v>
      </c>
      <c r="U31" s="1008">
        <f t="shared" si="2"/>
        <v>70</v>
      </c>
      <c r="V31" s="1007">
        <v>2</v>
      </c>
      <c r="W31" s="1008">
        <f t="shared" si="3"/>
        <v>70</v>
      </c>
      <c r="X31" s="1007">
        <v>2</v>
      </c>
      <c r="Y31" s="1008">
        <f t="shared" si="4"/>
        <v>70</v>
      </c>
      <c r="Z31" s="1007">
        <v>2</v>
      </c>
      <c r="AA31" s="1008">
        <f t="shared" si="5"/>
        <v>70</v>
      </c>
      <c r="AB31" s="1007">
        <v>2</v>
      </c>
      <c r="AC31" s="1008">
        <f t="shared" si="6"/>
        <v>70</v>
      </c>
      <c r="AD31" s="1007">
        <v>2</v>
      </c>
      <c r="AE31" s="1008">
        <f t="shared" si="7"/>
        <v>70</v>
      </c>
      <c r="AF31" s="1007">
        <v>2</v>
      </c>
      <c r="AG31" s="1008">
        <f t="shared" si="8"/>
        <v>70</v>
      </c>
      <c r="AH31" s="1007">
        <v>2</v>
      </c>
      <c r="AI31" s="1008">
        <f t="shared" si="9"/>
        <v>70</v>
      </c>
    </row>
    <row r="32" spans="11:35" ht="16">
      <c r="K32" s="712"/>
      <c r="L32" s="833"/>
      <c r="M32" s="1012" t="s">
        <v>2090</v>
      </c>
      <c r="N32" s="1007">
        <v>1611</v>
      </c>
      <c r="O32" s="1008">
        <v>61</v>
      </c>
      <c r="P32" s="1007">
        <v>1</v>
      </c>
      <c r="Q32" s="1008">
        <f t="shared" si="0"/>
        <v>61</v>
      </c>
      <c r="R32" s="1007">
        <v>2</v>
      </c>
      <c r="S32" s="1008">
        <f t="shared" si="1"/>
        <v>122</v>
      </c>
      <c r="T32" s="1007">
        <v>2</v>
      </c>
      <c r="U32" s="1008">
        <f t="shared" si="2"/>
        <v>122</v>
      </c>
      <c r="V32" s="1007">
        <v>2</v>
      </c>
      <c r="W32" s="1008">
        <f t="shared" si="3"/>
        <v>122</v>
      </c>
      <c r="X32" s="1007">
        <v>1</v>
      </c>
      <c r="Y32" s="1008">
        <f t="shared" si="4"/>
        <v>61</v>
      </c>
      <c r="Z32" s="1007">
        <v>1</v>
      </c>
      <c r="AA32" s="1008">
        <f t="shared" si="5"/>
        <v>61</v>
      </c>
      <c r="AB32" s="1007">
        <v>3</v>
      </c>
      <c r="AC32" s="1008">
        <f t="shared" si="6"/>
        <v>183</v>
      </c>
      <c r="AD32" s="1007">
        <v>18</v>
      </c>
      <c r="AE32" s="1008">
        <f t="shared" si="7"/>
        <v>1098</v>
      </c>
      <c r="AF32" s="1007">
        <v>1</v>
      </c>
      <c r="AG32" s="1008">
        <f t="shared" si="8"/>
        <v>61</v>
      </c>
      <c r="AH32" s="1007">
        <v>2</v>
      </c>
      <c r="AI32" s="1008">
        <f t="shared" si="9"/>
        <v>122</v>
      </c>
    </row>
    <row r="33" spans="11:35">
      <c r="K33" s="712"/>
      <c r="L33" s="833"/>
      <c r="M33" s="1006" t="s">
        <v>2058</v>
      </c>
      <c r="N33" s="1007" t="s">
        <v>2091</v>
      </c>
      <c r="O33" s="1008">
        <v>348</v>
      </c>
      <c r="P33" s="1007" t="s">
        <v>238</v>
      </c>
      <c r="Q33" s="1008">
        <f t="shared" si="0"/>
        <v>0</v>
      </c>
      <c r="R33" s="1007" t="s">
        <v>238</v>
      </c>
      <c r="S33" s="1008">
        <f t="shared" si="1"/>
        <v>0</v>
      </c>
      <c r="T33" s="1007" t="s">
        <v>238</v>
      </c>
      <c r="U33" s="1008">
        <f t="shared" si="2"/>
        <v>0</v>
      </c>
      <c r="V33" s="1007" t="s">
        <v>238</v>
      </c>
      <c r="W33" s="1008">
        <f t="shared" si="3"/>
        <v>0</v>
      </c>
      <c r="X33" s="1007" t="s">
        <v>238</v>
      </c>
      <c r="Y33" s="1008">
        <f t="shared" si="4"/>
        <v>0</v>
      </c>
      <c r="Z33" s="1007" t="s">
        <v>238</v>
      </c>
      <c r="AA33" s="1008">
        <f t="shared" si="5"/>
        <v>0</v>
      </c>
      <c r="AB33" s="1007" t="s">
        <v>238</v>
      </c>
      <c r="AC33" s="1008">
        <f t="shared" si="6"/>
        <v>0</v>
      </c>
      <c r="AD33" s="1007" t="s">
        <v>238</v>
      </c>
      <c r="AE33" s="1008">
        <f t="shared" si="7"/>
        <v>0</v>
      </c>
      <c r="AF33" s="1007">
        <v>2</v>
      </c>
      <c r="AG33" s="1008">
        <f t="shared" si="8"/>
        <v>696</v>
      </c>
      <c r="AH33" s="1007">
        <v>2</v>
      </c>
      <c r="AI33" s="1008">
        <f t="shared" si="9"/>
        <v>696</v>
      </c>
    </row>
    <row r="34" spans="11:35">
      <c r="K34" s="712"/>
      <c r="L34" s="833"/>
      <c r="M34" s="1013" t="s">
        <v>2059</v>
      </c>
      <c r="N34" s="1014" t="s">
        <v>2092</v>
      </c>
      <c r="O34" s="1008">
        <v>1830</v>
      </c>
      <c r="P34" s="1007" t="s">
        <v>238</v>
      </c>
      <c r="Q34" s="1008">
        <f t="shared" si="0"/>
        <v>0</v>
      </c>
      <c r="R34" s="1007" t="s">
        <v>238</v>
      </c>
      <c r="S34" s="1008">
        <f t="shared" si="1"/>
        <v>0</v>
      </c>
      <c r="T34" s="1007" t="s">
        <v>238</v>
      </c>
      <c r="U34" s="1008">
        <f t="shared" si="2"/>
        <v>0</v>
      </c>
      <c r="V34" s="1007" t="s">
        <v>238</v>
      </c>
      <c r="W34" s="1008">
        <f t="shared" si="3"/>
        <v>0</v>
      </c>
      <c r="X34" s="1007" t="s">
        <v>238</v>
      </c>
      <c r="Y34" s="1008">
        <f t="shared" si="4"/>
        <v>0</v>
      </c>
      <c r="Z34" s="1007" t="s">
        <v>238</v>
      </c>
      <c r="AA34" s="1008">
        <f t="shared" si="5"/>
        <v>0</v>
      </c>
      <c r="AB34" s="1007" t="s">
        <v>238</v>
      </c>
      <c r="AC34" s="1008">
        <f t="shared" si="6"/>
        <v>0</v>
      </c>
      <c r="AD34" s="1007" t="s">
        <v>238</v>
      </c>
      <c r="AE34" s="1008">
        <f t="shared" si="7"/>
        <v>0</v>
      </c>
      <c r="AF34" s="1007">
        <v>2</v>
      </c>
      <c r="AG34" s="1008">
        <f t="shared" si="8"/>
        <v>3660</v>
      </c>
      <c r="AH34" s="1007">
        <v>3</v>
      </c>
      <c r="AI34" s="1008">
        <f t="shared" si="9"/>
        <v>5490</v>
      </c>
    </row>
    <row r="35" spans="11:35">
      <c r="K35" s="712"/>
      <c r="L35" s="833"/>
      <c r="M35" s="1006" t="s">
        <v>2093</v>
      </c>
      <c r="N35" s="1007">
        <v>1049</v>
      </c>
      <c r="O35" s="1008">
        <v>61</v>
      </c>
      <c r="P35" s="1007">
        <v>1</v>
      </c>
      <c r="Q35" s="1008">
        <f t="shared" si="0"/>
        <v>61</v>
      </c>
      <c r="R35" s="1007">
        <v>1</v>
      </c>
      <c r="S35" s="1008">
        <f t="shared" si="1"/>
        <v>61</v>
      </c>
      <c r="T35" s="1007">
        <v>1</v>
      </c>
      <c r="U35" s="1008">
        <f t="shared" si="2"/>
        <v>61</v>
      </c>
      <c r="V35" s="1007">
        <v>2</v>
      </c>
      <c r="W35" s="1008">
        <f t="shared" si="3"/>
        <v>122</v>
      </c>
      <c r="X35" s="1007">
        <v>2</v>
      </c>
      <c r="Y35" s="1008">
        <f t="shared" si="4"/>
        <v>122</v>
      </c>
      <c r="Z35" s="1007">
        <v>3</v>
      </c>
      <c r="AA35" s="1008">
        <f t="shared" si="5"/>
        <v>183</v>
      </c>
      <c r="AB35" s="1007">
        <v>1</v>
      </c>
      <c r="AC35" s="1008">
        <f t="shared" si="6"/>
        <v>61</v>
      </c>
      <c r="AD35" s="1007">
        <v>2</v>
      </c>
      <c r="AE35" s="1008">
        <f t="shared" si="7"/>
        <v>122</v>
      </c>
      <c r="AF35" s="1007">
        <v>2</v>
      </c>
      <c r="AG35" s="1008">
        <f t="shared" si="8"/>
        <v>122</v>
      </c>
      <c r="AH35" s="1007">
        <v>4</v>
      </c>
      <c r="AI35" s="1008">
        <f t="shared" si="9"/>
        <v>244</v>
      </c>
    </row>
    <row r="36" spans="11:35">
      <c r="K36" s="712"/>
      <c r="L36" s="833"/>
      <c r="M36" s="1006" t="s">
        <v>2060</v>
      </c>
      <c r="N36" s="1007">
        <v>503</v>
      </c>
      <c r="O36" s="1008">
        <v>165</v>
      </c>
      <c r="P36" s="1007" t="s">
        <v>238</v>
      </c>
      <c r="Q36" s="1008">
        <f t="shared" si="0"/>
        <v>0</v>
      </c>
      <c r="R36" s="1007">
        <v>6</v>
      </c>
      <c r="S36" s="1008">
        <f t="shared" si="1"/>
        <v>990</v>
      </c>
      <c r="T36" s="1007" t="s">
        <v>238</v>
      </c>
      <c r="U36" s="1008">
        <f t="shared" si="2"/>
        <v>0</v>
      </c>
      <c r="V36" s="1007">
        <v>6</v>
      </c>
      <c r="W36" s="1008">
        <f t="shared" si="3"/>
        <v>990</v>
      </c>
      <c r="X36" s="1007" t="s">
        <v>238</v>
      </c>
      <c r="Y36" s="1008">
        <f t="shared" si="4"/>
        <v>0</v>
      </c>
      <c r="Z36" s="1007">
        <v>6</v>
      </c>
      <c r="AA36" s="1008">
        <f t="shared" si="5"/>
        <v>990</v>
      </c>
      <c r="AB36" s="1007" t="s">
        <v>238</v>
      </c>
      <c r="AC36" s="1008">
        <f t="shared" si="6"/>
        <v>0</v>
      </c>
      <c r="AD36" s="1007">
        <v>6</v>
      </c>
      <c r="AE36" s="1008">
        <f t="shared" si="7"/>
        <v>990</v>
      </c>
      <c r="AF36" s="1007" t="s">
        <v>238</v>
      </c>
      <c r="AG36" s="1008">
        <f t="shared" si="8"/>
        <v>0</v>
      </c>
      <c r="AH36" s="1007">
        <v>6</v>
      </c>
      <c r="AI36" s="1008">
        <f t="shared" si="9"/>
        <v>990</v>
      </c>
    </row>
    <row r="37" spans="11:35">
      <c r="K37" s="712"/>
      <c r="L37" s="833"/>
      <c r="M37" s="1006" t="s">
        <v>2061</v>
      </c>
      <c r="N37" s="1007">
        <v>505</v>
      </c>
      <c r="O37" s="1008">
        <v>90</v>
      </c>
      <c r="P37" s="1007">
        <v>1</v>
      </c>
      <c r="Q37" s="1008">
        <f t="shared" si="0"/>
        <v>90</v>
      </c>
      <c r="R37" s="1007">
        <v>1</v>
      </c>
      <c r="S37" s="1008">
        <f t="shared" si="1"/>
        <v>90</v>
      </c>
      <c r="T37" s="1007">
        <v>2</v>
      </c>
      <c r="U37" s="1008">
        <f t="shared" si="2"/>
        <v>180</v>
      </c>
      <c r="V37" s="1007">
        <v>2</v>
      </c>
      <c r="W37" s="1008">
        <f t="shared" si="3"/>
        <v>180</v>
      </c>
      <c r="X37" s="1007">
        <v>2</v>
      </c>
      <c r="Y37" s="1008">
        <f t="shared" si="4"/>
        <v>180</v>
      </c>
      <c r="Z37" s="1007">
        <v>1</v>
      </c>
      <c r="AA37" s="1008">
        <f t="shared" si="5"/>
        <v>90</v>
      </c>
      <c r="AB37" s="1007">
        <v>1</v>
      </c>
      <c r="AC37" s="1008">
        <f t="shared" si="6"/>
        <v>90</v>
      </c>
      <c r="AD37" s="1007">
        <v>1</v>
      </c>
      <c r="AE37" s="1008">
        <f t="shared" si="7"/>
        <v>90</v>
      </c>
      <c r="AF37" s="1007" t="s">
        <v>238</v>
      </c>
      <c r="AG37" s="1008">
        <f t="shared" si="8"/>
        <v>0</v>
      </c>
      <c r="AH37" s="1007">
        <v>1</v>
      </c>
      <c r="AI37" s="1008">
        <f t="shared" si="9"/>
        <v>90</v>
      </c>
    </row>
    <row r="38" spans="11:35">
      <c r="K38" s="712"/>
      <c r="L38" s="833"/>
      <c r="M38" s="1006" t="s">
        <v>2062</v>
      </c>
      <c r="N38" s="1007">
        <v>504</v>
      </c>
      <c r="O38" s="1008">
        <v>140</v>
      </c>
      <c r="P38" s="1007" t="s">
        <v>238</v>
      </c>
      <c r="Q38" s="1008">
        <f t="shared" si="0"/>
        <v>0</v>
      </c>
      <c r="R38" s="1007">
        <v>1</v>
      </c>
      <c r="S38" s="1008">
        <f t="shared" si="1"/>
        <v>140</v>
      </c>
      <c r="T38" s="1007" t="s">
        <v>238</v>
      </c>
      <c r="U38" s="1008">
        <f t="shared" si="2"/>
        <v>0</v>
      </c>
      <c r="V38" s="1007">
        <v>1</v>
      </c>
      <c r="W38" s="1008">
        <f t="shared" si="3"/>
        <v>140</v>
      </c>
      <c r="X38" s="1007" t="s">
        <v>238</v>
      </c>
      <c r="Y38" s="1008">
        <f t="shared" si="4"/>
        <v>0</v>
      </c>
      <c r="Z38" s="1007">
        <v>1</v>
      </c>
      <c r="AA38" s="1008">
        <f t="shared" si="5"/>
        <v>140</v>
      </c>
      <c r="AB38" s="1007" t="s">
        <v>238</v>
      </c>
      <c r="AC38" s="1008">
        <f t="shared" si="6"/>
        <v>0</v>
      </c>
      <c r="AD38" s="1007">
        <v>1</v>
      </c>
      <c r="AE38" s="1008">
        <f t="shared" si="7"/>
        <v>140</v>
      </c>
      <c r="AF38" s="1007" t="s">
        <v>238</v>
      </c>
      <c r="AG38" s="1008">
        <f t="shared" si="8"/>
        <v>0</v>
      </c>
      <c r="AH38" s="1007">
        <v>1</v>
      </c>
      <c r="AI38" s="1008">
        <f t="shared" si="9"/>
        <v>140</v>
      </c>
    </row>
    <row r="39" spans="11:35">
      <c r="K39" s="712"/>
      <c r="L39" s="833"/>
      <c r="M39" s="1006" t="s">
        <v>2063</v>
      </c>
      <c r="N39" s="1007">
        <v>505</v>
      </c>
      <c r="O39" s="1008">
        <v>90</v>
      </c>
      <c r="P39" s="1007" t="s">
        <v>238</v>
      </c>
      <c r="Q39" s="1008">
        <f t="shared" si="0"/>
        <v>0</v>
      </c>
      <c r="R39" s="1007" t="s">
        <v>238</v>
      </c>
      <c r="S39" s="1008">
        <f t="shared" si="1"/>
        <v>0</v>
      </c>
      <c r="T39" s="1007" t="s">
        <v>238</v>
      </c>
      <c r="U39" s="1008">
        <f t="shared" si="2"/>
        <v>0</v>
      </c>
      <c r="V39" s="1007" t="s">
        <v>238</v>
      </c>
      <c r="W39" s="1008">
        <f t="shared" si="3"/>
        <v>0</v>
      </c>
      <c r="X39" s="1007" t="s">
        <v>238</v>
      </c>
      <c r="Y39" s="1008">
        <f t="shared" si="4"/>
        <v>0</v>
      </c>
      <c r="Z39" s="1007" t="s">
        <v>238</v>
      </c>
      <c r="AA39" s="1008">
        <f t="shared" si="5"/>
        <v>0</v>
      </c>
      <c r="AB39" s="1007" t="s">
        <v>238</v>
      </c>
      <c r="AC39" s="1008">
        <f t="shared" si="6"/>
        <v>0</v>
      </c>
      <c r="AD39" s="1007" t="s">
        <v>238</v>
      </c>
      <c r="AE39" s="1008">
        <f t="shared" si="7"/>
        <v>0</v>
      </c>
      <c r="AF39" s="1007" t="s">
        <v>238</v>
      </c>
      <c r="AG39" s="1008">
        <f t="shared" si="8"/>
        <v>0</v>
      </c>
      <c r="AH39" s="1007">
        <v>2</v>
      </c>
      <c r="AI39" s="1008">
        <f t="shared" si="9"/>
        <v>180</v>
      </c>
    </row>
    <row r="40" spans="11:35">
      <c r="K40" s="712"/>
      <c r="L40" s="833"/>
      <c r="M40" s="1006" t="s">
        <v>2064</v>
      </c>
      <c r="N40" s="1007">
        <v>505</v>
      </c>
      <c r="O40" s="1008">
        <v>90</v>
      </c>
      <c r="P40" s="1007" t="s">
        <v>238</v>
      </c>
      <c r="Q40" s="1008">
        <f t="shared" si="0"/>
        <v>0</v>
      </c>
      <c r="R40" s="1007" t="s">
        <v>238</v>
      </c>
      <c r="S40" s="1008">
        <f t="shared" si="1"/>
        <v>0</v>
      </c>
      <c r="T40" s="1007" t="s">
        <v>238</v>
      </c>
      <c r="U40" s="1008">
        <f t="shared" si="2"/>
        <v>0</v>
      </c>
      <c r="V40" s="1007" t="s">
        <v>238</v>
      </c>
      <c r="W40" s="1008">
        <f t="shared" si="3"/>
        <v>0</v>
      </c>
      <c r="X40" s="1007">
        <v>3</v>
      </c>
      <c r="Y40" s="1008">
        <f t="shared" si="4"/>
        <v>270</v>
      </c>
      <c r="Z40" s="1007">
        <v>2</v>
      </c>
      <c r="AA40" s="1008">
        <f t="shared" si="5"/>
        <v>180</v>
      </c>
      <c r="AB40" s="1007" t="s">
        <v>238</v>
      </c>
      <c r="AC40" s="1008">
        <f t="shared" si="6"/>
        <v>0</v>
      </c>
      <c r="AD40" s="1007" t="s">
        <v>238</v>
      </c>
      <c r="AE40" s="1008">
        <f t="shared" si="7"/>
        <v>0</v>
      </c>
      <c r="AF40" s="1007" t="s">
        <v>238</v>
      </c>
      <c r="AG40" s="1008">
        <f t="shared" si="8"/>
        <v>0</v>
      </c>
      <c r="AH40" s="1007" t="s">
        <v>238</v>
      </c>
      <c r="AI40" s="1008">
        <f t="shared" si="9"/>
        <v>0</v>
      </c>
    </row>
    <row r="41" spans="11:35">
      <c r="K41" s="712"/>
      <c r="L41" s="833"/>
      <c r="M41" s="1006" t="s">
        <v>2065</v>
      </c>
      <c r="N41" s="1007">
        <v>505</v>
      </c>
      <c r="O41" s="1008">
        <v>90</v>
      </c>
      <c r="P41" s="1007" t="s">
        <v>238</v>
      </c>
      <c r="Q41" s="1008">
        <f t="shared" si="0"/>
        <v>0</v>
      </c>
      <c r="R41" s="1007" t="s">
        <v>238</v>
      </c>
      <c r="S41" s="1008">
        <f t="shared" si="1"/>
        <v>0</v>
      </c>
      <c r="T41" s="1007">
        <v>3</v>
      </c>
      <c r="U41" s="1008">
        <f t="shared" si="2"/>
        <v>270</v>
      </c>
      <c r="V41" s="1007">
        <v>1</v>
      </c>
      <c r="W41" s="1008">
        <f t="shared" si="3"/>
        <v>90</v>
      </c>
      <c r="X41" s="1007" t="s">
        <v>238</v>
      </c>
      <c r="Y41" s="1008">
        <f t="shared" si="4"/>
        <v>0</v>
      </c>
      <c r="Z41" s="1007" t="s">
        <v>238</v>
      </c>
      <c r="AA41" s="1008">
        <f t="shared" si="5"/>
        <v>0</v>
      </c>
      <c r="AB41" s="1007" t="s">
        <v>238</v>
      </c>
      <c r="AC41" s="1008">
        <f t="shared" si="6"/>
        <v>0</v>
      </c>
      <c r="AD41" s="1007" t="s">
        <v>238</v>
      </c>
      <c r="AE41" s="1008">
        <f t="shared" si="7"/>
        <v>0</v>
      </c>
      <c r="AF41" s="1007" t="s">
        <v>238</v>
      </c>
      <c r="AG41" s="1008">
        <f t="shared" si="8"/>
        <v>0</v>
      </c>
      <c r="AH41" s="1007" t="s">
        <v>238</v>
      </c>
      <c r="AI41" s="1008">
        <f t="shared" si="9"/>
        <v>0</v>
      </c>
    </row>
    <row r="42" spans="11:35">
      <c r="K42" s="712"/>
      <c r="L42" s="833"/>
      <c r="M42" s="1006" t="s">
        <v>2094</v>
      </c>
      <c r="N42" s="1007">
        <v>505</v>
      </c>
      <c r="O42" s="1008">
        <v>90</v>
      </c>
      <c r="P42" s="1007" t="s">
        <v>238</v>
      </c>
      <c r="Q42" s="1008">
        <f t="shared" si="0"/>
        <v>0</v>
      </c>
      <c r="R42" s="1007" t="s">
        <v>238</v>
      </c>
      <c r="S42" s="1008">
        <f t="shared" si="1"/>
        <v>0</v>
      </c>
      <c r="T42" s="1007">
        <v>1</v>
      </c>
      <c r="U42" s="1008">
        <f t="shared" si="2"/>
        <v>90</v>
      </c>
      <c r="V42" s="1007">
        <v>1</v>
      </c>
      <c r="W42" s="1008">
        <f t="shared" si="3"/>
        <v>90</v>
      </c>
      <c r="X42" s="1007" t="s">
        <v>238</v>
      </c>
      <c r="Y42" s="1008">
        <f t="shared" si="4"/>
        <v>0</v>
      </c>
      <c r="Z42" s="1007" t="s">
        <v>238</v>
      </c>
      <c r="AA42" s="1008">
        <f t="shared" si="5"/>
        <v>0</v>
      </c>
      <c r="AB42" s="1007">
        <v>2</v>
      </c>
      <c r="AC42" s="1008">
        <f t="shared" si="6"/>
        <v>180</v>
      </c>
      <c r="AD42" s="1007">
        <v>1</v>
      </c>
      <c r="AE42" s="1008">
        <f t="shared" si="7"/>
        <v>90</v>
      </c>
      <c r="AF42" s="1007" t="s">
        <v>238</v>
      </c>
      <c r="AG42" s="1008">
        <f t="shared" si="8"/>
        <v>0</v>
      </c>
      <c r="AH42" s="1007" t="s">
        <v>238</v>
      </c>
      <c r="AI42" s="1008">
        <f t="shared" si="9"/>
        <v>0</v>
      </c>
    </row>
    <row r="43" spans="11:35">
      <c r="K43" s="712"/>
      <c r="L43" s="833"/>
      <c r="M43" s="1006" t="s">
        <v>2066</v>
      </c>
      <c r="N43" s="1007">
        <v>504</v>
      </c>
      <c r="O43" s="1008">
        <v>140</v>
      </c>
      <c r="P43" s="1007" t="s">
        <v>238</v>
      </c>
      <c r="Q43" s="1008">
        <f t="shared" si="0"/>
        <v>0</v>
      </c>
      <c r="R43" s="1007">
        <v>1</v>
      </c>
      <c r="S43" s="1008">
        <f t="shared" si="1"/>
        <v>140</v>
      </c>
      <c r="T43" s="1007" t="s">
        <v>238</v>
      </c>
      <c r="U43" s="1008">
        <f t="shared" si="2"/>
        <v>0</v>
      </c>
      <c r="V43" s="1007">
        <v>1</v>
      </c>
      <c r="W43" s="1008">
        <f t="shared" si="3"/>
        <v>140</v>
      </c>
      <c r="X43" s="1007" t="s">
        <v>238</v>
      </c>
      <c r="Y43" s="1008">
        <f t="shared" si="4"/>
        <v>0</v>
      </c>
      <c r="Z43" s="1007">
        <v>1</v>
      </c>
      <c r="AA43" s="1008">
        <f t="shared" si="5"/>
        <v>140</v>
      </c>
      <c r="AB43" s="1007" t="s">
        <v>238</v>
      </c>
      <c r="AC43" s="1008">
        <f t="shared" si="6"/>
        <v>0</v>
      </c>
      <c r="AD43" s="1007">
        <v>1</v>
      </c>
      <c r="AE43" s="1008">
        <f t="shared" si="7"/>
        <v>140</v>
      </c>
      <c r="AF43" s="1007" t="s">
        <v>238</v>
      </c>
      <c r="AG43" s="1008">
        <f t="shared" si="8"/>
        <v>0</v>
      </c>
      <c r="AH43" s="1007">
        <v>1</v>
      </c>
      <c r="AI43" s="1008">
        <f t="shared" si="9"/>
        <v>140</v>
      </c>
    </row>
    <row r="44" spans="11:35">
      <c r="K44" s="712"/>
      <c r="L44" s="833"/>
      <c r="M44" s="1006" t="s">
        <v>2095</v>
      </c>
      <c r="N44" s="1007">
        <v>1652</v>
      </c>
      <c r="O44" s="1008">
        <v>33</v>
      </c>
      <c r="P44" s="1007" t="s">
        <v>238</v>
      </c>
      <c r="Q44" s="1008">
        <f t="shared" si="0"/>
        <v>0</v>
      </c>
      <c r="R44" s="1007" t="s">
        <v>238</v>
      </c>
      <c r="S44" s="1008">
        <f t="shared" si="1"/>
        <v>0</v>
      </c>
      <c r="T44" s="1007" t="s">
        <v>238</v>
      </c>
      <c r="U44" s="1008">
        <f t="shared" si="2"/>
        <v>0</v>
      </c>
      <c r="V44" s="1007" t="s">
        <v>238</v>
      </c>
      <c r="W44" s="1008">
        <f t="shared" si="3"/>
        <v>0</v>
      </c>
      <c r="X44" s="1007">
        <v>3</v>
      </c>
      <c r="Y44" s="1008">
        <f t="shared" si="4"/>
        <v>99</v>
      </c>
      <c r="Z44" s="1007">
        <v>1</v>
      </c>
      <c r="AA44" s="1008">
        <f t="shared" si="5"/>
        <v>33</v>
      </c>
      <c r="AB44" s="1007" t="s">
        <v>238</v>
      </c>
      <c r="AC44" s="1008">
        <f t="shared" si="6"/>
        <v>0</v>
      </c>
      <c r="AD44" s="1007" t="s">
        <v>238</v>
      </c>
      <c r="AE44" s="1008">
        <f t="shared" si="7"/>
        <v>0</v>
      </c>
      <c r="AF44" s="1007" t="s">
        <v>238</v>
      </c>
      <c r="AG44" s="1008">
        <f t="shared" si="8"/>
        <v>0</v>
      </c>
      <c r="AH44" s="1007" t="s">
        <v>238</v>
      </c>
      <c r="AI44" s="1008">
        <f t="shared" si="9"/>
        <v>0</v>
      </c>
    </row>
    <row r="45" spans="11:35">
      <c r="K45" s="712"/>
      <c r="L45" s="833"/>
      <c r="M45" s="1006" t="s">
        <v>2096</v>
      </c>
      <c r="N45" s="1007">
        <v>1623</v>
      </c>
      <c r="O45" s="1008">
        <v>20</v>
      </c>
      <c r="P45" s="1007" t="s">
        <v>238</v>
      </c>
      <c r="Q45" s="1008">
        <f t="shared" si="0"/>
        <v>0</v>
      </c>
      <c r="R45" s="1007" t="s">
        <v>238</v>
      </c>
      <c r="S45" s="1008">
        <f t="shared" si="1"/>
        <v>0</v>
      </c>
      <c r="T45" s="1007" t="s">
        <v>238</v>
      </c>
      <c r="U45" s="1008">
        <f t="shared" si="2"/>
        <v>0</v>
      </c>
      <c r="V45" s="1007" t="s">
        <v>238</v>
      </c>
      <c r="W45" s="1008">
        <f t="shared" si="3"/>
        <v>0</v>
      </c>
      <c r="X45" s="1007">
        <v>1</v>
      </c>
      <c r="Y45" s="1008">
        <f t="shared" si="4"/>
        <v>20</v>
      </c>
      <c r="Z45" s="1007" t="s">
        <v>238</v>
      </c>
      <c r="AA45" s="1008">
        <f t="shared" si="5"/>
        <v>0</v>
      </c>
      <c r="AB45" s="1007">
        <v>1</v>
      </c>
      <c r="AC45" s="1008">
        <f t="shared" si="6"/>
        <v>20</v>
      </c>
      <c r="AD45" s="1007" t="s">
        <v>238</v>
      </c>
      <c r="AE45" s="1008">
        <f t="shared" si="7"/>
        <v>0</v>
      </c>
      <c r="AF45" s="1007" t="s">
        <v>238</v>
      </c>
      <c r="AG45" s="1008">
        <f t="shared" si="8"/>
        <v>0</v>
      </c>
      <c r="AH45" s="1007" t="s">
        <v>238</v>
      </c>
      <c r="AI45" s="1008">
        <f t="shared" si="9"/>
        <v>0</v>
      </c>
    </row>
    <row r="46" spans="11:35">
      <c r="K46" s="712"/>
      <c r="L46" s="833"/>
      <c r="M46" s="1015" t="s">
        <v>2097</v>
      </c>
      <c r="N46" s="1007">
        <v>1624</v>
      </c>
      <c r="O46" s="1008">
        <v>41</v>
      </c>
      <c r="P46" s="1007" t="s">
        <v>238</v>
      </c>
      <c r="Q46" s="1008">
        <f t="shared" si="0"/>
        <v>0</v>
      </c>
      <c r="R46" s="1007" t="s">
        <v>238</v>
      </c>
      <c r="S46" s="1008">
        <f t="shared" si="1"/>
        <v>0</v>
      </c>
      <c r="T46" s="1007" t="s">
        <v>238</v>
      </c>
      <c r="U46" s="1008">
        <f t="shared" si="2"/>
        <v>0</v>
      </c>
      <c r="V46" s="1007" t="s">
        <v>238</v>
      </c>
      <c r="W46" s="1008">
        <f t="shared" si="3"/>
        <v>0</v>
      </c>
      <c r="X46" s="1007">
        <v>1</v>
      </c>
      <c r="Y46" s="1008">
        <f t="shared" si="4"/>
        <v>41</v>
      </c>
      <c r="Z46" s="1007" t="s">
        <v>238</v>
      </c>
      <c r="AA46" s="1008">
        <f t="shared" si="5"/>
        <v>0</v>
      </c>
      <c r="AB46" s="1007">
        <v>1</v>
      </c>
      <c r="AC46" s="1008">
        <f t="shared" si="6"/>
        <v>41</v>
      </c>
      <c r="AD46" s="1007" t="s">
        <v>238</v>
      </c>
      <c r="AE46" s="1008">
        <f t="shared" si="7"/>
        <v>0</v>
      </c>
      <c r="AF46" s="1007" t="s">
        <v>238</v>
      </c>
      <c r="AG46" s="1008">
        <f t="shared" si="8"/>
        <v>0</v>
      </c>
      <c r="AH46" s="1007" t="s">
        <v>238</v>
      </c>
      <c r="AI46" s="1008">
        <f t="shared" si="9"/>
        <v>0</v>
      </c>
    </row>
    <row r="47" spans="11:35">
      <c r="K47" s="712"/>
      <c r="L47" s="833"/>
      <c r="M47" s="1006" t="s">
        <v>2098</v>
      </c>
      <c r="N47" s="1007">
        <v>1625</v>
      </c>
      <c r="O47" s="1008">
        <v>45</v>
      </c>
      <c r="P47" s="1007" t="s">
        <v>238</v>
      </c>
      <c r="Q47" s="1008">
        <f t="shared" si="0"/>
        <v>0</v>
      </c>
      <c r="R47" s="1007" t="s">
        <v>238</v>
      </c>
      <c r="S47" s="1008">
        <f t="shared" si="1"/>
        <v>0</v>
      </c>
      <c r="T47" s="1007" t="s">
        <v>238</v>
      </c>
      <c r="U47" s="1008">
        <f t="shared" si="2"/>
        <v>0</v>
      </c>
      <c r="V47" s="1007" t="s">
        <v>238</v>
      </c>
      <c r="W47" s="1008">
        <f t="shared" si="3"/>
        <v>0</v>
      </c>
      <c r="X47" s="1007">
        <v>1</v>
      </c>
      <c r="Y47" s="1008">
        <f t="shared" si="4"/>
        <v>45</v>
      </c>
      <c r="Z47" s="1007" t="s">
        <v>238</v>
      </c>
      <c r="AA47" s="1008">
        <f t="shared" si="5"/>
        <v>0</v>
      </c>
      <c r="AB47" s="1007">
        <v>1</v>
      </c>
      <c r="AC47" s="1008">
        <f t="shared" si="6"/>
        <v>45</v>
      </c>
      <c r="AD47" s="1007" t="s">
        <v>238</v>
      </c>
      <c r="AE47" s="1008">
        <f t="shared" si="7"/>
        <v>0</v>
      </c>
      <c r="AF47" s="1007" t="s">
        <v>238</v>
      </c>
      <c r="AG47" s="1008">
        <f t="shared" si="8"/>
        <v>0</v>
      </c>
      <c r="AH47" s="1007" t="s">
        <v>238</v>
      </c>
      <c r="AI47" s="1008">
        <f t="shared" si="9"/>
        <v>0</v>
      </c>
    </row>
    <row r="48" spans="11:35">
      <c r="K48" s="712"/>
      <c r="L48" s="833"/>
      <c r="M48" s="1006" t="s">
        <v>2099</v>
      </c>
      <c r="N48" s="1007">
        <v>1531</v>
      </c>
      <c r="O48" s="1008">
        <v>35</v>
      </c>
      <c r="P48" s="1007" t="s">
        <v>238</v>
      </c>
      <c r="Q48" s="1008">
        <f t="shared" si="0"/>
        <v>0</v>
      </c>
      <c r="R48" s="1007" t="s">
        <v>238</v>
      </c>
      <c r="S48" s="1008">
        <f t="shared" si="1"/>
        <v>0</v>
      </c>
      <c r="T48" s="1007" t="s">
        <v>238</v>
      </c>
      <c r="U48" s="1008">
        <f t="shared" si="2"/>
        <v>0</v>
      </c>
      <c r="V48" s="1007" t="s">
        <v>238</v>
      </c>
      <c r="W48" s="1008">
        <f t="shared" si="3"/>
        <v>0</v>
      </c>
      <c r="X48" s="1007">
        <v>1</v>
      </c>
      <c r="Y48" s="1008">
        <f t="shared" si="4"/>
        <v>35</v>
      </c>
      <c r="Z48" s="1007" t="s">
        <v>238</v>
      </c>
      <c r="AA48" s="1008">
        <f t="shared" si="5"/>
        <v>0</v>
      </c>
      <c r="AB48" s="1007" t="s">
        <v>238</v>
      </c>
      <c r="AC48" s="1008">
        <f t="shared" si="6"/>
        <v>0</v>
      </c>
      <c r="AD48" s="1007" t="s">
        <v>238</v>
      </c>
      <c r="AE48" s="1008">
        <f t="shared" si="7"/>
        <v>0</v>
      </c>
      <c r="AF48" s="1007" t="s">
        <v>238</v>
      </c>
      <c r="AG48" s="1008">
        <f t="shared" si="8"/>
        <v>0</v>
      </c>
      <c r="AH48" s="1007" t="s">
        <v>238</v>
      </c>
      <c r="AI48" s="1008">
        <f t="shared" si="9"/>
        <v>0</v>
      </c>
    </row>
    <row r="49" spans="11:35">
      <c r="K49" s="712"/>
      <c r="L49" s="833"/>
      <c r="M49" s="1006" t="s">
        <v>2100</v>
      </c>
      <c r="N49" s="1007">
        <v>1622</v>
      </c>
      <c r="O49" s="1008">
        <v>20</v>
      </c>
      <c r="P49" s="1007" t="s">
        <v>238</v>
      </c>
      <c r="Q49" s="1008">
        <f t="shared" si="0"/>
        <v>0</v>
      </c>
      <c r="R49" s="1007" t="s">
        <v>238</v>
      </c>
      <c r="S49" s="1008">
        <f t="shared" si="1"/>
        <v>0</v>
      </c>
      <c r="T49" s="1007" t="s">
        <v>238</v>
      </c>
      <c r="U49" s="1008">
        <f t="shared" si="2"/>
        <v>0</v>
      </c>
      <c r="V49" s="1007" t="s">
        <v>238</v>
      </c>
      <c r="W49" s="1008">
        <f t="shared" si="3"/>
        <v>0</v>
      </c>
      <c r="X49" s="1007" t="s">
        <v>238</v>
      </c>
      <c r="Y49" s="1008">
        <f t="shared" si="4"/>
        <v>0</v>
      </c>
      <c r="Z49" s="1007" t="s">
        <v>238</v>
      </c>
      <c r="AA49" s="1008">
        <f t="shared" si="5"/>
        <v>0</v>
      </c>
      <c r="AB49" s="1007">
        <v>1</v>
      </c>
      <c r="AC49" s="1008">
        <f t="shared" si="6"/>
        <v>20</v>
      </c>
      <c r="AD49" s="1007" t="s">
        <v>238</v>
      </c>
      <c r="AE49" s="1008">
        <f t="shared" si="7"/>
        <v>0</v>
      </c>
      <c r="AF49" s="1007" t="s">
        <v>238</v>
      </c>
      <c r="AG49" s="1008">
        <f t="shared" si="8"/>
        <v>0</v>
      </c>
      <c r="AH49" s="1007" t="s">
        <v>238</v>
      </c>
      <c r="AI49" s="1008">
        <f t="shared" si="9"/>
        <v>0</v>
      </c>
    </row>
    <row r="50" spans="11:35" ht="16">
      <c r="K50" s="712"/>
      <c r="L50" s="833"/>
      <c r="M50" s="1012" t="s">
        <v>2101</v>
      </c>
      <c r="N50" s="1007" t="s">
        <v>2085</v>
      </c>
      <c r="O50" s="1008">
        <v>171</v>
      </c>
      <c r="P50" s="1007" t="s">
        <v>238</v>
      </c>
      <c r="Q50" s="1008">
        <f t="shared" si="0"/>
        <v>0</v>
      </c>
      <c r="R50" s="1007" t="s">
        <v>238</v>
      </c>
      <c r="S50" s="1008">
        <f t="shared" si="1"/>
        <v>0</v>
      </c>
      <c r="T50" s="1007" t="s">
        <v>238</v>
      </c>
      <c r="U50" s="1008">
        <f t="shared" si="2"/>
        <v>0</v>
      </c>
      <c r="V50" s="1007" t="s">
        <v>238</v>
      </c>
      <c r="W50" s="1008">
        <f t="shared" si="3"/>
        <v>0</v>
      </c>
      <c r="X50" s="1007" t="s">
        <v>238</v>
      </c>
      <c r="Y50" s="1008">
        <f t="shared" si="4"/>
        <v>0</v>
      </c>
      <c r="Z50" s="1007" t="s">
        <v>238</v>
      </c>
      <c r="AA50" s="1008">
        <f t="shared" si="5"/>
        <v>0</v>
      </c>
      <c r="AB50" s="1007">
        <v>1</v>
      </c>
      <c r="AC50" s="1008">
        <f t="shared" si="6"/>
        <v>171</v>
      </c>
      <c r="AD50" s="1007" t="s">
        <v>238</v>
      </c>
      <c r="AE50" s="1008">
        <f t="shared" si="7"/>
        <v>0</v>
      </c>
      <c r="AF50" s="1007" t="s">
        <v>238</v>
      </c>
      <c r="AG50" s="1008">
        <f t="shared" si="8"/>
        <v>0</v>
      </c>
      <c r="AH50" s="1007" t="s">
        <v>238</v>
      </c>
      <c r="AI50" s="1008">
        <f t="shared" si="9"/>
        <v>0</v>
      </c>
    </row>
    <row r="51" spans="11:35" ht="16">
      <c r="K51" s="712"/>
      <c r="L51" s="833"/>
      <c r="M51" s="1012" t="s">
        <v>2102</v>
      </c>
      <c r="N51" s="1007">
        <v>1537</v>
      </c>
      <c r="O51" s="1008">
        <v>34</v>
      </c>
      <c r="P51" s="1007" t="s">
        <v>238</v>
      </c>
      <c r="Q51" s="1008">
        <f t="shared" si="0"/>
        <v>0</v>
      </c>
      <c r="R51" s="1007" t="s">
        <v>238</v>
      </c>
      <c r="S51" s="1008">
        <f t="shared" si="1"/>
        <v>0</v>
      </c>
      <c r="T51" s="1007" t="s">
        <v>238</v>
      </c>
      <c r="U51" s="1008">
        <f t="shared" si="2"/>
        <v>0</v>
      </c>
      <c r="V51" s="1007" t="s">
        <v>238</v>
      </c>
      <c r="W51" s="1008">
        <f t="shared" si="3"/>
        <v>0</v>
      </c>
      <c r="X51" s="1007" t="s">
        <v>238</v>
      </c>
      <c r="Y51" s="1008">
        <f t="shared" si="4"/>
        <v>0</v>
      </c>
      <c r="Z51" s="1007" t="s">
        <v>238</v>
      </c>
      <c r="AA51" s="1008">
        <f t="shared" si="5"/>
        <v>0</v>
      </c>
      <c r="AB51" s="1007">
        <v>1</v>
      </c>
      <c r="AC51" s="1008">
        <f t="shared" si="6"/>
        <v>34</v>
      </c>
      <c r="AD51" s="1007" t="s">
        <v>238</v>
      </c>
      <c r="AE51" s="1008">
        <f t="shared" si="7"/>
        <v>0</v>
      </c>
      <c r="AF51" s="1007" t="s">
        <v>238</v>
      </c>
      <c r="AG51" s="1008">
        <f t="shared" si="8"/>
        <v>0</v>
      </c>
      <c r="AH51" s="1007" t="s">
        <v>238</v>
      </c>
      <c r="AI51" s="1008">
        <f t="shared" si="9"/>
        <v>0</v>
      </c>
    </row>
    <row r="52" spans="11:35">
      <c r="K52" s="712"/>
      <c r="L52" s="833"/>
      <c r="M52" s="1006" t="s">
        <v>2103</v>
      </c>
      <c r="N52" s="1007">
        <v>1538</v>
      </c>
      <c r="O52" s="1008">
        <v>37</v>
      </c>
      <c r="P52" s="1007" t="s">
        <v>238</v>
      </c>
      <c r="Q52" s="1008">
        <f t="shared" si="0"/>
        <v>0</v>
      </c>
      <c r="R52" s="1007" t="s">
        <v>238</v>
      </c>
      <c r="S52" s="1008">
        <f t="shared" si="1"/>
        <v>0</v>
      </c>
      <c r="T52" s="1007" t="s">
        <v>238</v>
      </c>
      <c r="U52" s="1008">
        <f t="shared" si="2"/>
        <v>0</v>
      </c>
      <c r="V52" s="1007" t="s">
        <v>238</v>
      </c>
      <c r="W52" s="1008">
        <f t="shared" si="3"/>
        <v>0</v>
      </c>
      <c r="X52" s="1007" t="s">
        <v>238</v>
      </c>
      <c r="Y52" s="1008">
        <f t="shared" si="4"/>
        <v>0</v>
      </c>
      <c r="Z52" s="1007" t="s">
        <v>238</v>
      </c>
      <c r="AA52" s="1008">
        <f t="shared" si="5"/>
        <v>0</v>
      </c>
      <c r="AB52" s="1007">
        <v>1</v>
      </c>
      <c r="AC52" s="1008">
        <f t="shared" si="6"/>
        <v>37</v>
      </c>
      <c r="AD52" s="1007" t="s">
        <v>238</v>
      </c>
      <c r="AE52" s="1008">
        <f t="shared" si="7"/>
        <v>0</v>
      </c>
      <c r="AF52" s="1007" t="s">
        <v>238</v>
      </c>
      <c r="AG52" s="1008">
        <f t="shared" si="8"/>
        <v>0</v>
      </c>
      <c r="AH52" s="1007" t="s">
        <v>238</v>
      </c>
      <c r="AI52" s="1008">
        <f t="shared" si="9"/>
        <v>0</v>
      </c>
    </row>
    <row r="53" spans="11:35">
      <c r="K53" s="712"/>
      <c r="L53" s="833"/>
      <c r="M53" s="1006" t="s">
        <v>2104</v>
      </c>
      <c r="N53" s="1007">
        <v>1882</v>
      </c>
      <c r="O53" s="1008">
        <v>141</v>
      </c>
      <c r="P53" s="1007" t="s">
        <v>238</v>
      </c>
      <c r="Q53" s="1008">
        <f t="shared" si="0"/>
        <v>0</v>
      </c>
      <c r="R53" s="1007" t="s">
        <v>238</v>
      </c>
      <c r="S53" s="1008">
        <f t="shared" si="1"/>
        <v>0</v>
      </c>
      <c r="T53" s="1007" t="s">
        <v>238</v>
      </c>
      <c r="U53" s="1008">
        <f t="shared" si="2"/>
        <v>0</v>
      </c>
      <c r="V53" s="1007" t="s">
        <v>238</v>
      </c>
      <c r="W53" s="1008">
        <f t="shared" si="3"/>
        <v>0</v>
      </c>
      <c r="X53" s="1007" t="s">
        <v>238</v>
      </c>
      <c r="Y53" s="1008">
        <f t="shared" si="4"/>
        <v>0</v>
      </c>
      <c r="Z53" s="1007" t="s">
        <v>238</v>
      </c>
      <c r="AA53" s="1008">
        <f t="shared" si="5"/>
        <v>0</v>
      </c>
      <c r="AB53" s="1007">
        <v>1</v>
      </c>
      <c r="AC53" s="1008">
        <f t="shared" si="6"/>
        <v>141</v>
      </c>
      <c r="AD53" s="1007" t="s">
        <v>238</v>
      </c>
      <c r="AE53" s="1008">
        <f t="shared" si="7"/>
        <v>0</v>
      </c>
      <c r="AF53" s="1007" t="s">
        <v>238</v>
      </c>
      <c r="AG53" s="1008">
        <f t="shared" si="8"/>
        <v>0</v>
      </c>
      <c r="AH53" s="1007" t="s">
        <v>238</v>
      </c>
      <c r="AI53" s="1008">
        <f t="shared" si="9"/>
        <v>0</v>
      </c>
    </row>
    <row r="54" spans="11:35" ht="16">
      <c r="K54" s="712"/>
      <c r="L54" s="833"/>
      <c r="M54" s="1012" t="s">
        <v>2105</v>
      </c>
      <c r="N54" s="1007">
        <v>1595</v>
      </c>
      <c r="O54" s="1008">
        <v>23</v>
      </c>
      <c r="P54" s="1007" t="s">
        <v>238</v>
      </c>
      <c r="Q54" s="1008">
        <f t="shared" si="0"/>
        <v>0</v>
      </c>
      <c r="R54" s="1007" t="s">
        <v>238</v>
      </c>
      <c r="S54" s="1008">
        <f t="shared" si="1"/>
        <v>0</v>
      </c>
      <c r="T54" s="1007" t="s">
        <v>238</v>
      </c>
      <c r="U54" s="1008">
        <f t="shared" si="2"/>
        <v>0</v>
      </c>
      <c r="V54" s="1007" t="s">
        <v>238</v>
      </c>
      <c r="W54" s="1008">
        <f t="shared" si="3"/>
        <v>0</v>
      </c>
      <c r="X54" s="1007" t="s">
        <v>238</v>
      </c>
      <c r="Y54" s="1008">
        <f t="shared" si="4"/>
        <v>0</v>
      </c>
      <c r="Z54" s="1007" t="s">
        <v>238</v>
      </c>
      <c r="AA54" s="1008">
        <f t="shared" si="5"/>
        <v>0</v>
      </c>
      <c r="AB54" s="1007" t="s">
        <v>238</v>
      </c>
      <c r="AC54" s="1008">
        <f t="shared" si="6"/>
        <v>0</v>
      </c>
      <c r="AD54" s="1007" t="s">
        <v>238</v>
      </c>
      <c r="AE54" s="1008">
        <f t="shared" si="7"/>
        <v>0</v>
      </c>
      <c r="AF54" s="1007">
        <v>1</v>
      </c>
      <c r="AG54" s="1008">
        <f t="shared" si="8"/>
        <v>23</v>
      </c>
      <c r="AH54" s="1007" t="s">
        <v>238</v>
      </c>
      <c r="AI54" s="1008">
        <f t="shared" si="9"/>
        <v>0</v>
      </c>
    </row>
    <row r="55" spans="11:35">
      <c r="K55" s="712"/>
      <c r="L55" s="833"/>
      <c r="M55" s="1006" t="s">
        <v>2106</v>
      </c>
      <c r="N55" s="1007">
        <v>1617</v>
      </c>
      <c r="O55" s="1008">
        <v>64</v>
      </c>
      <c r="P55" s="1007" t="s">
        <v>238</v>
      </c>
      <c r="Q55" s="1008">
        <f t="shared" si="0"/>
        <v>0</v>
      </c>
      <c r="R55" s="1007" t="s">
        <v>238</v>
      </c>
      <c r="S55" s="1008">
        <f t="shared" si="1"/>
        <v>0</v>
      </c>
      <c r="T55" s="1007">
        <v>1</v>
      </c>
      <c r="U55" s="1008">
        <f t="shared" si="2"/>
        <v>64</v>
      </c>
      <c r="V55" s="1007" t="s">
        <v>238</v>
      </c>
      <c r="W55" s="1008">
        <f t="shared" si="3"/>
        <v>0</v>
      </c>
      <c r="X55" s="1007" t="s">
        <v>238</v>
      </c>
      <c r="Y55" s="1008">
        <f t="shared" si="4"/>
        <v>0</v>
      </c>
      <c r="Z55" s="1007" t="s">
        <v>238</v>
      </c>
      <c r="AA55" s="1008">
        <f t="shared" si="5"/>
        <v>0</v>
      </c>
      <c r="AB55" s="1007" t="s">
        <v>238</v>
      </c>
      <c r="AC55" s="1008">
        <f t="shared" si="6"/>
        <v>0</v>
      </c>
      <c r="AD55" s="1007" t="s">
        <v>238</v>
      </c>
      <c r="AE55" s="1008">
        <f t="shared" si="7"/>
        <v>0</v>
      </c>
      <c r="AF55" s="1007" t="s">
        <v>238</v>
      </c>
      <c r="AG55" s="1008">
        <f t="shared" si="8"/>
        <v>0</v>
      </c>
      <c r="AH55" s="1007" t="s">
        <v>238</v>
      </c>
      <c r="AI55" s="1008">
        <f t="shared" si="9"/>
        <v>0</v>
      </c>
    </row>
    <row r="56" spans="11:35">
      <c r="K56" s="712"/>
      <c r="L56" s="833"/>
      <c r="M56" s="1006" t="s">
        <v>2107</v>
      </c>
      <c r="N56" s="1007"/>
      <c r="O56" s="1008"/>
      <c r="P56" s="1007" t="s">
        <v>238</v>
      </c>
      <c r="Q56" s="1008">
        <f t="shared" si="0"/>
        <v>0</v>
      </c>
      <c r="R56" s="1007" t="s">
        <v>238</v>
      </c>
      <c r="S56" s="1008">
        <f t="shared" si="1"/>
        <v>0</v>
      </c>
      <c r="T56" s="1007">
        <v>1</v>
      </c>
      <c r="U56" s="1008">
        <f t="shared" si="2"/>
        <v>0</v>
      </c>
      <c r="V56" s="1007" t="s">
        <v>238</v>
      </c>
      <c r="W56" s="1008">
        <f t="shared" si="3"/>
        <v>0</v>
      </c>
      <c r="X56" s="1007" t="s">
        <v>238</v>
      </c>
      <c r="Y56" s="1008">
        <f t="shared" si="4"/>
        <v>0</v>
      </c>
      <c r="Z56" s="1007" t="s">
        <v>238</v>
      </c>
      <c r="AA56" s="1008">
        <f t="shared" si="5"/>
        <v>0</v>
      </c>
      <c r="AB56" s="1007" t="s">
        <v>238</v>
      </c>
      <c r="AC56" s="1008">
        <f t="shared" si="6"/>
        <v>0</v>
      </c>
      <c r="AD56" s="1007" t="s">
        <v>238</v>
      </c>
      <c r="AE56" s="1008">
        <f t="shared" si="7"/>
        <v>0</v>
      </c>
      <c r="AF56" s="1007" t="s">
        <v>238</v>
      </c>
      <c r="AG56" s="1008">
        <f t="shared" si="8"/>
        <v>0</v>
      </c>
      <c r="AH56" s="1007" t="s">
        <v>238</v>
      </c>
      <c r="AI56" s="1008">
        <f t="shared" si="9"/>
        <v>0</v>
      </c>
    </row>
    <row r="57" spans="11:35" ht="16">
      <c r="K57" s="712"/>
      <c r="L57" s="833"/>
      <c r="M57" s="1012" t="s">
        <v>2108</v>
      </c>
      <c r="N57" s="1007">
        <v>505</v>
      </c>
      <c r="O57" s="1008">
        <v>90</v>
      </c>
      <c r="P57" s="1007" t="s">
        <v>238</v>
      </c>
      <c r="Q57" s="1008">
        <f t="shared" si="0"/>
        <v>0</v>
      </c>
      <c r="R57" s="1007" t="s">
        <v>238</v>
      </c>
      <c r="S57" s="1008">
        <f t="shared" si="1"/>
        <v>0</v>
      </c>
      <c r="T57" s="1007">
        <v>1</v>
      </c>
      <c r="U57" s="1008">
        <f t="shared" si="2"/>
        <v>90</v>
      </c>
      <c r="V57" s="1007" t="s">
        <v>238</v>
      </c>
      <c r="W57" s="1008">
        <f t="shared" si="3"/>
        <v>0</v>
      </c>
      <c r="X57" s="1007" t="s">
        <v>238</v>
      </c>
      <c r="Y57" s="1008">
        <f t="shared" si="4"/>
        <v>0</v>
      </c>
      <c r="Z57" s="1007" t="s">
        <v>238</v>
      </c>
      <c r="AA57" s="1008">
        <f t="shared" si="5"/>
        <v>0</v>
      </c>
      <c r="AB57" s="1007" t="s">
        <v>238</v>
      </c>
      <c r="AC57" s="1008">
        <f t="shared" si="6"/>
        <v>0</v>
      </c>
      <c r="AD57" s="1007" t="s">
        <v>238</v>
      </c>
      <c r="AE57" s="1008">
        <f t="shared" si="7"/>
        <v>0</v>
      </c>
      <c r="AF57" s="1007">
        <v>1</v>
      </c>
      <c r="AG57" s="1008">
        <f t="shared" si="8"/>
        <v>90</v>
      </c>
      <c r="AH57" s="1007" t="s">
        <v>238</v>
      </c>
      <c r="AI57" s="1008">
        <f t="shared" si="9"/>
        <v>0</v>
      </c>
    </row>
    <row r="58" spans="11:35">
      <c r="K58" s="712"/>
      <c r="L58" s="833"/>
      <c r="M58" s="1006" t="s">
        <v>2109</v>
      </c>
      <c r="N58" s="1007"/>
      <c r="O58" s="1008"/>
      <c r="P58" s="1007" t="s">
        <v>238</v>
      </c>
      <c r="Q58" s="1008">
        <f t="shared" si="0"/>
        <v>0</v>
      </c>
      <c r="R58" s="1007" t="s">
        <v>238</v>
      </c>
      <c r="S58" s="1008">
        <f t="shared" si="1"/>
        <v>0</v>
      </c>
      <c r="T58" s="1007" t="s">
        <v>238</v>
      </c>
      <c r="U58" s="1008">
        <f t="shared" si="2"/>
        <v>0</v>
      </c>
      <c r="V58" s="1007" t="s">
        <v>238</v>
      </c>
      <c r="W58" s="1008">
        <f t="shared" si="3"/>
        <v>0</v>
      </c>
      <c r="X58" s="1007" t="s">
        <v>238</v>
      </c>
      <c r="Y58" s="1008">
        <f t="shared" si="4"/>
        <v>0</v>
      </c>
      <c r="Z58" s="1007" t="s">
        <v>238</v>
      </c>
      <c r="AA58" s="1008">
        <f t="shared" si="5"/>
        <v>0</v>
      </c>
      <c r="AB58" s="1007" t="s">
        <v>238</v>
      </c>
      <c r="AC58" s="1008">
        <f t="shared" si="6"/>
        <v>0</v>
      </c>
      <c r="AD58" s="1007" t="s">
        <v>238</v>
      </c>
      <c r="AE58" s="1008">
        <f t="shared" si="7"/>
        <v>0</v>
      </c>
      <c r="AF58" s="1007" t="s">
        <v>238</v>
      </c>
      <c r="AG58" s="1008">
        <f t="shared" si="8"/>
        <v>0</v>
      </c>
      <c r="AH58" s="1007" t="s">
        <v>238</v>
      </c>
      <c r="AI58" s="1008">
        <f t="shared" si="9"/>
        <v>0</v>
      </c>
    </row>
    <row r="59" spans="11:35">
      <c r="K59" s="712"/>
      <c r="L59" s="833"/>
      <c r="M59" s="1006" t="s">
        <v>2110</v>
      </c>
      <c r="N59" s="1007" t="s">
        <v>2111</v>
      </c>
      <c r="O59" s="1008">
        <v>34</v>
      </c>
      <c r="P59" s="1007" t="s">
        <v>238</v>
      </c>
      <c r="Q59" s="1008">
        <f t="shared" si="0"/>
        <v>0</v>
      </c>
      <c r="R59" s="1007" t="s">
        <v>238</v>
      </c>
      <c r="S59" s="1008">
        <f t="shared" si="1"/>
        <v>0</v>
      </c>
      <c r="T59" s="1007" t="s">
        <v>238</v>
      </c>
      <c r="U59" s="1008">
        <f t="shared" si="2"/>
        <v>0</v>
      </c>
      <c r="V59" s="1007" t="s">
        <v>238</v>
      </c>
      <c r="W59" s="1008">
        <f t="shared" si="3"/>
        <v>0</v>
      </c>
      <c r="X59" s="1007">
        <v>1</v>
      </c>
      <c r="Y59" s="1008">
        <f t="shared" si="4"/>
        <v>34</v>
      </c>
      <c r="Z59" s="1007" t="s">
        <v>238</v>
      </c>
      <c r="AA59" s="1008">
        <f t="shared" si="5"/>
        <v>0</v>
      </c>
      <c r="AB59" s="1007" t="s">
        <v>238</v>
      </c>
      <c r="AC59" s="1008">
        <f t="shared" si="6"/>
        <v>0</v>
      </c>
      <c r="AD59" s="1007" t="s">
        <v>238</v>
      </c>
      <c r="AE59" s="1008">
        <f t="shared" si="7"/>
        <v>0</v>
      </c>
      <c r="AF59" s="1007" t="s">
        <v>238</v>
      </c>
      <c r="AG59" s="1008">
        <f t="shared" si="8"/>
        <v>0</v>
      </c>
      <c r="AH59" s="1007" t="s">
        <v>238</v>
      </c>
      <c r="AI59" s="1008">
        <f t="shared" si="9"/>
        <v>0</v>
      </c>
    </row>
    <row r="60" spans="11:35" ht="16">
      <c r="K60" s="712"/>
      <c r="L60" s="833"/>
      <c r="M60" s="1012" t="s">
        <v>2112</v>
      </c>
      <c r="N60" s="1007">
        <v>1544</v>
      </c>
      <c r="O60" s="1008">
        <v>34</v>
      </c>
      <c r="P60" s="1007" t="s">
        <v>238</v>
      </c>
      <c r="Q60" s="1008">
        <f t="shared" si="0"/>
        <v>0</v>
      </c>
      <c r="R60" s="1007" t="s">
        <v>238</v>
      </c>
      <c r="S60" s="1008">
        <f t="shared" si="1"/>
        <v>0</v>
      </c>
      <c r="T60" s="1007" t="s">
        <v>238</v>
      </c>
      <c r="U60" s="1008">
        <f t="shared" si="2"/>
        <v>0</v>
      </c>
      <c r="V60" s="1007" t="s">
        <v>238</v>
      </c>
      <c r="W60" s="1008">
        <f t="shared" si="3"/>
        <v>0</v>
      </c>
      <c r="X60" s="1007" t="s">
        <v>238</v>
      </c>
      <c r="Y60" s="1008">
        <f t="shared" si="4"/>
        <v>0</v>
      </c>
      <c r="Z60" s="1007" t="s">
        <v>238</v>
      </c>
      <c r="AA60" s="1008">
        <f t="shared" si="5"/>
        <v>0</v>
      </c>
      <c r="AB60" s="1007">
        <v>1</v>
      </c>
      <c r="AC60" s="1008">
        <f t="shared" si="6"/>
        <v>34</v>
      </c>
      <c r="AD60" s="1007" t="s">
        <v>238</v>
      </c>
      <c r="AE60" s="1008">
        <f t="shared" si="7"/>
        <v>0</v>
      </c>
      <c r="AF60" s="1007" t="s">
        <v>238</v>
      </c>
      <c r="AG60" s="1008">
        <f t="shared" si="8"/>
        <v>0</v>
      </c>
      <c r="AH60" s="1007" t="s">
        <v>238</v>
      </c>
      <c r="AI60" s="1008">
        <f t="shared" si="9"/>
        <v>0</v>
      </c>
    </row>
    <row r="61" spans="11:35">
      <c r="K61" s="712"/>
      <c r="L61" s="833"/>
      <c r="M61" s="1006" t="s">
        <v>2113</v>
      </c>
      <c r="N61" s="1007">
        <v>1543</v>
      </c>
      <c r="O61" s="1008">
        <v>9</v>
      </c>
      <c r="P61" s="1007" t="s">
        <v>238</v>
      </c>
      <c r="Q61" s="1008">
        <f t="shared" si="0"/>
        <v>0</v>
      </c>
      <c r="R61" s="1007" t="s">
        <v>238</v>
      </c>
      <c r="S61" s="1008">
        <f t="shared" si="1"/>
        <v>0</v>
      </c>
      <c r="T61" s="1007" t="s">
        <v>238</v>
      </c>
      <c r="U61" s="1008">
        <f t="shared" si="2"/>
        <v>0</v>
      </c>
      <c r="V61" s="1007" t="s">
        <v>238</v>
      </c>
      <c r="W61" s="1008">
        <f t="shared" si="3"/>
        <v>0</v>
      </c>
      <c r="X61" s="1007" t="s">
        <v>238</v>
      </c>
      <c r="Y61" s="1008">
        <f t="shared" si="4"/>
        <v>0</v>
      </c>
      <c r="Z61" s="1007" t="s">
        <v>238</v>
      </c>
      <c r="AA61" s="1008">
        <f t="shared" si="5"/>
        <v>0</v>
      </c>
      <c r="AB61" s="1007" t="s">
        <v>238</v>
      </c>
      <c r="AC61" s="1008">
        <f t="shared" si="6"/>
        <v>0</v>
      </c>
      <c r="AD61" s="1007" t="s">
        <v>238</v>
      </c>
      <c r="AE61" s="1008">
        <f t="shared" si="7"/>
        <v>0</v>
      </c>
      <c r="AF61" s="1007" t="s">
        <v>238</v>
      </c>
      <c r="AG61" s="1008">
        <f t="shared" si="8"/>
        <v>0</v>
      </c>
      <c r="AH61" s="1007" t="s">
        <v>238</v>
      </c>
      <c r="AI61" s="1008">
        <f t="shared" si="9"/>
        <v>0</v>
      </c>
    </row>
    <row r="62" spans="11:35">
      <c r="K62" s="712"/>
      <c r="L62" s="833"/>
      <c r="M62" s="1006" t="s">
        <v>2114</v>
      </c>
      <c r="N62" s="1007">
        <v>1050</v>
      </c>
      <c r="O62" s="1008">
        <v>59</v>
      </c>
      <c r="P62" s="1007" t="s">
        <v>238</v>
      </c>
      <c r="Q62" s="1008">
        <f t="shared" si="0"/>
        <v>0</v>
      </c>
      <c r="R62" s="1007" t="s">
        <v>238</v>
      </c>
      <c r="S62" s="1008">
        <f t="shared" si="1"/>
        <v>0</v>
      </c>
      <c r="T62" s="1007" t="s">
        <v>238</v>
      </c>
      <c r="U62" s="1008">
        <f t="shared" si="2"/>
        <v>0</v>
      </c>
      <c r="V62" s="1007" t="s">
        <v>238</v>
      </c>
      <c r="W62" s="1008">
        <f t="shared" si="3"/>
        <v>0</v>
      </c>
      <c r="X62" s="1007" t="s">
        <v>238</v>
      </c>
      <c r="Y62" s="1008">
        <f t="shared" si="4"/>
        <v>0</v>
      </c>
      <c r="Z62" s="1007" t="s">
        <v>238</v>
      </c>
      <c r="AA62" s="1008">
        <f t="shared" si="5"/>
        <v>0</v>
      </c>
      <c r="AB62" s="1007" t="s">
        <v>238</v>
      </c>
      <c r="AC62" s="1008">
        <f t="shared" si="6"/>
        <v>0</v>
      </c>
      <c r="AD62" s="1007" t="s">
        <v>238</v>
      </c>
      <c r="AE62" s="1008">
        <f t="shared" si="7"/>
        <v>0</v>
      </c>
      <c r="AF62" s="1007" t="s">
        <v>238</v>
      </c>
      <c r="AG62" s="1008">
        <f t="shared" si="8"/>
        <v>0</v>
      </c>
      <c r="AH62" s="1007" t="s">
        <v>238</v>
      </c>
      <c r="AI62" s="1008">
        <f t="shared" si="9"/>
        <v>0</v>
      </c>
    </row>
    <row r="63" spans="11:35" ht="16">
      <c r="K63" s="712"/>
      <c r="L63" s="833"/>
      <c r="M63" s="1012" t="s">
        <v>2115</v>
      </c>
      <c r="N63" s="1007">
        <v>1041</v>
      </c>
      <c r="O63" s="1008">
        <v>78</v>
      </c>
      <c r="P63" s="1007" t="s">
        <v>238</v>
      </c>
      <c r="Q63" s="1008">
        <f t="shared" si="0"/>
        <v>0</v>
      </c>
      <c r="R63" s="1007" t="s">
        <v>238</v>
      </c>
      <c r="S63" s="1008">
        <f t="shared" si="1"/>
        <v>0</v>
      </c>
      <c r="T63" s="1007" t="s">
        <v>238</v>
      </c>
      <c r="U63" s="1008">
        <f t="shared" si="2"/>
        <v>0</v>
      </c>
      <c r="V63" s="1007" t="s">
        <v>238</v>
      </c>
      <c r="W63" s="1008">
        <f t="shared" si="3"/>
        <v>0</v>
      </c>
      <c r="X63" s="1007" t="s">
        <v>238</v>
      </c>
      <c r="Y63" s="1008">
        <f t="shared" si="4"/>
        <v>0</v>
      </c>
      <c r="Z63" s="1007" t="s">
        <v>238</v>
      </c>
      <c r="AA63" s="1008">
        <f t="shared" si="5"/>
        <v>0</v>
      </c>
      <c r="AB63" s="1007" t="s">
        <v>238</v>
      </c>
      <c r="AC63" s="1008">
        <f t="shared" si="6"/>
        <v>0</v>
      </c>
      <c r="AD63" s="1007" t="s">
        <v>238</v>
      </c>
      <c r="AE63" s="1008">
        <f t="shared" si="7"/>
        <v>0</v>
      </c>
      <c r="AF63" s="1007" t="s">
        <v>238</v>
      </c>
      <c r="AG63" s="1008">
        <f t="shared" si="8"/>
        <v>0</v>
      </c>
      <c r="AH63" s="1007" t="s">
        <v>238</v>
      </c>
      <c r="AI63" s="1008">
        <f t="shared" si="9"/>
        <v>0</v>
      </c>
    </row>
    <row r="64" spans="11:35">
      <c r="K64" s="712"/>
      <c r="L64" s="833"/>
      <c r="M64" s="1006" t="s">
        <v>2116</v>
      </c>
      <c r="N64" s="1007"/>
      <c r="O64" s="1008"/>
      <c r="P64" s="1007" t="s">
        <v>238</v>
      </c>
      <c r="Q64" s="1008">
        <f t="shared" si="0"/>
        <v>0</v>
      </c>
      <c r="R64" s="1007" t="s">
        <v>238</v>
      </c>
      <c r="S64" s="1008">
        <f t="shared" si="1"/>
        <v>0</v>
      </c>
      <c r="T64" s="1007" t="s">
        <v>238</v>
      </c>
      <c r="U64" s="1008">
        <f t="shared" si="2"/>
        <v>0</v>
      </c>
      <c r="V64" s="1007" t="s">
        <v>238</v>
      </c>
      <c r="W64" s="1008">
        <f t="shared" si="3"/>
        <v>0</v>
      </c>
      <c r="X64" s="1007" t="s">
        <v>238</v>
      </c>
      <c r="Y64" s="1008">
        <f t="shared" si="4"/>
        <v>0</v>
      </c>
      <c r="Z64" s="1007" t="s">
        <v>238</v>
      </c>
      <c r="AA64" s="1008">
        <f t="shared" si="5"/>
        <v>0</v>
      </c>
      <c r="AB64" s="1007">
        <v>1</v>
      </c>
      <c r="AC64" s="1008">
        <f t="shared" si="6"/>
        <v>0</v>
      </c>
      <c r="AD64" s="1007" t="s">
        <v>238</v>
      </c>
      <c r="AE64" s="1008">
        <f t="shared" si="7"/>
        <v>0</v>
      </c>
      <c r="AF64" s="1007" t="s">
        <v>238</v>
      </c>
      <c r="AG64" s="1008">
        <f t="shared" si="8"/>
        <v>0</v>
      </c>
      <c r="AH64" s="1007" t="s">
        <v>238</v>
      </c>
      <c r="AI64" s="1008">
        <f t="shared" si="9"/>
        <v>0</v>
      </c>
    </row>
    <row r="65" spans="11:35">
      <c r="K65" s="712"/>
      <c r="L65" s="833"/>
      <c r="M65" s="1006" t="s">
        <v>2117</v>
      </c>
      <c r="N65" s="1007" t="s">
        <v>2118</v>
      </c>
      <c r="O65" s="1008">
        <v>950</v>
      </c>
      <c r="P65" s="1007" t="s">
        <v>238</v>
      </c>
      <c r="Q65" s="1008">
        <f t="shared" si="0"/>
        <v>0</v>
      </c>
      <c r="R65" s="1007" t="s">
        <v>238</v>
      </c>
      <c r="S65" s="1008">
        <f t="shared" si="1"/>
        <v>0</v>
      </c>
      <c r="T65" s="1007" t="s">
        <v>238</v>
      </c>
      <c r="U65" s="1008">
        <f t="shared" si="2"/>
        <v>0</v>
      </c>
      <c r="V65" s="1007" t="s">
        <v>238</v>
      </c>
      <c r="W65" s="1008">
        <f t="shared" si="3"/>
        <v>0</v>
      </c>
      <c r="X65" s="1007" t="s">
        <v>238</v>
      </c>
      <c r="Y65" s="1008">
        <f t="shared" si="4"/>
        <v>0</v>
      </c>
      <c r="Z65" s="1007" t="s">
        <v>238</v>
      </c>
      <c r="AA65" s="1008">
        <f t="shared" si="5"/>
        <v>0</v>
      </c>
      <c r="AB65" s="1007">
        <v>1</v>
      </c>
      <c r="AC65" s="1008">
        <f t="shared" si="6"/>
        <v>950</v>
      </c>
      <c r="AD65" s="1007" t="s">
        <v>238</v>
      </c>
      <c r="AE65" s="1008">
        <f t="shared" si="7"/>
        <v>0</v>
      </c>
      <c r="AF65" s="1007" t="s">
        <v>238</v>
      </c>
      <c r="AG65" s="1008">
        <f t="shared" si="8"/>
        <v>0</v>
      </c>
      <c r="AH65" s="1007" t="s">
        <v>238</v>
      </c>
      <c r="AI65" s="1008">
        <f t="shared" si="9"/>
        <v>0</v>
      </c>
    </row>
    <row r="66" spans="11:35" ht="16">
      <c r="K66" s="712"/>
      <c r="L66" s="833"/>
      <c r="M66" s="1012" t="s">
        <v>2119</v>
      </c>
      <c r="N66" s="1007"/>
      <c r="O66" s="1008"/>
      <c r="P66" s="1007" t="s">
        <v>238</v>
      </c>
      <c r="Q66" s="1008">
        <f t="shared" si="0"/>
        <v>0</v>
      </c>
      <c r="R66" s="1007" t="s">
        <v>238</v>
      </c>
      <c r="S66" s="1008">
        <f t="shared" si="1"/>
        <v>0</v>
      </c>
      <c r="T66" s="1007" t="s">
        <v>238</v>
      </c>
      <c r="U66" s="1008">
        <f t="shared" si="2"/>
        <v>0</v>
      </c>
      <c r="V66" s="1007" t="s">
        <v>238</v>
      </c>
      <c r="W66" s="1008">
        <f t="shared" si="3"/>
        <v>0</v>
      </c>
      <c r="X66" s="1007" t="s">
        <v>238</v>
      </c>
      <c r="Y66" s="1008">
        <f t="shared" si="4"/>
        <v>0</v>
      </c>
      <c r="Z66" s="1007" t="s">
        <v>238</v>
      </c>
      <c r="AA66" s="1008">
        <f t="shared" si="5"/>
        <v>0</v>
      </c>
      <c r="AB66" s="1007" t="s">
        <v>238</v>
      </c>
      <c r="AC66" s="1008">
        <f t="shared" si="6"/>
        <v>0</v>
      </c>
      <c r="AD66" s="1007" t="s">
        <v>238</v>
      </c>
      <c r="AE66" s="1008">
        <f t="shared" si="7"/>
        <v>0</v>
      </c>
      <c r="AF66" s="1007">
        <v>1</v>
      </c>
      <c r="AG66" s="1008">
        <f t="shared" si="8"/>
        <v>0</v>
      </c>
      <c r="AH66" s="1007" t="s">
        <v>238</v>
      </c>
      <c r="AI66" s="1008">
        <f t="shared" si="9"/>
        <v>0</v>
      </c>
    </row>
    <row r="67" spans="11:35">
      <c r="K67" s="712"/>
      <c r="L67" s="833"/>
      <c r="M67" s="1006" t="s">
        <v>2120</v>
      </c>
      <c r="N67" s="1007"/>
      <c r="O67" s="1008"/>
      <c r="P67" s="1007" t="s">
        <v>238</v>
      </c>
      <c r="Q67" s="1008">
        <f t="shared" si="0"/>
        <v>0</v>
      </c>
      <c r="R67" s="1007" t="s">
        <v>238</v>
      </c>
      <c r="S67" s="1008">
        <f t="shared" si="1"/>
        <v>0</v>
      </c>
      <c r="T67" s="1007" t="s">
        <v>238</v>
      </c>
      <c r="U67" s="1008">
        <f t="shared" si="2"/>
        <v>0</v>
      </c>
      <c r="V67" s="1007" t="s">
        <v>238</v>
      </c>
      <c r="W67" s="1008">
        <f t="shared" si="3"/>
        <v>0</v>
      </c>
      <c r="X67" s="1007" t="s">
        <v>238</v>
      </c>
      <c r="Y67" s="1008">
        <f t="shared" si="4"/>
        <v>0</v>
      </c>
      <c r="Z67" s="1007" t="s">
        <v>238</v>
      </c>
      <c r="AA67" s="1008">
        <f t="shared" si="5"/>
        <v>0</v>
      </c>
      <c r="AB67" s="1007" t="s">
        <v>238</v>
      </c>
      <c r="AC67" s="1008">
        <f t="shared" si="6"/>
        <v>0</v>
      </c>
      <c r="AD67" s="1007" t="s">
        <v>238</v>
      </c>
      <c r="AE67" s="1008">
        <f t="shared" si="7"/>
        <v>0</v>
      </c>
      <c r="AF67" s="1007" t="s">
        <v>238</v>
      </c>
      <c r="AG67" s="1008">
        <f t="shared" si="8"/>
        <v>0</v>
      </c>
      <c r="AH67" s="1007" t="s">
        <v>238</v>
      </c>
      <c r="AI67" s="1008">
        <f t="shared" si="9"/>
        <v>0</v>
      </c>
    </row>
    <row r="68" spans="11:35">
      <c r="K68" s="712"/>
      <c r="L68" s="833"/>
      <c r="M68" s="1006" t="s">
        <v>2121</v>
      </c>
      <c r="N68" s="1007"/>
      <c r="O68" s="1008"/>
      <c r="P68" s="1007" t="s">
        <v>238</v>
      </c>
      <c r="Q68" s="1008">
        <f t="shared" si="0"/>
        <v>0</v>
      </c>
      <c r="R68" s="1007" t="s">
        <v>238</v>
      </c>
      <c r="S68" s="1008">
        <f t="shared" si="1"/>
        <v>0</v>
      </c>
      <c r="T68" s="1007" t="s">
        <v>238</v>
      </c>
      <c r="U68" s="1008">
        <f t="shared" si="2"/>
        <v>0</v>
      </c>
      <c r="V68" s="1007" t="s">
        <v>238</v>
      </c>
      <c r="W68" s="1008">
        <f t="shared" si="3"/>
        <v>0</v>
      </c>
      <c r="X68" s="1007" t="s">
        <v>238</v>
      </c>
      <c r="Y68" s="1008">
        <f t="shared" si="4"/>
        <v>0</v>
      </c>
      <c r="Z68" s="1007" t="s">
        <v>238</v>
      </c>
      <c r="AA68" s="1008">
        <f t="shared" si="5"/>
        <v>0</v>
      </c>
      <c r="AB68" s="1007" t="s">
        <v>238</v>
      </c>
      <c r="AC68" s="1008">
        <f t="shared" si="6"/>
        <v>0</v>
      </c>
      <c r="AD68" s="1007" t="s">
        <v>238</v>
      </c>
      <c r="AE68" s="1008">
        <f t="shared" si="7"/>
        <v>0</v>
      </c>
      <c r="AF68" s="1007" t="s">
        <v>238</v>
      </c>
      <c r="AG68" s="1008">
        <f t="shared" si="8"/>
        <v>0</v>
      </c>
      <c r="AH68" s="1007" t="s">
        <v>238</v>
      </c>
      <c r="AI68" s="1008">
        <f t="shared" si="9"/>
        <v>0</v>
      </c>
    </row>
    <row r="69" spans="11:35">
      <c r="K69" s="712"/>
      <c r="L69" s="833"/>
      <c r="M69" s="1006" t="s">
        <v>2122</v>
      </c>
      <c r="N69" s="1007"/>
      <c r="O69" s="1008"/>
      <c r="P69" s="1007" t="s">
        <v>238</v>
      </c>
      <c r="Q69" s="1008">
        <f t="shared" si="0"/>
        <v>0</v>
      </c>
      <c r="R69" s="1007" t="s">
        <v>238</v>
      </c>
      <c r="S69" s="1008">
        <f t="shared" si="1"/>
        <v>0</v>
      </c>
      <c r="T69" s="1007" t="s">
        <v>238</v>
      </c>
      <c r="U69" s="1008">
        <f t="shared" si="2"/>
        <v>0</v>
      </c>
      <c r="V69" s="1007" t="s">
        <v>238</v>
      </c>
      <c r="W69" s="1008">
        <f t="shared" si="3"/>
        <v>0</v>
      </c>
      <c r="X69" s="1007" t="s">
        <v>238</v>
      </c>
      <c r="Y69" s="1008">
        <f t="shared" si="4"/>
        <v>0</v>
      </c>
      <c r="Z69" s="1007" t="s">
        <v>238</v>
      </c>
      <c r="AA69" s="1008">
        <f t="shared" si="5"/>
        <v>0</v>
      </c>
      <c r="AB69" s="1007" t="s">
        <v>238</v>
      </c>
      <c r="AC69" s="1008">
        <f t="shared" si="6"/>
        <v>0</v>
      </c>
      <c r="AD69" s="1007" t="s">
        <v>238</v>
      </c>
      <c r="AE69" s="1008">
        <f t="shared" si="7"/>
        <v>0</v>
      </c>
      <c r="AF69" s="1007">
        <v>1</v>
      </c>
      <c r="AG69" s="1008">
        <f t="shared" si="8"/>
        <v>0</v>
      </c>
      <c r="AH69" s="1007" t="s">
        <v>238</v>
      </c>
      <c r="AI69" s="1008">
        <f t="shared" si="9"/>
        <v>0</v>
      </c>
    </row>
    <row r="70" spans="11:35">
      <c r="K70" s="712"/>
      <c r="L70" s="833"/>
      <c r="M70" s="1006" t="s">
        <v>2123</v>
      </c>
      <c r="N70" s="1007"/>
      <c r="O70" s="1008"/>
      <c r="P70" s="1007" t="s">
        <v>238</v>
      </c>
      <c r="Q70" s="1008">
        <f t="shared" ref="Q70:Q90" si="10">IF(P70="x",0,P70*O70)</f>
        <v>0</v>
      </c>
      <c r="R70" s="1007" t="s">
        <v>238</v>
      </c>
      <c r="S70" s="1008">
        <f t="shared" ref="S70:S90" si="11">IF(R70="x",0,R70*O70)</f>
        <v>0</v>
      </c>
      <c r="T70" s="1007" t="s">
        <v>238</v>
      </c>
      <c r="U70" s="1008">
        <f t="shared" ref="U70:U90" si="12">IF(T70="x",0,T70*O70)</f>
        <v>0</v>
      </c>
      <c r="V70" s="1007" t="s">
        <v>238</v>
      </c>
      <c r="W70" s="1008">
        <f t="shared" ref="W70:W90" si="13">IF(V70="x",0,V70*O70)</f>
        <v>0</v>
      </c>
      <c r="X70" s="1007" t="s">
        <v>238</v>
      </c>
      <c r="Y70" s="1008">
        <f t="shared" ref="Y70:Y90" si="14">IF(X70="x",0,X70*O70)</f>
        <v>0</v>
      </c>
      <c r="Z70" s="1007" t="s">
        <v>238</v>
      </c>
      <c r="AA70" s="1008">
        <f t="shared" ref="AA70:AA90" si="15">IF(Z70="x",0,Z70*O70)</f>
        <v>0</v>
      </c>
      <c r="AB70" s="1007" t="s">
        <v>238</v>
      </c>
      <c r="AC70" s="1008">
        <f t="shared" ref="AC70:AC90" si="16">IF(AB70="x",0,AB70*O70)</f>
        <v>0</v>
      </c>
      <c r="AD70" s="1007" t="s">
        <v>238</v>
      </c>
      <c r="AE70" s="1008">
        <f t="shared" ref="AE70:AE90" si="17">IF(AD70="x",0,AD70*O70)</f>
        <v>0</v>
      </c>
      <c r="AF70" s="1007" t="s">
        <v>238</v>
      </c>
      <c r="AG70" s="1008">
        <f t="shared" ref="AG70:AG90" si="18">IF(AF70="x",0,AF70*O70)</f>
        <v>0</v>
      </c>
      <c r="AH70" s="1007" t="s">
        <v>238</v>
      </c>
      <c r="AI70" s="1008">
        <f t="shared" ref="AI70:AI90" si="19">IF(AH70="x",0,AH70*O70)</f>
        <v>0</v>
      </c>
    </row>
    <row r="71" spans="11:35">
      <c r="K71" s="991"/>
      <c r="L71" s="1022"/>
      <c r="M71" s="1006" t="s">
        <v>2124</v>
      </c>
      <c r="N71" s="1007">
        <v>505</v>
      </c>
      <c r="O71" s="1008">
        <v>90</v>
      </c>
      <c r="P71" s="1007" t="s">
        <v>238</v>
      </c>
      <c r="Q71" s="1008">
        <f t="shared" si="10"/>
        <v>0</v>
      </c>
      <c r="R71" s="1007" t="s">
        <v>238</v>
      </c>
      <c r="S71" s="1008">
        <f t="shared" si="11"/>
        <v>0</v>
      </c>
      <c r="T71" s="1007" t="s">
        <v>238</v>
      </c>
      <c r="U71" s="1008">
        <f t="shared" si="12"/>
        <v>0</v>
      </c>
      <c r="V71" s="1007" t="s">
        <v>238</v>
      </c>
      <c r="W71" s="1008">
        <f t="shared" si="13"/>
        <v>0</v>
      </c>
      <c r="X71" s="1007" t="s">
        <v>238</v>
      </c>
      <c r="Y71" s="1008">
        <f t="shared" si="14"/>
        <v>0</v>
      </c>
      <c r="Z71" s="1007" t="s">
        <v>238</v>
      </c>
      <c r="AA71" s="1008">
        <f t="shared" si="15"/>
        <v>0</v>
      </c>
      <c r="AB71" s="1007" t="s">
        <v>238</v>
      </c>
      <c r="AC71" s="1008">
        <f t="shared" si="16"/>
        <v>0</v>
      </c>
      <c r="AD71" s="1007" t="s">
        <v>238</v>
      </c>
      <c r="AE71" s="1008">
        <f t="shared" si="17"/>
        <v>0</v>
      </c>
      <c r="AF71" s="1007">
        <v>1</v>
      </c>
      <c r="AG71" s="1008">
        <f t="shared" si="18"/>
        <v>90</v>
      </c>
      <c r="AH71" s="1007" t="s">
        <v>238</v>
      </c>
      <c r="AI71" s="1008">
        <f t="shared" si="19"/>
        <v>0</v>
      </c>
    </row>
    <row r="72" spans="11:35">
      <c r="K72" s="712"/>
      <c r="L72" s="833"/>
      <c r="M72" s="1006" t="s">
        <v>2125</v>
      </c>
      <c r="N72" s="1007">
        <v>1719</v>
      </c>
      <c r="O72" s="1008">
        <v>69</v>
      </c>
      <c r="P72" s="1007" t="s">
        <v>238</v>
      </c>
      <c r="Q72" s="1008">
        <f t="shared" si="10"/>
        <v>0</v>
      </c>
      <c r="R72" s="1007" t="s">
        <v>238</v>
      </c>
      <c r="S72" s="1008">
        <f t="shared" si="11"/>
        <v>0</v>
      </c>
      <c r="T72" s="1007" t="s">
        <v>238</v>
      </c>
      <c r="U72" s="1008">
        <f t="shared" si="12"/>
        <v>0</v>
      </c>
      <c r="V72" s="1007" t="s">
        <v>238</v>
      </c>
      <c r="W72" s="1008">
        <f t="shared" si="13"/>
        <v>0</v>
      </c>
      <c r="X72" s="1007">
        <v>1</v>
      </c>
      <c r="Y72" s="1008">
        <f t="shared" si="14"/>
        <v>69</v>
      </c>
      <c r="Z72" s="1007">
        <v>1</v>
      </c>
      <c r="AA72" s="1008">
        <f t="shared" si="15"/>
        <v>69</v>
      </c>
      <c r="AB72" s="1007" t="s">
        <v>238</v>
      </c>
      <c r="AC72" s="1008">
        <f t="shared" si="16"/>
        <v>0</v>
      </c>
      <c r="AD72" s="1007" t="s">
        <v>238</v>
      </c>
      <c r="AE72" s="1008">
        <f t="shared" si="17"/>
        <v>0</v>
      </c>
      <c r="AF72" s="1007">
        <v>1</v>
      </c>
      <c r="AG72" s="1008">
        <f t="shared" si="18"/>
        <v>69</v>
      </c>
      <c r="AH72" s="1007" t="s">
        <v>238</v>
      </c>
      <c r="AI72" s="1008">
        <f t="shared" si="19"/>
        <v>0</v>
      </c>
    </row>
    <row r="73" spans="11:35">
      <c r="K73" s="712"/>
      <c r="L73" s="833"/>
      <c r="M73" s="1006" t="s">
        <v>2126</v>
      </c>
      <c r="N73" s="1007">
        <v>1717</v>
      </c>
      <c r="O73" s="1008">
        <v>69</v>
      </c>
      <c r="P73" s="1007" t="s">
        <v>238</v>
      </c>
      <c r="Q73" s="1008">
        <f t="shared" si="10"/>
        <v>0</v>
      </c>
      <c r="R73" s="1007" t="s">
        <v>238</v>
      </c>
      <c r="S73" s="1008">
        <f t="shared" si="11"/>
        <v>0</v>
      </c>
      <c r="T73" s="1007" t="s">
        <v>238</v>
      </c>
      <c r="U73" s="1008">
        <f t="shared" si="12"/>
        <v>0</v>
      </c>
      <c r="V73" s="1007" t="s">
        <v>238</v>
      </c>
      <c r="W73" s="1008">
        <f t="shared" si="13"/>
        <v>0</v>
      </c>
      <c r="X73" s="1007">
        <v>1</v>
      </c>
      <c r="Y73" s="1008">
        <f t="shared" si="14"/>
        <v>69</v>
      </c>
      <c r="Z73" s="1007">
        <v>1</v>
      </c>
      <c r="AA73" s="1008">
        <f t="shared" si="15"/>
        <v>69</v>
      </c>
      <c r="AB73" s="1007" t="s">
        <v>238</v>
      </c>
      <c r="AC73" s="1008">
        <f t="shared" si="16"/>
        <v>0</v>
      </c>
      <c r="AD73" s="1007" t="s">
        <v>238</v>
      </c>
      <c r="AE73" s="1008">
        <f t="shared" si="17"/>
        <v>0</v>
      </c>
      <c r="AF73" s="1007">
        <v>1</v>
      </c>
      <c r="AG73" s="1008">
        <f t="shared" si="18"/>
        <v>69</v>
      </c>
      <c r="AH73" s="1007" t="s">
        <v>238</v>
      </c>
      <c r="AI73" s="1008">
        <f t="shared" si="19"/>
        <v>0</v>
      </c>
    </row>
    <row r="74" spans="11:35">
      <c r="K74" s="712"/>
      <c r="L74" s="833"/>
      <c r="M74" s="1006" t="s">
        <v>2127</v>
      </c>
      <c r="N74" s="1007">
        <v>1713</v>
      </c>
      <c r="O74" s="1008">
        <v>67</v>
      </c>
      <c r="P74" s="1007" t="s">
        <v>238</v>
      </c>
      <c r="Q74" s="1008">
        <f t="shared" si="10"/>
        <v>0</v>
      </c>
      <c r="R74" s="1007" t="s">
        <v>238</v>
      </c>
      <c r="S74" s="1008">
        <f t="shared" si="11"/>
        <v>0</v>
      </c>
      <c r="T74" s="1007" t="s">
        <v>238</v>
      </c>
      <c r="U74" s="1008">
        <f t="shared" si="12"/>
        <v>0</v>
      </c>
      <c r="V74" s="1007" t="s">
        <v>238</v>
      </c>
      <c r="W74" s="1008">
        <f t="shared" si="13"/>
        <v>0</v>
      </c>
      <c r="X74" s="1007">
        <v>1</v>
      </c>
      <c r="Y74" s="1008">
        <f t="shared" si="14"/>
        <v>67</v>
      </c>
      <c r="Z74" s="1007">
        <v>1</v>
      </c>
      <c r="AA74" s="1008">
        <f t="shared" si="15"/>
        <v>67</v>
      </c>
      <c r="AB74" s="1007" t="s">
        <v>238</v>
      </c>
      <c r="AC74" s="1008">
        <f t="shared" si="16"/>
        <v>0</v>
      </c>
      <c r="AD74" s="1007" t="s">
        <v>238</v>
      </c>
      <c r="AE74" s="1008">
        <f t="shared" si="17"/>
        <v>0</v>
      </c>
      <c r="AF74" s="1007">
        <v>1</v>
      </c>
      <c r="AG74" s="1008">
        <f t="shared" si="18"/>
        <v>67</v>
      </c>
      <c r="AH74" s="1007" t="s">
        <v>238</v>
      </c>
      <c r="AI74" s="1008">
        <f t="shared" si="19"/>
        <v>0</v>
      </c>
    </row>
    <row r="75" spans="11:35">
      <c r="K75" s="712"/>
      <c r="L75" s="833"/>
      <c r="M75" s="1006" t="s">
        <v>2128</v>
      </c>
      <c r="N75" s="1007">
        <v>1712</v>
      </c>
      <c r="O75" s="1008">
        <v>70</v>
      </c>
      <c r="P75" s="1007" t="s">
        <v>238</v>
      </c>
      <c r="Q75" s="1008">
        <f t="shared" si="10"/>
        <v>0</v>
      </c>
      <c r="R75" s="1007" t="s">
        <v>238</v>
      </c>
      <c r="S75" s="1008">
        <f t="shared" si="11"/>
        <v>0</v>
      </c>
      <c r="T75" s="1007" t="s">
        <v>238</v>
      </c>
      <c r="U75" s="1008">
        <f t="shared" si="12"/>
        <v>0</v>
      </c>
      <c r="V75" s="1007" t="s">
        <v>238</v>
      </c>
      <c r="W75" s="1008">
        <f t="shared" si="13"/>
        <v>0</v>
      </c>
      <c r="X75" s="1007">
        <v>1</v>
      </c>
      <c r="Y75" s="1008">
        <f t="shared" si="14"/>
        <v>70</v>
      </c>
      <c r="Z75" s="1007">
        <v>1</v>
      </c>
      <c r="AA75" s="1008">
        <f t="shared" si="15"/>
        <v>70</v>
      </c>
      <c r="AB75" s="1007" t="s">
        <v>238</v>
      </c>
      <c r="AC75" s="1008">
        <f t="shared" si="16"/>
        <v>0</v>
      </c>
      <c r="AD75" s="1007" t="s">
        <v>238</v>
      </c>
      <c r="AE75" s="1008">
        <f t="shared" si="17"/>
        <v>0</v>
      </c>
      <c r="AF75" s="1007">
        <v>1</v>
      </c>
      <c r="AG75" s="1008">
        <f t="shared" si="18"/>
        <v>70</v>
      </c>
      <c r="AH75" s="1007" t="s">
        <v>238</v>
      </c>
      <c r="AI75" s="1008">
        <f t="shared" si="19"/>
        <v>0</v>
      </c>
    </row>
    <row r="76" spans="11:35">
      <c r="K76" s="712"/>
      <c r="L76" s="833"/>
      <c r="M76" s="1006" t="s">
        <v>2129</v>
      </c>
      <c r="N76" s="1007" t="s">
        <v>2130</v>
      </c>
      <c r="O76" s="1008">
        <v>103</v>
      </c>
      <c r="P76" s="1007" t="s">
        <v>238</v>
      </c>
      <c r="Q76" s="1008">
        <f t="shared" si="10"/>
        <v>0</v>
      </c>
      <c r="R76" s="1007" t="s">
        <v>238</v>
      </c>
      <c r="S76" s="1008">
        <f t="shared" si="11"/>
        <v>0</v>
      </c>
      <c r="T76" s="1007" t="s">
        <v>238</v>
      </c>
      <c r="U76" s="1008">
        <f t="shared" si="12"/>
        <v>0</v>
      </c>
      <c r="V76" s="1007" t="s">
        <v>238</v>
      </c>
      <c r="W76" s="1008">
        <f t="shared" si="13"/>
        <v>0</v>
      </c>
      <c r="X76" s="1007">
        <v>1</v>
      </c>
      <c r="Y76" s="1008">
        <f t="shared" si="14"/>
        <v>103</v>
      </c>
      <c r="Z76" s="1007">
        <v>1</v>
      </c>
      <c r="AA76" s="1008">
        <f t="shared" si="15"/>
        <v>103</v>
      </c>
      <c r="AB76" s="1007" t="s">
        <v>238</v>
      </c>
      <c r="AC76" s="1008">
        <f t="shared" si="16"/>
        <v>0</v>
      </c>
      <c r="AD76" s="1007" t="s">
        <v>238</v>
      </c>
      <c r="AE76" s="1008">
        <f t="shared" si="17"/>
        <v>0</v>
      </c>
      <c r="AF76" s="1007" t="s">
        <v>238</v>
      </c>
      <c r="AG76" s="1008">
        <f t="shared" si="18"/>
        <v>0</v>
      </c>
      <c r="AH76" s="1007" t="s">
        <v>238</v>
      </c>
      <c r="AI76" s="1008">
        <f t="shared" si="19"/>
        <v>0</v>
      </c>
    </row>
    <row r="77" spans="11:35">
      <c r="K77" s="712"/>
      <c r="L77" s="833"/>
      <c r="M77" s="1006" t="s">
        <v>2131</v>
      </c>
      <c r="N77" s="1007" t="s">
        <v>2132</v>
      </c>
      <c r="O77" s="1008">
        <v>25</v>
      </c>
      <c r="P77" s="1007" t="s">
        <v>238</v>
      </c>
      <c r="Q77" s="1008">
        <f t="shared" si="10"/>
        <v>0</v>
      </c>
      <c r="R77" s="1007" t="s">
        <v>238</v>
      </c>
      <c r="S77" s="1008">
        <f t="shared" si="11"/>
        <v>0</v>
      </c>
      <c r="T77" s="1007" t="s">
        <v>238</v>
      </c>
      <c r="U77" s="1008">
        <f t="shared" si="12"/>
        <v>0</v>
      </c>
      <c r="V77" s="1007" t="s">
        <v>238</v>
      </c>
      <c r="W77" s="1008">
        <f t="shared" si="13"/>
        <v>0</v>
      </c>
      <c r="X77" s="1007">
        <v>1</v>
      </c>
      <c r="Y77" s="1008">
        <f t="shared" si="14"/>
        <v>25</v>
      </c>
      <c r="Z77" s="1007" t="s">
        <v>238</v>
      </c>
      <c r="AA77" s="1008">
        <f t="shared" si="15"/>
        <v>0</v>
      </c>
      <c r="AB77" s="1007" t="s">
        <v>238</v>
      </c>
      <c r="AC77" s="1008">
        <f t="shared" si="16"/>
        <v>0</v>
      </c>
      <c r="AD77" s="1007" t="s">
        <v>238</v>
      </c>
      <c r="AE77" s="1008">
        <f t="shared" si="17"/>
        <v>0</v>
      </c>
      <c r="AF77" s="1007" t="s">
        <v>238</v>
      </c>
      <c r="AG77" s="1008">
        <f t="shared" si="18"/>
        <v>0</v>
      </c>
      <c r="AH77" s="1007" t="s">
        <v>238</v>
      </c>
      <c r="AI77" s="1008">
        <f t="shared" si="19"/>
        <v>0</v>
      </c>
    </row>
    <row r="78" spans="11:35">
      <c r="K78" s="712"/>
      <c r="L78" s="833"/>
      <c r="M78" s="1006" t="s">
        <v>2133</v>
      </c>
      <c r="N78" s="1007">
        <v>1817</v>
      </c>
      <c r="O78" s="1008">
        <v>130</v>
      </c>
      <c r="P78" s="1007" t="s">
        <v>238</v>
      </c>
      <c r="Q78" s="1008">
        <f t="shared" si="10"/>
        <v>0</v>
      </c>
      <c r="R78" s="1007" t="s">
        <v>238</v>
      </c>
      <c r="S78" s="1008">
        <f t="shared" si="11"/>
        <v>0</v>
      </c>
      <c r="T78" s="1007" t="s">
        <v>238</v>
      </c>
      <c r="U78" s="1008">
        <f t="shared" si="12"/>
        <v>0</v>
      </c>
      <c r="V78" s="1007" t="s">
        <v>238</v>
      </c>
      <c r="W78" s="1008">
        <f t="shared" si="13"/>
        <v>0</v>
      </c>
      <c r="X78" s="1007">
        <v>1</v>
      </c>
      <c r="Y78" s="1016">
        <f t="shared" si="14"/>
        <v>130</v>
      </c>
      <c r="Z78" s="1007" t="s">
        <v>238</v>
      </c>
      <c r="AA78" s="1008">
        <f t="shared" si="15"/>
        <v>0</v>
      </c>
      <c r="AB78" s="1007" t="s">
        <v>238</v>
      </c>
      <c r="AC78" s="1008">
        <f t="shared" si="16"/>
        <v>0</v>
      </c>
      <c r="AD78" s="1007" t="s">
        <v>238</v>
      </c>
      <c r="AE78" s="1008">
        <f t="shared" si="17"/>
        <v>0</v>
      </c>
      <c r="AF78" s="1007" t="s">
        <v>238</v>
      </c>
      <c r="AG78" s="1008">
        <f t="shared" si="18"/>
        <v>0</v>
      </c>
      <c r="AH78" s="1007" t="s">
        <v>238</v>
      </c>
      <c r="AI78" s="1008">
        <f t="shared" si="19"/>
        <v>0</v>
      </c>
    </row>
    <row r="79" spans="11:35">
      <c r="K79" s="712"/>
      <c r="L79" s="833"/>
      <c r="M79" s="1006" t="s">
        <v>2134</v>
      </c>
      <c r="N79" s="1007">
        <v>1083</v>
      </c>
      <c r="O79" s="1008">
        <v>337</v>
      </c>
      <c r="P79" s="1007" t="s">
        <v>238</v>
      </c>
      <c r="Q79" s="1008">
        <f t="shared" si="10"/>
        <v>0</v>
      </c>
      <c r="R79" s="1007" t="s">
        <v>238</v>
      </c>
      <c r="S79" s="1008">
        <f t="shared" si="11"/>
        <v>0</v>
      </c>
      <c r="T79" s="1007" t="s">
        <v>238</v>
      </c>
      <c r="U79" s="1008">
        <f t="shared" si="12"/>
        <v>0</v>
      </c>
      <c r="V79" s="1007" t="s">
        <v>238</v>
      </c>
      <c r="W79" s="1008">
        <f t="shared" si="13"/>
        <v>0</v>
      </c>
      <c r="X79" s="1007" t="s">
        <v>238</v>
      </c>
      <c r="Y79" s="1008">
        <f t="shared" si="14"/>
        <v>0</v>
      </c>
      <c r="Z79" s="1007" t="s">
        <v>238</v>
      </c>
      <c r="AA79" s="1008">
        <f t="shared" si="15"/>
        <v>0</v>
      </c>
      <c r="AB79" s="1007">
        <v>1</v>
      </c>
      <c r="AC79" s="1008">
        <f t="shared" si="16"/>
        <v>337</v>
      </c>
      <c r="AD79" s="1007" t="s">
        <v>238</v>
      </c>
      <c r="AE79" s="1008">
        <f t="shared" si="17"/>
        <v>0</v>
      </c>
      <c r="AF79" s="1007" t="s">
        <v>238</v>
      </c>
      <c r="AG79" s="1008">
        <f t="shared" si="18"/>
        <v>0</v>
      </c>
      <c r="AH79" s="1007" t="s">
        <v>238</v>
      </c>
      <c r="AI79" s="1008">
        <f t="shared" si="19"/>
        <v>0</v>
      </c>
    </row>
    <row r="80" spans="11:35">
      <c r="K80" s="712"/>
      <c r="L80" s="833"/>
      <c r="M80" s="1006" t="s">
        <v>2135</v>
      </c>
      <c r="N80" s="1007" t="s">
        <v>2136</v>
      </c>
      <c r="O80" s="1008">
        <v>332</v>
      </c>
      <c r="P80" s="1007" t="s">
        <v>238</v>
      </c>
      <c r="Q80" s="1008">
        <f t="shared" si="10"/>
        <v>0</v>
      </c>
      <c r="R80" s="1007" t="s">
        <v>238</v>
      </c>
      <c r="S80" s="1008">
        <f t="shared" si="11"/>
        <v>0</v>
      </c>
      <c r="T80" s="1007" t="s">
        <v>238</v>
      </c>
      <c r="U80" s="1008">
        <f t="shared" si="12"/>
        <v>0</v>
      </c>
      <c r="V80" s="1007" t="s">
        <v>238</v>
      </c>
      <c r="W80" s="1008">
        <f t="shared" si="13"/>
        <v>0</v>
      </c>
      <c r="X80" s="1007" t="s">
        <v>238</v>
      </c>
      <c r="Y80" s="1008">
        <f t="shared" si="14"/>
        <v>0</v>
      </c>
      <c r="Z80" s="1007" t="s">
        <v>238</v>
      </c>
      <c r="AA80" s="1008">
        <f t="shared" si="15"/>
        <v>0</v>
      </c>
      <c r="AB80" s="1007">
        <v>1</v>
      </c>
      <c r="AC80" s="1008">
        <f t="shared" si="16"/>
        <v>332</v>
      </c>
      <c r="AD80" s="1007" t="s">
        <v>238</v>
      </c>
      <c r="AE80" s="1008">
        <f t="shared" si="17"/>
        <v>0</v>
      </c>
      <c r="AF80" s="1007" t="s">
        <v>238</v>
      </c>
      <c r="AG80" s="1008">
        <f t="shared" si="18"/>
        <v>0</v>
      </c>
      <c r="AH80" s="1007" t="s">
        <v>238</v>
      </c>
      <c r="AI80" s="1008">
        <f t="shared" si="19"/>
        <v>0</v>
      </c>
    </row>
    <row r="81" spans="1:35">
      <c r="K81" s="712"/>
      <c r="L81" s="833"/>
      <c r="M81" s="1006" t="s">
        <v>2135</v>
      </c>
      <c r="N81" s="1007" t="s">
        <v>2136</v>
      </c>
      <c r="O81" s="1008">
        <v>332</v>
      </c>
      <c r="P81" s="1007" t="s">
        <v>238</v>
      </c>
      <c r="Q81" s="1008">
        <f t="shared" si="10"/>
        <v>0</v>
      </c>
      <c r="R81" s="1007" t="s">
        <v>238</v>
      </c>
      <c r="S81" s="1008">
        <f t="shared" si="11"/>
        <v>0</v>
      </c>
      <c r="T81" s="1007" t="s">
        <v>238</v>
      </c>
      <c r="U81" s="1008">
        <f t="shared" si="12"/>
        <v>0</v>
      </c>
      <c r="V81" s="1007" t="s">
        <v>238</v>
      </c>
      <c r="W81" s="1008">
        <f t="shared" si="13"/>
        <v>0</v>
      </c>
      <c r="X81" s="1007" t="s">
        <v>238</v>
      </c>
      <c r="Y81" s="1008">
        <f t="shared" si="14"/>
        <v>0</v>
      </c>
      <c r="Z81" s="1007" t="s">
        <v>238</v>
      </c>
      <c r="AA81" s="1008">
        <f t="shared" si="15"/>
        <v>0</v>
      </c>
      <c r="AB81" s="1007">
        <v>1</v>
      </c>
      <c r="AC81" s="1008">
        <f t="shared" si="16"/>
        <v>332</v>
      </c>
      <c r="AD81" s="1007" t="s">
        <v>238</v>
      </c>
      <c r="AE81" s="1008">
        <f t="shared" si="17"/>
        <v>0</v>
      </c>
      <c r="AF81" s="1007" t="s">
        <v>238</v>
      </c>
      <c r="AG81" s="1008">
        <f t="shared" si="18"/>
        <v>0</v>
      </c>
      <c r="AH81" s="1007" t="s">
        <v>238</v>
      </c>
      <c r="AI81" s="1008">
        <f t="shared" si="19"/>
        <v>0</v>
      </c>
    </row>
    <row r="82" spans="1:35">
      <c r="K82" s="712"/>
      <c r="L82" s="833"/>
      <c r="M82" s="1006" t="s">
        <v>2134</v>
      </c>
      <c r="N82" s="1007">
        <v>1083</v>
      </c>
      <c r="O82" s="1008">
        <v>337</v>
      </c>
      <c r="P82" s="1007" t="s">
        <v>238</v>
      </c>
      <c r="Q82" s="1008">
        <f t="shared" si="10"/>
        <v>0</v>
      </c>
      <c r="R82" s="1007" t="s">
        <v>238</v>
      </c>
      <c r="S82" s="1008">
        <f t="shared" si="11"/>
        <v>0</v>
      </c>
      <c r="T82" s="1007" t="s">
        <v>238</v>
      </c>
      <c r="U82" s="1008">
        <f t="shared" si="12"/>
        <v>0</v>
      </c>
      <c r="V82" s="1007" t="s">
        <v>238</v>
      </c>
      <c r="W82" s="1008">
        <f t="shared" si="13"/>
        <v>0</v>
      </c>
      <c r="X82" s="1007" t="s">
        <v>238</v>
      </c>
      <c r="Y82" s="1008">
        <f t="shared" si="14"/>
        <v>0</v>
      </c>
      <c r="Z82" s="1007" t="s">
        <v>238</v>
      </c>
      <c r="AA82" s="1008">
        <f t="shared" si="15"/>
        <v>0</v>
      </c>
      <c r="AB82" s="1007">
        <v>1</v>
      </c>
      <c r="AC82" s="1008">
        <f t="shared" si="16"/>
        <v>337</v>
      </c>
      <c r="AD82" s="1007" t="s">
        <v>238</v>
      </c>
      <c r="AE82" s="1008">
        <f t="shared" si="17"/>
        <v>0</v>
      </c>
      <c r="AF82" s="1007" t="s">
        <v>238</v>
      </c>
      <c r="AG82" s="1008">
        <f t="shared" si="18"/>
        <v>0</v>
      </c>
      <c r="AH82" s="1007" t="s">
        <v>238</v>
      </c>
      <c r="AI82" s="1008">
        <f t="shared" si="19"/>
        <v>0</v>
      </c>
    </row>
    <row r="83" spans="1:35">
      <c r="K83" s="712"/>
      <c r="L83" s="833"/>
      <c r="M83" s="1006" t="s">
        <v>2137</v>
      </c>
      <c r="N83" s="1007">
        <v>505</v>
      </c>
      <c r="O83" s="1008">
        <v>90</v>
      </c>
      <c r="P83" s="1007" t="s">
        <v>238</v>
      </c>
      <c r="Q83" s="1008">
        <f t="shared" si="10"/>
        <v>0</v>
      </c>
      <c r="R83" s="1007" t="s">
        <v>238</v>
      </c>
      <c r="S83" s="1008">
        <f t="shared" si="11"/>
        <v>0</v>
      </c>
      <c r="T83" s="1007" t="s">
        <v>238</v>
      </c>
      <c r="U83" s="1008">
        <f t="shared" si="12"/>
        <v>0</v>
      </c>
      <c r="V83" s="1007" t="s">
        <v>238</v>
      </c>
      <c r="W83" s="1008">
        <f t="shared" si="13"/>
        <v>0</v>
      </c>
      <c r="X83" s="1007" t="s">
        <v>238</v>
      </c>
      <c r="Y83" s="1008">
        <f t="shared" si="14"/>
        <v>0</v>
      </c>
      <c r="Z83" s="1007" t="s">
        <v>238</v>
      </c>
      <c r="AA83" s="1008">
        <f t="shared" si="15"/>
        <v>0</v>
      </c>
      <c r="AB83" s="1007" t="s">
        <v>238</v>
      </c>
      <c r="AC83" s="1008">
        <f t="shared" si="16"/>
        <v>0</v>
      </c>
      <c r="AD83" s="1007" t="s">
        <v>238</v>
      </c>
      <c r="AE83" s="1008">
        <f t="shared" si="17"/>
        <v>0</v>
      </c>
      <c r="AF83" s="1007">
        <v>1</v>
      </c>
      <c r="AG83" s="1008">
        <f t="shared" si="18"/>
        <v>90</v>
      </c>
      <c r="AH83" s="1007" t="s">
        <v>238</v>
      </c>
      <c r="AI83" s="1008">
        <f t="shared" si="19"/>
        <v>0</v>
      </c>
    </row>
    <row r="84" spans="1:35">
      <c r="K84" s="712"/>
      <c r="L84" s="833"/>
      <c r="M84" s="1006" t="s">
        <v>2138</v>
      </c>
      <c r="N84" s="1007">
        <v>504</v>
      </c>
      <c r="O84" s="1008">
        <v>140</v>
      </c>
      <c r="P84" s="1007" t="s">
        <v>238</v>
      </c>
      <c r="Q84" s="1008">
        <f t="shared" si="10"/>
        <v>0</v>
      </c>
      <c r="R84" s="1007" t="s">
        <v>238</v>
      </c>
      <c r="S84" s="1008">
        <f t="shared" si="11"/>
        <v>0</v>
      </c>
      <c r="T84" s="1007" t="s">
        <v>238</v>
      </c>
      <c r="U84" s="1008">
        <f t="shared" si="12"/>
        <v>0</v>
      </c>
      <c r="V84" s="1007" t="s">
        <v>238</v>
      </c>
      <c r="W84" s="1008">
        <f t="shared" si="13"/>
        <v>0</v>
      </c>
      <c r="X84" s="1007" t="s">
        <v>238</v>
      </c>
      <c r="Y84" s="1008">
        <f t="shared" si="14"/>
        <v>0</v>
      </c>
      <c r="Z84" s="1007" t="s">
        <v>238</v>
      </c>
      <c r="AA84" s="1008">
        <f t="shared" si="15"/>
        <v>0</v>
      </c>
      <c r="AB84" s="1007" t="s">
        <v>238</v>
      </c>
      <c r="AC84" s="1008">
        <f t="shared" si="16"/>
        <v>0</v>
      </c>
      <c r="AD84" s="1007" t="s">
        <v>238</v>
      </c>
      <c r="AE84" s="1008">
        <f t="shared" si="17"/>
        <v>0</v>
      </c>
      <c r="AF84" s="1007">
        <v>1</v>
      </c>
      <c r="AG84" s="1008">
        <f t="shared" si="18"/>
        <v>140</v>
      </c>
      <c r="AH84" s="1007" t="s">
        <v>238</v>
      </c>
      <c r="AI84" s="1008">
        <f t="shared" si="19"/>
        <v>0</v>
      </c>
    </row>
    <row r="85" spans="1:35">
      <c r="K85" s="712"/>
      <c r="L85" s="833"/>
      <c r="M85" s="1006" t="s">
        <v>2139</v>
      </c>
      <c r="N85" s="1007">
        <v>505</v>
      </c>
      <c r="O85" s="1008">
        <v>90</v>
      </c>
      <c r="P85" s="1007" t="s">
        <v>238</v>
      </c>
      <c r="Q85" s="1008">
        <f t="shared" si="10"/>
        <v>0</v>
      </c>
      <c r="R85" s="1007" t="s">
        <v>238</v>
      </c>
      <c r="S85" s="1008">
        <f t="shared" si="11"/>
        <v>0</v>
      </c>
      <c r="T85" s="1007" t="s">
        <v>238</v>
      </c>
      <c r="U85" s="1008">
        <f t="shared" si="12"/>
        <v>0</v>
      </c>
      <c r="V85" s="1007" t="s">
        <v>238</v>
      </c>
      <c r="W85" s="1008">
        <f t="shared" si="13"/>
        <v>0</v>
      </c>
      <c r="X85" s="1007" t="s">
        <v>238</v>
      </c>
      <c r="Y85" s="1008">
        <f t="shared" si="14"/>
        <v>0</v>
      </c>
      <c r="Z85" s="1007" t="s">
        <v>238</v>
      </c>
      <c r="AA85" s="1008">
        <f t="shared" si="15"/>
        <v>0</v>
      </c>
      <c r="AB85" s="1007" t="s">
        <v>238</v>
      </c>
      <c r="AC85" s="1008">
        <f t="shared" si="16"/>
        <v>0</v>
      </c>
      <c r="AD85" s="1007" t="s">
        <v>238</v>
      </c>
      <c r="AE85" s="1008">
        <f t="shared" si="17"/>
        <v>0</v>
      </c>
      <c r="AF85" s="1007">
        <v>3</v>
      </c>
      <c r="AG85" s="1008">
        <f t="shared" si="18"/>
        <v>270</v>
      </c>
      <c r="AH85" s="1007" t="s">
        <v>238</v>
      </c>
      <c r="AI85" s="1008">
        <f t="shared" si="19"/>
        <v>0</v>
      </c>
    </row>
    <row r="86" spans="1:35">
      <c r="K86" s="712"/>
      <c r="L86" s="833"/>
      <c r="M86" s="1006" t="s">
        <v>2140</v>
      </c>
      <c r="N86" s="1007">
        <v>504</v>
      </c>
      <c r="O86" s="1008">
        <v>140</v>
      </c>
      <c r="P86" s="1007" t="s">
        <v>238</v>
      </c>
      <c r="Q86" s="1008">
        <f t="shared" si="10"/>
        <v>0</v>
      </c>
      <c r="R86" s="1007" t="s">
        <v>238</v>
      </c>
      <c r="S86" s="1008">
        <f t="shared" si="11"/>
        <v>0</v>
      </c>
      <c r="T86" s="1007" t="s">
        <v>238</v>
      </c>
      <c r="U86" s="1008">
        <f t="shared" si="12"/>
        <v>0</v>
      </c>
      <c r="V86" s="1007" t="s">
        <v>238</v>
      </c>
      <c r="W86" s="1008">
        <f t="shared" si="13"/>
        <v>0</v>
      </c>
      <c r="X86" s="1007" t="s">
        <v>238</v>
      </c>
      <c r="Y86" s="1008">
        <f t="shared" si="14"/>
        <v>0</v>
      </c>
      <c r="Z86" s="1007" t="s">
        <v>238</v>
      </c>
      <c r="AA86" s="1008">
        <f t="shared" si="15"/>
        <v>0</v>
      </c>
      <c r="AB86" s="1007" t="s">
        <v>238</v>
      </c>
      <c r="AC86" s="1008">
        <f t="shared" si="16"/>
        <v>0</v>
      </c>
      <c r="AD86" s="1007" t="s">
        <v>238</v>
      </c>
      <c r="AE86" s="1008">
        <f t="shared" si="17"/>
        <v>0</v>
      </c>
      <c r="AF86" s="1007">
        <v>2</v>
      </c>
      <c r="AG86" s="1008">
        <f t="shared" si="18"/>
        <v>280</v>
      </c>
      <c r="AH86" s="1007" t="s">
        <v>238</v>
      </c>
      <c r="AI86" s="1008">
        <f t="shared" si="19"/>
        <v>0</v>
      </c>
    </row>
    <row r="87" spans="1:35">
      <c r="K87" s="712"/>
      <c r="L87" s="833"/>
      <c r="M87" s="1006" t="s">
        <v>2141</v>
      </c>
      <c r="N87" s="1007" t="s">
        <v>2142</v>
      </c>
      <c r="O87" s="1008">
        <v>117</v>
      </c>
      <c r="P87" s="1007" t="s">
        <v>238</v>
      </c>
      <c r="Q87" s="1008">
        <f t="shared" si="10"/>
        <v>0</v>
      </c>
      <c r="R87" s="1007" t="s">
        <v>238</v>
      </c>
      <c r="S87" s="1008">
        <f t="shared" si="11"/>
        <v>0</v>
      </c>
      <c r="T87" s="1007" t="s">
        <v>238</v>
      </c>
      <c r="U87" s="1008">
        <f t="shared" si="12"/>
        <v>0</v>
      </c>
      <c r="V87" s="1007" t="s">
        <v>238</v>
      </c>
      <c r="W87" s="1008">
        <f t="shared" si="13"/>
        <v>0</v>
      </c>
      <c r="X87" s="1007" t="s">
        <v>238</v>
      </c>
      <c r="Y87" s="1008">
        <f t="shared" si="14"/>
        <v>0</v>
      </c>
      <c r="Z87" s="1007" t="s">
        <v>238</v>
      </c>
      <c r="AA87" s="1008">
        <f t="shared" si="15"/>
        <v>0</v>
      </c>
      <c r="AB87" s="1007" t="s">
        <v>238</v>
      </c>
      <c r="AC87" s="1008">
        <f t="shared" si="16"/>
        <v>0</v>
      </c>
      <c r="AD87" s="1007" t="s">
        <v>238</v>
      </c>
      <c r="AE87" s="1008">
        <f t="shared" si="17"/>
        <v>0</v>
      </c>
      <c r="AF87" s="1007">
        <v>1</v>
      </c>
      <c r="AG87" s="1008">
        <f t="shared" si="18"/>
        <v>117</v>
      </c>
      <c r="AH87" s="1007" t="s">
        <v>238</v>
      </c>
      <c r="AI87" s="1008">
        <f t="shared" si="19"/>
        <v>0</v>
      </c>
    </row>
    <row r="88" spans="1:35">
      <c r="K88" s="712"/>
      <c r="L88" s="833"/>
      <c r="M88" s="1006" t="s">
        <v>2143</v>
      </c>
      <c r="N88" s="1007">
        <v>2127</v>
      </c>
      <c r="O88" s="1008">
        <v>40</v>
      </c>
      <c r="P88" s="1007" t="s">
        <v>238</v>
      </c>
      <c r="Q88" s="1008">
        <f t="shared" si="10"/>
        <v>0</v>
      </c>
      <c r="R88" s="1007" t="s">
        <v>238</v>
      </c>
      <c r="S88" s="1008">
        <f t="shared" si="11"/>
        <v>0</v>
      </c>
      <c r="T88" s="1007" t="s">
        <v>238</v>
      </c>
      <c r="U88" s="1008">
        <f t="shared" si="12"/>
        <v>0</v>
      </c>
      <c r="V88" s="1007" t="s">
        <v>238</v>
      </c>
      <c r="W88" s="1008">
        <f t="shared" si="13"/>
        <v>0</v>
      </c>
      <c r="X88" s="1007" t="s">
        <v>238</v>
      </c>
      <c r="Y88" s="1008">
        <f t="shared" si="14"/>
        <v>0</v>
      </c>
      <c r="Z88" s="1007" t="s">
        <v>238</v>
      </c>
      <c r="AA88" s="1008">
        <f t="shared" si="15"/>
        <v>0</v>
      </c>
      <c r="AB88" s="1007" t="s">
        <v>238</v>
      </c>
      <c r="AC88" s="1008">
        <f t="shared" si="16"/>
        <v>0</v>
      </c>
      <c r="AD88" s="1007" t="s">
        <v>238</v>
      </c>
      <c r="AE88" s="1008">
        <f t="shared" si="17"/>
        <v>0</v>
      </c>
      <c r="AF88" s="1007">
        <v>1</v>
      </c>
      <c r="AG88" s="1008">
        <f t="shared" si="18"/>
        <v>40</v>
      </c>
      <c r="AH88" s="1007" t="s">
        <v>238</v>
      </c>
      <c r="AI88" s="1008">
        <f t="shared" si="19"/>
        <v>0</v>
      </c>
    </row>
    <row r="89" spans="1:35">
      <c r="K89" s="712"/>
      <c r="L89" s="833"/>
      <c r="M89" s="1006" t="s">
        <v>2144</v>
      </c>
      <c r="N89" s="1007" t="s">
        <v>2130</v>
      </c>
      <c r="O89" s="1008">
        <v>103</v>
      </c>
      <c r="P89" s="1007" t="s">
        <v>238</v>
      </c>
      <c r="Q89" s="1008">
        <f t="shared" si="10"/>
        <v>0</v>
      </c>
      <c r="R89" s="1007" t="s">
        <v>238</v>
      </c>
      <c r="S89" s="1008">
        <f t="shared" si="11"/>
        <v>0</v>
      </c>
      <c r="T89" s="1007" t="s">
        <v>238</v>
      </c>
      <c r="U89" s="1008">
        <f t="shared" si="12"/>
        <v>0</v>
      </c>
      <c r="V89" s="1007" t="s">
        <v>238</v>
      </c>
      <c r="W89" s="1008">
        <f t="shared" si="13"/>
        <v>0</v>
      </c>
      <c r="X89" s="1007" t="s">
        <v>238</v>
      </c>
      <c r="Y89" s="1008">
        <f t="shared" si="14"/>
        <v>0</v>
      </c>
      <c r="Z89" s="1007" t="s">
        <v>238</v>
      </c>
      <c r="AA89" s="1008">
        <f t="shared" si="15"/>
        <v>0</v>
      </c>
      <c r="AB89" s="1007" t="s">
        <v>238</v>
      </c>
      <c r="AC89" s="1008">
        <f t="shared" si="16"/>
        <v>0</v>
      </c>
      <c r="AD89" s="1007" t="s">
        <v>238</v>
      </c>
      <c r="AE89" s="1008">
        <f t="shared" si="17"/>
        <v>0</v>
      </c>
      <c r="AF89" s="1007">
        <v>1</v>
      </c>
      <c r="AG89" s="1008">
        <f t="shared" si="18"/>
        <v>103</v>
      </c>
      <c r="AH89" s="1007" t="s">
        <v>238</v>
      </c>
      <c r="AI89" s="1008">
        <f t="shared" si="19"/>
        <v>0</v>
      </c>
    </row>
    <row r="90" spans="1:35" ht="16" thickBot="1">
      <c r="K90" s="712"/>
      <c r="L90" s="833"/>
      <c r="M90" s="1006" t="s">
        <v>2145</v>
      </c>
      <c r="N90" s="1007">
        <v>1871</v>
      </c>
      <c r="O90" s="1008">
        <v>21</v>
      </c>
      <c r="P90" s="1017" t="s">
        <v>238</v>
      </c>
      <c r="Q90" s="1018">
        <f t="shared" si="10"/>
        <v>0</v>
      </c>
      <c r="R90" s="1017" t="s">
        <v>238</v>
      </c>
      <c r="S90" s="1018">
        <f t="shared" si="11"/>
        <v>0</v>
      </c>
      <c r="T90" s="1017" t="s">
        <v>238</v>
      </c>
      <c r="U90" s="1018">
        <f t="shared" si="12"/>
        <v>0</v>
      </c>
      <c r="V90" s="1017" t="s">
        <v>238</v>
      </c>
      <c r="W90" s="1018">
        <f t="shared" si="13"/>
        <v>0</v>
      </c>
      <c r="X90" s="1017" t="s">
        <v>238</v>
      </c>
      <c r="Y90" s="1018">
        <f t="shared" si="14"/>
        <v>0</v>
      </c>
      <c r="Z90" s="1017" t="s">
        <v>238</v>
      </c>
      <c r="AA90" s="1018">
        <f t="shared" si="15"/>
        <v>0</v>
      </c>
      <c r="AB90" s="1017" t="s">
        <v>238</v>
      </c>
      <c r="AC90" s="1018">
        <f t="shared" si="16"/>
        <v>0</v>
      </c>
      <c r="AD90" s="1017" t="s">
        <v>238</v>
      </c>
      <c r="AE90" s="1018">
        <f t="shared" si="17"/>
        <v>0</v>
      </c>
      <c r="AF90" s="1017">
        <v>1</v>
      </c>
      <c r="AG90" s="1018">
        <f t="shared" si="18"/>
        <v>21</v>
      </c>
      <c r="AH90" s="1017" t="s">
        <v>238</v>
      </c>
      <c r="AI90" s="1018">
        <f t="shared" si="19"/>
        <v>0</v>
      </c>
    </row>
    <row r="91" spans="1:35">
      <c r="K91" s="712"/>
      <c r="L91" s="833"/>
      <c r="M91" s="1019" t="s">
        <v>2146</v>
      </c>
      <c r="N91" s="1020"/>
      <c r="O91" s="1020"/>
      <c r="P91" s="1020"/>
      <c r="Q91" s="1020">
        <f>SUM(Q5:Q78)</f>
        <v>1791</v>
      </c>
      <c r="R91" s="1020"/>
      <c r="S91" s="1020">
        <f>SUM(S5:S78)</f>
        <v>7699</v>
      </c>
      <c r="T91" s="1020"/>
      <c r="U91" s="1020">
        <f>SUM(U5:U78)</f>
        <v>3250</v>
      </c>
      <c r="V91" s="1020"/>
      <c r="W91" s="1020">
        <f>SUM(W5:W78)</f>
        <v>9169</v>
      </c>
      <c r="X91" s="1020"/>
      <c r="Y91" s="1020">
        <f>SUM(Y5:Y78)</f>
        <v>4347</v>
      </c>
      <c r="Z91" s="1020"/>
      <c r="AA91" s="1020">
        <f>SUM(AA5:AA77)</f>
        <v>10022</v>
      </c>
      <c r="AB91" s="1020"/>
      <c r="AC91" s="1020">
        <f>SUM(AC5:AC82)</f>
        <v>6049</v>
      </c>
      <c r="AD91" s="1020"/>
      <c r="AE91" s="1020">
        <f>SUM(AE5:AE77)</f>
        <v>12653</v>
      </c>
      <c r="AF91" s="1020"/>
      <c r="AG91" s="1020">
        <f>SUM(AG5:AG90)</f>
        <v>7812</v>
      </c>
      <c r="AH91" s="1020"/>
      <c r="AI91" s="1020">
        <f t="shared" ref="AI91" si="20">SUM(AI5:AI77)</f>
        <v>14828</v>
      </c>
    </row>
    <row r="92" spans="1:35">
      <c r="K92" s="712"/>
      <c r="L92" s="833"/>
      <c r="N92" s="734"/>
      <c r="O92" s="734"/>
    </row>
    <row r="93" spans="1:35" ht="16" thickBot="1">
      <c r="K93" s="712"/>
      <c r="L93" s="833"/>
      <c r="N93" s="734"/>
      <c r="O93" s="734"/>
    </row>
    <row r="94" spans="1:35" ht="16" thickBot="1">
      <c r="A94" s="730"/>
      <c r="B94" s="733"/>
      <c r="C94" s="733"/>
      <c r="D94" s="733"/>
      <c r="E94" s="733"/>
      <c r="F94" s="733"/>
      <c r="G94" s="733"/>
      <c r="H94" s="842"/>
      <c r="I94" s="843"/>
      <c r="J94" s="841"/>
      <c r="K94" s="712"/>
      <c r="L94" s="833"/>
      <c r="M94" s="960"/>
      <c r="U94" t="s">
        <v>2153</v>
      </c>
      <c r="Z94" t="s">
        <v>2154</v>
      </c>
    </row>
    <row r="95" spans="1:35">
      <c r="K95" s="712"/>
      <c r="L95" s="833"/>
      <c r="M95" s="958"/>
      <c r="N95" s="1027" t="s">
        <v>2146</v>
      </c>
      <c r="O95" s="946" t="s">
        <v>2147</v>
      </c>
      <c r="P95" s="946" t="s">
        <v>2148</v>
      </c>
      <c r="Q95" s="946" t="s">
        <v>2149</v>
      </c>
      <c r="R95" s="946" t="s">
        <v>2150</v>
      </c>
      <c r="S95" s="946" t="s">
        <v>2151</v>
      </c>
      <c r="T95" s="1029" t="s">
        <v>2152</v>
      </c>
      <c r="U95" s="1031">
        <v>2021</v>
      </c>
      <c r="V95" s="1032">
        <v>2022</v>
      </c>
      <c r="W95" s="1032">
        <v>2023</v>
      </c>
      <c r="X95" s="1032">
        <v>2024</v>
      </c>
      <c r="Y95" s="1033">
        <v>2025</v>
      </c>
      <c r="Z95" s="1031">
        <v>2021</v>
      </c>
      <c r="AA95" s="1032">
        <v>2022</v>
      </c>
      <c r="AB95" s="1032">
        <v>2023</v>
      </c>
      <c r="AC95" s="1032">
        <v>2024</v>
      </c>
      <c r="AD95" s="1033">
        <v>2025</v>
      </c>
    </row>
    <row r="96" spans="1:35">
      <c r="K96" s="712"/>
      <c r="L96" s="833"/>
      <c r="M96" s="1026" t="s">
        <v>2036</v>
      </c>
      <c r="N96" s="1028">
        <f>Q91</f>
        <v>1791</v>
      </c>
      <c r="O96" s="946">
        <v>30</v>
      </c>
      <c r="P96" s="946">
        <v>593.9</v>
      </c>
      <c r="Q96" s="946">
        <v>27.13</v>
      </c>
      <c r="R96" s="946">
        <v>35.24</v>
      </c>
      <c r="S96" s="946">
        <f>O96*(P96+Q96+R96)</f>
        <v>19688.099999999999</v>
      </c>
      <c r="T96" s="1030">
        <f>N96+S96</f>
        <v>21479.1</v>
      </c>
      <c r="U96" s="1369"/>
      <c r="V96" s="1040"/>
      <c r="W96" s="1040"/>
      <c r="X96" s="1040"/>
      <c r="Y96" s="1370"/>
      <c r="Z96" s="1007">
        <f>$T96*U96</f>
        <v>0</v>
      </c>
      <c r="AA96" s="946">
        <f t="shared" ref="AA96:AD105" si="21">$T96*V96</f>
        <v>0</v>
      </c>
      <c r="AB96" s="946">
        <f t="shared" si="21"/>
        <v>0</v>
      </c>
      <c r="AC96" s="946">
        <f t="shared" si="21"/>
        <v>0</v>
      </c>
      <c r="AD96" s="1008">
        <f t="shared" si="21"/>
        <v>0</v>
      </c>
    </row>
    <row r="97" spans="11:30">
      <c r="K97" s="712"/>
      <c r="L97" s="833"/>
      <c r="M97" s="1026" t="s">
        <v>2037</v>
      </c>
      <c r="N97" s="1028">
        <f>S91</f>
        <v>7699</v>
      </c>
      <c r="O97" s="946">
        <v>30</v>
      </c>
      <c r="P97" s="946">
        <v>593.9</v>
      </c>
      <c r="Q97" s="946">
        <v>27.13</v>
      </c>
      <c r="R97" s="946">
        <v>35.24</v>
      </c>
      <c r="S97" s="946">
        <f t="shared" ref="S97:S105" si="22">O97*(P97+Q97+R97)</f>
        <v>19688.099999999999</v>
      </c>
      <c r="T97" s="1030">
        <f t="shared" ref="T97:T105" si="23">N97+S97</f>
        <v>27387.1</v>
      </c>
      <c r="U97" s="1369"/>
      <c r="V97" s="1040"/>
      <c r="W97" s="1040"/>
      <c r="X97" s="1040"/>
      <c r="Y97" s="1370"/>
      <c r="Z97" s="1007">
        <f t="shared" ref="Z97:Z105" si="24">$T97*U97</f>
        <v>0</v>
      </c>
      <c r="AA97" s="946">
        <f t="shared" si="21"/>
        <v>0</v>
      </c>
      <c r="AB97" s="946">
        <f t="shared" si="21"/>
        <v>0</v>
      </c>
      <c r="AC97" s="946">
        <f t="shared" si="21"/>
        <v>0</v>
      </c>
      <c r="AD97" s="1008">
        <f t="shared" si="21"/>
        <v>0</v>
      </c>
    </row>
    <row r="98" spans="11:30">
      <c r="K98" s="712"/>
      <c r="L98" s="833"/>
      <c r="M98" s="1026" t="s">
        <v>2067</v>
      </c>
      <c r="N98" s="1028">
        <f>U91</f>
        <v>3250</v>
      </c>
      <c r="O98" s="946">
        <v>30</v>
      </c>
      <c r="P98" s="946">
        <v>593.9</v>
      </c>
      <c r="Q98" s="946">
        <v>27.13</v>
      </c>
      <c r="R98" s="946">
        <v>35.24</v>
      </c>
      <c r="S98" s="946">
        <f t="shared" si="22"/>
        <v>19688.099999999999</v>
      </c>
      <c r="T98" s="1030">
        <f t="shared" si="23"/>
        <v>22938.1</v>
      </c>
      <c r="U98" s="1369"/>
      <c r="V98" s="1040"/>
      <c r="W98" s="1040"/>
      <c r="X98" s="1040"/>
      <c r="Y98" s="1370"/>
      <c r="Z98" s="1007">
        <f t="shared" si="24"/>
        <v>0</v>
      </c>
      <c r="AA98" s="946">
        <f t="shared" si="21"/>
        <v>0</v>
      </c>
      <c r="AB98" s="946">
        <f t="shared" si="21"/>
        <v>0</v>
      </c>
      <c r="AC98" s="946">
        <f t="shared" si="21"/>
        <v>0</v>
      </c>
      <c r="AD98" s="1008">
        <f t="shared" si="21"/>
        <v>0</v>
      </c>
    </row>
    <row r="99" spans="11:30">
      <c r="K99" s="712"/>
      <c r="L99" s="833"/>
      <c r="M99" s="1026" t="s">
        <v>2068</v>
      </c>
      <c r="N99" s="1028">
        <f>W91</f>
        <v>9169</v>
      </c>
      <c r="O99" s="946">
        <v>30</v>
      </c>
      <c r="P99" s="946">
        <v>593.9</v>
      </c>
      <c r="Q99" s="946">
        <v>27.13</v>
      </c>
      <c r="R99" s="946">
        <v>35.24</v>
      </c>
      <c r="S99" s="946">
        <f t="shared" si="22"/>
        <v>19688.099999999999</v>
      </c>
      <c r="T99" s="1030">
        <f t="shared" si="23"/>
        <v>28857.1</v>
      </c>
      <c r="U99" s="1369"/>
      <c r="V99" s="1040"/>
      <c r="W99" s="1040"/>
      <c r="X99" s="1040"/>
      <c r="Y99" s="1370"/>
      <c r="Z99" s="1007">
        <f t="shared" si="24"/>
        <v>0</v>
      </c>
      <c r="AA99" s="946">
        <f t="shared" si="21"/>
        <v>0</v>
      </c>
      <c r="AB99" s="946">
        <f t="shared" si="21"/>
        <v>0</v>
      </c>
      <c r="AC99" s="946">
        <f t="shared" si="21"/>
        <v>0</v>
      </c>
      <c r="AD99" s="1008">
        <f t="shared" si="21"/>
        <v>0</v>
      </c>
    </row>
    <row r="100" spans="11:30">
      <c r="K100" s="712"/>
      <c r="L100" s="833"/>
      <c r="M100" s="1026" t="s">
        <v>2069</v>
      </c>
      <c r="N100" s="1028">
        <f>Y91</f>
        <v>4347</v>
      </c>
      <c r="O100" s="946">
        <v>30</v>
      </c>
      <c r="P100" s="946">
        <v>593.9</v>
      </c>
      <c r="Q100" s="946">
        <v>27.13</v>
      </c>
      <c r="R100" s="946">
        <v>35.24</v>
      </c>
      <c r="S100" s="946">
        <f t="shared" si="22"/>
        <v>19688.099999999999</v>
      </c>
      <c r="T100" s="1030">
        <f t="shared" si="23"/>
        <v>24035.1</v>
      </c>
      <c r="U100" s="1369"/>
      <c r="V100" s="1040"/>
      <c r="W100" s="1040"/>
      <c r="X100" s="1040"/>
      <c r="Y100" s="1370"/>
      <c r="Z100" s="1007">
        <f t="shared" si="24"/>
        <v>0</v>
      </c>
      <c r="AA100" s="946">
        <f t="shared" si="21"/>
        <v>0</v>
      </c>
      <c r="AB100" s="946">
        <f t="shared" si="21"/>
        <v>0</v>
      </c>
      <c r="AC100" s="946">
        <f t="shared" si="21"/>
        <v>0</v>
      </c>
      <c r="AD100" s="1008">
        <f t="shared" si="21"/>
        <v>0</v>
      </c>
    </row>
    <row r="101" spans="11:30">
      <c r="K101" s="712"/>
      <c r="L101" s="833"/>
      <c r="M101" s="1026" t="s">
        <v>2070</v>
      </c>
      <c r="N101" s="1028">
        <f>AA91</f>
        <v>10022</v>
      </c>
      <c r="O101" s="946">
        <v>30</v>
      </c>
      <c r="P101" s="946">
        <v>593.9</v>
      </c>
      <c r="Q101" s="946">
        <v>27.13</v>
      </c>
      <c r="R101" s="946">
        <v>35.24</v>
      </c>
      <c r="S101" s="946">
        <f t="shared" si="22"/>
        <v>19688.099999999999</v>
      </c>
      <c r="T101" s="1030">
        <f t="shared" si="23"/>
        <v>29710.1</v>
      </c>
      <c r="U101" s="1369"/>
      <c r="V101" s="1040"/>
      <c r="W101" s="1040"/>
      <c r="X101" s="1040"/>
      <c r="Y101" s="1370"/>
      <c r="Z101" s="1007">
        <f t="shared" si="24"/>
        <v>0</v>
      </c>
      <c r="AA101" s="946">
        <f t="shared" si="21"/>
        <v>0</v>
      </c>
      <c r="AB101" s="946">
        <f t="shared" si="21"/>
        <v>0</v>
      </c>
      <c r="AC101" s="946">
        <f t="shared" si="21"/>
        <v>0</v>
      </c>
      <c r="AD101" s="1008">
        <f t="shared" si="21"/>
        <v>0</v>
      </c>
    </row>
    <row r="102" spans="11:30">
      <c r="K102" s="712"/>
      <c r="L102" s="833"/>
      <c r="M102" s="1026" t="s">
        <v>2071</v>
      </c>
      <c r="N102" s="1028">
        <f>AC91</f>
        <v>6049</v>
      </c>
      <c r="O102" s="946">
        <v>30</v>
      </c>
      <c r="P102" s="946">
        <v>593.9</v>
      </c>
      <c r="Q102" s="946">
        <v>27.13</v>
      </c>
      <c r="R102" s="946">
        <v>35.24</v>
      </c>
      <c r="S102" s="946">
        <f t="shared" si="22"/>
        <v>19688.099999999999</v>
      </c>
      <c r="T102" s="1030">
        <f t="shared" si="23"/>
        <v>25737.1</v>
      </c>
      <c r="U102" s="1369"/>
      <c r="V102" s="1040"/>
      <c r="W102" s="1040"/>
      <c r="X102" s="1040"/>
      <c r="Y102" s="1370"/>
      <c r="Z102" s="1007">
        <f t="shared" si="24"/>
        <v>0</v>
      </c>
      <c r="AA102" s="946">
        <f t="shared" si="21"/>
        <v>0</v>
      </c>
      <c r="AB102" s="946">
        <f t="shared" si="21"/>
        <v>0</v>
      </c>
      <c r="AC102" s="946">
        <f t="shared" si="21"/>
        <v>0</v>
      </c>
      <c r="AD102" s="1008">
        <f t="shared" si="21"/>
        <v>0</v>
      </c>
    </row>
    <row r="103" spans="11:30">
      <c r="K103" s="712"/>
      <c r="L103" s="833"/>
      <c r="M103" s="1026" t="s">
        <v>2072</v>
      </c>
      <c r="N103" s="1028">
        <f>AE91</f>
        <v>12653</v>
      </c>
      <c r="O103" s="946">
        <v>30</v>
      </c>
      <c r="P103" s="946">
        <v>593.9</v>
      </c>
      <c r="Q103" s="946">
        <v>27.13</v>
      </c>
      <c r="R103" s="946">
        <v>35.24</v>
      </c>
      <c r="S103" s="946">
        <f t="shared" si="22"/>
        <v>19688.099999999999</v>
      </c>
      <c r="T103" s="1030">
        <f t="shared" si="23"/>
        <v>32341.1</v>
      </c>
      <c r="U103" s="1369"/>
      <c r="V103" s="1040"/>
      <c r="W103" s="1040"/>
      <c r="X103" s="1040"/>
      <c r="Y103" s="1370"/>
      <c r="Z103" s="1007">
        <f t="shared" si="24"/>
        <v>0</v>
      </c>
      <c r="AA103" s="946">
        <f t="shared" si="21"/>
        <v>0</v>
      </c>
      <c r="AB103" s="946">
        <f t="shared" si="21"/>
        <v>0</v>
      </c>
      <c r="AC103" s="946">
        <f t="shared" si="21"/>
        <v>0</v>
      </c>
      <c r="AD103" s="1008">
        <f t="shared" si="21"/>
        <v>0</v>
      </c>
    </row>
    <row r="104" spans="11:30">
      <c r="K104" s="712"/>
      <c r="L104" s="833"/>
      <c r="M104" s="1026" t="s">
        <v>2073</v>
      </c>
      <c r="N104" s="1028">
        <f>AG91</f>
        <v>7812</v>
      </c>
      <c r="O104" s="946">
        <v>30</v>
      </c>
      <c r="P104" s="946">
        <v>593.9</v>
      </c>
      <c r="Q104" s="946">
        <v>27.13</v>
      </c>
      <c r="R104" s="946">
        <v>35.24</v>
      </c>
      <c r="S104" s="946">
        <f t="shared" si="22"/>
        <v>19688.099999999999</v>
      </c>
      <c r="T104" s="1030">
        <f t="shared" si="23"/>
        <v>27500.1</v>
      </c>
      <c r="U104" s="1369"/>
      <c r="V104" s="1040"/>
      <c r="W104" s="1040"/>
      <c r="X104" s="1040"/>
      <c r="Y104" s="1370"/>
      <c r="Z104" s="1007">
        <f t="shared" si="24"/>
        <v>0</v>
      </c>
      <c r="AA104" s="946">
        <f t="shared" si="21"/>
        <v>0</v>
      </c>
      <c r="AB104" s="946">
        <f t="shared" si="21"/>
        <v>0</v>
      </c>
      <c r="AC104" s="946">
        <f t="shared" si="21"/>
        <v>0</v>
      </c>
      <c r="AD104" s="1008">
        <f t="shared" si="21"/>
        <v>0</v>
      </c>
    </row>
    <row r="105" spans="11:30" ht="16" thickBot="1">
      <c r="K105" s="712"/>
      <c r="L105" s="833"/>
      <c r="M105" s="1026" t="s">
        <v>2074</v>
      </c>
      <c r="N105" s="1028">
        <f>AI91</f>
        <v>14828</v>
      </c>
      <c r="O105" s="946">
        <v>30</v>
      </c>
      <c r="P105" s="946">
        <v>593.9</v>
      </c>
      <c r="Q105" s="946">
        <v>27.13</v>
      </c>
      <c r="R105" s="946">
        <v>35.24</v>
      </c>
      <c r="S105" s="946">
        <f t="shared" si="22"/>
        <v>19688.099999999999</v>
      </c>
      <c r="T105" s="1030">
        <f t="shared" si="23"/>
        <v>34516.1</v>
      </c>
      <c r="U105" s="1371"/>
      <c r="V105" s="1372"/>
      <c r="W105" s="1372"/>
      <c r="X105" s="1372"/>
      <c r="Y105" s="1373"/>
      <c r="Z105" s="1017">
        <f t="shared" si="24"/>
        <v>0</v>
      </c>
      <c r="AA105" s="1034">
        <f t="shared" si="21"/>
        <v>0</v>
      </c>
      <c r="AB105" s="1034">
        <f t="shared" si="21"/>
        <v>0</v>
      </c>
      <c r="AC105" s="1034">
        <f t="shared" si="21"/>
        <v>0</v>
      </c>
      <c r="AD105" s="1018">
        <f t="shared" si="21"/>
        <v>0</v>
      </c>
    </row>
    <row r="106" spans="11:30">
      <c r="K106" s="712"/>
      <c r="L106" s="833"/>
      <c r="M106" s="960"/>
    </row>
    <row r="107" spans="11:30">
      <c r="K107" s="712"/>
      <c r="L107" s="833"/>
      <c r="M107" s="1025"/>
    </row>
    <row r="108" spans="11:30">
      <c r="K108" s="712"/>
      <c r="L108" s="833"/>
      <c r="M108" s="960"/>
      <c r="P108" t="s">
        <v>2922</v>
      </c>
    </row>
    <row r="109" spans="11:30">
      <c r="K109" s="712"/>
      <c r="L109" s="833"/>
      <c r="M109" s="1025"/>
    </row>
    <row r="110" spans="11:30">
      <c r="K110" s="712"/>
      <c r="L110" s="833"/>
      <c r="M110" s="960"/>
    </row>
    <row r="111" spans="11:30">
      <c r="K111" s="712"/>
      <c r="L111" s="833"/>
      <c r="M111" s="1025"/>
    </row>
    <row r="112" spans="11:30">
      <c r="K112" s="712"/>
      <c r="L112" s="833"/>
      <c r="M112" s="960"/>
    </row>
    <row r="113" spans="11:13">
      <c r="K113" s="712"/>
      <c r="L113" s="833"/>
      <c r="M113" s="1025"/>
    </row>
    <row r="114" spans="11:13">
      <c r="K114" s="712"/>
      <c r="L114" s="833"/>
      <c r="M114" s="960"/>
    </row>
    <row r="115" spans="11:13">
      <c r="K115" s="712"/>
      <c r="L115" s="833"/>
      <c r="M115" s="1025"/>
    </row>
    <row r="116" spans="11:13">
      <c r="K116" s="712"/>
      <c r="L116" s="833"/>
    </row>
    <row r="117" spans="11:13">
      <c r="K117" s="712"/>
      <c r="L117" s="833"/>
    </row>
    <row r="118" spans="11:13">
      <c r="K118" s="712"/>
      <c r="L118" s="833"/>
    </row>
    <row r="119" spans="11:13">
      <c r="K119" s="712"/>
      <c r="L119" s="833"/>
    </row>
    <row r="120" spans="11:13">
      <c r="K120" s="712"/>
      <c r="L120" s="833"/>
    </row>
    <row r="121" spans="11:13">
      <c r="K121" s="712"/>
      <c r="L121" s="833"/>
    </row>
    <row r="122" spans="11:13">
      <c r="K122" s="712"/>
      <c r="L122" s="833"/>
    </row>
    <row r="123" spans="11:13">
      <c r="K123" s="712"/>
      <c r="L123" s="833"/>
    </row>
    <row r="124" spans="11:13">
      <c r="K124" s="712"/>
      <c r="L124" s="833"/>
    </row>
    <row r="125" spans="11:13">
      <c r="K125" s="712"/>
      <c r="L125" s="833"/>
    </row>
    <row r="126" spans="11:13">
      <c r="K126" s="712"/>
      <c r="L126" s="833"/>
    </row>
    <row r="127" spans="11:13">
      <c r="K127"/>
      <c r="L127" s="853"/>
    </row>
    <row r="128" spans="11:13">
      <c r="K128"/>
      <c r="L128" s="853"/>
    </row>
    <row r="129" spans="11:12">
      <c r="K129"/>
      <c r="L129" s="853"/>
    </row>
    <row r="130" spans="11:12">
      <c r="K130"/>
      <c r="L130" s="853"/>
    </row>
    <row r="131" spans="11:12">
      <c r="K131"/>
      <c r="L131" s="853"/>
    </row>
    <row r="132" spans="11:12">
      <c r="K132"/>
      <c r="L132" s="853"/>
    </row>
    <row r="133" spans="11:12">
      <c r="K133"/>
      <c r="L133" s="853"/>
    </row>
    <row r="134" spans="11:12">
      <c r="K134"/>
      <c r="L134" s="853"/>
    </row>
    <row r="135" spans="11:12">
      <c r="K135"/>
      <c r="L135" s="853"/>
    </row>
    <row r="136" spans="11:12">
      <c r="K136"/>
      <c r="L136" s="853"/>
    </row>
    <row r="137" spans="11:12">
      <c r="K137"/>
      <c r="L137" s="853"/>
    </row>
    <row r="138" spans="11:12">
      <c r="K138"/>
      <c r="L138" s="853"/>
    </row>
    <row r="139" spans="11:12">
      <c r="K139"/>
      <c r="L139" s="853"/>
    </row>
    <row r="140" spans="11:12">
      <c r="K140"/>
      <c r="L140" s="853"/>
    </row>
    <row r="141" spans="11:12">
      <c r="K141"/>
      <c r="L141" s="853"/>
    </row>
    <row r="142" spans="11:12">
      <c r="K142"/>
      <c r="L142" s="853"/>
    </row>
    <row r="143" spans="11:12">
      <c r="K143"/>
      <c r="L143" s="853"/>
    </row>
    <row r="144" spans="11:12">
      <c r="K144"/>
      <c r="L144" s="853"/>
    </row>
    <row r="145" spans="11:12">
      <c r="K145"/>
      <c r="L145" s="853"/>
    </row>
    <row r="146" spans="11:12">
      <c r="K146"/>
      <c r="L146" s="853"/>
    </row>
    <row r="147" spans="11:12">
      <c r="K147"/>
      <c r="L147" s="853"/>
    </row>
    <row r="148" spans="11:12">
      <c r="K148"/>
      <c r="L148" s="853"/>
    </row>
    <row r="149" spans="11:12">
      <c r="K149"/>
      <c r="L149" s="853"/>
    </row>
    <row r="150" spans="11:12">
      <c r="K150"/>
      <c r="L150" s="853"/>
    </row>
    <row r="151" spans="11:12">
      <c r="K151"/>
      <c r="L151" s="853"/>
    </row>
    <row r="152" spans="11:12">
      <c r="K152"/>
      <c r="L152" s="853"/>
    </row>
    <row r="153" spans="11:12">
      <c r="K153"/>
      <c r="L153" s="853"/>
    </row>
    <row r="154" spans="11:12">
      <c r="K154"/>
      <c r="L154" s="853"/>
    </row>
    <row r="155" spans="11:12">
      <c r="K155"/>
      <c r="L155" s="853"/>
    </row>
    <row r="156" spans="11:12">
      <c r="K156"/>
      <c r="L156" s="853"/>
    </row>
    <row r="157" spans="11:12">
      <c r="K157"/>
      <c r="L157" s="853"/>
    </row>
    <row r="158" spans="11:12">
      <c r="K158"/>
      <c r="L158" s="853"/>
    </row>
    <row r="159" spans="11:12">
      <c r="K159"/>
      <c r="L159" s="853"/>
    </row>
    <row r="160" spans="11:12">
      <c r="K160"/>
      <c r="L160" s="853"/>
    </row>
    <row r="161" spans="11:12">
      <c r="K161"/>
      <c r="L161" s="853"/>
    </row>
    <row r="162" spans="11:12">
      <c r="K162"/>
      <c r="L162" s="853"/>
    </row>
    <row r="163" spans="11:12">
      <c r="K163"/>
      <c r="L163" s="853"/>
    </row>
    <row r="164" spans="11:12">
      <c r="K164"/>
      <c r="L164" s="853"/>
    </row>
    <row r="165" spans="11:12">
      <c r="K165"/>
      <c r="L165" s="853"/>
    </row>
    <row r="166" spans="11:12">
      <c r="K166"/>
      <c r="L166" s="853"/>
    </row>
    <row r="167" spans="11:12">
      <c r="K167"/>
      <c r="L167" s="853"/>
    </row>
    <row r="168" spans="11:12">
      <c r="K168"/>
      <c r="L168" s="853"/>
    </row>
    <row r="169" spans="11:12">
      <c r="K169"/>
      <c r="L169" s="853"/>
    </row>
    <row r="170" spans="11:12">
      <c r="K170"/>
      <c r="L170" s="853"/>
    </row>
    <row r="171" spans="11:12">
      <c r="K171"/>
      <c r="L171" s="853"/>
    </row>
    <row r="172" spans="11:12">
      <c r="K172"/>
      <c r="L172" s="853"/>
    </row>
    <row r="173" spans="11:12">
      <c r="K173"/>
      <c r="L173" s="853"/>
    </row>
    <row r="174" spans="11:12">
      <c r="K174"/>
      <c r="L174" s="853"/>
    </row>
    <row r="175" spans="11:12">
      <c r="K175"/>
      <c r="L175" s="853"/>
    </row>
    <row r="176" spans="11:12">
      <c r="K176"/>
      <c r="L176" s="853"/>
    </row>
    <row r="177" spans="11:12">
      <c r="K177"/>
      <c r="L177" s="853"/>
    </row>
  </sheetData>
  <conditionalFormatting sqref="A1:A2">
    <cfRule type="duplicateValues" dxfId="49" priority="2"/>
  </conditionalFormatting>
  <conditionalFormatting sqref="A94">
    <cfRule type="duplicateValues" dxfId="48" priority="1"/>
  </conditionalFormatting>
  <dataValidations count="2">
    <dataValidation type="list" allowBlank="1" showInputMessage="1" showErrorMessage="1" sqref="I94" xr:uid="{00000000-0002-0000-1F00-000000000000}">
      <formula1>TB_implementare</formula1>
    </dataValidation>
    <dataValidation type="list" allowBlank="1" showInputMessage="1" showErrorMessage="1" sqref="G94" xr:uid="{00000000-0002-0000-1F00-000001000000}">
      <formula1>TB_sursa_finant_Ro</formula1>
    </dataValidation>
  </dataValidations>
  <hyperlinks>
    <hyperlink ref="O1" location="CUPRINS!A1" display="CUPRINS" xr:uid="{00000000-0004-0000-1F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2000000}">
          <x14:formula1>
            <xm:f>Nom_activ_2!$H$2:$H$88</xm:f>
          </x14:formula1>
          <xm:sqref>J94</xm:sqref>
        </x14:dataValidation>
      </x14:dataValidations>
    </ext>
  </extLst>
</worksheet>
</file>

<file path=xl/worksheets/sheet3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dimension ref="B1:AF599"/>
  <sheetViews>
    <sheetView topLeftCell="A57" zoomScale="55" zoomScaleNormal="55" zoomScalePageLayoutView="130" workbookViewId="0">
      <selection activeCell="B69" sqref="B69:B74"/>
    </sheetView>
  </sheetViews>
  <sheetFormatPr baseColWidth="10" defaultColWidth="8.83203125" defaultRowHeight="15"/>
  <cols>
    <col min="2" max="3" width="44.1640625" bestFit="1" customWidth="1"/>
    <col min="4" max="4" width="22.5" bestFit="1" customWidth="1"/>
    <col min="6" max="6" width="8.5" bestFit="1" customWidth="1"/>
    <col min="7" max="7" width="23.5" customWidth="1"/>
    <col min="8" max="8" width="7.5" bestFit="1" customWidth="1"/>
    <col min="9" max="9" width="4.33203125" bestFit="1" customWidth="1"/>
    <col min="12" max="12" width="44" bestFit="1" customWidth="1"/>
    <col min="13" max="13" width="20.1640625" bestFit="1" customWidth="1"/>
    <col min="14" max="14" width="12.83203125" bestFit="1" customWidth="1"/>
    <col min="15" max="15" width="37.83203125" bestFit="1" customWidth="1"/>
    <col min="16" max="20" width="37.83203125" style="734" customWidth="1"/>
    <col min="22" max="22" width="45" bestFit="1" customWidth="1"/>
    <col min="23" max="23" width="68.5" bestFit="1" customWidth="1"/>
    <col min="24" max="24" width="9" bestFit="1" customWidth="1"/>
    <col min="25" max="25" width="64" customWidth="1"/>
    <col min="26" max="26" width="9.6640625" customWidth="1"/>
    <col min="27" max="27" width="10.33203125" customWidth="1"/>
    <col min="28" max="28" width="110.1640625" customWidth="1"/>
    <col min="29" max="29" width="164.33203125" customWidth="1"/>
    <col min="30" max="30" width="10.5" customWidth="1"/>
  </cols>
  <sheetData>
    <row r="1" spans="2:32" ht="30">
      <c r="B1" t="s">
        <v>148</v>
      </c>
      <c r="L1" t="s">
        <v>530</v>
      </c>
      <c r="M1" t="s">
        <v>531</v>
      </c>
      <c r="N1" t="s">
        <v>532</v>
      </c>
      <c r="O1" t="s">
        <v>533</v>
      </c>
      <c r="P1" s="734" t="s">
        <v>1796</v>
      </c>
      <c r="Q1" s="734" t="s">
        <v>1798</v>
      </c>
      <c r="R1" s="734" t="s">
        <v>1797</v>
      </c>
      <c r="S1" s="734" t="s">
        <v>1799</v>
      </c>
      <c r="T1" s="734" t="s">
        <v>1800</v>
      </c>
      <c r="V1" s="792" t="s">
        <v>1793</v>
      </c>
      <c r="W1" s="793" t="s">
        <v>1794</v>
      </c>
      <c r="X1" s="794" t="s">
        <v>602</v>
      </c>
      <c r="Y1" s="795" t="s">
        <v>96</v>
      </c>
      <c r="Z1" s="795" t="s">
        <v>603</v>
      </c>
      <c r="AA1" s="795" t="s">
        <v>1801</v>
      </c>
      <c r="AB1" s="795" t="s">
        <v>604</v>
      </c>
      <c r="AC1" s="795" t="s">
        <v>605</v>
      </c>
      <c r="AD1" s="796" t="s">
        <v>606</v>
      </c>
      <c r="AE1" s="797" t="s">
        <v>99</v>
      </c>
      <c r="AF1" s="795" t="s">
        <v>91</v>
      </c>
    </row>
    <row r="2" spans="2:32" ht="52" thickBot="1">
      <c r="B2" t="s">
        <v>186</v>
      </c>
      <c r="C2" t="s">
        <v>183</v>
      </c>
      <c r="D2" t="s">
        <v>187</v>
      </c>
      <c r="F2" t="s">
        <v>188</v>
      </c>
      <c r="G2" t="s">
        <v>184</v>
      </c>
      <c r="H2" t="s">
        <v>189</v>
      </c>
      <c r="L2" s="416" t="s">
        <v>534</v>
      </c>
      <c r="M2" s="416" t="s">
        <v>535</v>
      </c>
      <c r="N2" s="416" t="s">
        <v>536</v>
      </c>
      <c r="O2" s="439" t="s">
        <v>537</v>
      </c>
      <c r="P2" s="810">
        <v>1.7</v>
      </c>
      <c r="Q2" s="810">
        <v>1.8</v>
      </c>
      <c r="R2" s="800">
        <f>IFERROR(ROUND(Bunuri_lab_nomenc[[#This Row],[Cost unitate GFATM_valuta]]*VLOOKUP(Bunuri_lab_nomenc[[#This Row],[Valuta cost GFATM]],$B$58:$D$59,2,0),2),0)</f>
        <v>1.1100000000000001</v>
      </c>
      <c r="S2" s="800">
        <f>IFERROR(VLOOKUP(Bunuri_lab_nomenc[[#This Row],[Denumire catalog GDF]],GDF_price_list[[Product Name]:[Column1]],8,0),"")</f>
        <v>6.3259999999999997E-2</v>
      </c>
      <c r="T2" s="800" t="str">
        <f>VLOOKUP(Bunuri_lab_nomenc[[#This Row],[Denumire catalog GDF]],GDF_price_list[[Product Name]:[Column1]],7,0)</f>
        <v>USD</v>
      </c>
      <c r="V2" s="786" t="s">
        <v>612</v>
      </c>
      <c r="W2" s="738" t="s">
        <v>613</v>
      </c>
      <c r="X2" s="745" t="s">
        <v>614</v>
      </c>
      <c r="Y2" s="743" t="s">
        <v>615</v>
      </c>
      <c r="Z2" s="742" t="s">
        <v>616</v>
      </c>
      <c r="AA2" s="742" t="s">
        <v>1802</v>
      </c>
      <c r="AB2" s="746">
        <v>1</v>
      </c>
      <c r="AC2" s="743" t="s">
        <v>617</v>
      </c>
      <c r="AD2" s="744">
        <v>900</v>
      </c>
      <c r="AE2" s="787" t="s">
        <v>435</v>
      </c>
      <c r="AF2">
        <f>GDF_price_list[[#This Row],[Indicative 
FCA Price]]/GDF_price_list[[#This Row],[Unit]]</f>
        <v>900</v>
      </c>
    </row>
    <row r="3" spans="2:32" ht="34">
      <c r="B3" s="424" t="s">
        <v>154</v>
      </c>
      <c r="C3" s="52" t="s">
        <v>154</v>
      </c>
      <c r="D3" s="59"/>
      <c r="F3" s="64"/>
      <c r="G3" s="57" t="s">
        <v>149</v>
      </c>
      <c r="H3" s="57"/>
      <c r="I3" s="13"/>
      <c r="J3" s="13"/>
      <c r="K3" s="13"/>
      <c r="L3" s="416" t="s">
        <v>538</v>
      </c>
      <c r="M3" s="416" t="s">
        <v>535</v>
      </c>
      <c r="N3" s="416" t="s">
        <v>536</v>
      </c>
      <c r="O3" s="439" t="s">
        <v>539</v>
      </c>
      <c r="P3" s="807"/>
      <c r="Q3" s="807"/>
      <c r="R3" s="807">
        <f>IFERROR(ROUND(Bunuri_lab_nomenc[[#This Row],[Cost unitate GFATM_valuta]]*VLOOKUP(Bunuri_lab_nomenc[[#This Row],[Valuta cost GFATM]],$B$58:$D$59,2,0),2),0)</f>
        <v>0.65</v>
      </c>
      <c r="S3" s="807">
        <f>IFERROR(VLOOKUP(Bunuri_lab_nomenc[[#This Row],[Denumire catalog GDF]],GDF_price_list[[Product Name]:[Column1]],8,0),"")</f>
        <v>3.7240000000000002E-2</v>
      </c>
      <c r="T3" s="807" t="str">
        <f>VLOOKUP(Bunuri_lab_nomenc[[#This Row],[Denumire catalog GDF]],GDF_price_list[[Product Name]:[Column1]],7,0)</f>
        <v>USD</v>
      </c>
      <c r="V3" s="786" t="s">
        <v>612</v>
      </c>
      <c r="W3" s="738" t="s">
        <v>613</v>
      </c>
      <c r="X3" s="745" t="s">
        <v>618</v>
      </c>
      <c r="Y3" s="743" t="s">
        <v>619</v>
      </c>
      <c r="Z3" s="742" t="s">
        <v>616</v>
      </c>
      <c r="AA3" s="742" t="s">
        <v>1802</v>
      </c>
      <c r="AB3" s="746">
        <v>1</v>
      </c>
      <c r="AC3" s="743" t="s">
        <v>620</v>
      </c>
      <c r="AD3" s="744">
        <v>900</v>
      </c>
      <c r="AE3" s="787" t="s">
        <v>435</v>
      </c>
      <c r="AF3">
        <f>GDF_price_list[[#This Row],[Indicative 
FCA Price]]/GDF_price_list[[#This Row],[Unit]]</f>
        <v>900</v>
      </c>
    </row>
    <row r="4" spans="2:32" ht="51">
      <c r="B4" s="425" t="s">
        <v>155</v>
      </c>
      <c r="C4" s="53" t="s">
        <v>155</v>
      </c>
      <c r="D4" s="60"/>
      <c r="F4" s="55"/>
      <c r="G4" s="58" t="s">
        <v>122</v>
      </c>
      <c r="H4" s="58"/>
      <c r="I4" s="13" t="s">
        <v>122</v>
      </c>
      <c r="J4" s="13"/>
      <c r="K4" s="13"/>
      <c r="L4" s="416" t="s">
        <v>540</v>
      </c>
      <c r="M4" s="416" t="s">
        <v>296</v>
      </c>
      <c r="N4" s="416" t="s">
        <v>536</v>
      </c>
      <c r="O4" s="439"/>
      <c r="P4" s="417"/>
      <c r="Q4" s="417"/>
      <c r="R4" s="417">
        <f>IFERROR(ROUND(Bunuri_lab_nomenc[[#This Row],[Cost unitate GFATM_valuta]]*VLOOKUP(Bunuri_lab_nomenc[[#This Row],[Valuta cost GFATM]],$B$58:$D$59,2,0),2),0)</f>
        <v>0</v>
      </c>
      <c r="S4" s="417" t="str">
        <f>IFERROR(VLOOKUP(Bunuri_lab_nomenc[[#This Row],[Denumire catalog GDF]],GDF_price_list[[Product Name]:[Column1]],8,0),"")</f>
        <v/>
      </c>
      <c r="T4" s="417" t="e">
        <f>VLOOKUP(Bunuri_lab_nomenc[[#This Row],[Denumire catalog GDF]],GDF_price_list[[Product Name]:[Column1]],7,0)</f>
        <v>#N/A</v>
      </c>
      <c r="V4" s="786" t="s">
        <v>621</v>
      </c>
      <c r="W4" s="738" t="s">
        <v>622</v>
      </c>
      <c r="X4" s="745">
        <v>106103</v>
      </c>
      <c r="Y4" s="740" t="s">
        <v>623</v>
      </c>
      <c r="Z4" s="742" t="s">
        <v>610</v>
      </c>
      <c r="AA4" s="742" t="s">
        <v>1802</v>
      </c>
      <c r="AB4" s="746">
        <v>1</v>
      </c>
      <c r="AC4" s="747" t="s">
        <v>624</v>
      </c>
      <c r="AD4" s="744">
        <v>233.84</v>
      </c>
      <c r="AE4" s="787" t="s">
        <v>435</v>
      </c>
      <c r="AF4">
        <f>GDF_price_list[[#This Row],[Indicative 
FCA Price]]/GDF_price_list[[#This Row],[Unit]]</f>
        <v>233.84</v>
      </c>
    </row>
    <row r="5" spans="2:32" ht="51">
      <c r="B5" s="425" t="s">
        <v>156</v>
      </c>
      <c r="C5" s="53" t="s">
        <v>156</v>
      </c>
      <c r="D5" s="60"/>
      <c r="F5" s="55"/>
      <c r="G5" s="58" t="s">
        <v>150</v>
      </c>
      <c r="H5" s="58"/>
      <c r="I5" s="13" t="s">
        <v>229</v>
      </c>
      <c r="J5" s="13"/>
      <c r="K5" s="13"/>
      <c r="L5" s="416" t="s">
        <v>541</v>
      </c>
      <c r="M5" s="416" t="s">
        <v>542</v>
      </c>
      <c r="N5" s="416" t="s">
        <v>543</v>
      </c>
      <c r="O5" s="439"/>
      <c r="P5" s="417"/>
      <c r="Q5" s="417"/>
      <c r="R5" s="417">
        <f>IFERROR(ROUND(Bunuri_lab_nomenc[[#This Row],[Cost unitate GFATM_valuta]]*VLOOKUP(Bunuri_lab_nomenc[[#This Row],[Valuta cost GFATM]],$B$58:$D$59,2,0),2),0)</f>
        <v>0</v>
      </c>
      <c r="S5" s="417" t="str">
        <f>IFERROR(VLOOKUP(Bunuri_lab_nomenc[[#This Row],[Denumire catalog GDF]],GDF_price_list[[Product Name]:[Column1]],8,0),"")</f>
        <v/>
      </c>
      <c r="T5" s="417" t="e">
        <f>VLOOKUP(Bunuri_lab_nomenc[[#This Row],[Denumire catalog GDF]],GDF_price_list[[Product Name]:[Column1]],7,0)</f>
        <v>#N/A</v>
      </c>
      <c r="V5" s="786" t="s">
        <v>621</v>
      </c>
      <c r="W5" s="738" t="s">
        <v>622</v>
      </c>
      <c r="X5" s="745">
        <v>106105</v>
      </c>
      <c r="Y5" s="740" t="s">
        <v>625</v>
      </c>
      <c r="Z5" s="742" t="s">
        <v>610</v>
      </c>
      <c r="AA5" s="742" t="s">
        <v>1802</v>
      </c>
      <c r="AB5" s="746">
        <v>1</v>
      </c>
      <c r="AC5" s="747" t="s">
        <v>626</v>
      </c>
      <c r="AD5" s="744">
        <v>193.39</v>
      </c>
      <c r="AE5" s="787" t="s">
        <v>435</v>
      </c>
      <c r="AF5">
        <f>GDF_price_list[[#This Row],[Indicative 
FCA Price]]/GDF_price_list[[#This Row],[Unit]]</f>
        <v>193.39</v>
      </c>
    </row>
    <row r="6" spans="2:32" ht="17">
      <c r="B6" s="425" t="s">
        <v>157</v>
      </c>
      <c r="C6" s="53" t="s">
        <v>157</v>
      </c>
      <c r="D6" s="60"/>
      <c r="F6" s="55"/>
      <c r="G6" s="58" t="s">
        <v>151</v>
      </c>
      <c r="H6" s="58"/>
      <c r="I6" s="13"/>
      <c r="J6" s="13"/>
      <c r="K6" s="13"/>
      <c r="L6" s="416" t="s">
        <v>544</v>
      </c>
      <c r="M6" s="416" t="s">
        <v>542</v>
      </c>
      <c r="N6" s="416" t="s">
        <v>543</v>
      </c>
      <c r="O6" s="439" t="s">
        <v>1278</v>
      </c>
      <c r="P6" s="808">
        <v>1.7</v>
      </c>
      <c r="Q6" s="808">
        <v>1.5</v>
      </c>
      <c r="R6" s="417">
        <f>IFERROR(ROUND(Bunuri_lab_nomenc[[#This Row],[Cost unitate GFATM_valuta]]*VLOOKUP(Bunuri_lab_nomenc[[#This Row],[Valuta cost GFATM]],$B$58:$D$59,2,0),2),0)</f>
        <v>0.88</v>
      </c>
      <c r="S6" s="417">
        <f>IFERROR(VLOOKUP(Bunuri_lab_nomenc[[#This Row],[Denumire catalog GDF]],GDF_price_list[[Product Name]:[Column1]],8,0),"")</f>
        <v>5.0320000000000004E-2</v>
      </c>
      <c r="T6" s="417" t="str">
        <f>VLOOKUP(Bunuri_lab_nomenc[[#This Row],[Denumire catalog GDF]],GDF_price_list[[Product Name]:[Column1]],7,0)</f>
        <v>USD</v>
      </c>
      <c r="V6" s="786" t="s">
        <v>612</v>
      </c>
      <c r="W6" s="738" t="s">
        <v>627</v>
      </c>
      <c r="X6" s="739">
        <v>106225</v>
      </c>
      <c r="Y6" s="740" t="s">
        <v>632</v>
      </c>
      <c r="Z6" s="742" t="s">
        <v>610</v>
      </c>
      <c r="AA6" s="742" t="s">
        <v>1802</v>
      </c>
      <c r="AB6" s="742">
        <v>1</v>
      </c>
      <c r="AC6" s="747" t="s">
        <v>633</v>
      </c>
      <c r="AD6" s="744">
        <v>922.72</v>
      </c>
      <c r="AE6" s="787" t="s">
        <v>435</v>
      </c>
      <c r="AF6">
        <f>GDF_price_list[[#This Row],[Indicative 
FCA Price]]/GDF_price_list[[#This Row],[Unit]]</f>
        <v>922.72</v>
      </c>
    </row>
    <row r="7" spans="2:32" ht="34">
      <c r="B7" s="425" t="s">
        <v>158</v>
      </c>
      <c r="C7" s="53" t="s">
        <v>158</v>
      </c>
      <c r="D7" s="60"/>
      <c r="F7" s="55"/>
      <c r="G7" s="58" t="s">
        <v>152</v>
      </c>
      <c r="H7" s="58"/>
      <c r="I7" s="13" t="s">
        <v>249</v>
      </c>
      <c r="J7" s="13"/>
      <c r="K7" s="13"/>
      <c r="L7" s="416" t="s">
        <v>545</v>
      </c>
      <c r="M7" s="416" t="s">
        <v>542</v>
      </c>
      <c r="N7" s="416" t="s">
        <v>543</v>
      </c>
      <c r="O7" s="439"/>
      <c r="P7" s="417"/>
      <c r="Q7" s="417"/>
      <c r="R7" s="417">
        <f>IFERROR(ROUND(Bunuri_lab_nomenc[[#This Row],[Cost unitate GFATM_valuta]]*VLOOKUP(Bunuri_lab_nomenc[[#This Row],[Valuta cost GFATM]],$B$58:$D$59,2,0),2),0)</f>
        <v>0</v>
      </c>
      <c r="S7" s="417" t="str">
        <f>IFERROR(VLOOKUP(Bunuri_lab_nomenc[[#This Row],[Denumire catalog GDF]],GDF_price_list[[Product Name]:[Column1]],8,0),"")</f>
        <v/>
      </c>
      <c r="T7" s="417" t="e">
        <f>VLOOKUP(Bunuri_lab_nomenc[[#This Row],[Denumire catalog GDF]],GDF_price_list[[Product Name]:[Column1]],7,0)</f>
        <v>#N/A</v>
      </c>
      <c r="V7" s="786" t="s">
        <v>638</v>
      </c>
      <c r="W7" s="738" t="s">
        <v>639</v>
      </c>
      <c r="X7" s="739">
        <v>106377</v>
      </c>
      <c r="Y7" s="740" t="s">
        <v>640</v>
      </c>
      <c r="Z7" s="742" t="s">
        <v>610</v>
      </c>
      <c r="AA7" s="742" t="s">
        <v>1802</v>
      </c>
      <c r="AB7" s="742">
        <v>1</v>
      </c>
      <c r="AC7" s="743" t="s">
        <v>641</v>
      </c>
      <c r="AD7" s="744">
        <v>29.6</v>
      </c>
      <c r="AE7" s="787" t="s">
        <v>435</v>
      </c>
      <c r="AF7">
        <f>GDF_price_list[[#This Row],[Indicative 
FCA Price]]/GDF_price_list[[#This Row],[Unit]]</f>
        <v>29.6</v>
      </c>
    </row>
    <row r="8" spans="2:32" ht="187">
      <c r="B8" s="425" t="s">
        <v>159</v>
      </c>
      <c r="C8" s="53" t="s">
        <v>159</v>
      </c>
      <c r="D8" s="60"/>
      <c r="F8" s="55"/>
      <c r="G8" s="58" t="s">
        <v>153</v>
      </c>
      <c r="H8" s="58"/>
      <c r="I8" s="13"/>
      <c r="J8" s="13"/>
      <c r="K8" s="13"/>
      <c r="L8" s="416" t="s">
        <v>546</v>
      </c>
      <c r="M8" s="416" t="s">
        <v>542</v>
      </c>
      <c r="N8" s="416" t="s">
        <v>543</v>
      </c>
      <c r="O8" s="439"/>
      <c r="P8" s="417"/>
      <c r="Q8" s="417"/>
      <c r="R8" s="417">
        <f>IFERROR(ROUND(Bunuri_lab_nomenc[[#This Row],[Cost unitate GFATM_valuta]]*VLOOKUP(Bunuri_lab_nomenc[[#This Row],[Valuta cost GFATM]],$B$58:$D$59,2,0),2),0)</f>
        <v>0</v>
      </c>
      <c r="S8" s="417" t="str">
        <f>IFERROR(VLOOKUP(Bunuri_lab_nomenc[[#This Row],[Denumire catalog GDF]],GDF_price_list[[Product Name]:[Column1]],8,0),"")</f>
        <v/>
      </c>
      <c r="T8" s="417" t="e">
        <f>VLOOKUP(Bunuri_lab_nomenc[[#This Row],[Denumire catalog GDF]],GDF_price_list[[Product Name]:[Column1]],7,0)</f>
        <v>#N/A</v>
      </c>
      <c r="V8" s="786" t="s">
        <v>612</v>
      </c>
      <c r="W8" s="738" t="s">
        <v>642</v>
      </c>
      <c r="X8" s="745">
        <v>106677</v>
      </c>
      <c r="Y8" s="745" t="s">
        <v>643</v>
      </c>
      <c r="Z8" s="742" t="s">
        <v>616</v>
      </c>
      <c r="AA8" s="742" t="s">
        <v>1802</v>
      </c>
      <c r="AB8" s="746">
        <v>1</v>
      </c>
      <c r="AC8" s="745" t="s">
        <v>644</v>
      </c>
      <c r="AD8" s="748">
        <v>0</v>
      </c>
      <c r="AE8" s="788" t="s">
        <v>435</v>
      </c>
      <c r="AF8">
        <f>GDF_price_list[[#This Row],[Indicative 
FCA Price]]/GDF_price_list[[#This Row],[Unit]]</f>
        <v>0</v>
      </c>
    </row>
    <row r="9" spans="2:32" ht="17">
      <c r="B9" s="426" t="s">
        <v>160</v>
      </c>
      <c r="C9" s="54" t="s">
        <v>160</v>
      </c>
      <c r="D9" s="61"/>
      <c r="F9" s="55"/>
      <c r="G9" s="58" t="s">
        <v>185</v>
      </c>
      <c r="H9" s="58"/>
      <c r="I9" s="13"/>
      <c r="J9" s="13"/>
      <c r="K9" s="13"/>
      <c r="L9" s="416" t="s">
        <v>547</v>
      </c>
      <c r="M9" s="416" t="s">
        <v>542</v>
      </c>
      <c r="N9" s="416" t="s">
        <v>543</v>
      </c>
      <c r="O9" s="439"/>
      <c r="P9" s="417"/>
      <c r="Q9" s="417"/>
      <c r="R9" s="417">
        <f>IFERROR(ROUND(Bunuri_lab_nomenc[[#This Row],[Cost unitate GFATM_valuta]]*VLOOKUP(Bunuri_lab_nomenc[[#This Row],[Valuta cost GFATM]],$B$58:$D$59,2,0),2),0)</f>
        <v>0</v>
      </c>
      <c r="S9" s="417" t="str">
        <f>IFERROR(VLOOKUP(Bunuri_lab_nomenc[[#This Row],[Denumire catalog GDF]],GDF_price_list[[Product Name]:[Column1]],8,0),"")</f>
        <v/>
      </c>
      <c r="T9" s="417" t="e">
        <f>VLOOKUP(Bunuri_lab_nomenc[[#This Row],[Denumire catalog GDF]],GDF_price_list[[Product Name]:[Column1]],7,0)</f>
        <v>#N/A</v>
      </c>
      <c r="V9" s="786" t="s">
        <v>607</v>
      </c>
      <c r="W9" s="738" t="s">
        <v>645</v>
      </c>
      <c r="X9" s="739">
        <v>106356</v>
      </c>
      <c r="Y9" s="740" t="s">
        <v>646</v>
      </c>
      <c r="Z9" s="741" t="s">
        <v>610</v>
      </c>
      <c r="AA9" s="742" t="s">
        <v>1802</v>
      </c>
      <c r="AB9" s="742">
        <v>1</v>
      </c>
      <c r="AC9" s="743" t="s">
        <v>647</v>
      </c>
      <c r="AD9" s="744">
        <v>50.97</v>
      </c>
      <c r="AE9" s="787" t="s">
        <v>435</v>
      </c>
      <c r="AF9">
        <f>GDF_price_list[[#This Row],[Indicative 
FCA Price]]/GDF_price_list[[#This Row],[Unit]]</f>
        <v>50.97</v>
      </c>
    </row>
    <row r="10" spans="2:32" ht="34">
      <c r="B10" s="426" t="s">
        <v>161</v>
      </c>
      <c r="C10" s="54" t="s">
        <v>161</v>
      </c>
      <c r="D10" s="61"/>
      <c r="F10" s="55"/>
      <c r="G10" s="55" t="s">
        <v>291</v>
      </c>
      <c r="H10" s="55"/>
      <c r="L10" s="416" t="s">
        <v>548</v>
      </c>
      <c r="M10" s="416" t="s">
        <v>542</v>
      </c>
      <c r="N10" s="416" t="s">
        <v>543</v>
      </c>
      <c r="O10" s="439"/>
      <c r="P10" s="417"/>
      <c r="Q10" s="417"/>
      <c r="R10" s="417">
        <f>IFERROR(ROUND(Bunuri_lab_nomenc[[#This Row],[Cost unitate GFATM_valuta]]*VLOOKUP(Bunuri_lab_nomenc[[#This Row],[Valuta cost GFATM]],$B$58:$D$59,2,0),2),0)</f>
        <v>0</v>
      </c>
      <c r="S10" s="417" t="str">
        <f>IFERROR(VLOOKUP(Bunuri_lab_nomenc[[#This Row],[Denumire catalog GDF]],GDF_price_list[[Product Name]:[Column1]],8,0),"")</f>
        <v/>
      </c>
      <c r="T10" s="417" t="e">
        <f>VLOOKUP(Bunuri_lab_nomenc[[#This Row],[Denumire catalog GDF]],GDF_price_list[[Product Name]:[Column1]],7,0)</f>
        <v>#N/A</v>
      </c>
      <c r="V10" s="786" t="s">
        <v>638</v>
      </c>
      <c r="W10" s="738" t="s">
        <v>639</v>
      </c>
      <c r="X10" s="745">
        <v>106507</v>
      </c>
      <c r="Y10" s="740" t="s">
        <v>662</v>
      </c>
      <c r="Z10" s="742" t="s">
        <v>610</v>
      </c>
      <c r="AA10" s="742" t="s">
        <v>1802</v>
      </c>
      <c r="AB10" s="742">
        <v>1</v>
      </c>
      <c r="AC10" s="743" t="s">
        <v>663</v>
      </c>
      <c r="AD10" s="744">
        <v>90.74</v>
      </c>
      <c r="AE10" s="787" t="s">
        <v>435</v>
      </c>
      <c r="AF10">
        <f>GDF_price_list[[#This Row],[Indicative 
FCA Price]]/GDF_price_list[[#This Row],[Unit]]</f>
        <v>90.74</v>
      </c>
    </row>
    <row r="11" spans="2:32" ht="17">
      <c r="B11" s="425" t="s">
        <v>162</v>
      </c>
      <c r="C11" s="53" t="s">
        <v>162</v>
      </c>
      <c r="D11" s="60"/>
      <c r="F11" s="55"/>
      <c r="G11" s="55" t="s">
        <v>238</v>
      </c>
      <c r="H11" s="55"/>
      <c r="L11" s="416" t="s">
        <v>549</v>
      </c>
      <c r="M11" s="416" t="s">
        <v>542</v>
      </c>
      <c r="N11" s="416" t="s">
        <v>543</v>
      </c>
      <c r="O11" s="439"/>
      <c r="P11" s="417"/>
      <c r="Q11" s="417"/>
      <c r="R11" s="417">
        <f>IFERROR(ROUND(Bunuri_lab_nomenc[[#This Row],[Cost unitate GFATM_valuta]]*VLOOKUP(Bunuri_lab_nomenc[[#This Row],[Valuta cost GFATM]],$B$58:$D$59,2,0),2),0)</f>
        <v>0</v>
      </c>
      <c r="S11" s="417" t="str">
        <f>IFERROR(VLOOKUP(Bunuri_lab_nomenc[[#This Row],[Denumire catalog GDF]],GDF_price_list[[Product Name]:[Column1]],8,0),"")</f>
        <v/>
      </c>
      <c r="T11" s="417" t="e">
        <f>VLOOKUP(Bunuri_lab_nomenc[[#This Row],[Denumire catalog GDF]],GDF_price_list[[Product Name]:[Column1]],7,0)</f>
        <v>#N/A</v>
      </c>
      <c r="V11" s="786" t="s">
        <v>607</v>
      </c>
      <c r="W11" s="738" t="s">
        <v>645</v>
      </c>
      <c r="X11" s="745">
        <v>106240</v>
      </c>
      <c r="Y11" s="740" t="s">
        <v>664</v>
      </c>
      <c r="Z11" s="741" t="s">
        <v>610</v>
      </c>
      <c r="AA11" s="742" t="s">
        <v>1802</v>
      </c>
      <c r="AB11" s="746">
        <v>1</v>
      </c>
      <c r="AC11" s="743" t="s">
        <v>665</v>
      </c>
      <c r="AD11" s="744">
        <v>4.12</v>
      </c>
      <c r="AE11" s="787" t="s">
        <v>435</v>
      </c>
      <c r="AF11">
        <f>GDF_price_list[[#This Row],[Indicative 
FCA Price]]/GDF_price_list[[#This Row],[Unit]]</f>
        <v>4.12</v>
      </c>
    </row>
    <row r="12" spans="2:32" ht="68">
      <c r="B12" s="425" t="s">
        <v>163</v>
      </c>
      <c r="C12" s="53" t="s">
        <v>163</v>
      </c>
      <c r="D12" s="60"/>
      <c r="F12" s="55"/>
      <c r="G12" s="55"/>
      <c r="H12" s="55"/>
      <c r="L12" s="416" t="s">
        <v>550</v>
      </c>
      <c r="M12" s="416" t="s">
        <v>551</v>
      </c>
      <c r="N12" s="416" t="s">
        <v>543</v>
      </c>
      <c r="O12" s="439"/>
      <c r="P12" s="417"/>
      <c r="Q12" s="417"/>
      <c r="R12" s="417">
        <f>IFERROR(ROUND(Bunuri_lab_nomenc[[#This Row],[Cost unitate GFATM_valuta]]*VLOOKUP(Bunuri_lab_nomenc[[#This Row],[Valuta cost GFATM]],$B$58:$D$59,2,0),2),0)</f>
        <v>0</v>
      </c>
      <c r="S12" s="417" t="str">
        <f>IFERROR(VLOOKUP(Bunuri_lab_nomenc[[#This Row],[Denumire catalog GDF]],GDF_price_list[[Product Name]:[Column1]],8,0),"")</f>
        <v/>
      </c>
      <c r="T12" s="417" t="e">
        <f>VLOOKUP(Bunuri_lab_nomenc[[#This Row],[Denumire catalog GDF]],GDF_price_list[[Product Name]:[Column1]],7,0)</f>
        <v>#N/A</v>
      </c>
      <c r="V12" s="786" t="s">
        <v>648</v>
      </c>
      <c r="W12" s="738" t="s">
        <v>679</v>
      </c>
      <c r="X12" s="745">
        <v>106128</v>
      </c>
      <c r="Y12" s="754" t="s">
        <v>680</v>
      </c>
      <c r="Z12" s="742" t="s">
        <v>610</v>
      </c>
      <c r="AA12" s="742" t="s">
        <v>1802</v>
      </c>
      <c r="AB12" s="746">
        <v>1</v>
      </c>
      <c r="AC12" s="743" t="s">
        <v>681</v>
      </c>
      <c r="AD12" s="744">
        <v>2256.67</v>
      </c>
      <c r="AE12" s="787" t="s">
        <v>435</v>
      </c>
      <c r="AF12">
        <f>GDF_price_list[[#This Row],[Indicative 
FCA Price]]/GDF_price_list[[#This Row],[Unit]]</f>
        <v>2256.67</v>
      </c>
    </row>
    <row r="13" spans="2:32" ht="17">
      <c r="B13" s="426" t="s">
        <v>164</v>
      </c>
      <c r="C13" s="54" t="s">
        <v>164</v>
      </c>
      <c r="D13" s="61"/>
      <c r="F13" s="55"/>
      <c r="G13" s="55"/>
      <c r="H13" s="55"/>
      <c r="L13" s="416" t="s">
        <v>552</v>
      </c>
      <c r="M13" s="416" t="s">
        <v>542</v>
      </c>
      <c r="N13" s="416" t="s">
        <v>543</v>
      </c>
      <c r="O13" s="439"/>
      <c r="P13" s="417"/>
      <c r="Q13" s="417"/>
      <c r="R13" s="417">
        <f>IFERROR(ROUND(Bunuri_lab_nomenc[[#This Row],[Cost unitate GFATM_valuta]]*VLOOKUP(Bunuri_lab_nomenc[[#This Row],[Valuta cost GFATM]],$B$58:$D$59,2,0),2),0)</f>
        <v>0</v>
      </c>
      <c r="S13" s="417" t="str">
        <f>IFERROR(VLOOKUP(Bunuri_lab_nomenc[[#This Row],[Denumire catalog GDF]],GDF_price_list[[Product Name]:[Column1]],8,0),"")</f>
        <v/>
      </c>
      <c r="T13" s="417" t="e">
        <f>VLOOKUP(Bunuri_lab_nomenc[[#This Row],[Denumire catalog GDF]],GDF_price_list[[Product Name]:[Column1]],7,0)</f>
        <v>#N/A</v>
      </c>
      <c r="V13" s="786" t="s">
        <v>621</v>
      </c>
      <c r="W13" s="738" t="s">
        <v>682</v>
      </c>
      <c r="X13" s="745">
        <v>106108</v>
      </c>
      <c r="Y13" s="740" t="s">
        <v>683</v>
      </c>
      <c r="Z13" s="742" t="s">
        <v>610</v>
      </c>
      <c r="AA13" s="742" t="s">
        <v>1802</v>
      </c>
      <c r="AB13" s="746">
        <v>1</v>
      </c>
      <c r="AC13" s="743" t="s">
        <v>684</v>
      </c>
      <c r="AD13" s="744">
        <v>617.5</v>
      </c>
      <c r="AE13" s="787" t="s">
        <v>435</v>
      </c>
      <c r="AF13">
        <f>GDF_price_list[[#This Row],[Indicative 
FCA Price]]/GDF_price_list[[#This Row],[Unit]]</f>
        <v>617.5</v>
      </c>
    </row>
    <row r="14" spans="2:32" ht="187">
      <c r="B14" s="426" t="s">
        <v>165</v>
      </c>
      <c r="C14" s="54" t="s">
        <v>165</v>
      </c>
      <c r="D14" s="61"/>
      <c r="F14" s="55"/>
      <c r="G14" s="55"/>
      <c r="H14" s="55"/>
      <c r="L14" s="416" t="s">
        <v>553</v>
      </c>
      <c r="M14" s="416" t="s">
        <v>542</v>
      </c>
      <c r="N14" s="416" t="s">
        <v>554</v>
      </c>
      <c r="O14" s="439"/>
      <c r="P14" s="417"/>
      <c r="Q14" s="417"/>
      <c r="R14" s="417">
        <f>IFERROR(ROUND(Bunuri_lab_nomenc[[#This Row],[Cost unitate GFATM_valuta]]*VLOOKUP(Bunuri_lab_nomenc[[#This Row],[Valuta cost GFATM]],$B$58:$D$59,2,0),2),0)</f>
        <v>0</v>
      </c>
      <c r="S14" s="417" t="str">
        <f>IFERROR(VLOOKUP(Bunuri_lab_nomenc[[#This Row],[Denumire catalog GDF]],GDF_price_list[[Product Name]:[Column1]],8,0),"")</f>
        <v/>
      </c>
      <c r="T14" s="417" t="e">
        <f>VLOOKUP(Bunuri_lab_nomenc[[#This Row],[Denumire catalog GDF]],GDF_price_list[[Product Name]:[Column1]],7,0)</f>
        <v>#N/A</v>
      </c>
      <c r="V14" s="786" t="s">
        <v>621</v>
      </c>
      <c r="W14" s="738" t="s">
        <v>701</v>
      </c>
      <c r="X14" s="757">
        <v>106116</v>
      </c>
      <c r="Y14" s="758" t="s">
        <v>702</v>
      </c>
      <c r="Z14" s="759" t="s">
        <v>610</v>
      </c>
      <c r="AA14" s="742" t="s">
        <v>1802</v>
      </c>
      <c r="AB14" s="759">
        <v>1</v>
      </c>
      <c r="AC14" s="760" t="s">
        <v>703</v>
      </c>
      <c r="AD14" s="761">
        <v>15459.12</v>
      </c>
      <c r="AE14" s="791" t="s">
        <v>435</v>
      </c>
      <c r="AF14">
        <f>GDF_price_list[[#This Row],[Indicative 
FCA Price]]/GDF_price_list[[#This Row],[Unit]]</f>
        <v>15459.12</v>
      </c>
    </row>
    <row r="15" spans="2:32" ht="187">
      <c r="B15" s="425" t="s">
        <v>166</v>
      </c>
      <c r="C15" s="53" t="s">
        <v>166</v>
      </c>
      <c r="D15" s="60"/>
      <c r="F15" s="55"/>
      <c r="G15" s="55"/>
      <c r="H15" s="55"/>
      <c r="L15" s="416" t="s">
        <v>555</v>
      </c>
      <c r="M15" s="416" t="s">
        <v>542</v>
      </c>
      <c r="N15" s="416" t="s">
        <v>554</v>
      </c>
      <c r="O15" s="439"/>
      <c r="P15" s="417"/>
      <c r="Q15" s="417"/>
      <c r="R15" s="417">
        <f>IFERROR(ROUND(Bunuri_lab_nomenc[[#This Row],[Cost unitate GFATM_valuta]]*VLOOKUP(Bunuri_lab_nomenc[[#This Row],[Valuta cost GFATM]],$B$58:$D$59,2,0),2),0)</f>
        <v>0</v>
      </c>
      <c r="S15" s="417" t="str">
        <f>IFERROR(VLOOKUP(Bunuri_lab_nomenc[[#This Row],[Denumire catalog GDF]],GDF_price_list[[Product Name]:[Column1]],8,0),"")</f>
        <v/>
      </c>
      <c r="T15" s="417" t="e">
        <f>VLOOKUP(Bunuri_lab_nomenc[[#This Row],[Denumire catalog GDF]],GDF_price_list[[Product Name]:[Column1]],7,0)</f>
        <v>#N/A</v>
      </c>
      <c r="V15" s="786" t="s">
        <v>621</v>
      </c>
      <c r="W15" s="738" t="s">
        <v>701</v>
      </c>
      <c r="X15" s="762">
        <v>106116</v>
      </c>
      <c r="Y15" s="758" t="s">
        <v>702</v>
      </c>
      <c r="Z15" s="759" t="s">
        <v>610</v>
      </c>
      <c r="AA15" s="742" t="s">
        <v>1802</v>
      </c>
      <c r="AB15" s="759">
        <v>1</v>
      </c>
      <c r="AC15" s="760" t="s">
        <v>704</v>
      </c>
      <c r="AD15" s="761">
        <v>21323.38</v>
      </c>
      <c r="AE15" s="791" t="s">
        <v>435</v>
      </c>
      <c r="AF15">
        <f>GDF_price_list[[#This Row],[Indicative 
FCA Price]]/GDF_price_list[[#This Row],[Unit]]</f>
        <v>21323.38</v>
      </c>
    </row>
    <row r="16" spans="2:32" ht="170">
      <c r="B16" s="425" t="s">
        <v>167</v>
      </c>
      <c r="C16" s="53" t="s">
        <v>167</v>
      </c>
      <c r="D16" s="60"/>
      <c r="F16" s="55"/>
      <c r="G16" s="55"/>
      <c r="H16" s="55"/>
      <c r="L16" s="416" t="s">
        <v>556</v>
      </c>
      <c r="M16" s="416" t="s">
        <v>542</v>
      </c>
      <c r="N16" s="416" t="s">
        <v>554</v>
      </c>
      <c r="O16" s="439"/>
      <c r="P16" s="417"/>
      <c r="Q16" s="417"/>
      <c r="R16" s="417">
        <f>IFERROR(ROUND(Bunuri_lab_nomenc[[#This Row],[Cost unitate GFATM_valuta]]*VLOOKUP(Bunuri_lab_nomenc[[#This Row],[Valuta cost GFATM]],$B$58:$D$59,2,0),2),0)</f>
        <v>0</v>
      </c>
      <c r="S16" s="417" t="str">
        <f>IFERROR(VLOOKUP(Bunuri_lab_nomenc[[#This Row],[Denumire catalog GDF]],GDF_price_list[[Product Name]:[Column1]],8,0),"")</f>
        <v/>
      </c>
      <c r="T16" s="417" t="e">
        <f>VLOOKUP(Bunuri_lab_nomenc[[#This Row],[Denumire catalog GDF]],GDF_price_list[[Product Name]:[Column1]],7,0)</f>
        <v>#N/A</v>
      </c>
      <c r="V16" s="786" t="s">
        <v>621</v>
      </c>
      <c r="W16" s="738" t="s">
        <v>701</v>
      </c>
      <c r="X16" s="757">
        <v>106117</v>
      </c>
      <c r="Y16" s="758" t="s">
        <v>705</v>
      </c>
      <c r="Z16" s="759" t="s">
        <v>610</v>
      </c>
      <c r="AA16" s="742" t="s">
        <v>1802</v>
      </c>
      <c r="AB16" s="759">
        <v>1</v>
      </c>
      <c r="AC16" s="760" t="s">
        <v>706</v>
      </c>
      <c r="AD16" s="761">
        <v>17168.580000000002</v>
      </c>
      <c r="AE16" s="791" t="s">
        <v>435</v>
      </c>
      <c r="AF16">
        <f>GDF_price_list[[#This Row],[Indicative 
FCA Price]]/GDF_price_list[[#This Row],[Unit]]</f>
        <v>17168.580000000002</v>
      </c>
    </row>
    <row r="17" spans="2:32" ht="170">
      <c r="B17" s="427" t="s">
        <v>290</v>
      </c>
      <c r="C17" s="55" t="s">
        <v>290</v>
      </c>
      <c r="D17" s="62"/>
      <c r="F17" s="55"/>
      <c r="G17" s="55"/>
      <c r="H17" s="55"/>
      <c r="L17" s="416" t="s">
        <v>557</v>
      </c>
      <c r="M17" s="416" t="s">
        <v>542</v>
      </c>
      <c r="N17" s="416" t="s">
        <v>554</v>
      </c>
      <c r="O17" s="439"/>
      <c r="P17" s="417"/>
      <c r="Q17" s="417"/>
      <c r="R17" s="417">
        <f>IFERROR(ROUND(Bunuri_lab_nomenc[[#This Row],[Cost unitate GFATM_valuta]]*VLOOKUP(Bunuri_lab_nomenc[[#This Row],[Valuta cost GFATM]],$B$58:$D$59,2,0),2),0)</f>
        <v>0</v>
      </c>
      <c r="S17" s="417" t="str">
        <f>IFERROR(VLOOKUP(Bunuri_lab_nomenc[[#This Row],[Denumire catalog GDF]],GDF_price_list[[Product Name]:[Column1]],8,0),"")</f>
        <v/>
      </c>
      <c r="T17" s="417" t="e">
        <f>VLOOKUP(Bunuri_lab_nomenc[[#This Row],[Denumire catalog GDF]],GDF_price_list[[Product Name]:[Column1]],7,0)</f>
        <v>#N/A</v>
      </c>
      <c r="V17" s="786" t="s">
        <v>621</v>
      </c>
      <c r="W17" s="738" t="s">
        <v>701</v>
      </c>
      <c r="X17" s="757">
        <v>106117</v>
      </c>
      <c r="Y17" s="758" t="s">
        <v>705</v>
      </c>
      <c r="Z17" s="759" t="s">
        <v>610</v>
      </c>
      <c r="AA17" s="742" t="s">
        <v>1802</v>
      </c>
      <c r="AB17" s="759">
        <v>1</v>
      </c>
      <c r="AC17" s="760" t="s">
        <v>707</v>
      </c>
      <c r="AD17" s="761">
        <v>20121.28</v>
      </c>
      <c r="AE17" s="791" t="s">
        <v>435</v>
      </c>
      <c r="AF17">
        <f>GDF_price_list[[#This Row],[Indicative 
FCA Price]]/GDF_price_list[[#This Row],[Unit]]</f>
        <v>20121.28</v>
      </c>
    </row>
    <row r="18" spans="2:32" ht="51">
      <c r="B18" s="427"/>
      <c r="C18" s="53"/>
      <c r="D18" s="62"/>
      <c r="F18" s="55"/>
      <c r="G18" s="55"/>
      <c r="H18" s="55"/>
      <c r="L18" s="416" t="s">
        <v>558</v>
      </c>
      <c r="M18" s="416" t="s">
        <v>542</v>
      </c>
      <c r="N18" s="416" t="s">
        <v>554</v>
      </c>
      <c r="O18" s="439"/>
      <c r="P18" s="417"/>
      <c r="Q18" s="417"/>
      <c r="R18" s="417">
        <f>IFERROR(ROUND(Bunuri_lab_nomenc[[#This Row],[Cost unitate GFATM_valuta]]*VLOOKUP(Bunuri_lab_nomenc[[#This Row],[Valuta cost GFATM]],$B$58:$D$59,2,0),2),0)</f>
        <v>0</v>
      </c>
      <c r="S18" s="417" t="str">
        <f>IFERROR(VLOOKUP(Bunuri_lab_nomenc[[#This Row],[Denumire catalog GDF]],GDF_price_list[[Product Name]:[Column1]],8,0),"")</f>
        <v/>
      </c>
      <c r="T18" s="417" t="e">
        <f>VLOOKUP(Bunuri_lab_nomenc[[#This Row],[Denumire catalog GDF]],GDF_price_list[[Product Name]:[Column1]],7,0)</f>
        <v>#N/A</v>
      </c>
      <c r="V18" s="786" t="s">
        <v>621</v>
      </c>
      <c r="W18" s="738" t="s">
        <v>701</v>
      </c>
      <c r="X18" s="757">
        <v>106120</v>
      </c>
      <c r="Y18" s="763" t="s">
        <v>708</v>
      </c>
      <c r="Z18" s="759" t="s">
        <v>610</v>
      </c>
      <c r="AA18" s="742" t="s">
        <v>1802</v>
      </c>
      <c r="AB18" s="759">
        <v>1</v>
      </c>
      <c r="AC18" s="747" t="s">
        <v>709</v>
      </c>
      <c r="AD18" s="761">
        <v>180.07</v>
      </c>
      <c r="AE18" s="791" t="s">
        <v>435</v>
      </c>
      <c r="AF18">
        <f>GDF_price_list[[#This Row],[Indicative 
FCA Price]]/GDF_price_list[[#This Row],[Unit]]</f>
        <v>180.07</v>
      </c>
    </row>
    <row r="19" spans="2:32" ht="51">
      <c r="B19" s="427"/>
      <c r="C19" s="55"/>
      <c r="D19" s="62"/>
      <c r="F19" s="55"/>
      <c r="G19" s="55"/>
      <c r="H19" s="55"/>
      <c r="L19" s="416" t="s">
        <v>559</v>
      </c>
      <c r="M19" s="416" t="s">
        <v>535</v>
      </c>
      <c r="N19" s="416" t="s">
        <v>536</v>
      </c>
      <c r="O19" s="439"/>
      <c r="P19" s="417"/>
      <c r="Q19" s="417"/>
      <c r="R19" s="417">
        <f>IFERROR(ROUND(Bunuri_lab_nomenc[[#This Row],[Cost unitate GFATM_valuta]]*VLOOKUP(Bunuri_lab_nomenc[[#This Row],[Valuta cost GFATM]],$B$58:$D$59,2,0),2),0)</f>
        <v>0</v>
      </c>
      <c r="S19" s="417" t="str">
        <f>IFERROR(VLOOKUP(Bunuri_lab_nomenc[[#This Row],[Denumire catalog GDF]],GDF_price_list[[Product Name]:[Column1]],8,0),"")</f>
        <v/>
      </c>
      <c r="T19" s="417" t="e">
        <f>VLOOKUP(Bunuri_lab_nomenc[[#This Row],[Denumire catalog GDF]],GDF_price_list[[Product Name]:[Column1]],7,0)</f>
        <v>#N/A</v>
      </c>
      <c r="V19" s="786" t="s">
        <v>621</v>
      </c>
      <c r="W19" s="738" t="s">
        <v>701</v>
      </c>
      <c r="X19" s="757">
        <v>106120</v>
      </c>
      <c r="Y19" s="763" t="s">
        <v>708</v>
      </c>
      <c r="Z19" s="759" t="s">
        <v>610</v>
      </c>
      <c r="AA19" s="742" t="s">
        <v>1802</v>
      </c>
      <c r="AB19" s="759">
        <v>1</v>
      </c>
      <c r="AC19" s="747" t="s">
        <v>710</v>
      </c>
      <c r="AD19" s="761">
        <v>180.07</v>
      </c>
      <c r="AE19" s="791" t="s">
        <v>435</v>
      </c>
      <c r="AF19">
        <f>GDF_price_list[[#This Row],[Indicative 
FCA Price]]/GDF_price_list[[#This Row],[Unit]]</f>
        <v>180.07</v>
      </c>
    </row>
    <row r="20" spans="2:32" ht="51">
      <c r="B20" s="427"/>
      <c r="C20" s="55"/>
      <c r="D20" s="62"/>
      <c r="F20" s="55"/>
      <c r="G20" s="55"/>
      <c r="H20" s="55"/>
      <c r="L20" s="416" t="s">
        <v>560</v>
      </c>
      <c r="M20" s="416" t="s">
        <v>535</v>
      </c>
      <c r="N20" s="416" t="s">
        <v>536</v>
      </c>
      <c r="O20" s="439"/>
      <c r="P20" s="417"/>
      <c r="Q20" s="417"/>
      <c r="R20" s="417">
        <f>IFERROR(ROUND(Bunuri_lab_nomenc[[#This Row],[Cost unitate GFATM_valuta]]*VLOOKUP(Bunuri_lab_nomenc[[#This Row],[Valuta cost GFATM]],$B$58:$D$59,2,0),2),0)</f>
        <v>0</v>
      </c>
      <c r="S20" s="417" t="str">
        <f>IFERROR(VLOOKUP(Bunuri_lab_nomenc[[#This Row],[Denumire catalog GDF]],GDF_price_list[[Product Name]:[Column1]],8,0),"")</f>
        <v/>
      </c>
      <c r="T20" s="417" t="e">
        <f>VLOOKUP(Bunuri_lab_nomenc[[#This Row],[Denumire catalog GDF]],GDF_price_list[[Product Name]:[Column1]],7,0)</f>
        <v>#N/A</v>
      </c>
      <c r="V20" s="786" t="s">
        <v>621</v>
      </c>
      <c r="W20" s="738" t="s">
        <v>701</v>
      </c>
      <c r="X20" s="757">
        <v>106120</v>
      </c>
      <c r="Y20" s="763" t="s">
        <v>708</v>
      </c>
      <c r="Z20" s="759" t="s">
        <v>610</v>
      </c>
      <c r="AA20" s="742" t="s">
        <v>1802</v>
      </c>
      <c r="AB20" s="759">
        <v>1</v>
      </c>
      <c r="AC20" s="747" t="s">
        <v>711</v>
      </c>
      <c r="AD20" s="761">
        <v>1043.44</v>
      </c>
      <c r="AE20" s="791" t="s">
        <v>435</v>
      </c>
      <c r="AF20">
        <f>GDF_price_list[[#This Row],[Indicative 
FCA Price]]/GDF_price_list[[#This Row],[Unit]]</f>
        <v>1043.44</v>
      </c>
    </row>
    <row r="21" spans="2:32" ht="51">
      <c r="B21" s="427"/>
      <c r="C21" s="55"/>
      <c r="D21" s="62"/>
      <c r="F21" s="55"/>
      <c r="G21" s="55"/>
      <c r="H21" s="55"/>
      <c r="L21" s="416" t="s">
        <v>561</v>
      </c>
      <c r="M21" s="416" t="s">
        <v>535</v>
      </c>
      <c r="N21" s="416" t="s">
        <v>536</v>
      </c>
      <c r="O21" s="439"/>
      <c r="P21" s="417"/>
      <c r="Q21" s="417"/>
      <c r="R21" s="417">
        <f>IFERROR(ROUND(Bunuri_lab_nomenc[[#This Row],[Cost unitate GFATM_valuta]]*VLOOKUP(Bunuri_lab_nomenc[[#This Row],[Valuta cost GFATM]],$B$58:$D$59,2,0),2),0)</f>
        <v>0</v>
      </c>
      <c r="S21" s="417" t="str">
        <f>IFERROR(VLOOKUP(Bunuri_lab_nomenc[[#This Row],[Denumire catalog GDF]],GDF_price_list[[Product Name]:[Column1]],8,0),"")</f>
        <v/>
      </c>
      <c r="T21" s="417" t="e">
        <f>VLOOKUP(Bunuri_lab_nomenc[[#This Row],[Denumire catalog GDF]],GDF_price_list[[Product Name]:[Column1]],7,0)</f>
        <v>#N/A</v>
      </c>
      <c r="V21" s="786" t="s">
        <v>621</v>
      </c>
      <c r="W21" s="738" t="s">
        <v>701</v>
      </c>
      <c r="X21" s="757">
        <v>106120</v>
      </c>
      <c r="Y21" s="763" t="s">
        <v>708</v>
      </c>
      <c r="Z21" s="759" t="s">
        <v>610</v>
      </c>
      <c r="AA21" s="742" t="s">
        <v>1802</v>
      </c>
      <c r="AB21" s="759">
        <v>1</v>
      </c>
      <c r="AC21" s="747" t="s">
        <v>712</v>
      </c>
      <c r="AD21" s="761">
        <v>1043.44</v>
      </c>
      <c r="AE21" s="791" t="s">
        <v>435</v>
      </c>
      <c r="AF21">
        <f>GDF_price_list[[#This Row],[Indicative 
FCA Price]]/GDF_price_list[[#This Row],[Unit]]</f>
        <v>1043.44</v>
      </c>
    </row>
    <row r="22" spans="2:32" ht="51">
      <c r="B22" s="427"/>
      <c r="C22" s="55"/>
      <c r="D22" s="62"/>
      <c r="F22" s="55"/>
      <c r="G22" s="55"/>
      <c r="H22" s="55"/>
      <c r="L22" s="416" t="s">
        <v>562</v>
      </c>
      <c r="M22" s="416" t="s">
        <v>542</v>
      </c>
      <c r="N22" s="416" t="s">
        <v>554</v>
      </c>
      <c r="O22" s="439"/>
      <c r="P22" s="417"/>
      <c r="Q22" s="417"/>
      <c r="R22" s="417">
        <f>IFERROR(ROUND(Bunuri_lab_nomenc[[#This Row],[Cost unitate GFATM_valuta]]*VLOOKUP(Bunuri_lab_nomenc[[#This Row],[Valuta cost GFATM]],$B$58:$D$59,2,0),2),0)</f>
        <v>0</v>
      </c>
      <c r="S22" s="417" t="str">
        <f>IFERROR(VLOOKUP(Bunuri_lab_nomenc[[#This Row],[Denumire catalog GDF]],GDF_price_list[[Product Name]:[Column1]],8,0),"")</f>
        <v/>
      </c>
      <c r="T22" s="417" t="e">
        <f>VLOOKUP(Bunuri_lab_nomenc[[#This Row],[Denumire catalog GDF]],GDF_price_list[[Product Name]:[Column1]],7,0)</f>
        <v>#N/A</v>
      </c>
      <c r="V22" s="786" t="s">
        <v>621</v>
      </c>
      <c r="W22" s="738" t="s">
        <v>701</v>
      </c>
      <c r="X22" s="757">
        <v>106119</v>
      </c>
      <c r="Y22" s="763" t="s">
        <v>713</v>
      </c>
      <c r="Z22" s="759" t="s">
        <v>610</v>
      </c>
      <c r="AA22" s="742" t="s">
        <v>1802</v>
      </c>
      <c r="AB22" s="759">
        <v>1</v>
      </c>
      <c r="AC22" s="747" t="s">
        <v>714</v>
      </c>
      <c r="AD22" s="761">
        <v>287.13</v>
      </c>
      <c r="AE22" s="791" t="s">
        <v>435</v>
      </c>
      <c r="AF22">
        <f>GDF_price_list[[#This Row],[Indicative 
FCA Price]]/GDF_price_list[[#This Row],[Unit]]</f>
        <v>287.13</v>
      </c>
    </row>
    <row r="23" spans="2:32" ht="52" thickBot="1">
      <c r="B23" s="428"/>
      <c r="C23" s="56"/>
      <c r="D23" s="63"/>
      <c r="F23" s="56"/>
      <c r="G23" s="56"/>
      <c r="H23" s="56"/>
      <c r="L23" s="416" t="s">
        <v>557</v>
      </c>
      <c r="M23" s="416" t="s">
        <v>542</v>
      </c>
      <c r="N23" s="416" t="s">
        <v>554</v>
      </c>
      <c r="O23" s="439"/>
      <c r="P23" s="417"/>
      <c r="Q23" s="417"/>
      <c r="R23" s="417">
        <f>IFERROR(ROUND(Bunuri_lab_nomenc[[#This Row],[Cost unitate GFATM_valuta]]*VLOOKUP(Bunuri_lab_nomenc[[#This Row],[Valuta cost GFATM]],$B$58:$D$59,2,0),2),0)</f>
        <v>0</v>
      </c>
      <c r="S23" s="417" t="str">
        <f>IFERROR(VLOOKUP(Bunuri_lab_nomenc[[#This Row],[Denumire catalog GDF]],GDF_price_list[[Product Name]:[Column1]],8,0),"")</f>
        <v/>
      </c>
      <c r="T23" s="417" t="e">
        <f>VLOOKUP(Bunuri_lab_nomenc[[#This Row],[Denumire catalog GDF]],GDF_price_list[[Product Name]:[Column1]],7,0)</f>
        <v>#N/A</v>
      </c>
      <c r="V23" s="786" t="s">
        <v>621</v>
      </c>
      <c r="W23" s="738" t="s">
        <v>701</v>
      </c>
      <c r="X23" s="757">
        <v>106119</v>
      </c>
      <c r="Y23" s="763" t="s">
        <v>713</v>
      </c>
      <c r="Z23" s="759" t="s">
        <v>610</v>
      </c>
      <c r="AA23" s="742" t="s">
        <v>1802</v>
      </c>
      <c r="AB23" s="759">
        <v>1</v>
      </c>
      <c r="AC23" s="747" t="s">
        <v>715</v>
      </c>
      <c r="AD23" s="761">
        <v>287.13</v>
      </c>
      <c r="AE23" s="791" t="s">
        <v>435</v>
      </c>
      <c r="AF23">
        <f>GDF_price_list[[#This Row],[Indicative 
FCA Price]]/GDF_price_list[[#This Row],[Unit]]</f>
        <v>287.13</v>
      </c>
    </row>
    <row r="24" spans="2:32" ht="51">
      <c r="L24" s="416" t="s">
        <v>563</v>
      </c>
      <c r="M24" s="416" t="s">
        <v>535</v>
      </c>
      <c r="N24" s="416" t="s">
        <v>536</v>
      </c>
      <c r="O24" s="439"/>
      <c r="P24" s="417"/>
      <c r="Q24" s="417"/>
      <c r="R24" s="417">
        <f>IFERROR(ROUND(Bunuri_lab_nomenc[[#This Row],[Cost unitate GFATM_valuta]]*VLOOKUP(Bunuri_lab_nomenc[[#This Row],[Valuta cost GFATM]],$B$58:$D$59,2,0),2),0)</f>
        <v>0</v>
      </c>
      <c r="S24" s="417" t="str">
        <f>IFERROR(VLOOKUP(Bunuri_lab_nomenc[[#This Row],[Denumire catalog GDF]],GDF_price_list[[Product Name]:[Column1]],8,0),"")</f>
        <v/>
      </c>
      <c r="T24" s="417" t="e">
        <f>VLOOKUP(Bunuri_lab_nomenc[[#This Row],[Denumire catalog GDF]],GDF_price_list[[Product Name]:[Column1]],7,0)</f>
        <v>#N/A</v>
      </c>
      <c r="V24" s="786" t="s">
        <v>621</v>
      </c>
      <c r="W24" s="738" t="s">
        <v>701</v>
      </c>
      <c r="X24" s="757">
        <v>106119</v>
      </c>
      <c r="Y24" s="763" t="s">
        <v>713</v>
      </c>
      <c r="Z24" s="759" t="s">
        <v>610</v>
      </c>
      <c r="AA24" s="742" t="s">
        <v>1802</v>
      </c>
      <c r="AB24" s="759">
        <v>1</v>
      </c>
      <c r="AC24" s="747" t="s">
        <v>716</v>
      </c>
      <c r="AD24" s="761">
        <v>427.57</v>
      </c>
      <c r="AE24" s="791" t="s">
        <v>435</v>
      </c>
      <c r="AF24">
        <f>GDF_price_list[[#This Row],[Indicative 
FCA Price]]/GDF_price_list[[#This Row],[Unit]]</f>
        <v>427.57</v>
      </c>
    </row>
    <row r="25" spans="2:32" ht="51">
      <c r="L25" s="416" t="s">
        <v>564</v>
      </c>
      <c r="M25" s="416" t="s">
        <v>296</v>
      </c>
      <c r="N25" s="416" t="s">
        <v>536</v>
      </c>
      <c r="O25" s="439"/>
      <c r="P25" s="417"/>
      <c r="Q25" s="417"/>
      <c r="R25" s="417">
        <f>IFERROR(ROUND(Bunuri_lab_nomenc[[#This Row],[Cost unitate GFATM_valuta]]*VLOOKUP(Bunuri_lab_nomenc[[#This Row],[Valuta cost GFATM]],$B$58:$D$59,2,0),2),0)</f>
        <v>0</v>
      </c>
      <c r="S25" s="417" t="str">
        <f>IFERROR(VLOOKUP(Bunuri_lab_nomenc[[#This Row],[Denumire catalog GDF]],GDF_price_list[[Product Name]:[Column1]],8,0),"")</f>
        <v/>
      </c>
      <c r="T25" s="417" t="e">
        <f>VLOOKUP(Bunuri_lab_nomenc[[#This Row],[Denumire catalog GDF]],GDF_price_list[[Product Name]:[Column1]],7,0)</f>
        <v>#N/A</v>
      </c>
      <c r="V25" s="786" t="s">
        <v>621</v>
      </c>
      <c r="W25" s="738" t="s">
        <v>701</v>
      </c>
      <c r="X25" s="757">
        <v>106119</v>
      </c>
      <c r="Y25" s="763" t="s">
        <v>713</v>
      </c>
      <c r="Z25" s="759" t="s">
        <v>610</v>
      </c>
      <c r="AA25" s="742" t="s">
        <v>1802</v>
      </c>
      <c r="AB25" s="759">
        <v>1</v>
      </c>
      <c r="AC25" s="747" t="s">
        <v>717</v>
      </c>
      <c r="AD25" s="761">
        <v>427.57</v>
      </c>
      <c r="AE25" s="791" t="s">
        <v>435</v>
      </c>
      <c r="AF25">
        <f>GDF_price_list[[#This Row],[Indicative 
FCA Price]]/GDF_price_list[[#This Row],[Unit]]</f>
        <v>427.57</v>
      </c>
    </row>
    <row r="26" spans="2:32" ht="51">
      <c r="L26" s="439" t="s">
        <v>565</v>
      </c>
      <c r="M26" s="416" t="s">
        <v>542</v>
      </c>
      <c r="N26" s="416" t="s">
        <v>536</v>
      </c>
      <c r="O26" s="439"/>
      <c r="P26" s="417"/>
      <c r="Q26" s="417"/>
      <c r="R26" s="417">
        <f>IFERROR(ROUND(Bunuri_lab_nomenc[[#This Row],[Cost unitate GFATM_valuta]]*VLOOKUP(Bunuri_lab_nomenc[[#This Row],[Valuta cost GFATM]],$B$58:$D$59,2,0),2),0)</f>
        <v>0</v>
      </c>
      <c r="S26" s="417" t="str">
        <f>IFERROR(VLOOKUP(Bunuri_lab_nomenc[[#This Row],[Denumire catalog GDF]],GDF_price_list[[Product Name]:[Column1]],8,0),"")</f>
        <v/>
      </c>
      <c r="T26" s="417" t="e">
        <f>VLOOKUP(Bunuri_lab_nomenc[[#This Row],[Denumire catalog GDF]],GDF_price_list[[Product Name]:[Column1]],7,0)</f>
        <v>#N/A</v>
      </c>
      <c r="V26" s="786" t="s">
        <v>718</v>
      </c>
      <c r="W26" s="738" t="s">
        <v>719</v>
      </c>
      <c r="X26" s="745">
        <v>106136</v>
      </c>
      <c r="Y26" s="740" t="s">
        <v>720</v>
      </c>
      <c r="Z26" s="742" t="s">
        <v>610</v>
      </c>
      <c r="AA26" s="742" t="s">
        <v>1802</v>
      </c>
      <c r="AB26" s="746">
        <v>1</v>
      </c>
      <c r="AC26" s="743" t="s">
        <v>721</v>
      </c>
      <c r="AD26" s="744">
        <v>3042.48</v>
      </c>
      <c r="AE26" s="787" t="s">
        <v>435</v>
      </c>
      <c r="AF26">
        <f>GDF_price_list[[#This Row],[Indicative 
FCA Price]]/GDF_price_list[[#This Row],[Unit]]</f>
        <v>3042.48</v>
      </c>
    </row>
    <row r="27" spans="2:32" ht="17">
      <c r="L27" s="416" t="s">
        <v>566</v>
      </c>
      <c r="M27" s="416" t="s">
        <v>542</v>
      </c>
      <c r="N27" s="416" t="s">
        <v>554</v>
      </c>
      <c r="O27" s="439"/>
      <c r="P27" s="417"/>
      <c r="Q27" s="417"/>
      <c r="R27" s="417">
        <f>IFERROR(ROUND(Bunuri_lab_nomenc[[#This Row],[Cost unitate GFATM_valuta]]*VLOOKUP(Bunuri_lab_nomenc[[#This Row],[Valuta cost GFATM]],$B$58:$D$59,2,0),2),0)</f>
        <v>0</v>
      </c>
      <c r="S27" s="417" t="str">
        <f>IFERROR(VLOOKUP(Bunuri_lab_nomenc[[#This Row],[Denumire catalog GDF]],GDF_price_list[[Product Name]:[Column1]],8,0),"")</f>
        <v/>
      </c>
      <c r="T27" s="417" t="e">
        <f>VLOOKUP(Bunuri_lab_nomenc[[#This Row],[Denumire catalog GDF]],GDF_price_list[[Product Name]:[Column1]],7,0)</f>
        <v>#N/A</v>
      </c>
      <c r="V27" s="786" t="s">
        <v>666</v>
      </c>
      <c r="W27" s="738" t="s">
        <v>722</v>
      </c>
      <c r="X27" s="739">
        <v>106408</v>
      </c>
      <c r="Y27" s="754" t="s">
        <v>723</v>
      </c>
      <c r="Z27" s="742" t="s">
        <v>673</v>
      </c>
      <c r="AA27" s="742" t="s">
        <v>1802</v>
      </c>
      <c r="AB27" s="742">
        <v>1</v>
      </c>
      <c r="AC27" s="743" t="s">
        <v>723</v>
      </c>
      <c r="AD27" s="753">
        <v>3500</v>
      </c>
      <c r="AE27" s="790" t="s">
        <v>435</v>
      </c>
      <c r="AF27">
        <f>GDF_price_list[[#This Row],[Indicative 
FCA Price]]/GDF_price_list[[#This Row],[Unit]]</f>
        <v>3500</v>
      </c>
    </row>
    <row r="28" spans="2:32" ht="120" thickBot="1">
      <c r="B28" t="s">
        <v>192</v>
      </c>
      <c r="C28" t="s">
        <v>191</v>
      </c>
      <c r="D28" t="s">
        <v>193</v>
      </c>
      <c r="L28" s="416" t="s">
        <v>567</v>
      </c>
      <c r="M28" s="416" t="s">
        <v>542</v>
      </c>
      <c r="N28" s="416" t="s">
        <v>554</v>
      </c>
      <c r="O28" s="439"/>
      <c r="P28" s="417"/>
      <c r="Q28" s="417"/>
      <c r="R28" s="417">
        <f>IFERROR(ROUND(Bunuri_lab_nomenc[[#This Row],[Cost unitate GFATM_valuta]]*VLOOKUP(Bunuri_lab_nomenc[[#This Row],[Valuta cost GFATM]],$B$58:$D$59,2,0),2),0)</f>
        <v>0</v>
      </c>
      <c r="S28" s="417" t="str">
        <f>IFERROR(VLOOKUP(Bunuri_lab_nomenc[[#This Row],[Denumire catalog GDF]],GDF_price_list[[Product Name]:[Column1]],8,0),"")</f>
        <v/>
      </c>
      <c r="T28" s="417" t="e">
        <f>VLOOKUP(Bunuri_lab_nomenc[[#This Row],[Denumire catalog GDF]],GDF_price_list[[Product Name]:[Column1]],7,0)</f>
        <v>#N/A</v>
      </c>
      <c r="V28" s="786" t="s">
        <v>666</v>
      </c>
      <c r="W28" s="738" t="s">
        <v>722</v>
      </c>
      <c r="X28" s="739">
        <v>106596</v>
      </c>
      <c r="Y28" s="740" t="s">
        <v>724</v>
      </c>
      <c r="Z28" s="742" t="s">
        <v>673</v>
      </c>
      <c r="AA28" s="742" t="s">
        <v>1802</v>
      </c>
      <c r="AB28" s="742">
        <v>1</v>
      </c>
      <c r="AC28" s="740" t="s">
        <v>725</v>
      </c>
      <c r="AD28" s="753">
        <v>19500</v>
      </c>
      <c r="AE28" s="790" t="s">
        <v>435</v>
      </c>
      <c r="AF28">
        <f>GDF_price_list[[#This Row],[Indicative 
FCA Price]]/GDF_price_list[[#This Row],[Unit]]</f>
        <v>19500</v>
      </c>
    </row>
    <row r="29" spans="2:32" ht="17">
      <c r="B29" s="64"/>
      <c r="C29" s="64" t="s">
        <v>284</v>
      </c>
      <c r="D29" s="64"/>
      <c r="L29" s="416" t="s">
        <v>568</v>
      </c>
      <c r="M29" s="416" t="s">
        <v>542</v>
      </c>
      <c r="N29" s="416" t="s">
        <v>554</v>
      </c>
      <c r="O29" s="439"/>
      <c r="P29" s="417"/>
      <c r="Q29" s="417"/>
      <c r="R29" s="417">
        <f>IFERROR(ROUND(Bunuri_lab_nomenc[[#This Row],[Cost unitate GFATM_valuta]]*VLOOKUP(Bunuri_lab_nomenc[[#This Row],[Valuta cost GFATM]],$B$58:$D$59,2,0),2),0)</f>
        <v>0</v>
      </c>
      <c r="S29" s="417" t="str">
        <f>IFERROR(VLOOKUP(Bunuri_lab_nomenc[[#This Row],[Denumire catalog GDF]],GDF_price_list[[Product Name]:[Column1]],8,0),"")</f>
        <v/>
      </c>
      <c r="T29" s="417" t="e">
        <f>VLOOKUP(Bunuri_lab_nomenc[[#This Row],[Denumire catalog GDF]],GDF_price_list[[Product Name]:[Column1]],7,0)</f>
        <v>#N/A</v>
      </c>
      <c r="V29" s="786" t="s">
        <v>666</v>
      </c>
      <c r="W29" s="738" t="s">
        <v>685</v>
      </c>
      <c r="X29" s="739">
        <v>106452</v>
      </c>
      <c r="Y29" s="740" t="s">
        <v>726</v>
      </c>
      <c r="Z29" s="742" t="s">
        <v>673</v>
      </c>
      <c r="AA29" s="742" t="s">
        <v>1802</v>
      </c>
      <c r="AB29" s="764">
        <v>1</v>
      </c>
      <c r="AC29" s="740" t="s">
        <v>727</v>
      </c>
      <c r="AD29" s="753">
        <v>135</v>
      </c>
      <c r="AE29" s="790" t="s">
        <v>435</v>
      </c>
      <c r="AF29">
        <f>GDF_price_list[[#This Row],[Indicative 
FCA Price]]/GDF_price_list[[#This Row],[Unit]]</f>
        <v>135</v>
      </c>
    </row>
    <row r="30" spans="2:32" ht="238">
      <c r="B30" s="55"/>
      <c r="C30" s="55" t="s">
        <v>190</v>
      </c>
      <c r="D30" s="55"/>
      <c r="L30" s="416" t="s">
        <v>569</v>
      </c>
      <c r="M30" s="416" t="s">
        <v>542</v>
      </c>
      <c r="N30" s="416" t="s">
        <v>554</v>
      </c>
      <c r="O30" s="439"/>
      <c r="P30" s="417"/>
      <c r="Q30" s="417"/>
      <c r="R30" s="417">
        <f>IFERROR(ROUND(Bunuri_lab_nomenc[[#This Row],[Cost unitate GFATM_valuta]]*VLOOKUP(Bunuri_lab_nomenc[[#This Row],[Valuta cost GFATM]],$B$58:$D$59,2,0),2),0)</f>
        <v>0</v>
      </c>
      <c r="S30" s="417" t="str">
        <f>IFERROR(VLOOKUP(Bunuri_lab_nomenc[[#This Row],[Denumire catalog GDF]],GDF_price_list[[Product Name]:[Column1]],8,0),"")</f>
        <v/>
      </c>
      <c r="T30" s="417" t="e">
        <f>VLOOKUP(Bunuri_lab_nomenc[[#This Row],[Denumire catalog GDF]],GDF_price_list[[Product Name]:[Column1]],7,0)</f>
        <v>#N/A</v>
      </c>
      <c r="V30" s="786" t="s">
        <v>666</v>
      </c>
      <c r="W30" s="738" t="s">
        <v>722</v>
      </c>
      <c r="X30" s="739">
        <v>106013</v>
      </c>
      <c r="Y30" s="740" t="s">
        <v>732</v>
      </c>
      <c r="Z30" s="742" t="s">
        <v>673</v>
      </c>
      <c r="AA30" s="742" t="s">
        <v>1802</v>
      </c>
      <c r="AB30" s="742">
        <v>1</v>
      </c>
      <c r="AC30" s="740" t="s">
        <v>733</v>
      </c>
      <c r="AD30" s="753">
        <v>38950</v>
      </c>
      <c r="AE30" s="790" t="s">
        <v>435</v>
      </c>
      <c r="AF30">
        <f>GDF_price_list[[#This Row],[Indicative 
FCA Price]]/GDF_price_list[[#This Row],[Unit]]</f>
        <v>38950</v>
      </c>
    </row>
    <row r="31" spans="2:32" ht="17">
      <c r="B31" s="55"/>
      <c r="C31" s="55" t="s">
        <v>251</v>
      </c>
      <c r="D31" s="55"/>
      <c r="L31" s="416" t="s">
        <v>570</v>
      </c>
      <c r="M31" s="416" t="s">
        <v>542</v>
      </c>
      <c r="N31" s="416" t="s">
        <v>554</v>
      </c>
      <c r="O31" s="439"/>
      <c r="P31" s="417"/>
      <c r="Q31" s="417"/>
      <c r="R31" s="417">
        <f>IFERROR(ROUND(Bunuri_lab_nomenc[[#This Row],[Cost unitate GFATM_valuta]]*VLOOKUP(Bunuri_lab_nomenc[[#This Row],[Valuta cost GFATM]],$B$58:$D$59,2,0),2),0)</f>
        <v>0</v>
      </c>
      <c r="S31" s="417" t="str">
        <f>IFERROR(VLOOKUP(Bunuri_lab_nomenc[[#This Row],[Denumire catalog GDF]],GDF_price_list[[Product Name]:[Column1]],8,0),"")</f>
        <v/>
      </c>
      <c r="T31" s="417" t="e">
        <f>VLOOKUP(Bunuri_lab_nomenc[[#This Row],[Denumire catalog GDF]],GDF_price_list[[Product Name]:[Column1]],7,0)</f>
        <v>#N/A</v>
      </c>
      <c r="V31" s="786" t="s">
        <v>666</v>
      </c>
      <c r="W31" s="738" t="s">
        <v>722</v>
      </c>
      <c r="X31" s="739">
        <v>106016</v>
      </c>
      <c r="Y31" s="754" t="s">
        <v>738</v>
      </c>
      <c r="Z31" s="742" t="s">
        <v>673</v>
      </c>
      <c r="AA31" s="742" t="s">
        <v>1802</v>
      </c>
      <c r="AB31" s="742">
        <v>1</v>
      </c>
      <c r="AC31" s="743" t="s">
        <v>739</v>
      </c>
      <c r="AD31" s="753">
        <v>532</v>
      </c>
      <c r="AE31" s="790" t="s">
        <v>435</v>
      </c>
      <c r="AF31">
        <f>GDF_price_list[[#This Row],[Indicative 
FCA Price]]/GDF_price_list[[#This Row],[Unit]]</f>
        <v>532</v>
      </c>
    </row>
    <row r="32" spans="2:32" ht="51">
      <c r="B32" s="55"/>
      <c r="C32" s="55" t="s">
        <v>285</v>
      </c>
      <c r="D32" s="55"/>
      <c r="L32" s="416" t="s">
        <v>571</v>
      </c>
      <c r="M32" s="416" t="s">
        <v>542</v>
      </c>
      <c r="N32" s="416" t="s">
        <v>554</v>
      </c>
      <c r="O32" s="439"/>
      <c r="P32" s="417"/>
      <c r="Q32" s="417"/>
      <c r="R32" s="417">
        <f>IFERROR(ROUND(Bunuri_lab_nomenc[[#This Row],[Cost unitate GFATM_valuta]]*VLOOKUP(Bunuri_lab_nomenc[[#This Row],[Valuta cost GFATM]],$B$58:$D$59,2,0),2),0)</f>
        <v>0</v>
      </c>
      <c r="S32" s="417" t="str">
        <f>IFERROR(VLOOKUP(Bunuri_lab_nomenc[[#This Row],[Denumire catalog GDF]],GDF_price_list[[Product Name]:[Column1]],8,0),"")</f>
        <v/>
      </c>
      <c r="T32" s="417" t="e">
        <f>VLOOKUP(Bunuri_lab_nomenc[[#This Row],[Denumire catalog GDF]],GDF_price_list[[Product Name]:[Column1]],7,0)</f>
        <v>#N/A</v>
      </c>
      <c r="V32" s="786" t="s">
        <v>740</v>
      </c>
      <c r="W32" s="738" t="s">
        <v>741</v>
      </c>
      <c r="X32" s="765">
        <v>106077</v>
      </c>
      <c r="Y32" s="763" t="s">
        <v>742</v>
      </c>
      <c r="Z32" s="759" t="s">
        <v>610</v>
      </c>
      <c r="AA32" s="742" t="s">
        <v>1802</v>
      </c>
      <c r="AB32" s="764">
        <v>1</v>
      </c>
      <c r="AC32" s="747" t="s">
        <v>743</v>
      </c>
      <c r="AD32" s="761">
        <v>971.40615000000003</v>
      </c>
      <c r="AE32" s="791" t="s">
        <v>435</v>
      </c>
      <c r="AF32">
        <f>GDF_price_list[[#This Row],[Indicative 
FCA Price]]/GDF_price_list[[#This Row],[Unit]]</f>
        <v>971.40615000000003</v>
      </c>
    </row>
    <row r="33" spans="2:32" ht="35" thickBot="1">
      <c r="B33" s="56"/>
      <c r="C33" s="56" t="s">
        <v>97</v>
      </c>
      <c r="D33" s="56"/>
      <c r="L33" s="416" t="s">
        <v>572</v>
      </c>
      <c r="M33" s="416" t="s">
        <v>535</v>
      </c>
      <c r="N33" s="416" t="s">
        <v>536</v>
      </c>
      <c r="O33" s="439"/>
      <c r="P33" s="417"/>
      <c r="Q33" s="417"/>
      <c r="R33" s="417">
        <f>IFERROR(ROUND(Bunuri_lab_nomenc[[#This Row],[Cost unitate GFATM_valuta]]*VLOOKUP(Bunuri_lab_nomenc[[#This Row],[Valuta cost GFATM]],$B$58:$D$59,2,0),2),0)</f>
        <v>0</v>
      </c>
      <c r="S33" s="417" t="str">
        <f>IFERROR(VLOOKUP(Bunuri_lab_nomenc[[#This Row],[Denumire catalog GDF]],GDF_price_list[[Product Name]:[Column1]],8,0),"")</f>
        <v/>
      </c>
      <c r="T33" s="417" t="e">
        <f>VLOOKUP(Bunuri_lab_nomenc[[#This Row],[Denumire catalog GDF]],GDF_price_list[[Product Name]:[Column1]],7,0)</f>
        <v>#N/A</v>
      </c>
      <c r="V33" s="786" t="s">
        <v>648</v>
      </c>
      <c r="W33" s="738" t="s">
        <v>679</v>
      </c>
      <c r="X33" s="739">
        <v>106533</v>
      </c>
      <c r="Y33" s="740" t="s">
        <v>746</v>
      </c>
      <c r="Z33" s="742" t="s">
        <v>651</v>
      </c>
      <c r="AA33" s="742" t="s">
        <v>1802</v>
      </c>
      <c r="AB33" s="764">
        <v>1</v>
      </c>
      <c r="AC33" s="743" t="s">
        <v>747</v>
      </c>
      <c r="AD33" s="744">
        <v>94.11</v>
      </c>
      <c r="AE33" s="790" t="s">
        <v>435</v>
      </c>
      <c r="AF33">
        <f>GDF_price_list[[#This Row],[Indicative 
FCA Price]]/GDF_price_list[[#This Row],[Unit]]</f>
        <v>94.11</v>
      </c>
    </row>
    <row r="34" spans="2:32" ht="34">
      <c r="L34" s="416" t="s">
        <v>573</v>
      </c>
      <c r="M34" s="416" t="s">
        <v>535</v>
      </c>
      <c r="N34" s="416" t="s">
        <v>536</v>
      </c>
      <c r="O34" s="439"/>
      <c r="P34" s="417"/>
      <c r="Q34" s="417"/>
      <c r="R34" s="417">
        <f>IFERROR(ROUND(Bunuri_lab_nomenc[[#This Row],[Cost unitate GFATM_valuta]]*VLOOKUP(Bunuri_lab_nomenc[[#This Row],[Valuta cost GFATM]],$B$58:$D$59,2,0),2),0)</f>
        <v>0</v>
      </c>
      <c r="S34" s="417" t="str">
        <f>IFERROR(VLOOKUP(Bunuri_lab_nomenc[[#This Row],[Denumire catalog GDF]],GDF_price_list[[Product Name]:[Column1]],8,0),"")</f>
        <v/>
      </c>
      <c r="T34" s="417" t="e">
        <f>VLOOKUP(Bunuri_lab_nomenc[[#This Row],[Denumire catalog GDF]],GDF_price_list[[Product Name]:[Column1]],7,0)</f>
        <v>#N/A</v>
      </c>
      <c r="V34" s="786" t="s">
        <v>648</v>
      </c>
      <c r="W34" s="738" t="s">
        <v>679</v>
      </c>
      <c r="X34" s="739">
        <v>106533</v>
      </c>
      <c r="Y34" s="740" t="s">
        <v>746</v>
      </c>
      <c r="Z34" s="742" t="s">
        <v>651</v>
      </c>
      <c r="AA34" s="742" t="s">
        <v>1802</v>
      </c>
      <c r="AB34" s="764">
        <v>1</v>
      </c>
      <c r="AC34" s="743" t="s">
        <v>747</v>
      </c>
      <c r="AD34" s="744">
        <v>216</v>
      </c>
      <c r="AE34" s="790" t="s">
        <v>435</v>
      </c>
      <c r="AF34">
        <f>GDF_price_list[[#This Row],[Indicative 
FCA Price]]/GDF_price_list[[#This Row],[Unit]]</f>
        <v>216</v>
      </c>
    </row>
    <row r="35" spans="2:32" ht="34">
      <c r="L35" s="416" t="s">
        <v>574</v>
      </c>
      <c r="M35" s="416" t="s">
        <v>535</v>
      </c>
      <c r="N35" s="416" t="s">
        <v>536</v>
      </c>
      <c r="O35" s="439"/>
      <c r="P35" s="417"/>
      <c r="Q35" s="417"/>
      <c r="R35" s="417">
        <f>IFERROR(ROUND(Bunuri_lab_nomenc[[#This Row],[Cost unitate GFATM_valuta]]*VLOOKUP(Bunuri_lab_nomenc[[#This Row],[Valuta cost GFATM]],$B$58:$D$59,2,0),2),0)</f>
        <v>0</v>
      </c>
      <c r="S35" s="417" t="str">
        <f>IFERROR(VLOOKUP(Bunuri_lab_nomenc[[#This Row],[Denumire catalog GDF]],GDF_price_list[[Product Name]:[Column1]],8,0),"")</f>
        <v/>
      </c>
      <c r="T35" s="417" t="e">
        <f>VLOOKUP(Bunuri_lab_nomenc[[#This Row],[Denumire catalog GDF]],GDF_price_list[[Product Name]:[Column1]],7,0)</f>
        <v>#N/A</v>
      </c>
      <c r="V35" s="786" t="s">
        <v>740</v>
      </c>
      <c r="W35" s="738" t="s">
        <v>741</v>
      </c>
      <c r="X35" s="745">
        <v>106491</v>
      </c>
      <c r="Y35" s="754" t="s">
        <v>748</v>
      </c>
      <c r="Z35" s="742" t="s">
        <v>610</v>
      </c>
      <c r="AA35" s="742" t="s">
        <v>1802</v>
      </c>
      <c r="AB35" s="746">
        <v>1</v>
      </c>
      <c r="AC35" s="743" t="s">
        <v>749</v>
      </c>
      <c r="AD35" s="744">
        <v>907.76</v>
      </c>
      <c r="AE35" s="787" t="s">
        <v>435</v>
      </c>
      <c r="AF35">
        <f>GDF_price_list[[#This Row],[Indicative 
FCA Price]]/GDF_price_list[[#This Row],[Unit]]</f>
        <v>907.76</v>
      </c>
    </row>
    <row r="36" spans="2:32" ht="35" thickBot="1">
      <c r="B36" t="s">
        <v>202</v>
      </c>
      <c r="C36" t="s">
        <v>201</v>
      </c>
      <c r="L36" s="416" t="s">
        <v>575</v>
      </c>
      <c r="M36" s="416" t="s">
        <v>535</v>
      </c>
      <c r="N36" s="416" t="s">
        <v>536</v>
      </c>
      <c r="O36" s="439"/>
      <c r="P36" s="417"/>
      <c r="Q36" s="417"/>
      <c r="R36" s="417">
        <f>IFERROR(ROUND(Bunuri_lab_nomenc[[#This Row],[Cost unitate GFATM_valuta]]*VLOOKUP(Bunuri_lab_nomenc[[#This Row],[Valuta cost GFATM]],$B$58:$D$59,2,0),2),0)</f>
        <v>0</v>
      </c>
      <c r="S36" s="417" t="str">
        <f>IFERROR(VLOOKUP(Bunuri_lab_nomenc[[#This Row],[Denumire catalog GDF]],GDF_price_list[[Product Name]:[Column1]],8,0),"")</f>
        <v/>
      </c>
      <c r="T36" s="417" t="e">
        <f>VLOOKUP(Bunuri_lab_nomenc[[#This Row],[Denumire catalog GDF]],GDF_price_list[[Product Name]:[Column1]],7,0)</f>
        <v>#N/A</v>
      </c>
      <c r="V36" s="786" t="s">
        <v>740</v>
      </c>
      <c r="W36" s="738" t="s">
        <v>750</v>
      </c>
      <c r="X36" s="745">
        <v>106491</v>
      </c>
      <c r="Y36" s="754" t="s">
        <v>748</v>
      </c>
      <c r="Z36" s="742" t="s">
        <v>610</v>
      </c>
      <c r="AA36" s="742" t="s">
        <v>1802</v>
      </c>
      <c r="AB36" s="746">
        <v>1</v>
      </c>
      <c r="AC36" s="743" t="s">
        <v>751</v>
      </c>
      <c r="AD36" s="744">
        <v>907.76</v>
      </c>
      <c r="AE36" s="787" t="s">
        <v>435</v>
      </c>
      <c r="AF36">
        <f>GDF_price_list[[#This Row],[Indicative 
FCA Price]]/GDF_price_list[[#This Row],[Unit]]</f>
        <v>907.76</v>
      </c>
    </row>
    <row r="37" spans="2:32" ht="34">
      <c r="B37" s="64"/>
      <c r="C37" s="64" t="s">
        <v>195</v>
      </c>
      <c r="D37" s="64"/>
      <c r="L37" s="416" t="s">
        <v>576</v>
      </c>
      <c r="M37" s="416" t="s">
        <v>535</v>
      </c>
      <c r="N37" s="416" t="s">
        <v>536</v>
      </c>
      <c r="O37" s="439"/>
      <c r="P37" s="417"/>
      <c r="Q37" s="417"/>
      <c r="R37" s="417">
        <f>IFERROR(ROUND(Bunuri_lab_nomenc[[#This Row],[Cost unitate GFATM_valuta]]*VLOOKUP(Bunuri_lab_nomenc[[#This Row],[Valuta cost GFATM]],$B$58:$D$59,2,0),2),0)</f>
        <v>0</v>
      </c>
      <c r="S37" s="417" t="str">
        <f>IFERROR(VLOOKUP(Bunuri_lab_nomenc[[#This Row],[Denumire catalog GDF]],GDF_price_list[[Product Name]:[Column1]],8,0),"")</f>
        <v/>
      </c>
      <c r="T37" s="417" t="e">
        <f>VLOOKUP(Bunuri_lab_nomenc[[#This Row],[Denumire catalog GDF]],GDF_price_list[[Product Name]:[Column1]],7,0)</f>
        <v>#N/A</v>
      </c>
      <c r="V37" s="786" t="s">
        <v>666</v>
      </c>
      <c r="W37" s="738" t="s">
        <v>722</v>
      </c>
      <c r="X37" s="745">
        <v>106491</v>
      </c>
      <c r="Y37" s="754" t="s">
        <v>748</v>
      </c>
      <c r="Z37" s="742" t="s">
        <v>610</v>
      </c>
      <c r="AA37" s="742" t="s">
        <v>1802</v>
      </c>
      <c r="AB37" s="746">
        <v>1</v>
      </c>
      <c r="AC37" s="743" t="s">
        <v>752</v>
      </c>
      <c r="AD37" s="744">
        <v>907.76</v>
      </c>
      <c r="AE37" s="787" t="s">
        <v>435</v>
      </c>
      <c r="AF37">
        <f>GDF_price_list[[#This Row],[Indicative 
FCA Price]]/GDF_price_list[[#This Row],[Unit]]</f>
        <v>907.76</v>
      </c>
    </row>
    <row r="38" spans="2:32" ht="34">
      <c r="B38" s="55"/>
      <c r="C38" s="55" t="s">
        <v>196</v>
      </c>
      <c r="D38" s="55"/>
      <c r="L38" s="416" t="s">
        <v>577</v>
      </c>
      <c r="M38" s="416" t="s">
        <v>535</v>
      </c>
      <c r="N38" s="416" t="s">
        <v>536</v>
      </c>
      <c r="O38" s="439"/>
      <c r="P38" s="417"/>
      <c r="Q38" s="417"/>
      <c r="R38" s="417">
        <f>IFERROR(ROUND(Bunuri_lab_nomenc[[#This Row],[Cost unitate GFATM_valuta]]*VLOOKUP(Bunuri_lab_nomenc[[#This Row],[Valuta cost GFATM]],$B$58:$D$59,2,0),2),0)</f>
        <v>0</v>
      </c>
      <c r="S38" s="417" t="str">
        <f>IFERROR(VLOOKUP(Bunuri_lab_nomenc[[#This Row],[Denumire catalog GDF]],GDF_price_list[[Product Name]:[Column1]],8,0),"")</f>
        <v/>
      </c>
      <c r="T38" s="417" t="e">
        <f>VLOOKUP(Bunuri_lab_nomenc[[#This Row],[Denumire catalog GDF]],GDF_price_list[[Product Name]:[Column1]],7,0)</f>
        <v>#N/A</v>
      </c>
      <c r="V38" s="786" t="s">
        <v>612</v>
      </c>
      <c r="W38" s="738" t="s">
        <v>753</v>
      </c>
      <c r="X38" s="745">
        <v>106492</v>
      </c>
      <c r="Y38" s="754" t="s">
        <v>754</v>
      </c>
      <c r="Z38" s="742" t="s">
        <v>610</v>
      </c>
      <c r="AA38" s="742" t="s">
        <v>1802</v>
      </c>
      <c r="AB38" s="746">
        <v>1</v>
      </c>
      <c r="AC38" s="743" t="s">
        <v>755</v>
      </c>
      <c r="AD38" s="744">
        <v>393.03</v>
      </c>
      <c r="AE38" s="787" t="s">
        <v>435</v>
      </c>
      <c r="AF38">
        <f>GDF_price_list[[#This Row],[Indicative 
FCA Price]]/GDF_price_list[[#This Row],[Unit]]</f>
        <v>393.03</v>
      </c>
    </row>
    <row r="39" spans="2:32" ht="17">
      <c r="B39" s="55"/>
      <c r="C39" s="55" t="s">
        <v>197</v>
      </c>
      <c r="D39" s="55"/>
      <c r="L39" s="416" t="s">
        <v>578</v>
      </c>
      <c r="M39" s="416" t="s">
        <v>296</v>
      </c>
      <c r="N39" s="416" t="s">
        <v>536</v>
      </c>
      <c r="O39" s="439"/>
      <c r="P39" s="417"/>
      <c r="Q39" s="417"/>
      <c r="R39" s="417">
        <f>IFERROR(ROUND(Bunuri_lab_nomenc[[#This Row],[Cost unitate GFATM_valuta]]*VLOOKUP(Bunuri_lab_nomenc[[#This Row],[Valuta cost GFATM]],$B$58:$D$59,2,0),2),0)</f>
        <v>0</v>
      </c>
      <c r="S39" s="417" t="str">
        <f>IFERROR(VLOOKUP(Bunuri_lab_nomenc[[#This Row],[Denumire catalog GDF]],GDF_price_list[[Product Name]:[Column1]],8,0),"")</f>
        <v/>
      </c>
      <c r="T39" s="417" t="e">
        <f>VLOOKUP(Bunuri_lab_nomenc[[#This Row],[Denumire catalog GDF]],GDF_price_list[[Product Name]:[Column1]],7,0)</f>
        <v>#N/A</v>
      </c>
      <c r="V39" s="786" t="s">
        <v>666</v>
      </c>
      <c r="W39" s="738" t="s">
        <v>685</v>
      </c>
      <c r="X39" s="739">
        <v>106623</v>
      </c>
      <c r="Y39" s="740" t="s">
        <v>756</v>
      </c>
      <c r="Z39" s="742" t="s">
        <v>673</v>
      </c>
      <c r="AA39" s="742" t="s">
        <v>1802</v>
      </c>
      <c r="AB39" s="742">
        <v>1</v>
      </c>
      <c r="AC39" s="743" t="s">
        <v>757</v>
      </c>
      <c r="AD39" s="753">
        <v>55</v>
      </c>
      <c r="AE39" s="790" t="s">
        <v>435</v>
      </c>
      <c r="AF39">
        <f>GDF_price_list[[#This Row],[Indicative 
FCA Price]]/GDF_price_list[[#This Row],[Unit]]</f>
        <v>55</v>
      </c>
    </row>
    <row r="40" spans="2:32" ht="17">
      <c r="B40" s="55"/>
      <c r="C40" s="55" t="s">
        <v>198</v>
      </c>
      <c r="D40" s="55"/>
      <c r="L40" s="416" t="s">
        <v>579</v>
      </c>
      <c r="M40" s="416" t="s">
        <v>542</v>
      </c>
      <c r="N40" s="416" t="s">
        <v>554</v>
      </c>
      <c r="O40" s="439"/>
      <c r="P40" s="417"/>
      <c r="Q40" s="417"/>
      <c r="R40" s="417">
        <f>IFERROR(ROUND(Bunuri_lab_nomenc[[#This Row],[Cost unitate GFATM_valuta]]*VLOOKUP(Bunuri_lab_nomenc[[#This Row],[Valuta cost GFATM]],$B$58:$D$59,2,0),2),0)</f>
        <v>0</v>
      </c>
      <c r="S40" s="417" t="str">
        <f>IFERROR(VLOOKUP(Bunuri_lab_nomenc[[#This Row],[Denumire catalog GDF]],GDF_price_list[[Product Name]:[Column1]],8,0),"")</f>
        <v/>
      </c>
      <c r="T40" s="417" t="e">
        <f>VLOOKUP(Bunuri_lab_nomenc[[#This Row],[Denumire catalog GDF]],GDF_price_list[[Product Name]:[Column1]],7,0)</f>
        <v>#N/A</v>
      </c>
      <c r="V40" s="786" t="s">
        <v>666</v>
      </c>
      <c r="W40" s="738" t="s">
        <v>685</v>
      </c>
      <c r="X40" s="745">
        <v>106617</v>
      </c>
      <c r="Y40" s="743" t="s">
        <v>762</v>
      </c>
      <c r="Z40" s="742" t="s">
        <v>673</v>
      </c>
      <c r="AA40" s="742" t="s">
        <v>1802</v>
      </c>
      <c r="AB40" s="746">
        <v>1</v>
      </c>
      <c r="AC40" s="743" t="s">
        <v>763</v>
      </c>
      <c r="AD40" s="753">
        <v>58.2</v>
      </c>
      <c r="AE40" s="790" t="s">
        <v>435</v>
      </c>
      <c r="AF40">
        <f>GDF_price_list[[#This Row],[Indicative 
FCA Price]]/GDF_price_list[[#This Row],[Unit]]</f>
        <v>58.2</v>
      </c>
    </row>
    <row r="41" spans="2:32" ht="17">
      <c r="B41" s="55"/>
      <c r="C41" s="55" t="s">
        <v>199</v>
      </c>
      <c r="D41" s="55"/>
      <c r="L41" s="416" t="s">
        <v>580</v>
      </c>
      <c r="M41" s="416" t="s">
        <v>542</v>
      </c>
      <c r="N41" s="416" t="s">
        <v>554</v>
      </c>
      <c r="O41" s="439"/>
      <c r="P41" s="417"/>
      <c r="Q41" s="417"/>
      <c r="R41" s="417">
        <f>IFERROR(ROUND(Bunuri_lab_nomenc[[#This Row],[Cost unitate GFATM_valuta]]*VLOOKUP(Bunuri_lab_nomenc[[#This Row],[Valuta cost GFATM]],$B$58:$D$59,2,0),2),0)</f>
        <v>0</v>
      </c>
      <c r="S41" s="417" t="str">
        <f>IFERROR(VLOOKUP(Bunuri_lab_nomenc[[#This Row],[Denumire catalog GDF]],GDF_price_list[[Product Name]:[Column1]],8,0),"")</f>
        <v/>
      </c>
      <c r="T41" s="417" t="e">
        <f>VLOOKUP(Bunuri_lab_nomenc[[#This Row],[Denumire catalog GDF]],GDF_price_list[[Product Name]:[Column1]],7,0)</f>
        <v>#N/A</v>
      </c>
      <c r="V41" s="786" t="s">
        <v>666</v>
      </c>
      <c r="W41" s="738" t="s">
        <v>685</v>
      </c>
      <c r="X41" s="745">
        <v>106616</v>
      </c>
      <c r="Y41" s="743" t="s">
        <v>764</v>
      </c>
      <c r="Z41" s="742" t="s">
        <v>673</v>
      </c>
      <c r="AA41" s="742" t="s">
        <v>1802</v>
      </c>
      <c r="AB41" s="746">
        <v>1</v>
      </c>
      <c r="AC41" s="743" t="s">
        <v>765</v>
      </c>
      <c r="AD41" s="753">
        <v>95.62</v>
      </c>
      <c r="AE41" s="790" t="s">
        <v>435</v>
      </c>
      <c r="AF41">
        <f>GDF_price_list[[#This Row],[Indicative 
FCA Price]]/GDF_price_list[[#This Row],[Unit]]</f>
        <v>95.62</v>
      </c>
    </row>
    <row r="42" spans="2:32" ht="34">
      <c r="B42" s="55"/>
      <c r="C42" s="55" t="s">
        <v>200</v>
      </c>
      <c r="D42" s="55"/>
      <c r="L42" s="416" t="s">
        <v>581</v>
      </c>
      <c r="M42" s="416" t="s">
        <v>542</v>
      </c>
      <c r="N42" s="416" t="s">
        <v>554</v>
      </c>
      <c r="O42" s="439"/>
      <c r="P42" s="417"/>
      <c r="Q42" s="417"/>
      <c r="R42" s="417">
        <f>IFERROR(ROUND(Bunuri_lab_nomenc[[#This Row],[Cost unitate GFATM_valuta]]*VLOOKUP(Bunuri_lab_nomenc[[#This Row],[Valuta cost GFATM]],$B$58:$D$59,2,0),2),0)</f>
        <v>0</v>
      </c>
      <c r="S42" s="417" t="str">
        <f>IFERROR(VLOOKUP(Bunuri_lab_nomenc[[#This Row],[Denumire catalog GDF]],GDF_price_list[[Product Name]:[Column1]],8,0),"")</f>
        <v/>
      </c>
      <c r="T42" s="417" t="e">
        <f>VLOOKUP(Bunuri_lab_nomenc[[#This Row],[Denumire catalog GDF]],GDF_price_list[[Product Name]:[Column1]],7,0)</f>
        <v>#N/A</v>
      </c>
      <c r="V42" s="786" t="s">
        <v>666</v>
      </c>
      <c r="W42" s="738" t="s">
        <v>685</v>
      </c>
      <c r="X42" s="739">
        <v>106017</v>
      </c>
      <c r="Y42" s="740" t="s">
        <v>781</v>
      </c>
      <c r="Z42" s="742" t="s">
        <v>673</v>
      </c>
      <c r="AA42" s="742" t="s">
        <v>1802</v>
      </c>
      <c r="AB42" s="742">
        <v>1</v>
      </c>
      <c r="AC42" s="743" t="s">
        <v>782</v>
      </c>
      <c r="AD42" s="753">
        <v>850</v>
      </c>
      <c r="AE42" s="790" t="s">
        <v>435</v>
      </c>
      <c r="AF42">
        <f>GDF_price_list[[#This Row],[Indicative 
FCA Price]]/GDF_price_list[[#This Row],[Unit]]</f>
        <v>850</v>
      </c>
    </row>
    <row r="43" spans="2:32" ht="17">
      <c r="B43" s="55"/>
      <c r="C43" s="55" t="s">
        <v>203</v>
      </c>
      <c r="D43" s="55"/>
      <c r="L43" s="416" t="s">
        <v>582</v>
      </c>
      <c r="M43" s="416" t="s">
        <v>542</v>
      </c>
      <c r="N43" s="416" t="s">
        <v>554</v>
      </c>
      <c r="O43" s="439"/>
      <c r="P43" s="417"/>
      <c r="Q43" s="417"/>
      <c r="R43" s="417">
        <f>IFERROR(ROUND(Bunuri_lab_nomenc[[#This Row],[Cost unitate GFATM_valuta]]*VLOOKUP(Bunuri_lab_nomenc[[#This Row],[Valuta cost GFATM]],$B$58:$D$59,2,0),2),0)</f>
        <v>0</v>
      </c>
      <c r="S43" s="417" t="str">
        <f>IFERROR(VLOOKUP(Bunuri_lab_nomenc[[#This Row],[Denumire catalog GDF]],GDF_price_list[[Product Name]:[Column1]],8,0),"")</f>
        <v/>
      </c>
      <c r="T43" s="417" t="e">
        <f>VLOOKUP(Bunuri_lab_nomenc[[#This Row],[Denumire catalog GDF]],GDF_price_list[[Product Name]:[Column1]],7,0)</f>
        <v>#N/A</v>
      </c>
      <c r="V43" s="786" t="s">
        <v>648</v>
      </c>
      <c r="W43" s="738" t="s">
        <v>649</v>
      </c>
      <c r="X43" s="739">
        <v>106575</v>
      </c>
      <c r="Y43" s="740" t="s">
        <v>783</v>
      </c>
      <c r="Z43" s="742" t="s">
        <v>651</v>
      </c>
      <c r="AA43" s="742" t="s">
        <v>1802</v>
      </c>
      <c r="AB43" s="742">
        <v>1</v>
      </c>
      <c r="AC43" s="743" t="s">
        <v>784</v>
      </c>
      <c r="AD43" s="753">
        <v>3.47</v>
      </c>
      <c r="AE43" s="790" t="s">
        <v>435</v>
      </c>
      <c r="AF43">
        <f>GDF_price_list[[#This Row],[Indicative 
FCA Price]]/GDF_price_list[[#This Row],[Unit]]</f>
        <v>3.47</v>
      </c>
    </row>
    <row r="44" spans="2:32" ht="18" thickBot="1">
      <c r="B44" s="56"/>
      <c r="C44" s="56"/>
      <c r="D44" s="56"/>
      <c r="L44" s="416" t="s">
        <v>583</v>
      </c>
      <c r="M44" s="416" t="s">
        <v>542</v>
      </c>
      <c r="N44" s="416" t="s">
        <v>554</v>
      </c>
      <c r="O44" s="439"/>
      <c r="P44" s="417"/>
      <c r="Q44" s="417"/>
      <c r="R44" s="417">
        <f>IFERROR(ROUND(Bunuri_lab_nomenc[[#This Row],[Cost unitate GFATM_valuta]]*VLOOKUP(Bunuri_lab_nomenc[[#This Row],[Valuta cost GFATM]],$B$58:$D$59,2,0),2),0)</f>
        <v>0</v>
      </c>
      <c r="S44" s="417" t="str">
        <f>IFERROR(VLOOKUP(Bunuri_lab_nomenc[[#This Row],[Denumire catalog GDF]],GDF_price_list[[Product Name]:[Column1]],8,0),"")</f>
        <v/>
      </c>
      <c r="T44" s="417" t="e">
        <f>VLOOKUP(Bunuri_lab_nomenc[[#This Row],[Denumire catalog GDF]],GDF_price_list[[Product Name]:[Column1]],7,0)</f>
        <v>#N/A</v>
      </c>
      <c r="V44" s="786" t="s">
        <v>648</v>
      </c>
      <c r="W44" s="738" t="s">
        <v>649</v>
      </c>
      <c r="X44" s="739">
        <v>106574</v>
      </c>
      <c r="Y44" s="740" t="s">
        <v>785</v>
      </c>
      <c r="Z44" s="742" t="s">
        <v>651</v>
      </c>
      <c r="AA44" s="742" t="s">
        <v>1802</v>
      </c>
      <c r="AB44" s="742">
        <v>1</v>
      </c>
      <c r="AC44" s="743" t="s">
        <v>786</v>
      </c>
      <c r="AD44" s="753">
        <v>1.08</v>
      </c>
      <c r="AE44" s="790" t="s">
        <v>435</v>
      </c>
      <c r="AF44">
        <f>GDF_price_list[[#This Row],[Indicative 
FCA Price]]/GDF_price_list[[#This Row],[Unit]]</f>
        <v>1.08</v>
      </c>
    </row>
    <row r="45" spans="2:32" ht="51">
      <c r="L45" s="416" t="s">
        <v>584</v>
      </c>
      <c r="M45" s="416" t="s">
        <v>542</v>
      </c>
      <c r="N45" s="416" t="s">
        <v>554</v>
      </c>
      <c r="O45" s="439"/>
      <c r="P45" s="417"/>
      <c r="Q45" s="417"/>
      <c r="R45" s="417">
        <f>IFERROR(ROUND(Bunuri_lab_nomenc[[#This Row],[Cost unitate GFATM_valuta]]*VLOOKUP(Bunuri_lab_nomenc[[#This Row],[Valuta cost GFATM]],$B$58:$D$59,2,0),2),0)</f>
        <v>0</v>
      </c>
      <c r="S45" s="417" t="str">
        <f>IFERROR(VLOOKUP(Bunuri_lab_nomenc[[#This Row],[Denumire catalog GDF]],GDF_price_list[[Product Name]:[Column1]],8,0),"")</f>
        <v/>
      </c>
      <c r="T45" s="417" t="e">
        <f>VLOOKUP(Bunuri_lab_nomenc[[#This Row],[Denumire catalog GDF]],GDF_price_list[[Product Name]:[Column1]],7,0)</f>
        <v>#N/A</v>
      </c>
      <c r="V45" s="786" t="s">
        <v>740</v>
      </c>
      <c r="W45" s="738" t="s">
        <v>741</v>
      </c>
      <c r="X45" s="765">
        <v>106076</v>
      </c>
      <c r="Y45" s="758" t="s">
        <v>787</v>
      </c>
      <c r="Z45" s="759" t="s">
        <v>610</v>
      </c>
      <c r="AA45" s="742" t="s">
        <v>1802</v>
      </c>
      <c r="AB45" s="764">
        <v>1</v>
      </c>
      <c r="AC45" s="740" t="s">
        <v>788</v>
      </c>
      <c r="AD45" s="761">
        <v>16417.04</v>
      </c>
      <c r="AE45" s="791" t="s">
        <v>435</v>
      </c>
      <c r="AF45">
        <f>GDF_price_list[[#This Row],[Indicative 
FCA Price]]/GDF_price_list[[#This Row],[Unit]]</f>
        <v>16417.04</v>
      </c>
    </row>
    <row r="46" spans="2:32" ht="86" thickBot="1">
      <c r="B46" t="s">
        <v>346</v>
      </c>
      <c r="C46" t="s">
        <v>347</v>
      </c>
      <c r="D46" t="s">
        <v>348</v>
      </c>
      <c r="L46" s="416" t="s">
        <v>585</v>
      </c>
      <c r="M46" s="416" t="s">
        <v>542</v>
      </c>
      <c r="N46" s="416" t="s">
        <v>554</v>
      </c>
      <c r="O46" s="439"/>
      <c r="P46" s="417"/>
      <c r="Q46" s="417"/>
      <c r="R46" s="417">
        <f>IFERROR(ROUND(Bunuri_lab_nomenc[[#This Row],[Cost unitate GFATM_valuta]]*VLOOKUP(Bunuri_lab_nomenc[[#This Row],[Valuta cost GFATM]],$B$58:$D$59,2,0),2),0)</f>
        <v>0</v>
      </c>
      <c r="S46" s="417" t="str">
        <f>IFERROR(VLOOKUP(Bunuri_lab_nomenc[[#This Row],[Denumire catalog GDF]],GDF_price_list[[Product Name]:[Column1]],8,0),"")</f>
        <v/>
      </c>
      <c r="T46" s="417" t="e">
        <f>VLOOKUP(Bunuri_lab_nomenc[[#This Row],[Denumire catalog GDF]],GDF_price_list[[Product Name]:[Column1]],7,0)</f>
        <v>#N/A</v>
      </c>
      <c r="V46" s="786" t="s">
        <v>740</v>
      </c>
      <c r="W46" s="738" t="s">
        <v>750</v>
      </c>
      <c r="X46" s="765">
        <v>106076</v>
      </c>
      <c r="Y46" s="758" t="s">
        <v>789</v>
      </c>
      <c r="Z46" s="759" t="s">
        <v>610</v>
      </c>
      <c r="AA46" s="742" t="s">
        <v>1802</v>
      </c>
      <c r="AB46" s="764">
        <v>1</v>
      </c>
      <c r="AC46" s="740" t="s">
        <v>790</v>
      </c>
      <c r="AD46" s="761">
        <v>18951.546900000001</v>
      </c>
      <c r="AE46" s="791" t="s">
        <v>435</v>
      </c>
      <c r="AF46">
        <f>GDF_price_list[[#This Row],[Indicative 
FCA Price]]/GDF_price_list[[#This Row],[Unit]]</f>
        <v>18951.546900000001</v>
      </c>
    </row>
    <row r="47" spans="2:32" ht="17">
      <c r="B47" s="64"/>
      <c r="C47" s="64" t="s">
        <v>338</v>
      </c>
      <c r="D47" s="64"/>
      <c r="L47" s="416" t="s">
        <v>586</v>
      </c>
      <c r="M47" s="416" t="s">
        <v>296</v>
      </c>
      <c r="N47" s="416" t="s">
        <v>554</v>
      </c>
      <c r="O47" s="439"/>
      <c r="P47" s="417"/>
      <c r="Q47" s="417"/>
      <c r="R47" s="417">
        <f>IFERROR(ROUND(Bunuri_lab_nomenc[[#This Row],[Cost unitate GFATM_valuta]]*VLOOKUP(Bunuri_lab_nomenc[[#This Row],[Valuta cost GFATM]],$B$58:$D$59,2,0),2),0)</f>
        <v>0</v>
      </c>
      <c r="S47" s="417" t="str">
        <f>IFERROR(VLOOKUP(Bunuri_lab_nomenc[[#This Row],[Denumire catalog GDF]],GDF_price_list[[Product Name]:[Column1]],8,0),"")</f>
        <v/>
      </c>
      <c r="T47" s="417" t="e">
        <f>VLOOKUP(Bunuri_lab_nomenc[[#This Row],[Denumire catalog GDF]],GDF_price_list[[Product Name]:[Column1]],7,0)</f>
        <v>#N/A</v>
      </c>
      <c r="V47" s="786" t="s">
        <v>718</v>
      </c>
      <c r="W47" s="738" t="s">
        <v>798</v>
      </c>
      <c r="X47" s="745">
        <v>106109</v>
      </c>
      <c r="Y47" s="740" t="s">
        <v>799</v>
      </c>
      <c r="Z47" s="742" t="s">
        <v>610</v>
      </c>
      <c r="AA47" s="742" t="s">
        <v>1802</v>
      </c>
      <c r="AB47" s="746">
        <v>1</v>
      </c>
      <c r="AC47" s="743" t="s">
        <v>800</v>
      </c>
      <c r="AD47" s="744">
        <v>65.61</v>
      </c>
      <c r="AE47" s="787" t="s">
        <v>435</v>
      </c>
      <c r="AF47">
        <f>GDF_price_list[[#This Row],[Indicative 
FCA Price]]/GDF_price_list[[#This Row],[Unit]]</f>
        <v>65.61</v>
      </c>
    </row>
    <row r="48" spans="2:32" ht="17">
      <c r="B48" s="55"/>
      <c r="C48" s="55" t="s">
        <v>349</v>
      </c>
      <c r="D48" s="55"/>
      <c r="L48" s="416" t="s">
        <v>587</v>
      </c>
      <c r="M48" s="416" t="s">
        <v>296</v>
      </c>
      <c r="N48" s="416" t="s">
        <v>554</v>
      </c>
      <c r="O48" s="439"/>
      <c r="P48" s="417"/>
      <c r="Q48" s="417"/>
      <c r="R48" s="417">
        <f>IFERROR(ROUND(Bunuri_lab_nomenc[[#This Row],[Cost unitate GFATM_valuta]]*VLOOKUP(Bunuri_lab_nomenc[[#This Row],[Valuta cost GFATM]],$B$58:$D$59,2,0),2),0)</f>
        <v>0</v>
      </c>
      <c r="S48" s="417" t="str">
        <f>IFERROR(VLOOKUP(Bunuri_lab_nomenc[[#This Row],[Denumire catalog GDF]],GDF_price_list[[Product Name]:[Column1]],8,0),"")</f>
        <v/>
      </c>
      <c r="T48" s="417" t="e">
        <f>VLOOKUP(Bunuri_lab_nomenc[[#This Row],[Denumire catalog GDF]],GDF_price_list[[Product Name]:[Column1]],7,0)</f>
        <v>#N/A</v>
      </c>
      <c r="V48" s="786" t="s">
        <v>718</v>
      </c>
      <c r="W48" s="738" t="s">
        <v>798</v>
      </c>
      <c r="X48" s="745">
        <v>106110</v>
      </c>
      <c r="Y48" s="740" t="s">
        <v>801</v>
      </c>
      <c r="Z48" s="742" t="s">
        <v>610</v>
      </c>
      <c r="AA48" s="742" t="s">
        <v>1802</v>
      </c>
      <c r="AB48" s="746">
        <v>1</v>
      </c>
      <c r="AC48" s="743" t="s">
        <v>802</v>
      </c>
      <c r="AD48" s="744">
        <v>96.58</v>
      </c>
      <c r="AE48" s="787" t="s">
        <v>435</v>
      </c>
      <c r="AF48">
        <f>GDF_price_list[[#This Row],[Indicative 
FCA Price]]/GDF_price_list[[#This Row],[Unit]]</f>
        <v>96.58</v>
      </c>
    </row>
    <row r="49" spans="2:32" ht="170">
      <c r="B49" s="55"/>
      <c r="C49" s="55" t="s">
        <v>350</v>
      </c>
      <c r="D49" s="55"/>
      <c r="L49" s="416" t="s">
        <v>588</v>
      </c>
      <c r="M49" s="416" t="s">
        <v>542</v>
      </c>
      <c r="N49" s="416" t="s">
        <v>554</v>
      </c>
      <c r="O49" s="439"/>
      <c r="P49" s="417"/>
      <c r="Q49" s="417"/>
      <c r="R49" s="417">
        <f>IFERROR(ROUND(Bunuri_lab_nomenc[[#This Row],[Cost unitate GFATM_valuta]]*VLOOKUP(Bunuri_lab_nomenc[[#This Row],[Valuta cost GFATM]],$B$58:$D$59,2,0),2),0)</f>
        <v>0</v>
      </c>
      <c r="S49" s="417" t="str">
        <f>IFERROR(VLOOKUP(Bunuri_lab_nomenc[[#This Row],[Denumire catalog GDF]],GDF_price_list[[Product Name]:[Column1]],8,0),"")</f>
        <v/>
      </c>
      <c r="T49" s="417" t="e">
        <f>VLOOKUP(Bunuri_lab_nomenc[[#This Row],[Denumire catalog GDF]],GDF_price_list[[Product Name]:[Column1]],7,0)</f>
        <v>#N/A</v>
      </c>
      <c r="V49" s="786" t="s">
        <v>648</v>
      </c>
      <c r="W49" s="738" t="s">
        <v>679</v>
      </c>
      <c r="X49" s="739">
        <v>106535</v>
      </c>
      <c r="Y49" s="740" t="s">
        <v>805</v>
      </c>
      <c r="Z49" s="742" t="s">
        <v>806</v>
      </c>
      <c r="AA49" s="742" t="s">
        <v>1802</v>
      </c>
      <c r="AB49" s="764">
        <v>1</v>
      </c>
      <c r="AC49" s="743" t="s">
        <v>807</v>
      </c>
      <c r="AD49" s="744">
        <v>837.36</v>
      </c>
      <c r="AE49" s="790" t="s">
        <v>435</v>
      </c>
      <c r="AF49">
        <f>GDF_price_list[[#This Row],[Indicative 
FCA Price]]/GDF_price_list[[#This Row],[Unit]]</f>
        <v>837.36</v>
      </c>
    </row>
    <row r="50" spans="2:32" ht="17">
      <c r="B50" s="55"/>
      <c r="C50" s="55" t="s">
        <v>351</v>
      </c>
      <c r="D50" s="55"/>
      <c r="L50" s="416" t="s">
        <v>589</v>
      </c>
      <c r="M50" s="416" t="s">
        <v>542</v>
      </c>
      <c r="N50" s="416" t="s">
        <v>554</v>
      </c>
      <c r="O50" s="439"/>
      <c r="P50" s="417"/>
      <c r="Q50" s="417"/>
      <c r="R50" s="417">
        <f>IFERROR(ROUND(Bunuri_lab_nomenc[[#This Row],[Cost unitate GFATM_valuta]]*VLOOKUP(Bunuri_lab_nomenc[[#This Row],[Valuta cost GFATM]],$B$58:$D$59,2,0),2),0)</f>
        <v>0</v>
      </c>
      <c r="S50" s="417" t="str">
        <f>IFERROR(VLOOKUP(Bunuri_lab_nomenc[[#This Row],[Denumire catalog GDF]],GDF_price_list[[Product Name]:[Column1]],8,0),"")</f>
        <v/>
      </c>
      <c r="T50" s="417" t="e">
        <f>VLOOKUP(Bunuri_lab_nomenc[[#This Row],[Denumire catalog GDF]],GDF_price_list[[Product Name]:[Column1]],7,0)</f>
        <v>#N/A</v>
      </c>
      <c r="V50" s="786" t="s">
        <v>718</v>
      </c>
      <c r="W50" s="738" t="s">
        <v>798</v>
      </c>
      <c r="X50" s="739">
        <v>106364</v>
      </c>
      <c r="Y50" s="740" t="s">
        <v>808</v>
      </c>
      <c r="Z50" s="742" t="s">
        <v>610</v>
      </c>
      <c r="AA50" s="742" t="s">
        <v>1802</v>
      </c>
      <c r="AB50" s="742">
        <v>1</v>
      </c>
      <c r="AC50" s="743" t="s">
        <v>809</v>
      </c>
      <c r="AD50" s="744">
        <v>5.54</v>
      </c>
      <c r="AE50" s="787" t="s">
        <v>435</v>
      </c>
      <c r="AF50">
        <f>GDF_price_list[[#This Row],[Indicative 
FCA Price]]/GDF_price_list[[#This Row],[Unit]]</f>
        <v>5.54</v>
      </c>
    </row>
    <row r="51" spans="2:32" ht="17">
      <c r="B51" s="55"/>
      <c r="C51" s="55" t="s">
        <v>513</v>
      </c>
      <c r="D51" s="55"/>
      <c r="L51" s="416" t="s">
        <v>590</v>
      </c>
      <c r="M51" s="416" t="s">
        <v>542</v>
      </c>
      <c r="N51" s="416" t="s">
        <v>554</v>
      </c>
      <c r="O51" s="439"/>
      <c r="P51" s="417"/>
      <c r="Q51" s="417"/>
      <c r="R51" s="417">
        <f>IFERROR(ROUND(Bunuri_lab_nomenc[[#This Row],[Cost unitate GFATM_valuta]]*VLOOKUP(Bunuri_lab_nomenc[[#This Row],[Valuta cost GFATM]],$B$58:$D$59,2,0),2),0)</f>
        <v>0</v>
      </c>
      <c r="S51" s="417" t="str">
        <f>IFERROR(VLOOKUP(Bunuri_lab_nomenc[[#This Row],[Denumire catalog GDF]],GDF_price_list[[Product Name]:[Column1]],8,0),"")</f>
        <v/>
      </c>
      <c r="T51" s="417" t="e">
        <f>VLOOKUP(Bunuri_lab_nomenc[[#This Row],[Denumire catalog GDF]],GDF_price_list[[Product Name]:[Column1]],7,0)</f>
        <v>#N/A</v>
      </c>
      <c r="V51" s="786" t="s">
        <v>607</v>
      </c>
      <c r="W51" s="738" t="s">
        <v>812</v>
      </c>
      <c r="X51" s="745">
        <v>106155</v>
      </c>
      <c r="Y51" s="740" t="s">
        <v>813</v>
      </c>
      <c r="Z51" s="742" t="s">
        <v>610</v>
      </c>
      <c r="AA51" s="742" t="s">
        <v>1802</v>
      </c>
      <c r="AB51" s="746">
        <v>1</v>
      </c>
      <c r="AC51" s="743" t="s">
        <v>814</v>
      </c>
      <c r="AD51" s="744">
        <v>35.270000000000003</v>
      </c>
      <c r="AE51" s="787" t="s">
        <v>435</v>
      </c>
      <c r="AF51">
        <f>GDF_price_list[[#This Row],[Indicative 
FCA Price]]/GDF_price_list[[#This Row],[Unit]]</f>
        <v>35.270000000000003</v>
      </c>
    </row>
    <row r="52" spans="2:32" ht="153">
      <c r="B52" s="55"/>
      <c r="C52" s="55" t="s">
        <v>514</v>
      </c>
      <c r="D52" s="55"/>
      <c r="L52" s="416" t="s">
        <v>591</v>
      </c>
      <c r="M52" s="416" t="s">
        <v>542</v>
      </c>
      <c r="N52" s="416" t="s">
        <v>554</v>
      </c>
      <c r="O52" s="439"/>
      <c r="P52" s="417"/>
      <c r="Q52" s="417"/>
      <c r="R52" s="417">
        <f>IFERROR(ROUND(Bunuri_lab_nomenc[[#This Row],[Cost unitate GFATM_valuta]]*VLOOKUP(Bunuri_lab_nomenc[[#This Row],[Valuta cost GFATM]],$B$58:$D$59,2,0),2),0)</f>
        <v>0</v>
      </c>
      <c r="S52" s="417" t="str">
        <f>IFERROR(VLOOKUP(Bunuri_lab_nomenc[[#This Row],[Denumire catalog GDF]],GDF_price_list[[Product Name]:[Column1]],8,0),"")</f>
        <v/>
      </c>
      <c r="T52" s="417" t="e">
        <f>VLOOKUP(Bunuri_lab_nomenc[[#This Row],[Denumire catalog GDF]],GDF_price_list[[Product Name]:[Column1]],7,0)</f>
        <v>#N/A</v>
      </c>
      <c r="V52" s="786" t="s">
        <v>718</v>
      </c>
      <c r="W52" s="738" t="s">
        <v>798</v>
      </c>
      <c r="X52" s="745">
        <v>106494</v>
      </c>
      <c r="Y52" s="740" t="s">
        <v>815</v>
      </c>
      <c r="Z52" s="742" t="s">
        <v>610</v>
      </c>
      <c r="AA52" s="742" t="s">
        <v>1802</v>
      </c>
      <c r="AB52" s="746">
        <v>1</v>
      </c>
      <c r="AC52" s="743" t="s">
        <v>816</v>
      </c>
      <c r="AD52" s="744">
        <v>328.07</v>
      </c>
      <c r="AE52" s="787" t="s">
        <v>435</v>
      </c>
      <c r="AF52">
        <f>GDF_price_list[[#This Row],[Indicative 
FCA Price]]/GDF_price_list[[#This Row],[Unit]]</f>
        <v>328.07</v>
      </c>
    </row>
    <row r="53" spans="2:32" ht="68">
      <c r="B53" s="55"/>
      <c r="C53" s="55"/>
      <c r="D53" s="55"/>
      <c r="L53" s="416" t="s">
        <v>592</v>
      </c>
      <c r="M53" s="416" t="s">
        <v>296</v>
      </c>
      <c r="N53" s="416" t="s">
        <v>536</v>
      </c>
      <c r="O53" s="439"/>
      <c r="P53" s="417"/>
      <c r="Q53" s="417"/>
      <c r="R53" s="417">
        <f>IFERROR(ROUND(Bunuri_lab_nomenc[[#This Row],[Cost unitate GFATM_valuta]]*VLOOKUP(Bunuri_lab_nomenc[[#This Row],[Valuta cost GFATM]],$B$58:$D$59,2,0),2),0)</f>
        <v>0</v>
      </c>
      <c r="S53" s="417" t="str">
        <f>IFERROR(VLOOKUP(Bunuri_lab_nomenc[[#This Row],[Denumire catalog GDF]],GDF_price_list[[Product Name]:[Column1]],8,0),"")</f>
        <v/>
      </c>
      <c r="T53" s="417" t="e">
        <f>VLOOKUP(Bunuri_lab_nomenc[[#This Row],[Denumire catalog GDF]],GDF_price_list[[Product Name]:[Column1]],7,0)</f>
        <v>#N/A</v>
      </c>
      <c r="V53" s="786" t="s">
        <v>718</v>
      </c>
      <c r="W53" s="738" t="s">
        <v>817</v>
      </c>
      <c r="X53" s="745">
        <v>106144</v>
      </c>
      <c r="Y53" s="740" t="s">
        <v>818</v>
      </c>
      <c r="Z53" s="742" t="s">
        <v>610</v>
      </c>
      <c r="AA53" s="742" t="s">
        <v>1802</v>
      </c>
      <c r="AB53" s="746">
        <v>1</v>
      </c>
      <c r="AC53" s="743" t="s">
        <v>819</v>
      </c>
      <c r="AD53" s="744">
        <v>51.32</v>
      </c>
      <c r="AE53" s="787" t="s">
        <v>435</v>
      </c>
      <c r="AF53">
        <f>GDF_price_list[[#This Row],[Indicative 
FCA Price]]/GDF_price_list[[#This Row],[Unit]]</f>
        <v>51.32</v>
      </c>
    </row>
    <row r="54" spans="2:32" ht="69" thickBot="1">
      <c r="B54" s="56"/>
      <c r="C54" s="56"/>
      <c r="D54" s="56"/>
      <c r="L54" s="416" t="s">
        <v>593</v>
      </c>
      <c r="M54" s="416" t="s">
        <v>296</v>
      </c>
      <c r="N54" s="416" t="s">
        <v>536</v>
      </c>
      <c r="O54" s="439"/>
      <c r="P54" s="417"/>
      <c r="Q54" s="417"/>
      <c r="R54" s="417">
        <f>IFERROR(ROUND(Bunuri_lab_nomenc[[#This Row],[Cost unitate GFATM_valuta]]*VLOOKUP(Bunuri_lab_nomenc[[#This Row],[Valuta cost GFATM]],$B$58:$D$59,2,0),2),0)</f>
        <v>0</v>
      </c>
      <c r="S54" s="417" t="str">
        <f>IFERROR(VLOOKUP(Bunuri_lab_nomenc[[#This Row],[Denumire catalog GDF]],GDF_price_list[[Product Name]:[Column1]],8,0),"")</f>
        <v/>
      </c>
      <c r="T54" s="417" t="e">
        <f>VLOOKUP(Bunuri_lab_nomenc[[#This Row],[Denumire catalog GDF]],GDF_price_list[[Product Name]:[Column1]],7,0)</f>
        <v>#N/A</v>
      </c>
      <c r="V54" s="786" t="s">
        <v>718</v>
      </c>
      <c r="W54" s="738" t="s">
        <v>817</v>
      </c>
      <c r="X54" s="745">
        <v>106143</v>
      </c>
      <c r="Y54" s="740" t="s">
        <v>820</v>
      </c>
      <c r="Z54" s="742" t="s">
        <v>610</v>
      </c>
      <c r="AA54" s="742" t="s">
        <v>1802</v>
      </c>
      <c r="AB54" s="746">
        <v>1</v>
      </c>
      <c r="AC54" s="743" t="s">
        <v>821</v>
      </c>
      <c r="AD54" s="744">
        <v>88.72</v>
      </c>
      <c r="AE54" s="787" t="s">
        <v>435</v>
      </c>
      <c r="AF54">
        <f>GDF_price_list[[#This Row],[Indicative 
FCA Price]]/GDF_price_list[[#This Row],[Unit]]</f>
        <v>88.72</v>
      </c>
    </row>
    <row r="55" spans="2:32" ht="34">
      <c r="L55" s="416" t="s">
        <v>594</v>
      </c>
      <c r="M55" s="416" t="s">
        <v>542</v>
      </c>
      <c r="N55" s="416" t="s">
        <v>554</v>
      </c>
      <c r="O55" s="439"/>
      <c r="P55" s="417"/>
      <c r="Q55" s="417"/>
      <c r="R55" s="417">
        <f>IFERROR(ROUND(Bunuri_lab_nomenc[[#This Row],[Cost unitate GFATM_valuta]]*VLOOKUP(Bunuri_lab_nomenc[[#This Row],[Valuta cost GFATM]],$B$58:$D$59,2,0),2),0)</f>
        <v>0</v>
      </c>
      <c r="S55" s="417" t="str">
        <f>IFERROR(VLOOKUP(Bunuri_lab_nomenc[[#This Row],[Denumire catalog GDF]],GDF_price_list[[Product Name]:[Column1]],8,0),"")</f>
        <v/>
      </c>
      <c r="T55" s="417" t="e">
        <f>VLOOKUP(Bunuri_lab_nomenc[[#This Row],[Denumire catalog GDF]],GDF_price_list[[Product Name]:[Column1]],7,0)</f>
        <v>#N/A</v>
      </c>
      <c r="V55" s="786" t="s">
        <v>621</v>
      </c>
      <c r="W55" s="738" t="s">
        <v>701</v>
      </c>
      <c r="X55" s="739">
        <v>106580</v>
      </c>
      <c r="Y55" s="740" t="s">
        <v>847</v>
      </c>
      <c r="Z55" s="759" t="s">
        <v>610</v>
      </c>
      <c r="AA55" s="742" t="s">
        <v>1802</v>
      </c>
      <c r="AB55" s="742">
        <v>1</v>
      </c>
      <c r="AC55" s="747" t="s">
        <v>848</v>
      </c>
      <c r="AD55" s="753">
        <v>1429.86</v>
      </c>
      <c r="AE55" s="790" t="s">
        <v>435</v>
      </c>
      <c r="AF55">
        <f>GDF_price_list[[#This Row],[Indicative 
FCA Price]]/GDF_price_list[[#This Row],[Unit]]</f>
        <v>1429.86</v>
      </c>
    </row>
    <row r="56" spans="2:32" ht="34">
      <c r="L56" s="416" t="s">
        <v>595</v>
      </c>
      <c r="M56" s="416" t="s">
        <v>542</v>
      </c>
      <c r="N56" s="416" t="s">
        <v>554</v>
      </c>
      <c r="O56" s="439"/>
      <c r="P56" s="417"/>
      <c r="Q56" s="417"/>
      <c r="R56" s="417">
        <f>IFERROR(ROUND(Bunuri_lab_nomenc[[#This Row],[Cost unitate GFATM_valuta]]*VLOOKUP(Bunuri_lab_nomenc[[#This Row],[Valuta cost GFATM]],$B$58:$D$59,2,0),2),0)</f>
        <v>0</v>
      </c>
      <c r="S56" s="417" t="str">
        <f>IFERROR(VLOOKUP(Bunuri_lab_nomenc[[#This Row],[Denumire catalog GDF]],GDF_price_list[[Product Name]:[Column1]],8,0),"")</f>
        <v/>
      </c>
      <c r="T56" s="417" t="e">
        <f>VLOOKUP(Bunuri_lab_nomenc[[#This Row],[Denumire catalog GDF]],GDF_price_list[[Product Name]:[Column1]],7,0)</f>
        <v>#N/A</v>
      </c>
      <c r="V56" s="786" t="s">
        <v>621</v>
      </c>
      <c r="W56" s="738" t="s">
        <v>701</v>
      </c>
      <c r="X56" s="739">
        <v>106580</v>
      </c>
      <c r="Y56" s="740" t="s">
        <v>847</v>
      </c>
      <c r="Z56" s="759" t="s">
        <v>610</v>
      </c>
      <c r="AA56" s="742" t="s">
        <v>1802</v>
      </c>
      <c r="AB56" s="742">
        <v>1</v>
      </c>
      <c r="AC56" s="747" t="s">
        <v>849</v>
      </c>
      <c r="AD56" s="771">
        <v>1429.86</v>
      </c>
      <c r="AE56" s="790" t="s">
        <v>435</v>
      </c>
      <c r="AF56">
        <f>GDF_price_list[[#This Row],[Indicative 
FCA Price]]/GDF_price_list[[#This Row],[Unit]]</f>
        <v>1429.86</v>
      </c>
    </row>
    <row r="57" spans="2:32" ht="52" thickBot="1">
      <c r="B57" t="s">
        <v>438</v>
      </c>
      <c r="C57" t="s">
        <v>442</v>
      </c>
      <c r="D57" t="s">
        <v>440</v>
      </c>
      <c r="L57" s="416" t="s">
        <v>596</v>
      </c>
      <c r="M57" s="416" t="s">
        <v>542</v>
      </c>
      <c r="N57" s="416" t="s">
        <v>536</v>
      </c>
      <c r="O57" s="439"/>
      <c r="P57" s="417"/>
      <c r="Q57" s="417"/>
      <c r="R57" s="417">
        <f>IFERROR(ROUND(Bunuri_lab_nomenc[[#This Row],[Cost unitate GFATM_valuta]]*VLOOKUP(Bunuri_lab_nomenc[[#This Row],[Valuta cost GFATM]],$B$58:$D$59,2,0),2),0)</f>
        <v>0</v>
      </c>
      <c r="S57" s="417" t="str">
        <f>IFERROR(VLOOKUP(Bunuri_lab_nomenc[[#This Row],[Denumire catalog GDF]],GDF_price_list[[Product Name]:[Column1]],8,0),"")</f>
        <v/>
      </c>
      <c r="T57" s="417" t="e">
        <f>VLOOKUP(Bunuri_lab_nomenc[[#This Row],[Denumire catalog GDF]],GDF_price_list[[Product Name]:[Column1]],7,0)</f>
        <v>#N/A</v>
      </c>
      <c r="V57" s="786" t="s">
        <v>621</v>
      </c>
      <c r="W57" s="738" t="s">
        <v>682</v>
      </c>
      <c r="X57" s="745">
        <v>106125</v>
      </c>
      <c r="Y57" s="740" t="s">
        <v>850</v>
      </c>
      <c r="Z57" s="742" t="s">
        <v>610</v>
      </c>
      <c r="AA57" s="742" t="s">
        <v>1802</v>
      </c>
      <c r="AB57" s="746">
        <v>1</v>
      </c>
      <c r="AC57" s="747" t="s">
        <v>851</v>
      </c>
      <c r="AD57" s="744">
        <v>254.89</v>
      </c>
      <c r="AE57" s="787" t="s">
        <v>435</v>
      </c>
      <c r="AF57">
        <f>GDF_price_list[[#This Row],[Indicative 
FCA Price]]/GDF_price_list[[#This Row],[Unit]]</f>
        <v>254.89</v>
      </c>
    </row>
    <row r="58" spans="2:32" ht="17">
      <c r="B58" s="444" t="s">
        <v>435</v>
      </c>
      <c r="C58" s="433">
        <v>17.568909999999999</v>
      </c>
      <c r="D58" s="434"/>
      <c r="L58" s="416" t="s">
        <v>597</v>
      </c>
      <c r="M58" s="416" t="s">
        <v>296</v>
      </c>
      <c r="N58" s="416" t="s">
        <v>536</v>
      </c>
      <c r="O58" s="439"/>
      <c r="P58" s="417"/>
      <c r="Q58" s="417"/>
      <c r="R58" s="417">
        <f>IFERROR(ROUND(Bunuri_lab_nomenc[[#This Row],[Cost unitate GFATM_valuta]]*VLOOKUP(Bunuri_lab_nomenc[[#This Row],[Valuta cost GFATM]],$B$58:$D$59,2,0),2),0)</f>
        <v>0</v>
      </c>
      <c r="S58" s="417" t="str">
        <f>IFERROR(VLOOKUP(Bunuri_lab_nomenc[[#This Row],[Denumire catalog GDF]],GDF_price_list[[Product Name]:[Column1]],8,0),"")</f>
        <v/>
      </c>
      <c r="T58" s="417" t="e">
        <f>VLOOKUP(Bunuri_lab_nomenc[[#This Row],[Denumire catalog GDF]],GDF_price_list[[Product Name]:[Column1]],7,0)</f>
        <v>#N/A</v>
      </c>
      <c r="V58" s="786" t="s">
        <v>638</v>
      </c>
      <c r="W58" s="738" t="s">
        <v>852</v>
      </c>
      <c r="X58" s="745">
        <v>106505</v>
      </c>
      <c r="Y58" s="740" t="s">
        <v>853</v>
      </c>
      <c r="Z58" s="742" t="s">
        <v>610</v>
      </c>
      <c r="AA58" s="742" t="s">
        <v>1802</v>
      </c>
      <c r="AB58" s="742">
        <v>1</v>
      </c>
      <c r="AC58" s="743" t="s">
        <v>854</v>
      </c>
      <c r="AD58" s="744">
        <v>19.07</v>
      </c>
      <c r="AE58" s="787" t="s">
        <v>435</v>
      </c>
      <c r="AF58">
        <f>GDF_price_list[[#This Row],[Indicative 
FCA Price]]/GDF_price_list[[#This Row],[Unit]]</f>
        <v>19.07</v>
      </c>
    </row>
    <row r="59" spans="2:32" ht="18" thickBot="1">
      <c r="B59" s="445" t="s">
        <v>439</v>
      </c>
      <c r="C59" s="418">
        <v>19.624703</v>
      </c>
      <c r="D59" s="419"/>
      <c r="L59" s="416" t="s">
        <v>598</v>
      </c>
      <c r="M59" s="416" t="s">
        <v>296</v>
      </c>
      <c r="N59" s="416" t="s">
        <v>536</v>
      </c>
      <c r="O59" s="439"/>
      <c r="P59" s="417"/>
      <c r="Q59" s="417"/>
      <c r="R59" s="417">
        <f>IFERROR(ROUND(Bunuri_lab_nomenc[[#This Row],[Cost unitate GFATM_valuta]]*VLOOKUP(Bunuri_lab_nomenc[[#This Row],[Valuta cost GFATM]],$B$58:$D$59,2,0),2),0)</f>
        <v>0</v>
      </c>
      <c r="S59" s="417" t="str">
        <f>IFERROR(VLOOKUP(Bunuri_lab_nomenc[[#This Row],[Denumire catalog GDF]],GDF_price_list[[Product Name]:[Column1]],8,0),"")</f>
        <v/>
      </c>
      <c r="T59" s="417" t="e">
        <f>VLOOKUP(Bunuri_lab_nomenc[[#This Row],[Denumire catalog GDF]],GDF_price_list[[Product Name]:[Column1]],7,0)</f>
        <v>#N/A</v>
      </c>
      <c r="V59" s="786" t="s">
        <v>638</v>
      </c>
      <c r="W59" s="738" t="s">
        <v>852</v>
      </c>
      <c r="X59" s="745">
        <v>106504</v>
      </c>
      <c r="Y59" s="740" t="s">
        <v>855</v>
      </c>
      <c r="Z59" s="742" t="s">
        <v>610</v>
      </c>
      <c r="AA59" s="742" t="s">
        <v>1802</v>
      </c>
      <c r="AB59" s="742">
        <v>1</v>
      </c>
      <c r="AC59" s="743" t="s">
        <v>854</v>
      </c>
      <c r="AD59" s="744">
        <v>19.07</v>
      </c>
      <c r="AE59" s="787" t="s">
        <v>435</v>
      </c>
      <c r="AF59">
        <f>GDF_price_list[[#This Row],[Indicative 
FCA Price]]/GDF_price_list[[#This Row],[Unit]]</f>
        <v>19.07</v>
      </c>
    </row>
    <row r="60" spans="2:32" ht="17">
      <c r="L60" s="416" t="s">
        <v>599</v>
      </c>
      <c r="M60" s="416" t="s">
        <v>542</v>
      </c>
      <c r="N60" s="416" t="s">
        <v>536</v>
      </c>
      <c r="O60" s="439"/>
      <c r="P60" s="417"/>
      <c r="Q60" s="417"/>
      <c r="R60" s="417">
        <f>IFERROR(ROUND(Bunuri_lab_nomenc[[#This Row],[Cost unitate GFATM_valuta]]*VLOOKUP(Bunuri_lab_nomenc[[#This Row],[Valuta cost GFATM]],$B$58:$D$59,2,0),2),0)</f>
        <v>0</v>
      </c>
      <c r="S60" s="417" t="str">
        <f>IFERROR(VLOOKUP(Bunuri_lab_nomenc[[#This Row],[Denumire catalog GDF]],GDF_price_list[[Product Name]:[Column1]],8,0),"")</f>
        <v/>
      </c>
      <c r="T60" s="417" t="e">
        <f>VLOOKUP(Bunuri_lab_nomenc[[#This Row],[Denumire catalog GDF]],GDF_price_list[[Product Name]:[Column1]],7,0)</f>
        <v>#N/A</v>
      </c>
      <c r="V60" s="786" t="s">
        <v>638</v>
      </c>
      <c r="W60" s="738" t="s">
        <v>852</v>
      </c>
      <c r="X60" s="745">
        <v>106503</v>
      </c>
      <c r="Y60" s="740" t="s">
        <v>856</v>
      </c>
      <c r="Z60" s="742" t="s">
        <v>610</v>
      </c>
      <c r="AA60" s="742" t="s">
        <v>1802</v>
      </c>
      <c r="AB60" s="742">
        <v>1</v>
      </c>
      <c r="AC60" s="743" t="s">
        <v>854</v>
      </c>
      <c r="AD60" s="744">
        <v>19.07</v>
      </c>
      <c r="AE60" s="787" t="s">
        <v>435</v>
      </c>
      <c r="AF60">
        <f>GDF_price_list[[#This Row],[Indicative 
FCA Price]]/GDF_price_list[[#This Row],[Unit]]</f>
        <v>19.07</v>
      </c>
    </row>
    <row r="61" spans="2:32" ht="17">
      <c r="L61" s="416" t="s">
        <v>600</v>
      </c>
      <c r="M61" s="416" t="s">
        <v>542</v>
      </c>
      <c r="N61" s="416" t="s">
        <v>536</v>
      </c>
      <c r="O61" s="439"/>
      <c r="P61" s="417"/>
      <c r="Q61" s="417"/>
      <c r="R61" s="417">
        <f>IFERROR(ROUND(Bunuri_lab_nomenc[[#This Row],[Cost unitate GFATM_valuta]]*VLOOKUP(Bunuri_lab_nomenc[[#This Row],[Valuta cost GFATM]],$B$58:$D$59,2,0),2),0)</f>
        <v>0</v>
      </c>
      <c r="S61" s="417" t="str">
        <f>IFERROR(VLOOKUP(Bunuri_lab_nomenc[[#This Row],[Denumire catalog GDF]],GDF_price_list[[Product Name]:[Column1]],8,0),"")</f>
        <v/>
      </c>
      <c r="T61" s="417" t="e">
        <f>VLOOKUP(Bunuri_lab_nomenc[[#This Row],[Denumire catalog GDF]],GDF_price_list[[Product Name]:[Column1]],7,0)</f>
        <v>#N/A</v>
      </c>
      <c r="V61" s="786" t="s">
        <v>638</v>
      </c>
      <c r="W61" s="738" t="s">
        <v>852</v>
      </c>
      <c r="X61" s="745">
        <v>106502</v>
      </c>
      <c r="Y61" s="740" t="s">
        <v>857</v>
      </c>
      <c r="Z61" s="742" t="s">
        <v>610</v>
      </c>
      <c r="AA61" s="742" t="s">
        <v>1802</v>
      </c>
      <c r="AB61" s="742">
        <v>1</v>
      </c>
      <c r="AC61" s="743" t="s">
        <v>858</v>
      </c>
      <c r="AD61" s="744">
        <v>17.84</v>
      </c>
      <c r="AE61" s="787" t="s">
        <v>435</v>
      </c>
      <c r="AF61">
        <f>GDF_price_list[[#This Row],[Indicative 
FCA Price]]/GDF_price_list[[#This Row],[Unit]]</f>
        <v>17.84</v>
      </c>
    </row>
    <row r="62" spans="2:32" ht="18" thickBot="1">
      <c r="B62" t="s">
        <v>444</v>
      </c>
      <c r="L62" s="416" t="s">
        <v>601</v>
      </c>
      <c r="M62" s="416" t="s">
        <v>535</v>
      </c>
      <c r="N62" s="416" t="s">
        <v>554</v>
      </c>
      <c r="O62" s="439"/>
      <c r="P62" s="417"/>
      <c r="Q62" s="417"/>
      <c r="R62" s="417">
        <f>IFERROR(ROUND(Bunuri_lab_nomenc[[#This Row],[Cost unitate GFATM_valuta]]*VLOOKUP(Bunuri_lab_nomenc[[#This Row],[Valuta cost GFATM]],$B$58:$D$59,2,0),2),0)</f>
        <v>0</v>
      </c>
      <c r="S62" s="417" t="str">
        <f>IFERROR(VLOOKUP(Bunuri_lab_nomenc[[#This Row],[Denumire catalog GDF]],GDF_price_list[[Product Name]:[Column1]],8,0),"")</f>
        <v/>
      </c>
      <c r="T62" s="417" t="e">
        <f>VLOOKUP(Bunuri_lab_nomenc[[#This Row],[Denumire catalog GDF]],GDF_price_list[[Product Name]:[Column1]],7,0)</f>
        <v>#N/A</v>
      </c>
      <c r="V62" s="786" t="s">
        <v>638</v>
      </c>
      <c r="W62" s="738" t="s">
        <v>852</v>
      </c>
      <c r="X62" s="745">
        <v>106501</v>
      </c>
      <c r="Y62" s="740" t="s">
        <v>859</v>
      </c>
      <c r="Z62" s="742" t="s">
        <v>610</v>
      </c>
      <c r="AA62" s="742" t="s">
        <v>1802</v>
      </c>
      <c r="AB62" s="742">
        <v>1</v>
      </c>
      <c r="AC62" s="743" t="s">
        <v>858</v>
      </c>
      <c r="AD62" s="744">
        <v>17.84</v>
      </c>
      <c r="AE62" s="787" t="s">
        <v>435</v>
      </c>
      <c r="AF62">
        <f>GDF_price_list[[#This Row],[Indicative 
FCA Price]]/GDF_price_list[[#This Row],[Unit]]</f>
        <v>17.84</v>
      </c>
    </row>
    <row r="63" spans="2:32" ht="17">
      <c r="B63" s="64" t="s">
        <v>443</v>
      </c>
      <c r="L63" s="416"/>
      <c r="M63" s="416"/>
      <c r="N63" s="416"/>
      <c r="O63" s="439"/>
      <c r="P63" s="417"/>
      <c r="Q63" s="417"/>
      <c r="R63" s="417">
        <f>IFERROR(ROUND(Bunuri_lab_nomenc[[#This Row],[Cost unitate GFATM_valuta]]*VLOOKUP(Bunuri_lab_nomenc[[#This Row],[Valuta cost GFATM]],$B$58:$D$59,2,0),2),0)</f>
        <v>0</v>
      </c>
      <c r="S63" s="417" t="str">
        <f>IFERROR(VLOOKUP(Bunuri_lab_nomenc[[#This Row],[Denumire catalog GDF]],GDF_price_list[[Product Name]:[Column1]],8,0),"")</f>
        <v/>
      </c>
      <c r="T63" s="417" t="e">
        <f>VLOOKUP(Bunuri_lab_nomenc[[#This Row],[Denumire catalog GDF]],GDF_price_list[[Product Name]:[Column1]],7,0)</f>
        <v>#N/A</v>
      </c>
      <c r="V63" s="786" t="s">
        <v>638</v>
      </c>
      <c r="W63" s="738" t="s">
        <v>852</v>
      </c>
      <c r="X63" s="745">
        <v>106500</v>
      </c>
      <c r="Y63" s="740" t="s">
        <v>860</v>
      </c>
      <c r="Z63" s="742" t="s">
        <v>610</v>
      </c>
      <c r="AA63" s="742" t="s">
        <v>1802</v>
      </c>
      <c r="AB63" s="742">
        <v>1</v>
      </c>
      <c r="AC63" s="743" t="s">
        <v>858</v>
      </c>
      <c r="AD63" s="744">
        <v>17.84</v>
      </c>
      <c r="AE63" s="787" t="s">
        <v>435</v>
      </c>
      <c r="AF63">
        <f>GDF_price_list[[#This Row],[Indicative 
FCA Price]]/GDF_price_list[[#This Row],[Unit]]</f>
        <v>17.84</v>
      </c>
    </row>
    <row r="64" spans="2:32" ht="17">
      <c r="B64" s="55" t="s">
        <v>447</v>
      </c>
      <c r="L64" s="416"/>
      <c r="M64" s="416"/>
      <c r="N64" s="416"/>
      <c r="O64" s="439"/>
      <c r="P64" s="417"/>
      <c r="Q64" s="417"/>
      <c r="R64" s="417">
        <f>IFERROR(ROUND(Bunuri_lab_nomenc[[#This Row],[Cost unitate GFATM_valuta]]*VLOOKUP(Bunuri_lab_nomenc[[#This Row],[Valuta cost GFATM]],$B$58:$D$59,2,0),2),0)</f>
        <v>0</v>
      </c>
      <c r="S64" s="417" t="str">
        <f>IFERROR(VLOOKUP(Bunuri_lab_nomenc[[#This Row],[Denumire catalog GDF]],GDF_price_list[[Product Name]:[Column1]],8,0),"")</f>
        <v/>
      </c>
      <c r="T64" s="417" t="e">
        <f>VLOOKUP(Bunuri_lab_nomenc[[#This Row],[Denumire catalog GDF]],GDF_price_list[[Product Name]:[Column1]],7,0)</f>
        <v>#N/A</v>
      </c>
      <c r="V64" s="786" t="s">
        <v>648</v>
      </c>
      <c r="W64" s="738" t="s">
        <v>649</v>
      </c>
      <c r="X64" s="739">
        <v>106565</v>
      </c>
      <c r="Y64" s="740" t="s">
        <v>861</v>
      </c>
      <c r="Z64" s="742" t="s">
        <v>651</v>
      </c>
      <c r="AA64" s="742" t="s">
        <v>1802</v>
      </c>
      <c r="AB64" s="742">
        <v>1</v>
      </c>
      <c r="AC64" s="743" t="s">
        <v>862</v>
      </c>
      <c r="AD64" s="753">
        <v>0.14000000000000001</v>
      </c>
      <c r="AE64" s="790" t="s">
        <v>435</v>
      </c>
      <c r="AF64">
        <f>GDF_price_list[[#This Row],[Indicative 
FCA Price]]/GDF_price_list[[#This Row],[Unit]]</f>
        <v>0.14000000000000001</v>
      </c>
    </row>
    <row r="65" spans="2:32" ht="18" thickBot="1">
      <c r="B65" s="56" t="s">
        <v>435</v>
      </c>
      <c r="L65" s="416"/>
      <c r="M65" s="416"/>
      <c r="N65" s="416"/>
      <c r="O65" s="439"/>
      <c r="P65" s="417"/>
      <c r="Q65" s="417"/>
      <c r="R65" s="417">
        <f>IFERROR(ROUND(Bunuri_lab_nomenc[[#This Row],[Cost unitate GFATM_valuta]]*VLOOKUP(Bunuri_lab_nomenc[[#This Row],[Valuta cost GFATM]],$B$58:$D$59,2,0),2),0)</f>
        <v>0</v>
      </c>
      <c r="S65" s="417" t="str">
        <f>IFERROR(VLOOKUP(Bunuri_lab_nomenc[[#This Row],[Denumire catalog GDF]],GDF_price_list[[Product Name]:[Column1]],8,0),"")</f>
        <v/>
      </c>
      <c r="T65" s="417" t="e">
        <f>VLOOKUP(Bunuri_lab_nomenc[[#This Row],[Denumire catalog GDF]],GDF_price_list[[Product Name]:[Column1]],7,0)</f>
        <v>#N/A</v>
      </c>
      <c r="V65" s="786" t="s">
        <v>638</v>
      </c>
      <c r="W65" s="738" t="s">
        <v>639</v>
      </c>
      <c r="X65" s="739">
        <v>106376</v>
      </c>
      <c r="Y65" s="740" t="s">
        <v>863</v>
      </c>
      <c r="Z65" s="742" t="s">
        <v>610</v>
      </c>
      <c r="AA65" s="742" t="s">
        <v>1802</v>
      </c>
      <c r="AB65" s="742">
        <v>1</v>
      </c>
      <c r="AC65" s="743" t="s">
        <v>864</v>
      </c>
      <c r="AD65" s="744">
        <v>5.49</v>
      </c>
      <c r="AE65" s="787" t="s">
        <v>435</v>
      </c>
      <c r="AF65">
        <f>GDF_price_list[[#This Row],[Indicative 
FCA Price]]/GDF_price_list[[#This Row],[Unit]]</f>
        <v>5.49</v>
      </c>
    </row>
    <row r="66" spans="2:32" ht="34">
      <c r="L66" s="416"/>
      <c r="M66" s="416"/>
      <c r="N66" s="416"/>
      <c r="O66" s="439"/>
      <c r="P66" s="417"/>
      <c r="Q66" s="417"/>
      <c r="R66" s="417">
        <f>IFERROR(ROUND(Bunuri_lab_nomenc[[#This Row],[Cost unitate GFATM_valuta]]*VLOOKUP(Bunuri_lab_nomenc[[#This Row],[Valuta cost GFATM]],$B$58:$D$59,2,0),2),0)</f>
        <v>0</v>
      </c>
      <c r="S66" s="417" t="str">
        <f>IFERROR(VLOOKUP(Bunuri_lab_nomenc[[#This Row],[Denumire catalog GDF]],GDF_price_list[[Product Name]:[Column1]],8,0),"")</f>
        <v/>
      </c>
      <c r="T66" s="417" t="e">
        <f>VLOOKUP(Bunuri_lab_nomenc[[#This Row],[Denumire catalog GDF]],GDF_price_list[[Product Name]:[Column1]],7,0)</f>
        <v>#N/A</v>
      </c>
      <c r="V66" s="786" t="s">
        <v>718</v>
      </c>
      <c r="W66" s="738" t="s">
        <v>719</v>
      </c>
      <c r="X66" s="739">
        <v>106594</v>
      </c>
      <c r="Y66" s="740" t="s">
        <v>865</v>
      </c>
      <c r="Z66" s="742" t="s">
        <v>610</v>
      </c>
      <c r="AA66" s="742" t="s">
        <v>1802</v>
      </c>
      <c r="AB66" s="742">
        <v>1</v>
      </c>
      <c r="AC66" s="747" t="s">
        <v>866</v>
      </c>
      <c r="AD66" s="753">
        <v>159.38999999999999</v>
      </c>
      <c r="AE66" s="790" t="s">
        <v>435</v>
      </c>
      <c r="AF66">
        <f>GDF_price_list[[#This Row],[Indicative 
FCA Price]]/GDF_price_list[[#This Row],[Unit]]</f>
        <v>159.38999999999999</v>
      </c>
    </row>
    <row r="67" spans="2:32" ht="17">
      <c r="L67" s="416"/>
      <c r="M67" s="416"/>
      <c r="N67" s="416"/>
      <c r="O67" s="439"/>
      <c r="P67" s="417"/>
      <c r="Q67" s="417"/>
      <c r="R67" s="417">
        <f>IFERROR(ROUND(Bunuri_lab_nomenc[[#This Row],[Cost unitate GFATM_valuta]]*VLOOKUP(Bunuri_lab_nomenc[[#This Row],[Valuta cost GFATM]],$B$58:$D$59,2,0),2),0)</f>
        <v>0</v>
      </c>
      <c r="S67" s="417" t="str">
        <f>IFERROR(VLOOKUP(Bunuri_lab_nomenc[[#This Row],[Denumire catalog GDF]],GDF_price_list[[Product Name]:[Column1]],8,0),"")</f>
        <v/>
      </c>
      <c r="T67" s="417" t="e">
        <f>VLOOKUP(Bunuri_lab_nomenc[[#This Row],[Denumire catalog GDF]],GDF_price_list[[Product Name]:[Column1]],7,0)</f>
        <v>#N/A</v>
      </c>
      <c r="V67" s="786" t="s">
        <v>638</v>
      </c>
      <c r="W67" s="738" t="s">
        <v>639</v>
      </c>
      <c r="X67" s="745">
        <v>106087</v>
      </c>
      <c r="Y67" s="740" t="s">
        <v>867</v>
      </c>
      <c r="Z67" s="742" t="s">
        <v>610</v>
      </c>
      <c r="AA67" s="742" t="s">
        <v>1802</v>
      </c>
      <c r="AB67" s="746">
        <v>1</v>
      </c>
      <c r="AC67" s="743" t="s">
        <v>868</v>
      </c>
      <c r="AD67" s="744">
        <v>22.23</v>
      </c>
      <c r="AE67" s="787" t="s">
        <v>435</v>
      </c>
      <c r="AF67">
        <f>GDF_price_list[[#This Row],[Indicative 
FCA Price]]/GDF_price_list[[#This Row],[Unit]]</f>
        <v>22.23</v>
      </c>
    </row>
    <row r="68" spans="2:32" ht="35" thickBot="1">
      <c r="B68" t="s">
        <v>3714</v>
      </c>
      <c r="L68" s="416"/>
      <c r="M68" s="416"/>
      <c r="N68" s="416"/>
      <c r="O68" s="439"/>
      <c r="P68" s="417"/>
      <c r="Q68" s="417"/>
      <c r="R68" s="417">
        <f>IFERROR(ROUND(Bunuri_lab_nomenc[[#This Row],[Cost unitate GFATM_valuta]]*VLOOKUP(Bunuri_lab_nomenc[[#This Row],[Valuta cost GFATM]],$B$58:$D$59,2,0),2),0)</f>
        <v>0</v>
      </c>
      <c r="S68" s="417" t="str">
        <f>IFERROR(VLOOKUP(Bunuri_lab_nomenc[[#This Row],[Denumire catalog GDF]],GDF_price_list[[Product Name]:[Column1]],8,0),"")</f>
        <v/>
      </c>
      <c r="T68" s="417" t="e">
        <f>VLOOKUP(Bunuri_lab_nomenc[[#This Row],[Denumire catalog GDF]],GDF_price_list[[Product Name]:[Column1]],7,0)</f>
        <v>#N/A</v>
      </c>
      <c r="V68" s="786" t="s">
        <v>666</v>
      </c>
      <c r="W68" s="738" t="s">
        <v>722</v>
      </c>
      <c r="X68" s="745">
        <v>106451</v>
      </c>
      <c r="Y68" s="740" t="s">
        <v>874</v>
      </c>
      <c r="Z68" s="742" t="s">
        <v>610</v>
      </c>
      <c r="AA68" s="742" t="s">
        <v>1802</v>
      </c>
      <c r="AB68" s="773">
        <v>1</v>
      </c>
      <c r="AC68" s="743" t="s">
        <v>875</v>
      </c>
      <c r="AD68" s="744">
        <v>680</v>
      </c>
      <c r="AE68" s="787" t="s">
        <v>435</v>
      </c>
      <c r="AF68">
        <f>GDF_price_list[[#This Row],[Indicative 
FCA Price]]/GDF_price_list[[#This Row],[Unit]]</f>
        <v>680</v>
      </c>
    </row>
    <row r="69" spans="2:32" ht="34">
      <c r="B69" s="2178" t="s">
        <v>3715</v>
      </c>
      <c r="L69" s="416"/>
      <c r="M69" s="416"/>
      <c r="N69" s="416"/>
      <c r="O69" s="439"/>
      <c r="P69" s="417"/>
      <c r="Q69" s="417"/>
      <c r="R69" s="417">
        <f>IFERROR(ROUND(Bunuri_lab_nomenc[[#This Row],[Cost unitate GFATM_valuta]]*VLOOKUP(Bunuri_lab_nomenc[[#This Row],[Valuta cost GFATM]],$B$58:$D$59,2,0),2),0)</f>
        <v>0</v>
      </c>
      <c r="S69" s="417" t="str">
        <f>IFERROR(VLOOKUP(Bunuri_lab_nomenc[[#This Row],[Denumire catalog GDF]],GDF_price_list[[Product Name]:[Column1]],8,0),"")</f>
        <v/>
      </c>
      <c r="T69" s="417" t="e">
        <f>VLOOKUP(Bunuri_lab_nomenc[[#This Row],[Denumire catalog GDF]],GDF_price_list[[Product Name]:[Column1]],7,0)</f>
        <v>#N/A</v>
      </c>
      <c r="V69" s="786" t="s">
        <v>718</v>
      </c>
      <c r="W69" s="738" t="s">
        <v>798</v>
      </c>
      <c r="X69" s="745">
        <v>106150</v>
      </c>
      <c r="Y69" s="740" t="s">
        <v>876</v>
      </c>
      <c r="Z69" s="742" t="s">
        <v>610</v>
      </c>
      <c r="AA69" s="742" t="s">
        <v>1802</v>
      </c>
      <c r="AB69" s="746">
        <v>1</v>
      </c>
      <c r="AC69" s="743" t="s">
        <v>877</v>
      </c>
      <c r="AD69" s="744">
        <v>210.69</v>
      </c>
      <c r="AE69" s="787" t="s">
        <v>435</v>
      </c>
      <c r="AF69">
        <f>GDF_price_list[[#This Row],[Indicative 
FCA Price]]/GDF_price_list[[#This Row],[Unit]]</f>
        <v>210.69</v>
      </c>
    </row>
    <row r="70" spans="2:32" ht="34">
      <c r="B70" s="55" t="s">
        <v>3716</v>
      </c>
      <c r="L70" s="416"/>
      <c r="M70" s="416"/>
      <c r="N70" s="416"/>
      <c r="O70" s="439"/>
      <c r="P70" s="417"/>
      <c r="Q70" s="417"/>
      <c r="R70" s="417">
        <f>IFERROR(ROUND(Bunuri_lab_nomenc[[#This Row],[Cost unitate GFATM_valuta]]*VLOOKUP(Bunuri_lab_nomenc[[#This Row],[Valuta cost GFATM]],$B$58:$D$59,2,0),2),0)</f>
        <v>0</v>
      </c>
      <c r="S70" s="417" t="str">
        <f>IFERROR(VLOOKUP(Bunuri_lab_nomenc[[#This Row],[Denumire catalog GDF]],GDF_price_list[[Product Name]:[Column1]],8,0),"")</f>
        <v/>
      </c>
      <c r="T70" s="417" t="e">
        <f>VLOOKUP(Bunuri_lab_nomenc[[#This Row],[Denumire catalog GDF]],GDF_price_list[[Product Name]:[Column1]],7,0)</f>
        <v>#N/A</v>
      </c>
      <c r="V70" s="786" t="s">
        <v>718</v>
      </c>
      <c r="W70" s="738" t="s">
        <v>798</v>
      </c>
      <c r="X70" s="739">
        <v>106063</v>
      </c>
      <c r="Y70" s="740" t="s">
        <v>891</v>
      </c>
      <c r="Z70" s="742" t="s">
        <v>610</v>
      </c>
      <c r="AA70" s="742" t="s">
        <v>1802</v>
      </c>
      <c r="AB70" s="742">
        <v>1</v>
      </c>
      <c r="AC70" s="743" t="s">
        <v>892</v>
      </c>
      <c r="AD70" s="744">
        <v>116.29</v>
      </c>
      <c r="AE70" s="787" t="s">
        <v>435</v>
      </c>
      <c r="AF70">
        <f>GDF_price_list[[#This Row],[Indicative 
FCA Price]]/GDF_price_list[[#This Row],[Unit]]</f>
        <v>116.29</v>
      </c>
    </row>
    <row r="71" spans="2:32" ht="17">
      <c r="B71" s="55" t="s">
        <v>3717</v>
      </c>
      <c r="L71" s="416"/>
      <c r="M71" s="416"/>
      <c r="N71" s="416"/>
      <c r="O71" s="439"/>
      <c r="P71" s="417"/>
      <c r="Q71" s="417"/>
      <c r="R71" s="417">
        <f>IFERROR(ROUND(Bunuri_lab_nomenc[[#This Row],[Cost unitate GFATM_valuta]]*VLOOKUP(Bunuri_lab_nomenc[[#This Row],[Valuta cost GFATM]],$B$58:$D$59,2,0),2),0)</f>
        <v>0</v>
      </c>
      <c r="S71" s="417" t="str">
        <f>IFERROR(VLOOKUP(Bunuri_lab_nomenc[[#This Row],[Denumire catalog GDF]],GDF_price_list[[Product Name]:[Column1]],8,0),"")</f>
        <v/>
      </c>
      <c r="T71" s="417" t="e">
        <f>VLOOKUP(Bunuri_lab_nomenc[[#This Row],[Denumire catalog GDF]],GDF_price_list[[Product Name]:[Column1]],7,0)</f>
        <v>#N/A</v>
      </c>
      <c r="V71" s="786" t="s">
        <v>638</v>
      </c>
      <c r="W71" s="738" t="s">
        <v>899</v>
      </c>
      <c r="X71" s="745">
        <v>106251</v>
      </c>
      <c r="Y71" s="754" t="s">
        <v>900</v>
      </c>
      <c r="Z71" s="742" t="s">
        <v>610</v>
      </c>
      <c r="AA71" s="742" t="s">
        <v>1802</v>
      </c>
      <c r="AB71" s="746">
        <v>1</v>
      </c>
      <c r="AC71" s="743" t="s">
        <v>901</v>
      </c>
      <c r="AD71" s="744">
        <v>42.42</v>
      </c>
      <c r="AE71" s="787" t="s">
        <v>435</v>
      </c>
      <c r="AF71">
        <f>GDF_price_list[[#This Row],[Indicative 
FCA Price]]/GDF_price_list[[#This Row],[Unit]]</f>
        <v>42.42</v>
      </c>
    </row>
    <row r="72" spans="2:32" ht="17">
      <c r="B72" s="55"/>
      <c r="L72" s="416"/>
      <c r="M72" s="416"/>
      <c r="N72" s="416"/>
      <c r="O72" s="439"/>
      <c r="P72" s="417"/>
      <c r="Q72" s="417"/>
      <c r="R72" s="417">
        <f>IFERROR(ROUND(Bunuri_lab_nomenc[[#This Row],[Cost unitate GFATM_valuta]]*VLOOKUP(Bunuri_lab_nomenc[[#This Row],[Valuta cost GFATM]],$B$58:$D$59,2,0),2),0)</f>
        <v>0</v>
      </c>
      <c r="S72" s="417" t="str">
        <f>IFERROR(VLOOKUP(Bunuri_lab_nomenc[[#This Row],[Denumire catalog GDF]],GDF_price_list[[Product Name]:[Column1]],8,0),"")</f>
        <v/>
      </c>
      <c r="T72" s="417" t="e">
        <f>VLOOKUP(Bunuri_lab_nomenc[[#This Row],[Denumire catalog GDF]],GDF_price_list[[Product Name]:[Column1]],7,0)</f>
        <v>#N/A</v>
      </c>
      <c r="V72" s="786" t="s">
        <v>638</v>
      </c>
      <c r="W72" s="738" t="s">
        <v>835</v>
      </c>
      <c r="X72" s="745">
        <v>106090</v>
      </c>
      <c r="Y72" s="740" t="s">
        <v>913</v>
      </c>
      <c r="Z72" s="742" t="s">
        <v>610</v>
      </c>
      <c r="AA72" s="742" t="s">
        <v>1802</v>
      </c>
      <c r="AB72" s="746">
        <v>1</v>
      </c>
      <c r="AC72" s="743" t="s">
        <v>914</v>
      </c>
      <c r="AD72" s="744">
        <v>55.09</v>
      </c>
      <c r="AE72" s="787" t="s">
        <v>435</v>
      </c>
      <c r="AF72">
        <f>GDF_price_list[[#This Row],[Indicative 
FCA Price]]/GDF_price_list[[#This Row],[Unit]]</f>
        <v>55.09</v>
      </c>
    </row>
    <row r="73" spans="2:32" ht="17">
      <c r="B73" s="55"/>
      <c r="L73" s="416"/>
      <c r="M73" s="416"/>
      <c r="N73" s="416"/>
      <c r="O73" s="439"/>
      <c r="P73" s="417"/>
      <c r="Q73" s="417"/>
      <c r="R73" s="417">
        <f>IFERROR(ROUND(Bunuri_lab_nomenc[[#This Row],[Cost unitate GFATM_valuta]]*VLOOKUP(Bunuri_lab_nomenc[[#This Row],[Valuta cost GFATM]],$B$58:$D$59,2,0),2),0)</f>
        <v>0</v>
      </c>
      <c r="S73" s="417" t="str">
        <f>IFERROR(VLOOKUP(Bunuri_lab_nomenc[[#This Row],[Denumire catalog GDF]],GDF_price_list[[Product Name]:[Column1]],8,0),"")</f>
        <v/>
      </c>
      <c r="T73" s="417" t="e">
        <f>VLOOKUP(Bunuri_lab_nomenc[[#This Row],[Denumire catalog GDF]],GDF_price_list[[Product Name]:[Column1]],7,0)</f>
        <v>#N/A</v>
      </c>
      <c r="V73" s="786" t="s">
        <v>666</v>
      </c>
      <c r="W73" s="738" t="s">
        <v>722</v>
      </c>
      <c r="X73" s="739">
        <v>106115</v>
      </c>
      <c r="Y73" s="740" t="s">
        <v>915</v>
      </c>
      <c r="Z73" s="742" t="s">
        <v>610</v>
      </c>
      <c r="AA73" s="742" t="s">
        <v>1802</v>
      </c>
      <c r="AB73" s="742">
        <v>1</v>
      </c>
      <c r="AC73" s="743" t="s">
        <v>916</v>
      </c>
      <c r="AD73" s="744">
        <v>440.72</v>
      </c>
      <c r="AE73" s="787" t="s">
        <v>435</v>
      </c>
      <c r="AF73">
        <f>GDF_price_list[[#This Row],[Indicative 
FCA Price]]/GDF_price_list[[#This Row],[Unit]]</f>
        <v>440.72</v>
      </c>
    </row>
    <row r="74" spans="2:32" ht="18" thickBot="1">
      <c r="B74" s="56"/>
      <c r="L74" s="416"/>
      <c r="M74" s="416"/>
      <c r="N74" s="416"/>
      <c r="O74" s="439"/>
      <c r="P74" s="417"/>
      <c r="Q74" s="417"/>
      <c r="R74" s="417">
        <f>IFERROR(ROUND(Bunuri_lab_nomenc[[#This Row],[Cost unitate GFATM_valuta]]*VLOOKUP(Bunuri_lab_nomenc[[#This Row],[Valuta cost GFATM]],$B$58:$D$59,2,0),2),0)</f>
        <v>0</v>
      </c>
      <c r="S74" s="417" t="str">
        <f>IFERROR(VLOOKUP(Bunuri_lab_nomenc[[#This Row],[Denumire catalog GDF]],GDF_price_list[[Product Name]:[Column1]],8,0),"")</f>
        <v/>
      </c>
      <c r="T74" s="417" t="e">
        <f>VLOOKUP(Bunuri_lab_nomenc[[#This Row],[Denumire catalog GDF]],GDF_price_list[[Product Name]:[Column1]],7,0)</f>
        <v>#N/A</v>
      </c>
      <c r="V74" s="786" t="s">
        <v>612</v>
      </c>
      <c r="W74" s="738" t="s">
        <v>653</v>
      </c>
      <c r="X74" s="739">
        <v>106334</v>
      </c>
      <c r="Y74" s="740" t="s">
        <v>933</v>
      </c>
      <c r="Z74" s="742" t="s">
        <v>610</v>
      </c>
      <c r="AA74" s="742" t="s">
        <v>1802</v>
      </c>
      <c r="AB74" s="742">
        <v>1</v>
      </c>
      <c r="AC74" s="743" t="s">
        <v>934</v>
      </c>
      <c r="AD74" s="744">
        <v>98.17</v>
      </c>
      <c r="AE74" s="787" t="s">
        <v>435</v>
      </c>
      <c r="AF74">
        <f>GDF_price_list[[#This Row],[Indicative 
FCA Price]]/GDF_price_list[[#This Row],[Unit]]</f>
        <v>98.17</v>
      </c>
    </row>
    <row r="75" spans="2:32" ht="68">
      <c r="L75" s="416"/>
      <c r="M75" s="416"/>
      <c r="N75" s="416"/>
      <c r="O75" s="439"/>
      <c r="P75" s="417"/>
      <c r="Q75" s="417"/>
      <c r="R75" s="417">
        <f>IFERROR(ROUND(Bunuri_lab_nomenc[[#This Row],[Cost unitate GFATM_valuta]]*VLOOKUP(Bunuri_lab_nomenc[[#This Row],[Valuta cost GFATM]],$B$58:$D$59,2,0),2),0)</f>
        <v>0</v>
      </c>
      <c r="S75" s="417" t="str">
        <f>IFERROR(VLOOKUP(Bunuri_lab_nomenc[[#This Row],[Denumire catalog GDF]],GDF_price_list[[Product Name]:[Column1]],8,0),"")</f>
        <v/>
      </c>
      <c r="T75" s="417" t="e">
        <f>VLOOKUP(Bunuri_lab_nomenc[[#This Row],[Denumire catalog GDF]],GDF_price_list[[Product Name]:[Column1]],7,0)</f>
        <v>#N/A</v>
      </c>
      <c r="V75" s="786" t="s">
        <v>740</v>
      </c>
      <c r="W75" s="738" t="s">
        <v>741</v>
      </c>
      <c r="X75" s="765">
        <v>106469</v>
      </c>
      <c r="Y75" s="763" t="s">
        <v>935</v>
      </c>
      <c r="Z75" s="759" t="s">
        <v>610</v>
      </c>
      <c r="AA75" s="742" t="s">
        <v>1802</v>
      </c>
      <c r="AB75" s="764">
        <v>1</v>
      </c>
      <c r="AC75" s="747" t="s">
        <v>936</v>
      </c>
      <c r="AD75" s="761">
        <v>1989.1872000000001</v>
      </c>
      <c r="AE75" s="791" t="s">
        <v>435</v>
      </c>
      <c r="AF75">
        <f>GDF_price_list[[#This Row],[Indicative 
FCA Price]]/GDF_price_list[[#This Row],[Unit]]</f>
        <v>1989.1872000000001</v>
      </c>
    </row>
    <row r="76" spans="2:32" ht="68">
      <c r="L76" s="416"/>
      <c r="M76" s="416"/>
      <c r="N76" s="416"/>
      <c r="O76" s="439"/>
      <c r="P76" s="417"/>
      <c r="Q76" s="417"/>
      <c r="R76" s="417">
        <f>IFERROR(ROUND(Bunuri_lab_nomenc[[#This Row],[Cost unitate GFATM_valuta]]*VLOOKUP(Bunuri_lab_nomenc[[#This Row],[Valuta cost GFATM]],$B$58:$D$59,2,0),2),0)</f>
        <v>0</v>
      </c>
      <c r="S76" s="417" t="str">
        <f>IFERROR(VLOOKUP(Bunuri_lab_nomenc[[#This Row],[Denumire catalog GDF]],GDF_price_list[[Product Name]:[Column1]],8,0),"")</f>
        <v/>
      </c>
      <c r="T76" s="417" t="e">
        <f>VLOOKUP(Bunuri_lab_nomenc[[#This Row],[Denumire catalog GDF]],GDF_price_list[[Product Name]:[Column1]],7,0)</f>
        <v>#N/A</v>
      </c>
      <c r="V76" s="786" t="s">
        <v>666</v>
      </c>
      <c r="W76" s="738" t="s">
        <v>940</v>
      </c>
      <c r="X76" s="745">
        <v>106223</v>
      </c>
      <c r="Y76" s="754" t="s">
        <v>941</v>
      </c>
      <c r="Z76" s="742" t="s">
        <v>610</v>
      </c>
      <c r="AA76" s="742" t="s">
        <v>1802</v>
      </c>
      <c r="AB76" s="746">
        <v>1</v>
      </c>
      <c r="AC76" s="743" t="s">
        <v>942</v>
      </c>
      <c r="AD76" s="744">
        <v>690.69</v>
      </c>
      <c r="AE76" s="787" t="s">
        <v>435</v>
      </c>
      <c r="AF76">
        <f>GDF_price_list[[#This Row],[Indicative 
FCA Price]]/GDF_price_list[[#This Row],[Unit]]</f>
        <v>690.69</v>
      </c>
    </row>
    <row r="77" spans="2:32" ht="34">
      <c r="L77" s="416"/>
      <c r="M77" s="416"/>
      <c r="N77" s="416"/>
      <c r="O77" s="439"/>
      <c r="P77" s="417"/>
      <c r="Q77" s="417"/>
      <c r="R77" s="417">
        <f>IFERROR(ROUND(Bunuri_lab_nomenc[[#This Row],[Cost unitate GFATM_valuta]]*VLOOKUP(Bunuri_lab_nomenc[[#This Row],[Valuta cost GFATM]],$B$58:$D$59,2,0),2),0)</f>
        <v>0</v>
      </c>
      <c r="S77" s="417" t="str">
        <f>IFERROR(VLOOKUP(Bunuri_lab_nomenc[[#This Row],[Denumire catalog GDF]],GDF_price_list[[Product Name]:[Column1]],8,0),"")</f>
        <v/>
      </c>
      <c r="T77" s="417" t="e">
        <f>VLOOKUP(Bunuri_lab_nomenc[[#This Row],[Denumire catalog GDF]],GDF_price_list[[Product Name]:[Column1]],7,0)</f>
        <v>#N/A</v>
      </c>
      <c r="V77" s="786" t="s">
        <v>666</v>
      </c>
      <c r="W77" s="738" t="s">
        <v>722</v>
      </c>
      <c r="X77" s="739">
        <v>106180</v>
      </c>
      <c r="Y77" s="740" t="s">
        <v>943</v>
      </c>
      <c r="Z77" s="742" t="s">
        <v>610</v>
      </c>
      <c r="AA77" s="742" t="s">
        <v>1802</v>
      </c>
      <c r="AB77" s="742">
        <v>1</v>
      </c>
      <c r="AC77" s="743" t="s">
        <v>944</v>
      </c>
      <c r="AD77" s="744">
        <v>781.13</v>
      </c>
      <c r="AE77" s="787" t="s">
        <v>435</v>
      </c>
      <c r="AF77">
        <f>GDF_price_list[[#This Row],[Indicative 
FCA Price]]/GDF_price_list[[#This Row],[Unit]]</f>
        <v>781.13</v>
      </c>
    </row>
    <row r="78" spans="2:32" ht="34">
      <c r="L78" s="416"/>
      <c r="M78" s="416"/>
      <c r="N78" s="416"/>
      <c r="O78" s="439"/>
      <c r="P78" s="417"/>
      <c r="Q78" s="417"/>
      <c r="R78" s="417">
        <f>IFERROR(ROUND(Bunuri_lab_nomenc[[#This Row],[Cost unitate GFATM_valuta]]*VLOOKUP(Bunuri_lab_nomenc[[#This Row],[Valuta cost GFATM]],$B$58:$D$59,2,0),2),0)</f>
        <v>0</v>
      </c>
      <c r="S78" s="417" t="str">
        <f>IFERROR(VLOOKUP(Bunuri_lab_nomenc[[#This Row],[Denumire catalog GDF]],GDF_price_list[[Product Name]:[Column1]],8,0),"")</f>
        <v/>
      </c>
      <c r="T78" s="417" t="e">
        <f>VLOOKUP(Bunuri_lab_nomenc[[#This Row],[Denumire catalog GDF]],GDF_price_list[[Product Name]:[Column1]],7,0)</f>
        <v>#N/A</v>
      </c>
      <c r="V78" s="786" t="s">
        <v>612</v>
      </c>
      <c r="W78" s="738" t="s">
        <v>945</v>
      </c>
      <c r="X78" s="745">
        <v>106211</v>
      </c>
      <c r="Y78" s="740" t="s">
        <v>946</v>
      </c>
      <c r="Z78" s="742" t="s">
        <v>610</v>
      </c>
      <c r="AA78" s="742" t="s">
        <v>1802</v>
      </c>
      <c r="AB78" s="746">
        <v>1</v>
      </c>
      <c r="AC78" s="743" t="s">
        <v>947</v>
      </c>
      <c r="AD78" s="744">
        <v>368.77</v>
      </c>
      <c r="AE78" s="787" t="s">
        <v>435</v>
      </c>
      <c r="AF78">
        <f>GDF_price_list[[#This Row],[Indicative 
FCA Price]]/GDF_price_list[[#This Row],[Unit]]</f>
        <v>368.77</v>
      </c>
    </row>
    <row r="79" spans="2:32" ht="51">
      <c r="L79" s="416"/>
      <c r="M79" s="416"/>
      <c r="N79" s="416"/>
      <c r="O79" s="439"/>
      <c r="P79" s="417"/>
      <c r="Q79" s="417"/>
      <c r="R79" s="417">
        <f>IFERROR(ROUND(Bunuri_lab_nomenc[[#This Row],[Cost unitate GFATM_valuta]]*VLOOKUP(Bunuri_lab_nomenc[[#This Row],[Valuta cost GFATM]],$B$58:$D$59,2,0),2),0)</f>
        <v>0</v>
      </c>
      <c r="S79" s="417" t="str">
        <f>IFERROR(VLOOKUP(Bunuri_lab_nomenc[[#This Row],[Denumire catalog GDF]],GDF_price_list[[Product Name]:[Column1]],8,0),"")</f>
        <v/>
      </c>
      <c r="T79" s="417" t="e">
        <f>VLOOKUP(Bunuri_lab_nomenc[[#This Row],[Denumire catalog GDF]],GDF_price_list[[Product Name]:[Column1]],7,0)</f>
        <v>#N/A</v>
      </c>
      <c r="V79" s="786" t="s">
        <v>621</v>
      </c>
      <c r="W79" s="738" t="s">
        <v>701</v>
      </c>
      <c r="X79" s="757">
        <v>106118</v>
      </c>
      <c r="Y79" s="763" t="s">
        <v>972</v>
      </c>
      <c r="Z79" s="759" t="s">
        <v>610</v>
      </c>
      <c r="AA79" s="742" t="s">
        <v>1802</v>
      </c>
      <c r="AB79" s="759">
        <v>1</v>
      </c>
      <c r="AC79" s="747" t="s">
        <v>973</v>
      </c>
      <c r="AD79" s="761">
        <v>2664.09</v>
      </c>
      <c r="AE79" s="791" t="s">
        <v>435</v>
      </c>
      <c r="AF79">
        <f>GDF_price_list[[#This Row],[Indicative 
FCA Price]]/GDF_price_list[[#This Row],[Unit]]</f>
        <v>2664.09</v>
      </c>
    </row>
    <row r="80" spans="2:32" ht="51">
      <c r="L80" s="416"/>
      <c r="M80" s="416"/>
      <c r="N80" s="416"/>
      <c r="O80" s="439"/>
      <c r="P80" s="417"/>
      <c r="Q80" s="417"/>
      <c r="R80" s="417">
        <f>IFERROR(ROUND(Bunuri_lab_nomenc[[#This Row],[Cost unitate GFATM_valuta]]*VLOOKUP(Bunuri_lab_nomenc[[#This Row],[Valuta cost GFATM]],$B$58:$D$59,2,0),2),0)</f>
        <v>0</v>
      </c>
      <c r="S80" s="417" t="str">
        <f>IFERROR(VLOOKUP(Bunuri_lab_nomenc[[#This Row],[Denumire catalog GDF]],GDF_price_list[[Product Name]:[Column1]],8,0),"")</f>
        <v/>
      </c>
      <c r="T80" s="417" t="e">
        <f>VLOOKUP(Bunuri_lab_nomenc[[#This Row],[Denumire catalog GDF]],GDF_price_list[[Product Name]:[Column1]],7,0)</f>
        <v>#N/A</v>
      </c>
      <c r="V80" s="786" t="s">
        <v>621</v>
      </c>
      <c r="W80" s="738" t="s">
        <v>701</v>
      </c>
      <c r="X80" s="757">
        <v>106118</v>
      </c>
      <c r="Y80" s="763" t="s">
        <v>972</v>
      </c>
      <c r="Z80" s="759" t="s">
        <v>610</v>
      </c>
      <c r="AA80" s="742" t="s">
        <v>1802</v>
      </c>
      <c r="AB80" s="759">
        <v>1</v>
      </c>
      <c r="AC80" s="747" t="s">
        <v>974</v>
      </c>
      <c r="AD80" s="761">
        <v>2664.09</v>
      </c>
      <c r="AE80" s="791" t="s">
        <v>435</v>
      </c>
      <c r="AF80">
        <f>GDF_price_list[[#This Row],[Indicative 
FCA Price]]/GDF_price_list[[#This Row],[Unit]]</f>
        <v>2664.09</v>
      </c>
    </row>
    <row r="81" spans="12:32" ht="51">
      <c r="L81" s="416"/>
      <c r="M81" s="416"/>
      <c r="N81" s="416"/>
      <c r="O81" s="439"/>
      <c r="P81" s="417"/>
      <c r="Q81" s="417"/>
      <c r="R81" s="417">
        <f>IFERROR(ROUND(Bunuri_lab_nomenc[[#This Row],[Cost unitate GFATM_valuta]]*VLOOKUP(Bunuri_lab_nomenc[[#This Row],[Valuta cost GFATM]],$B$58:$D$59,2,0),2),0)</f>
        <v>0</v>
      </c>
      <c r="S81" s="417" t="str">
        <f>IFERROR(VLOOKUP(Bunuri_lab_nomenc[[#This Row],[Denumire catalog GDF]],GDF_price_list[[Product Name]:[Column1]],8,0),"")</f>
        <v/>
      </c>
      <c r="T81" s="417" t="e">
        <f>VLOOKUP(Bunuri_lab_nomenc[[#This Row],[Denumire catalog GDF]],GDF_price_list[[Product Name]:[Column1]],7,0)</f>
        <v>#N/A</v>
      </c>
      <c r="V81" s="786" t="s">
        <v>621</v>
      </c>
      <c r="W81" s="738" t="s">
        <v>701</v>
      </c>
      <c r="X81" s="757">
        <v>106118</v>
      </c>
      <c r="Y81" s="763" t="s">
        <v>972</v>
      </c>
      <c r="Z81" s="759" t="s">
        <v>610</v>
      </c>
      <c r="AA81" s="742" t="s">
        <v>1802</v>
      </c>
      <c r="AB81" s="759">
        <v>1</v>
      </c>
      <c r="AC81" s="747" t="s">
        <v>975</v>
      </c>
      <c r="AD81" s="761">
        <v>3248.71</v>
      </c>
      <c r="AE81" s="791" t="s">
        <v>435</v>
      </c>
      <c r="AF81">
        <f>GDF_price_list[[#This Row],[Indicative 
FCA Price]]/GDF_price_list[[#This Row],[Unit]]</f>
        <v>3248.71</v>
      </c>
    </row>
    <row r="82" spans="12:32" ht="51">
      <c r="L82" s="416"/>
      <c r="M82" s="416"/>
      <c r="N82" s="416"/>
      <c r="O82" s="439"/>
      <c r="P82" s="417"/>
      <c r="Q82" s="417"/>
      <c r="R82" s="417">
        <f>IFERROR(ROUND(Bunuri_lab_nomenc[[#This Row],[Cost unitate GFATM_valuta]]*VLOOKUP(Bunuri_lab_nomenc[[#This Row],[Valuta cost GFATM]],$B$58:$D$59,2,0),2),0)</f>
        <v>0</v>
      </c>
      <c r="S82" s="417" t="str">
        <f>IFERROR(VLOOKUP(Bunuri_lab_nomenc[[#This Row],[Denumire catalog GDF]],GDF_price_list[[Product Name]:[Column1]],8,0),"")</f>
        <v/>
      </c>
      <c r="T82" s="417" t="e">
        <f>VLOOKUP(Bunuri_lab_nomenc[[#This Row],[Denumire catalog GDF]],GDF_price_list[[Product Name]:[Column1]],7,0)</f>
        <v>#N/A</v>
      </c>
      <c r="V82" s="786" t="s">
        <v>621</v>
      </c>
      <c r="W82" s="738" t="s">
        <v>701</v>
      </c>
      <c r="X82" s="757">
        <v>106118</v>
      </c>
      <c r="Y82" s="763" t="s">
        <v>972</v>
      </c>
      <c r="Z82" s="759" t="s">
        <v>610</v>
      </c>
      <c r="AA82" s="742" t="s">
        <v>1802</v>
      </c>
      <c r="AB82" s="759">
        <v>1</v>
      </c>
      <c r="AC82" s="747" t="s">
        <v>976</v>
      </c>
      <c r="AD82" s="761">
        <v>3248.71</v>
      </c>
      <c r="AE82" s="791" t="s">
        <v>435</v>
      </c>
      <c r="AF82">
        <f>GDF_price_list[[#This Row],[Indicative 
FCA Price]]/GDF_price_list[[#This Row],[Unit]]</f>
        <v>3248.71</v>
      </c>
    </row>
    <row r="83" spans="12:32" ht="68">
      <c r="L83" s="416"/>
      <c r="M83" s="416"/>
      <c r="N83" s="416"/>
      <c r="O83" s="439"/>
      <c r="P83" s="417"/>
      <c r="Q83" s="417"/>
      <c r="R83" s="417">
        <f>IFERROR(ROUND(Bunuri_lab_nomenc[[#This Row],[Cost unitate GFATM_valuta]]*VLOOKUP(Bunuri_lab_nomenc[[#This Row],[Valuta cost GFATM]],$B$58:$D$59,2,0),2),0)</f>
        <v>0</v>
      </c>
      <c r="S83" s="417" t="str">
        <f>IFERROR(VLOOKUP(Bunuri_lab_nomenc[[#This Row],[Denumire catalog GDF]],GDF_price_list[[Product Name]:[Column1]],8,0),"")</f>
        <v/>
      </c>
      <c r="T83" s="417" t="e">
        <f>VLOOKUP(Bunuri_lab_nomenc[[#This Row],[Denumire catalog GDF]],GDF_price_list[[Product Name]:[Column1]],7,0)</f>
        <v>#N/A</v>
      </c>
      <c r="V83" s="786" t="s">
        <v>740</v>
      </c>
      <c r="W83" s="738" t="s">
        <v>741</v>
      </c>
      <c r="X83" s="765">
        <v>106285</v>
      </c>
      <c r="Y83" s="763" t="s">
        <v>977</v>
      </c>
      <c r="Z83" s="759" t="s">
        <v>610</v>
      </c>
      <c r="AA83" s="742" t="s">
        <v>1802</v>
      </c>
      <c r="AB83" s="764">
        <v>1</v>
      </c>
      <c r="AC83" s="747" t="s">
        <v>978</v>
      </c>
      <c r="AD83" s="761">
        <v>633.46139999999991</v>
      </c>
      <c r="AE83" s="791" t="s">
        <v>435</v>
      </c>
      <c r="AF83">
        <f>GDF_price_list[[#This Row],[Indicative 
FCA Price]]/GDF_price_list[[#This Row],[Unit]]</f>
        <v>633.46139999999991</v>
      </c>
    </row>
    <row r="84" spans="12:32" ht="68">
      <c r="L84" s="416"/>
      <c r="M84" s="416"/>
      <c r="N84" s="416"/>
      <c r="O84" s="439"/>
      <c r="P84" s="417"/>
      <c r="Q84" s="417"/>
      <c r="R84" s="417">
        <f>IFERROR(ROUND(Bunuri_lab_nomenc[[#This Row],[Cost unitate GFATM_valuta]]*VLOOKUP(Bunuri_lab_nomenc[[#This Row],[Valuta cost GFATM]],$B$58:$D$59,2,0),2),0)</f>
        <v>0</v>
      </c>
      <c r="S84" s="417" t="str">
        <f>IFERROR(VLOOKUP(Bunuri_lab_nomenc[[#This Row],[Denumire catalog GDF]],GDF_price_list[[Product Name]:[Column1]],8,0),"")</f>
        <v/>
      </c>
      <c r="T84" s="417" t="e">
        <f>VLOOKUP(Bunuri_lab_nomenc[[#This Row],[Denumire catalog GDF]],GDF_price_list[[Product Name]:[Column1]],7,0)</f>
        <v>#N/A</v>
      </c>
      <c r="V84" s="786" t="s">
        <v>740</v>
      </c>
      <c r="W84" s="738" t="s">
        <v>750</v>
      </c>
      <c r="X84" s="765">
        <v>106285</v>
      </c>
      <c r="Y84" s="763" t="s">
        <v>977</v>
      </c>
      <c r="Z84" s="759" t="s">
        <v>610</v>
      </c>
      <c r="AA84" s="742" t="s">
        <v>1802</v>
      </c>
      <c r="AB84" s="764">
        <v>1</v>
      </c>
      <c r="AC84" s="747" t="s">
        <v>979</v>
      </c>
      <c r="AD84" s="776">
        <v>633.46139999999991</v>
      </c>
      <c r="AE84" s="791" t="s">
        <v>435</v>
      </c>
      <c r="AF84">
        <f>GDF_price_list[[#This Row],[Indicative 
FCA Price]]/GDF_price_list[[#This Row],[Unit]]</f>
        <v>633.46139999999991</v>
      </c>
    </row>
    <row r="85" spans="12:32" ht="17">
      <c r="L85" s="416"/>
      <c r="M85" s="416"/>
      <c r="N85" s="416"/>
      <c r="O85" s="439"/>
      <c r="P85" s="417"/>
      <c r="Q85" s="417"/>
      <c r="R85" s="417">
        <f>IFERROR(ROUND(Bunuri_lab_nomenc[[#This Row],[Cost unitate GFATM_valuta]]*VLOOKUP(Bunuri_lab_nomenc[[#This Row],[Valuta cost GFATM]],$B$58:$D$59,2,0),2),0)</f>
        <v>0</v>
      </c>
      <c r="S85" s="417" t="str">
        <f>IFERROR(VLOOKUP(Bunuri_lab_nomenc[[#This Row],[Denumire catalog GDF]],GDF_price_list[[Product Name]:[Column1]],8,0),"")</f>
        <v/>
      </c>
      <c r="T85" s="417" t="e">
        <f>VLOOKUP(Bunuri_lab_nomenc[[#This Row],[Denumire catalog GDF]],GDF_price_list[[Product Name]:[Column1]],7,0)</f>
        <v>#N/A</v>
      </c>
      <c r="V85" s="786" t="s">
        <v>666</v>
      </c>
      <c r="W85" s="738" t="s">
        <v>685</v>
      </c>
      <c r="X85" s="739">
        <v>106474</v>
      </c>
      <c r="Y85" s="740" t="s">
        <v>980</v>
      </c>
      <c r="Z85" s="742" t="s">
        <v>673</v>
      </c>
      <c r="AA85" s="742" t="s">
        <v>1802</v>
      </c>
      <c r="AB85" s="742">
        <v>1</v>
      </c>
      <c r="AC85" s="740" t="s">
        <v>980</v>
      </c>
      <c r="AD85" s="753">
        <v>70.430000000000007</v>
      </c>
      <c r="AE85" s="790" t="s">
        <v>435</v>
      </c>
      <c r="AF85">
        <f>GDF_price_list[[#This Row],[Indicative 
FCA Price]]/GDF_price_list[[#This Row],[Unit]]</f>
        <v>70.430000000000007</v>
      </c>
    </row>
    <row r="86" spans="12:32" ht="17">
      <c r="L86" s="416"/>
      <c r="M86" s="416"/>
      <c r="N86" s="416"/>
      <c r="O86" s="439"/>
      <c r="P86" s="417"/>
      <c r="Q86" s="417"/>
      <c r="R86" s="417">
        <f>IFERROR(ROUND(Bunuri_lab_nomenc[[#This Row],[Cost unitate GFATM_valuta]]*VLOOKUP(Bunuri_lab_nomenc[[#This Row],[Valuta cost GFATM]],$B$58:$D$59,2,0),2),0)</f>
        <v>0</v>
      </c>
      <c r="S86" s="417" t="str">
        <f>IFERROR(VLOOKUP(Bunuri_lab_nomenc[[#This Row],[Denumire catalog GDF]],GDF_price_list[[Product Name]:[Column1]],8,0),"")</f>
        <v/>
      </c>
      <c r="T86" s="417" t="e">
        <f>VLOOKUP(Bunuri_lab_nomenc[[#This Row],[Denumire catalog GDF]],GDF_price_list[[Product Name]:[Column1]],7,0)</f>
        <v>#N/A</v>
      </c>
      <c r="V86" s="786" t="s">
        <v>666</v>
      </c>
      <c r="W86" s="738" t="s">
        <v>685</v>
      </c>
      <c r="X86" s="739">
        <v>106473</v>
      </c>
      <c r="Y86" s="740" t="s">
        <v>981</v>
      </c>
      <c r="Z86" s="742" t="s">
        <v>673</v>
      </c>
      <c r="AA86" s="742" t="s">
        <v>1802</v>
      </c>
      <c r="AB86" s="742">
        <v>1</v>
      </c>
      <c r="AC86" s="740" t="s">
        <v>981</v>
      </c>
      <c r="AD86" s="753">
        <v>52.2</v>
      </c>
      <c r="AE86" s="790" t="s">
        <v>435</v>
      </c>
      <c r="AF86">
        <f>GDF_price_list[[#This Row],[Indicative 
FCA Price]]/GDF_price_list[[#This Row],[Unit]]</f>
        <v>52.2</v>
      </c>
    </row>
    <row r="87" spans="12:32" ht="17">
      <c r="L87" s="416"/>
      <c r="M87" s="416"/>
      <c r="N87" s="416"/>
      <c r="O87" s="439"/>
      <c r="P87" s="417"/>
      <c r="Q87" s="417"/>
      <c r="R87" s="417">
        <f>IFERROR(ROUND(Bunuri_lab_nomenc[[#This Row],[Cost unitate GFATM_valuta]]*VLOOKUP(Bunuri_lab_nomenc[[#This Row],[Valuta cost GFATM]],$B$58:$D$59,2,0),2),0)</f>
        <v>0</v>
      </c>
      <c r="S87" s="417" t="str">
        <f>IFERROR(VLOOKUP(Bunuri_lab_nomenc[[#This Row],[Denumire catalog GDF]],GDF_price_list[[Product Name]:[Column1]],8,0),"")</f>
        <v/>
      </c>
      <c r="T87" s="417" t="e">
        <f>VLOOKUP(Bunuri_lab_nomenc[[#This Row],[Denumire catalog GDF]],GDF_price_list[[Product Name]:[Column1]],7,0)</f>
        <v>#N/A</v>
      </c>
      <c r="V87" s="786" t="s">
        <v>638</v>
      </c>
      <c r="W87" s="738" t="s">
        <v>639</v>
      </c>
      <c r="X87" s="745">
        <v>106094</v>
      </c>
      <c r="Y87" s="740" t="s">
        <v>982</v>
      </c>
      <c r="Z87" s="742" t="s">
        <v>610</v>
      </c>
      <c r="AA87" s="742" t="s">
        <v>1802</v>
      </c>
      <c r="AB87" s="746">
        <v>1</v>
      </c>
      <c r="AC87" s="743" t="s">
        <v>983</v>
      </c>
      <c r="AD87" s="744">
        <v>126.61</v>
      </c>
      <c r="AE87" s="787" t="s">
        <v>435</v>
      </c>
      <c r="AF87">
        <f>GDF_price_list[[#This Row],[Indicative 
FCA Price]]/GDF_price_list[[#This Row],[Unit]]</f>
        <v>126.61</v>
      </c>
    </row>
    <row r="88" spans="12:32" ht="51">
      <c r="L88" s="416"/>
      <c r="M88" s="416"/>
      <c r="N88" s="416"/>
      <c r="O88" s="439"/>
      <c r="P88" s="417"/>
      <c r="Q88" s="417"/>
      <c r="R88" s="417">
        <f>IFERROR(ROUND(Bunuri_lab_nomenc[[#This Row],[Cost unitate GFATM_valuta]]*VLOOKUP(Bunuri_lab_nomenc[[#This Row],[Valuta cost GFATM]],$B$58:$D$59,2,0),2),0)</f>
        <v>0</v>
      </c>
      <c r="S88" s="417" t="str">
        <f>IFERROR(VLOOKUP(Bunuri_lab_nomenc[[#This Row],[Denumire catalog GDF]],GDF_price_list[[Product Name]:[Column1]],8,0),"")</f>
        <v/>
      </c>
      <c r="T88" s="417" t="e">
        <f>VLOOKUP(Bunuri_lab_nomenc[[#This Row],[Denumire catalog GDF]],GDF_price_list[[Product Name]:[Column1]],7,0)</f>
        <v>#N/A</v>
      </c>
      <c r="V88" s="786" t="s">
        <v>740</v>
      </c>
      <c r="W88" s="738" t="s">
        <v>741</v>
      </c>
      <c r="X88" s="765">
        <v>106471</v>
      </c>
      <c r="Y88" s="763" t="s">
        <v>986</v>
      </c>
      <c r="Z88" s="759" t="s">
        <v>610</v>
      </c>
      <c r="AA88" s="742" t="s">
        <v>1802</v>
      </c>
      <c r="AB88" s="764">
        <v>1</v>
      </c>
      <c r="AC88" s="747" t="s">
        <v>987</v>
      </c>
      <c r="AD88" s="761">
        <v>1143.9141999999999</v>
      </c>
      <c r="AE88" s="791" t="s">
        <v>435</v>
      </c>
      <c r="AF88">
        <f>GDF_price_list[[#This Row],[Indicative 
FCA Price]]/GDF_price_list[[#This Row],[Unit]]</f>
        <v>1143.9141999999999</v>
      </c>
    </row>
    <row r="89" spans="12:32" ht="17">
      <c r="L89" s="416"/>
      <c r="M89" s="416"/>
      <c r="N89" s="416"/>
      <c r="O89" s="439"/>
      <c r="P89" s="417"/>
      <c r="Q89" s="417"/>
      <c r="R89" s="417">
        <f>IFERROR(ROUND(Bunuri_lab_nomenc[[#This Row],[Cost unitate GFATM_valuta]]*VLOOKUP(Bunuri_lab_nomenc[[#This Row],[Valuta cost GFATM]],$B$58:$D$59,2,0),2),0)</f>
        <v>0</v>
      </c>
      <c r="S89" s="417" t="str">
        <f>IFERROR(VLOOKUP(Bunuri_lab_nomenc[[#This Row],[Denumire catalog GDF]],GDF_price_list[[Product Name]:[Column1]],8,0),"")</f>
        <v/>
      </c>
      <c r="T89" s="417" t="e">
        <f>VLOOKUP(Bunuri_lab_nomenc[[#This Row],[Denumire catalog GDF]],GDF_price_list[[Product Name]:[Column1]],7,0)</f>
        <v>#N/A</v>
      </c>
      <c r="V89" s="786" t="s">
        <v>612</v>
      </c>
      <c r="W89" s="738" t="s">
        <v>842</v>
      </c>
      <c r="X89" s="745">
        <v>106454</v>
      </c>
      <c r="Y89" s="740" t="s">
        <v>991</v>
      </c>
      <c r="Z89" s="742" t="s">
        <v>610</v>
      </c>
      <c r="AA89" s="742" t="s">
        <v>1802</v>
      </c>
      <c r="AB89" s="773">
        <v>1</v>
      </c>
      <c r="AC89" s="743" t="s">
        <v>992</v>
      </c>
      <c r="AD89" s="744">
        <v>8.5500000000000007</v>
      </c>
      <c r="AE89" s="787" t="s">
        <v>435</v>
      </c>
      <c r="AF89">
        <f>GDF_price_list[[#This Row],[Indicative 
FCA Price]]/GDF_price_list[[#This Row],[Unit]]</f>
        <v>8.5500000000000007</v>
      </c>
    </row>
    <row r="90" spans="12:32" ht="51">
      <c r="L90" s="416"/>
      <c r="M90" s="416"/>
      <c r="N90" s="416"/>
      <c r="O90" s="439"/>
      <c r="P90" s="417"/>
      <c r="Q90" s="417"/>
      <c r="R90" s="417">
        <f>IFERROR(ROUND(Bunuri_lab_nomenc[[#This Row],[Cost unitate GFATM_valuta]]*VLOOKUP(Bunuri_lab_nomenc[[#This Row],[Valuta cost GFATM]],$B$58:$D$59,2,0),2),0)</f>
        <v>0</v>
      </c>
      <c r="S90" s="417" t="str">
        <f>IFERROR(VLOOKUP(Bunuri_lab_nomenc[[#This Row],[Denumire catalog GDF]],GDF_price_list[[Product Name]:[Column1]],8,0),"")</f>
        <v/>
      </c>
      <c r="T90" s="417" t="e">
        <f>VLOOKUP(Bunuri_lab_nomenc[[#This Row],[Denumire catalog GDF]],GDF_price_list[[Product Name]:[Column1]],7,0)</f>
        <v>#N/A</v>
      </c>
      <c r="V90" s="786" t="s">
        <v>740</v>
      </c>
      <c r="W90" s="738" t="s">
        <v>750</v>
      </c>
      <c r="X90" s="765">
        <v>106471</v>
      </c>
      <c r="Y90" s="763" t="s">
        <v>993</v>
      </c>
      <c r="Z90" s="759" t="s">
        <v>610</v>
      </c>
      <c r="AA90" s="742" t="s">
        <v>1802</v>
      </c>
      <c r="AB90" s="764">
        <v>1</v>
      </c>
      <c r="AC90" s="747" t="s">
        <v>994</v>
      </c>
      <c r="AD90" s="761">
        <v>1143.9141999999999</v>
      </c>
      <c r="AE90" s="791" t="s">
        <v>435</v>
      </c>
      <c r="AF90">
        <f>GDF_price_list[[#This Row],[Indicative 
FCA Price]]/GDF_price_list[[#This Row],[Unit]]</f>
        <v>1143.9141999999999</v>
      </c>
    </row>
    <row r="91" spans="12:32" ht="17">
      <c r="L91" s="416"/>
      <c r="M91" s="416"/>
      <c r="N91" s="416"/>
      <c r="O91" s="439"/>
      <c r="P91" s="417"/>
      <c r="Q91" s="417"/>
      <c r="R91" s="417">
        <f>IFERROR(ROUND(Bunuri_lab_nomenc[[#This Row],[Cost unitate GFATM_valuta]]*VLOOKUP(Bunuri_lab_nomenc[[#This Row],[Valuta cost GFATM]],$B$58:$D$59,2,0),2),0)</f>
        <v>0</v>
      </c>
      <c r="S91" s="417" t="str">
        <f>IFERROR(VLOOKUP(Bunuri_lab_nomenc[[#This Row],[Denumire catalog GDF]],GDF_price_list[[Product Name]:[Column1]],8,0),"")</f>
        <v/>
      </c>
      <c r="T91" s="417" t="e">
        <f>VLOOKUP(Bunuri_lab_nomenc[[#This Row],[Denumire catalog GDF]],GDF_price_list[[Product Name]:[Column1]],7,0)</f>
        <v>#N/A</v>
      </c>
      <c r="V91" s="786" t="s">
        <v>612</v>
      </c>
      <c r="W91" s="738" t="s">
        <v>653</v>
      </c>
      <c r="X91" s="739">
        <v>106327</v>
      </c>
      <c r="Y91" s="740" t="s">
        <v>995</v>
      </c>
      <c r="Z91" s="742" t="s">
        <v>610</v>
      </c>
      <c r="AA91" s="742" t="s">
        <v>1802</v>
      </c>
      <c r="AB91" s="742">
        <v>1</v>
      </c>
      <c r="AC91" s="743" t="s">
        <v>996</v>
      </c>
      <c r="AD91" s="744">
        <v>38.479999999999997</v>
      </c>
      <c r="AE91" s="787" t="s">
        <v>435</v>
      </c>
      <c r="AF91">
        <f>GDF_price_list[[#This Row],[Indicative 
FCA Price]]/GDF_price_list[[#This Row],[Unit]]</f>
        <v>38.479999999999997</v>
      </c>
    </row>
    <row r="92" spans="12:32" ht="34">
      <c r="L92" s="416"/>
      <c r="M92" s="416"/>
      <c r="N92" s="416"/>
      <c r="O92" s="439"/>
      <c r="P92" s="417"/>
      <c r="Q92" s="417"/>
      <c r="R92" s="417">
        <f>IFERROR(ROUND(Bunuri_lab_nomenc[[#This Row],[Cost unitate GFATM_valuta]]*VLOOKUP(Bunuri_lab_nomenc[[#This Row],[Valuta cost GFATM]],$B$58:$D$59,2,0),2),0)</f>
        <v>0</v>
      </c>
      <c r="S92" s="417" t="str">
        <f>IFERROR(VLOOKUP(Bunuri_lab_nomenc[[#This Row],[Denumire catalog GDF]],GDF_price_list[[Product Name]:[Column1]],8,0),"")</f>
        <v/>
      </c>
      <c r="T92" s="417" t="e">
        <f>VLOOKUP(Bunuri_lab_nomenc[[#This Row],[Denumire catalog GDF]],GDF_price_list[[Product Name]:[Column1]],7,0)</f>
        <v>#N/A</v>
      </c>
      <c r="V92" s="786" t="s">
        <v>612</v>
      </c>
      <c r="W92" s="738" t="s">
        <v>613</v>
      </c>
      <c r="X92" s="745" t="s">
        <v>997</v>
      </c>
      <c r="Y92" s="740" t="s">
        <v>998</v>
      </c>
      <c r="Z92" s="742" t="s">
        <v>616</v>
      </c>
      <c r="AA92" s="742" t="s">
        <v>1802</v>
      </c>
      <c r="AB92" s="746">
        <v>1</v>
      </c>
      <c r="AC92" s="743" t="s">
        <v>999</v>
      </c>
      <c r="AD92" s="744">
        <v>3360</v>
      </c>
      <c r="AE92" s="787" t="s">
        <v>435</v>
      </c>
      <c r="AF92">
        <f>GDF_price_list[[#This Row],[Indicative 
FCA Price]]/GDF_price_list[[#This Row],[Unit]]</f>
        <v>3360</v>
      </c>
    </row>
    <row r="93" spans="12:32" ht="68">
      <c r="L93" s="416"/>
      <c r="M93" s="416"/>
      <c r="N93" s="416"/>
      <c r="O93" s="439"/>
      <c r="P93" s="417"/>
      <c r="Q93" s="417"/>
      <c r="R93" s="417">
        <f>IFERROR(ROUND(Bunuri_lab_nomenc[[#This Row],[Cost unitate GFATM_valuta]]*VLOOKUP(Bunuri_lab_nomenc[[#This Row],[Valuta cost GFATM]],$B$58:$D$59,2,0),2),0)</f>
        <v>0</v>
      </c>
      <c r="S93" s="417" t="str">
        <f>IFERROR(VLOOKUP(Bunuri_lab_nomenc[[#This Row],[Denumire catalog GDF]],GDF_price_list[[Product Name]:[Column1]],8,0),"")</f>
        <v/>
      </c>
      <c r="T93" s="417" t="e">
        <f>VLOOKUP(Bunuri_lab_nomenc[[#This Row],[Denumire catalog GDF]],GDF_price_list[[Product Name]:[Column1]],7,0)</f>
        <v>#N/A</v>
      </c>
      <c r="V93" s="786" t="s">
        <v>612</v>
      </c>
      <c r="W93" s="738" t="s">
        <v>613</v>
      </c>
      <c r="X93" s="745" t="s">
        <v>1004</v>
      </c>
      <c r="Y93" s="740" t="s">
        <v>1005</v>
      </c>
      <c r="Z93" s="742" t="s">
        <v>616</v>
      </c>
      <c r="AA93" s="742" t="s">
        <v>1802</v>
      </c>
      <c r="AB93" s="746">
        <v>1</v>
      </c>
      <c r="AC93" s="743" t="s">
        <v>1006</v>
      </c>
      <c r="AD93" s="744">
        <v>350</v>
      </c>
      <c r="AE93" s="787" t="s">
        <v>435</v>
      </c>
      <c r="AF93">
        <f>GDF_price_list[[#This Row],[Indicative 
FCA Price]]/GDF_price_list[[#This Row],[Unit]]</f>
        <v>350</v>
      </c>
    </row>
    <row r="94" spans="12:32" ht="51">
      <c r="L94" s="416"/>
      <c r="M94" s="416"/>
      <c r="N94" s="416"/>
      <c r="O94" s="439"/>
      <c r="P94" s="417"/>
      <c r="Q94" s="417"/>
      <c r="R94" s="417">
        <f>IFERROR(ROUND(Bunuri_lab_nomenc[[#This Row],[Cost unitate GFATM_valuta]]*VLOOKUP(Bunuri_lab_nomenc[[#This Row],[Valuta cost GFATM]],$B$58:$D$59,2,0),2),0)</f>
        <v>0</v>
      </c>
      <c r="S94" s="417" t="str">
        <f>IFERROR(VLOOKUP(Bunuri_lab_nomenc[[#This Row],[Denumire catalog GDF]],GDF_price_list[[Product Name]:[Column1]],8,0),"")</f>
        <v/>
      </c>
      <c r="T94" s="417" t="e">
        <f>VLOOKUP(Bunuri_lab_nomenc[[#This Row],[Denumire catalog GDF]],GDF_price_list[[Product Name]:[Column1]],7,0)</f>
        <v>#N/A</v>
      </c>
      <c r="V94" s="786" t="s">
        <v>612</v>
      </c>
      <c r="W94" s="738" t="s">
        <v>1007</v>
      </c>
      <c r="X94" s="745" t="s">
        <v>1008</v>
      </c>
      <c r="Y94" s="740" t="s">
        <v>1009</v>
      </c>
      <c r="Z94" s="742" t="s">
        <v>616</v>
      </c>
      <c r="AA94" s="742" t="s">
        <v>1802</v>
      </c>
      <c r="AB94" s="746">
        <v>1</v>
      </c>
      <c r="AC94" s="743" t="s">
        <v>1010</v>
      </c>
      <c r="AD94" s="744">
        <v>11780</v>
      </c>
      <c r="AE94" s="787" t="s">
        <v>435</v>
      </c>
      <c r="AF94">
        <f>GDF_price_list[[#This Row],[Indicative 
FCA Price]]/GDF_price_list[[#This Row],[Unit]]</f>
        <v>11780</v>
      </c>
    </row>
    <row r="95" spans="12:32" ht="51">
      <c r="L95" s="416"/>
      <c r="M95" s="416"/>
      <c r="N95" s="416"/>
      <c r="O95" s="439"/>
      <c r="P95" s="417"/>
      <c r="Q95" s="417"/>
      <c r="R95" s="417">
        <f>IFERROR(ROUND(Bunuri_lab_nomenc[[#This Row],[Cost unitate GFATM_valuta]]*VLOOKUP(Bunuri_lab_nomenc[[#This Row],[Valuta cost GFATM]],$B$58:$D$59,2,0),2),0)</f>
        <v>0</v>
      </c>
      <c r="S95" s="417" t="str">
        <f>IFERROR(VLOOKUP(Bunuri_lab_nomenc[[#This Row],[Denumire catalog GDF]],GDF_price_list[[Product Name]:[Column1]],8,0),"")</f>
        <v/>
      </c>
      <c r="T95" s="417" t="e">
        <f>VLOOKUP(Bunuri_lab_nomenc[[#This Row],[Denumire catalog GDF]],GDF_price_list[[Product Name]:[Column1]],7,0)</f>
        <v>#N/A</v>
      </c>
      <c r="V95" s="786" t="s">
        <v>612</v>
      </c>
      <c r="W95" s="738" t="s">
        <v>613</v>
      </c>
      <c r="X95" s="745" t="s">
        <v>1011</v>
      </c>
      <c r="Y95" s="743" t="s">
        <v>1012</v>
      </c>
      <c r="Z95" s="742" t="s">
        <v>616</v>
      </c>
      <c r="AA95" s="742" t="s">
        <v>1802</v>
      </c>
      <c r="AB95" s="746">
        <v>1</v>
      </c>
      <c r="AC95" s="743" t="s">
        <v>617</v>
      </c>
      <c r="AD95" s="744">
        <v>199</v>
      </c>
      <c r="AE95" s="787" t="s">
        <v>435</v>
      </c>
      <c r="AF95">
        <f>GDF_price_list[[#This Row],[Indicative 
FCA Price]]/GDF_price_list[[#This Row],[Unit]]</f>
        <v>199</v>
      </c>
    </row>
    <row r="96" spans="12:32" ht="51">
      <c r="L96" s="416"/>
      <c r="M96" s="416"/>
      <c r="N96" s="416"/>
      <c r="O96" s="439"/>
      <c r="P96" s="417"/>
      <c r="Q96" s="417"/>
      <c r="R96" s="417">
        <f>IFERROR(ROUND(Bunuri_lab_nomenc[[#This Row],[Cost unitate GFATM_valuta]]*VLOOKUP(Bunuri_lab_nomenc[[#This Row],[Valuta cost GFATM]],$B$58:$D$59,2,0),2),0)</f>
        <v>0</v>
      </c>
      <c r="S96" s="417" t="str">
        <f>IFERROR(VLOOKUP(Bunuri_lab_nomenc[[#This Row],[Denumire catalog GDF]],GDF_price_list[[Product Name]:[Column1]],8,0),"")</f>
        <v/>
      </c>
      <c r="T96" s="417" t="e">
        <f>VLOOKUP(Bunuri_lab_nomenc[[#This Row],[Denumire catalog GDF]],GDF_price_list[[Product Name]:[Column1]],7,0)</f>
        <v>#N/A</v>
      </c>
      <c r="V96" s="786" t="s">
        <v>612</v>
      </c>
      <c r="W96" s="738" t="s">
        <v>613</v>
      </c>
      <c r="X96" s="745" t="s">
        <v>1013</v>
      </c>
      <c r="Y96" s="743" t="s">
        <v>1014</v>
      </c>
      <c r="Z96" s="742" t="s">
        <v>616</v>
      </c>
      <c r="AA96" s="742" t="s">
        <v>1802</v>
      </c>
      <c r="AB96" s="746">
        <v>1</v>
      </c>
      <c r="AC96" s="743" t="s">
        <v>617</v>
      </c>
      <c r="AD96" s="744">
        <v>99</v>
      </c>
      <c r="AE96" s="787" t="s">
        <v>435</v>
      </c>
      <c r="AF96">
        <f>GDF_price_list[[#This Row],[Indicative 
FCA Price]]/GDF_price_list[[#This Row],[Unit]]</f>
        <v>99</v>
      </c>
    </row>
    <row r="97" spans="12:32" ht="34">
      <c r="L97" s="416"/>
      <c r="M97" s="416"/>
      <c r="N97" s="416"/>
      <c r="O97" s="439"/>
      <c r="P97" s="417"/>
      <c r="Q97" s="417"/>
      <c r="R97" s="417">
        <f>IFERROR(ROUND(Bunuri_lab_nomenc[[#This Row],[Cost unitate GFATM_valuta]]*VLOOKUP(Bunuri_lab_nomenc[[#This Row],[Valuta cost GFATM]],$B$58:$D$59,2,0),2),0)</f>
        <v>0</v>
      </c>
      <c r="S97" s="417" t="str">
        <f>IFERROR(VLOOKUP(Bunuri_lab_nomenc[[#This Row],[Denumire catalog GDF]],GDF_price_list[[Product Name]:[Column1]],8,0),"")</f>
        <v/>
      </c>
      <c r="T97" s="417" t="e">
        <f>VLOOKUP(Bunuri_lab_nomenc[[#This Row],[Denumire catalog GDF]],GDF_price_list[[Product Name]:[Column1]],7,0)</f>
        <v>#N/A</v>
      </c>
      <c r="V97" s="786" t="s">
        <v>612</v>
      </c>
      <c r="W97" s="738" t="s">
        <v>642</v>
      </c>
      <c r="X97" s="745" t="s">
        <v>1019</v>
      </c>
      <c r="Y97" s="740" t="s">
        <v>1020</v>
      </c>
      <c r="Z97" s="742" t="s">
        <v>616</v>
      </c>
      <c r="AA97" s="742" t="s">
        <v>1802</v>
      </c>
      <c r="AB97" s="746">
        <v>1</v>
      </c>
      <c r="AC97" s="740" t="s">
        <v>1021</v>
      </c>
      <c r="AD97" s="744">
        <v>1250</v>
      </c>
      <c r="AE97" s="787" t="s">
        <v>435</v>
      </c>
      <c r="AF97">
        <f>GDF_price_list[[#This Row],[Indicative 
FCA Price]]/GDF_price_list[[#This Row],[Unit]]</f>
        <v>1250</v>
      </c>
    </row>
    <row r="98" spans="12:32" ht="51">
      <c r="L98" s="416"/>
      <c r="M98" s="416"/>
      <c r="N98" s="416"/>
      <c r="O98" s="439"/>
      <c r="P98" s="417"/>
      <c r="Q98" s="417"/>
      <c r="R98" s="417">
        <f>IFERROR(ROUND(Bunuri_lab_nomenc[[#This Row],[Cost unitate GFATM_valuta]]*VLOOKUP(Bunuri_lab_nomenc[[#This Row],[Valuta cost GFATM]],$B$58:$D$59,2,0),2),0)</f>
        <v>0</v>
      </c>
      <c r="S98" s="417" t="str">
        <f>IFERROR(VLOOKUP(Bunuri_lab_nomenc[[#This Row],[Denumire catalog GDF]],GDF_price_list[[Product Name]:[Column1]],8,0),"")</f>
        <v/>
      </c>
      <c r="T98" s="417" t="e">
        <f>VLOOKUP(Bunuri_lab_nomenc[[#This Row],[Denumire catalog GDF]],GDF_price_list[[Product Name]:[Column1]],7,0)</f>
        <v>#N/A</v>
      </c>
      <c r="V98" s="786" t="s">
        <v>612</v>
      </c>
      <c r="W98" s="738" t="s">
        <v>642</v>
      </c>
      <c r="X98" s="745" t="s">
        <v>1022</v>
      </c>
      <c r="Y98" s="740" t="s">
        <v>1023</v>
      </c>
      <c r="Z98" s="742" t="s">
        <v>616</v>
      </c>
      <c r="AA98" s="742" t="s">
        <v>1802</v>
      </c>
      <c r="AB98" s="746">
        <v>1</v>
      </c>
      <c r="AC98" s="740" t="s">
        <v>1024</v>
      </c>
      <c r="AD98" s="744">
        <v>3150</v>
      </c>
      <c r="AE98" s="787" t="s">
        <v>435</v>
      </c>
      <c r="AF98">
        <f>GDF_price_list[[#This Row],[Indicative 
FCA Price]]/GDF_price_list[[#This Row],[Unit]]</f>
        <v>3150</v>
      </c>
    </row>
    <row r="99" spans="12:32" ht="51">
      <c r="L99" s="416"/>
      <c r="M99" s="416"/>
      <c r="N99" s="416"/>
      <c r="O99" s="439"/>
      <c r="P99" s="417"/>
      <c r="Q99" s="417"/>
      <c r="R99" s="417">
        <f>IFERROR(ROUND(Bunuri_lab_nomenc[[#This Row],[Cost unitate GFATM_valuta]]*VLOOKUP(Bunuri_lab_nomenc[[#This Row],[Valuta cost GFATM]],$B$58:$D$59,2,0),2),0)</f>
        <v>0</v>
      </c>
      <c r="S99" s="417" t="str">
        <f>IFERROR(VLOOKUP(Bunuri_lab_nomenc[[#This Row],[Denumire catalog GDF]],GDF_price_list[[Product Name]:[Column1]],8,0),"")</f>
        <v/>
      </c>
      <c r="T99" s="417" t="e">
        <f>VLOOKUP(Bunuri_lab_nomenc[[#This Row],[Denumire catalog GDF]],GDF_price_list[[Product Name]:[Column1]],7,0)</f>
        <v>#N/A</v>
      </c>
      <c r="V99" s="786" t="s">
        <v>612</v>
      </c>
      <c r="W99" s="738" t="s">
        <v>642</v>
      </c>
      <c r="X99" s="745" t="s">
        <v>1022</v>
      </c>
      <c r="Y99" s="740" t="s">
        <v>1023</v>
      </c>
      <c r="Z99" s="742" t="s">
        <v>616</v>
      </c>
      <c r="AA99" s="742" t="s">
        <v>1802</v>
      </c>
      <c r="AB99" s="746">
        <v>1</v>
      </c>
      <c r="AC99" s="740" t="s">
        <v>1024</v>
      </c>
      <c r="AD99" s="744">
        <v>3150</v>
      </c>
      <c r="AE99" s="787" t="s">
        <v>435</v>
      </c>
      <c r="AF99">
        <f>GDF_price_list[[#This Row],[Indicative 
FCA Price]]/GDF_price_list[[#This Row],[Unit]]</f>
        <v>3150</v>
      </c>
    </row>
    <row r="100" spans="12:32" ht="34">
      <c r="L100" s="416"/>
      <c r="M100" s="416"/>
      <c r="N100" s="416"/>
      <c r="O100" s="439"/>
      <c r="P100" s="417"/>
      <c r="Q100" s="417"/>
      <c r="R100" s="417">
        <f>IFERROR(ROUND(Bunuri_lab_nomenc[[#This Row],[Cost unitate GFATM_valuta]]*VLOOKUP(Bunuri_lab_nomenc[[#This Row],[Valuta cost GFATM]],$B$58:$D$59,2,0),2),0)</f>
        <v>0</v>
      </c>
      <c r="S100" s="417" t="str">
        <f>IFERROR(VLOOKUP(Bunuri_lab_nomenc[[#This Row],[Denumire catalog GDF]],GDF_price_list[[Product Name]:[Column1]],8,0),"")</f>
        <v/>
      </c>
      <c r="T100" s="417" t="e">
        <f>VLOOKUP(Bunuri_lab_nomenc[[#This Row],[Denumire catalog GDF]],GDF_price_list[[Product Name]:[Column1]],7,0)</f>
        <v>#N/A</v>
      </c>
      <c r="V100" s="786" t="s">
        <v>612</v>
      </c>
      <c r="W100" s="738" t="s">
        <v>1007</v>
      </c>
      <c r="X100" s="745" t="s">
        <v>1025</v>
      </c>
      <c r="Y100" s="740" t="s">
        <v>1026</v>
      </c>
      <c r="Z100" s="742" t="s">
        <v>616</v>
      </c>
      <c r="AA100" s="742" t="s">
        <v>1802</v>
      </c>
      <c r="AB100" s="746">
        <v>1</v>
      </c>
      <c r="AC100" s="743" t="s">
        <v>1027</v>
      </c>
      <c r="AD100" s="744">
        <v>11780</v>
      </c>
      <c r="AE100" s="787" t="s">
        <v>435</v>
      </c>
      <c r="AF100">
        <f>GDF_price_list[[#This Row],[Indicative 
FCA Price]]/GDF_price_list[[#This Row],[Unit]]</f>
        <v>11780</v>
      </c>
    </row>
    <row r="101" spans="12:32" ht="68">
      <c r="L101" s="416"/>
      <c r="M101" s="416"/>
      <c r="N101" s="416"/>
      <c r="O101" s="439"/>
      <c r="P101" s="417"/>
      <c r="Q101" s="417"/>
      <c r="R101" s="417">
        <f>IFERROR(ROUND(Bunuri_lab_nomenc[[#This Row],[Cost unitate GFATM_valuta]]*VLOOKUP(Bunuri_lab_nomenc[[#This Row],[Valuta cost GFATM]],$B$58:$D$59,2,0),2),0)</f>
        <v>0</v>
      </c>
      <c r="S101" s="417" t="str">
        <f>IFERROR(VLOOKUP(Bunuri_lab_nomenc[[#This Row],[Denumire catalog GDF]],GDF_price_list[[Product Name]:[Column1]],8,0),"")</f>
        <v/>
      </c>
      <c r="T101" s="417" t="e">
        <f>VLOOKUP(Bunuri_lab_nomenc[[#This Row],[Denumire catalog GDF]],GDF_price_list[[Product Name]:[Column1]],7,0)</f>
        <v>#N/A</v>
      </c>
      <c r="V101" s="786" t="s">
        <v>612</v>
      </c>
      <c r="W101" s="738" t="s">
        <v>1007</v>
      </c>
      <c r="X101" s="745" t="s">
        <v>1028</v>
      </c>
      <c r="Y101" s="740" t="s">
        <v>1029</v>
      </c>
      <c r="Z101" s="742" t="s">
        <v>616</v>
      </c>
      <c r="AA101" s="742" t="s">
        <v>1802</v>
      </c>
      <c r="AB101" s="746">
        <v>1</v>
      </c>
      <c r="AC101" s="743" t="s">
        <v>1030</v>
      </c>
      <c r="AD101" s="744">
        <v>12280</v>
      </c>
      <c r="AE101" s="787" t="s">
        <v>435</v>
      </c>
      <c r="AF101">
        <f>GDF_price_list[[#This Row],[Indicative 
FCA Price]]/GDF_price_list[[#This Row],[Unit]]</f>
        <v>12280</v>
      </c>
    </row>
    <row r="102" spans="12:32" ht="34">
      <c r="L102" s="416"/>
      <c r="M102" s="416"/>
      <c r="N102" s="416"/>
      <c r="O102" s="439"/>
      <c r="P102" s="417"/>
      <c r="Q102" s="417"/>
      <c r="R102" s="417">
        <f>IFERROR(ROUND(Bunuri_lab_nomenc[[#This Row],[Cost unitate GFATM_valuta]]*VLOOKUP(Bunuri_lab_nomenc[[#This Row],[Valuta cost GFATM]],$B$58:$D$59,2,0),2),0)</f>
        <v>0</v>
      </c>
      <c r="S102" s="417" t="str">
        <f>IFERROR(VLOOKUP(Bunuri_lab_nomenc[[#This Row],[Denumire catalog GDF]],GDF_price_list[[Product Name]:[Column1]],8,0),"")</f>
        <v/>
      </c>
      <c r="T102" s="417" t="e">
        <f>VLOOKUP(Bunuri_lab_nomenc[[#This Row],[Denumire catalog GDF]],GDF_price_list[[Product Name]:[Column1]],7,0)</f>
        <v>#N/A</v>
      </c>
      <c r="V102" s="786" t="s">
        <v>612</v>
      </c>
      <c r="W102" s="738" t="s">
        <v>1007</v>
      </c>
      <c r="X102" s="745" t="s">
        <v>1031</v>
      </c>
      <c r="Y102" s="740" t="s">
        <v>1032</v>
      </c>
      <c r="Z102" s="742" t="s">
        <v>616</v>
      </c>
      <c r="AA102" s="742" t="s">
        <v>1802</v>
      </c>
      <c r="AB102" s="746">
        <v>1</v>
      </c>
      <c r="AC102" s="743" t="s">
        <v>1033</v>
      </c>
      <c r="AD102" s="744">
        <v>17000</v>
      </c>
      <c r="AE102" s="787" t="s">
        <v>435</v>
      </c>
      <c r="AF102">
        <f>GDF_price_list[[#This Row],[Indicative 
FCA Price]]/GDF_price_list[[#This Row],[Unit]]</f>
        <v>17000</v>
      </c>
    </row>
    <row r="103" spans="12:32" ht="34">
      <c r="L103" s="416"/>
      <c r="M103" s="416"/>
      <c r="N103" s="416"/>
      <c r="O103" s="439"/>
      <c r="P103" s="417"/>
      <c r="Q103" s="417"/>
      <c r="R103" s="417">
        <f>IFERROR(ROUND(Bunuri_lab_nomenc[[#This Row],[Cost unitate GFATM_valuta]]*VLOOKUP(Bunuri_lab_nomenc[[#This Row],[Valuta cost GFATM]],$B$58:$D$59,2,0),2),0)</f>
        <v>0</v>
      </c>
      <c r="S103" s="417" t="str">
        <f>IFERROR(VLOOKUP(Bunuri_lab_nomenc[[#This Row],[Denumire catalog GDF]],GDF_price_list[[Product Name]:[Column1]],8,0),"")</f>
        <v/>
      </c>
      <c r="T103" s="417" t="e">
        <f>VLOOKUP(Bunuri_lab_nomenc[[#This Row],[Denumire catalog GDF]],GDF_price_list[[Product Name]:[Column1]],7,0)</f>
        <v>#N/A</v>
      </c>
      <c r="V103" s="786" t="s">
        <v>612</v>
      </c>
      <c r="W103" s="738" t="s">
        <v>1007</v>
      </c>
      <c r="X103" s="745" t="s">
        <v>1034</v>
      </c>
      <c r="Y103" s="740" t="s">
        <v>1035</v>
      </c>
      <c r="Z103" s="742" t="s">
        <v>616</v>
      </c>
      <c r="AA103" s="742" t="s">
        <v>1802</v>
      </c>
      <c r="AB103" s="746">
        <v>1</v>
      </c>
      <c r="AC103" s="743" t="s">
        <v>1036</v>
      </c>
      <c r="AD103" s="744">
        <v>17500</v>
      </c>
      <c r="AE103" s="787" t="s">
        <v>435</v>
      </c>
      <c r="AF103">
        <f>GDF_price_list[[#This Row],[Indicative 
FCA Price]]/GDF_price_list[[#This Row],[Unit]]</f>
        <v>17500</v>
      </c>
    </row>
    <row r="104" spans="12:32" ht="34">
      <c r="L104" s="416"/>
      <c r="M104" s="416"/>
      <c r="N104" s="416"/>
      <c r="O104" s="439"/>
      <c r="P104" s="417"/>
      <c r="Q104" s="417"/>
      <c r="R104" s="417">
        <f>IFERROR(ROUND(Bunuri_lab_nomenc[[#This Row],[Cost unitate GFATM_valuta]]*VLOOKUP(Bunuri_lab_nomenc[[#This Row],[Valuta cost GFATM]],$B$58:$D$59,2,0),2),0)</f>
        <v>0</v>
      </c>
      <c r="S104" s="417" t="str">
        <f>IFERROR(VLOOKUP(Bunuri_lab_nomenc[[#This Row],[Denumire catalog GDF]],GDF_price_list[[Product Name]:[Column1]],8,0),"")</f>
        <v/>
      </c>
      <c r="T104" s="417" t="e">
        <f>VLOOKUP(Bunuri_lab_nomenc[[#This Row],[Denumire catalog GDF]],GDF_price_list[[Product Name]:[Column1]],7,0)</f>
        <v>#N/A</v>
      </c>
      <c r="V104" s="786" t="s">
        <v>612</v>
      </c>
      <c r="W104" s="738" t="s">
        <v>613</v>
      </c>
      <c r="X104" s="745" t="s">
        <v>1044</v>
      </c>
      <c r="Y104" s="740" t="s">
        <v>1045</v>
      </c>
      <c r="Z104" s="742" t="s">
        <v>616</v>
      </c>
      <c r="AA104" s="742" t="s">
        <v>1802</v>
      </c>
      <c r="AB104" s="746">
        <v>1</v>
      </c>
      <c r="AC104" s="743" t="s">
        <v>1046</v>
      </c>
      <c r="AD104" s="744">
        <v>0</v>
      </c>
      <c r="AE104" s="787" t="s">
        <v>435</v>
      </c>
      <c r="AF104">
        <f>GDF_price_list[[#This Row],[Indicative 
FCA Price]]/GDF_price_list[[#This Row],[Unit]]</f>
        <v>0</v>
      </c>
    </row>
    <row r="105" spans="12:32" ht="34">
      <c r="L105" s="416"/>
      <c r="M105" s="416"/>
      <c r="N105" s="416"/>
      <c r="O105" s="439"/>
      <c r="P105" s="417"/>
      <c r="Q105" s="417"/>
      <c r="R105" s="417">
        <f>IFERROR(ROUND(Bunuri_lab_nomenc[[#This Row],[Cost unitate GFATM_valuta]]*VLOOKUP(Bunuri_lab_nomenc[[#This Row],[Valuta cost GFATM]],$B$58:$D$59,2,0),2),0)</f>
        <v>0</v>
      </c>
      <c r="S105" s="417" t="str">
        <f>IFERROR(VLOOKUP(Bunuri_lab_nomenc[[#This Row],[Denumire catalog GDF]],GDF_price_list[[Product Name]:[Column1]],8,0),"")</f>
        <v/>
      </c>
      <c r="T105" s="417" t="e">
        <f>VLOOKUP(Bunuri_lab_nomenc[[#This Row],[Denumire catalog GDF]],GDF_price_list[[Product Name]:[Column1]],7,0)</f>
        <v>#N/A</v>
      </c>
      <c r="V105" s="786" t="s">
        <v>612</v>
      </c>
      <c r="W105" s="738" t="s">
        <v>642</v>
      </c>
      <c r="X105" s="745" t="s">
        <v>1047</v>
      </c>
      <c r="Y105" s="740" t="s">
        <v>1048</v>
      </c>
      <c r="Z105" s="742" t="s">
        <v>616</v>
      </c>
      <c r="AA105" s="742" t="s">
        <v>1802</v>
      </c>
      <c r="AB105" s="746">
        <v>1</v>
      </c>
      <c r="AC105" s="740" t="s">
        <v>1049</v>
      </c>
      <c r="AD105" s="744">
        <v>7800</v>
      </c>
      <c r="AE105" s="787" t="s">
        <v>435</v>
      </c>
      <c r="AF105">
        <f>GDF_price_list[[#This Row],[Indicative 
FCA Price]]/GDF_price_list[[#This Row],[Unit]]</f>
        <v>7800</v>
      </c>
    </row>
    <row r="106" spans="12:32" ht="34">
      <c r="L106" s="416"/>
      <c r="M106" s="416"/>
      <c r="N106" s="416"/>
      <c r="O106" s="439"/>
      <c r="P106" s="417"/>
      <c r="Q106" s="417"/>
      <c r="R106" s="417">
        <f>IFERROR(ROUND(Bunuri_lab_nomenc[[#This Row],[Cost unitate GFATM_valuta]]*VLOOKUP(Bunuri_lab_nomenc[[#This Row],[Valuta cost GFATM]],$B$58:$D$59,2,0),2),0)</f>
        <v>0</v>
      </c>
      <c r="S106" s="417" t="str">
        <f>IFERROR(VLOOKUP(Bunuri_lab_nomenc[[#This Row],[Denumire catalog GDF]],GDF_price_list[[Product Name]:[Column1]],8,0),"")</f>
        <v/>
      </c>
      <c r="T106" s="417" t="e">
        <f>VLOOKUP(Bunuri_lab_nomenc[[#This Row],[Denumire catalog GDF]],GDF_price_list[[Product Name]:[Column1]],7,0)</f>
        <v>#N/A</v>
      </c>
      <c r="V106" s="786" t="s">
        <v>612</v>
      </c>
      <c r="W106" s="738" t="s">
        <v>642</v>
      </c>
      <c r="X106" s="745" t="s">
        <v>1050</v>
      </c>
      <c r="Y106" s="740" t="s">
        <v>1051</v>
      </c>
      <c r="Z106" s="742" t="s">
        <v>616</v>
      </c>
      <c r="AA106" s="742" t="s">
        <v>1802</v>
      </c>
      <c r="AB106" s="746">
        <v>1</v>
      </c>
      <c r="AC106" s="740" t="s">
        <v>1052</v>
      </c>
      <c r="AD106" s="744">
        <v>1896</v>
      </c>
      <c r="AE106" s="787" t="s">
        <v>435</v>
      </c>
      <c r="AF106">
        <f>GDF_price_list[[#This Row],[Indicative 
FCA Price]]/GDF_price_list[[#This Row],[Unit]]</f>
        <v>1896</v>
      </c>
    </row>
    <row r="107" spans="12:32" ht="34">
      <c r="L107" s="416"/>
      <c r="M107" s="416"/>
      <c r="N107" s="416"/>
      <c r="O107" s="439"/>
      <c r="P107" s="417"/>
      <c r="Q107" s="417"/>
      <c r="R107" s="417">
        <f>IFERROR(ROUND(Bunuri_lab_nomenc[[#This Row],[Cost unitate GFATM_valuta]]*VLOOKUP(Bunuri_lab_nomenc[[#This Row],[Valuta cost GFATM]],$B$58:$D$59,2,0),2),0)</f>
        <v>0</v>
      </c>
      <c r="S107" s="417" t="str">
        <f>IFERROR(VLOOKUP(Bunuri_lab_nomenc[[#This Row],[Denumire catalog GDF]],GDF_price_list[[Product Name]:[Column1]],8,0),"")</f>
        <v/>
      </c>
      <c r="T107" s="417" t="e">
        <f>VLOOKUP(Bunuri_lab_nomenc[[#This Row],[Denumire catalog GDF]],GDF_price_list[[Product Name]:[Column1]],7,0)</f>
        <v>#N/A</v>
      </c>
      <c r="V107" s="786" t="s">
        <v>612</v>
      </c>
      <c r="W107" s="738" t="s">
        <v>642</v>
      </c>
      <c r="X107" s="745" t="s">
        <v>1053</v>
      </c>
      <c r="Y107" s="740" t="s">
        <v>1054</v>
      </c>
      <c r="Z107" s="742" t="s">
        <v>616</v>
      </c>
      <c r="AA107" s="742" t="s">
        <v>1802</v>
      </c>
      <c r="AB107" s="746">
        <v>1</v>
      </c>
      <c r="AC107" s="740" t="s">
        <v>1055</v>
      </c>
      <c r="AD107" s="744">
        <v>2898</v>
      </c>
      <c r="AE107" s="787" t="s">
        <v>435</v>
      </c>
      <c r="AF107">
        <f>GDF_price_list[[#This Row],[Indicative 
FCA Price]]/GDF_price_list[[#This Row],[Unit]]</f>
        <v>2898</v>
      </c>
    </row>
    <row r="108" spans="12:32" ht="51">
      <c r="L108" s="416"/>
      <c r="M108" s="416"/>
      <c r="N108" s="416"/>
      <c r="O108" s="439"/>
      <c r="P108" s="417"/>
      <c r="Q108" s="417"/>
      <c r="R108" s="417">
        <f>IFERROR(ROUND(Bunuri_lab_nomenc[[#This Row],[Cost unitate GFATM_valuta]]*VLOOKUP(Bunuri_lab_nomenc[[#This Row],[Valuta cost GFATM]],$B$58:$D$59,2,0),2),0)</f>
        <v>0</v>
      </c>
      <c r="S108" s="417" t="str">
        <f>IFERROR(VLOOKUP(Bunuri_lab_nomenc[[#This Row],[Denumire catalog GDF]],GDF_price_list[[Product Name]:[Column1]],8,0),"")</f>
        <v/>
      </c>
      <c r="T108" s="417" t="e">
        <f>VLOOKUP(Bunuri_lab_nomenc[[#This Row],[Denumire catalog GDF]],GDF_price_list[[Product Name]:[Column1]],7,0)</f>
        <v>#N/A</v>
      </c>
      <c r="V108" s="786" t="s">
        <v>612</v>
      </c>
      <c r="W108" s="738" t="s">
        <v>642</v>
      </c>
      <c r="X108" s="745" t="s">
        <v>1056</v>
      </c>
      <c r="Y108" s="740" t="s">
        <v>1057</v>
      </c>
      <c r="Z108" s="742" t="s">
        <v>616</v>
      </c>
      <c r="AA108" s="742" t="s">
        <v>1802</v>
      </c>
      <c r="AB108" s="746">
        <v>1</v>
      </c>
      <c r="AC108" s="743" t="s">
        <v>1058</v>
      </c>
      <c r="AD108" s="744">
        <v>20898</v>
      </c>
      <c r="AE108" s="787" t="s">
        <v>435</v>
      </c>
      <c r="AF108">
        <f>GDF_price_list[[#This Row],[Indicative 
FCA Price]]/GDF_price_list[[#This Row],[Unit]]</f>
        <v>20898</v>
      </c>
    </row>
    <row r="109" spans="12:32" ht="51">
      <c r="L109" s="416"/>
      <c r="M109" s="416"/>
      <c r="N109" s="416"/>
      <c r="O109" s="439"/>
      <c r="P109" s="417"/>
      <c r="Q109" s="417"/>
      <c r="R109" s="417">
        <f>IFERROR(ROUND(Bunuri_lab_nomenc[[#This Row],[Cost unitate GFATM_valuta]]*VLOOKUP(Bunuri_lab_nomenc[[#This Row],[Valuta cost GFATM]],$B$58:$D$59,2,0),2),0)</f>
        <v>0</v>
      </c>
      <c r="S109" s="417" t="str">
        <f>IFERROR(VLOOKUP(Bunuri_lab_nomenc[[#This Row],[Denumire catalog GDF]],GDF_price_list[[Product Name]:[Column1]],8,0),"")</f>
        <v/>
      </c>
      <c r="T109" s="417" t="e">
        <f>VLOOKUP(Bunuri_lab_nomenc[[#This Row],[Denumire catalog GDF]],GDF_price_list[[Product Name]:[Column1]],7,0)</f>
        <v>#N/A</v>
      </c>
      <c r="V109" s="786" t="s">
        <v>612</v>
      </c>
      <c r="W109" s="738" t="s">
        <v>642</v>
      </c>
      <c r="X109" s="745" t="s">
        <v>1059</v>
      </c>
      <c r="Y109" s="740" t="s">
        <v>1060</v>
      </c>
      <c r="Z109" s="742" t="s">
        <v>616</v>
      </c>
      <c r="AA109" s="742" t="s">
        <v>1802</v>
      </c>
      <c r="AB109" s="746">
        <v>1</v>
      </c>
      <c r="AC109" s="743" t="s">
        <v>1061</v>
      </c>
      <c r="AD109" s="744">
        <v>18504</v>
      </c>
      <c r="AE109" s="787" t="s">
        <v>435</v>
      </c>
      <c r="AF109">
        <f>GDF_price_list[[#This Row],[Indicative 
FCA Price]]/GDF_price_list[[#This Row],[Unit]]</f>
        <v>18504</v>
      </c>
    </row>
    <row r="110" spans="12:32" ht="51">
      <c r="L110" s="416"/>
      <c r="M110" s="416"/>
      <c r="N110" s="416"/>
      <c r="O110" s="439"/>
      <c r="P110" s="417"/>
      <c r="Q110" s="417"/>
      <c r="R110" s="417">
        <f>IFERROR(ROUND(Bunuri_lab_nomenc[[#This Row],[Cost unitate GFATM_valuta]]*VLOOKUP(Bunuri_lab_nomenc[[#This Row],[Valuta cost GFATM]],$B$58:$D$59,2,0),2),0)</f>
        <v>0</v>
      </c>
      <c r="S110" s="417" t="str">
        <f>IFERROR(VLOOKUP(Bunuri_lab_nomenc[[#This Row],[Denumire catalog GDF]],GDF_price_list[[Product Name]:[Column1]],8,0),"")</f>
        <v/>
      </c>
      <c r="T110" s="417" t="e">
        <f>VLOOKUP(Bunuri_lab_nomenc[[#This Row],[Denumire catalog GDF]],GDF_price_list[[Product Name]:[Column1]],7,0)</f>
        <v>#N/A</v>
      </c>
      <c r="V110" s="786" t="s">
        <v>612</v>
      </c>
      <c r="W110" s="738" t="s">
        <v>642</v>
      </c>
      <c r="X110" s="745" t="s">
        <v>1062</v>
      </c>
      <c r="Y110" s="740" t="s">
        <v>1063</v>
      </c>
      <c r="Z110" s="742" t="s">
        <v>616</v>
      </c>
      <c r="AA110" s="742" t="s">
        <v>1802</v>
      </c>
      <c r="AB110" s="746">
        <v>1</v>
      </c>
      <c r="AC110" s="743" t="s">
        <v>1064</v>
      </c>
      <c r="AD110" s="744">
        <v>4500</v>
      </c>
      <c r="AE110" s="787" t="s">
        <v>435</v>
      </c>
      <c r="AF110">
        <f>GDF_price_list[[#This Row],[Indicative 
FCA Price]]/GDF_price_list[[#This Row],[Unit]]</f>
        <v>4500</v>
      </c>
    </row>
    <row r="111" spans="12:32" ht="51">
      <c r="L111" s="416"/>
      <c r="M111" s="416"/>
      <c r="N111" s="416"/>
      <c r="O111" s="439"/>
      <c r="P111" s="417"/>
      <c r="Q111" s="417"/>
      <c r="R111" s="417">
        <f>IFERROR(ROUND(Bunuri_lab_nomenc[[#This Row],[Cost unitate GFATM_valuta]]*VLOOKUP(Bunuri_lab_nomenc[[#This Row],[Valuta cost GFATM]],$B$58:$D$59,2,0),2),0)</f>
        <v>0</v>
      </c>
      <c r="S111" s="417" t="str">
        <f>IFERROR(VLOOKUP(Bunuri_lab_nomenc[[#This Row],[Denumire catalog GDF]],GDF_price_list[[Product Name]:[Column1]],8,0),"")</f>
        <v/>
      </c>
      <c r="T111" s="417" t="e">
        <f>VLOOKUP(Bunuri_lab_nomenc[[#This Row],[Denumire catalog GDF]],GDF_price_list[[Product Name]:[Column1]],7,0)</f>
        <v>#N/A</v>
      </c>
      <c r="V111" s="786" t="s">
        <v>612</v>
      </c>
      <c r="W111" s="738" t="s">
        <v>642</v>
      </c>
      <c r="X111" s="745" t="s">
        <v>1065</v>
      </c>
      <c r="Y111" s="740" t="s">
        <v>1066</v>
      </c>
      <c r="Z111" s="742" t="s">
        <v>616</v>
      </c>
      <c r="AA111" s="742" t="s">
        <v>1802</v>
      </c>
      <c r="AB111" s="746">
        <v>1</v>
      </c>
      <c r="AC111" s="743" t="s">
        <v>1067</v>
      </c>
      <c r="AD111" s="744">
        <v>5184</v>
      </c>
      <c r="AE111" s="787" t="s">
        <v>435</v>
      </c>
      <c r="AF111">
        <f>GDF_price_list[[#This Row],[Indicative 
FCA Price]]/GDF_price_list[[#This Row],[Unit]]</f>
        <v>5184</v>
      </c>
    </row>
    <row r="112" spans="12:32" ht="51">
      <c r="L112" s="416"/>
      <c r="M112" s="416"/>
      <c r="N112" s="416"/>
      <c r="O112" s="439"/>
      <c r="P112" s="417"/>
      <c r="Q112" s="417"/>
      <c r="R112" s="417">
        <f>IFERROR(ROUND(Bunuri_lab_nomenc[[#This Row],[Cost unitate GFATM_valuta]]*VLOOKUP(Bunuri_lab_nomenc[[#This Row],[Valuta cost GFATM]],$B$58:$D$59,2,0),2),0)</f>
        <v>0</v>
      </c>
      <c r="S112" s="417" t="str">
        <f>IFERROR(VLOOKUP(Bunuri_lab_nomenc[[#This Row],[Denumire catalog GDF]],GDF_price_list[[Product Name]:[Column1]],8,0),"")</f>
        <v/>
      </c>
      <c r="T112" s="417" t="e">
        <f>VLOOKUP(Bunuri_lab_nomenc[[#This Row],[Denumire catalog GDF]],GDF_price_list[[Product Name]:[Column1]],7,0)</f>
        <v>#N/A</v>
      </c>
      <c r="V112" s="786" t="s">
        <v>612</v>
      </c>
      <c r="W112" s="738" t="s">
        <v>642</v>
      </c>
      <c r="X112" s="745" t="s">
        <v>1068</v>
      </c>
      <c r="Y112" s="740" t="s">
        <v>1069</v>
      </c>
      <c r="Z112" s="742" t="s">
        <v>616</v>
      </c>
      <c r="AA112" s="742" t="s">
        <v>1802</v>
      </c>
      <c r="AB112" s="746">
        <v>1</v>
      </c>
      <c r="AC112" s="743" t="s">
        <v>1070</v>
      </c>
      <c r="AD112" s="744">
        <v>7902</v>
      </c>
      <c r="AE112" s="787" t="s">
        <v>435</v>
      </c>
      <c r="AF112">
        <f>GDF_price_list[[#This Row],[Indicative 
FCA Price]]/GDF_price_list[[#This Row],[Unit]]</f>
        <v>7902</v>
      </c>
    </row>
    <row r="113" spans="12:32" ht="51">
      <c r="L113" s="416"/>
      <c r="M113" s="416"/>
      <c r="N113" s="416"/>
      <c r="O113" s="439"/>
      <c r="P113" s="417"/>
      <c r="Q113" s="417"/>
      <c r="R113" s="417">
        <f>IFERROR(ROUND(Bunuri_lab_nomenc[[#This Row],[Cost unitate GFATM_valuta]]*VLOOKUP(Bunuri_lab_nomenc[[#This Row],[Valuta cost GFATM]],$B$58:$D$59,2,0),2),0)</f>
        <v>0</v>
      </c>
      <c r="S113" s="417" t="str">
        <f>IFERROR(VLOOKUP(Bunuri_lab_nomenc[[#This Row],[Denumire catalog GDF]],GDF_price_list[[Product Name]:[Column1]],8,0),"")</f>
        <v/>
      </c>
      <c r="T113" s="417" t="e">
        <f>VLOOKUP(Bunuri_lab_nomenc[[#This Row],[Denumire catalog GDF]],GDF_price_list[[Product Name]:[Column1]],7,0)</f>
        <v>#N/A</v>
      </c>
      <c r="V113" s="786" t="s">
        <v>612</v>
      </c>
      <c r="W113" s="738" t="s">
        <v>642</v>
      </c>
      <c r="X113" s="745" t="s">
        <v>1071</v>
      </c>
      <c r="Y113" s="740" t="s">
        <v>1072</v>
      </c>
      <c r="Z113" s="742" t="s">
        <v>616</v>
      </c>
      <c r="AA113" s="742" t="s">
        <v>1802</v>
      </c>
      <c r="AB113" s="746">
        <v>1</v>
      </c>
      <c r="AC113" s="743" t="s">
        <v>1073</v>
      </c>
      <c r="AD113" s="744">
        <v>6840</v>
      </c>
      <c r="AE113" s="787" t="s">
        <v>435</v>
      </c>
      <c r="AF113">
        <f>GDF_price_list[[#This Row],[Indicative 
FCA Price]]/GDF_price_list[[#This Row],[Unit]]</f>
        <v>6840</v>
      </c>
    </row>
    <row r="114" spans="12:32" ht="34">
      <c r="L114" s="416"/>
      <c r="M114" s="416"/>
      <c r="N114" s="416"/>
      <c r="O114" s="439"/>
      <c r="P114" s="417"/>
      <c r="Q114" s="417"/>
      <c r="R114" s="417">
        <f>IFERROR(ROUND(Bunuri_lab_nomenc[[#This Row],[Cost unitate GFATM_valuta]]*VLOOKUP(Bunuri_lab_nomenc[[#This Row],[Valuta cost GFATM]],$B$58:$D$59,2,0),2),0)</f>
        <v>0</v>
      </c>
      <c r="S114" s="417" t="str">
        <f>IFERROR(VLOOKUP(Bunuri_lab_nomenc[[#This Row],[Denumire catalog GDF]],GDF_price_list[[Product Name]:[Column1]],8,0),"")</f>
        <v/>
      </c>
      <c r="T114" s="417" t="e">
        <f>VLOOKUP(Bunuri_lab_nomenc[[#This Row],[Denumire catalog GDF]],GDF_price_list[[Product Name]:[Column1]],7,0)</f>
        <v>#N/A</v>
      </c>
      <c r="V114" s="786" t="s">
        <v>612</v>
      </c>
      <c r="W114" s="738" t="s">
        <v>1007</v>
      </c>
      <c r="X114" s="745" t="s">
        <v>1078</v>
      </c>
      <c r="Y114" s="740" t="s">
        <v>1079</v>
      </c>
      <c r="Z114" s="742" t="s">
        <v>616</v>
      </c>
      <c r="AA114" s="742" t="s">
        <v>1802</v>
      </c>
      <c r="AB114" s="746">
        <v>1</v>
      </c>
      <c r="AC114" s="743" t="s">
        <v>1080</v>
      </c>
      <c r="AD114" s="744">
        <v>71000</v>
      </c>
      <c r="AE114" s="787" t="s">
        <v>435</v>
      </c>
      <c r="AF114">
        <f>GDF_price_list[[#This Row],[Indicative 
FCA Price]]/GDF_price_list[[#This Row],[Unit]]</f>
        <v>71000</v>
      </c>
    </row>
    <row r="115" spans="12:32" ht="34">
      <c r="L115" s="416"/>
      <c r="M115" s="416"/>
      <c r="N115" s="416"/>
      <c r="O115" s="439"/>
      <c r="P115" s="417"/>
      <c r="Q115" s="417"/>
      <c r="R115" s="417">
        <f>IFERROR(ROUND(Bunuri_lab_nomenc[[#This Row],[Cost unitate GFATM_valuta]]*VLOOKUP(Bunuri_lab_nomenc[[#This Row],[Valuta cost GFATM]],$B$58:$D$59,2,0),2),0)</f>
        <v>0</v>
      </c>
      <c r="S115" s="417" t="str">
        <f>IFERROR(VLOOKUP(Bunuri_lab_nomenc[[#This Row],[Denumire catalog GDF]],GDF_price_list[[Product Name]:[Column1]],8,0),"")</f>
        <v/>
      </c>
      <c r="T115" s="417" t="e">
        <f>VLOOKUP(Bunuri_lab_nomenc[[#This Row],[Denumire catalog GDF]],GDF_price_list[[Product Name]:[Column1]],7,0)</f>
        <v>#N/A</v>
      </c>
      <c r="V115" s="786" t="s">
        <v>612</v>
      </c>
      <c r="W115" s="738" t="s">
        <v>1007</v>
      </c>
      <c r="X115" s="745" t="s">
        <v>1081</v>
      </c>
      <c r="Y115" s="740" t="s">
        <v>1082</v>
      </c>
      <c r="Z115" s="742" t="s">
        <v>616</v>
      </c>
      <c r="AA115" s="742" t="s">
        <v>1802</v>
      </c>
      <c r="AB115" s="746">
        <v>1</v>
      </c>
      <c r="AC115" s="743" t="s">
        <v>1083</v>
      </c>
      <c r="AD115" s="744">
        <v>71500</v>
      </c>
      <c r="AE115" s="787" t="s">
        <v>435</v>
      </c>
      <c r="AF115">
        <f>GDF_price_list[[#This Row],[Indicative 
FCA Price]]/GDF_price_list[[#This Row],[Unit]]</f>
        <v>71500</v>
      </c>
    </row>
    <row r="116" spans="12:32" ht="51">
      <c r="L116" s="416"/>
      <c r="M116" s="416"/>
      <c r="N116" s="416"/>
      <c r="O116" s="439"/>
      <c r="P116" s="417"/>
      <c r="Q116" s="417"/>
      <c r="R116" s="417">
        <f>IFERROR(ROUND(Bunuri_lab_nomenc[[#This Row],[Cost unitate GFATM_valuta]]*VLOOKUP(Bunuri_lab_nomenc[[#This Row],[Valuta cost GFATM]],$B$58:$D$59,2,0),2),0)</f>
        <v>0</v>
      </c>
      <c r="S116" s="417" t="str">
        <f>IFERROR(VLOOKUP(Bunuri_lab_nomenc[[#This Row],[Denumire catalog GDF]],GDF_price_list[[Product Name]:[Column1]],8,0),"")</f>
        <v/>
      </c>
      <c r="T116" s="417" t="e">
        <f>VLOOKUP(Bunuri_lab_nomenc[[#This Row],[Denumire catalog GDF]],GDF_price_list[[Product Name]:[Column1]],7,0)</f>
        <v>#N/A</v>
      </c>
      <c r="V116" s="786" t="s">
        <v>612</v>
      </c>
      <c r="W116" s="738" t="s">
        <v>842</v>
      </c>
      <c r="X116" s="739">
        <v>106066</v>
      </c>
      <c r="Y116" s="740" t="s">
        <v>1088</v>
      </c>
      <c r="Z116" s="742" t="s">
        <v>1086</v>
      </c>
      <c r="AA116" s="742" t="s">
        <v>1802</v>
      </c>
      <c r="AB116" s="742">
        <v>1</v>
      </c>
      <c r="AC116" s="743" t="s">
        <v>1089</v>
      </c>
      <c r="AD116" s="770">
        <v>12180</v>
      </c>
      <c r="AE116" s="790" t="s">
        <v>447</v>
      </c>
      <c r="AF116">
        <f>GDF_price_list[[#This Row],[Indicative 
FCA Price]]/GDF_price_list[[#This Row],[Unit]]</f>
        <v>12180</v>
      </c>
    </row>
    <row r="117" spans="12:32" ht="17">
      <c r="L117" s="416"/>
      <c r="M117" s="416"/>
      <c r="N117" s="416"/>
      <c r="O117" s="439"/>
      <c r="P117" s="417"/>
      <c r="Q117" s="417"/>
      <c r="R117" s="417">
        <f>IFERROR(ROUND(Bunuri_lab_nomenc[[#This Row],[Cost unitate GFATM_valuta]]*VLOOKUP(Bunuri_lab_nomenc[[#This Row],[Valuta cost GFATM]],$B$58:$D$59,2,0),2),0)</f>
        <v>0</v>
      </c>
      <c r="S117" s="417" t="str">
        <f>IFERROR(VLOOKUP(Bunuri_lab_nomenc[[#This Row],[Denumire catalog GDF]],GDF_price_list[[Product Name]:[Column1]],8,0),"")</f>
        <v/>
      </c>
      <c r="T117" s="417" t="e">
        <f>VLOOKUP(Bunuri_lab_nomenc[[#This Row],[Denumire catalog GDF]],GDF_price_list[[Product Name]:[Column1]],7,0)</f>
        <v>#N/A</v>
      </c>
      <c r="V117" s="786" t="s">
        <v>666</v>
      </c>
      <c r="W117" s="738" t="s">
        <v>793</v>
      </c>
      <c r="X117" s="739">
        <v>106339</v>
      </c>
      <c r="Y117" s="740" t="s">
        <v>1104</v>
      </c>
      <c r="Z117" s="742" t="s">
        <v>610</v>
      </c>
      <c r="AA117" s="742" t="s">
        <v>1802</v>
      </c>
      <c r="AB117" s="742">
        <v>1</v>
      </c>
      <c r="AC117" s="743" t="s">
        <v>1105</v>
      </c>
      <c r="AD117" s="744">
        <v>1.39</v>
      </c>
      <c r="AE117" s="787" t="s">
        <v>435</v>
      </c>
      <c r="AF117">
        <f>GDF_price_list[[#This Row],[Indicative 
FCA Price]]/GDF_price_list[[#This Row],[Unit]]</f>
        <v>1.39</v>
      </c>
    </row>
    <row r="118" spans="12:32" ht="34">
      <c r="L118" s="416"/>
      <c r="M118" s="416"/>
      <c r="N118" s="416"/>
      <c r="O118" s="439"/>
      <c r="P118" s="417"/>
      <c r="Q118" s="417"/>
      <c r="R118" s="417">
        <f>IFERROR(ROUND(Bunuri_lab_nomenc[[#This Row],[Cost unitate GFATM_valuta]]*VLOOKUP(Bunuri_lab_nomenc[[#This Row],[Valuta cost GFATM]],$B$58:$D$59,2,0),2),0)</f>
        <v>0</v>
      </c>
      <c r="S118" s="417" t="str">
        <f>IFERROR(VLOOKUP(Bunuri_lab_nomenc[[#This Row],[Denumire catalog GDF]],GDF_price_list[[Product Name]:[Column1]],8,0),"")</f>
        <v/>
      </c>
      <c r="T118" s="417" t="e">
        <f>VLOOKUP(Bunuri_lab_nomenc[[#This Row],[Denumire catalog GDF]],GDF_price_list[[Product Name]:[Column1]],7,0)</f>
        <v>#N/A</v>
      </c>
      <c r="V118" s="786" t="s">
        <v>718</v>
      </c>
      <c r="W118" s="738" t="s">
        <v>948</v>
      </c>
      <c r="X118" s="745">
        <v>106134</v>
      </c>
      <c r="Y118" s="740" t="s">
        <v>1106</v>
      </c>
      <c r="Z118" s="742" t="s">
        <v>610</v>
      </c>
      <c r="AA118" s="742" t="s">
        <v>1802</v>
      </c>
      <c r="AB118" s="746">
        <v>1</v>
      </c>
      <c r="AC118" s="743" t="s">
        <v>1107</v>
      </c>
      <c r="AD118" s="744">
        <v>82.29</v>
      </c>
      <c r="AE118" s="787" t="s">
        <v>435</v>
      </c>
      <c r="AF118">
        <f>GDF_price_list[[#This Row],[Indicative 
FCA Price]]/GDF_price_list[[#This Row],[Unit]]</f>
        <v>82.29</v>
      </c>
    </row>
    <row r="119" spans="12:32" ht="34">
      <c r="L119" s="416"/>
      <c r="M119" s="416"/>
      <c r="N119" s="416"/>
      <c r="O119" s="439"/>
      <c r="P119" s="417"/>
      <c r="Q119" s="417"/>
      <c r="R119" s="417">
        <f>IFERROR(ROUND(Bunuri_lab_nomenc[[#This Row],[Cost unitate GFATM_valuta]]*VLOOKUP(Bunuri_lab_nomenc[[#This Row],[Valuta cost GFATM]],$B$58:$D$59,2,0),2),0)</f>
        <v>0</v>
      </c>
      <c r="S119" s="417" t="str">
        <f>IFERROR(VLOOKUP(Bunuri_lab_nomenc[[#This Row],[Denumire catalog GDF]],GDF_price_list[[Product Name]:[Column1]],8,0),"")</f>
        <v/>
      </c>
      <c r="T119" s="417" t="e">
        <f>VLOOKUP(Bunuri_lab_nomenc[[#This Row],[Denumire catalog GDF]],GDF_price_list[[Product Name]:[Column1]],7,0)</f>
        <v>#N/A</v>
      </c>
      <c r="V119" s="786" t="s">
        <v>718</v>
      </c>
      <c r="W119" s="738" t="s">
        <v>948</v>
      </c>
      <c r="X119" s="745">
        <v>106135</v>
      </c>
      <c r="Y119" s="740" t="s">
        <v>1108</v>
      </c>
      <c r="Z119" s="742" t="s">
        <v>610</v>
      </c>
      <c r="AA119" s="742" t="s">
        <v>1802</v>
      </c>
      <c r="AB119" s="746">
        <v>1</v>
      </c>
      <c r="AC119" s="743" t="s">
        <v>1107</v>
      </c>
      <c r="AD119" s="744">
        <v>56.7</v>
      </c>
      <c r="AE119" s="787" t="s">
        <v>435</v>
      </c>
      <c r="AF119">
        <f>GDF_price_list[[#This Row],[Indicative 
FCA Price]]/GDF_price_list[[#This Row],[Unit]]</f>
        <v>56.7</v>
      </c>
    </row>
    <row r="120" spans="12:32" ht="34">
      <c r="L120" s="416"/>
      <c r="M120" s="416"/>
      <c r="N120" s="416"/>
      <c r="O120" s="439"/>
      <c r="P120" s="417"/>
      <c r="Q120" s="417"/>
      <c r="R120" s="417">
        <f>IFERROR(ROUND(Bunuri_lab_nomenc[[#This Row],[Cost unitate GFATM_valuta]]*VLOOKUP(Bunuri_lab_nomenc[[#This Row],[Valuta cost GFATM]],$B$58:$D$59,2,0),2),0)</f>
        <v>0</v>
      </c>
      <c r="S120" s="417" t="str">
        <f>IFERROR(VLOOKUP(Bunuri_lab_nomenc[[#This Row],[Denumire catalog GDF]],GDF_price_list[[Product Name]:[Column1]],8,0),"")</f>
        <v/>
      </c>
      <c r="T120" s="417" t="e">
        <f>VLOOKUP(Bunuri_lab_nomenc[[#This Row],[Denumire catalog GDF]],GDF_price_list[[Product Name]:[Column1]],7,0)</f>
        <v>#N/A</v>
      </c>
      <c r="V120" s="786" t="s">
        <v>718</v>
      </c>
      <c r="W120" s="738" t="s">
        <v>948</v>
      </c>
      <c r="X120" s="745">
        <v>106178</v>
      </c>
      <c r="Y120" s="740" t="s">
        <v>1109</v>
      </c>
      <c r="Z120" s="742" t="s">
        <v>610</v>
      </c>
      <c r="AA120" s="742" t="s">
        <v>1802</v>
      </c>
      <c r="AB120" s="746">
        <v>1</v>
      </c>
      <c r="AC120" s="743" t="s">
        <v>1110</v>
      </c>
      <c r="AD120" s="744">
        <v>2.74</v>
      </c>
      <c r="AE120" s="787" t="s">
        <v>435</v>
      </c>
      <c r="AF120">
        <f>GDF_price_list[[#This Row],[Indicative 
FCA Price]]/GDF_price_list[[#This Row],[Unit]]</f>
        <v>2.74</v>
      </c>
    </row>
    <row r="121" spans="12:32" ht="34">
      <c r="L121" s="416"/>
      <c r="M121" s="416"/>
      <c r="N121" s="416"/>
      <c r="O121" s="439"/>
      <c r="P121" s="417"/>
      <c r="Q121" s="417"/>
      <c r="R121" s="417">
        <f>IFERROR(ROUND(Bunuri_lab_nomenc[[#This Row],[Cost unitate GFATM_valuta]]*VLOOKUP(Bunuri_lab_nomenc[[#This Row],[Valuta cost GFATM]],$B$58:$D$59,2,0),2),0)</f>
        <v>0</v>
      </c>
      <c r="S121" s="417" t="str">
        <f>IFERROR(VLOOKUP(Bunuri_lab_nomenc[[#This Row],[Denumire catalog GDF]],GDF_price_list[[Product Name]:[Column1]],8,0),"")</f>
        <v/>
      </c>
      <c r="T121" s="417" t="e">
        <f>VLOOKUP(Bunuri_lab_nomenc[[#This Row],[Denumire catalog GDF]],GDF_price_list[[Product Name]:[Column1]],7,0)</f>
        <v>#N/A</v>
      </c>
      <c r="V121" s="786" t="s">
        <v>718</v>
      </c>
      <c r="W121" s="738" t="s">
        <v>948</v>
      </c>
      <c r="X121" s="745">
        <v>106177</v>
      </c>
      <c r="Y121" s="740" t="s">
        <v>1111</v>
      </c>
      <c r="Z121" s="742" t="s">
        <v>610</v>
      </c>
      <c r="AA121" s="742" t="s">
        <v>1802</v>
      </c>
      <c r="AB121" s="746">
        <v>1</v>
      </c>
      <c r="AC121" s="743" t="s">
        <v>1112</v>
      </c>
      <c r="AD121" s="744">
        <v>8.9</v>
      </c>
      <c r="AE121" s="787" t="s">
        <v>435</v>
      </c>
      <c r="AF121">
        <f>GDF_price_list[[#This Row],[Indicative 
FCA Price]]/GDF_price_list[[#This Row],[Unit]]</f>
        <v>8.9</v>
      </c>
    </row>
    <row r="122" spans="12:32" ht="17">
      <c r="L122" s="416"/>
      <c r="M122" s="416"/>
      <c r="N122" s="416"/>
      <c r="O122" s="439"/>
      <c r="P122" s="417"/>
      <c r="Q122" s="417"/>
      <c r="R122" s="417">
        <f>IFERROR(ROUND(Bunuri_lab_nomenc[[#This Row],[Cost unitate GFATM_valuta]]*VLOOKUP(Bunuri_lab_nomenc[[#This Row],[Valuta cost GFATM]],$B$58:$D$59,2,0),2),0)</f>
        <v>0</v>
      </c>
      <c r="S122" s="417" t="str">
        <f>IFERROR(VLOOKUP(Bunuri_lab_nomenc[[#This Row],[Denumire catalog GDF]],GDF_price_list[[Product Name]:[Column1]],8,0),"")</f>
        <v/>
      </c>
      <c r="T122" s="417" t="e">
        <f>VLOOKUP(Bunuri_lab_nomenc[[#This Row],[Denumire catalog GDF]],GDF_price_list[[Product Name]:[Column1]],7,0)</f>
        <v>#N/A</v>
      </c>
      <c r="V122" s="786" t="s">
        <v>718</v>
      </c>
      <c r="W122" s="738" t="s">
        <v>948</v>
      </c>
      <c r="X122" s="745">
        <v>106176</v>
      </c>
      <c r="Y122" s="740" t="s">
        <v>1113</v>
      </c>
      <c r="Z122" s="742" t="s">
        <v>610</v>
      </c>
      <c r="AA122" s="742" t="s">
        <v>1802</v>
      </c>
      <c r="AB122" s="746">
        <v>1</v>
      </c>
      <c r="AC122" s="743" t="s">
        <v>1114</v>
      </c>
      <c r="AD122" s="744">
        <v>57.9</v>
      </c>
      <c r="AE122" s="787" t="s">
        <v>435</v>
      </c>
      <c r="AF122">
        <f>GDF_price_list[[#This Row],[Indicative 
FCA Price]]/GDF_price_list[[#This Row],[Unit]]</f>
        <v>57.9</v>
      </c>
    </row>
    <row r="123" spans="12:32" ht="34">
      <c r="L123" s="416"/>
      <c r="M123" s="416"/>
      <c r="N123" s="416"/>
      <c r="O123" s="439"/>
      <c r="P123" s="417"/>
      <c r="Q123" s="417"/>
      <c r="R123" s="417">
        <f>IFERROR(ROUND(Bunuri_lab_nomenc[[#This Row],[Cost unitate GFATM_valuta]]*VLOOKUP(Bunuri_lab_nomenc[[#This Row],[Valuta cost GFATM]],$B$58:$D$59,2,0),2),0)</f>
        <v>0</v>
      </c>
      <c r="S123" s="417" t="str">
        <f>IFERROR(VLOOKUP(Bunuri_lab_nomenc[[#This Row],[Denumire catalog GDF]],GDF_price_list[[Product Name]:[Column1]],8,0),"")</f>
        <v/>
      </c>
      <c r="T123" s="417" t="e">
        <f>VLOOKUP(Bunuri_lab_nomenc[[#This Row],[Denumire catalog GDF]],GDF_price_list[[Product Name]:[Column1]],7,0)</f>
        <v>#N/A</v>
      </c>
      <c r="V123" s="786" t="s">
        <v>718</v>
      </c>
      <c r="W123" s="738" t="s">
        <v>948</v>
      </c>
      <c r="X123" s="745">
        <v>106179</v>
      </c>
      <c r="Y123" s="740" t="s">
        <v>1115</v>
      </c>
      <c r="Z123" s="742" t="s">
        <v>610</v>
      </c>
      <c r="AA123" s="742" t="s">
        <v>1802</v>
      </c>
      <c r="AB123" s="746">
        <v>1</v>
      </c>
      <c r="AC123" s="743" t="s">
        <v>1116</v>
      </c>
      <c r="AD123" s="744">
        <v>2.46</v>
      </c>
      <c r="AE123" s="787" t="s">
        <v>435</v>
      </c>
      <c r="AF123">
        <f>GDF_price_list[[#This Row],[Indicative 
FCA Price]]/GDF_price_list[[#This Row],[Unit]]</f>
        <v>2.46</v>
      </c>
    </row>
    <row r="124" spans="12:32" ht="17">
      <c r="L124" s="416"/>
      <c r="M124" s="416"/>
      <c r="N124" s="416"/>
      <c r="O124" s="439"/>
      <c r="P124" s="417"/>
      <c r="Q124" s="417"/>
      <c r="R124" s="417">
        <f>IFERROR(ROUND(Bunuri_lab_nomenc[[#This Row],[Cost unitate GFATM_valuta]]*VLOOKUP(Bunuri_lab_nomenc[[#This Row],[Valuta cost GFATM]],$B$58:$D$59,2,0),2),0)</f>
        <v>0</v>
      </c>
      <c r="S124" s="417" t="str">
        <f>IFERROR(VLOOKUP(Bunuri_lab_nomenc[[#This Row],[Denumire catalog GDF]],GDF_price_list[[Product Name]:[Column1]],8,0),"")</f>
        <v/>
      </c>
      <c r="T124" s="417" t="e">
        <f>VLOOKUP(Bunuri_lab_nomenc[[#This Row],[Denumire catalog GDF]],GDF_price_list[[Product Name]:[Column1]],7,0)</f>
        <v>#N/A</v>
      </c>
      <c r="V124" s="786" t="s">
        <v>718</v>
      </c>
      <c r="W124" s="738" t="s">
        <v>948</v>
      </c>
      <c r="X124" s="745">
        <v>106203</v>
      </c>
      <c r="Y124" s="740" t="s">
        <v>1117</v>
      </c>
      <c r="Z124" s="742" t="s">
        <v>610</v>
      </c>
      <c r="AA124" s="742" t="s">
        <v>1802</v>
      </c>
      <c r="AB124" s="746">
        <v>1</v>
      </c>
      <c r="AC124" s="743" t="s">
        <v>1118</v>
      </c>
      <c r="AD124" s="744">
        <v>7.4</v>
      </c>
      <c r="AE124" s="787" t="s">
        <v>435</v>
      </c>
      <c r="AF124">
        <f>GDF_price_list[[#This Row],[Indicative 
FCA Price]]/GDF_price_list[[#This Row],[Unit]]</f>
        <v>7.4</v>
      </c>
    </row>
    <row r="125" spans="12:32" ht="17">
      <c r="L125" s="416"/>
      <c r="M125" s="416"/>
      <c r="N125" s="416"/>
      <c r="O125" s="439"/>
      <c r="P125" s="417"/>
      <c r="Q125" s="417"/>
      <c r="R125" s="417">
        <f>IFERROR(ROUND(Bunuri_lab_nomenc[[#This Row],[Cost unitate GFATM_valuta]]*VLOOKUP(Bunuri_lab_nomenc[[#This Row],[Valuta cost GFATM]],$B$58:$D$59,2,0),2),0)</f>
        <v>0</v>
      </c>
      <c r="S125" s="417" t="str">
        <f>IFERROR(VLOOKUP(Bunuri_lab_nomenc[[#This Row],[Denumire catalog GDF]],GDF_price_list[[Product Name]:[Column1]],8,0),"")</f>
        <v/>
      </c>
      <c r="T125" s="417" t="e">
        <f>VLOOKUP(Bunuri_lab_nomenc[[#This Row],[Denumire catalog GDF]],GDF_price_list[[Product Name]:[Column1]],7,0)</f>
        <v>#N/A</v>
      </c>
      <c r="V125" s="786" t="s">
        <v>718</v>
      </c>
      <c r="W125" s="738" t="s">
        <v>948</v>
      </c>
      <c r="X125" s="745">
        <v>106187</v>
      </c>
      <c r="Y125" s="740" t="s">
        <v>1119</v>
      </c>
      <c r="Z125" s="742" t="s">
        <v>610</v>
      </c>
      <c r="AA125" s="742" t="s">
        <v>1802</v>
      </c>
      <c r="AB125" s="746">
        <v>1</v>
      </c>
      <c r="AC125" s="743" t="s">
        <v>1120</v>
      </c>
      <c r="AD125" s="744">
        <v>1.54</v>
      </c>
      <c r="AE125" s="787" t="s">
        <v>435</v>
      </c>
      <c r="AF125">
        <f>GDF_price_list[[#This Row],[Indicative 
FCA Price]]/GDF_price_list[[#This Row],[Unit]]</f>
        <v>1.54</v>
      </c>
    </row>
    <row r="126" spans="12:32" ht="17">
      <c r="L126" s="416"/>
      <c r="M126" s="416"/>
      <c r="N126" s="416"/>
      <c r="O126" s="439"/>
      <c r="P126" s="417"/>
      <c r="Q126" s="417"/>
      <c r="R126" s="417">
        <f>IFERROR(ROUND(Bunuri_lab_nomenc[[#This Row],[Cost unitate GFATM_valuta]]*VLOOKUP(Bunuri_lab_nomenc[[#This Row],[Valuta cost GFATM]],$B$58:$D$59,2,0),2),0)</f>
        <v>0</v>
      </c>
      <c r="S126" s="417" t="str">
        <f>IFERROR(VLOOKUP(Bunuri_lab_nomenc[[#This Row],[Denumire catalog GDF]],GDF_price_list[[Product Name]:[Column1]],8,0),"")</f>
        <v/>
      </c>
      <c r="T126" s="417" t="e">
        <f>VLOOKUP(Bunuri_lab_nomenc[[#This Row],[Denumire catalog GDF]],GDF_price_list[[Product Name]:[Column1]],7,0)</f>
        <v>#N/A</v>
      </c>
      <c r="V126" s="786" t="s">
        <v>718</v>
      </c>
      <c r="W126" s="738" t="s">
        <v>948</v>
      </c>
      <c r="X126" s="745">
        <v>106184</v>
      </c>
      <c r="Y126" s="740" t="s">
        <v>1121</v>
      </c>
      <c r="Z126" s="742" t="s">
        <v>610</v>
      </c>
      <c r="AA126" s="742" t="s">
        <v>1802</v>
      </c>
      <c r="AB126" s="746">
        <v>1</v>
      </c>
      <c r="AC126" s="743" t="s">
        <v>1122</v>
      </c>
      <c r="AD126" s="744">
        <v>3.79</v>
      </c>
      <c r="AE126" s="787" t="s">
        <v>435</v>
      </c>
      <c r="AF126">
        <f>GDF_price_list[[#This Row],[Indicative 
FCA Price]]/GDF_price_list[[#This Row],[Unit]]</f>
        <v>3.79</v>
      </c>
    </row>
    <row r="127" spans="12:32" ht="17">
      <c r="L127" s="416"/>
      <c r="M127" s="416"/>
      <c r="N127" s="416"/>
      <c r="O127" s="439"/>
      <c r="P127" s="417"/>
      <c r="Q127" s="417"/>
      <c r="R127" s="417">
        <f>IFERROR(ROUND(Bunuri_lab_nomenc[[#This Row],[Cost unitate GFATM_valuta]]*VLOOKUP(Bunuri_lab_nomenc[[#This Row],[Valuta cost GFATM]],$B$58:$D$59,2,0),2),0)</f>
        <v>0</v>
      </c>
      <c r="S127" s="417" t="str">
        <f>IFERROR(VLOOKUP(Bunuri_lab_nomenc[[#This Row],[Denumire catalog GDF]],GDF_price_list[[Product Name]:[Column1]],8,0),"")</f>
        <v/>
      </c>
      <c r="T127" s="417" t="e">
        <f>VLOOKUP(Bunuri_lab_nomenc[[#This Row],[Denumire catalog GDF]],GDF_price_list[[Product Name]:[Column1]],7,0)</f>
        <v>#N/A</v>
      </c>
      <c r="V127" s="786" t="s">
        <v>718</v>
      </c>
      <c r="W127" s="738" t="s">
        <v>948</v>
      </c>
      <c r="X127" s="745">
        <v>106183</v>
      </c>
      <c r="Y127" s="740" t="s">
        <v>1123</v>
      </c>
      <c r="Z127" s="742" t="s">
        <v>610</v>
      </c>
      <c r="AA127" s="742" t="s">
        <v>1802</v>
      </c>
      <c r="AB127" s="746">
        <v>1</v>
      </c>
      <c r="AC127" s="743" t="s">
        <v>1124</v>
      </c>
      <c r="AD127" s="744">
        <v>6.34</v>
      </c>
      <c r="AE127" s="787" t="s">
        <v>435</v>
      </c>
      <c r="AF127">
        <f>GDF_price_list[[#This Row],[Indicative 
FCA Price]]/GDF_price_list[[#This Row],[Unit]]</f>
        <v>6.34</v>
      </c>
    </row>
    <row r="128" spans="12:32" ht="17">
      <c r="L128" s="416"/>
      <c r="M128" s="416"/>
      <c r="N128" s="416"/>
      <c r="O128" s="439"/>
      <c r="P128" s="417"/>
      <c r="Q128" s="417"/>
      <c r="R128" s="417">
        <f>IFERROR(ROUND(Bunuri_lab_nomenc[[#This Row],[Cost unitate GFATM_valuta]]*VLOOKUP(Bunuri_lab_nomenc[[#This Row],[Valuta cost GFATM]],$B$58:$D$59,2,0),2),0)</f>
        <v>0</v>
      </c>
      <c r="S128" s="417" t="str">
        <f>IFERROR(VLOOKUP(Bunuri_lab_nomenc[[#This Row],[Denumire catalog GDF]],GDF_price_list[[Product Name]:[Column1]],8,0),"")</f>
        <v/>
      </c>
      <c r="T128" s="417" t="e">
        <f>VLOOKUP(Bunuri_lab_nomenc[[#This Row],[Denumire catalog GDF]],GDF_price_list[[Product Name]:[Column1]],7,0)</f>
        <v>#N/A</v>
      </c>
      <c r="V128" s="786" t="s">
        <v>718</v>
      </c>
      <c r="W128" s="738" t="s">
        <v>948</v>
      </c>
      <c r="X128" s="745">
        <v>106186</v>
      </c>
      <c r="Y128" s="740" t="s">
        <v>1125</v>
      </c>
      <c r="Z128" s="742" t="s">
        <v>610</v>
      </c>
      <c r="AA128" s="742" t="s">
        <v>1802</v>
      </c>
      <c r="AB128" s="746">
        <v>1</v>
      </c>
      <c r="AC128" s="743" t="s">
        <v>1126</v>
      </c>
      <c r="AD128" s="744">
        <v>1.77</v>
      </c>
      <c r="AE128" s="787" t="s">
        <v>435</v>
      </c>
      <c r="AF128">
        <f>GDF_price_list[[#This Row],[Indicative 
FCA Price]]/GDF_price_list[[#This Row],[Unit]]</f>
        <v>1.77</v>
      </c>
    </row>
    <row r="129" spans="12:32" ht="17">
      <c r="L129" s="416"/>
      <c r="M129" s="416"/>
      <c r="N129" s="416"/>
      <c r="O129" s="439"/>
      <c r="P129" s="417"/>
      <c r="Q129" s="417"/>
      <c r="R129" s="417">
        <f>IFERROR(ROUND(Bunuri_lab_nomenc[[#This Row],[Cost unitate GFATM_valuta]]*VLOOKUP(Bunuri_lab_nomenc[[#This Row],[Valuta cost GFATM]],$B$58:$D$59,2,0),2),0)</f>
        <v>0</v>
      </c>
      <c r="S129" s="417" t="str">
        <f>IFERROR(VLOOKUP(Bunuri_lab_nomenc[[#This Row],[Denumire catalog GDF]],GDF_price_list[[Product Name]:[Column1]],8,0),"")</f>
        <v/>
      </c>
      <c r="T129" s="417" t="e">
        <f>VLOOKUP(Bunuri_lab_nomenc[[#This Row],[Denumire catalog GDF]],GDF_price_list[[Product Name]:[Column1]],7,0)</f>
        <v>#N/A</v>
      </c>
      <c r="V129" s="786" t="s">
        <v>718</v>
      </c>
      <c r="W129" s="738" t="s">
        <v>948</v>
      </c>
      <c r="X129" s="745">
        <v>106185</v>
      </c>
      <c r="Y129" s="740" t="s">
        <v>1127</v>
      </c>
      <c r="Z129" s="742" t="s">
        <v>610</v>
      </c>
      <c r="AA129" s="742" t="s">
        <v>1802</v>
      </c>
      <c r="AB129" s="746">
        <v>1</v>
      </c>
      <c r="AC129" s="743" t="s">
        <v>1128</v>
      </c>
      <c r="AD129" s="744">
        <v>2.61</v>
      </c>
      <c r="AE129" s="787" t="s">
        <v>435</v>
      </c>
      <c r="AF129">
        <f>GDF_price_list[[#This Row],[Indicative 
FCA Price]]/GDF_price_list[[#This Row],[Unit]]</f>
        <v>2.61</v>
      </c>
    </row>
    <row r="130" spans="12:32" ht="34">
      <c r="L130" s="416"/>
      <c r="M130" s="416"/>
      <c r="N130" s="416"/>
      <c r="O130" s="439"/>
      <c r="P130" s="417"/>
      <c r="Q130" s="417"/>
      <c r="R130" s="417">
        <f>IFERROR(ROUND(Bunuri_lab_nomenc[[#This Row],[Cost unitate GFATM_valuta]]*VLOOKUP(Bunuri_lab_nomenc[[#This Row],[Valuta cost GFATM]],$B$58:$D$59,2,0),2),0)</f>
        <v>0</v>
      </c>
      <c r="S130" s="417" t="str">
        <f>IFERROR(VLOOKUP(Bunuri_lab_nomenc[[#This Row],[Denumire catalog GDF]],GDF_price_list[[Product Name]:[Column1]],8,0),"")</f>
        <v/>
      </c>
      <c r="T130" s="417" t="e">
        <f>VLOOKUP(Bunuri_lab_nomenc[[#This Row],[Denumire catalog GDF]],GDF_price_list[[Product Name]:[Column1]],7,0)</f>
        <v>#N/A</v>
      </c>
      <c r="V130" s="786" t="s">
        <v>718</v>
      </c>
      <c r="W130" s="738" t="s">
        <v>948</v>
      </c>
      <c r="X130" s="745">
        <v>106168</v>
      </c>
      <c r="Y130" s="740" t="s">
        <v>1129</v>
      </c>
      <c r="Z130" s="742" t="s">
        <v>610</v>
      </c>
      <c r="AA130" s="742" t="s">
        <v>1802</v>
      </c>
      <c r="AB130" s="746">
        <v>1</v>
      </c>
      <c r="AC130" s="743" t="s">
        <v>1130</v>
      </c>
      <c r="AD130" s="744">
        <v>8.43</v>
      </c>
      <c r="AE130" s="787" t="s">
        <v>435</v>
      </c>
      <c r="AF130">
        <f>GDF_price_list[[#This Row],[Indicative 
FCA Price]]/GDF_price_list[[#This Row],[Unit]]</f>
        <v>8.43</v>
      </c>
    </row>
    <row r="131" spans="12:32" ht="34">
      <c r="L131" s="416"/>
      <c r="M131" s="416"/>
      <c r="N131" s="416"/>
      <c r="O131" s="439"/>
      <c r="P131" s="417"/>
      <c r="Q131" s="417"/>
      <c r="R131" s="417">
        <f>IFERROR(ROUND(Bunuri_lab_nomenc[[#This Row],[Cost unitate GFATM_valuta]]*VLOOKUP(Bunuri_lab_nomenc[[#This Row],[Valuta cost GFATM]],$B$58:$D$59,2,0),2),0)</f>
        <v>0</v>
      </c>
      <c r="S131" s="417" t="str">
        <f>IFERROR(VLOOKUP(Bunuri_lab_nomenc[[#This Row],[Denumire catalog GDF]],GDF_price_list[[Product Name]:[Column1]],8,0),"")</f>
        <v/>
      </c>
      <c r="T131" s="417" t="e">
        <f>VLOOKUP(Bunuri_lab_nomenc[[#This Row],[Denumire catalog GDF]],GDF_price_list[[Product Name]:[Column1]],7,0)</f>
        <v>#N/A</v>
      </c>
      <c r="V131" s="786" t="s">
        <v>718</v>
      </c>
      <c r="W131" s="738" t="s">
        <v>948</v>
      </c>
      <c r="X131" s="745">
        <v>106165</v>
      </c>
      <c r="Y131" s="740" t="s">
        <v>1131</v>
      </c>
      <c r="Z131" s="742" t="s">
        <v>610</v>
      </c>
      <c r="AA131" s="742" t="s">
        <v>1802</v>
      </c>
      <c r="AB131" s="746">
        <v>1</v>
      </c>
      <c r="AC131" s="743" t="s">
        <v>1132</v>
      </c>
      <c r="AD131" s="744">
        <v>39.35</v>
      </c>
      <c r="AE131" s="787" t="s">
        <v>435</v>
      </c>
      <c r="AF131">
        <f>GDF_price_list[[#This Row],[Indicative 
FCA Price]]/GDF_price_list[[#This Row],[Unit]]</f>
        <v>39.35</v>
      </c>
    </row>
    <row r="132" spans="12:32" ht="34">
      <c r="L132" s="416"/>
      <c r="M132" s="416"/>
      <c r="N132" s="416"/>
      <c r="O132" s="439"/>
      <c r="P132" s="417"/>
      <c r="Q132" s="417"/>
      <c r="R132" s="417">
        <f>IFERROR(ROUND(Bunuri_lab_nomenc[[#This Row],[Cost unitate GFATM_valuta]]*VLOOKUP(Bunuri_lab_nomenc[[#This Row],[Valuta cost GFATM]],$B$58:$D$59,2,0),2),0)</f>
        <v>0</v>
      </c>
      <c r="S132" s="417" t="str">
        <f>IFERROR(VLOOKUP(Bunuri_lab_nomenc[[#This Row],[Denumire catalog GDF]],GDF_price_list[[Product Name]:[Column1]],8,0),"")</f>
        <v/>
      </c>
      <c r="T132" s="417" t="e">
        <f>VLOOKUP(Bunuri_lab_nomenc[[#This Row],[Denumire catalog GDF]],GDF_price_list[[Product Name]:[Column1]],7,0)</f>
        <v>#N/A</v>
      </c>
      <c r="V132" s="786" t="s">
        <v>718</v>
      </c>
      <c r="W132" s="738" t="s">
        <v>948</v>
      </c>
      <c r="X132" s="745">
        <v>106170</v>
      </c>
      <c r="Y132" s="740" t="s">
        <v>1133</v>
      </c>
      <c r="Z132" s="742" t="s">
        <v>610</v>
      </c>
      <c r="AA132" s="742" t="s">
        <v>1802</v>
      </c>
      <c r="AB132" s="746">
        <v>1</v>
      </c>
      <c r="AC132" s="743" t="s">
        <v>1134</v>
      </c>
      <c r="AD132" s="744">
        <v>6.77</v>
      </c>
      <c r="AE132" s="787" t="s">
        <v>435</v>
      </c>
      <c r="AF132">
        <f>GDF_price_list[[#This Row],[Indicative 
FCA Price]]/GDF_price_list[[#This Row],[Unit]]</f>
        <v>6.77</v>
      </c>
    </row>
    <row r="133" spans="12:32" ht="34">
      <c r="L133" s="416"/>
      <c r="M133" s="416"/>
      <c r="N133" s="416"/>
      <c r="O133" s="439"/>
      <c r="P133" s="417"/>
      <c r="Q133" s="417"/>
      <c r="R133" s="417">
        <f>IFERROR(ROUND(Bunuri_lab_nomenc[[#This Row],[Cost unitate GFATM_valuta]]*VLOOKUP(Bunuri_lab_nomenc[[#This Row],[Valuta cost GFATM]],$B$58:$D$59,2,0),2),0)</f>
        <v>0</v>
      </c>
      <c r="S133" s="417" t="str">
        <f>IFERROR(VLOOKUP(Bunuri_lab_nomenc[[#This Row],[Denumire catalog GDF]],GDF_price_list[[Product Name]:[Column1]],8,0),"")</f>
        <v/>
      </c>
      <c r="T133" s="417" t="e">
        <f>VLOOKUP(Bunuri_lab_nomenc[[#This Row],[Denumire catalog GDF]],GDF_price_list[[Product Name]:[Column1]],7,0)</f>
        <v>#N/A</v>
      </c>
      <c r="V133" s="786" t="s">
        <v>718</v>
      </c>
      <c r="W133" s="738" t="s">
        <v>948</v>
      </c>
      <c r="X133" s="745">
        <v>106167</v>
      </c>
      <c r="Y133" s="740" t="s">
        <v>1135</v>
      </c>
      <c r="Z133" s="742" t="s">
        <v>610</v>
      </c>
      <c r="AA133" s="742" t="s">
        <v>1802</v>
      </c>
      <c r="AB133" s="746">
        <v>1</v>
      </c>
      <c r="AC133" s="743" t="s">
        <v>1136</v>
      </c>
      <c r="AD133" s="744">
        <v>15.01</v>
      </c>
      <c r="AE133" s="787" t="s">
        <v>435</v>
      </c>
      <c r="AF133">
        <f>GDF_price_list[[#This Row],[Indicative 
FCA Price]]/GDF_price_list[[#This Row],[Unit]]</f>
        <v>15.01</v>
      </c>
    </row>
    <row r="134" spans="12:32" ht="34">
      <c r="L134" s="416"/>
      <c r="M134" s="416"/>
      <c r="N134" s="416"/>
      <c r="O134" s="439"/>
      <c r="P134" s="417"/>
      <c r="Q134" s="417"/>
      <c r="R134" s="417">
        <f>IFERROR(ROUND(Bunuri_lab_nomenc[[#This Row],[Cost unitate GFATM_valuta]]*VLOOKUP(Bunuri_lab_nomenc[[#This Row],[Valuta cost GFATM]],$B$58:$D$59,2,0),2),0)</f>
        <v>0</v>
      </c>
      <c r="S134" s="417" t="str">
        <f>IFERROR(VLOOKUP(Bunuri_lab_nomenc[[#This Row],[Denumire catalog GDF]],GDF_price_list[[Product Name]:[Column1]],8,0),"")</f>
        <v/>
      </c>
      <c r="T134" s="417" t="e">
        <f>VLOOKUP(Bunuri_lab_nomenc[[#This Row],[Denumire catalog GDF]],GDF_price_list[[Product Name]:[Column1]],7,0)</f>
        <v>#N/A</v>
      </c>
      <c r="V134" s="786" t="s">
        <v>718</v>
      </c>
      <c r="W134" s="738" t="s">
        <v>948</v>
      </c>
      <c r="X134" s="745">
        <v>106169</v>
      </c>
      <c r="Y134" s="740" t="s">
        <v>1137</v>
      </c>
      <c r="Z134" s="742" t="s">
        <v>610</v>
      </c>
      <c r="AA134" s="742" t="s">
        <v>1802</v>
      </c>
      <c r="AB134" s="746">
        <v>1</v>
      </c>
      <c r="AC134" s="743" t="s">
        <v>1138</v>
      </c>
      <c r="AD134" s="744">
        <v>7.48</v>
      </c>
      <c r="AE134" s="787" t="s">
        <v>435</v>
      </c>
      <c r="AF134">
        <f>GDF_price_list[[#This Row],[Indicative 
FCA Price]]/GDF_price_list[[#This Row],[Unit]]</f>
        <v>7.48</v>
      </c>
    </row>
    <row r="135" spans="12:32" ht="34">
      <c r="L135" s="416"/>
      <c r="M135" s="416"/>
      <c r="N135" s="416"/>
      <c r="O135" s="439"/>
      <c r="P135" s="417"/>
      <c r="Q135" s="417"/>
      <c r="R135" s="417">
        <f>IFERROR(ROUND(Bunuri_lab_nomenc[[#This Row],[Cost unitate GFATM_valuta]]*VLOOKUP(Bunuri_lab_nomenc[[#This Row],[Valuta cost GFATM]],$B$58:$D$59,2,0),2),0)</f>
        <v>0</v>
      </c>
      <c r="S135" s="417" t="str">
        <f>IFERROR(VLOOKUP(Bunuri_lab_nomenc[[#This Row],[Denumire catalog GDF]],GDF_price_list[[Product Name]:[Column1]],8,0),"")</f>
        <v/>
      </c>
      <c r="T135" s="417" t="e">
        <f>VLOOKUP(Bunuri_lab_nomenc[[#This Row],[Denumire catalog GDF]],GDF_price_list[[Product Name]:[Column1]],7,0)</f>
        <v>#N/A</v>
      </c>
      <c r="V135" s="786" t="s">
        <v>718</v>
      </c>
      <c r="W135" s="738" t="s">
        <v>948</v>
      </c>
      <c r="X135" s="745">
        <v>106166</v>
      </c>
      <c r="Y135" s="740" t="s">
        <v>1139</v>
      </c>
      <c r="Z135" s="742" t="s">
        <v>610</v>
      </c>
      <c r="AA135" s="742" t="s">
        <v>1802</v>
      </c>
      <c r="AB135" s="746">
        <v>1</v>
      </c>
      <c r="AC135" s="743" t="s">
        <v>1140</v>
      </c>
      <c r="AD135" s="744">
        <v>24.93</v>
      </c>
      <c r="AE135" s="787" t="s">
        <v>435</v>
      </c>
      <c r="AF135">
        <f>GDF_price_list[[#This Row],[Indicative 
FCA Price]]/GDF_price_list[[#This Row],[Unit]]</f>
        <v>24.93</v>
      </c>
    </row>
    <row r="136" spans="12:32" ht="17">
      <c r="L136" s="416"/>
      <c r="M136" s="416"/>
      <c r="N136" s="416"/>
      <c r="O136" s="439"/>
      <c r="P136" s="417"/>
      <c r="Q136" s="417"/>
      <c r="R136" s="417">
        <f>IFERROR(ROUND(Bunuri_lab_nomenc[[#This Row],[Cost unitate GFATM_valuta]]*VLOOKUP(Bunuri_lab_nomenc[[#This Row],[Valuta cost GFATM]],$B$58:$D$59,2,0),2),0)</f>
        <v>0</v>
      </c>
      <c r="S136" s="417" t="str">
        <f>IFERROR(VLOOKUP(Bunuri_lab_nomenc[[#This Row],[Denumire catalog GDF]],GDF_price_list[[Product Name]:[Column1]],8,0),"")</f>
        <v/>
      </c>
      <c r="T136" s="417" t="e">
        <f>VLOOKUP(Bunuri_lab_nomenc[[#This Row],[Denumire catalog GDF]],GDF_price_list[[Product Name]:[Column1]],7,0)</f>
        <v>#N/A</v>
      </c>
      <c r="V136" s="786" t="s">
        <v>718</v>
      </c>
      <c r="W136" s="738" t="s">
        <v>948</v>
      </c>
      <c r="X136" s="745">
        <v>106197</v>
      </c>
      <c r="Y136" s="740" t="s">
        <v>1151</v>
      </c>
      <c r="Z136" s="742" t="s">
        <v>610</v>
      </c>
      <c r="AA136" s="742" t="s">
        <v>1802</v>
      </c>
      <c r="AB136" s="746">
        <v>1</v>
      </c>
      <c r="AC136" s="743" t="s">
        <v>1152</v>
      </c>
      <c r="AD136" s="744">
        <v>10.210000000000001</v>
      </c>
      <c r="AE136" s="787" t="s">
        <v>435</v>
      </c>
      <c r="AF136">
        <f>GDF_price_list[[#This Row],[Indicative 
FCA Price]]/GDF_price_list[[#This Row],[Unit]]</f>
        <v>10.210000000000001</v>
      </c>
    </row>
    <row r="137" spans="12:32" ht="17">
      <c r="L137" s="416"/>
      <c r="M137" s="416"/>
      <c r="N137" s="416"/>
      <c r="O137" s="439"/>
      <c r="P137" s="417"/>
      <c r="Q137" s="417"/>
      <c r="R137" s="417">
        <f>IFERROR(ROUND(Bunuri_lab_nomenc[[#This Row],[Cost unitate GFATM_valuta]]*VLOOKUP(Bunuri_lab_nomenc[[#This Row],[Valuta cost GFATM]],$B$58:$D$59,2,0),2),0)</f>
        <v>0</v>
      </c>
      <c r="S137" s="417" t="str">
        <f>IFERROR(VLOOKUP(Bunuri_lab_nomenc[[#This Row],[Denumire catalog GDF]],GDF_price_list[[Product Name]:[Column1]],8,0),"")</f>
        <v/>
      </c>
      <c r="T137" s="417" t="e">
        <f>VLOOKUP(Bunuri_lab_nomenc[[#This Row],[Denumire catalog GDF]],GDF_price_list[[Product Name]:[Column1]],7,0)</f>
        <v>#N/A</v>
      </c>
      <c r="V137" s="786" t="s">
        <v>718</v>
      </c>
      <c r="W137" s="738" t="s">
        <v>948</v>
      </c>
      <c r="X137" s="745">
        <v>106193</v>
      </c>
      <c r="Y137" s="740" t="s">
        <v>1153</v>
      </c>
      <c r="Z137" s="742" t="s">
        <v>610</v>
      </c>
      <c r="AA137" s="742" t="s">
        <v>1802</v>
      </c>
      <c r="AB137" s="746">
        <v>1</v>
      </c>
      <c r="AC137" s="743" t="s">
        <v>1154</v>
      </c>
      <c r="AD137" s="744">
        <v>29.46</v>
      </c>
      <c r="AE137" s="787" t="s">
        <v>435</v>
      </c>
      <c r="AF137">
        <f>GDF_price_list[[#This Row],[Indicative 
FCA Price]]/GDF_price_list[[#This Row],[Unit]]</f>
        <v>29.46</v>
      </c>
    </row>
    <row r="138" spans="12:32" ht="17">
      <c r="L138" s="416"/>
      <c r="M138" s="416"/>
      <c r="N138" s="416"/>
      <c r="O138" s="439"/>
      <c r="P138" s="417"/>
      <c r="Q138" s="417"/>
      <c r="R138" s="417">
        <f>IFERROR(ROUND(Bunuri_lab_nomenc[[#This Row],[Cost unitate GFATM_valuta]]*VLOOKUP(Bunuri_lab_nomenc[[#This Row],[Valuta cost GFATM]],$B$58:$D$59,2,0),2),0)</f>
        <v>0</v>
      </c>
      <c r="S138" s="417" t="str">
        <f>IFERROR(VLOOKUP(Bunuri_lab_nomenc[[#This Row],[Denumire catalog GDF]],GDF_price_list[[Product Name]:[Column1]],8,0),"")</f>
        <v/>
      </c>
      <c r="T138" s="417" t="e">
        <f>VLOOKUP(Bunuri_lab_nomenc[[#This Row],[Denumire catalog GDF]],GDF_price_list[[Product Name]:[Column1]],7,0)</f>
        <v>#N/A</v>
      </c>
      <c r="V138" s="786" t="s">
        <v>718</v>
      </c>
      <c r="W138" s="738" t="s">
        <v>948</v>
      </c>
      <c r="X138" s="745">
        <v>106200</v>
      </c>
      <c r="Y138" s="740" t="s">
        <v>1155</v>
      </c>
      <c r="Z138" s="742" t="s">
        <v>610</v>
      </c>
      <c r="AA138" s="742" t="s">
        <v>1802</v>
      </c>
      <c r="AB138" s="746">
        <v>1</v>
      </c>
      <c r="AC138" s="743" t="s">
        <v>1156</v>
      </c>
      <c r="AD138" s="744">
        <v>6.66</v>
      </c>
      <c r="AE138" s="787" t="s">
        <v>435</v>
      </c>
      <c r="AF138">
        <f>GDF_price_list[[#This Row],[Indicative 
FCA Price]]/GDF_price_list[[#This Row],[Unit]]</f>
        <v>6.66</v>
      </c>
    </row>
    <row r="139" spans="12:32" ht="17">
      <c r="L139" s="416"/>
      <c r="M139" s="416"/>
      <c r="N139" s="416"/>
      <c r="O139" s="439"/>
      <c r="P139" s="417"/>
      <c r="Q139" s="417"/>
      <c r="R139" s="417">
        <f>IFERROR(ROUND(Bunuri_lab_nomenc[[#This Row],[Cost unitate GFATM_valuta]]*VLOOKUP(Bunuri_lab_nomenc[[#This Row],[Valuta cost GFATM]],$B$58:$D$59,2,0),2),0)</f>
        <v>0</v>
      </c>
      <c r="S139" s="417" t="str">
        <f>IFERROR(VLOOKUP(Bunuri_lab_nomenc[[#This Row],[Denumire catalog GDF]],GDF_price_list[[Product Name]:[Column1]],8,0),"")</f>
        <v/>
      </c>
      <c r="T139" s="417" t="e">
        <f>VLOOKUP(Bunuri_lab_nomenc[[#This Row],[Denumire catalog GDF]],GDF_price_list[[Product Name]:[Column1]],7,0)</f>
        <v>#N/A</v>
      </c>
      <c r="V139" s="786" t="s">
        <v>718</v>
      </c>
      <c r="W139" s="738" t="s">
        <v>948</v>
      </c>
      <c r="X139" s="745">
        <v>106196</v>
      </c>
      <c r="Y139" s="740" t="s">
        <v>1157</v>
      </c>
      <c r="Z139" s="742" t="s">
        <v>610</v>
      </c>
      <c r="AA139" s="742" t="s">
        <v>1802</v>
      </c>
      <c r="AB139" s="746">
        <v>1</v>
      </c>
      <c r="AC139" s="743" t="s">
        <v>1158</v>
      </c>
      <c r="AD139" s="744">
        <v>14.68</v>
      </c>
      <c r="AE139" s="787" t="s">
        <v>435</v>
      </c>
      <c r="AF139">
        <f>GDF_price_list[[#This Row],[Indicative 
FCA Price]]/GDF_price_list[[#This Row],[Unit]]</f>
        <v>14.68</v>
      </c>
    </row>
    <row r="140" spans="12:32" ht="17">
      <c r="L140" s="416"/>
      <c r="M140" s="416"/>
      <c r="N140" s="416"/>
      <c r="O140" s="439"/>
      <c r="P140" s="417"/>
      <c r="Q140" s="417"/>
      <c r="R140" s="417">
        <f>IFERROR(ROUND(Bunuri_lab_nomenc[[#This Row],[Cost unitate GFATM_valuta]]*VLOOKUP(Bunuri_lab_nomenc[[#This Row],[Valuta cost GFATM]],$B$58:$D$59,2,0),2),0)</f>
        <v>0</v>
      </c>
      <c r="S140" s="417" t="str">
        <f>IFERROR(VLOOKUP(Bunuri_lab_nomenc[[#This Row],[Denumire catalog GDF]],GDF_price_list[[Product Name]:[Column1]],8,0),"")</f>
        <v/>
      </c>
      <c r="T140" s="417" t="e">
        <f>VLOOKUP(Bunuri_lab_nomenc[[#This Row],[Denumire catalog GDF]],GDF_price_list[[Product Name]:[Column1]],7,0)</f>
        <v>#N/A</v>
      </c>
      <c r="V140" s="786" t="s">
        <v>718</v>
      </c>
      <c r="W140" s="738" t="s">
        <v>948</v>
      </c>
      <c r="X140" s="745">
        <v>106199</v>
      </c>
      <c r="Y140" s="740" t="s">
        <v>1159</v>
      </c>
      <c r="Z140" s="742" t="s">
        <v>610</v>
      </c>
      <c r="AA140" s="742" t="s">
        <v>1802</v>
      </c>
      <c r="AB140" s="746">
        <v>1</v>
      </c>
      <c r="AC140" s="743" t="s">
        <v>1160</v>
      </c>
      <c r="AD140" s="744">
        <v>6.66</v>
      </c>
      <c r="AE140" s="787" t="s">
        <v>435</v>
      </c>
      <c r="AF140">
        <f>GDF_price_list[[#This Row],[Indicative 
FCA Price]]/GDF_price_list[[#This Row],[Unit]]</f>
        <v>6.66</v>
      </c>
    </row>
    <row r="141" spans="12:32" ht="17">
      <c r="L141" s="416"/>
      <c r="M141" s="416"/>
      <c r="N141" s="416"/>
      <c r="O141" s="439"/>
      <c r="P141" s="417"/>
      <c r="Q141" s="417"/>
      <c r="R141" s="417">
        <f>IFERROR(ROUND(Bunuri_lab_nomenc[[#This Row],[Cost unitate GFATM_valuta]]*VLOOKUP(Bunuri_lab_nomenc[[#This Row],[Valuta cost GFATM]],$B$58:$D$59,2,0),2),0)</f>
        <v>0</v>
      </c>
      <c r="S141" s="417" t="str">
        <f>IFERROR(VLOOKUP(Bunuri_lab_nomenc[[#This Row],[Denumire catalog GDF]],GDF_price_list[[Product Name]:[Column1]],8,0),"")</f>
        <v/>
      </c>
      <c r="T141" s="417" t="e">
        <f>VLOOKUP(Bunuri_lab_nomenc[[#This Row],[Denumire catalog GDF]],GDF_price_list[[Product Name]:[Column1]],7,0)</f>
        <v>#N/A</v>
      </c>
      <c r="V141" s="786" t="s">
        <v>718</v>
      </c>
      <c r="W141" s="738" t="s">
        <v>948</v>
      </c>
      <c r="X141" s="745">
        <v>106195</v>
      </c>
      <c r="Y141" s="740" t="s">
        <v>1161</v>
      </c>
      <c r="Z141" s="742" t="s">
        <v>610</v>
      </c>
      <c r="AA141" s="742" t="s">
        <v>1802</v>
      </c>
      <c r="AB141" s="746">
        <v>1</v>
      </c>
      <c r="AC141" s="743" t="s">
        <v>1162</v>
      </c>
      <c r="AD141" s="744">
        <v>17.2</v>
      </c>
      <c r="AE141" s="787" t="s">
        <v>435</v>
      </c>
      <c r="AF141">
        <f>GDF_price_list[[#This Row],[Indicative 
FCA Price]]/GDF_price_list[[#This Row],[Unit]]</f>
        <v>17.2</v>
      </c>
    </row>
    <row r="142" spans="12:32" ht="17">
      <c r="L142" s="416"/>
      <c r="M142" s="416"/>
      <c r="N142" s="416"/>
      <c r="O142" s="439"/>
      <c r="P142" s="417"/>
      <c r="Q142" s="417"/>
      <c r="R142" s="417">
        <f>IFERROR(ROUND(Bunuri_lab_nomenc[[#This Row],[Cost unitate GFATM_valuta]]*VLOOKUP(Bunuri_lab_nomenc[[#This Row],[Valuta cost GFATM]],$B$58:$D$59,2,0),2),0)</f>
        <v>0</v>
      </c>
      <c r="S142" s="417" t="str">
        <f>IFERROR(VLOOKUP(Bunuri_lab_nomenc[[#This Row],[Denumire catalog GDF]],GDF_price_list[[Product Name]:[Column1]],8,0),"")</f>
        <v/>
      </c>
      <c r="T142" s="417" t="e">
        <f>VLOOKUP(Bunuri_lab_nomenc[[#This Row],[Denumire catalog GDF]],GDF_price_list[[Product Name]:[Column1]],7,0)</f>
        <v>#N/A</v>
      </c>
      <c r="V142" s="786" t="s">
        <v>718</v>
      </c>
      <c r="W142" s="738" t="s">
        <v>948</v>
      </c>
      <c r="X142" s="745">
        <v>106198</v>
      </c>
      <c r="Y142" s="740" t="s">
        <v>1163</v>
      </c>
      <c r="Z142" s="742" t="s">
        <v>610</v>
      </c>
      <c r="AA142" s="742" t="s">
        <v>1802</v>
      </c>
      <c r="AB142" s="746">
        <v>1</v>
      </c>
      <c r="AC142" s="743" t="s">
        <v>1164</v>
      </c>
      <c r="AD142" s="744">
        <v>7.48</v>
      </c>
      <c r="AE142" s="787" t="s">
        <v>435</v>
      </c>
      <c r="AF142">
        <f>GDF_price_list[[#This Row],[Indicative 
FCA Price]]/GDF_price_list[[#This Row],[Unit]]</f>
        <v>7.48</v>
      </c>
    </row>
    <row r="143" spans="12:32" ht="17">
      <c r="L143" s="416"/>
      <c r="M143" s="416"/>
      <c r="N143" s="416"/>
      <c r="O143" s="439"/>
      <c r="P143" s="417"/>
      <c r="Q143" s="417"/>
      <c r="R143" s="417">
        <f>IFERROR(ROUND(Bunuri_lab_nomenc[[#This Row],[Cost unitate GFATM_valuta]]*VLOOKUP(Bunuri_lab_nomenc[[#This Row],[Valuta cost GFATM]],$B$58:$D$59,2,0),2),0)</f>
        <v>0</v>
      </c>
      <c r="S143" s="417" t="str">
        <f>IFERROR(VLOOKUP(Bunuri_lab_nomenc[[#This Row],[Denumire catalog GDF]],GDF_price_list[[Product Name]:[Column1]],8,0),"")</f>
        <v/>
      </c>
      <c r="T143" s="417" t="e">
        <f>VLOOKUP(Bunuri_lab_nomenc[[#This Row],[Denumire catalog GDF]],GDF_price_list[[Product Name]:[Column1]],7,0)</f>
        <v>#N/A</v>
      </c>
      <c r="V143" s="786" t="s">
        <v>718</v>
      </c>
      <c r="W143" s="738" t="s">
        <v>948</v>
      </c>
      <c r="X143" s="745">
        <v>106194</v>
      </c>
      <c r="Y143" s="740" t="s">
        <v>1165</v>
      </c>
      <c r="Z143" s="742" t="s">
        <v>610</v>
      </c>
      <c r="AA143" s="742" t="s">
        <v>1802</v>
      </c>
      <c r="AB143" s="746">
        <v>1</v>
      </c>
      <c r="AC143" s="743" t="s">
        <v>1166</v>
      </c>
      <c r="AD143" s="744">
        <v>18.64</v>
      </c>
      <c r="AE143" s="787" t="s">
        <v>435</v>
      </c>
      <c r="AF143">
        <f>GDF_price_list[[#This Row],[Indicative 
FCA Price]]/GDF_price_list[[#This Row],[Unit]]</f>
        <v>18.64</v>
      </c>
    </row>
    <row r="144" spans="12:32" ht="85">
      <c r="L144" s="416"/>
      <c r="M144" s="416"/>
      <c r="N144" s="416"/>
      <c r="O144" s="439"/>
      <c r="P144" s="417"/>
      <c r="Q144" s="417"/>
      <c r="R144" s="417">
        <f>IFERROR(ROUND(Bunuri_lab_nomenc[[#This Row],[Cost unitate GFATM_valuta]]*VLOOKUP(Bunuri_lab_nomenc[[#This Row],[Valuta cost GFATM]],$B$58:$D$59,2,0),2),0)</f>
        <v>0</v>
      </c>
      <c r="S144" s="417" t="str">
        <f>IFERROR(VLOOKUP(Bunuri_lab_nomenc[[#This Row],[Denumire catalog GDF]],GDF_price_list[[Product Name]:[Column1]],8,0),"")</f>
        <v/>
      </c>
      <c r="T144" s="417" t="e">
        <f>VLOOKUP(Bunuri_lab_nomenc[[#This Row],[Denumire catalog GDF]],GDF_price_list[[Product Name]:[Column1]],7,0)</f>
        <v>#N/A</v>
      </c>
      <c r="V144" s="786" t="s">
        <v>718</v>
      </c>
      <c r="W144" s="738" t="s">
        <v>719</v>
      </c>
      <c r="X144" s="745">
        <v>106137</v>
      </c>
      <c r="Y144" s="740" t="s">
        <v>1167</v>
      </c>
      <c r="Z144" s="742" t="s">
        <v>610</v>
      </c>
      <c r="AA144" s="742" t="s">
        <v>1802</v>
      </c>
      <c r="AB144" s="746">
        <v>1</v>
      </c>
      <c r="AC144" s="743" t="s">
        <v>1168</v>
      </c>
      <c r="AD144" s="744">
        <v>51.76</v>
      </c>
      <c r="AE144" s="787" t="s">
        <v>435</v>
      </c>
      <c r="AF144">
        <f>GDF_price_list[[#This Row],[Indicative 
FCA Price]]/GDF_price_list[[#This Row],[Unit]]</f>
        <v>51.76</v>
      </c>
    </row>
    <row r="145" spans="12:32" ht="17">
      <c r="L145" s="416"/>
      <c r="M145" s="416"/>
      <c r="N145" s="416"/>
      <c r="O145" s="439"/>
      <c r="P145" s="417"/>
      <c r="Q145" s="417"/>
      <c r="R145" s="417">
        <f>IFERROR(ROUND(Bunuri_lab_nomenc[[#This Row],[Cost unitate GFATM_valuta]]*VLOOKUP(Bunuri_lab_nomenc[[#This Row],[Valuta cost GFATM]],$B$58:$D$59,2,0),2),0)</f>
        <v>0</v>
      </c>
      <c r="S145" s="417" t="str">
        <f>IFERROR(VLOOKUP(Bunuri_lab_nomenc[[#This Row],[Denumire catalog GDF]],GDF_price_list[[Product Name]:[Column1]],8,0),"")</f>
        <v/>
      </c>
      <c r="T145" s="417" t="e">
        <f>VLOOKUP(Bunuri_lab_nomenc[[#This Row],[Denumire catalog GDF]],GDF_price_list[[Product Name]:[Column1]],7,0)</f>
        <v>#N/A</v>
      </c>
      <c r="V145" s="786" t="s">
        <v>648</v>
      </c>
      <c r="W145" s="738" t="s">
        <v>649</v>
      </c>
      <c r="X145" s="749">
        <v>106605</v>
      </c>
      <c r="Y145" s="750" t="s">
        <v>1173</v>
      </c>
      <c r="Z145" s="755" t="s">
        <v>610</v>
      </c>
      <c r="AA145" s="742" t="s">
        <v>1802</v>
      </c>
      <c r="AB145" s="751">
        <v>1</v>
      </c>
      <c r="AC145" s="756" t="s">
        <v>1174</v>
      </c>
      <c r="AD145" s="752">
        <v>44.24</v>
      </c>
      <c r="AE145" s="789" t="s">
        <v>435</v>
      </c>
      <c r="AF145">
        <f>GDF_price_list[[#This Row],[Indicative 
FCA Price]]/GDF_price_list[[#This Row],[Unit]]</f>
        <v>44.24</v>
      </c>
    </row>
    <row r="146" spans="12:32" ht="51">
      <c r="L146" s="416"/>
      <c r="M146" s="416"/>
      <c r="N146" s="416"/>
      <c r="O146" s="439"/>
      <c r="P146" s="417"/>
      <c r="Q146" s="417"/>
      <c r="R146" s="417">
        <f>IFERROR(ROUND(Bunuri_lab_nomenc[[#This Row],[Cost unitate GFATM_valuta]]*VLOOKUP(Bunuri_lab_nomenc[[#This Row],[Valuta cost GFATM]],$B$58:$D$59,2,0),2),0)</f>
        <v>0</v>
      </c>
      <c r="S146" s="417" t="str">
        <f>IFERROR(VLOOKUP(Bunuri_lab_nomenc[[#This Row],[Denumire catalog GDF]],GDF_price_list[[Product Name]:[Column1]],8,0),"")</f>
        <v/>
      </c>
      <c r="T146" s="417" t="e">
        <f>VLOOKUP(Bunuri_lab_nomenc[[#This Row],[Denumire catalog GDF]],GDF_price_list[[Product Name]:[Column1]],7,0)</f>
        <v>#N/A</v>
      </c>
      <c r="V146" s="786" t="s">
        <v>612</v>
      </c>
      <c r="W146" s="738" t="s">
        <v>627</v>
      </c>
      <c r="X146" s="739">
        <v>106064</v>
      </c>
      <c r="Y146" s="740" t="s">
        <v>1175</v>
      </c>
      <c r="Z146" s="742" t="s">
        <v>1086</v>
      </c>
      <c r="AA146" s="742" t="s">
        <v>1802</v>
      </c>
      <c r="AB146" s="742">
        <v>1</v>
      </c>
      <c r="AC146" s="743" t="s">
        <v>1176</v>
      </c>
      <c r="AD146" s="770">
        <v>14352</v>
      </c>
      <c r="AE146" s="790" t="s">
        <v>447</v>
      </c>
      <c r="AF146">
        <f>GDF_price_list[[#This Row],[Indicative 
FCA Price]]/GDF_price_list[[#This Row],[Unit]]</f>
        <v>14352</v>
      </c>
    </row>
    <row r="147" spans="12:32" ht="68">
      <c r="L147" s="416"/>
      <c r="M147" s="416"/>
      <c r="N147" s="416"/>
      <c r="O147" s="439"/>
      <c r="P147" s="417"/>
      <c r="Q147" s="417"/>
      <c r="R147" s="417">
        <f>IFERROR(ROUND(Bunuri_lab_nomenc[[#This Row],[Cost unitate GFATM_valuta]]*VLOOKUP(Bunuri_lab_nomenc[[#This Row],[Valuta cost GFATM]],$B$58:$D$59,2,0),2),0)</f>
        <v>0</v>
      </c>
      <c r="S147" s="417" t="str">
        <f>IFERROR(VLOOKUP(Bunuri_lab_nomenc[[#This Row],[Denumire catalog GDF]],GDF_price_list[[Product Name]:[Column1]],8,0),"")</f>
        <v/>
      </c>
      <c r="T147" s="417" t="e">
        <f>VLOOKUP(Bunuri_lab_nomenc[[#This Row],[Denumire catalog GDF]],GDF_price_list[[Product Name]:[Column1]],7,0)</f>
        <v>#N/A</v>
      </c>
      <c r="V147" s="786" t="s">
        <v>612</v>
      </c>
      <c r="W147" s="738" t="s">
        <v>842</v>
      </c>
      <c r="X147" s="739">
        <v>106439</v>
      </c>
      <c r="Y147" s="740" t="s">
        <v>1177</v>
      </c>
      <c r="Z147" s="742" t="s">
        <v>1086</v>
      </c>
      <c r="AA147" s="742" t="s">
        <v>1802</v>
      </c>
      <c r="AB147" s="742">
        <v>1</v>
      </c>
      <c r="AC147" s="743" t="s">
        <v>1178</v>
      </c>
      <c r="AD147" s="770">
        <v>0</v>
      </c>
      <c r="AE147" s="790" t="s">
        <v>447</v>
      </c>
      <c r="AF147">
        <f>GDF_price_list[[#This Row],[Indicative 
FCA Price]]/GDF_price_list[[#This Row],[Unit]]</f>
        <v>0</v>
      </c>
    </row>
    <row r="148" spans="12:32" ht="51">
      <c r="L148" s="416"/>
      <c r="M148" s="416"/>
      <c r="N148" s="416"/>
      <c r="O148" s="439"/>
      <c r="P148" s="417"/>
      <c r="Q148" s="417"/>
      <c r="R148" s="417">
        <f>IFERROR(ROUND(Bunuri_lab_nomenc[[#This Row],[Cost unitate GFATM_valuta]]*VLOOKUP(Bunuri_lab_nomenc[[#This Row],[Valuta cost GFATM]],$B$58:$D$59,2,0),2),0)</f>
        <v>0</v>
      </c>
      <c r="S148" s="417" t="str">
        <f>IFERROR(VLOOKUP(Bunuri_lab_nomenc[[#This Row],[Denumire catalog GDF]],GDF_price_list[[Product Name]:[Column1]],8,0),"")</f>
        <v/>
      </c>
      <c r="T148" s="417" t="e">
        <f>VLOOKUP(Bunuri_lab_nomenc[[#This Row],[Denumire catalog GDF]],GDF_price_list[[Product Name]:[Column1]],7,0)</f>
        <v>#N/A</v>
      </c>
      <c r="V148" s="786" t="s">
        <v>612</v>
      </c>
      <c r="W148" s="738" t="s">
        <v>627</v>
      </c>
      <c r="X148" s="739">
        <v>106438</v>
      </c>
      <c r="Y148" s="740" t="s">
        <v>1179</v>
      </c>
      <c r="Z148" s="742" t="s">
        <v>1086</v>
      </c>
      <c r="AA148" s="742" t="s">
        <v>1802</v>
      </c>
      <c r="AB148" s="742">
        <v>1</v>
      </c>
      <c r="AC148" s="743" t="s">
        <v>1180</v>
      </c>
      <c r="AD148" s="770">
        <v>2.9</v>
      </c>
      <c r="AE148" s="790" t="s">
        <v>447</v>
      </c>
      <c r="AF148">
        <f>GDF_price_list[[#This Row],[Indicative 
FCA Price]]/GDF_price_list[[#This Row],[Unit]]</f>
        <v>2.9</v>
      </c>
    </row>
    <row r="149" spans="12:32" ht="51">
      <c r="L149" s="416"/>
      <c r="M149" s="416"/>
      <c r="N149" s="416"/>
      <c r="O149" s="439"/>
      <c r="P149" s="417"/>
      <c r="Q149" s="417"/>
      <c r="R149" s="417">
        <f>IFERROR(ROUND(Bunuri_lab_nomenc[[#This Row],[Cost unitate GFATM_valuta]]*VLOOKUP(Bunuri_lab_nomenc[[#This Row],[Valuta cost GFATM]],$B$58:$D$59,2,0),2),0)</f>
        <v>0</v>
      </c>
      <c r="S149" s="417" t="str">
        <f>IFERROR(VLOOKUP(Bunuri_lab_nomenc[[#This Row],[Denumire catalog GDF]],GDF_price_list[[Product Name]:[Column1]],8,0),"")</f>
        <v/>
      </c>
      <c r="T149" s="417" t="e">
        <f>VLOOKUP(Bunuri_lab_nomenc[[#This Row],[Denumire catalog GDF]],GDF_price_list[[Product Name]:[Column1]],7,0)</f>
        <v>#N/A</v>
      </c>
      <c r="V149" s="786" t="s">
        <v>612</v>
      </c>
      <c r="W149" s="738" t="s">
        <v>627</v>
      </c>
      <c r="X149" s="778">
        <v>106613</v>
      </c>
      <c r="Y149" s="740" t="s">
        <v>1181</v>
      </c>
      <c r="Z149" s="742" t="s">
        <v>1086</v>
      </c>
      <c r="AA149" s="742" t="s">
        <v>1802</v>
      </c>
      <c r="AB149" s="742">
        <v>1</v>
      </c>
      <c r="AC149" s="743" t="s">
        <v>1182</v>
      </c>
      <c r="AD149" s="770">
        <v>4595</v>
      </c>
      <c r="AE149" s="790" t="s">
        <v>447</v>
      </c>
      <c r="AF149">
        <f>GDF_price_list[[#This Row],[Indicative 
FCA Price]]/GDF_price_list[[#This Row],[Unit]]</f>
        <v>4595</v>
      </c>
    </row>
    <row r="150" spans="12:32" ht="17">
      <c r="L150" s="416"/>
      <c r="M150" s="416"/>
      <c r="N150" s="416"/>
      <c r="O150" s="439"/>
      <c r="P150" s="417"/>
      <c r="Q150" s="417"/>
      <c r="R150" s="417">
        <f>IFERROR(ROUND(Bunuri_lab_nomenc[[#This Row],[Cost unitate GFATM_valuta]]*VLOOKUP(Bunuri_lab_nomenc[[#This Row],[Valuta cost GFATM]],$B$58:$D$59,2,0),2),0)</f>
        <v>0</v>
      </c>
      <c r="S150" s="417" t="str">
        <f>IFERROR(VLOOKUP(Bunuri_lab_nomenc[[#This Row],[Denumire catalog GDF]],GDF_price_list[[Product Name]:[Column1]],8,0),"")</f>
        <v/>
      </c>
      <c r="T150" s="417" t="e">
        <f>VLOOKUP(Bunuri_lab_nomenc[[#This Row],[Denumire catalog GDF]],GDF_price_list[[Product Name]:[Column1]],7,0)</f>
        <v>#N/A</v>
      </c>
      <c r="V150" s="786" t="s">
        <v>638</v>
      </c>
      <c r="W150" s="738" t="s">
        <v>835</v>
      </c>
      <c r="X150" s="745">
        <v>106304</v>
      </c>
      <c r="Y150" s="740" t="s">
        <v>1183</v>
      </c>
      <c r="Z150" s="742" t="s">
        <v>610</v>
      </c>
      <c r="AA150" s="742" t="s">
        <v>1802</v>
      </c>
      <c r="AB150" s="742">
        <v>1</v>
      </c>
      <c r="AC150" s="743" t="s">
        <v>1184</v>
      </c>
      <c r="AD150" s="744">
        <v>7.02</v>
      </c>
      <c r="AE150" s="787" t="s">
        <v>435</v>
      </c>
      <c r="AF150">
        <f>GDF_price_list[[#This Row],[Indicative 
FCA Price]]/GDF_price_list[[#This Row],[Unit]]</f>
        <v>7.02</v>
      </c>
    </row>
    <row r="151" spans="12:32" ht="85">
      <c r="L151" s="416"/>
      <c r="M151" s="416"/>
      <c r="N151" s="416"/>
      <c r="O151" s="439"/>
      <c r="P151" s="417"/>
      <c r="Q151" s="417"/>
      <c r="R151" s="417">
        <f>IFERROR(ROUND(Bunuri_lab_nomenc[[#This Row],[Cost unitate GFATM_valuta]]*VLOOKUP(Bunuri_lab_nomenc[[#This Row],[Valuta cost GFATM]],$B$58:$D$59,2,0),2),0)</f>
        <v>0</v>
      </c>
      <c r="S151" s="417" t="str">
        <f>IFERROR(VLOOKUP(Bunuri_lab_nomenc[[#This Row],[Denumire catalog GDF]],GDF_price_list[[Product Name]:[Column1]],8,0),"")</f>
        <v/>
      </c>
      <c r="T151" s="417" t="e">
        <f>VLOOKUP(Bunuri_lab_nomenc[[#This Row],[Denumire catalog GDF]],GDF_price_list[[Product Name]:[Column1]],7,0)</f>
        <v>#N/A</v>
      </c>
      <c r="V151" s="786" t="s">
        <v>718</v>
      </c>
      <c r="W151" s="738" t="s">
        <v>719</v>
      </c>
      <c r="X151" s="745">
        <v>106132</v>
      </c>
      <c r="Y151" s="754" t="s">
        <v>1185</v>
      </c>
      <c r="Z151" s="742" t="s">
        <v>610</v>
      </c>
      <c r="AA151" s="742" t="s">
        <v>1802</v>
      </c>
      <c r="AB151" s="746">
        <v>1</v>
      </c>
      <c r="AC151" s="743" t="s">
        <v>1186</v>
      </c>
      <c r="AD151" s="744">
        <v>806.49</v>
      </c>
      <c r="AE151" s="787" t="s">
        <v>435</v>
      </c>
      <c r="AF151">
        <f>GDF_price_list[[#This Row],[Indicative 
FCA Price]]/GDF_price_list[[#This Row],[Unit]]</f>
        <v>806.49</v>
      </c>
    </row>
    <row r="152" spans="12:32" ht="51">
      <c r="L152" s="416"/>
      <c r="M152" s="416"/>
      <c r="N152" s="416"/>
      <c r="O152" s="439"/>
      <c r="P152" s="417"/>
      <c r="Q152" s="417"/>
      <c r="R152" s="417">
        <f>IFERROR(ROUND(Bunuri_lab_nomenc[[#This Row],[Cost unitate GFATM_valuta]]*VLOOKUP(Bunuri_lab_nomenc[[#This Row],[Valuta cost GFATM]],$B$58:$D$59,2,0),2),0)</f>
        <v>0</v>
      </c>
      <c r="S152" s="417" t="str">
        <f>IFERROR(VLOOKUP(Bunuri_lab_nomenc[[#This Row],[Denumire catalog GDF]],GDF_price_list[[Product Name]:[Column1]],8,0),"")</f>
        <v/>
      </c>
      <c r="T152" s="417" t="e">
        <f>VLOOKUP(Bunuri_lab_nomenc[[#This Row],[Denumire catalog GDF]],GDF_price_list[[Product Name]:[Column1]],7,0)</f>
        <v>#N/A</v>
      </c>
      <c r="V152" s="786" t="s">
        <v>612</v>
      </c>
      <c r="W152" s="738" t="s">
        <v>753</v>
      </c>
      <c r="X152" s="745">
        <v>106636</v>
      </c>
      <c r="Y152" s="740" t="s">
        <v>1187</v>
      </c>
      <c r="Z152" s="742" t="s">
        <v>1188</v>
      </c>
      <c r="AA152" s="742" t="s">
        <v>1802</v>
      </c>
      <c r="AB152" s="742">
        <v>1</v>
      </c>
      <c r="AC152" s="743" t="s">
        <v>1189</v>
      </c>
      <c r="AD152" s="744">
        <v>1056</v>
      </c>
      <c r="AE152" s="790" t="s">
        <v>435</v>
      </c>
      <c r="AF152">
        <f>GDF_price_list[[#This Row],[Indicative 
FCA Price]]/GDF_price_list[[#This Row],[Unit]]</f>
        <v>1056</v>
      </c>
    </row>
    <row r="153" spans="12:32" ht="119">
      <c r="L153" s="416"/>
      <c r="M153" s="416"/>
      <c r="N153" s="416"/>
      <c r="O153" s="439"/>
      <c r="P153" s="417"/>
      <c r="Q153" s="417"/>
      <c r="R153" s="417">
        <f>IFERROR(ROUND(Bunuri_lab_nomenc[[#This Row],[Cost unitate GFATM_valuta]]*VLOOKUP(Bunuri_lab_nomenc[[#This Row],[Valuta cost GFATM]],$B$58:$D$59,2,0),2),0)</f>
        <v>0</v>
      </c>
      <c r="S153" s="417" t="str">
        <f>IFERROR(VLOOKUP(Bunuri_lab_nomenc[[#This Row],[Denumire catalog GDF]],GDF_price_list[[Product Name]:[Column1]],8,0),"")</f>
        <v/>
      </c>
      <c r="T153" s="417" t="e">
        <f>VLOOKUP(Bunuri_lab_nomenc[[#This Row],[Denumire catalog GDF]],GDF_price_list[[Product Name]:[Column1]],7,0)</f>
        <v>#N/A</v>
      </c>
      <c r="V153" s="786" t="s">
        <v>612</v>
      </c>
      <c r="W153" s="738" t="s">
        <v>753</v>
      </c>
      <c r="X153" s="745">
        <v>106632</v>
      </c>
      <c r="Y153" s="740" t="s">
        <v>1190</v>
      </c>
      <c r="Z153" s="742" t="s">
        <v>1188</v>
      </c>
      <c r="AA153" s="742" t="s">
        <v>1802</v>
      </c>
      <c r="AB153" s="742">
        <v>1</v>
      </c>
      <c r="AC153" s="743" t="s">
        <v>1191</v>
      </c>
      <c r="AD153" s="744">
        <v>2695</v>
      </c>
      <c r="AE153" s="790" t="s">
        <v>435</v>
      </c>
      <c r="AF153">
        <f>GDF_price_list[[#This Row],[Indicative 
FCA Price]]/GDF_price_list[[#This Row],[Unit]]</f>
        <v>2695</v>
      </c>
    </row>
    <row r="154" spans="12:32" ht="17">
      <c r="L154" s="416"/>
      <c r="M154" s="416"/>
      <c r="N154" s="416"/>
      <c r="O154" s="439"/>
      <c r="P154" s="417"/>
      <c r="Q154" s="417"/>
      <c r="R154" s="417">
        <f>IFERROR(ROUND(Bunuri_lab_nomenc[[#This Row],[Cost unitate GFATM_valuta]]*VLOOKUP(Bunuri_lab_nomenc[[#This Row],[Valuta cost GFATM]],$B$58:$D$59,2,0),2),0)</f>
        <v>0</v>
      </c>
      <c r="S154" s="417" t="str">
        <f>IFERROR(VLOOKUP(Bunuri_lab_nomenc[[#This Row],[Denumire catalog GDF]],GDF_price_list[[Product Name]:[Column1]],8,0),"")</f>
        <v/>
      </c>
      <c r="T154" s="417" t="e">
        <f>VLOOKUP(Bunuri_lab_nomenc[[#This Row],[Denumire catalog GDF]],GDF_price_list[[Product Name]:[Column1]],7,0)</f>
        <v>#N/A</v>
      </c>
      <c r="V154" s="786" t="s">
        <v>612</v>
      </c>
      <c r="W154" s="738" t="s">
        <v>753</v>
      </c>
      <c r="X154" s="745">
        <v>106663</v>
      </c>
      <c r="Y154" s="740" t="s">
        <v>1195</v>
      </c>
      <c r="Z154" s="742" t="s">
        <v>1188</v>
      </c>
      <c r="AA154" s="742" t="s">
        <v>1802</v>
      </c>
      <c r="AB154" s="742">
        <v>1</v>
      </c>
      <c r="AC154" s="743" t="s">
        <v>1196</v>
      </c>
      <c r="AD154" s="744">
        <v>632.5</v>
      </c>
      <c r="AE154" s="790" t="s">
        <v>435</v>
      </c>
      <c r="AF154">
        <f>GDF_price_list[[#This Row],[Indicative 
FCA Price]]/GDF_price_list[[#This Row],[Unit]]</f>
        <v>632.5</v>
      </c>
    </row>
    <row r="155" spans="12:32" ht="51">
      <c r="L155" s="416"/>
      <c r="M155" s="416"/>
      <c r="N155" s="416"/>
      <c r="O155" s="439"/>
      <c r="P155" s="417"/>
      <c r="Q155" s="417"/>
      <c r="R155" s="417">
        <f>IFERROR(ROUND(Bunuri_lab_nomenc[[#This Row],[Cost unitate GFATM_valuta]]*VLOOKUP(Bunuri_lab_nomenc[[#This Row],[Valuta cost GFATM]],$B$58:$D$59,2,0),2),0)</f>
        <v>0</v>
      </c>
      <c r="S155" s="417" t="str">
        <f>IFERROR(VLOOKUP(Bunuri_lab_nomenc[[#This Row],[Denumire catalog GDF]],GDF_price_list[[Product Name]:[Column1]],8,0),"")</f>
        <v/>
      </c>
      <c r="T155" s="417" t="e">
        <f>VLOOKUP(Bunuri_lab_nomenc[[#This Row],[Denumire catalog GDF]],GDF_price_list[[Product Name]:[Column1]],7,0)</f>
        <v>#N/A</v>
      </c>
      <c r="V155" s="786" t="s">
        <v>740</v>
      </c>
      <c r="W155" s="738" t="s">
        <v>741</v>
      </c>
      <c r="X155" s="765">
        <v>106472</v>
      </c>
      <c r="Y155" s="763" t="s">
        <v>1197</v>
      </c>
      <c r="Z155" s="759" t="s">
        <v>610</v>
      </c>
      <c r="AA155" s="742" t="s">
        <v>1802</v>
      </c>
      <c r="AB155" s="764">
        <v>1</v>
      </c>
      <c r="AC155" s="747" t="s">
        <v>1198</v>
      </c>
      <c r="AD155" s="761">
        <v>931.93814999999995</v>
      </c>
      <c r="AE155" s="791" t="s">
        <v>435</v>
      </c>
      <c r="AF155">
        <f>GDF_price_list[[#This Row],[Indicative 
FCA Price]]/GDF_price_list[[#This Row],[Unit]]</f>
        <v>931.93814999999995</v>
      </c>
    </row>
    <row r="156" spans="12:32" ht="51">
      <c r="L156" s="416"/>
      <c r="M156" s="416"/>
      <c r="N156" s="416"/>
      <c r="O156" s="439"/>
      <c r="P156" s="417"/>
      <c r="Q156" s="417"/>
      <c r="R156" s="417">
        <f>IFERROR(ROUND(Bunuri_lab_nomenc[[#This Row],[Cost unitate GFATM_valuta]]*VLOOKUP(Bunuri_lab_nomenc[[#This Row],[Valuta cost GFATM]],$B$58:$D$59,2,0),2),0)</f>
        <v>0</v>
      </c>
      <c r="S156" s="417" t="str">
        <f>IFERROR(VLOOKUP(Bunuri_lab_nomenc[[#This Row],[Denumire catalog GDF]],GDF_price_list[[Product Name]:[Column1]],8,0),"")</f>
        <v/>
      </c>
      <c r="T156" s="417" t="e">
        <f>VLOOKUP(Bunuri_lab_nomenc[[#This Row],[Denumire catalog GDF]],GDF_price_list[[Product Name]:[Column1]],7,0)</f>
        <v>#N/A</v>
      </c>
      <c r="V156" s="786" t="s">
        <v>740</v>
      </c>
      <c r="W156" s="738" t="s">
        <v>750</v>
      </c>
      <c r="X156" s="765">
        <v>106472</v>
      </c>
      <c r="Y156" s="763" t="s">
        <v>1197</v>
      </c>
      <c r="Z156" s="759" t="s">
        <v>610</v>
      </c>
      <c r="AA156" s="742" t="s">
        <v>1802</v>
      </c>
      <c r="AB156" s="764">
        <v>1</v>
      </c>
      <c r="AC156" s="747" t="s">
        <v>1199</v>
      </c>
      <c r="AD156" s="761">
        <v>931.93814999999995</v>
      </c>
      <c r="AE156" s="791" t="s">
        <v>435</v>
      </c>
      <c r="AF156">
        <f>GDF_price_list[[#This Row],[Indicative 
FCA Price]]/GDF_price_list[[#This Row],[Unit]]</f>
        <v>931.93814999999995</v>
      </c>
    </row>
    <row r="157" spans="12:32" ht="68">
      <c r="L157" s="416"/>
      <c r="M157" s="416"/>
      <c r="N157" s="416"/>
      <c r="O157" s="439"/>
      <c r="P157" s="417"/>
      <c r="Q157" s="417"/>
      <c r="R157" s="417">
        <f>IFERROR(ROUND(Bunuri_lab_nomenc[[#This Row],[Cost unitate GFATM_valuta]]*VLOOKUP(Bunuri_lab_nomenc[[#This Row],[Valuta cost GFATM]],$B$58:$D$59,2,0),2),0)</f>
        <v>0</v>
      </c>
      <c r="S157" s="417" t="str">
        <f>IFERROR(VLOOKUP(Bunuri_lab_nomenc[[#This Row],[Denumire catalog GDF]],GDF_price_list[[Product Name]:[Column1]],8,0),"")</f>
        <v/>
      </c>
      <c r="T157" s="417" t="e">
        <f>VLOOKUP(Bunuri_lab_nomenc[[#This Row],[Denumire catalog GDF]],GDF_price_list[[Product Name]:[Column1]],7,0)</f>
        <v>#N/A</v>
      </c>
      <c r="V157" s="786" t="s">
        <v>718</v>
      </c>
      <c r="W157" s="738" t="s">
        <v>798</v>
      </c>
      <c r="X157" s="745">
        <v>106088</v>
      </c>
      <c r="Y157" s="740" t="s">
        <v>1206</v>
      </c>
      <c r="Z157" s="742" t="s">
        <v>610</v>
      </c>
      <c r="AA157" s="742" t="s">
        <v>1802</v>
      </c>
      <c r="AB157" s="746">
        <v>1</v>
      </c>
      <c r="AC157" s="743" t="s">
        <v>1207</v>
      </c>
      <c r="AD157" s="744">
        <v>12.25</v>
      </c>
      <c r="AE157" s="787" t="s">
        <v>435</v>
      </c>
      <c r="AF157">
        <f>GDF_price_list[[#This Row],[Indicative 
FCA Price]]/GDF_price_list[[#This Row],[Unit]]</f>
        <v>12.25</v>
      </c>
    </row>
    <row r="158" spans="12:32" ht="17">
      <c r="L158" s="416"/>
      <c r="M158" s="416"/>
      <c r="N158" s="416"/>
      <c r="O158" s="439"/>
      <c r="P158" s="417"/>
      <c r="Q158" s="417"/>
      <c r="R158" s="417">
        <f>IFERROR(ROUND(Bunuri_lab_nomenc[[#This Row],[Cost unitate GFATM_valuta]]*VLOOKUP(Bunuri_lab_nomenc[[#This Row],[Valuta cost GFATM]],$B$58:$D$59,2,0),2),0)</f>
        <v>0</v>
      </c>
      <c r="S158" s="417" t="str">
        <f>IFERROR(VLOOKUP(Bunuri_lab_nomenc[[#This Row],[Denumire catalog GDF]],GDF_price_list[[Product Name]:[Column1]],8,0),"")</f>
        <v/>
      </c>
      <c r="T158" s="417" t="e">
        <f>VLOOKUP(Bunuri_lab_nomenc[[#This Row],[Denumire catalog GDF]],GDF_price_list[[Product Name]:[Column1]],7,0)</f>
        <v>#N/A</v>
      </c>
      <c r="V158" s="786" t="s">
        <v>718</v>
      </c>
      <c r="W158" s="738" t="s">
        <v>798</v>
      </c>
      <c r="X158" s="745">
        <v>106111</v>
      </c>
      <c r="Y158" s="740" t="s">
        <v>1208</v>
      </c>
      <c r="Z158" s="742" t="s">
        <v>610</v>
      </c>
      <c r="AA158" s="742" t="s">
        <v>1802</v>
      </c>
      <c r="AB158" s="746">
        <v>1</v>
      </c>
      <c r="AC158" s="743" t="s">
        <v>1209</v>
      </c>
      <c r="AD158" s="744">
        <v>7</v>
      </c>
      <c r="AE158" s="787" t="s">
        <v>435</v>
      </c>
      <c r="AF158">
        <f>GDF_price_list[[#This Row],[Indicative 
FCA Price]]/GDF_price_list[[#This Row],[Unit]]</f>
        <v>7</v>
      </c>
    </row>
    <row r="159" spans="12:32" ht="17">
      <c r="L159" s="416"/>
      <c r="M159" s="416"/>
      <c r="N159" s="416"/>
      <c r="O159" s="439"/>
      <c r="P159" s="417"/>
      <c r="Q159" s="417"/>
      <c r="R159" s="417">
        <f>IFERROR(ROUND(Bunuri_lab_nomenc[[#This Row],[Cost unitate GFATM_valuta]]*VLOOKUP(Bunuri_lab_nomenc[[#This Row],[Valuta cost GFATM]],$B$58:$D$59,2,0),2),0)</f>
        <v>0</v>
      </c>
      <c r="S159" s="417" t="str">
        <f>IFERROR(VLOOKUP(Bunuri_lab_nomenc[[#This Row],[Denumire catalog GDF]],GDF_price_list[[Product Name]:[Column1]],8,0),"")</f>
        <v/>
      </c>
      <c r="T159" s="417" t="e">
        <f>VLOOKUP(Bunuri_lab_nomenc[[#This Row],[Denumire catalog GDF]],GDF_price_list[[Product Name]:[Column1]],7,0)</f>
        <v>#N/A</v>
      </c>
      <c r="V159" s="786" t="s">
        <v>666</v>
      </c>
      <c r="W159" s="738" t="s">
        <v>793</v>
      </c>
      <c r="X159" s="745">
        <v>106235</v>
      </c>
      <c r="Y159" s="740" t="s">
        <v>1210</v>
      </c>
      <c r="Z159" s="742" t="s">
        <v>610</v>
      </c>
      <c r="AA159" s="742" t="s">
        <v>1802</v>
      </c>
      <c r="AB159" s="746">
        <v>1</v>
      </c>
      <c r="AC159" s="743" t="s">
        <v>1211</v>
      </c>
      <c r="AD159" s="744">
        <v>38.950000000000003</v>
      </c>
      <c r="AE159" s="787" t="s">
        <v>435</v>
      </c>
      <c r="AF159">
        <f>GDF_price_list[[#This Row],[Indicative 
FCA Price]]/GDF_price_list[[#This Row],[Unit]]</f>
        <v>38.950000000000003</v>
      </c>
    </row>
    <row r="160" spans="12:32" ht="17">
      <c r="L160" s="416"/>
      <c r="M160" s="416"/>
      <c r="N160" s="416"/>
      <c r="O160" s="439"/>
      <c r="P160" s="417"/>
      <c r="Q160" s="417"/>
      <c r="R160" s="417">
        <f>IFERROR(ROUND(Bunuri_lab_nomenc[[#This Row],[Cost unitate GFATM_valuta]]*VLOOKUP(Bunuri_lab_nomenc[[#This Row],[Valuta cost GFATM]],$B$58:$D$59,2,0),2),0)</f>
        <v>0</v>
      </c>
      <c r="S160" s="417" t="str">
        <f>IFERROR(VLOOKUP(Bunuri_lab_nomenc[[#This Row],[Denumire catalog GDF]],GDF_price_list[[Product Name]:[Column1]],8,0),"")</f>
        <v/>
      </c>
      <c r="T160" s="417" t="e">
        <f>VLOOKUP(Bunuri_lab_nomenc[[#This Row],[Denumire catalog GDF]],GDF_price_list[[Product Name]:[Column1]],7,0)</f>
        <v>#N/A</v>
      </c>
      <c r="V160" s="786" t="s">
        <v>666</v>
      </c>
      <c r="W160" s="738" t="s">
        <v>793</v>
      </c>
      <c r="X160" s="745">
        <v>106234</v>
      </c>
      <c r="Y160" s="740" t="s">
        <v>1212</v>
      </c>
      <c r="Z160" s="742" t="s">
        <v>610</v>
      </c>
      <c r="AA160" s="742" t="s">
        <v>1802</v>
      </c>
      <c r="AB160" s="746">
        <v>1</v>
      </c>
      <c r="AC160" s="743" t="s">
        <v>1213</v>
      </c>
      <c r="AD160" s="744">
        <v>0.82</v>
      </c>
      <c r="AE160" s="787" t="s">
        <v>435</v>
      </c>
      <c r="AF160">
        <f>GDF_price_list[[#This Row],[Indicative 
FCA Price]]/GDF_price_list[[#This Row],[Unit]]</f>
        <v>0.82</v>
      </c>
    </row>
    <row r="161" spans="12:32" ht="68">
      <c r="L161" s="416"/>
      <c r="M161" s="416"/>
      <c r="N161" s="416"/>
      <c r="O161" s="439"/>
      <c r="P161" s="417"/>
      <c r="Q161" s="417"/>
      <c r="R161" s="417">
        <f>IFERROR(ROUND(Bunuri_lab_nomenc[[#This Row],[Cost unitate GFATM_valuta]]*VLOOKUP(Bunuri_lab_nomenc[[#This Row],[Valuta cost GFATM]],$B$58:$D$59,2,0),2),0)</f>
        <v>0</v>
      </c>
      <c r="S161" s="417" t="str">
        <f>IFERROR(VLOOKUP(Bunuri_lab_nomenc[[#This Row],[Denumire catalog GDF]],GDF_price_list[[Product Name]:[Column1]],8,0),"")</f>
        <v/>
      </c>
      <c r="T161" s="417" t="e">
        <f>VLOOKUP(Bunuri_lab_nomenc[[#This Row],[Denumire catalog GDF]],GDF_price_list[[Product Name]:[Column1]],7,0)</f>
        <v>#N/A</v>
      </c>
      <c r="V161" s="786" t="s">
        <v>718</v>
      </c>
      <c r="W161" s="738" t="s">
        <v>719</v>
      </c>
      <c r="X161" s="745">
        <v>106138</v>
      </c>
      <c r="Y161" s="740" t="s">
        <v>1214</v>
      </c>
      <c r="Z161" s="742" t="s">
        <v>610</v>
      </c>
      <c r="AA161" s="742" t="s">
        <v>1802</v>
      </c>
      <c r="AB161" s="746">
        <v>1</v>
      </c>
      <c r="AC161" s="743" t="s">
        <v>1215</v>
      </c>
      <c r="AD161" s="744">
        <v>4931</v>
      </c>
      <c r="AE161" s="787" t="s">
        <v>435</v>
      </c>
      <c r="AF161">
        <f>GDF_price_list[[#This Row],[Indicative 
FCA Price]]/GDF_price_list[[#This Row],[Unit]]</f>
        <v>4931</v>
      </c>
    </row>
    <row r="162" spans="12:32" ht="68">
      <c r="L162" s="416"/>
      <c r="M162" s="416"/>
      <c r="N162" s="416"/>
      <c r="O162" s="439"/>
      <c r="P162" s="417"/>
      <c r="Q162" s="417"/>
      <c r="R162" s="417">
        <f>IFERROR(ROUND(Bunuri_lab_nomenc[[#This Row],[Cost unitate GFATM_valuta]]*VLOOKUP(Bunuri_lab_nomenc[[#This Row],[Valuta cost GFATM]],$B$58:$D$59,2,0),2),0)</f>
        <v>0</v>
      </c>
      <c r="S162" s="417" t="str">
        <f>IFERROR(VLOOKUP(Bunuri_lab_nomenc[[#This Row],[Denumire catalog GDF]],GDF_price_list[[Product Name]:[Column1]],8,0),"")</f>
        <v/>
      </c>
      <c r="T162" s="417" t="e">
        <f>VLOOKUP(Bunuri_lab_nomenc[[#This Row],[Denumire catalog GDF]],GDF_price_list[[Product Name]:[Column1]],7,0)</f>
        <v>#N/A</v>
      </c>
      <c r="V162" s="786" t="s">
        <v>621</v>
      </c>
      <c r="W162" s="738" t="s">
        <v>701</v>
      </c>
      <c r="X162" s="757">
        <v>106490</v>
      </c>
      <c r="Y162" s="763" t="s">
        <v>1216</v>
      </c>
      <c r="Z162" s="759" t="s">
        <v>610</v>
      </c>
      <c r="AA162" s="742" t="s">
        <v>1802</v>
      </c>
      <c r="AB162" s="759">
        <v>1</v>
      </c>
      <c r="AC162" s="747" t="s">
        <v>1217</v>
      </c>
      <c r="AD162" s="761">
        <v>900</v>
      </c>
      <c r="AE162" s="790" t="s">
        <v>435</v>
      </c>
      <c r="AF162">
        <f>GDF_price_list[[#This Row],[Indicative 
FCA Price]]/GDF_price_list[[#This Row],[Unit]]</f>
        <v>900</v>
      </c>
    </row>
    <row r="163" spans="12:32" ht="68">
      <c r="L163" s="416"/>
      <c r="M163" s="416"/>
      <c r="N163" s="416"/>
      <c r="O163" s="439"/>
      <c r="P163" s="417"/>
      <c r="Q163" s="417"/>
      <c r="R163" s="417">
        <f>IFERROR(ROUND(Bunuri_lab_nomenc[[#This Row],[Cost unitate GFATM_valuta]]*VLOOKUP(Bunuri_lab_nomenc[[#This Row],[Valuta cost GFATM]],$B$58:$D$59,2,0),2),0)</f>
        <v>0</v>
      </c>
      <c r="S163" s="417" t="str">
        <f>IFERROR(VLOOKUP(Bunuri_lab_nomenc[[#This Row],[Denumire catalog GDF]],GDF_price_list[[Product Name]:[Column1]],8,0),"")</f>
        <v/>
      </c>
      <c r="T163" s="417" t="e">
        <f>VLOOKUP(Bunuri_lab_nomenc[[#This Row],[Denumire catalog GDF]],GDF_price_list[[Product Name]:[Column1]],7,0)</f>
        <v>#N/A</v>
      </c>
      <c r="V163" s="786" t="s">
        <v>621</v>
      </c>
      <c r="W163" s="738" t="s">
        <v>701</v>
      </c>
      <c r="X163" s="757">
        <v>106490</v>
      </c>
      <c r="Y163" s="763" t="s">
        <v>1216</v>
      </c>
      <c r="Z163" s="759" t="s">
        <v>610</v>
      </c>
      <c r="AA163" s="742" t="s">
        <v>1802</v>
      </c>
      <c r="AB163" s="759">
        <v>1</v>
      </c>
      <c r="AC163" s="747" t="s">
        <v>1217</v>
      </c>
      <c r="AD163" s="761">
        <v>900</v>
      </c>
      <c r="AE163" s="790" t="s">
        <v>435</v>
      </c>
      <c r="AF163">
        <f>GDF_price_list[[#This Row],[Indicative 
FCA Price]]/GDF_price_list[[#This Row],[Unit]]</f>
        <v>900</v>
      </c>
    </row>
    <row r="164" spans="12:32" ht="68">
      <c r="L164" s="416"/>
      <c r="M164" s="416"/>
      <c r="N164" s="416"/>
      <c r="O164" s="439"/>
      <c r="P164" s="417"/>
      <c r="Q164" s="417"/>
      <c r="R164" s="417">
        <f>IFERROR(ROUND(Bunuri_lab_nomenc[[#This Row],[Cost unitate GFATM_valuta]]*VLOOKUP(Bunuri_lab_nomenc[[#This Row],[Valuta cost GFATM]],$B$58:$D$59,2,0),2),0)</f>
        <v>0</v>
      </c>
      <c r="S164" s="417" t="str">
        <f>IFERROR(VLOOKUP(Bunuri_lab_nomenc[[#This Row],[Denumire catalog GDF]],GDF_price_list[[Product Name]:[Column1]],8,0),"")</f>
        <v/>
      </c>
      <c r="T164" s="417" t="e">
        <f>VLOOKUP(Bunuri_lab_nomenc[[#This Row],[Denumire catalog GDF]],GDF_price_list[[Product Name]:[Column1]],7,0)</f>
        <v>#N/A</v>
      </c>
      <c r="V164" s="786" t="s">
        <v>621</v>
      </c>
      <c r="W164" s="738" t="s">
        <v>701</v>
      </c>
      <c r="X164" s="757">
        <v>106490</v>
      </c>
      <c r="Y164" s="763" t="s">
        <v>1216</v>
      </c>
      <c r="Z164" s="759" t="s">
        <v>610</v>
      </c>
      <c r="AA164" s="742" t="s">
        <v>1802</v>
      </c>
      <c r="AB164" s="759">
        <v>1</v>
      </c>
      <c r="AC164" s="747" t="s">
        <v>1217</v>
      </c>
      <c r="AD164" s="761">
        <v>900</v>
      </c>
      <c r="AE164" s="791" t="s">
        <v>435</v>
      </c>
      <c r="AF164">
        <f>GDF_price_list[[#This Row],[Indicative 
FCA Price]]/GDF_price_list[[#This Row],[Unit]]</f>
        <v>900</v>
      </c>
    </row>
    <row r="165" spans="12:32" ht="68">
      <c r="L165" s="416"/>
      <c r="M165" s="416"/>
      <c r="N165" s="416"/>
      <c r="O165" s="439"/>
      <c r="P165" s="417"/>
      <c r="Q165" s="417"/>
      <c r="R165" s="417">
        <f>IFERROR(ROUND(Bunuri_lab_nomenc[[#This Row],[Cost unitate GFATM_valuta]]*VLOOKUP(Bunuri_lab_nomenc[[#This Row],[Valuta cost GFATM]],$B$58:$D$59,2,0),2),0)</f>
        <v>0</v>
      </c>
      <c r="S165" s="417" t="str">
        <f>IFERROR(VLOOKUP(Bunuri_lab_nomenc[[#This Row],[Denumire catalog GDF]],GDF_price_list[[Product Name]:[Column1]],8,0),"")</f>
        <v/>
      </c>
      <c r="T165" s="417" t="e">
        <f>VLOOKUP(Bunuri_lab_nomenc[[#This Row],[Denumire catalog GDF]],GDF_price_list[[Product Name]:[Column1]],7,0)</f>
        <v>#N/A</v>
      </c>
      <c r="V165" s="786" t="s">
        <v>621</v>
      </c>
      <c r="W165" s="738" t="s">
        <v>701</v>
      </c>
      <c r="X165" s="757">
        <v>106490</v>
      </c>
      <c r="Y165" s="763" t="s">
        <v>1216</v>
      </c>
      <c r="Z165" s="759" t="s">
        <v>610</v>
      </c>
      <c r="AA165" s="742" t="s">
        <v>1802</v>
      </c>
      <c r="AB165" s="759">
        <v>1</v>
      </c>
      <c r="AC165" s="747" t="s">
        <v>1217</v>
      </c>
      <c r="AD165" s="761">
        <v>900</v>
      </c>
      <c r="AE165" s="791" t="s">
        <v>435</v>
      </c>
      <c r="AF165">
        <f>GDF_price_list[[#This Row],[Indicative 
FCA Price]]/GDF_price_list[[#This Row],[Unit]]</f>
        <v>900</v>
      </c>
    </row>
    <row r="166" spans="12:32" ht="102">
      <c r="L166" s="416"/>
      <c r="M166" s="416"/>
      <c r="N166" s="416"/>
      <c r="O166" s="439"/>
      <c r="P166" s="417"/>
      <c r="Q166" s="417"/>
      <c r="R166" s="417">
        <f>IFERROR(ROUND(Bunuri_lab_nomenc[[#This Row],[Cost unitate GFATM_valuta]]*VLOOKUP(Bunuri_lab_nomenc[[#This Row],[Valuta cost GFATM]],$B$58:$D$59,2,0),2),0)</f>
        <v>0</v>
      </c>
      <c r="S166" s="417" t="str">
        <f>IFERROR(VLOOKUP(Bunuri_lab_nomenc[[#This Row],[Denumire catalog GDF]],GDF_price_list[[Product Name]:[Column1]],8,0),"")</f>
        <v/>
      </c>
      <c r="T166" s="417" t="e">
        <f>VLOOKUP(Bunuri_lab_nomenc[[#This Row],[Denumire catalog GDF]],GDF_price_list[[Product Name]:[Column1]],7,0)</f>
        <v>#N/A</v>
      </c>
      <c r="V166" s="786" t="s">
        <v>740</v>
      </c>
      <c r="W166" s="738" t="s">
        <v>741</v>
      </c>
      <c r="X166" s="779">
        <v>106489</v>
      </c>
      <c r="Y166" s="763" t="s">
        <v>1218</v>
      </c>
      <c r="Z166" s="759" t="s">
        <v>610</v>
      </c>
      <c r="AA166" s="742" t="s">
        <v>1802</v>
      </c>
      <c r="AB166" s="764">
        <v>1</v>
      </c>
      <c r="AC166" s="747" t="s">
        <v>1219</v>
      </c>
      <c r="AD166" s="761">
        <v>900</v>
      </c>
      <c r="AE166" s="791" t="s">
        <v>435</v>
      </c>
      <c r="AF166">
        <f>GDF_price_list[[#This Row],[Indicative 
FCA Price]]/GDF_price_list[[#This Row],[Unit]]</f>
        <v>900</v>
      </c>
    </row>
    <row r="167" spans="12:32" ht="85">
      <c r="L167" s="416"/>
      <c r="M167" s="416"/>
      <c r="N167" s="416"/>
      <c r="O167" s="439"/>
      <c r="P167" s="417"/>
      <c r="Q167" s="417"/>
      <c r="R167" s="417">
        <f>IFERROR(ROUND(Bunuri_lab_nomenc[[#This Row],[Cost unitate GFATM_valuta]]*VLOOKUP(Bunuri_lab_nomenc[[#This Row],[Valuta cost GFATM]],$B$58:$D$59,2,0),2),0)</f>
        <v>0</v>
      </c>
      <c r="S167" s="417" t="str">
        <f>IFERROR(VLOOKUP(Bunuri_lab_nomenc[[#This Row],[Denumire catalog GDF]],GDF_price_list[[Product Name]:[Column1]],8,0),"")</f>
        <v/>
      </c>
      <c r="T167" s="417" t="e">
        <f>VLOOKUP(Bunuri_lab_nomenc[[#This Row],[Denumire catalog GDF]],GDF_price_list[[Product Name]:[Column1]],7,0)</f>
        <v>#N/A</v>
      </c>
      <c r="V167" s="786" t="s">
        <v>740</v>
      </c>
      <c r="W167" s="738" t="s">
        <v>750</v>
      </c>
      <c r="X167" s="779">
        <v>106489</v>
      </c>
      <c r="Y167" s="763" t="s">
        <v>1218</v>
      </c>
      <c r="Z167" s="759" t="s">
        <v>610</v>
      </c>
      <c r="AA167" s="742" t="s">
        <v>1802</v>
      </c>
      <c r="AB167" s="764">
        <v>1</v>
      </c>
      <c r="AC167" s="747" t="s">
        <v>1220</v>
      </c>
      <c r="AD167" s="780">
        <v>900</v>
      </c>
      <c r="AE167" s="791" t="s">
        <v>435</v>
      </c>
      <c r="AF167">
        <f>GDF_price_list[[#This Row],[Indicative 
FCA Price]]/GDF_price_list[[#This Row],[Unit]]</f>
        <v>900</v>
      </c>
    </row>
    <row r="168" spans="12:32" ht="119">
      <c r="L168" s="416"/>
      <c r="M168" s="416"/>
      <c r="N168" s="416"/>
      <c r="O168" s="439"/>
      <c r="P168" s="417"/>
      <c r="Q168" s="417"/>
      <c r="R168" s="417">
        <f>IFERROR(ROUND(Bunuri_lab_nomenc[[#This Row],[Cost unitate GFATM_valuta]]*VLOOKUP(Bunuri_lab_nomenc[[#This Row],[Valuta cost GFATM]],$B$58:$D$59,2,0),2),0)</f>
        <v>0</v>
      </c>
      <c r="S168" s="417" t="str">
        <f>IFERROR(VLOOKUP(Bunuri_lab_nomenc[[#This Row],[Denumire catalog GDF]],GDF_price_list[[Product Name]:[Column1]],8,0),"")</f>
        <v/>
      </c>
      <c r="T168" s="417" t="e">
        <f>VLOOKUP(Bunuri_lab_nomenc[[#This Row],[Denumire catalog GDF]],GDF_price_list[[Product Name]:[Column1]],7,0)</f>
        <v>#N/A</v>
      </c>
      <c r="V168" s="786" t="s">
        <v>612</v>
      </c>
      <c r="W168" s="738" t="s">
        <v>1221</v>
      </c>
      <c r="X168" s="745">
        <v>106637</v>
      </c>
      <c r="Y168" s="740" t="s">
        <v>1222</v>
      </c>
      <c r="Z168" s="742" t="s">
        <v>1188</v>
      </c>
      <c r="AA168" s="742" t="s">
        <v>1802</v>
      </c>
      <c r="AB168" s="742">
        <v>1</v>
      </c>
      <c r="AC168" s="743" t="s">
        <v>1223</v>
      </c>
      <c r="AD168" s="744">
        <v>1424.5</v>
      </c>
      <c r="AE168" s="790" t="s">
        <v>435</v>
      </c>
      <c r="AF168">
        <f>GDF_price_list[[#This Row],[Indicative 
FCA Price]]/GDF_price_list[[#This Row],[Unit]]</f>
        <v>1424.5</v>
      </c>
    </row>
    <row r="169" spans="12:32" ht="51">
      <c r="L169" s="416"/>
      <c r="M169" s="416"/>
      <c r="N169" s="416"/>
      <c r="O169" s="439"/>
      <c r="P169" s="417"/>
      <c r="Q169" s="417"/>
      <c r="R169" s="417">
        <f>IFERROR(ROUND(Bunuri_lab_nomenc[[#This Row],[Cost unitate GFATM_valuta]]*VLOOKUP(Bunuri_lab_nomenc[[#This Row],[Valuta cost GFATM]],$B$58:$D$59,2,0),2),0)</f>
        <v>0</v>
      </c>
      <c r="S169" s="417" t="str">
        <f>IFERROR(VLOOKUP(Bunuri_lab_nomenc[[#This Row],[Denumire catalog GDF]],GDF_price_list[[Product Name]:[Column1]],8,0),"")</f>
        <v/>
      </c>
      <c r="T169" s="417" t="e">
        <f>VLOOKUP(Bunuri_lab_nomenc[[#This Row],[Denumire catalog GDF]],GDF_price_list[[Product Name]:[Column1]],7,0)</f>
        <v>#N/A</v>
      </c>
      <c r="V169" s="786" t="s">
        <v>621</v>
      </c>
      <c r="W169" s="738" t="s">
        <v>682</v>
      </c>
      <c r="X169" s="745">
        <v>106124</v>
      </c>
      <c r="Y169" s="740" t="s">
        <v>1224</v>
      </c>
      <c r="Z169" s="742" t="s">
        <v>610</v>
      </c>
      <c r="AA169" s="742" t="s">
        <v>1802</v>
      </c>
      <c r="AB169" s="746">
        <v>1</v>
      </c>
      <c r="AC169" s="747" t="s">
        <v>1225</v>
      </c>
      <c r="AD169" s="744">
        <v>616.67999999999995</v>
      </c>
      <c r="AE169" s="787" t="s">
        <v>435</v>
      </c>
      <c r="AF169">
        <f>GDF_price_list[[#This Row],[Indicative 
FCA Price]]/GDF_price_list[[#This Row],[Unit]]</f>
        <v>616.67999999999995</v>
      </c>
    </row>
    <row r="170" spans="12:32" ht="34">
      <c r="L170" s="416"/>
      <c r="M170" s="416"/>
      <c r="N170" s="416"/>
      <c r="O170" s="439"/>
      <c r="P170" s="417"/>
      <c r="Q170" s="417"/>
      <c r="R170" s="417">
        <f>IFERROR(ROUND(Bunuri_lab_nomenc[[#This Row],[Cost unitate GFATM_valuta]]*VLOOKUP(Bunuri_lab_nomenc[[#This Row],[Valuta cost GFATM]],$B$58:$D$59,2,0),2),0)</f>
        <v>0</v>
      </c>
      <c r="S170" s="417" t="str">
        <f>IFERROR(VLOOKUP(Bunuri_lab_nomenc[[#This Row],[Denumire catalog GDF]],GDF_price_list[[Product Name]:[Column1]],8,0),"")</f>
        <v/>
      </c>
      <c r="T170" s="417" t="e">
        <f>VLOOKUP(Bunuri_lab_nomenc[[#This Row],[Denumire catalog GDF]],GDF_price_list[[Product Name]:[Column1]],7,0)</f>
        <v>#N/A</v>
      </c>
      <c r="V170" s="786" t="s">
        <v>621</v>
      </c>
      <c r="W170" s="738" t="s">
        <v>682</v>
      </c>
      <c r="X170" s="745">
        <v>106126</v>
      </c>
      <c r="Y170" s="740" t="s">
        <v>1226</v>
      </c>
      <c r="Z170" s="742" t="s">
        <v>610</v>
      </c>
      <c r="AA170" s="742" t="s">
        <v>1802</v>
      </c>
      <c r="AB170" s="746">
        <v>1</v>
      </c>
      <c r="AC170" s="747" t="s">
        <v>1227</v>
      </c>
      <c r="AD170" s="744">
        <v>17.760000000000002</v>
      </c>
      <c r="AE170" s="787" t="s">
        <v>435</v>
      </c>
      <c r="AF170">
        <f>GDF_price_list[[#This Row],[Indicative 
FCA Price]]/GDF_price_list[[#This Row],[Unit]]</f>
        <v>17.760000000000002</v>
      </c>
    </row>
    <row r="171" spans="12:32" ht="34">
      <c r="L171" s="416"/>
      <c r="M171" s="416"/>
      <c r="N171" s="416"/>
      <c r="O171" s="439"/>
      <c r="P171" s="417"/>
      <c r="Q171" s="417"/>
      <c r="R171" s="417">
        <f>IFERROR(ROUND(Bunuri_lab_nomenc[[#This Row],[Cost unitate GFATM_valuta]]*VLOOKUP(Bunuri_lab_nomenc[[#This Row],[Valuta cost GFATM]],$B$58:$D$59,2,0),2),0)</f>
        <v>0</v>
      </c>
      <c r="S171" s="417" t="str">
        <f>IFERROR(VLOOKUP(Bunuri_lab_nomenc[[#This Row],[Denumire catalog GDF]],GDF_price_list[[Product Name]:[Column1]],8,0),"")</f>
        <v/>
      </c>
      <c r="T171" s="417" t="e">
        <f>VLOOKUP(Bunuri_lab_nomenc[[#This Row],[Denumire catalog GDF]],GDF_price_list[[Product Name]:[Column1]],7,0)</f>
        <v>#N/A</v>
      </c>
      <c r="V171" s="786" t="s">
        <v>718</v>
      </c>
      <c r="W171" s="738" t="s">
        <v>719</v>
      </c>
      <c r="X171" s="745">
        <v>106427</v>
      </c>
      <c r="Y171" s="740" t="s">
        <v>1232</v>
      </c>
      <c r="Z171" s="742" t="s">
        <v>610</v>
      </c>
      <c r="AA171" s="742" t="s">
        <v>1802</v>
      </c>
      <c r="AB171" s="746">
        <v>1</v>
      </c>
      <c r="AC171" s="743" t="s">
        <v>1233</v>
      </c>
      <c r="AD171" s="744">
        <v>95.9</v>
      </c>
      <c r="AE171" s="787" t="s">
        <v>435</v>
      </c>
      <c r="AF171">
        <f>GDF_price_list[[#This Row],[Indicative 
FCA Price]]/GDF_price_list[[#This Row],[Unit]]</f>
        <v>95.9</v>
      </c>
    </row>
    <row r="172" spans="12:32" ht="17">
      <c r="L172" s="416"/>
      <c r="M172" s="416"/>
      <c r="N172" s="416"/>
      <c r="O172" s="439"/>
      <c r="P172" s="417"/>
      <c r="Q172" s="417"/>
      <c r="R172" s="417">
        <f>IFERROR(ROUND(Bunuri_lab_nomenc[[#This Row],[Cost unitate GFATM_valuta]]*VLOOKUP(Bunuri_lab_nomenc[[#This Row],[Valuta cost GFATM]],$B$58:$D$59,2,0),2),0)</f>
        <v>0</v>
      </c>
      <c r="S172" s="417" t="str">
        <f>IFERROR(VLOOKUP(Bunuri_lab_nomenc[[#This Row],[Denumire catalog GDF]],GDF_price_list[[Product Name]:[Column1]],8,0),"")</f>
        <v/>
      </c>
      <c r="T172" s="417" t="e">
        <f>VLOOKUP(Bunuri_lab_nomenc[[#This Row],[Denumire catalog GDF]],GDF_price_list[[Product Name]:[Column1]],7,0)</f>
        <v>#N/A</v>
      </c>
      <c r="V172" s="786" t="s">
        <v>718</v>
      </c>
      <c r="W172" s="738" t="s">
        <v>798</v>
      </c>
      <c r="X172" s="739">
        <v>106360</v>
      </c>
      <c r="Y172" s="740" t="s">
        <v>1239</v>
      </c>
      <c r="Z172" s="742" t="s">
        <v>610</v>
      </c>
      <c r="AA172" s="742" t="s">
        <v>1802</v>
      </c>
      <c r="AB172" s="742">
        <v>1</v>
      </c>
      <c r="AC172" s="743" t="s">
        <v>1240</v>
      </c>
      <c r="AD172" s="744">
        <v>84</v>
      </c>
      <c r="AE172" s="787" t="s">
        <v>435</v>
      </c>
      <c r="AF172">
        <f>GDF_price_list[[#This Row],[Indicative 
FCA Price]]/GDF_price_list[[#This Row],[Unit]]</f>
        <v>84</v>
      </c>
    </row>
    <row r="173" spans="12:32" ht="85">
      <c r="L173" s="416"/>
      <c r="M173" s="416"/>
      <c r="N173" s="416"/>
      <c r="O173" s="439"/>
      <c r="P173" s="417"/>
      <c r="Q173" s="417"/>
      <c r="R173" s="417">
        <f>IFERROR(ROUND(Bunuri_lab_nomenc[[#This Row],[Cost unitate GFATM_valuta]]*VLOOKUP(Bunuri_lab_nomenc[[#This Row],[Valuta cost GFATM]],$B$58:$D$59,2,0),2),0)</f>
        <v>0</v>
      </c>
      <c r="S173" s="417" t="str">
        <f>IFERROR(VLOOKUP(Bunuri_lab_nomenc[[#This Row],[Denumire catalog GDF]],GDF_price_list[[Product Name]:[Column1]],8,0),"")</f>
        <v/>
      </c>
      <c r="T173" s="417" t="e">
        <f>VLOOKUP(Bunuri_lab_nomenc[[#This Row],[Denumire catalog GDF]],GDF_price_list[[Product Name]:[Column1]],7,0)</f>
        <v>#N/A</v>
      </c>
      <c r="V173" s="786" t="s">
        <v>718</v>
      </c>
      <c r="W173" s="738" t="s">
        <v>719</v>
      </c>
      <c r="X173" s="745">
        <v>106426</v>
      </c>
      <c r="Y173" s="740" t="s">
        <v>1241</v>
      </c>
      <c r="Z173" s="742" t="s">
        <v>610</v>
      </c>
      <c r="AA173" s="742" t="s">
        <v>1802</v>
      </c>
      <c r="AB173" s="746">
        <v>1</v>
      </c>
      <c r="AC173" s="743" t="s">
        <v>1242</v>
      </c>
      <c r="AD173" s="744">
        <v>355.21</v>
      </c>
      <c r="AE173" s="787" t="s">
        <v>435</v>
      </c>
      <c r="AF173">
        <f>GDF_price_list[[#This Row],[Indicative 
FCA Price]]/GDF_price_list[[#This Row],[Unit]]</f>
        <v>355.21</v>
      </c>
    </row>
    <row r="174" spans="12:32" ht="17">
      <c r="L174" s="416"/>
      <c r="M174" s="416"/>
      <c r="N174" s="416"/>
      <c r="O174" s="439"/>
      <c r="P174" s="417"/>
      <c r="Q174" s="417"/>
      <c r="R174" s="417">
        <f>IFERROR(ROUND(Bunuri_lab_nomenc[[#This Row],[Cost unitate GFATM_valuta]]*VLOOKUP(Bunuri_lab_nomenc[[#This Row],[Valuta cost GFATM]],$B$58:$D$59,2,0),2),0)</f>
        <v>0</v>
      </c>
      <c r="S174" s="417" t="str">
        <f>IFERROR(VLOOKUP(Bunuri_lab_nomenc[[#This Row],[Denumire catalog GDF]],GDF_price_list[[Product Name]:[Column1]],8,0),"")</f>
        <v/>
      </c>
      <c r="T174" s="417" t="e">
        <f>VLOOKUP(Bunuri_lab_nomenc[[#This Row],[Denumire catalog GDF]],GDF_price_list[[Product Name]:[Column1]],7,0)</f>
        <v>#N/A</v>
      </c>
      <c r="V174" s="786" t="s">
        <v>638</v>
      </c>
      <c r="W174" s="738" t="s">
        <v>1243</v>
      </c>
      <c r="X174" s="745">
        <v>106082</v>
      </c>
      <c r="Y174" s="740" t="s">
        <v>1244</v>
      </c>
      <c r="Z174" s="742" t="s">
        <v>610</v>
      </c>
      <c r="AA174" s="742" t="s">
        <v>1802</v>
      </c>
      <c r="AB174" s="746">
        <v>1</v>
      </c>
      <c r="AC174" s="743" t="s">
        <v>1245</v>
      </c>
      <c r="AD174" s="744">
        <v>195.03</v>
      </c>
      <c r="AE174" s="787" t="s">
        <v>435</v>
      </c>
      <c r="AF174">
        <f>GDF_price_list[[#This Row],[Indicative 
FCA Price]]/GDF_price_list[[#This Row],[Unit]]</f>
        <v>195.03</v>
      </c>
    </row>
    <row r="175" spans="12:32" ht="102">
      <c r="L175" s="416"/>
      <c r="M175" s="416"/>
      <c r="N175" s="416"/>
      <c r="O175" s="439"/>
      <c r="P175" s="417"/>
      <c r="Q175" s="417"/>
      <c r="R175" s="417">
        <f>IFERROR(ROUND(Bunuri_lab_nomenc[[#This Row],[Cost unitate GFATM_valuta]]*VLOOKUP(Bunuri_lab_nomenc[[#This Row],[Valuta cost GFATM]],$B$58:$D$59,2,0),2),0)</f>
        <v>0</v>
      </c>
      <c r="S175" s="417" t="str">
        <f>IFERROR(VLOOKUP(Bunuri_lab_nomenc[[#This Row],[Denumire catalog GDF]],GDF_price_list[[Product Name]:[Column1]],8,0),"")</f>
        <v/>
      </c>
      <c r="T175" s="417" t="e">
        <f>VLOOKUP(Bunuri_lab_nomenc[[#This Row],[Denumire catalog GDF]],GDF_price_list[[Product Name]:[Column1]],7,0)</f>
        <v>#N/A</v>
      </c>
      <c r="V175" s="786" t="s">
        <v>718</v>
      </c>
      <c r="W175" s="738" t="s">
        <v>719</v>
      </c>
      <c r="X175" s="739">
        <v>106592</v>
      </c>
      <c r="Y175" s="740" t="s">
        <v>1246</v>
      </c>
      <c r="Z175" s="742" t="s">
        <v>610</v>
      </c>
      <c r="AA175" s="742" t="s">
        <v>1802</v>
      </c>
      <c r="AB175" s="742">
        <v>1</v>
      </c>
      <c r="AC175" s="740" t="s">
        <v>1247</v>
      </c>
      <c r="AD175" s="753">
        <v>11291.28</v>
      </c>
      <c r="AE175" s="790" t="s">
        <v>435</v>
      </c>
      <c r="AF175">
        <f>GDF_price_list[[#This Row],[Indicative 
FCA Price]]/GDF_price_list[[#This Row],[Unit]]</f>
        <v>11291.28</v>
      </c>
    </row>
    <row r="176" spans="12:32" ht="102">
      <c r="L176" s="416"/>
      <c r="M176" s="416"/>
      <c r="N176" s="416"/>
      <c r="O176" s="439"/>
      <c r="P176" s="417"/>
      <c r="Q176" s="417"/>
      <c r="R176" s="417">
        <f>IFERROR(ROUND(Bunuri_lab_nomenc[[#This Row],[Cost unitate GFATM_valuta]]*VLOOKUP(Bunuri_lab_nomenc[[#This Row],[Valuta cost GFATM]],$B$58:$D$59,2,0),2),0)</f>
        <v>0</v>
      </c>
      <c r="S176" s="417" t="str">
        <f>IFERROR(VLOOKUP(Bunuri_lab_nomenc[[#This Row],[Denumire catalog GDF]],GDF_price_list[[Product Name]:[Column1]],8,0),"")</f>
        <v/>
      </c>
      <c r="T176" s="417" t="e">
        <f>VLOOKUP(Bunuri_lab_nomenc[[#This Row],[Denumire catalog GDF]],GDF_price_list[[Product Name]:[Column1]],7,0)</f>
        <v>#N/A</v>
      </c>
      <c r="V176" s="786" t="s">
        <v>718</v>
      </c>
      <c r="W176" s="738" t="s">
        <v>719</v>
      </c>
      <c r="X176" s="745">
        <v>106142</v>
      </c>
      <c r="Y176" s="740" t="s">
        <v>1248</v>
      </c>
      <c r="Z176" s="742" t="s">
        <v>610</v>
      </c>
      <c r="AA176" s="742" t="s">
        <v>1802</v>
      </c>
      <c r="AB176" s="746">
        <v>1</v>
      </c>
      <c r="AC176" s="743" t="s">
        <v>1249</v>
      </c>
      <c r="AD176" s="744">
        <v>11778.32</v>
      </c>
      <c r="AE176" s="787" t="s">
        <v>435</v>
      </c>
      <c r="AF176">
        <f>GDF_price_list[[#This Row],[Indicative 
FCA Price]]/GDF_price_list[[#This Row],[Unit]]</f>
        <v>11778.32</v>
      </c>
    </row>
    <row r="177" spans="12:32" ht="17">
      <c r="L177" s="416"/>
      <c r="M177" s="416"/>
      <c r="N177" s="416"/>
      <c r="O177" s="439"/>
      <c r="P177" s="417"/>
      <c r="Q177" s="417"/>
      <c r="R177" s="417">
        <f>IFERROR(ROUND(Bunuri_lab_nomenc[[#This Row],[Cost unitate GFATM_valuta]]*VLOOKUP(Bunuri_lab_nomenc[[#This Row],[Valuta cost GFATM]],$B$58:$D$59,2,0),2),0)</f>
        <v>0</v>
      </c>
      <c r="S177" s="417" t="str">
        <f>IFERROR(VLOOKUP(Bunuri_lab_nomenc[[#This Row],[Denumire catalog GDF]],GDF_price_list[[Product Name]:[Column1]],8,0),"")</f>
        <v/>
      </c>
      <c r="T177" s="417" t="e">
        <f>VLOOKUP(Bunuri_lab_nomenc[[#This Row],[Denumire catalog GDF]],GDF_price_list[[Product Name]:[Column1]],7,0)</f>
        <v>#N/A</v>
      </c>
      <c r="V177" s="786" t="s">
        <v>718</v>
      </c>
      <c r="W177" s="738" t="s">
        <v>817</v>
      </c>
      <c r="X177" s="745">
        <v>106201</v>
      </c>
      <c r="Y177" s="740" t="s">
        <v>1250</v>
      </c>
      <c r="Z177" s="742" t="s">
        <v>610</v>
      </c>
      <c r="AA177" s="742" t="s">
        <v>1802</v>
      </c>
      <c r="AB177" s="746">
        <v>1</v>
      </c>
      <c r="AC177" s="743" t="s">
        <v>1251</v>
      </c>
      <c r="AD177" s="744">
        <v>77.81</v>
      </c>
      <c r="AE177" s="787" t="s">
        <v>435</v>
      </c>
      <c r="AF177">
        <f>GDF_price_list[[#This Row],[Indicative 
FCA Price]]/GDF_price_list[[#This Row],[Unit]]</f>
        <v>77.81</v>
      </c>
    </row>
    <row r="178" spans="12:32" ht="17">
      <c r="L178" s="416"/>
      <c r="M178" s="416"/>
      <c r="N178" s="416"/>
      <c r="O178" s="439"/>
      <c r="P178" s="417"/>
      <c r="Q178" s="417"/>
      <c r="R178" s="417">
        <f>IFERROR(ROUND(Bunuri_lab_nomenc[[#This Row],[Cost unitate GFATM_valuta]]*VLOOKUP(Bunuri_lab_nomenc[[#This Row],[Valuta cost GFATM]],$B$58:$D$59,2,0),2),0)</f>
        <v>0</v>
      </c>
      <c r="S178" s="417" t="str">
        <f>IFERROR(VLOOKUP(Bunuri_lab_nomenc[[#This Row],[Denumire catalog GDF]],GDF_price_list[[Product Name]:[Column1]],8,0),"")</f>
        <v/>
      </c>
      <c r="T178" s="417" t="e">
        <f>VLOOKUP(Bunuri_lab_nomenc[[#This Row],[Denumire catalog GDF]],GDF_price_list[[Product Name]:[Column1]],7,0)</f>
        <v>#N/A</v>
      </c>
      <c r="V178" s="786" t="s">
        <v>718</v>
      </c>
      <c r="W178" s="738" t="s">
        <v>719</v>
      </c>
      <c r="X178" s="745">
        <v>106424</v>
      </c>
      <c r="Y178" s="754" t="s">
        <v>1252</v>
      </c>
      <c r="Z178" s="742" t="s">
        <v>610</v>
      </c>
      <c r="AA178" s="742" t="s">
        <v>1802</v>
      </c>
      <c r="AB178" s="746">
        <v>1</v>
      </c>
      <c r="AC178" s="743" t="s">
        <v>1253</v>
      </c>
      <c r="AD178" s="744">
        <v>1060.7</v>
      </c>
      <c r="AE178" s="787" t="s">
        <v>435</v>
      </c>
      <c r="AF178">
        <f>GDF_price_list[[#This Row],[Indicative 
FCA Price]]/GDF_price_list[[#This Row],[Unit]]</f>
        <v>1060.7</v>
      </c>
    </row>
    <row r="179" spans="12:32" ht="51">
      <c r="L179" s="416"/>
      <c r="M179" s="416"/>
      <c r="N179" s="416"/>
      <c r="O179" s="439"/>
      <c r="P179" s="417"/>
      <c r="Q179" s="417"/>
      <c r="R179" s="417">
        <f>IFERROR(ROUND(Bunuri_lab_nomenc[[#This Row],[Cost unitate GFATM_valuta]]*VLOOKUP(Bunuri_lab_nomenc[[#This Row],[Valuta cost GFATM]],$B$58:$D$59,2,0),2),0)</f>
        <v>0</v>
      </c>
      <c r="S179" s="417" t="str">
        <f>IFERROR(VLOOKUP(Bunuri_lab_nomenc[[#This Row],[Denumire catalog GDF]],GDF_price_list[[Product Name]:[Column1]],8,0),"")</f>
        <v/>
      </c>
      <c r="T179" s="417" t="e">
        <f>VLOOKUP(Bunuri_lab_nomenc[[#This Row],[Denumire catalog GDF]],GDF_price_list[[Product Name]:[Column1]],7,0)</f>
        <v>#N/A</v>
      </c>
      <c r="V179" s="786" t="s">
        <v>718</v>
      </c>
      <c r="W179" s="738" t="s">
        <v>719</v>
      </c>
      <c r="X179" s="739">
        <v>106099</v>
      </c>
      <c r="Y179" s="740" t="s">
        <v>1256</v>
      </c>
      <c r="Z179" s="742" t="s">
        <v>610</v>
      </c>
      <c r="AA179" s="742" t="s">
        <v>1802</v>
      </c>
      <c r="AB179" s="742">
        <v>1</v>
      </c>
      <c r="AC179" s="743" t="s">
        <v>1257</v>
      </c>
      <c r="AD179" s="744">
        <v>3493.31</v>
      </c>
      <c r="AE179" s="787" t="s">
        <v>435</v>
      </c>
      <c r="AF179">
        <f>GDF_price_list[[#This Row],[Indicative 
FCA Price]]/GDF_price_list[[#This Row],[Unit]]</f>
        <v>3493.31</v>
      </c>
    </row>
    <row r="180" spans="12:32" ht="34">
      <c r="L180" s="416"/>
      <c r="M180" s="416"/>
      <c r="N180" s="416"/>
      <c r="O180" s="439"/>
      <c r="P180" s="417"/>
      <c r="Q180" s="417"/>
      <c r="R180" s="417">
        <f>IFERROR(ROUND(Bunuri_lab_nomenc[[#This Row],[Cost unitate GFATM_valuta]]*VLOOKUP(Bunuri_lab_nomenc[[#This Row],[Valuta cost GFATM]],$B$58:$D$59,2,0),2),0)</f>
        <v>0</v>
      </c>
      <c r="S180" s="417" t="str">
        <f>IFERROR(VLOOKUP(Bunuri_lab_nomenc[[#This Row],[Denumire catalog GDF]],GDF_price_list[[Product Name]:[Column1]],8,0),"")</f>
        <v/>
      </c>
      <c r="T180" s="417" t="e">
        <f>VLOOKUP(Bunuri_lab_nomenc[[#This Row],[Denumire catalog GDF]],GDF_price_list[[Product Name]:[Column1]],7,0)</f>
        <v>#N/A</v>
      </c>
      <c r="V180" s="786" t="s">
        <v>718</v>
      </c>
      <c r="W180" s="738" t="s">
        <v>719</v>
      </c>
      <c r="X180" s="739">
        <v>106257</v>
      </c>
      <c r="Y180" s="754" t="s">
        <v>1258</v>
      </c>
      <c r="Z180" s="742" t="s">
        <v>610</v>
      </c>
      <c r="AA180" s="742" t="s">
        <v>1802</v>
      </c>
      <c r="AB180" s="742">
        <v>1</v>
      </c>
      <c r="AC180" s="743" t="s">
        <v>1259</v>
      </c>
      <c r="AD180" s="744">
        <v>1031.29</v>
      </c>
      <c r="AE180" s="787" t="s">
        <v>435</v>
      </c>
      <c r="AF180">
        <f>GDF_price_list[[#This Row],[Indicative 
FCA Price]]/GDF_price_list[[#This Row],[Unit]]</f>
        <v>1031.29</v>
      </c>
    </row>
    <row r="181" spans="12:32" ht="17">
      <c r="L181" s="416"/>
      <c r="M181" s="416"/>
      <c r="N181" s="416"/>
      <c r="O181" s="439"/>
      <c r="P181" s="417"/>
      <c r="Q181" s="417"/>
      <c r="R181" s="417">
        <f>IFERROR(ROUND(Bunuri_lab_nomenc[[#This Row],[Cost unitate GFATM_valuta]]*VLOOKUP(Bunuri_lab_nomenc[[#This Row],[Valuta cost GFATM]],$B$58:$D$59,2,0),2),0)</f>
        <v>0</v>
      </c>
      <c r="S181" s="417" t="str">
        <f>IFERROR(VLOOKUP(Bunuri_lab_nomenc[[#This Row],[Denumire catalog GDF]],GDF_price_list[[Product Name]:[Column1]],8,0),"")</f>
        <v/>
      </c>
      <c r="T181" s="417" t="e">
        <f>VLOOKUP(Bunuri_lab_nomenc[[#This Row],[Denumire catalog GDF]],GDF_price_list[[Product Name]:[Column1]],7,0)</f>
        <v>#N/A</v>
      </c>
      <c r="V181" s="786" t="s">
        <v>718</v>
      </c>
      <c r="W181" s="738" t="s">
        <v>719</v>
      </c>
      <c r="X181" s="745">
        <v>106140</v>
      </c>
      <c r="Y181" s="754" t="s">
        <v>1260</v>
      </c>
      <c r="Z181" s="742" t="s">
        <v>610</v>
      </c>
      <c r="AA181" s="742" t="s">
        <v>1802</v>
      </c>
      <c r="AB181" s="746">
        <v>1</v>
      </c>
      <c r="AC181" s="743" t="s">
        <v>1261</v>
      </c>
      <c r="AD181" s="744">
        <v>1295.8599999999999</v>
      </c>
      <c r="AE181" s="787" t="s">
        <v>435</v>
      </c>
      <c r="AF181">
        <f>GDF_price_list[[#This Row],[Indicative 
FCA Price]]/GDF_price_list[[#This Row],[Unit]]</f>
        <v>1295.8599999999999</v>
      </c>
    </row>
    <row r="182" spans="12:32" ht="34">
      <c r="L182" s="416"/>
      <c r="M182" s="416"/>
      <c r="N182" s="416"/>
      <c r="O182" s="439"/>
      <c r="P182" s="417"/>
      <c r="Q182" s="417"/>
      <c r="R182" s="417">
        <f>IFERROR(ROUND(Bunuri_lab_nomenc[[#This Row],[Cost unitate GFATM_valuta]]*VLOOKUP(Bunuri_lab_nomenc[[#This Row],[Valuta cost GFATM]],$B$58:$D$59,2,0),2),0)</f>
        <v>0</v>
      </c>
      <c r="S182" s="417" t="str">
        <f>IFERROR(VLOOKUP(Bunuri_lab_nomenc[[#This Row],[Denumire catalog GDF]],GDF_price_list[[Product Name]:[Column1]],8,0),"")</f>
        <v/>
      </c>
      <c r="T182" s="417" t="e">
        <f>VLOOKUP(Bunuri_lab_nomenc[[#This Row],[Denumire catalog GDF]],GDF_price_list[[Product Name]:[Column1]],7,0)</f>
        <v>#N/A</v>
      </c>
      <c r="V182" s="786" t="s">
        <v>718</v>
      </c>
      <c r="W182" s="738" t="s">
        <v>798</v>
      </c>
      <c r="X182" s="745">
        <v>106207</v>
      </c>
      <c r="Y182" s="740" t="s">
        <v>1264</v>
      </c>
      <c r="Z182" s="742" t="s">
        <v>610</v>
      </c>
      <c r="AA182" s="742" t="s">
        <v>1802</v>
      </c>
      <c r="AB182" s="746">
        <v>1</v>
      </c>
      <c r="AC182" s="743" t="s">
        <v>1265</v>
      </c>
      <c r="AD182" s="744">
        <v>18.43</v>
      </c>
      <c r="AE182" s="787" t="s">
        <v>435</v>
      </c>
      <c r="AF182">
        <f>GDF_price_list[[#This Row],[Indicative 
FCA Price]]/GDF_price_list[[#This Row],[Unit]]</f>
        <v>18.43</v>
      </c>
    </row>
    <row r="183" spans="12:32" ht="17">
      <c r="L183" s="416"/>
      <c r="M183" s="416"/>
      <c r="N183" s="416"/>
      <c r="O183" s="439"/>
      <c r="P183" s="417"/>
      <c r="Q183" s="417"/>
      <c r="R183" s="417">
        <f>IFERROR(ROUND(Bunuri_lab_nomenc[[#This Row],[Cost unitate GFATM_valuta]]*VLOOKUP(Bunuri_lab_nomenc[[#This Row],[Valuta cost GFATM]],$B$58:$D$59,2,0),2),0)</f>
        <v>0</v>
      </c>
      <c r="S183" s="417" t="str">
        <f>IFERROR(VLOOKUP(Bunuri_lab_nomenc[[#This Row],[Denumire catalog GDF]],GDF_price_list[[Product Name]:[Column1]],8,0),"")</f>
        <v/>
      </c>
      <c r="T183" s="417" t="e">
        <f>VLOOKUP(Bunuri_lab_nomenc[[#This Row],[Denumire catalog GDF]],GDF_price_list[[Product Name]:[Column1]],7,0)</f>
        <v>#N/A</v>
      </c>
      <c r="V183" s="786" t="s">
        <v>718</v>
      </c>
      <c r="W183" s="738" t="s">
        <v>798</v>
      </c>
      <c r="X183" s="745">
        <v>106206</v>
      </c>
      <c r="Y183" s="740" t="s">
        <v>1266</v>
      </c>
      <c r="Z183" s="742" t="s">
        <v>610</v>
      </c>
      <c r="AA183" s="742" t="s">
        <v>1802</v>
      </c>
      <c r="AB183" s="746">
        <v>1</v>
      </c>
      <c r="AC183" s="743" t="s">
        <v>1267</v>
      </c>
      <c r="AD183" s="744">
        <v>14.2</v>
      </c>
      <c r="AE183" s="787" t="s">
        <v>435</v>
      </c>
      <c r="AF183">
        <f>GDF_price_list[[#This Row],[Indicative 
FCA Price]]/GDF_price_list[[#This Row],[Unit]]</f>
        <v>14.2</v>
      </c>
    </row>
    <row r="184" spans="12:32" ht="17">
      <c r="L184" s="416"/>
      <c r="M184" s="416"/>
      <c r="N184" s="416"/>
      <c r="O184" s="439"/>
      <c r="P184" s="417"/>
      <c r="Q184" s="417"/>
      <c r="R184" s="417">
        <f>IFERROR(ROUND(Bunuri_lab_nomenc[[#This Row],[Cost unitate GFATM_valuta]]*VLOOKUP(Bunuri_lab_nomenc[[#This Row],[Valuta cost GFATM]],$B$58:$D$59,2,0),2),0)</f>
        <v>0</v>
      </c>
      <c r="S184" s="417" t="str">
        <f>IFERROR(VLOOKUP(Bunuri_lab_nomenc[[#This Row],[Denumire catalog GDF]],GDF_price_list[[Product Name]:[Column1]],8,0),"")</f>
        <v/>
      </c>
      <c r="T184" s="417" t="e">
        <f>VLOOKUP(Bunuri_lab_nomenc[[#This Row],[Denumire catalog GDF]],GDF_price_list[[Product Name]:[Column1]],7,0)</f>
        <v>#N/A</v>
      </c>
      <c r="V184" s="786" t="s">
        <v>718</v>
      </c>
      <c r="W184" s="738" t="s">
        <v>817</v>
      </c>
      <c r="X184" s="745">
        <v>106158</v>
      </c>
      <c r="Y184" s="740" t="s">
        <v>1268</v>
      </c>
      <c r="Z184" s="742" t="s">
        <v>610</v>
      </c>
      <c r="AA184" s="742" t="s">
        <v>1802</v>
      </c>
      <c r="AB184" s="746">
        <v>1</v>
      </c>
      <c r="AC184" s="743" t="s">
        <v>1269</v>
      </c>
      <c r="AD184" s="744">
        <v>12.2</v>
      </c>
      <c r="AE184" s="787" t="s">
        <v>435</v>
      </c>
      <c r="AF184">
        <f>GDF_price_list[[#This Row],[Indicative 
FCA Price]]/GDF_price_list[[#This Row],[Unit]]</f>
        <v>12.2</v>
      </c>
    </row>
    <row r="185" spans="12:32" ht="17">
      <c r="L185" s="416"/>
      <c r="M185" s="416"/>
      <c r="N185" s="416"/>
      <c r="O185" s="439"/>
      <c r="P185" s="417"/>
      <c r="Q185" s="417"/>
      <c r="R185" s="417">
        <f>IFERROR(ROUND(Bunuri_lab_nomenc[[#This Row],[Cost unitate GFATM_valuta]]*VLOOKUP(Bunuri_lab_nomenc[[#This Row],[Valuta cost GFATM]],$B$58:$D$59,2,0),2),0)</f>
        <v>0</v>
      </c>
      <c r="S185" s="417" t="str">
        <f>IFERROR(VLOOKUP(Bunuri_lab_nomenc[[#This Row],[Denumire catalog GDF]],GDF_price_list[[Product Name]:[Column1]],8,0),"")</f>
        <v/>
      </c>
      <c r="T185" s="417" t="e">
        <f>VLOOKUP(Bunuri_lab_nomenc[[#This Row],[Denumire catalog GDF]],GDF_price_list[[Product Name]:[Column1]],7,0)</f>
        <v>#N/A</v>
      </c>
      <c r="V185" s="786" t="s">
        <v>638</v>
      </c>
      <c r="W185" s="738" t="s">
        <v>1243</v>
      </c>
      <c r="X185" s="749">
        <v>106608</v>
      </c>
      <c r="Y185" s="750" t="s">
        <v>1270</v>
      </c>
      <c r="Z185" s="742" t="s">
        <v>610</v>
      </c>
      <c r="AA185" s="742" t="s">
        <v>1802</v>
      </c>
      <c r="AB185" s="751">
        <v>1</v>
      </c>
      <c r="AC185" s="756" t="s">
        <v>1271</v>
      </c>
      <c r="AD185" s="752">
        <v>144.79</v>
      </c>
      <c r="AE185" s="789" t="s">
        <v>435</v>
      </c>
      <c r="AF185">
        <f>GDF_price_list[[#This Row],[Indicative 
FCA Price]]/GDF_price_list[[#This Row],[Unit]]</f>
        <v>144.79</v>
      </c>
    </row>
    <row r="186" spans="12:32" ht="153">
      <c r="L186" s="416"/>
      <c r="M186" s="416"/>
      <c r="N186" s="416"/>
      <c r="O186" s="439"/>
      <c r="P186" s="417"/>
      <c r="Q186" s="417"/>
      <c r="R186" s="417">
        <f>IFERROR(ROUND(Bunuri_lab_nomenc[[#This Row],[Cost unitate GFATM_valuta]]*VLOOKUP(Bunuri_lab_nomenc[[#This Row],[Valuta cost GFATM]],$B$58:$D$59,2,0),2),0)</f>
        <v>0</v>
      </c>
      <c r="S186" s="417" t="str">
        <f>IFERROR(VLOOKUP(Bunuri_lab_nomenc[[#This Row],[Denumire catalog GDF]],GDF_price_list[[Product Name]:[Column1]],8,0),"")</f>
        <v/>
      </c>
      <c r="T186" s="417" t="e">
        <f>VLOOKUP(Bunuri_lab_nomenc[[#This Row],[Denumire catalog GDF]],GDF_price_list[[Product Name]:[Column1]],7,0)</f>
        <v>#N/A</v>
      </c>
      <c r="V186" s="786" t="s">
        <v>621</v>
      </c>
      <c r="W186" s="738" t="s">
        <v>622</v>
      </c>
      <c r="X186" s="745">
        <v>106101</v>
      </c>
      <c r="Y186" s="740" t="s">
        <v>1272</v>
      </c>
      <c r="Z186" s="742" t="s">
        <v>610</v>
      </c>
      <c r="AA186" s="742" t="s">
        <v>1802</v>
      </c>
      <c r="AB186" s="746">
        <v>1</v>
      </c>
      <c r="AC186" s="743" t="s">
        <v>1273</v>
      </c>
      <c r="AD186" s="744">
        <v>5328.18</v>
      </c>
      <c r="AE186" s="787" t="s">
        <v>435</v>
      </c>
      <c r="AF186">
        <f>GDF_price_list[[#This Row],[Indicative 
FCA Price]]/GDF_price_list[[#This Row],[Unit]]</f>
        <v>5328.18</v>
      </c>
    </row>
    <row r="187" spans="12:32" ht="51">
      <c r="L187" s="416"/>
      <c r="M187" s="416"/>
      <c r="N187" s="416"/>
      <c r="O187" s="439"/>
      <c r="P187" s="417"/>
      <c r="Q187" s="417"/>
      <c r="R187" s="417">
        <f>IFERROR(ROUND(Bunuri_lab_nomenc[[#This Row],[Cost unitate GFATM_valuta]]*VLOOKUP(Bunuri_lab_nomenc[[#This Row],[Valuta cost GFATM]],$B$58:$D$59,2,0),2),0)</f>
        <v>0</v>
      </c>
      <c r="S187" s="417" t="str">
        <f>IFERROR(VLOOKUP(Bunuri_lab_nomenc[[#This Row],[Denumire catalog GDF]],GDF_price_list[[Product Name]:[Column1]],8,0),"")</f>
        <v/>
      </c>
      <c r="T187" s="417" t="e">
        <f>VLOOKUP(Bunuri_lab_nomenc[[#This Row],[Denumire catalog GDF]],GDF_price_list[[Product Name]:[Column1]],7,0)</f>
        <v>#N/A</v>
      </c>
      <c r="V187" s="786" t="s">
        <v>648</v>
      </c>
      <c r="W187" s="738" t="s">
        <v>679</v>
      </c>
      <c r="X187" s="739">
        <v>106531</v>
      </c>
      <c r="Y187" s="740" t="s">
        <v>1280</v>
      </c>
      <c r="Z187" s="742" t="s">
        <v>1281</v>
      </c>
      <c r="AA187" s="742" t="s">
        <v>1802</v>
      </c>
      <c r="AB187" s="764">
        <v>1</v>
      </c>
      <c r="AC187" s="743" t="s">
        <v>1282</v>
      </c>
      <c r="AD187" s="744">
        <v>1503.8</v>
      </c>
      <c r="AE187" s="790" t="s">
        <v>435</v>
      </c>
      <c r="AF187">
        <f>GDF_price_list[[#This Row],[Indicative 
FCA Price]]/GDF_price_list[[#This Row],[Unit]]</f>
        <v>1503.8</v>
      </c>
    </row>
    <row r="188" spans="12:32" ht="34">
      <c r="L188" s="416"/>
      <c r="M188" s="416"/>
      <c r="N188" s="416"/>
      <c r="O188" s="439"/>
      <c r="P188" s="417"/>
      <c r="Q188" s="417"/>
      <c r="R188" s="417">
        <f>IFERROR(ROUND(Bunuri_lab_nomenc[[#This Row],[Cost unitate GFATM_valuta]]*VLOOKUP(Bunuri_lab_nomenc[[#This Row],[Valuta cost GFATM]],$B$58:$D$59,2,0),2),0)</f>
        <v>0</v>
      </c>
      <c r="S188" s="417" t="str">
        <f>IFERROR(VLOOKUP(Bunuri_lab_nomenc[[#This Row],[Denumire catalog GDF]],GDF_price_list[[Product Name]:[Column1]],8,0),"")</f>
        <v/>
      </c>
      <c r="T188" s="417" t="e">
        <f>VLOOKUP(Bunuri_lab_nomenc[[#This Row],[Denumire catalog GDF]],GDF_price_list[[Product Name]:[Column1]],7,0)</f>
        <v>#N/A</v>
      </c>
      <c r="V188" s="786" t="s">
        <v>648</v>
      </c>
      <c r="W188" s="738" t="s">
        <v>679</v>
      </c>
      <c r="X188" s="739">
        <v>106532</v>
      </c>
      <c r="Y188" s="740" t="s">
        <v>1288</v>
      </c>
      <c r="Z188" s="742" t="s">
        <v>1281</v>
      </c>
      <c r="AA188" s="742" t="s">
        <v>1802</v>
      </c>
      <c r="AB188" s="764">
        <v>1</v>
      </c>
      <c r="AC188" s="743" t="s">
        <v>1289</v>
      </c>
      <c r="AD188" s="744">
        <v>24</v>
      </c>
      <c r="AE188" s="790" t="s">
        <v>435</v>
      </c>
      <c r="AF188">
        <f>GDF_price_list[[#This Row],[Indicative 
FCA Price]]/GDF_price_list[[#This Row],[Unit]]</f>
        <v>24</v>
      </c>
    </row>
    <row r="189" spans="12:32" ht="17">
      <c r="L189" s="416"/>
      <c r="M189" s="416"/>
      <c r="N189" s="416"/>
      <c r="O189" s="439"/>
      <c r="P189" s="417"/>
      <c r="Q189" s="417"/>
      <c r="R189" s="417">
        <f>IFERROR(ROUND(Bunuri_lab_nomenc[[#This Row],[Cost unitate GFATM_valuta]]*VLOOKUP(Bunuri_lab_nomenc[[#This Row],[Valuta cost GFATM]],$B$58:$D$59,2,0),2),0)</f>
        <v>0</v>
      </c>
      <c r="S189" s="417" t="str">
        <f>IFERROR(VLOOKUP(Bunuri_lab_nomenc[[#This Row],[Denumire catalog GDF]],GDF_price_list[[Product Name]:[Column1]],8,0),"")</f>
        <v/>
      </c>
      <c r="T189" s="417" t="e">
        <f>VLOOKUP(Bunuri_lab_nomenc[[#This Row],[Denumire catalog GDF]],GDF_price_list[[Product Name]:[Column1]],7,0)</f>
        <v>#N/A</v>
      </c>
      <c r="V189" s="786" t="s">
        <v>666</v>
      </c>
      <c r="W189" s="738" t="s">
        <v>793</v>
      </c>
      <c r="X189" s="745">
        <v>106232</v>
      </c>
      <c r="Y189" s="740" t="s">
        <v>1299</v>
      </c>
      <c r="Z189" s="742" t="s">
        <v>610</v>
      </c>
      <c r="AA189" s="742" t="s">
        <v>1802</v>
      </c>
      <c r="AB189" s="746">
        <v>1</v>
      </c>
      <c r="AC189" s="743" t="s">
        <v>1300</v>
      </c>
      <c r="AD189" s="744">
        <v>8.0500000000000007</v>
      </c>
      <c r="AE189" s="787" t="s">
        <v>435</v>
      </c>
      <c r="AF189">
        <f>GDF_price_list[[#This Row],[Indicative 
FCA Price]]/GDF_price_list[[#This Row],[Unit]]</f>
        <v>8.0500000000000007</v>
      </c>
    </row>
    <row r="190" spans="12:32" ht="17">
      <c r="L190" s="416"/>
      <c r="M190" s="416"/>
      <c r="N190" s="416"/>
      <c r="O190" s="439"/>
      <c r="P190" s="417"/>
      <c r="Q190" s="417"/>
      <c r="R190" s="417">
        <f>IFERROR(ROUND(Bunuri_lab_nomenc[[#This Row],[Cost unitate GFATM_valuta]]*VLOOKUP(Bunuri_lab_nomenc[[#This Row],[Valuta cost GFATM]],$B$58:$D$59,2,0),2),0)</f>
        <v>0</v>
      </c>
      <c r="S190" s="417" t="str">
        <f>IFERROR(VLOOKUP(Bunuri_lab_nomenc[[#This Row],[Denumire catalog GDF]],GDF_price_list[[Product Name]:[Column1]],8,0),"")</f>
        <v/>
      </c>
      <c r="T190" s="417" t="e">
        <f>VLOOKUP(Bunuri_lab_nomenc[[#This Row],[Denumire catalog GDF]],GDF_price_list[[Product Name]:[Column1]],7,0)</f>
        <v>#N/A</v>
      </c>
      <c r="V190" s="786" t="s">
        <v>666</v>
      </c>
      <c r="W190" s="738" t="s">
        <v>793</v>
      </c>
      <c r="X190" s="745">
        <v>106249</v>
      </c>
      <c r="Y190" s="740" t="s">
        <v>1313</v>
      </c>
      <c r="Z190" s="742" t="s">
        <v>610</v>
      </c>
      <c r="AA190" s="742" t="s">
        <v>1802</v>
      </c>
      <c r="AB190" s="746">
        <v>1</v>
      </c>
      <c r="AC190" s="743" t="s">
        <v>1314</v>
      </c>
      <c r="AD190" s="744">
        <v>53.28</v>
      </c>
      <c r="AE190" s="787" t="s">
        <v>435</v>
      </c>
      <c r="AF190">
        <f>GDF_price_list[[#This Row],[Indicative 
FCA Price]]/GDF_price_list[[#This Row],[Unit]]</f>
        <v>53.28</v>
      </c>
    </row>
    <row r="191" spans="12:32" ht="68">
      <c r="L191" s="416"/>
      <c r="M191" s="416"/>
      <c r="N191" s="416"/>
      <c r="O191" s="439"/>
      <c r="P191" s="417"/>
      <c r="Q191" s="417"/>
      <c r="R191" s="417">
        <f>IFERROR(ROUND(Bunuri_lab_nomenc[[#This Row],[Cost unitate GFATM_valuta]]*VLOOKUP(Bunuri_lab_nomenc[[#This Row],[Valuta cost GFATM]],$B$58:$D$59,2,0),2),0)</f>
        <v>0</v>
      </c>
      <c r="S191" s="417" t="str">
        <f>IFERROR(VLOOKUP(Bunuri_lab_nomenc[[#This Row],[Denumire catalog GDF]],GDF_price_list[[Product Name]:[Column1]],8,0),"")</f>
        <v/>
      </c>
      <c r="T191" s="417" t="e">
        <f>VLOOKUP(Bunuri_lab_nomenc[[#This Row],[Denumire catalog GDF]],GDF_price_list[[Product Name]:[Column1]],7,0)</f>
        <v>#N/A</v>
      </c>
      <c r="V191" s="786" t="s">
        <v>740</v>
      </c>
      <c r="W191" s="738" t="s">
        <v>741</v>
      </c>
      <c r="X191" s="765">
        <v>106047</v>
      </c>
      <c r="Y191" s="763" t="s">
        <v>1315</v>
      </c>
      <c r="Z191" s="759" t="s">
        <v>610</v>
      </c>
      <c r="AA191" s="742" t="s">
        <v>1802</v>
      </c>
      <c r="AB191" s="764">
        <v>1</v>
      </c>
      <c r="AC191" s="747" t="s">
        <v>1316</v>
      </c>
      <c r="AD191" s="761">
        <v>1266.9227999999998</v>
      </c>
      <c r="AE191" s="791" t="s">
        <v>435</v>
      </c>
      <c r="AF191">
        <f>GDF_price_list[[#This Row],[Indicative 
FCA Price]]/GDF_price_list[[#This Row],[Unit]]</f>
        <v>1266.9227999999998</v>
      </c>
    </row>
    <row r="192" spans="12:32" ht="68">
      <c r="L192" s="416"/>
      <c r="M192" s="416"/>
      <c r="N192" s="416"/>
      <c r="O192" s="439"/>
      <c r="P192" s="417"/>
      <c r="Q192" s="417"/>
      <c r="R192" s="417">
        <f>IFERROR(ROUND(Bunuri_lab_nomenc[[#This Row],[Cost unitate GFATM_valuta]]*VLOOKUP(Bunuri_lab_nomenc[[#This Row],[Valuta cost GFATM]],$B$58:$D$59,2,0),2),0)</f>
        <v>0</v>
      </c>
      <c r="S192" s="417" t="str">
        <f>IFERROR(VLOOKUP(Bunuri_lab_nomenc[[#This Row],[Denumire catalog GDF]],GDF_price_list[[Product Name]:[Column1]],8,0),"")</f>
        <v/>
      </c>
      <c r="T192" s="417" t="e">
        <f>VLOOKUP(Bunuri_lab_nomenc[[#This Row],[Denumire catalog GDF]],GDF_price_list[[Product Name]:[Column1]],7,0)</f>
        <v>#N/A</v>
      </c>
      <c r="V192" s="786" t="s">
        <v>740</v>
      </c>
      <c r="W192" s="738" t="s">
        <v>750</v>
      </c>
      <c r="X192" s="765">
        <v>106047</v>
      </c>
      <c r="Y192" s="763" t="s">
        <v>1315</v>
      </c>
      <c r="Z192" s="759" t="s">
        <v>610</v>
      </c>
      <c r="AA192" s="742" t="s">
        <v>1802</v>
      </c>
      <c r="AB192" s="764">
        <v>1</v>
      </c>
      <c r="AC192" s="747" t="s">
        <v>1317</v>
      </c>
      <c r="AD192" s="776">
        <v>1266.9227999999998</v>
      </c>
      <c r="AE192" s="791" t="s">
        <v>435</v>
      </c>
      <c r="AF192">
        <f>GDF_price_list[[#This Row],[Indicative 
FCA Price]]/GDF_price_list[[#This Row],[Unit]]</f>
        <v>1266.9227999999998</v>
      </c>
    </row>
    <row r="193" spans="12:32" ht="153">
      <c r="L193" s="416"/>
      <c r="M193" s="416"/>
      <c r="N193" s="416"/>
      <c r="O193" s="439"/>
      <c r="P193" s="417"/>
      <c r="Q193" s="417"/>
      <c r="R193" s="417">
        <f>IFERROR(ROUND(Bunuri_lab_nomenc[[#This Row],[Cost unitate GFATM_valuta]]*VLOOKUP(Bunuri_lab_nomenc[[#This Row],[Valuta cost GFATM]],$B$58:$D$59,2,0),2),0)</f>
        <v>0</v>
      </c>
      <c r="S193" s="417" t="str">
        <f>IFERROR(VLOOKUP(Bunuri_lab_nomenc[[#This Row],[Denumire catalog GDF]],GDF_price_list[[Product Name]:[Column1]],8,0),"")</f>
        <v/>
      </c>
      <c r="T193" s="417" t="e">
        <f>VLOOKUP(Bunuri_lab_nomenc[[#This Row],[Denumire catalog GDF]],GDF_price_list[[Product Name]:[Column1]],7,0)</f>
        <v>#N/A</v>
      </c>
      <c r="V193" s="786" t="s">
        <v>612</v>
      </c>
      <c r="W193" s="738" t="s">
        <v>1221</v>
      </c>
      <c r="X193" s="745">
        <v>106639</v>
      </c>
      <c r="Y193" s="740" t="s">
        <v>1318</v>
      </c>
      <c r="Z193" s="742" t="s">
        <v>1188</v>
      </c>
      <c r="AA193" s="742" t="s">
        <v>1802</v>
      </c>
      <c r="AB193" s="742">
        <v>1</v>
      </c>
      <c r="AC193" s="743" t="s">
        <v>1319</v>
      </c>
      <c r="AD193" s="744">
        <v>1358.5</v>
      </c>
      <c r="AE193" s="790" t="s">
        <v>435</v>
      </c>
      <c r="AF193">
        <f>GDF_price_list[[#This Row],[Indicative 
FCA Price]]/GDF_price_list[[#This Row],[Unit]]</f>
        <v>1358.5</v>
      </c>
    </row>
    <row r="194" spans="12:32" ht="153">
      <c r="L194" s="416"/>
      <c r="M194" s="416"/>
      <c r="N194" s="416"/>
      <c r="O194" s="439"/>
      <c r="P194" s="417"/>
      <c r="Q194" s="417"/>
      <c r="R194" s="417">
        <f>IFERROR(ROUND(Bunuri_lab_nomenc[[#This Row],[Cost unitate GFATM_valuta]]*VLOOKUP(Bunuri_lab_nomenc[[#This Row],[Valuta cost GFATM]],$B$58:$D$59,2,0),2),0)</f>
        <v>0</v>
      </c>
      <c r="S194" s="417" t="str">
        <f>IFERROR(VLOOKUP(Bunuri_lab_nomenc[[#This Row],[Denumire catalog GDF]],GDF_price_list[[Product Name]:[Column1]],8,0),"")</f>
        <v/>
      </c>
      <c r="T194" s="417" t="e">
        <f>VLOOKUP(Bunuri_lab_nomenc[[#This Row],[Denumire catalog GDF]],GDF_price_list[[Product Name]:[Column1]],7,0)</f>
        <v>#N/A</v>
      </c>
      <c r="V194" s="786" t="s">
        <v>612</v>
      </c>
      <c r="W194" s="738" t="s">
        <v>1221</v>
      </c>
      <c r="X194" s="745">
        <v>106640</v>
      </c>
      <c r="Y194" s="740" t="s">
        <v>1320</v>
      </c>
      <c r="Z194" s="742" t="s">
        <v>1188</v>
      </c>
      <c r="AA194" s="742" t="s">
        <v>1802</v>
      </c>
      <c r="AB194" s="742">
        <v>1</v>
      </c>
      <c r="AC194" s="743" t="s">
        <v>1321</v>
      </c>
      <c r="AD194" s="744">
        <v>1842.5</v>
      </c>
      <c r="AE194" s="790" t="s">
        <v>435</v>
      </c>
      <c r="AF194">
        <f>GDF_price_list[[#This Row],[Indicative 
FCA Price]]/GDF_price_list[[#This Row],[Unit]]</f>
        <v>1842.5</v>
      </c>
    </row>
    <row r="195" spans="12:32" ht="17">
      <c r="L195" s="416"/>
      <c r="M195" s="416"/>
      <c r="N195" s="416"/>
      <c r="O195" s="439"/>
      <c r="P195" s="417"/>
      <c r="Q195" s="417"/>
      <c r="R195" s="417">
        <f>IFERROR(ROUND(Bunuri_lab_nomenc[[#This Row],[Cost unitate GFATM_valuta]]*VLOOKUP(Bunuri_lab_nomenc[[#This Row],[Valuta cost GFATM]],$B$58:$D$59,2,0),2),0)</f>
        <v>0</v>
      </c>
      <c r="S195" s="417" t="str">
        <f>IFERROR(VLOOKUP(Bunuri_lab_nomenc[[#This Row],[Denumire catalog GDF]],GDF_price_list[[Product Name]:[Column1]],8,0),"")</f>
        <v/>
      </c>
      <c r="T195" s="417" t="e">
        <f>VLOOKUP(Bunuri_lab_nomenc[[#This Row],[Denumire catalog GDF]],GDF_price_list[[Product Name]:[Column1]],7,0)</f>
        <v>#N/A</v>
      </c>
      <c r="V195" s="786" t="s">
        <v>607</v>
      </c>
      <c r="W195" s="738" t="s">
        <v>645</v>
      </c>
      <c r="X195" s="739">
        <v>106355</v>
      </c>
      <c r="Y195" s="740" t="s">
        <v>1324</v>
      </c>
      <c r="Z195" s="741" t="s">
        <v>610</v>
      </c>
      <c r="AA195" s="742" t="s">
        <v>1802</v>
      </c>
      <c r="AB195" s="742">
        <v>1</v>
      </c>
      <c r="AC195" s="743" t="s">
        <v>1325</v>
      </c>
      <c r="AD195" s="744">
        <v>1.51</v>
      </c>
      <c r="AE195" s="787" t="s">
        <v>435</v>
      </c>
      <c r="AF195">
        <f>GDF_price_list[[#This Row],[Indicative 
FCA Price]]/GDF_price_list[[#This Row],[Unit]]</f>
        <v>1.51</v>
      </c>
    </row>
    <row r="196" spans="12:32" ht="17">
      <c r="L196" s="416"/>
      <c r="M196" s="416"/>
      <c r="N196" s="416"/>
      <c r="O196" s="439"/>
      <c r="P196" s="417"/>
      <c r="Q196" s="417"/>
      <c r="R196" s="417">
        <f>IFERROR(ROUND(Bunuri_lab_nomenc[[#This Row],[Cost unitate GFATM_valuta]]*VLOOKUP(Bunuri_lab_nomenc[[#This Row],[Valuta cost GFATM]],$B$58:$D$59,2,0),2),0)</f>
        <v>0</v>
      </c>
      <c r="S196" s="417" t="str">
        <f>IFERROR(VLOOKUP(Bunuri_lab_nomenc[[#This Row],[Denumire catalog GDF]],GDF_price_list[[Product Name]:[Column1]],8,0),"")</f>
        <v/>
      </c>
      <c r="T196" s="417" t="e">
        <f>VLOOKUP(Bunuri_lab_nomenc[[#This Row],[Denumire catalog GDF]],GDF_price_list[[Product Name]:[Column1]],7,0)</f>
        <v>#N/A</v>
      </c>
      <c r="V196" s="786" t="s">
        <v>607</v>
      </c>
      <c r="W196" s="738" t="s">
        <v>645</v>
      </c>
      <c r="X196" s="745">
        <v>106506</v>
      </c>
      <c r="Y196" s="740" t="s">
        <v>1326</v>
      </c>
      <c r="Z196" s="741" t="s">
        <v>610</v>
      </c>
      <c r="AA196" s="742" t="s">
        <v>1802</v>
      </c>
      <c r="AB196" s="742">
        <v>1</v>
      </c>
      <c r="AC196" s="743" t="s">
        <v>1327</v>
      </c>
      <c r="AD196" s="744">
        <v>1.48</v>
      </c>
      <c r="AE196" s="787" t="s">
        <v>435</v>
      </c>
      <c r="AF196">
        <f>GDF_price_list[[#This Row],[Indicative 
FCA Price]]/GDF_price_list[[#This Row],[Unit]]</f>
        <v>1.48</v>
      </c>
    </row>
    <row r="197" spans="12:32" ht="17">
      <c r="L197" s="416"/>
      <c r="M197" s="416"/>
      <c r="N197" s="416"/>
      <c r="O197" s="439"/>
      <c r="P197" s="417"/>
      <c r="Q197" s="417"/>
      <c r="R197" s="417">
        <f>IFERROR(ROUND(Bunuri_lab_nomenc[[#This Row],[Cost unitate GFATM_valuta]]*VLOOKUP(Bunuri_lab_nomenc[[#This Row],[Valuta cost GFATM]],$B$58:$D$59,2,0),2),0)</f>
        <v>0</v>
      </c>
      <c r="S197" s="417" t="str">
        <f>IFERROR(VLOOKUP(Bunuri_lab_nomenc[[#This Row],[Denumire catalog GDF]],GDF_price_list[[Product Name]:[Column1]],8,0),"")</f>
        <v/>
      </c>
      <c r="T197" s="417" t="e">
        <f>VLOOKUP(Bunuri_lab_nomenc[[#This Row],[Denumire catalog GDF]],GDF_price_list[[Product Name]:[Column1]],7,0)</f>
        <v>#N/A</v>
      </c>
      <c r="V197" s="786" t="s">
        <v>666</v>
      </c>
      <c r="W197" s="738" t="s">
        <v>685</v>
      </c>
      <c r="X197" s="739">
        <v>106468</v>
      </c>
      <c r="Y197" s="740" t="s">
        <v>1328</v>
      </c>
      <c r="Z197" s="742" t="s">
        <v>610</v>
      </c>
      <c r="AA197" s="742" t="s">
        <v>1802</v>
      </c>
      <c r="AB197" s="742">
        <v>1</v>
      </c>
      <c r="AC197" s="743" t="s">
        <v>1329</v>
      </c>
      <c r="AD197" s="744">
        <v>228.91</v>
      </c>
      <c r="AE197" s="787" t="s">
        <v>435</v>
      </c>
      <c r="AF197">
        <f>GDF_price_list[[#This Row],[Indicative 
FCA Price]]/GDF_price_list[[#This Row],[Unit]]</f>
        <v>228.91</v>
      </c>
    </row>
    <row r="198" spans="12:32" ht="17">
      <c r="L198" s="416"/>
      <c r="M198" s="416"/>
      <c r="N198" s="416"/>
      <c r="O198" s="439"/>
      <c r="P198" s="417"/>
      <c r="Q198" s="417"/>
      <c r="R198" s="417">
        <f>IFERROR(ROUND(Bunuri_lab_nomenc[[#This Row],[Cost unitate GFATM_valuta]]*VLOOKUP(Bunuri_lab_nomenc[[#This Row],[Valuta cost GFATM]],$B$58:$D$59,2,0),2),0)</f>
        <v>0</v>
      </c>
      <c r="S198" s="417" t="str">
        <f>IFERROR(VLOOKUP(Bunuri_lab_nomenc[[#This Row],[Denumire catalog GDF]],GDF_price_list[[Product Name]:[Column1]],8,0),"")</f>
        <v/>
      </c>
      <c r="T198" s="417" t="e">
        <f>VLOOKUP(Bunuri_lab_nomenc[[#This Row],[Denumire catalog GDF]],GDF_price_list[[Product Name]:[Column1]],7,0)</f>
        <v>#N/A</v>
      </c>
      <c r="V198" s="786" t="s">
        <v>648</v>
      </c>
      <c r="W198" s="738" t="s">
        <v>649</v>
      </c>
      <c r="X198" s="739">
        <v>106576</v>
      </c>
      <c r="Y198" s="740" t="s">
        <v>1330</v>
      </c>
      <c r="Z198" s="742" t="s">
        <v>651</v>
      </c>
      <c r="AA198" s="742" t="s">
        <v>1802</v>
      </c>
      <c r="AB198" s="742">
        <v>1</v>
      </c>
      <c r="AC198" s="743" t="s">
        <v>1331</v>
      </c>
      <c r="AD198" s="753">
        <v>1.1100000000000001</v>
      </c>
      <c r="AE198" s="790" t="s">
        <v>435</v>
      </c>
      <c r="AF198">
        <f>GDF_price_list[[#This Row],[Indicative 
FCA Price]]/GDF_price_list[[#This Row],[Unit]]</f>
        <v>1.1100000000000001</v>
      </c>
    </row>
    <row r="199" spans="12:32" ht="17">
      <c r="L199" s="416"/>
      <c r="M199" s="416"/>
      <c r="N199" s="416"/>
      <c r="O199" s="439"/>
      <c r="P199" s="417"/>
      <c r="Q199" s="417"/>
      <c r="R199" s="417">
        <f>IFERROR(ROUND(Bunuri_lab_nomenc[[#This Row],[Cost unitate GFATM_valuta]]*VLOOKUP(Bunuri_lab_nomenc[[#This Row],[Valuta cost GFATM]],$B$58:$D$59,2,0),2),0)</f>
        <v>0</v>
      </c>
      <c r="S199" s="417" t="str">
        <f>IFERROR(VLOOKUP(Bunuri_lab_nomenc[[#This Row],[Denumire catalog GDF]],GDF_price_list[[Product Name]:[Column1]],8,0),"")</f>
        <v/>
      </c>
      <c r="T199" s="417" t="e">
        <f>VLOOKUP(Bunuri_lab_nomenc[[#This Row],[Denumire catalog GDF]],GDF_price_list[[Product Name]:[Column1]],7,0)</f>
        <v>#N/A</v>
      </c>
      <c r="V199" s="786" t="s">
        <v>666</v>
      </c>
      <c r="W199" s="738" t="s">
        <v>685</v>
      </c>
      <c r="X199" s="745">
        <v>106241</v>
      </c>
      <c r="Y199" s="740" t="s">
        <v>1332</v>
      </c>
      <c r="Z199" s="742" t="s">
        <v>610</v>
      </c>
      <c r="AA199" s="742" t="s">
        <v>1802</v>
      </c>
      <c r="AB199" s="746">
        <v>1</v>
      </c>
      <c r="AC199" s="743" t="s">
        <v>1333</v>
      </c>
      <c r="AD199" s="744">
        <v>4.0199999999999996</v>
      </c>
      <c r="AE199" s="787" t="s">
        <v>435</v>
      </c>
      <c r="AF199">
        <f>GDF_price_list[[#This Row],[Indicative 
FCA Price]]/GDF_price_list[[#This Row],[Unit]]</f>
        <v>4.0199999999999996</v>
      </c>
    </row>
    <row r="200" spans="12:32" ht="51">
      <c r="L200" s="416"/>
      <c r="M200" s="416"/>
      <c r="N200" s="416"/>
      <c r="O200" s="439"/>
      <c r="P200" s="417"/>
      <c r="Q200" s="417"/>
      <c r="R200" s="417">
        <f>IFERROR(ROUND(Bunuri_lab_nomenc[[#This Row],[Cost unitate GFATM_valuta]]*VLOOKUP(Bunuri_lab_nomenc[[#This Row],[Valuta cost GFATM]],$B$58:$D$59,2,0),2),0)</f>
        <v>0</v>
      </c>
      <c r="S200" s="417" t="str">
        <f>IFERROR(VLOOKUP(Bunuri_lab_nomenc[[#This Row],[Denumire catalog GDF]],GDF_price_list[[Product Name]:[Column1]],8,0),"")</f>
        <v/>
      </c>
      <c r="T200" s="417" t="e">
        <f>VLOOKUP(Bunuri_lab_nomenc[[#This Row],[Denumire catalog GDF]],GDF_price_list[[Product Name]:[Column1]],7,0)</f>
        <v>#N/A</v>
      </c>
      <c r="V200" s="786" t="s">
        <v>612</v>
      </c>
      <c r="W200" s="738" t="s">
        <v>627</v>
      </c>
      <c r="X200" s="739">
        <v>106048</v>
      </c>
      <c r="Y200" s="740" t="s">
        <v>1336</v>
      </c>
      <c r="Z200" s="742" t="s">
        <v>610</v>
      </c>
      <c r="AA200" s="742" t="s">
        <v>1802</v>
      </c>
      <c r="AB200" s="742">
        <v>1</v>
      </c>
      <c r="AC200" s="743" t="s">
        <v>1337</v>
      </c>
      <c r="AD200" s="744">
        <v>2026.94</v>
      </c>
      <c r="AE200" s="787" t="s">
        <v>435</v>
      </c>
      <c r="AF200">
        <f>GDF_price_list[[#This Row],[Indicative 
FCA Price]]/GDF_price_list[[#This Row],[Unit]]</f>
        <v>2026.94</v>
      </c>
    </row>
    <row r="201" spans="12:32" ht="17">
      <c r="L201" s="416"/>
      <c r="M201" s="416"/>
      <c r="N201" s="416"/>
      <c r="O201" s="439"/>
      <c r="P201" s="417"/>
      <c r="Q201" s="417"/>
      <c r="R201" s="417">
        <f>IFERROR(ROUND(Bunuri_lab_nomenc[[#This Row],[Cost unitate GFATM_valuta]]*VLOOKUP(Bunuri_lab_nomenc[[#This Row],[Valuta cost GFATM]],$B$58:$D$59,2,0),2),0)</f>
        <v>0</v>
      </c>
      <c r="S201" s="417" t="str">
        <f>IFERROR(VLOOKUP(Bunuri_lab_nomenc[[#This Row],[Denumire catalog GDF]],GDF_price_list[[Product Name]:[Column1]],8,0),"")</f>
        <v/>
      </c>
      <c r="T201" s="417" t="e">
        <f>VLOOKUP(Bunuri_lab_nomenc[[#This Row],[Denumire catalog GDF]],GDF_price_list[[Product Name]:[Column1]],7,0)</f>
        <v>#N/A</v>
      </c>
      <c r="V201" s="786" t="s">
        <v>666</v>
      </c>
      <c r="W201" s="738" t="s">
        <v>685</v>
      </c>
      <c r="X201" s="745">
        <v>106619</v>
      </c>
      <c r="Y201" s="743" t="s">
        <v>1342</v>
      </c>
      <c r="Z201" s="742" t="s">
        <v>673</v>
      </c>
      <c r="AA201" s="742" t="s">
        <v>1802</v>
      </c>
      <c r="AB201" s="746">
        <v>1</v>
      </c>
      <c r="AC201" s="743" t="s">
        <v>1343</v>
      </c>
      <c r="AD201" s="753">
        <v>150.94999999999999</v>
      </c>
      <c r="AE201" s="790" t="s">
        <v>435</v>
      </c>
      <c r="AF201">
        <f>GDF_price_list[[#This Row],[Indicative 
FCA Price]]/GDF_price_list[[#This Row],[Unit]]</f>
        <v>150.94999999999999</v>
      </c>
    </row>
    <row r="202" spans="12:32" ht="51">
      <c r="L202" s="416"/>
      <c r="M202" s="416"/>
      <c r="N202" s="416"/>
      <c r="O202" s="439"/>
      <c r="P202" s="417"/>
      <c r="Q202" s="417"/>
      <c r="R202" s="417">
        <f>IFERROR(ROUND(Bunuri_lab_nomenc[[#This Row],[Cost unitate GFATM_valuta]]*VLOOKUP(Bunuri_lab_nomenc[[#This Row],[Valuta cost GFATM]],$B$58:$D$59,2,0),2),0)</f>
        <v>0</v>
      </c>
      <c r="S202" s="417" t="str">
        <f>IFERROR(VLOOKUP(Bunuri_lab_nomenc[[#This Row],[Denumire catalog GDF]],GDF_price_list[[Product Name]:[Column1]],8,0),"")</f>
        <v/>
      </c>
      <c r="T202" s="417" t="e">
        <f>VLOOKUP(Bunuri_lab_nomenc[[#This Row],[Denumire catalog GDF]],GDF_price_list[[Product Name]:[Column1]],7,0)</f>
        <v>#N/A</v>
      </c>
      <c r="V202" s="786" t="s">
        <v>612</v>
      </c>
      <c r="W202" s="738" t="s">
        <v>627</v>
      </c>
      <c r="X202" s="745">
        <v>106074</v>
      </c>
      <c r="Y202" s="740" t="s">
        <v>1351</v>
      </c>
      <c r="Z202" s="742" t="s">
        <v>610</v>
      </c>
      <c r="AA202" s="742" t="s">
        <v>1802</v>
      </c>
      <c r="AB202" s="746">
        <v>1</v>
      </c>
      <c r="AC202" s="743" t="s">
        <v>1352</v>
      </c>
      <c r="AD202" s="744">
        <v>134.43</v>
      </c>
      <c r="AE202" s="787" t="s">
        <v>435</v>
      </c>
      <c r="AF202">
        <f>GDF_price_list[[#This Row],[Indicative 
FCA Price]]/GDF_price_list[[#This Row],[Unit]]</f>
        <v>134.43</v>
      </c>
    </row>
    <row r="203" spans="12:32" ht="34">
      <c r="L203" s="416"/>
      <c r="M203" s="416"/>
      <c r="N203" s="416"/>
      <c r="O203" s="439"/>
      <c r="P203" s="417"/>
      <c r="Q203" s="417"/>
      <c r="R203" s="417">
        <f>IFERROR(ROUND(Bunuri_lab_nomenc[[#This Row],[Cost unitate GFATM_valuta]]*VLOOKUP(Bunuri_lab_nomenc[[#This Row],[Valuta cost GFATM]],$B$58:$D$59,2,0),2),0)</f>
        <v>0</v>
      </c>
      <c r="S203" s="417" t="str">
        <f>IFERROR(VLOOKUP(Bunuri_lab_nomenc[[#This Row],[Denumire catalog GDF]],GDF_price_list[[Product Name]:[Column1]],8,0),"")</f>
        <v/>
      </c>
      <c r="T203" s="417" t="e">
        <f>VLOOKUP(Bunuri_lab_nomenc[[#This Row],[Denumire catalog GDF]],GDF_price_list[[Product Name]:[Column1]],7,0)</f>
        <v>#N/A</v>
      </c>
      <c r="V203" s="786" t="s">
        <v>612</v>
      </c>
      <c r="W203" s="738" t="s">
        <v>627</v>
      </c>
      <c r="X203" s="745">
        <v>106219</v>
      </c>
      <c r="Y203" s="754" t="s">
        <v>1353</v>
      </c>
      <c r="Z203" s="742" t="s">
        <v>610</v>
      </c>
      <c r="AA203" s="742" t="s">
        <v>1802</v>
      </c>
      <c r="AB203" s="746">
        <v>1</v>
      </c>
      <c r="AC203" s="743" t="s">
        <v>1354</v>
      </c>
      <c r="AD203" s="744">
        <v>256.82</v>
      </c>
      <c r="AE203" s="787" t="s">
        <v>435</v>
      </c>
      <c r="AF203">
        <f>GDF_price_list[[#This Row],[Indicative 
FCA Price]]/GDF_price_list[[#This Row],[Unit]]</f>
        <v>256.82</v>
      </c>
    </row>
    <row r="204" spans="12:32" ht="34">
      <c r="L204" s="416"/>
      <c r="M204" s="416"/>
      <c r="N204" s="416"/>
      <c r="O204" s="439"/>
      <c r="P204" s="417"/>
      <c r="Q204" s="417"/>
      <c r="R204" s="417">
        <f>IFERROR(ROUND(Bunuri_lab_nomenc[[#This Row],[Cost unitate GFATM_valuta]]*VLOOKUP(Bunuri_lab_nomenc[[#This Row],[Valuta cost GFATM]],$B$58:$D$59,2,0),2),0)</f>
        <v>0</v>
      </c>
      <c r="S204" s="417" t="str">
        <f>IFERROR(VLOOKUP(Bunuri_lab_nomenc[[#This Row],[Denumire catalog GDF]],GDF_price_list[[Product Name]:[Column1]],8,0),"")</f>
        <v/>
      </c>
      <c r="T204" s="417" t="e">
        <f>VLOOKUP(Bunuri_lab_nomenc[[#This Row],[Denumire catalog GDF]],GDF_price_list[[Product Name]:[Column1]],7,0)</f>
        <v>#N/A</v>
      </c>
      <c r="V204" s="786" t="s">
        <v>638</v>
      </c>
      <c r="W204" s="738" t="s">
        <v>1243</v>
      </c>
      <c r="X204" s="745">
        <v>106083</v>
      </c>
      <c r="Y204" s="740" t="s">
        <v>1355</v>
      </c>
      <c r="Z204" s="742" t="s">
        <v>610</v>
      </c>
      <c r="AA204" s="742" t="s">
        <v>1802</v>
      </c>
      <c r="AB204" s="746">
        <v>1</v>
      </c>
      <c r="AC204" s="743" t="s">
        <v>1356</v>
      </c>
      <c r="AD204" s="744">
        <v>583.79</v>
      </c>
      <c r="AE204" s="787" t="s">
        <v>435</v>
      </c>
      <c r="AF204">
        <f>GDF_price_list[[#This Row],[Indicative 
FCA Price]]/GDF_price_list[[#This Row],[Unit]]</f>
        <v>583.79</v>
      </c>
    </row>
    <row r="205" spans="12:32" ht="68">
      <c r="L205" s="416"/>
      <c r="M205" s="416"/>
      <c r="N205" s="416"/>
      <c r="O205" s="439"/>
      <c r="P205" s="417"/>
      <c r="Q205" s="417"/>
      <c r="R205" s="417">
        <f>IFERROR(ROUND(Bunuri_lab_nomenc[[#This Row],[Cost unitate GFATM_valuta]]*VLOOKUP(Bunuri_lab_nomenc[[#This Row],[Valuta cost GFATM]],$B$58:$D$59,2,0),2),0)</f>
        <v>0</v>
      </c>
      <c r="S205" s="417" t="str">
        <f>IFERROR(VLOOKUP(Bunuri_lab_nomenc[[#This Row],[Denumire catalog GDF]],GDF_price_list[[Product Name]:[Column1]],8,0),"")</f>
        <v/>
      </c>
      <c r="T205" s="417" t="e">
        <f>VLOOKUP(Bunuri_lab_nomenc[[#This Row],[Denumire catalog GDF]],GDF_price_list[[Product Name]:[Column1]],7,0)</f>
        <v>#N/A</v>
      </c>
      <c r="V205" s="786" t="s">
        <v>612</v>
      </c>
      <c r="W205" s="738" t="s">
        <v>842</v>
      </c>
      <c r="X205" s="745">
        <v>106455</v>
      </c>
      <c r="Y205" s="740" t="s">
        <v>1357</v>
      </c>
      <c r="Z205" s="742" t="s">
        <v>610</v>
      </c>
      <c r="AA205" s="742" t="s">
        <v>1802</v>
      </c>
      <c r="AB205" s="773">
        <v>1</v>
      </c>
      <c r="AC205" s="743" t="s">
        <v>1358</v>
      </c>
      <c r="AD205" s="744">
        <v>88.55</v>
      </c>
      <c r="AE205" s="787" t="s">
        <v>435</v>
      </c>
      <c r="AF205">
        <f>GDF_price_list[[#This Row],[Indicative 
FCA Price]]/GDF_price_list[[#This Row],[Unit]]</f>
        <v>88.55</v>
      </c>
    </row>
    <row r="206" spans="12:32" ht="17">
      <c r="L206" s="416"/>
      <c r="M206" s="416"/>
      <c r="N206" s="416"/>
      <c r="O206" s="439"/>
      <c r="P206" s="417"/>
      <c r="Q206" s="417"/>
      <c r="R206" s="417">
        <f>IFERROR(ROUND(Bunuri_lab_nomenc[[#This Row],[Cost unitate GFATM_valuta]]*VLOOKUP(Bunuri_lab_nomenc[[#This Row],[Valuta cost GFATM]],$B$58:$D$59,2,0),2),0)</f>
        <v>0</v>
      </c>
      <c r="S206" s="417" t="str">
        <f>IFERROR(VLOOKUP(Bunuri_lab_nomenc[[#This Row],[Denumire catalog GDF]],GDF_price_list[[Product Name]:[Column1]],8,0),"")</f>
        <v/>
      </c>
      <c r="T206" s="417" t="e">
        <f>VLOOKUP(Bunuri_lab_nomenc[[#This Row],[Denumire catalog GDF]],GDF_price_list[[Product Name]:[Column1]],7,0)</f>
        <v>#N/A</v>
      </c>
      <c r="V206" s="786" t="s">
        <v>607</v>
      </c>
      <c r="W206" s="738" t="s">
        <v>812</v>
      </c>
      <c r="X206" s="739">
        <v>106122</v>
      </c>
      <c r="Y206" s="740" t="s">
        <v>1386</v>
      </c>
      <c r="Z206" s="741" t="s">
        <v>610</v>
      </c>
      <c r="AA206" s="742" t="s">
        <v>1802</v>
      </c>
      <c r="AB206" s="742">
        <v>1</v>
      </c>
      <c r="AC206" s="743" t="s">
        <v>1387</v>
      </c>
      <c r="AD206" s="744">
        <v>509.79</v>
      </c>
      <c r="AE206" s="787" t="s">
        <v>435</v>
      </c>
      <c r="AF206">
        <f>GDF_price_list[[#This Row],[Indicative 
FCA Price]]/GDF_price_list[[#This Row],[Unit]]</f>
        <v>509.79</v>
      </c>
    </row>
    <row r="207" spans="12:32" ht="17">
      <c r="L207" s="416"/>
      <c r="M207" s="416"/>
      <c r="N207" s="416"/>
      <c r="O207" s="439"/>
      <c r="P207" s="417"/>
      <c r="Q207" s="417"/>
      <c r="R207" s="417">
        <f>IFERROR(ROUND(Bunuri_lab_nomenc[[#This Row],[Cost unitate GFATM_valuta]]*VLOOKUP(Bunuri_lab_nomenc[[#This Row],[Valuta cost GFATM]],$B$58:$D$59,2,0),2),0)</f>
        <v>0</v>
      </c>
      <c r="S207" s="417" t="str">
        <f>IFERROR(VLOOKUP(Bunuri_lab_nomenc[[#This Row],[Denumire catalog GDF]],GDF_price_list[[Product Name]:[Column1]],8,0),"")</f>
        <v/>
      </c>
      <c r="T207" s="417" t="e">
        <f>VLOOKUP(Bunuri_lab_nomenc[[#This Row],[Denumire catalog GDF]],GDF_price_list[[Product Name]:[Column1]],7,0)</f>
        <v>#N/A</v>
      </c>
      <c r="V207" s="786" t="s">
        <v>607</v>
      </c>
      <c r="W207" s="738" t="s">
        <v>812</v>
      </c>
      <c r="X207" s="739">
        <v>106220</v>
      </c>
      <c r="Y207" s="740" t="s">
        <v>1388</v>
      </c>
      <c r="Z207" s="741" t="s">
        <v>610</v>
      </c>
      <c r="AA207" s="742" t="s">
        <v>1802</v>
      </c>
      <c r="AB207" s="742">
        <v>1</v>
      </c>
      <c r="AC207" s="743" t="s">
        <v>1389</v>
      </c>
      <c r="AD207" s="744">
        <v>1492.26</v>
      </c>
      <c r="AE207" s="787" t="s">
        <v>435</v>
      </c>
      <c r="AF207">
        <f>GDF_price_list[[#This Row],[Indicative 
FCA Price]]/GDF_price_list[[#This Row],[Unit]]</f>
        <v>1492.26</v>
      </c>
    </row>
    <row r="208" spans="12:32" ht="17">
      <c r="L208" s="416"/>
      <c r="M208" s="416"/>
      <c r="N208" s="416"/>
      <c r="O208" s="439"/>
      <c r="P208" s="417"/>
      <c r="Q208" s="417"/>
      <c r="R208" s="417">
        <f>IFERROR(ROUND(Bunuri_lab_nomenc[[#This Row],[Cost unitate GFATM_valuta]]*VLOOKUP(Bunuri_lab_nomenc[[#This Row],[Valuta cost GFATM]],$B$58:$D$59,2,0),2),0)</f>
        <v>0</v>
      </c>
      <c r="S208" s="417" t="str">
        <f>IFERROR(VLOOKUP(Bunuri_lab_nomenc[[#This Row],[Denumire catalog GDF]],GDF_price_list[[Product Name]:[Column1]],8,0),"")</f>
        <v/>
      </c>
      <c r="T208" s="417" t="e">
        <f>VLOOKUP(Bunuri_lab_nomenc[[#This Row],[Denumire catalog GDF]],GDF_price_list[[Product Name]:[Column1]],7,0)</f>
        <v>#N/A</v>
      </c>
      <c r="V208" s="786" t="s">
        <v>638</v>
      </c>
      <c r="W208" s="738" t="s">
        <v>639</v>
      </c>
      <c r="X208" s="745">
        <v>106091</v>
      </c>
      <c r="Y208" s="740" t="s">
        <v>1390</v>
      </c>
      <c r="Z208" s="742" t="s">
        <v>610</v>
      </c>
      <c r="AA208" s="742" t="s">
        <v>1802</v>
      </c>
      <c r="AB208" s="746">
        <v>1</v>
      </c>
      <c r="AC208" s="743" t="s">
        <v>1391</v>
      </c>
      <c r="AD208" s="744">
        <v>21.29</v>
      </c>
      <c r="AE208" s="787" t="s">
        <v>435</v>
      </c>
      <c r="AF208">
        <f>GDF_price_list[[#This Row],[Indicative 
FCA Price]]/GDF_price_list[[#This Row],[Unit]]</f>
        <v>21.29</v>
      </c>
    </row>
    <row r="209" spans="12:32" ht="85">
      <c r="L209" s="416"/>
      <c r="M209" s="416"/>
      <c r="N209" s="416"/>
      <c r="O209" s="439"/>
      <c r="P209" s="417"/>
      <c r="Q209" s="417"/>
      <c r="R209" s="417">
        <f>IFERROR(ROUND(Bunuri_lab_nomenc[[#This Row],[Cost unitate GFATM_valuta]]*VLOOKUP(Bunuri_lab_nomenc[[#This Row],[Valuta cost GFATM]],$B$58:$D$59,2,0),2),0)</f>
        <v>0</v>
      </c>
      <c r="S209" s="417" t="str">
        <f>IFERROR(VLOOKUP(Bunuri_lab_nomenc[[#This Row],[Denumire catalog GDF]],GDF_price_list[[Product Name]:[Column1]],8,0),"")</f>
        <v/>
      </c>
      <c r="T209" s="417" t="e">
        <f>VLOOKUP(Bunuri_lab_nomenc[[#This Row],[Denumire catalog GDF]],GDF_price_list[[Product Name]:[Column1]],7,0)</f>
        <v>#N/A</v>
      </c>
      <c r="V209" s="786" t="s">
        <v>718</v>
      </c>
      <c r="W209" s="738" t="s">
        <v>719</v>
      </c>
      <c r="X209" s="745">
        <v>106130</v>
      </c>
      <c r="Y209" s="754" t="s">
        <v>1398</v>
      </c>
      <c r="Z209" s="742" t="s">
        <v>610</v>
      </c>
      <c r="AA209" s="742" t="s">
        <v>1802</v>
      </c>
      <c r="AB209" s="746">
        <v>1</v>
      </c>
      <c r="AC209" s="743" t="s">
        <v>1399</v>
      </c>
      <c r="AD209" s="744">
        <v>455.93</v>
      </c>
      <c r="AE209" s="787" t="s">
        <v>435</v>
      </c>
      <c r="AF209">
        <f>GDF_price_list[[#This Row],[Indicative 
FCA Price]]/GDF_price_list[[#This Row],[Unit]]</f>
        <v>455.93</v>
      </c>
    </row>
    <row r="210" spans="12:32" ht="17">
      <c r="L210" s="416"/>
      <c r="M210" s="416"/>
      <c r="N210" s="416"/>
      <c r="O210" s="439"/>
      <c r="P210" s="417"/>
      <c r="Q210" s="417"/>
      <c r="R210" s="417">
        <f>IFERROR(ROUND(Bunuri_lab_nomenc[[#This Row],[Cost unitate GFATM_valuta]]*VLOOKUP(Bunuri_lab_nomenc[[#This Row],[Valuta cost GFATM]],$B$58:$D$59,2,0),2),0)</f>
        <v>0</v>
      </c>
      <c r="S210" s="417" t="str">
        <f>IFERROR(VLOOKUP(Bunuri_lab_nomenc[[#This Row],[Denumire catalog GDF]],GDF_price_list[[Product Name]:[Column1]],8,0),"")</f>
        <v/>
      </c>
      <c r="T210" s="417" t="e">
        <f>VLOOKUP(Bunuri_lab_nomenc[[#This Row],[Denumire catalog GDF]],GDF_price_list[[Product Name]:[Column1]],7,0)</f>
        <v>#N/A</v>
      </c>
      <c r="V210" s="786" t="s">
        <v>666</v>
      </c>
      <c r="W210" s="738" t="s">
        <v>722</v>
      </c>
      <c r="X210" s="745">
        <v>106085</v>
      </c>
      <c r="Y210" s="740" t="s">
        <v>1407</v>
      </c>
      <c r="Z210" s="742" t="s">
        <v>610</v>
      </c>
      <c r="AA210" s="742" t="s">
        <v>1802</v>
      </c>
      <c r="AB210" s="746">
        <v>1</v>
      </c>
      <c r="AC210" s="743" t="s">
        <v>1408</v>
      </c>
      <c r="AD210" s="744">
        <v>462.92</v>
      </c>
      <c r="AE210" s="787" t="s">
        <v>435</v>
      </c>
      <c r="AF210">
        <f>GDF_price_list[[#This Row],[Indicative 
FCA Price]]/GDF_price_list[[#This Row],[Unit]]</f>
        <v>462.92</v>
      </c>
    </row>
    <row r="211" spans="12:32" ht="17">
      <c r="L211" s="416"/>
      <c r="M211" s="416"/>
      <c r="N211" s="416"/>
      <c r="O211" s="439"/>
      <c r="P211" s="417"/>
      <c r="Q211" s="417"/>
      <c r="R211" s="417">
        <f>IFERROR(ROUND(Bunuri_lab_nomenc[[#This Row],[Cost unitate GFATM_valuta]]*VLOOKUP(Bunuri_lab_nomenc[[#This Row],[Valuta cost GFATM]],$B$58:$D$59,2,0),2),0)</f>
        <v>0</v>
      </c>
      <c r="S211" s="417" t="str">
        <f>IFERROR(VLOOKUP(Bunuri_lab_nomenc[[#This Row],[Denumire catalog GDF]],GDF_price_list[[Product Name]:[Column1]],8,0),"")</f>
        <v/>
      </c>
      <c r="T211" s="417" t="e">
        <f>VLOOKUP(Bunuri_lab_nomenc[[#This Row],[Denumire catalog GDF]],GDF_price_list[[Product Name]:[Column1]],7,0)</f>
        <v>#N/A</v>
      </c>
      <c r="V211" s="786" t="s">
        <v>718</v>
      </c>
      <c r="W211" s="738" t="s">
        <v>798</v>
      </c>
      <c r="X211" s="745">
        <v>106086</v>
      </c>
      <c r="Y211" s="740" t="s">
        <v>1409</v>
      </c>
      <c r="Z211" s="742" t="s">
        <v>610</v>
      </c>
      <c r="AA211" s="742" t="s">
        <v>1802</v>
      </c>
      <c r="AB211" s="746">
        <v>1</v>
      </c>
      <c r="AC211" s="743" t="s">
        <v>1410</v>
      </c>
      <c r="AD211" s="744">
        <v>34.4</v>
      </c>
      <c r="AE211" s="787" t="s">
        <v>435</v>
      </c>
      <c r="AF211">
        <f>GDF_price_list[[#This Row],[Indicative 
FCA Price]]/GDF_price_list[[#This Row],[Unit]]</f>
        <v>34.4</v>
      </c>
    </row>
    <row r="212" spans="12:32" ht="17">
      <c r="L212" s="416"/>
      <c r="M212" s="416"/>
      <c r="N212" s="416"/>
      <c r="O212" s="439"/>
      <c r="P212" s="417"/>
      <c r="Q212" s="417"/>
      <c r="R212" s="417">
        <f>IFERROR(ROUND(Bunuri_lab_nomenc[[#This Row],[Cost unitate GFATM_valuta]]*VLOOKUP(Bunuri_lab_nomenc[[#This Row],[Valuta cost GFATM]],$B$58:$D$59,2,0),2),0)</f>
        <v>0</v>
      </c>
      <c r="S212" s="417" t="str">
        <f>IFERROR(VLOOKUP(Bunuri_lab_nomenc[[#This Row],[Denumire catalog GDF]],GDF_price_list[[Product Name]:[Column1]],8,0),"")</f>
        <v/>
      </c>
      <c r="T212" s="417" t="e">
        <f>VLOOKUP(Bunuri_lab_nomenc[[#This Row],[Denumire catalog GDF]],GDF_price_list[[Product Name]:[Column1]],7,0)</f>
        <v>#N/A</v>
      </c>
      <c r="V212" s="786" t="s">
        <v>718</v>
      </c>
      <c r="W212" s="738" t="s">
        <v>798</v>
      </c>
      <c r="X212" s="745">
        <v>106112</v>
      </c>
      <c r="Y212" s="740" t="s">
        <v>1411</v>
      </c>
      <c r="Z212" s="742" t="s">
        <v>610</v>
      </c>
      <c r="AA212" s="742" t="s">
        <v>1802</v>
      </c>
      <c r="AB212" s="746">
        <v>1</v>
      </c>
      <c r="AC212" s="743" t="s">
        <v>1412</v>
      </c>
      <c r="AD212" s="744">
        <v>179</v>
      </c>
      <c r="AE212" s="787" t="s">
        <v>435</v>
      </c>
      <c r="AF212">
        <f>GDF_price_list[[#This Row],[Indicative 
FCA Price]]/GDF_price_list[[#This Row],[Unit]]</f>
        <v>179</v>
      </c>
    </row>
    <row r="213" spans="12:32" ht="17">
      <c r="L213" s="416"/>
      <c r="M213" s="416"/>
      <c r="N213" s="416"/>
      <c r="O213" s="439"/>
      <c r="P213" s="417"/>
      <c r="Q213" s="417"/>
      <c r="R213" s="417">
        <f>IFERROR(ROUND(Bunuri_lab_nomenc[[#This Row],[Cost unitate GFATM_valuta]]*VLOOKUP(Bunuri_lab_nomenc[[#This Row],[Valuta cost GFATM]],$B$58:$D$59,2,0),2),0)</f>
        <v>0</v>
      </c>
      <c r="S213" s="417" t="str">
        <f>IFERROR(VLOOKUP(Bunuri_lab_nomenc[[#This Row],[Denumire catalog GDF]],GDF_price_list[[Product Name]:[Column1]],8,0),"")</f>
        <v/>
      </c>
      <c r="T213" s="417" t="e">
        <f>VLOOKUP(Bunuri_lab_nomenc[[#This Row],[Denumire catalog GDF]],GDF_price_list[[Product Name]:[Column1]],7,0)</f>
        <v>#N/A</v>
      </c>
      <c r="V213" s="786" t="s">
        <v>718</v>
      </c>
      <c r="W213" s="738" t="s">
        <v>817</v>
      </c>
      <c r="X213" s="739">
        <v>106402</v>
      </c>
      <c r="Y213" s="740" t="s">
        <v>1420</v>
      </c>
      <c r="Z213" s="742" t="s">
        <v>610</v>
      </c>
      <c r="AA213" s="742" t="s">
        <v>1802</v>
      </c>
      <c r="AB213" s="742">
        <v>1</v>
      </c>
      <c r="AC213" s="743" t="s">
        <v>1421</v>
      </c>
      <c r="AD213" s="744">
        <v>0.72</v>
      </c>
      <c r="AE213" s="787" t="s">
        <v>435</v>
      </c>
      <c r="AF213">
        <f>GDF_price_list[[#This Row],[Indicative 
FCA Price]]/GDF_price_list[[#This Row],[Unit]]</f>
        <v>0.72</v>
      </c>
    </row>
    <row r="214" spans="12:32" ht="17">
      <c r="L214" s="416"/>
      <c r="M214" s="416"/>
      <c r="N214" s="416"/>
      <c r="O214" s="439"/>
      <c r="P214" s="417"/>
      <c r="Q214" s="417"/>
      <c r="R214" s="417">
        <f>IFERROR(ROUND(Bunuri_lab_nomenc[[#This Row],[Cost unitate GFATM_valuta]]*VLOOKUP(Bunuri_lab_nomenc[[#This Row],[Valuta cost GFATM]],$B$58:$D$59,2,0),2),0)</f>
        <v>0</v>
      </c>
      <c r="S214" s="417" t="str">
        <f>IFERROR(VLOOKUP(Bunuri_lab_nomenc[[#This Row],[Denumire catalog GDF]],GDF_price_list[[Product Name]:[Column1]],8,0),"")</f>
        <v/>
      </c>
      <c r="T214" s="417" t="e">
        <f>VLOOKUP(Bunuri_lab_nomenc[[#This Row],[Denumire catalog GDF]],GDF_price_list[[Product Name]:[Column1]],7,0)</f>
        <v>#N/A</v>
      </c>
      <c r="V214" s="786" t="s">
        <v>638</v>
      </c>
      <c r="W214" s="738" t="s">
        <v>639</v>
      </c>
      <c r="X214" s="739">
        <v>106362</v>
      </c>
      <c r="Y214" s="740" t="s">
        <v>1422</v>
      </c>
      <c r="Z214" s="742" t="s">
        <v>610</v>
      </c>
      <c r="AA214" s="742" t="s">
        <v>1802</v>
      </c>
      <c r="AB214" s="742">
        <v>1</v>
      </c>
      <c r="AC214" s="743" t="s">
        <v>1423</v>
      </c>
      <c r="AD214" s="744">
        <v>68.900000000000006</v>
      </c>
      <c r="AE214" s="787" t="s">
        <v>435</v>
      </c>
      <c r="AF214">
        <f>GDF_price_list[[#This Row],[Indicative 
FCA Price]]/GDF_price_list[[#This Row],[Unit]]</f>
        <v>68.900000000000006</v>
      </c>
    </row>
    <row r="215" spans="12:32" ht="34">
      <c r="L215" s="416"/>
      <c r="M215" s="416"/>
      <c r="N215" s="416"/>
      <c r="O215" s="439"/>
      <c r="P215" s="417"/>
      <c r="Q215" s="417"/>
      <c r="R215" s="417">
        <f>IFERROR(ROUND(Bunuri_lab_nomenc[[#This Row],[Cost unitate GFATM_valuta]]*VLOOKUP(Bunuri_lab_nomenc[[#This Row],[Valuta cost GFATM]],$B$58:$D$59,2,0),2),0)</f>
        <v>0</v>
      </c>
      <c r="S215" s="417" t="str">
        <f>IFERROR(VLOOKUP(Bunuri_lab_nomenc[[#This Row],[Denumire catalog GDF]],GDF_price_list[[Product Name]:[Column1]],8,0),"")</f>
        <v/>
      </c>
      <c r="T215" s="417" t="e">
        <f>VLOOKUP(Bunuri_lab_nomenc[[#This Row],[Denumire catalog GDF]],GDF_price_list[[Product Name]:[Column1]],7,0)</f>
        <v>#N/A</v>
      </c>
      <c r="V215" s="786" t="s">
        <v>638</v>
      </c>
      <c r="W215" s="738" t="s">
        <v>639</v>
      </c>
      <c r="X215" s="745">
        <v>106089</v>
      </c>
      <c r="Y215" s="740" t="s">
        <v>1424</v>
      </c>
      <c r="Z215" s="742" t="s">
        <v>610</v>
      </c>
      <c r="AA215" s="742" t="s">
        <v>1802</v>
      </c>
      <c r="AB215" s="746">
        <v>1</v>
      </c>
      <c r="AC215" s="743" t="s">
        <v>1425</v>
      </c>
      <c r="AD215" s="744">
        <v>205.72</v>
      </c>
      <c r="AE215" s="787" t="s">
        <v>435</v>
      </c>
      <c r="AF215">
        <f>GDF_price_list[[#This Row],[Indicative 
FCA Price]]/GDF_price_list[[#This Row],[Unit]]</f>
        <v>205.72</v>
      </c>
    </row>
    <row r="216" spans="12:32" ht="17">
      <c r="L216" s="416"/>
      <c r="M216" s="416"/>
      <c r="N216" s="416"/>
      <c r="O216" s="439"/>
      <c r="P216" s="417"/>
      <c r="Q216" s="417"/>
      <c r="R216" s="417">
        <f>IFERROR(ROUND(Bunuri_lab_nomenc[[#This Row],[Cost unitate GFATM_valuta]]*VLOOKUP(Bunuri_lab_nomenc[[#This Row],[Valuta cost GFATM]],$B$58:$D$59,2,0),2),0)</f>
        <v>0</v>
      </c>
      <c r="S216" s="417" t="str">
        <f>IFERROR(VLOOKUP(Bunuri_lab_nomenc[[#This Row],[Denumire catalog GDF]],GDF_price_list[[Product Name]:[Column1]],8,0),"")</f>
        <v/>
      </c>
      <c r="T216" s="417" t="e">
        <f>VLOOKUP(Bunuri_lab_nomenc[[#This Row],[Denumire catalog GDF]],GDF_price_list[[Product Name]:[Column1]],7,0)</f>
        <v>#N/A</v>
      </c>
      <c r="V216" s="786" t="s">
        <v>718</v>
      </c>
      <c r="W216" s="738" t="s">
        <v>817</v>
      </c>
      <c r="X216" s="745">
        <v>106202</v>
      </c>
      <c r="Y216" s="740" t="s">
        <v>1426</v>
      </c>
      <c r="Z216" s="742" t="s">
        <v>610</v>
      </c>
      <c r="AA216" s="742" t="s">
        <v>1802</v>
      </c>
      <c r="AB216" s="746">
        <v>1</v>
      </c>
      <c r="AC216" s="743" t="s">
        <v>1427</v>
      </c>
      <c r="AD216" s="744">
        <v>0.67</v>
      </c>
      <c r="AE216" s="787" t="s">
        <v>435</v>
      </c>
      <c r="AF216">
        <f>GDF_price_list[[#This Row],[Indicative 
FCA Price]]/GDF_price_list[[#This Row],[Unit]]</f>
        <v>0.67</v>
      </c>
    </row>
    <row r="217" spans="12:32" ht="17">
      <c r="L217" s="416"/>
      <c r="M217" s="416"/>
      <c r="N217" s="416"/>
      <c r="O217" s="439"/>
      <c r="P217" s="417"/>
      <c r="Q217" s="417"/>
      <c r="R217" s="417">
        <f>IFERROR(ROUND(Bunuri_lab_nomenc[[#This Row],[Cost unitate GFATM_valuta]]*VLOOKUP(Bunuri_lab_nomenc[[#This Row],[Valuta cost GFATM]],$B$58:$D$59,2,0),2),0)</f>
        <v>0</v>
      </c>
      <c r="S217" s="417" t="str">
        <f>IFERROR(VLOOKUP(Bunuri_lab_nomenc[[#This Row],[Denumire catalog GDF]],GDF_price_list[[Product Name]:[Column1]],8,0),"")</f>
        <v/>
      </c>
      <c r="T217" s="417" t="e">
        <f>VLOOKUP(Bunuri_lab_nomenc[[#This Row],[Denumire catalog GDF]],GDF_price_list[[Product Name]:[Column1]],7,0)</f>
        <v>#N/A</v>
      </c>
      <c r="V217" s="786" t="s">
        <v>718</v>
      </c>
      <c r="W217" s="738" t="s">
        <v>817</v>
      </c>
      <c r="X217" s="745">
        <v>106188</v>
      </c>
      <c r="Y217" s="740" t="s">
        <v>1428</v>
      </c>
      <c r="Z217" s="742" t="s">
        <v>610</v>
      </c>
      <c r="AA217" s="742" t="s">
        <v>1802</v>
      </c>
      <c r="AB217" s="746">
        <v>1</v>
      </c>
      <c r="AC217" s="743" t="s">
        <v>1429</v>
      </c>
      <c r="AD217" s="744">
        <v>12.66</v>
      </c>
      <c r="AE217" s="787" t="s">
        <v>435</v>
      </c>
      <c r="AF217">
        <f>GDF_price_list[[#This Row],[Indicative 
FCA Price]]/GDF_price_list[[#This Row],[Unit]]</f>
        <v>12.66</v>
      </c>
    </row>
    <row r="218" spans="12:32" ht="34">
      <c r="L218" s="416"/>
      <c r="M218" s="416"/>
      <c r="N218" s="416"/>
      <c r="O218" s="439"/>
      <c r="P218" s="417"/>
      <c r="Q218" s="417"/>
      <c r="R218" s="417">
        <f>IFERROR(ROUND(Bunuri_lab_nomenc[[#This Row],[Cost unitate GFATM_valuta]]*VLOOKUP(Bunuri_lab_nomenc[[#This Row],[Valuta cost GFATM]],$B$58:$D$59,2,0),2),0)</f>
        <v>0</v>
      </c>
      <c r="S218" s="417" t="str">
        <f>IFERROR(VLOOKUP(Bunuri_lab_nomenc[[#This Row],[Denumire catalog GDF]],GDF_price_list[[Product Name]:[Column1]],8,0),"")</f>
        <v/>
      </c>
      <c r="T218" s="417" t="e">
        <f>VLOOKUP(Bunuri_lab_nomenc[[#This Row],[Denumire catalog GDF]],GDF_price_list[[Product Name]:[Column1]],7,0)</f>
        <v>#N/A</v>
      </c>
      <c r="V218" s="786" t="s">
        <v>718</v>
      </c>
      <c r="W218" s="738" t="s">
        <v>817</v>
      </c>
      <c r="X218" s="745">
        <v>106191</v>
      </c>
      <c r="Y218" s="740" t="s">
        <v>1430</v>
      </c>
      <c r="Z218" s="742" t="s">
        <v>610</v>
      </c>
      <c r="AA218" s="742" t="s">
        <v>1802</v>
      </c>
      <c r="AB218" s="746">
        <v>1</v>
      </c>
      <c r="AC218" s="743" t="s">
        <v>1431</v>
      </c>
      <c r="AD218" s="744">
        <v>59.41</v>
      </c>
      <c r="AE218" s="787" t="s">
        <v>435</v>
      </c>
      <c r="AF218">
        <f>GDF_price_list[[#This Row],[Indicative 
FCA Price]]/GDF_price_list[[#This Row],[Unit]]</f>
        <v>59.41</v>
      </c>
    </row>
    <row r="219" spans="12:32" ht="17">
      <c r="L219" s="416"/>
      <c r="M219" s="416"/>
      <c r="N219" s="416"/>
      <c r="O219" s="439"/>
      <c r="P219" s="417"/>
      <c r="Q219" s="417"/>
      <c r="R219" s="417">
        <f>IFERROR(ROUND(Bunuri_lab_nomenc[[#This Row],[Cost unitate GFATM_valuta]]*VLOOKUP(Bunuri_lab_nomenc[[#This Row],[Valuta cost GFATM]],$B$58:$D$59,2,0),2),0)</f>
        <v>0</v>
      </c>
      <c r="S219" s="417" t="str">
        <f>IFERROR(VLOOKUP(Bunuri_lab_nomenc[[#This Row],[Denumire catalog GDF]],GDF_price_list[[Product Name]:[Column1]],8,0),"")</f>
        <v/>
      </c>
      <c r="T219" s="417" t="e">
        <f>VLOOKUP(Bunuri_lab_nomenc[[#This Row],[Denumire catalog GDF]],GDF_price_list[[Product Name]:[Column1]],7,0)</f>
        <v>#N/A</v>
      </c>
      <c r="V219" s="786" t="s">
        <v>718</v>
      </c>
      <c r="W219" s="738" t="s">
        <v>817</v>
      </c>
      <c r="X219" s="745">
        <v>106192</v>
      </c>
      <c r="Y219" s="740" t="s">
        <v>1432</v>
      </c>
      <c r="Z219" s="742" t="s">
        <v>610</v>
      </c>
      <c r="AA219" s="742" t="s">
        <v>1802</v>
      </c>
      <c r="AB219" s="746">
        <v>1</v>
      </c>
      <c r="AC219" s="743" t="s">
        <v>1433</v>
      </c>
      <c r="AD219" s="744">
        <v>5.82</v>
      </c>
      <c r="AE219" s="787" t="s">
        <v>435</v>
      </c>
      <c r="AF219">
        <f>GDF_price_list[[#This Row],[Indicative 
FCA Price]]/GDF_price_list[[#This Row],[Unit]]</f>
        <v>5.82</v>
      </c>
    </row>
    <row r="220" spans="12:32" ht="17">
      <c r="L220" s="416"/>
      <c r="M220" s="416"/>
      <c r="N220" s="416"/>
      <c r="O220" s="439"/>
      <c r="P220" s="417"/>
      <c r="Q220" s="417"/>
      <c r="R220" s="417">
        <f>IFERROR(ROUND(Bunuri_lab_nomenc[[#This Row],[Cost unitate GFATM_valuta]]*VLOOKUP(Bunuri_lab_nomenc[[#This Row],[Valuta cost GFATM]],$B$58:$D$59,2,0),2),0)</f>
        <v>0</v>
      </c>
      <c r="S220" s="417" t="str">
        <f>IFERROR(VLOOKUP(Bunuri_lab_nomenc[[#This Row],[Denumire catalog GDF]],GDF_price_list[[Product Name]:[Column1]],8,0),"")</f>
        <v/>
      </c>
      <c r="T220" s="417" t="e">
        <f>VLOOKUP(Bunuri_lab_nomenc[[#This Row],[Denumire catalog GDF]],GDF_price_list[[Product Name]:[Column1]],7,0)</f>
        <v>#N/A</v>
      </c>
      <c r="V220" s="786" t="s">
        <v>718</v>
      </c>
      <c r="W220" s="738" t="s">
        <v>817</v>
      </c>
      <c r="X220" s="745">
        <v>106189</v>
      </c>
      <c r="Y220" s="740" t="s">
        <v>1434</v>
      </c>
      <c r="Z220" s="742" t="s">
        <v>610</v>
      </c>
      <c r="AA220" s="742" t="s">
        <v>1802</v>
      </c>
      <c r="AB220" s="746">
        <v>1</v>
      </c>
      <c r="AC220" s="743" t="s">
        <v>1435</v>
      </c>
      <c r="AD220" s="744">
        <v>21.75</v>
      </c>
      <c r="AE220" s="787" t="s">
        <v>435</v>
      </c>
      <c r="AF220">
        <f>GDF_price_list[[#This Row],[Indicative 
FCA Price]]/GDF_price_list[[#This Row],[Unit]]</f>
        <v>21.75</v>
      </c>
    </row>
    <row r="221" spans="12:32" ht="17">
      <c r="L221" s="416"/>
      <c r="M221" s="416"/>
      <c r="N221" s="416"/>
      <c r="O221" s="439"/>
      <c r="P221" s="417"/>
      <c r="Q221" s="417"/>
      <c r="R221" s="417">
        <f>IFERROR(ROUND(Bunuri_lab_nomenc[[#This Row],[Cost unitate GFATM_valuta]]*VLOOKUP(Bunuri_lab_nomenc[[#This Row],[Valuta cost GFATM]],$B$58:$D$59,2,0),2),0)</f>
        <v>0</v>
      </c>
      <c r="S221" s="417" t="str">
        <f>IFERROR(VLOOKUP(Bunuri_lab_nomenc[[#This Row],[Denumire catalog GDF]],GDF_price_list[[Product Name]:[Column1]],8,0),"")</f>
        <v/>
      </c>
      <c r="T221" s="417" t="e">
        <f>VLOOKUP(Bunuri_lab_nomenc[[#This Row],[Denumire catalog GDF]],GDF_price_list[[Product Name]:[Column1]],7,0)</f>
        <v>#N/A</v>
      </c>
      <c r="V221" s="786" t="s">
        <v>718</v>
      </c>
      <c r="W221" s="738" t="s">
        <v>817</v>
      </c>
      <c r="X221" s="745">
        <v>106190</v>
      </c>
      <c r="Y221" s="740" t="s">
        <v>1436</v>
      </c>
      <c r="Z221" s="742" t="s">
        <v>610</v>
      </c>
      <c r="AA221" s="742" t="s">
        <v>1802</v>
      </c>
      <c r="AB221" s="746">
        <v>1</v>
      </c>
      <c r="AC221" s="743" t="s">
        <v>1437</v>
      </c>
      <c r="AD221" s="744">
        <v>35.659999999999997</v>
      </c>
      <c r="AE221" s="787" t="s">
        <v>435</v>
      </c>
      <c r="AF221">
        <f>GDF_price_list[[#This Row],[Indicative 
FCA Price]]/GDF_price_list[[#This Row],[Unit]]</f>
        <v>35.659999999999997</v>
      </c>
    </row>
    <row r="222" spans="12:32" ht="34">
      <c r="L222" s="416"/>
      <c r="M222" s="416"/>
      <c r="N222" s="416"/>
      <c r="O222" s="439"/>
      <c r="P222" s="417"/>
      <c r="Q222" s="417"/>
      <c r="R222" s="417">
        <f>IFERROR(ROUND(Bunuri_lab_nomenc[[#This Row],[Cost unitate GFATM_valuta]]*VLOOKUP(Bunuri_lab_nomenc[[#This Row],[Valuta cost GFATM]],$B$58:$D$59,2,0),2),0)</f>
        <v>0</v>
      </c>
      <c r="S222" s="417" t="str">
        <f>IFERROR(VLOOKUP(Bunuri_lab_nomenc[[#This Row],[Denumire catalog GDF]],GDF_price_list[[Product Name]:[Column1]],8,0),"")</f>
        <v/>
      </c>
      <c r="T222" s="417" t="e">
        <f>VLOOKUP(Bunuri_lab_nomenc[[#This Row],[Denumire catalog GDF]],GDF_price_list[[Product Name]:[Column1]],7,0)</f>
        <v>#N/A</v>
      </c>
      <c r="V222" s="786" t="s">
        <v>718</v>
      </c>
      <c r="W222" s="738" t="s">
        <v>817</v>
      </c>
      <c r="X222" s="745">
        <v>106174</v>
      </c>
      <c r="Y222" s="740" t="s">
        <v>1438</v>
      </c>
      <c r="Z222" s="742" t="s">
        <v>610</v>
      </c>
      <c r="AA222" s="742" t="s">
        <v>1802</v>
      </c>
      <c r="AB222" s="746">
        <v>1</v>
      </c>
      <c r="AC222" s="743" t="s">
        <v>1439</v>
      </c>
      <c r="AD222" s="744">
        <v>5.34</v>
      </c>
      <c r="AE222" s="787" t="s">
        <v>435</v>
      </c>
      <c r="AF222">
        <f>GDF_price_list[[#This Row],[Indicative 
FCA Price]]/GDF_price_list[[#This Row],[Unit]]</f>
        <v>5.34</v>
      </c>
    </row>
    <row r="223" spans="12:32" ht="34">
      <c r="L223" s="416"/>
      <c r="M223" s="416"/>
      <c r="N223" s="416"/>
      <c r="O223" s="439"/>
      <c r="P223" s="417"/>
      <c r="Q223" s="417"/>
      <c r="R223" s="417">
        <f>IFERROR(ROUND(Bunuri_lab_nomenc[[#This Row],[Cost unitate GFATM_valuta]]*VLOOKUP(Bunuri_lab_nomenc[[#This Row],[Valuta cost GFATM]],$B$58:$D$59,2,0),2),0)</f>
        <v>0</v>
      </c>
      <c r="S223" s="417" t="str">
        <f>IFERROR(VLOOKUP(Bunuri_lab_nomenc[[#This Row],[Denumire catalog GDF]],GDF_price_list[[Product Name]:[Column1]],8,0),"")</f>
        <v/>
      </c>
      <c r="T223" s="417" t="e">
        <f>VLOOKUP(Bunuri_lab_nomenc[[#This Row],[Denumire catalog GDF]],GDF_price_list[[Product Name]:[Column1]],7,0)</f>
        <v>#N/A</v>
      </c>
      <c r="V223" s="786" t="s">
        <v>718</v>
      </c>
      <c r="W223" s="738" t="s">
        <v>817</v>
      </c>
      <c r="X223" s="745">
        <v>106171</v>
      </c>
      <c r="Y223" s="740" t="s">
        <v>1440</v>
      </c>
      <c r="Z223" s="742" t="s">
        <v>610</v>
      </c>
      <c r="AA223" s="742" t="s">
        <v>1802</v>
      </c>
      <c r="AB223" s="746">
        <v>1</v>
      </c>
      <c r="AC223" s="743" t="s">
        <v>1441</v>
      </c>
      <c r="AD223" s="744">
        <v>19.73</v>
      </c>
      <c r="AE223" s="787" t="s">
        <v>435</v>
      </c>
      <c r="AF223">
        <f>GDF_price_list[[#This Row],[Indicative 
FCA Price]]/GDF_price_list[[#This Row],[Unit]]</f>
        <v>19.73</v>
      </c>
    </row>
    <row r="224" spans="12:32" ht="34">
      <c r="L224" s="416"/>
      <c r="M224" s="416"/>
      <c r="N224" s="416"/>
      <c r="O224" s="439"/>
      <c r="P224" s="417"/>
      <c r="Q224" s="417"/>
      <c r="R224" s="417">
        <f>IFERROR(ROUND(Bunuri_lab_nomenc[[#This Row],[Cost unitate GFATM_valuta]]*VLOOKUP(Bunuri_lab_nomenc[[#This Row],[Valuta cost GFATM]],$B$58:$D$59,2,0),2),0)</f>
        <v>0</v>
      </c>
      <c r="S224" s="417" t="str">
        <f>IFERROR(VLOOKUP(Bunuri_lab_nomenc[[#This Row],[Denumire catalog GDF]],GDF_price_list[[Product Name]:[Column1]],8,0),"")</f>
        <v/>
      </c>
      <c r="T224" s="417" t="e">
        <f>VLOOKUP(Bunuri_lab_nomenc[[#This Row],[Denumire catalog GDF]],GDF_price_list[[Product Name]:[Column1]],7,0)</f>
        <v>#N/A</v>
      </c>
      <c r="V224" s="786" t="s">
        <v>718</v>
      </c>
      <c r="W224" s="738" t="s">
        <v>817</v>
      </c>
      <c r="X224" s="745">
        <v>106173</v>
      </c>
      <c r="Y224" s="740" t="s">
        <v>1442</v>
      </c>
      <c r="Z224" s="742" t="s">
        <v>610</v>
      </c>
      <c r="AA224" s="742" t="s">
        <v>1802</v>
      </c>
      <c r="AB224" s="746">
        <v>1</v>
      </c>
      <c r="AC224" s="743" t="s">
        <v>1443</v>
      </c>
      <c r="AD224" s="744">
        <v>8.6300000000000008</v>
      </c>
      <c r="AE224" s="787" t="s">
        <v>435</v>
      </c>
      <c r="AF224">
        <f>GDF_price_list[[#This Row],[Indicative 
FCA Price]]/GDF_price_list[[#This Row],[Unit]]</f>
        <v>8.6300000000000008</v>
      </c>
    </row>
    <row r="225" spans="12:32" ht="34">
      <c r="L225" s="416"/>
      <c r="M225" s="416"/>
      <c r="N225" s="416"/>
      <c r="O225" s="439"/>
      <c r="P225" s="417"/>
      <c r="Q225" s="417"/>
      <c r="R225" s="417">
        <f>IFERROR(ROUND(Bunuri_lab_nomenc[[#This Row],[Cost unitate GFATM_valuta]]*VLOOKUP(Bunuri_lab_nomenc[[#This Row],[Valuta cost GFATM]],$B$58:$D$59,2,0),2),0)</f>
        <v>0</v>
      </c>
      <c r="S225" s="417" t="str">
        <f>IFERROR(VLOOKUP(Bunuri_lab_nomenc[[#This Row],[Denumire catalog GDF]],GDF_price_list[[Product Name]:[Column1]],8,0),"")</f>
        <v/>
      </c>
      <c r="T225" s="417" t="e">
        <f>VLOOKUP(Bunuri_lab_nomenc[[#This Row],[Denumire catalog GDF]],GDF_price_list[[Product Name]:[Column1]],7,0)</f>
        <v>#N/A</v>
      </c>
      <c r="V225" s="786" t="s">
        <v>718</v>
      </c>
      <c r="W225" s="738" t="s">
        <v>817</v>
      </c>
      <c r="X225" s="745">
        <v>106172</v>
      </c>
      <c r="Y225" s="740" t="s">
        <v>1444</v>
      </c>
      <c r="Z225" s="742" t="s">
        <v>610</v>
      </c>
      <c r="AA225" s="742" t="s">
        <v>1802</v>
      </c>
      <c r="AB225" s="746">
        <v>1</v>
      </c>
      <c r="AC225" s="743" t="s">
        <v>1445</v>
      </c>
      <c r="AD225" s="744">
        <v>11.75</v>
      </c>
      <c r="AE225" s="787" t="s">
        <v>435</v>
      </c>
      <c r="AF225">
        <f>GDF_price_list[[#This Row],[Indicative 
FCA Price]]/GDF_price_list[[#This Row],[Unit]]</f>
        <v>11.75</v>
      </c>
    </row>
    <row r="226" spans="12:32" ht="17">
      <c r="L226" s="416"/>
      <c r="M226" s="416"/>
      <c r="N226" s="416"/>
      <c r="O226" s="439"/>
      <c r="P226" s="417"/>
      <c r="Q226" s="417"/>
      <c r="R226" s="417">
        <f>IFERROR(ROUND(Bunuri_lab_nomenc[[#This Row],[Cost unitate GFATM_valuta]]*VLOOKUP(Bunuri_lab_nomenc[[#This Row],[Valuta cost GFATM]],$B$58:$D$59,2,0),2),0)</f>
        <v>0</v>
      </c>
      <c r="S226" s="417" t="str">
        <f>IFERROR(VLOOKUP(Bunuri_lab_nomenc[[#This Row],[Denumire catalog GDF]],GDF_price_list[[Product Name]:[Column1]],8,0),"")</f>
        <v/>
      </c>
      <c r="T226" s="417" t="e">
        <f>VLOOKUP(Bunuri_lab_nomenc[[#This Row],[Denumire catalog GDF]],GDF_price_list[[Product Name]:[Column1]],7,0)</f>
        <v>#N/A</v>
      </c>
      <c r="V226" s="786" t="s">
        <v>718</v>
      </c>
      <c r="W226" s="738" t="s">
        <v>817</v>
      </c>
      <c r="X226" s="745">
        <v>106204</v>
      </c>
      <c r="Y226" s="740" t="s">
        <v>1448</v>
      </c>
      <c r="Z226" s="742" t="s">
        <v>610</v>
      </c>
      <c r="AA226" s="742" t="s">
        <v>1802</v>
      </c>
      <c r="AB226" s="746">
        <v>1</v>
      </c>
      <c r="AC226" s="743" t="s">
        <v>1449</v>
      </c>
      <c r="AD226" s="744">
        <v>1.8</v>
      </c>
      <c r="AE226" s="787" t="s">
        <v>435</v>
      </c>
      <c r="AF226">
        <f>GDF_price_list[[#This Row],[Indicative 
FCA Price]]/GDF_price_list[[#This Row],[Unit]]</f>
        <v>1.8</v>
      </c>
    </row>
    <row r="227" spans="12:32" ht="51">
      <c r="L227" s="416"/>
      <c r="M227" s="416"/>
      <c r="N227" s="416"/>
      <c r="O227" s="439"/>
      <c r="P227" s="417"/>
      <c r="Q227" s="417"/>
      <c r="R227" s="417">
        <f>IFERROR(ROUND(Bunuri_lab_nomenc[[#This Row],[Cost unitate GFATM_valuta]]*VLOOKUP(Bunuri_lab_nomenc[[#This Row],[Valuta cost GFATM]],$B$58:$D$59,2,0),2),0)</f>
        <v>0</v>
      </c>
      <c r="S227" s="417" t="str">
        <f>IFERROR(VLOOKUP(Bunuri_lab_nomenc[[#This Row],[Denumire catalog GDF]],GDF_price_list[[Product Name]:[Column1]],8,0),"")</f>
        <v/>
      </c>
      <c r="T227" s="417" t="e">
        <f>VLOOKUP(Bunuri_lab_nomenc[[#This Row],[Denumire catalog GDF]],GDF_price_list[[Product Name]:[Column1]],7,0)</f>
        <v>#N/A</v>
      </c>
      <c r="V227" s="786" t="s">
        <v>607</v>
      </c>
      <c r="W227" s="738" t="s">
        <v>645</v>
      </c>
      <c r="X227" s="745">
        <v>106237</v>
      </c>
      <c r="Y227" s="740" t="s">
        <v>1450</v>
      </c>
      <c r="Z227" s="741" t="s">
        <v>610</v>
      </c>
      <c r="AA227" s="742" t="s">
        <v>1802</v>
      </c>
      <c r="AB227" s="746">
        <v>1</v>
      </c>
      <c r="AC227" s="743" t="s">
        <v>1451</v>
      </c>
      <c r="AD227" s="744">
        <v>12.99</v>
      </c>
      <c r="AE227" s="787" t="s">
        <v>435</v>
      </c>
      <c r="AF227">
        <f>GDF_price_list[[#This Row],[Indicative 
FCA Price]]/GDF_price_list[[#This Row],[Unit]]</f>
        <v>12.99</v>
      </c>
    </row>
    <row r="228" spans="12:32" ht="17">
      <c r="L228" s="416"/>
      <c r="M228" s="416"/>
      <c r="N228" s="416"/>
      <c r="O228" s="439"/>
      <c r="P228" s="417"/>
      <c r="Q228" s="417"/>
      <c r="R228" s="417">
        <f>IFERROR(ROUND(Bunuri_lab_nomenc[[#This Row],[Cost unitate GFATM_valuta]]*VLOOKUP(Bunuri_lab_nomenc[[#This Row],[Valuta cost GFATM]],$B$58:$D$59,2,0),2),0)</f>
        <v>0</v>
      </c>
      <c r="S228" s="417" t="str">
        <f>IFERROR(VLOOKUP(Bunuri_lab_nomenc[[#This Row],[Denumire catalog GDF]],GDF_price_list[[Product Name]:[Column1]],8,0),"")</f>
        <v/>
      </c>
      <c r="T228" s="417" t="e">
        <f>VLOOKUP(Bunuri_lab_nomenc[[#This Row],[Denumire catalog GDF]],GDF_price_list[[Product Name]:[Column1]],7,0)</f>
        <v>#N/A</v>
      </c>
      <c r="V228" s="786" t="s">
        <v>607</v>
      </c>
      <c r="W228" s="738" t="s">
        <v>645</v>
      </c>
      <c r="X228" s="745">
        <v>106238</v>
      </c>
      <c r="Y228" s="740" t="s">
        <v>1452</v>
      </c>
      <c r="Z228" s="741" t="s">
        <v>610</v>
      </c>
      <c r="AA228" s="742" t="s">
        <v>1802</v>
      </c>
      <c r="AB228" s="746">
        <v>1</v>
      </c>
      <c r="AC228" s="743" t="s">
        <v>1453</v>
      </c>
      <c r="AD228" s="744">
        <v>6.16</v>
      </c>
      <c r="AE228" s="787" t="s">
        <v>435</v>
      </c>
      <c r="AF228">
        <f>GDF_price_list[[#This Row],[Indicative 
FCA Price]]/GDF_price_list[[#This Row],[Unit]]</f>
        <v>6.16</v>
      </c>
    </row>
    <row r="229" spans="12:32" ht="17">
      <c r="L229" s="416"/>
      <c r="M229" s="416"/>
      <c r="N229" s="416"/>
      <c r="O229" s="439"/>
      <c r="P229" s="417"/>
      <c r="Q229" s="417"/>
      <c r="R229" s="417">
        <f>IFERROR(ROUND(Bunuri_lab_nomenc[[#This Row],[Cost unitate GFATM_valuta]]*VLOOKUP(Bunuri_lab_nomenc[[#This Row],[Valuta cost GFATM]],$B$58:$D$59,2,0),2),0)</f>
        <v>0</v>
      </c>
      <c r="S229" s="417" t="str">
        <f>IFERROR(VLOOKUP(Bunuri_lab_nomenc[[#This Row],[Denumire catalog GDF]],GDF_price_list[[Product Name]:[Column1]],8,0),"")</f>
        <v/>
      </c>
      <c r="T229" s="417" t="e">
        <f>VLOOKUP(Bunuri_lab_nomenc[[#This Row],[Denumire catalog GDF]],GDF_price_list[[Product Name]:[Column1]],7,0)</f>
        <v>#N/A</v>
      </c>
      <c r="V229" s="786" t="s">
        <v>607</v>
      </c>
      <c r="W229" s="738" t="s">
        <v>645</v>
      </c>
      <c r="X229" s="745">
        <v>106239</v>
      </c>
      <c r="Y229" s="740" t="s">
        <v>1454</v>
      </c>
      <c r="Z229" s="741" t="s">
        <v>610</v>
      </c>
      <c r="AA229" s="742" t="s">
        <v>1802</v>
      </c>
      <c r="AB229" s="746">
        <v>1</v>
      </c>
      <c r="AC229" s="743" t="s">
        <v>1455</v>
      </c>
      <c r="AD229" s="744">
        <v>8.6</v>
      </c>
      <c r="AE229" s="787" t="s">
        <v>435</v>
      </c>
      <c r="AF229">
        <f>GDF_price_list[[#This Row],[Indicative 
FCA Price]]/GDF_price_list[[#This Row],[Unit]]</f>
        <v>8.6</v>
      </c>
    </row>
    <row r="230" spans="12:32" ht="34">
      <c r="L230" s="416"/>
      <c r="M230" s="416"/>
      <c r="N230" s="416"/>
      <c r="O230" s="439"/>
      <c r="P230" s="417"/>
      <c r="Q230" s="417"/>
      <c r="R230" s="417">
        <f>IFERROR(ROUND(Bunuri_lab_nomenc[[#This Row],[Cost unitate GFATM_valuta]]*VLOOKUP(Bunuri_lab_nomenc[[#This Row],[Valuta cost GFATM]],$B$58:$D$59,2,0),2),0)</f>
        <v>0</v>
      </c>
      <c r="S230" s="417" t="str">
        <f>IFERROR(VLOOKUP(Bunuri_lab_nomenc[[#This Row],[Denumire catalog GDF]],GDF_price_list[[Product Name]:[Column1]],8,0),"")</f>
        <v/>
      </c>
      <c r="T230" s="417" t="e">
        <f>VLOOKUP(Bunuri_lab_nomenc[[#This Row],[Denumire catalog GDF]],GDF_price_list[[Product Name]:[Column1]],7,0)</f>
        <v>#N/A</v>
      </c>
      <c r="V230" s="786" t="s">
        <v>718</v>
      </c>
      <c r="W230" s="738" t="s">
        <v>817</v>
      </c>
      <c r="X230" s="745">
        <v>106175</v>
      </c>
      <c r="Y230" s="740" t="s">
        <v>1456</v>
      </c>
      <c r="Z230" s="742" t="s">
        <v>610</v>
      </c>
      <c r="AA230" s="742" t="s">
        <v>1802</v>
      </c>
      <c r="AB230" s="746">
        <v>1</v>
      </c>
      <c r="AC230" s="743" t="s">
        <v>1457</v>
      </c>
      <c r="AD230" s="744">
        <v>4.68</v>
      </c>
      <c r="AE230" s="787" t="s">
        <v>435</v>
      </c>
      <c r="AF230">
        <f>GDF_price_list[[#This Row],[Indicative 
FCA Price]]/GDF_price_list[[#This Row],[Unit]]</f>
        <v>4.68</v>
      </c>
    </row>
    <row r="231" spans="12:32" ht="34">
      <c r="L231" s="416"/>
      <c r="M231" s="416"/>
      <c r="N231" s="416"/>
      <c r="O231" s="439"/>
      <c r="P231" s="417"/>
      <c r="Q231" s="417"/>
      <c r="R231" s="417">
        <f>IFERROR(ROUND(Bunuri_lab_nomenc[[#This Row],[Cost unitate GFATM_valuta]]*VLOOKUP(Bunuri_lab_nomenc[[#This Row],[Valuta cost GFATM]],$B$58:$D$59,2,0),2),0)</f>
        <v>0</v>
      </c>
      <c r="S231" s="417" t="str">
        <f>IFERROR(VLOOKUP(Bunuri_lab_nomenc[[#This Row],[Denumire catalog GDF]],GDF_price_list[[Product Name]:[Column1]],8,0),"")</f>
        <v/>
      </c>
      <c r="T231" s="417" t="e">
        <f>VLOOKUP(Bunuri_lab_nomenc[[#This Row],[Denumire catalog GDF]],GDF_price_list[[Product Name]:[Column1]],7,0)</f>
        <v>#N/A</v>
      </c>
      <c r="V231" s="786" t="s">
        <v>612</v>
      </c>
      <c r="W231" s="738" t="s">
        <v>945</v>
      </c>
      <c r="X231" s="745">
        <v>106212</v>
      </c>
      <c r="Y231" s="740" t="s">
        <v>1461</v>
      </c>
      <c r="Z231" s="742" t="s">
        <v>610</v>
      </c>
      <c r="AA231" s="742" t="s">
        <v>1802</v>
      </c>
      <c r="AB231" s="746">
        <v>1</v>
      </c>
      <c r="AC231" s="747" t="s">
        <v>1462</v>
      </c>
      <c r="AD231" s="744">
        <v>647.92999999999995</v>
      </c>
      <c r="AE231" s="787" t="s">
        <v>435</v>
      </c>
      <c r="AF231">
        <f>GDF_price_list[[#This Row],[Indicative 
FCA Price]]/GDF_price_list[[#This Row],[Unit]]</f>
        <v>647.92999999999995</v>
      </c>
    </row>
    <row r="232" spans="12:32" ht="102">
      <c r="L232" s="416"/>
      <c r="M232" s="416"/>
      <c r="N232" s="416"/>
      <c r="O232" s="439"/>
      <c r="P232" s="417"/>
      <c r="Q232" s="417"/>
      <c r="R232" s="417">
        <f>IFERROR(ROUND(Bunuri_lab_nomenc[[#This Row],[Cost unitate GFATM_valuta]]*VLOOKUP(Bunuri_lab_nomenc[[#This Row],[Valuta cost GFATM]],$B$58:$D$59,2,0),2),0)</f>
        <v>0</v>
      </c>
      <c r="S232" s="417" t="str">
        <f>IFERROR(VLOOKUP(Bunuri_lab_nomenc[[#This Row],[Denumire catalog GDF]],GDF_price_list[[Product Name]:[Column1]],8,0),"")</f>
        <v/>
      </c>
      <c r="T232" s="417" t="e">
        <f>VLOOKUP(Bunuri_lab_nomenc[[#This Row],[Denumire catalog GDF]],GDF_price_list[[Product Name]:[Column1]],7,0)</f>
        <v>#N/A</v>
      </c>
      <c r="V232" s="786" t="s">
        <v>740</v>
      </c>
      <c r="W232" s="738" t="s">
        <v>750</v>
      </c>
      <c r="X232" s="765">
        <v>106123</v>
      </c>
      <c r="Y232" s="763" t="s">
        <v>1463</v>
      </c>
      <c r="Z232" s="759" t="s">
        <v>610</v>
      </c>
      <c r="AA232" s="742" t="s">
        <v>1802</v>
      </c>
      <c r="AB232" s="764">
        <v>1</v>
      </c>
      <c r="AC232" s="747" t="s">
        <v>1464</v>
      </c>
      <c r="AD232" s="776">
        <v>170.53464999999997</v>
      </c>
      <c r="AE232" s="791" t="s">
        <v>435</v>
      </c>
      <c r="AF232">
        <f>GDF_price_list[[#This Row],[Indicative 
FCA Price]]/GDF_price_list[[#This Row],[Unit]]</f>
        <v>170.53464999999997</v>
      </c>
    </row>
    <row r="233" spans="12:32" ht="85">
      <c r="L233" s="416"/>
      <c r="M233" s="416"/>
      <c r="N233" s="416"/>
      <c r="O233" s="439"/>
      <c r="P233" s="417"/>
      <c r="Q233" s="417"/>
      <c r="R233" s="417">
        <f>IFERROR(ROUND(Bunuri_lab_nomenc[[#This Row],[Cost unitate GFATM_valuta]]*VLOOKUP(Bunuri_lab_nomenc[[#This Row],[Valuta cost GFATM]],$B$58:$D$59,2,0),2),0)</f>
        <v>0</v>
      </c>
      <c r="S233" s="417" t="str">
        <f>IFERROR(VLOOKUP(Bunuri_lab_nomenc[[#This Row],[Denumire catalog GDF]],GDF_price_list[[Product Name]:[Column1]],8,0),"")</f>
        <v/>
      </c>
      <c r="T233" s="417" t="e">
        <f>VLOOKUP(Bunuri_lab_nomenc[[#This Row],[Denumire catalog GDF]],GDF_price_list[[Product Name]:[Column1]],7,0)</f>
        <v>#N/A</v>
      </c>
      <c r="V233" s="786" t="s">
        <v>648</v>
      </c>
      <c r="W233" s="738" t="s">
        <v>679</v>
      </c>
      <c r="X233" s="745">
        <v>106129</v>
      </c>
      <c r="Y233" s="754" t="s">
        <v>1465</v>
      </c>
      <c r="Z233" s="742" t="s">
        <v>610</v>
      </c>
      <c r="AA233" s="742" t="s">
        <v>1802</v>
      </c>
      <c r="AB233" s="746">
        <v>1</v>
      </c>
      <c r="AC233" s="743" t="s">
        <v>1466</v>
      </c>
      <c r="AD233" s="744">
        <v>296.01</v>
      </c>
      <c r="AE233" s="787" t="s">
        <v>435</v>
      </c>
      <c r="AF233">
        <f>GDF_price_list[[#This Row],[Indicative 
FCA Price]]/GDF_price_list[[#This Row],[Unit]]</f>
        <v>296.01</v>
      </c>
    </row>
    <row r="234" spans="12:32" ht="68">
      <c r="L234" s="416"/>
      <c r="M234" s="416"/>
      <c r="N234" s="416"/>
      <c r="O234" s="439"/>
      <c r="P234" s="417"/>
      <c r="Q234" s="417"/>
      <c r="R234" s="417">
        <f>IFERROR(ROUND(Bunuri_lab_nomenc[[#This Row],[Cost unitate GFATM_valuta]]*VLOOKUP(Bunuri_lab_nomenc[[#This Row],[Valuta cost GFATM]],$B$58:$D$59,2,0),2),0)</f>
        <v>0</v>
      </c>
      <c r="S234" s="417" t="str">
        <f>IFERROR(VLOOKUP(Bunuri_lab_nomenc[[#This Row],[Denumire catalog GDF]],GDF_price_list[[Product Name]:[Column1]],8,0),"")</f>
        <v/>
      </c>
      <c r="T234" s="417" t="e">
        <f>VLOOKUP(Bunuri_lab_nomenc[[#This Row],[Denumire catalog GDF]],GDF_price_list[[Product Name]:[Column1]],7,0)</f>
        <v>#N/A</v>
      </c>
      <c r="V234" s="786" t="s">
        <v>666</v>
      </c>
      <c r="W234" s="738" t="s">
        <v>940</v>
      </c>
      <c r="X234" s="739">
        <v>106247</v>
      </c>
      <c r="Y234" s="740" t="s">
        <v>1467</v>
      </c>
      <c r="Z234" s="742" t="s">
        <v>610</v>
      </c>
      <c r="AA234" s="742" t="s">
        <v>1802</v>
      </c>
      <c r="AB234" s="742">
        <v>1</v>
      </c>
      <c r="AC234" s="743" t="s">
        <v>1468</v>
      </c>
      <c r="AD234" s="744">
        <v>5976.24</v>
      </c>
      <c r="AE234" s="787" t="s">
        <v>435</v>
      </c>
      <c r="AF234">
        <f>GDF_price_list[[#This Row],[Indicative 
FCA Price]]/GDF_price_list[[#This Row],[Unit]]</f>
        <v>5976.24</v>
      </c>
    </row>
    <row r="235" spans="12:32" ht="51">
      <c r="L235" s="416"/>
      <c r="M235" s="416"/>
      <c r="N235" s="416"/>
      <c r="O235" s="439"/>
      <c r="P235" s="417"/>
      <c r="Q235" s="417"/>
      <c r="R235" s="417">
        <f>IFERROR(ROUND(Bunuri_lab_nomenc[[#This Row],[Cost unitate GFATM_valuta]]*VLOOKUP(Bunuri_lab_nomenc[[#This Row],[Valuta cost GFATM]],$B$58:$D$59,2,0),2),0)</f>
        <v>0</v>
      </c>
      <c r="S235" s="417" t="str">
        <f>IFERROR(VLOOKUP(Bunuri_lab_nomenc[[#This Row],[Denumire catalog GDF]],GDF_price_list[[Product Name]:[Column1]],8,0),"")</f>
        <v/>
      </c>
      <c r="T235" s="417" t="e">
        <f>VLOOKUP(Bunuri_lab_nomenc[[#This Row],[Denumire catalog GDF]],GDF_price_list[[Product Name]:[Column1]],7,0)</f>
        <v>#N/A</v>
      </c>
      <c r="V235" s="786" t="s">
        <v>621</v>
      </c>
      <c r="W235" s="738" t="s">
        <v>701</v>
      </c>
      <c r="X235" s="757">
        <v>106121</v>
      </c>
      <c r="Y235" s="763" t="s">
        <v>1469</v>
      </c>
      <c r="Z235" s="759" t="s">
        <v>610</v>
      </c>
      <c r="AA235" s="742" t="s">
        <v>1802</v>
      </c>
      <c r="AB235" s="781">
        <v>1</v>
      </c>
      <c r="AC235" s="747" t="s">
        <v>1470</v>
      </c>
      <c r="AD235" s="761">
        <v>1053.8</v>
      </c>
      <c r="AE235" s="791" t="s">
        <v>435</v>
      </c>
      <c r="AF235">
        <f>GDF_price_list[[#This Row],[Indicative 
FCA Price]]/GDF_price_list[[#This Row],[Unit]]</f>
        <v>1053.8</v>
      </c>
    </row>
    <row r="236" spans="12:32" ht="51">
      <c r="L236" s="416"/>
      <c r="M236" s="416"/>
      <c r="N236" s="416"/>
      <c r="O236" s="439"/>
      <c r="P236" s="417"/>
      <c r="Q236" s="417"/>
      <c r="R236" s="417">
        <f>IFERROR(ROUND(Bunuri_lab_nomenc[[#This Row],[Cost unitate GFATM_valuta]]*VLOOKUP(Bunuri_lab_nomenc[[#This Row],[Valuta cost GFATM]],$B$58:$D$59,2,0),2),0)</f>
        <v>0</v>
      </c>
      <c r="S236" s="417" t="str">
        <f>IFERROR(VLOOKUP(Bunuri_lab_nomenc[[#This Row],[Denumire catalog GDF]],GDF_price_list[[Product Name]:[Column1]],8,0),"")</f>
        <v/>
      </c>
      <c r="T236" s="417" t="e">
        <f>VLOOKUP(Bunuri_lab_nomenc[[#This Row],[Denumire catalog GDF]],GDF_price_list[[Product Name]:[Column1]],7,0)</f>
        <v>#N/A</v>
      </c>
      <c r="V236" s="786" t="s">
        <v>621</v>
      </c>
      <c r="W236" s="738" t="s">
        <v>701</v>
      </c>
      <c r="X236" s="757">
        <v>106121</v>
      </c>
      <c r="Y236" s="763" t="s">
        <v>1469</v>
      </c>
      <c r="Z236" s="759" t="s">
        <v>610</v>
      </c>
      <c r="AA236" s="742" t="s">
        <v>1802</v>
      </c>
      <c r="AB236" s="781">
        <v>1</v>
      </c>
      <c r="AC236" s="747" t="s">
        <v>1471</v>
      </c>
      <c r="AD236" s="761">
        <v>1053.8</v>
      </c>
      <c r="AE236" s="791" t="s">
        <v>435</v>
      </c>
      <c r="AF236">
        <f>GDF_price_list[[#This Row],[Indicative 
FCA Price]]/GDF_price_list[[#This Row],[Unit]]</f>
        <v>1053.8</v>
      </c>
    </row>
    <row r="237" spans="12:32" ht="51">
      <c r="L237" s="416"/>
      <c r="M237" s="416"/>
      <c r="N237" s="416"/>
      <c r="O237" s="439"/>
      <c r="P237" s="417"/>
      <c r="Q237" s="417"/>
      <c r="R237" s="417">
        <f>IFERROR(ROUND(Bunuri_lab_nomenc[[#This Row],[Cost unitate GFATM_valuta]]*VLOOKUP(Bunuri_lab_nomenc[[#This Row],[Valuta cost GFATM]],$B$58:$D$59,2,0),2),0)</f>
        <v>0</v>
      </c>
      <c r="S237" s="417" t="str">
        <f>IFERROR(VLOOKUP(Bunuri_lab_nomenc[[#This Row],[Denumire catalog GDF]],GDF_price_list[[Product Name]:[Column1]],8,0),"")</f>
        <v/>
      </c>
      <c r="T237" s="417" t="e">
        <f>VLOOKUP(Bunuri_lab_nomenc[[#This Row],[Denumire catalog GDF]],GDF_price_list[[Product Name]:[Column1]],7,0)</f>
        <v>#N/A</v>
      </c>
      <c r="V237" s="786" t="s">
        <v>621</v>
      </c>
      <c r="W237" s="738" t="s">
        <v>701</v>
      </c>
      <c r="X237" s="757">
        <v>106121</v>
      </c>
      <c r="Y237" s="763" t="s">
        <v>1469</v>
      </c>
      <c r="Z237" s="759" t="s">
        <v>610</v>
      </c>
      <c r="AA237" s="742" t="s">
        <v>1802</v>
      </c>
      <c r="AB237" s="781">
        <v>1</v>
      </c>
      <c r="AC237" s="747" t="s">
        <v>1472</v>
      </c>
      <c r="AD237" s="761">
        <v>1346.85</v>
      </c>
      <c r="AE237" s="791" t="s">
        <v>435</v>
      </c>
      <c r="AF237">
        <f>GDF_price_list[[#This Row],[Indicative 
FCA Price]]/GDF_price_list[[#This Row],[Unit]]</f>
        <v>1346.85</v>
      </c>
    </row>
    <row r="238" spans="12:32" ht="51">
      <c r="L238" s="416"/>
      <c r="M238" s="416"/>
      <c r="N238" s="416"/>
      <c r="O238" s="439"/>
      <c r="P238" s="417"/>
      <c r="Q238" s="417"/>
      <c r="R238" s="417">
        <f>IFERROR(ROUND(Bunuri_lab_nomenc[[#This Row],[Cost unitate GFATM_valuta]]*VLOOKUP(Bunuri_lab_nomenc[[#This Row],[Valuta cost GFATM]],$B$58:$D$59,2,0),2),0)</f>
        <v>0</v>
      </c>
      <c r="S238" s="417" t="str">
        <f>IFERROR(VLOOKUP(Bunuri_lab_nomenc[[#This Row],[Denumire catalog GDF]],GDF_price_list[[Product Name]:[Column1]],8,0),"")</f>
        <v/>
      </c>
      <c r="T238" s="417" t="e">
        <f>VLOOKUP(Bunuri_lab_nomenc[[#This Row],[Denumire catalog GDF]],GDF_price_list[[Product Name]:[Column1]],7,0)</f>
        <v>#N/A</v>
      </c>
      <c r="V238" s="786" t="s">
        <v>621</v>
      </c>
      <c r="W238" s="738" t="s">
        <v>701</v>
      </c>
      <c r="X238" s="757">
        <v>106121</v>
      </c>
      <c r="Y238" s="763" t="s">
        <v>1469</v>
      </c>
      <c r="Z238" s="759" t="s">
        <v>610</v>
      </c>
      <c r="AA238" s="742" t="s">
        <v>1802</v>
      </c>
      <c r="AB238" s="781">
        <v>1</v>
      </c>
      <c r="AC238" s="747" t="s">
        <v>1473</v>
      </c>
      <c r="AD238" s="761">
        <v>1346.85</v>
      </c>
      <c r="AE238" s="791" t="s">
        <v>435</v>
      </c>
      <c r="AF238">
        <f>GDF_price_list[[#This Row],[Indicative 
FCA Price]]/GDF_price_list[[#This Row],[Unit]]</f>
        <v>1346.85</v>
      </c>
    </row>
    <row r="239" spans="12:32" ht="17">
      <c r="L239" s="416"/>
      <c r="M239" s="416"/>
      <c r="N239" s="416"/>
      <c r="O239" s="439"/>
      <c r="P239" s="417"/>
      <c r="Q239" s="417"/>
      <c r="R239" s="417">
        <f>IFERROR(ROUND(Bunuri_lab_nomenc[[#This Row],[Cost unitate GFATM_valuta]]*VLOOKUP(Bunuri_lab_nomenc[[#This Row],[Valuta cost GFATM]],$B$58:$D$59,2,0),2),0)</f>
        <v>0</v>
      </c>
      <c r="S239" s="417" t="str">
        <f>IFERROR(VLOOKUP(Bunuri_lab_nomenc[[#This Row],[Denumire catalog GDF]],GDF_price_list[[Product Name]:[Column1]],8,0),"")</f>
        <v/>
      </c>
      <c r="T239" s="417" t="e">
        <f>VLOOKUP(Bunuri_lab_nomenc[[#This Row],[Denumire catalog GDF]],GDF_price_list[[Product Name]:[Column1]],7,0)</f>
        <v>#N/A</v>
      </c>
      <c r="V239" s="786" t="s">
        <v>638</v>
      </c>
      <c r="W239" s="738" t="s">
        <v>852</v>
      </c>
      <c r="X239" s="745">
        <v>106092</v>
      </c>
      <c r="Y239" s="740" t="s">
        <v>1474</v>
      </c>
      <c r="Z239" s="742" t="s">
        <v>610</v>
      </c>
      <c r="AA239" s="742" t="s">
        <v>1802</v>
      </c>
      <c r="AB239" s="746">
        <v>1</v>
      </c>
      <c r="AC239" s="743" t="s">
        <v>1475</v>
      </c>
      <c r="AD239" s="744">
        <v>11.34</v>
      </c>
      <c r="AE239" s="787" t="s">
        <v>435</v>
      </c>
      <c r="AF239">
        <f>GDF_price_list[[#This Row],[Indicative 
FCA Price]]/GDF_price_list[[#This Row],[Unit]]</f>
        <v>11.34</v>
      </c>
    </row>
    <row r="240" spans="12:32" ht="34">
      <c r="L240" s="416"/>
      <c r="M240" s="416"/>
      <c r="N240" s="416"/>
      <c r="O240" s="439"/>
      <c r="P240" s="417"/>
      <c r="Q240" s="417"/>
      <c r="R240" s="417">
        <f>IFERROR(ROUND(Bunuri_lab_nomenc[[#This Row],[Cost unitate GFATM_valuta]]*VLOOKUP(Bunuri_lab_nomenc[[#This Row],[Valuta cost GFATM]],$B$58:$D$59,2,0),2),0)</f>
        <v>0</v>
      </c>
      <c r="S240" s="417" t="str">
        <f>IFERROR(VLOOKUP(Bunuri_lab_nomenc[[#This Row],[Denumire catalog GDF]],GDF_price_list[[Product Name]:[Column1]],8,0),"")</f>
        <v/>
      </c>
      <c r="T240" s="417" t="e">
        <f>VLOOKUP(Bunuri_lab_nomenc[[#This Row],[Denumire catalog GDF]],GDF_price_list[[Product Name]:[Column1]],7,0)</f>
        <v>#N/A</v>
      </c>
      <c r="V240" s="786" t="s">
        <v>612</v>
      </c>
      <c r="W240" s="738" t="s">
        <v>842</v>
      </c>
      <c r="X240" s="745">
        <v>106446</v>
      </c>
      <c r="Y240" s="740" t="s">
        <v>1494</v>
      </c>
      <c r="Z240" s="742" t="s">
        <v>610</v>
      </c>
      <c r="AA240" s="742" t="s">
        <v>1802</v>
      </c>
      <c r="AB240" s="746">
        <v>1</v>
      </c>
      <c r="AC240" s="743" t="s">
        <v>1495</v>
      </c>
      <c r="AD240" s="744">
        <v>109.44</v>
      </c>
      <c r="AE240" s="787" t="s">
        <v>435</v>
      </c>
      <c r="AF240">
        <f>GDF_price_list[[#This Row],[Indicative 
FCA Price]]/GDF_price_list[[#This Row],[Unit]]</f>
        <v>109.44</v>
      </c>
    </row>
    <row r="241" spans="12:32" ht="17">
      <c r="L241" s="416"/>
      <c r="M241" s="416"/>
      <c r="N241" s="416"/>
      <c r="O241" s="439"/>
      <c r="P241" s="417"/>
      <c r="Q241" s="417"/>
      <c r="R241" s="417">
        <f>IFERROR(ROUND(Bunuri_lab_nomenc[[#This Row],[Cost unitate GFATM_valuta]]*VLOOKUP(Bunuri_lab_nomenc[[#This Row],[Valuta cost GFATM]],$B$58:$D$59,2,0),2),0)</f>
        <v>0</v>
      </c>
      <c r="S241" s="417" t="str">
        <f>IFERROR(VLOOKUP(Bunuri_lab_nomenc[[#This Row],[Denumire catalog GDF]],GDF_price_list[[Product Name]:[Column1]],8,0),"")</f>
        <v/>
      </c>
      <c r="T241" s="417" t="e">
        <f>VLOOKUP(Bunuri_lab_nomenc[[#This Row],[Denumire catalog GDF]],GDF_price_list[[Product Name]:[Column1]],7,0)</f>
        <v>#N/A</v>
      </c>
      <c r="V241" s="786" t="s">
        <v>612</v>
      </c>
      <c r="W241" s="738" t="s">
        <v>842</v>
      </c>
      <c r="X241" s="745">
        <v>106246</v>
      </c>
      <c r="Y241" s="740" t="s">
        <v>1496</v>
      </c>
      <c r="Z241" s="742" t="s">
        <v>610</v>
      </c>
      <c r="AA241" s="742" t="s">
        <v>1802</v>
      </c>
      <c r="AB241" s="746">
        <v>1</v>
      </c>
      <c r="AC241" s="743" t="s">
        <v>1497</v>
      </c>
      <c r="AD241" s="744">
        <v>3.61</v>
      </c>
      <c r="AE241" s="787" t="s">
        <v>435</v>
      </c>
      <c r="AF241">
        <f>GDF_price_list[[#This Row],[Indicative 
FCA Price]]/GDF_price_list[[#This Row],[Unit]]</f>
        <v>3.61</v>
      </c>
    </row>
    <row r="242" spans="12:32" ht="17">
      <c r="L242" s="416"/>
      <c r="M242" s="416"/>
      <c r="N242" s="416"/>
      <c r="O242" s="439"/>
      <c r="P242" s="417"/>
      <c r="Q242" s="417"/>
      <c r="R242" s="417">
        <f>IFERROR(ROUND(Bunuri_lab_nomenc[[#This Row],[Cost unitate GFATM_valuta]]*VLOOKUP(Bunuri_lab_nomenc[[#This Row],[Valuta cost GFATM]],$B$58:$D$59,2,0),2),0)</f>
        <v>0</v>
      </c>
      <c r="S242" s="417" t="str">
        <f>IFERROR(VLOOKUP(Bunuri_lab_nomenc[[#This Row],[Denumire catalog GDF]],GDF_price_list[[Product Name]:[Column1]],8,0),"")</f>
        <v/>
      </c>
      <c r="T242" s="417" t="e">
        <f>VLOOKUP(Bunuri_lab_nomenc[[#This Row],[Denumire catalog GDF]],GDF_price_list[[Product Name]:[Column1]],7,0)</f>
        <v>#N/A</v>
      </c>
      <c r="V242" s="786" t="s">
        <v>612</v>
      </c>
      <c r="W242" s="738" t="s">
        <v>842</v>
      </c>
      <c r="X242" s="745">
        <v>106456</v>
      </c>
      <c r="Y242" s="740" t="s">
        <v>1498</v>
      </c>
      <c r="Z242" s="742" t="s">
        <v>610</v>
      </c>
      <c r="AA242" s="742" t="s">
        <v>1802</v>
      </c>
      <c r="AB242" s="773">
        <v>1</v>
      </c>
      <c r="AC242" s="743" t="s">
        <v>1499</v>
      </c>
      <c r="AD242" s="744">
        <v>27.63</v>
      </c>
      <c r="AE242" s="787" t="s">
        <v>435</v>
      </c>
      <c r="AF242">
        <f>GDF_price_list[[#This Row],[Indicative 
FCA Price]]/GDF_price_list[[#This Row],[Unit]]</f>
        <v>27.63</v>
      </c>
    </row>
    <row r="243" spans="12:32" ht="17">
      <c r="L243" s="416"/>
      <c r="M243" s="416"/>
      <c r="N243" s="416"/>
      <c r="O243" s="439"/>
      <c r="P243" s="417"/>
      <c r="Q243" s="417"/>
      <c r="R243" s="417">
        <f>IFERROR(ROUND(Bunuri_lab_nomenc[[#This Row],[Cost unitate GFATM_valuta]]*VLOOKUP(Bunuri_lab_nomenc[[#This Row],[Valuta cost GFATM]],$B$58:$D$59,2,0),2),0)</f>
        <v>0</v>
      </c>
      <c r="S243" s="417" t="str">
        <f>IFERROR(VLOOKUP(Bunuri_lab_nomenc[[#This Row],[Denumire catalog GDF]],GDF_price_list[[Product Name]:[Column1]],8,0),"")</f>
        <v/>
      </c>
      <c r="T243" s="417" t="e">
        <f>VLOOKUP(Bunuri_lab_nomenc[[#This Row],[Denumire catalog GDF]],GDF_price_list[[Product Name]:[Column1]],7,0)</f>
        <v>#N/A</v>
      </c>
      <c r="V243" s="786" t="s">
        <v>612</v>
      </c>
      <c r="W243" s="738" t="s">
        <v>842</v>
      </c>
      <c r="X243" s="782">
        <v>106270</v>
      </c>
      <c r="Y243" s="740" t="s">
        <v>1500</v>
      </c>
      <c r="Z243" s="742" t="s">
        <v>610</v>
      </c>
      <c r="AA243" s="742" t="s">
        <v>1802</v>
      </c>
      <c r="AB243" s="783">
        <v>1</v>
      </c>
      <c r="AC243" s="743" t="s">
        <v>1501</v>
      </c>
      <c r="AD243" s="744">
        <v>30.83</v>
      </c>
      <c r="AE243" s="787" t="s">
        <v>435</v>
      </c>
      <c r="AF243">
        <f>GDF_price_list[[#This Row],[Indicative 
FCA Price]]/GDF_price_list[[#This Row],[Unit]]</f>
        <v>30.83</v>
      </c>
    </row>
    <row r="244" spans="12:32" ht="51">
      <c r="L244" s="416"/>
      <c r="M244" s="416"/>
      <c r="N244" s="416"/>
      <c r="O244" s="439"/>
      <c r="P244" s="417"/>
      <c r="Q244" s="417"/>
      <c r="R244" s="417">
        <f>IFERROR(ROUND(Bunuri_lab_nomenc[[#This Row],[Cost unitate GFATM_valuta]]*VLOOKUP(Bunuri_lab_nomenc[[#This Row],[Valuta cost GFATM]],$B$58:$D$59,2,0),2),0)</f>
        <v>0</v>
      </c>
      <c r="S244" s="417" t="str">
        <f>IFERROR(VLOOKUP(Bunuri_lab_nomenc[[#This Row],[Denumire catalog GDF]],GDF_price_list[[Product Name]:[Column1]],8,0),"")</f>
        <v/>
      </c>
      <c r="T244" s="417" t="e">
        <f>VLOOKUP(Bunuri_lab_nomenc[[#This Row],[Denumire catalog GDF]],GDF_price_list[[Product Name]:[Column1]],7,0)</f>
        <v>#N/A</v>
      </c>
      <c r="V244" s="786" t="s">
        <v>612</v>
      </c>
      <c r="W244" s="738" t="s">
        <v>842</v>
      </c>
      <c r="X244" s="745">
        <v>106413</v>
      </c>
      <c r="Y244" s="740" t="s">
        <v>1502</v>
      </c>
      <c r="Z244" s="742" t="s">
        <v>610</v>
      </c>
      <c r="AA244" s="742" t="s">
        <v>1802</v>
      </c>
      <c r="AB244" s="773">
        <v>1</v>
      </c>
      <c r="AC244" s="743" t="s">
        <v>1503</v>
      </c>
      <c r="AD244" s="744">
        <v>13.54</v>
      </c>
      <c r="AE244" s="787" t="s">
        <v>435</v>
      </c>
      <c r="AF244">
        <f>GDF_price_list[[#This Row],[Indicative 
FCA Price]]/GDF_price_list[[#This Row],[Unit]]</f>
        <v>13.54</v>
      </c>
    </row>
    <row r="245" spans="12:32" ht="17">
      <c r="L245" s="416"/>
      <c r="M245" s="416"/>
      <c r="N245" s="416"/>
      <c r="O245" s="439"/>
      <c r="P245" s="417"/>
      <c r="Q245" s="417"/>
      <c r="R245" s="417">
        <f>IFERROR(ROUND(Bunuri_lab_nomenc[[#This Row],[Cost unitate GFATM_valuta]]*VLOOKUP(Bunuri_lab_nomenc[[#This Row],[Valuta cost GFATM]],$B$58:$D$59,2,0),2),0)</f>
        <v>0</v>
      </c>
      <c r="S245" s="417" t="str">
        <f>IFERROR(VLOOKUP(Bunuri_lab_nomenc[[#This Row],[Denumire catalog GDF]],GDF_price_list[[Product Name]:[Column1]],8,0),"")</f>
        <v/>
      </c>
      <c r="T245" s="417" t="e">
        <f>VLOOKUP(Bunuri_lab_nomenc[[#This Row],[Denumire catalog GDF]],GDF_price_list[[Product Name]:[Column1]],7,0)</f>
        <v>#N/A</v>
      </c>
      <c r="V245" s="786" t="s">
        <v>612</v>
      </c>
      <c r="W245" s="738" t="s">
        <v>842</v>
      </c>
      <c r="X245" s="745">
        <v>106058</v>
      </c>
      <c r="Y245" s="740" t="s">
        <v>1504</v>
      </c>
      <c r="Z245" s="742" t="s">
        <v>610</v>
      </c>
      <c r="AA245" s="742" t="s">
        <v>1802</v>
      </c>
      <c r="AB245" s="746">
        <v>1</v>
      </c>
      <c r="AC245" s="743" t="s">
        <v>1505</v>
      </c>
      <c r="AD245" s="744">
        <v>36.49</v>
      </c>
      <c r="AE245" s="787" t="s">
        <v>435</v>
      </c>
      <c r="AF245">
        <f>GDF_price_list[[#This Row],[Indicative 
FCA Price]]/GDF_price_list[[#This Row],[Unit]]</f>
        <v>36.49</v>
      </c>
    </row>
    <row r="246" spans="12:32" ht="17">
      <c r="L246" s="416"/>
      <c r="M246" s="416"/>
      <c r="N246" s="416"/>
      <c r="O246" s="439"/>
      <c r="P246" s="417"/>
      <c r="Q246" s="417"/>
      <c r="R246" s="417">
        <f>IFERROR(ROUND(Bunuri_lab_nomenc[[#This Row],[Cost unitate GFATM_valuta]]*VLOOKUP(Bunuri_lab_nomenc[[#This Row],[Valuta cost GFATM]],$B$58:$D$59,2,0),2),0)</f>
        <v>0</v>
      </c>
      <c r="S246" s="417" t="str">
        <f>IFERROR(VLOOKUP(Bunuri_lab_nomenc[[#This Row],[Denumire catalog GDF]],GDF_price_list[[Product Name]:[Column1]],8,0),"")</f>
        <v/>
      </c>
      <c r="T246" s="417" t="e">
        <f>VLOOKUP(Bunuri_lab_nomenc[[#This Row],[Denumire catalog GDF]],GDF_price_list[[Product Name]:[Column1]],7,0)</f>
        <v>#N/A</v>
      </c>
      <c r="V246" s="786" t="s">
        <v>666</v>
      </c>
      <c r="W246" s="738" t="s">
        <v>793</v>
      </c>
      <c r="X246" s="739">
        <v>106583</v>
      </c>
      <c r="Y246" s="740" t="s">
        <v>1506</v>
      </c>
      <c r="Z246" s="742" t="s">
        <v>610</v>
      </c>
      <c r="AA246" s="742" t="s">
        <v>1802</v>
      </c>
      <c r="AB246" s="742">
        <v>1</v>
      </c>
      <c r="AC246" s="743" t="s">
        <v>1507</v>
      </c>
      <c r="AD246" s="753">
        <v>28.78</v>
      </c>
      <c r="AE246" s="790" t="s">
        <v>435</v>
      </c>
      <c r="AF246">
        <f>GDF_price_list[[#This Row],[Indicative 
FCA Price]]/GDF_price_list[[#This Row],[Unit]]</f>
        <v>28.78</v>
      </c>
    </row>
    <row r="247" spans="12:32" ht="51">
      <c r="L247" s="416"/>
      <c r="M247" s="416"/>
      <c r="N247" s="416"/>
      <c r="O247" s="439"/>
      <c r="P247" s="417"/>
      <c r="Q247" s="417"/>
      <c r="R247" s="417">
        <f>IFERROR(ROUND(Bunuri_lab_nomenc[[#This Row],[Cost unitate GFATM_valuta]]*VLOOKUP(Bunuri_lab_nomenc[[#This Row],[Valuta cost GFATM]],$B$58:$D$59,2,0),2),0)</f>
        <v>0</v>
      </c>
      <c r="S247" s="417" t="str">
        <f>IFERROR(VLOOKUP(Bunuri_lab_nomenc[[#This Row],[Denumire catalog GDF]],GDF_price_list[[Product Name]:[Column1]],8,0),"")</f>
        <v/>
      </c>
      <c r="T247" s="417" t="e">
        <f>VLOOKUP(Bunuri_lab_nomenc[[#This Row],[Denumire catalog GDF]],GDF_price_list[[Product Name]:[Column1]],7,0)</f>
        <v>#N/A</v>
      </c>
      <c r="V247" s="786" t="s">
        <v>718</v>
      </c>
      <c r="W247" s="738" t="s">
        <v>719</v>
      </c>
      <c r="X247" s="739">
        <v>106593</v>
      </c>
      <c r="Y247" s="740" t="s">
        <v>1508</v>
      </c>
      <c r="Z247" s="742" t="s">
        <v>610</v>
      </c>
      <c r="AA247" s="742" t="s">
        <v>1802</v>
      </c>
      <c r="AB247" s="742">
        <v>1</v>
      </c>
      <c r="AC247" s="747" t="s">
        <v>1509</v>
      </c>
      <c r="AD247" s="753">
        <v>190.48</v>
      </c>
      <c r="AE247" s="790" t="s">
        <v>435</v>
      </c>
      <c r="AF247">
        <f>GDF_price_list[[#This Row],[Indicative 
FCA Price]]/GDF_price_list[[#This Row],[Unit]]</f>
        <v>190.48</v>
      </c>
    </row>
    <row r="248" spans="12:32" ht="34">
      <c r="L248" s="416"/>
      <c r="M248" s="416"/>
      <c r="N248" s="416"/>
      <c r="O248" s="439"/>
      <c r="P248" s="417"/>
      <c r="Q248" s="417"/>
      <c r="R248" s="417">
        <f>IFERROR(ROUND(Bunuri_lab_nomenc[[#This Row],[Cost unitate GFATM_valuta]]*VLOOKUP(Bunuri_lab_nomenc[[#This Row],[Valuta cost GFATM]],$B$58:$D$59,2,0),2),0)</f>
        <v>0</v>
      </c>
      <c r="S248" s="417" t="str">
        <f>IFERROR(VLOOKUP(Bunuri_lab_nomenc[[#This Row],[Denumire catalog GDF]],GDF_price_list[[Product Name]:[Column1]],8,0),"")</f>
        <v/>
      </c>
      <c r="T248" s="417" t="e">
        <f>VLOOKUP(Bunuri_lab_nomenc[[#This Row],[Denumire catalog GDF]],GDF_price_list[[Product Name]:[Column1]],7,0)</f>
        <v>#N/A</v>
      </c>
      <c r="V248" s="786" t="s">
        <v>666</v>
      </c>
      <c r="W248" s="738" t="s">
        <v>793</v>
      </c>
      <c r="X248" s="745">
        <v>106233</v>
      </c>
      <c r="Y248" s="740" t="s">
        <v>1510</v>
      </c>
      <c r="Z248" s="742" t="s">
        <v>610</v>
      </c>
      <c r="AA248" s="742" t="s">
        <v>1802</v>
      </c>
      <c r="AB248" s="746">
        <v>1</v>
      </c>
      <c r="AC248" s="743" t="s">
        <v>1511</v>
      </c>
      <c r="AD248" s="744">
        <v>23.84</v>
      </c>
      <c r="AE248" s="787" t="s">
        <v>435</v>
      </c>
      <c r="AF248">
        <f>GDF_price_list[[#This Row],[Indicative 
FCA Price]]/GDF_price_list[[#This Row],[Unit]]</f>
        <v>23.84</v>
      </c>
    </row>
    <row r="249" spans="12:32" ht="68">
      <c r="L249" s="416"/>
      <c r="M249" s="416"/>
      <c r="N249" s="416"/>
      <c r="O249" s="439"/>
      <c r="P249" s="417"/>
      <c r="Q249" s="417"/>
      <c r="R249" s="417">
        <f>IFERROR(ROUND(Bunuri_lab_nomenc[[#This Row],[Cost unitate GFATM_valuta]]*VLOOKUP(Bunuri_lab_nomenc[[#This Row],[Valuta cost GFATM]],$B$58:$D$59,2,0),2),0)</f>
        <v>0</v>
      </c>
      <c r="S249" s="417" t="str">
        <f>IFERROR(VLOOKUP(Bunuri_lab_nomenc[[#This Row],[Denumire catalog GDF]],GDF_price_list[[Product Name]:[Column1]],8,0),"")</f>
        <v/>
      </c>
      <c r="T249" s="417" t="e">
        <f>VLOOKUP(Bunuri_lab_nomenc[[#This Row],[Denumire catalog GDF]],GDF_price_list[[Product Name]:[Column1]],7,0)</f>
        <v>#N/A</v>
      </c>
      <c r="V249" s="786" t="s">
        <v>612</v>
      </c>
      <c r="W249" s="738" t="s">
        <v>842</v>
      </c>
      <c r="X249" s="745">
        <v>106410</v>
      </c>
      <c r="Y249" s="740" t="s">
        <v>1514</v>
      </c>
      <c r="Z249" s="742" t="s">
        <v>610</v>
      </c>
      <c r="AA249" s="742" t="s">
        <v>1802</v>
      </c>
      <c r="AB249" s="746">
        <v>1</v>
      </c>
      <c r="AC249" s="743" t="s">
        <v>1515</v>
      </c>
      <c r="AD249" s="744">
        <v>12.88</v>
      </c>
      <c r="AE249" s="787" t="s">
        <v>435</v>
      </c>
      <c r="AF249">
        <f>GDF_price_list[[#This Row],[Indicative 
FCA Price]]/GDF_price_list[[#This Row],[Unit]]</f>
        <v>12.88</v>
      </c>
    </row>
    <row r="250" spans="12:32" ht="17">
      <c r="L250" s="416"/>
      <c r="M250" s="416"/>
      <c r="N250" s="416"/>
      <c r="O250" s="439"/>
      <c r="P250" s="417"/>
      <c r="Q250" s="417"/>
      <c r="R250" s="417">
        <f>IFERROR(ROUND(Bunuri_lab_nomenc[[#This Row],[Cost unitate GFATM_valuta]]*VLOOKUP(Bunuri_lab_nomenc[[#This Row],[Valuta cost GFATM]],$B$58:$D$59,2,0),2),0)</f>
        <v>0</v>
      </c>
      <c r="S250" s="417" t="str">
        <f>IFERROR(VLOOKUP(Bunuri_lab_nomenc[[#This Row],[Denumire catalog GDF]],GDF_price_list[[Product Name]:[Column1]],8,0),"")</f>
        <v/>
      </c>
      <c r="T250" s="417" t="e">
        <f>VLOOKUP(Bunuri_lab_nomenc[[#This Row],[Denumire catalog GDF]],GDF_price_list[[Product Name]:[Column1]],7,0)</f>
        <v>#N/A</v>
      </c>
      <c r="V250" s="786" t="s">
        <v>648</v>
      </c>
      <c r="W250" s="738" t="s">
        <v>649</v>
      </c>
      <c r="X250" s="739">
        <v>106571</v>
      </c>
      <c r="Y250" s="754" t="s">
        <v>1520</v>
      </c>
      <c r="Z250" s="742" t="s">
        <v>651</v>
      </c>
      <c r="AA250" s="742" t="s">
        <v>1802</v>
      </c>
      <c r="AB250" s="742">
        <v>1</v>
      </c>
      <c r="AC250" s="743" t="s">
        <v>1521</v>
      </c>
      <c r="AD250" s="753">
        <v>4.72</v>
      </c>
      <c r="AE250" s="790" t="s">
        <v>435</v>
      </c>
      <c r="AF250">
        <f>GDF_price_list[[#This Row],[Indicative 
FCA Price]]/GDF_price_list[[#This Row],[Unit]]</f>
        <v>4.72</v>
      </c>
    </row>
    <row r="251" spans="12:32" ht="17">
      <c r="L251" s="416"/>
      <c r="M251" s="416"/>
      <c r="N251" s="416"/>
      <c r="O251" s="439"/>
      <c r="P251" s="417"/>
      <c r="Q251" s="417"/>
      <c r="R251" s="417">
        <f>IFERROR(ROUND(Bunuri_lab_nomenc[[#This Row],[Cost unitate GFATM_valuta]]*VLOOKUP(Bunuri_lab_nomenc[[#This Row],[Valuta cost GFATM]],$B$58:$D$59,2,0),2),0)</f>
        <v>0</v>
      </c>
      <c r="S251" s="417" t="str">
        <f>IFERROR(VLOOKUP(Bunuri_lab_nomenc[[#This Row],[Denumire catalog GDF]],GDF_price_list[[Product Name]:[Column1]],8,0),"")</f>
        <v/>
      </c>
      <c r="T251" s="417" t="e">
        <f>VLOOKUP(Bunuri_lab_nomenc[[#This Row],[Denumire catalog GDF]],GDF_price_list[[Product Name]:[Column1]],7,0)</f>
        <v>#N/A</v>
      </c>
      <c r="V251" s="786" t="s">
        <v>648</v>
      </c>
      <c r="W251" s="738" t="s">
        <v>649</v>
      </c>
      <c r="X251" s="749">
        <v>106607</v>
      </c>
      <c r="Y251" s="772" t="s">
        <v>1522</v>
      </c>
      <c r="Z251" s="755" t="s">
        <v>610</v>
      </c>
      <c r="AA251" s="742" t="s">
        <v>1802</v>
      </c>
      <c r="AB251" s="751">
        <v>1</v>
      </c>
      <c r="AC251" s="756" t="s">
        <v>1523</v>
      </c>
      <c r="AD251" s="752">
        <v>20.02</v>
      </c>
      <c r="AE251" s="789" t="s">
        <v>435</v>
      </c>
      <c r="AF251">
        <f>GDF_price_list[[#This Row],[Indicative 
FCA Price]]/GDF_price_list[[#This Row],[Unit]]</f>
        <v>20.02</v>
      </c>
    </row>
    <row r="252" spans="12:32" ht="34">
      <c r="L252" s="416"/>
      <c r="M252" s="416"/>
      <c r="N252" s="416"/>
      <c r="O252" s="439"/>
      <c r="P252" s="417"/>
      <c r="Q252" s="417"/>
      <c r="R252" s="417">
        <f>IFERROR(ROUND(Bunuri_lab_nomenc[[#This Row],[Cost unitate GFATM_valuta]]*VLOOKUP(Bunuri_lab_nomenc[[#This Row],[Valuta cost GFATM]],$B$58:$D$59,2,0),2),0)</f>
        <v>0</v>
      </c>
      <c r="S252" s="417" t="str">
        <f>IFERROR(VLOOKUP(Bunuri_lab_nomenc[[#This Row],[Denumire catalog GDF]],GDF_price_list[[Product Name]:[Column1]],8,0),"")</f>
        <v/>
      </c>
      <c r="T252" s="417" t="e">
        <f>VLOOKUP(Bunuri_lab_nomenc[[#This Row],[Denumire catalog GDF]],GDF_price_list[[Product Name]:[Column1]],7,0)</f>
        <v>#N/A</v>
      </c>
      <c r="V252" s="786" t="s">
        <v>638</v>
      </c>
      <c r="W252" s="738" t="s">
        <v>639</v>
      </c>
      <c r="X252" s="745">
        <v>106508</v>
      </c>
      <c r="Y252" s="740" t="s">
        <v>1524</v>
      </c>
      <c r="Z252" s="742" t="s">
        <v>610</v>
      </c>
      <c r="AA252" s="742" t="s">
        <v>1802</v>
      </c>
      <c r="AB252" s="742">
        <v>1</v>
      </c>
      <c r="AC252" s="743" t="s">
        <v>1525</v>
      </c>
      <c r="AD252" s="744">
        <v>50.61</v>
      </c>
      <c r="AE252" s="787" t="s">
        <v>435</v>
      </c>
      <c r="AF252">
        <f>GDF_price_list[[#This Row],[Indicative 
FCA Price]]/GDF_price_list[[#This Row],[Unit]]</f>
        <v>50.61</v>
      </c>
    </row>
    <row r="253" spans="12:32" ht="34">
      <c r="L253" s="416"/>
      <c r="M253" s="416"/>
      <c r="N253" s="416"/>
      <c r="O253" s="439"/>
      <c r="P253" s="417"/>
      <c r="Q253" s="417"/>
      <c r="R253" s="417">
        <f>IFERROR(ROUND(Bunuri_lab_nomenc[[#This Row],[Cost unitate GFATM_valuta]]*VLOOKUP(Bunuri_lab_nomenc[[#This Row],[Valuta cost GFATM]],$B$58:$D$59,2,0),2),0)</f>
        <v>0</v>
      </c>
      <c r="S253" s="417" t="str">
        <f>IFERROR(VLOOKUP(Bunuri_lab_nomenc[[#This Row],[Denumire catalog GDF]],GDF_price_list[[Product Name]:[Column1]],8,0),"")</f>
        <v/>
      </c>
      <c r="T253" s="417" t="e">
        <f>VLOOKUP(Bunuri_lab_nomenc[[#This Row],[Denumire catalog GDF]],GDF_price_list[[Product Name]:[Column1]],7,0)</f>
        <v>#N/A</v>
      </c>
      <c r="V253" s="786" t="s">
        <v>648</v>
      </c>
      <c r="W253" s="738" t="s">
        <v>679</v>
      </c>
      <c r="X253" s="740">
        <v>106629</v>
      </c>
      <c r="Y253" s="740" t="s">
        <v>1526</v>
      </c>
      <c r="Z253" s="742" t="s">
        <v>806</v>
      </c>
      <c r="AA253" s="742" t="s">
        <v>1802</v>
      </c>
      <c r="AB253" s="764">
        <v>1</v>
      </c>
      <c r="AC253" s="743" t="s">
        <v>1527</v>
      </c>
      <c r="AD253" s="744">
        <v>12.21</v>
      </c>
      <c r="AE253" s="790" t="s">
        <v>435</v>
      </c>
      <c r="AF253">
        <f>GDF_price_list[[#This Row],[Indicative 
FCA Price]]/GDF_price_list[[#This Row],[Unit]]</f>
        <v>12.21</v>
      </c>
    </row>
    <row r="254" spans="12:32" ht="238">
      <c r="L254" s="416"/>
      <c r="M254" s="416"/>
      <c r="N254" s="416"/>
      <c r="O254" s="439"/>
      <c r="P254" s="417"/>
      <c r="Q254" s="417"/>
      <c r="R254" s="417">
        <f>IFERROR(ROUND(Bunuri_lab_nomenc[[#This Row],[Cost unitate GFATM_valuta]]*VLOOKUP(Bunuri_lab_nomenc[[#This Row],[Valuta cost GFATM]],$B$58:$D$59,2,0),2),0)</f>
        <v>0</v>
      </c>
      <c r="S254" s="417" t="str">
        <f>IFERROR(VLOOKUP(Bunuri_lab_nomenc[[#This Row],[Denumire catalog GDF]],GDF_price_list[[Product Name]:[Column1]],8,0),"")</f>
        <v/>
      </c>
      <c r="T254" s="417" t="e">
        <f>VLOOKUP(Bunuri_lab_nomenc[[#This Row],[Denumire catalog GDF]],GDF_price_list[[Product Name]:[Column1]],7,0)</f>
        <v>#N/A</v>
      </c>
      <c r="V254" s="786" t="s">
        <v>612</v>
      </c>
      <c r="W254" s="738" t="s">
        <v>627</v>
      </c>
      <c r="X254" s="739">
        <v>106224</v>
      </c>
      <c r="Y254" s="740" t="s">
        <v>1528</v>
      </c>
      <c r="Z254" s="742" t="s">
        <v>610</v>
      </c>
      <c r="AA254" s="742" t="s">
        <v>1802</v>
      </c>
      <c r="AB254" s="742">
        <v>1</v>
      </c>
      <c r="AC254" s="743" t="s">
        <v>1529</v>
      </c>
      <c r="AD254" s="744">
        <v>5794.32</v>
      </c>
      <c r="AE254" s="787" t="s">
        <v>435</v>
      </c>
      <c r="AF254">
        <f>GDF_price_list[[#This Row],[Indicative 
FCA Price]]/GDF_price_list[[#This Row],[Unit]]</f>
        <v>5794.32</v>
      </c>
    </row>
    <row r="255" spans="12:32" ht="17">
      <c r="L255" s="416"/>
      <c r="M255" s="416"/>
      <c r="N255" s="416"/>
      <c r="O255" s="439"/>
      <c r="P255" s="417"/>
      <c r="Q255" s="417"/>
      <c r="R255" s="417">
        <f>IFERROR(ROUND(Bunuri_lab_nomenc[[#This Row],[Cost unitate GFATM_valuta]]*VLOOKUP(Bunuri_lab_nomenc[[#This Row],[Valuta cost GFATM]],$B$58:$D$59,2,0),2),0)</f>
        <v>0</v>
      </c>
      <c r="S255" s="417" t="str">
        <f>IFERROR(VLOOKUP(Bunuri_lab_nomenc[[#This Row],[Denumire catalog GDF]],GDF_price_list[[Product Name]:[Column1]],8,0),"")</f>
        <v/>
      </c>
      <c r="T255" s="417" t="e">
        <f>VLOOKUP(Bunuri_lab_nomenc[[#This Row],[Denumire catalog GDF]],GDF_price_list[[Product Name]:[Column1]],7,0)</f>
        <v>#N/A</v>
      </c>
      <c r="V255" s="786" t="s">
        <v>607</v>
      </c>
      <c r="W255" s="738" t="s">
        <v>1530</v>
      </c>
      <c r="X255" s="745">
        <v>106243</v>
      </c>
      <c r="Y255" s="740" t="s">
        <v>1531</v>
      </c>
      <c r="Z255" s="741" t="s">
        <v>610</v>
      </c>
      <c r="AA255" s="742" t="s">
        <v>1802</v>
      </c>
      <c r="AB255" s="746">
        <v>1</v>
      </c>
      <c r="AC255" s="743" t="s">
        <v>1532</v>
      </c>
      <c r="AD255" s="744">
        <v>122.43</v>
      </c>
      <c r="AE255" s="787" t="s">
        <v>435</v>
      </c>
      <c r="AF255">
        <f>GDF_price_list[[#This Row],[Indicative 
FCA Price]]/GDF_price_list[[#This Row],[Unit]]</f>
        <v>122.43</v>
      </c>
    </row>
    <row r="256" spans="12:32" ht="17">
      <c r="L256" s="416"/>
      <c r="M256" s="416"/>
      <c r="N256" s="416"/>
      <c r="O256" s="439"/>
      <c r="P256" s="417"/>
      <c r="Q256" s="417"/>
      <c r="R256" s="417">
        <f>IFERROR(ROUND(Bunuri_lab_nomenc[[#This Row],[Cost unitate GFATM_valuta]]*VLOOKUP(Bunuri_lab_nomenc[[#This Row],[Valuta cost GFATM]],$B$58:$D$59,2,0),2),0)</f>
        <v>0</v>
      </c>
      <c r="S256" s="417" t="str">
        <f>IFERROR(VLOOKUP(Bunuri_lab_nomenc[[#This Row],[Denumire catalog GDF]],GDF_price_list[[Product Name]:[Column1]],8,0),"")</f>
        <v/>
      </c>
      <c r="T256" s="417" t="e">
        <f>VLOOKUP(Bunuri_lab_nomenc[[#This Row],[Denumire catalog GDF]],GDF_price_list[[Product Name]:[Column1]],7,0)</f>
        <v>#N/A</v>
      </c>
      <c r="V256" s="786" t="s">
        <v>612</v>
      </c>
      <c r="W256" s="738" t="s">
        <v>842</v>
      </c>
      <c r="X256" s="739">
        <v>106061</v>
      </c>
      <c r="Y256" s="740" t="s">
        <v>1533</v>
      </c>
      <c r="Z256" s="742" t="s">
        <v>610</v>
      </c>
      <c r="AA256" s="742" t="s">
        <v>1802</v>
      </c>
      <c r="AB256" s="742">
        <v>1</v>
      </c>
      <c r="AC256" s="743" t="s">
        <v>1534</v>
      </c>
      <c r="AD256" s="744">
        <v>211.48</v>
      </c>
      <c r="AE256" s="787" t="s">
        <v>435</v>
      </c>
      <c r="AF256">
        <f>GDF_price_list[[#This Row],[Indicative 
FCA Price]]/GDF_price_list[[#This Row],[Unit]]</f>
        <v>211.48</v>
      </c>
    </row>
    <row r="257" spans="12:32" ht="17">
      <c r="L257" s="416"/>
      <c r="M257" s="416"/>
      <c r="N257" s="416"/>
      <c r="O257" s="439"/>
      <c r="P257" s="417"/>
      <c r="Q257" s="417"/>
      <c r="R257" s="417">
        <f>IFERROR(ROUND(Bunuri_lab_nomenc[[#This Row],[Cost unitate GFATM_valuta]]*VLOOKUP(Bunuri_lab_nomenc[[#This Row],[Valuta cost GFATM]],$B$58:$D$59,2,0),2),0)</f>
        <v>0</v>
      </c>
      <c r="S257" s="417" t="str">
        <f>IFERROR(VLOOKUP(Bunuri_lab_nomenc[[#This Row],[Denumire catalog GDF]],GDF_price_list[[Product Name]:[Column1]],8,0),"")</f>
        <v/>
      </c>
      <c r="T257" s="417" t="e">
        <f>VLOOKUP(Bunuri_lab_nomenc[[#This Row],[Denumire catalog GDF]],GDF_price_list[[Product Name]:[Column1]],7,0)</f>
        <v>#N/A</v>
      </c>
      <c r="V257" s="786" t="s">
        <v>718</v>
      </c>
      <c r="W257" s="738" t="s">
        <v>798</v>
      </c>
      <c r="X257" s="745">
        <v>106084</v>
      </c>
      <c r="Y257" s="740" t="s">
        <v>1544</v>
      </c>
      <c r="Z257" s="742" t="s">
        <v>610</v>
      </c>
      <c r="AA257" s="742" t="s">
        <v>1802</v>
      </c>
      <c r="AB257" s="746">
        <v>1</v>
      </c>
      <c r="AC257" s="743" t="s">
        <v>1545</v>
      </c>
      <c r="AD257" s="744">
        <v>2.94</v>
      </c>
      <c r="AE257" s="787" t="s">
        <v>435</v>
      </c>
      <c r="AF257">
        <f>GDF_price_list[[#This Row],[Indicative 
FCA Price]]/GDF_price_list[[#This Row],[Unit]]</f>
        <v>2.94</v>
      </c>
    </row>
    <row r="258" spans="12:32" ht="51">
      <c r="L258" s="416"/>
      <c r="M258" s="416"/>
      <c r="N258" s="416"/>
      <c r="O258" s="439"/>
      <c r="P258" s="417"/>
      <c r="Q258" s="417"/>
      <c r="R258" s="417">
        <f>IFERROR(ROUND(Bunuri_lab_nomenc[[#This Row],[Cost unitate GFATM_valuta]]*VLOOKUP(Bunuri_lab_nomenc[[#This Row],[Valuta cost GFATM]],$B$58:$D$59,2,0),2),0)</f>
        <v>0</v>
      </c>
      <c r="S258" s="417" t="str">
        <f>IFERROR(VLOOKUP(Bunuri_lab_nomenc[[#This Row],[Denumire catalog GDF]],GDF_price_list[[Product Name]:[Column1]],8,0),"")</f>
        <v/>
      </c>
      <c r="T258" s="417" t="e">
        <f>VLOOKUP(Bunuri_lab_nomenc[[#This Row],[Denumire catalog GDF]],GDF_price_list[[Product Name]:[Column1]],7,0)</f>
        <v>#N/A</v>
      </c>
      <c r="V258" s="786" t="s">
        <v>607</v>
      </c>
      <c r="W258" s="738" t="s">
        <v>812</v>
      </c>
      <c r="X258" s="745">
        <v>106221</v>
      </c>
      <c r="Y258" s="754" t="s">
        <v>1548</v>
      </c>
      <c r="Z258" s="741" t="s">
        <v>610</v>
      </c>
      <c r="AA258" s="742" t="s">
        <v>1802</v>
      </c>
      <c r="AB258" s="746">
        <v>1</v>
      </c>
      <c r="AC258" s="743" t="s">
        <v>1549</v>
      </c>
      <c r="AD258" s="744">
        <v>515.71</v>
      </c>
      <c r="AE258" s="787" t="s">
        <v>435</v>
      </c>
      <c r="AF258">
        <f>GDF_price_list[[#This Row],[Indicative 
FCA Price]]/GDF_price_list[[#This Row],[Unit]]</f>
        <v>515.71</v>
      </c>
    </row>
    <row r="259" spans="12:32" ht="17">
      <c r="L259" s="416"/>
      <c r="M259" s="416"/>
      <c r="N259" s="416"/>
      <c r="O259" s="439"/>
      <c r="P259" s="417"/>
      <c r="Q259" s="417"/>
      <c r="R259" s="417">
        <f>IFERROR(ROUND(Bunuri_lab_nomenc[[#This Row],[Cost unitate GFATM_valuta]]*VLOOKUP(Bunuri_lab_nomenc[[#This Row],[Valuta cost GFATM]],$B$58:$D$59,2,0),2),0)</f>
        <v>0</v>
      </c>
      <c r="S259" s="417" t="str">
        <f>IFERROR(VLOOKUP(Bunuri_lab_nomenc[[#This Row],[Denumire catalog GDF]],GDF_price_list[[Product Name]:[Column1]],8,0),"")</f>
        <v/>
      </c>
      <c r="T259" s="417" t="e">
        <f>VLOOKUP(Bunuri_lab_nomenc[[#This Row],[Denumire catalog GDF]],GDF_price_list[[Product Name]:[Column1]],7,0)</f>
        <v>#N/A</v>
      </c>
      <c r="V259" s="786" t="s">
        <v>718</v>
      </c>
      <c r="W259" s="738" t="s">
        <v>817</v>
      </c>
      <c r="X259" s="745">
        <v>106182</v>
      </c>
      <c r="Y259" s="740" t="s">
        <v>1554</v>
      </c>
      <c r="Z259" s="742" t="s">
        <v>610</v>
      </c>
      <c r="AA259" s="742" t="s">
        <v>1802</v>
      </c>
      <c r="AB259" s="746">
        <v>1</v>
      </c>
      <c r="AC259" s="743" t="s">
        <v>1555</v>
      </c>
      <c r="AD259" s="744">
        <v>5.39</v>
      </c>
      <c r="AE259" s="787" t="s">
        <v>435</v>
      </c>
      <c r="AF259">
        <f>GDF_price_list[[#This Row],[Indicative 
FCA Price]]/GDF_price_list[[#This Row],[Unit]]</f>
        <v>5.39</v>
      </c>
    </row>
    <row r="260" spans="12:32" ht="17">
      <c r="L260" s="416"/>
      <c r="M260" s="416"/>
      <c r="N260" s="416"/>
      <c r="O260" s="439"/>
      <c r="P260" s="417"/>
      <c r="Q260" s="417"/>
      <c r="R260" s="417">
        <f>IFERROR(ROUND(Bunuri_lab_nomenc[[#This Row],[Cost unitate GFATM_valuta]]*VLOOKUP(Bunuri_lab_nomenc[[#This Row],[Valuta cost GFATM]],$B$58:$D$59,2,0),2),0)</f>
        <v>0</v>
      </c>
      <c r="S260" s="417" t="str">
        <f>IFERROR(VLOOKUP(Bunuri_lab_nomenc[[#This Row],[Denumire catalog GDF]],GDF_price_list[[Product Name]:[Column1]],8,0),"")</f>
        <v/>
      </c>
      <c r="T260" s="417" t="e">
        <f>VLOOKUP(Bunuri_lab_nomenc[[#This Row],[Denumire catalog GDF]],GDF_price_list[[Product Name]:[Column1]],7,0)</f>
        <v>#N/A</v>
      </c>
      <c r="V260" s="786" t="s">
        <v>612</v>
      </c>
      <c r="W260" s="738" t="s">
        <v>842</v>
      </c>
      <c r="X260" s="739">
        <v>106401</v>
      </c>
      <c r="Y260" s="740" t="s">
        <v>1556</v>
      </c>
      <c r="Z260" s="742" t="s">
        <v>610</v>
      </c>
      <c r="AA260" s="742" t="s">
        <v>1802</v>
      </c>
      <c r="AB260" s="742">
        <v>1</v>
      </c>
      <c r="AC260" s="743" t="s">
        <v>1557</v>
      </c>
      <c r="AD260" s="744">
        <v>26.14</v>
      </c>
      <c r="AE260" s="787" t="s">
        <v>435</v>
      </c>
      <c r="AF260">
        <f>GDF_price_list[[#This Row],[Indicative 
FCA Price]]/GDF_price_list[[#This Row],[Unit]]</f>
        <v>26.14</v>
      </c>
    </row>
    <row r="261" spans="12:32" ht="119">
      <c r="L261" s="416"/>
      <c r="M261" s="416"/>
      <c r="N261" s="416"/>
      <c r="O261" s="439"/>
      <c r="P261" s="417"/>
      <c r="Q261" s="417"/>
      <c r="R261" s="417">
        <f>IFERROR(ROUND(Bunuri_lab_nomenc[[#This Row],[Cost unitate GFATM_valuta]]*VLOOKUP(Bunuri_lab_nomenc[[#This Row],[Valuta cost GFATM]],$B$58:$D$59,2,0),2),0)</f>
        <v>0</v>
      </c>
      <c r="S261" s="417" t="str">
        <f>IFERROR(VLOOKUP(Bunuri_lab_nomenc[[#This Row],[Denumire catalog GDF]],GDF_price_list[[Product Name]:[Column1]],8,0),"")</f>
        <v/>
      </c>
      <c r="T261" s="417" t="e">
        <f>VLOOKUP(Bunuri_lab_nomenc[[#This Row],[Denumire catalog GDF]],GDF_price_list[[Product Name]:[Column1]],7,0)</f>
        <v>#N/A</v>
      </c>
      <c r="V261" s="786" t="s">
        <v>621</v>
      </c>
      <c r="W261" s="738" t="s">
        <v>682</v>
      </c>
      <c r="X261" s="745">
        <v>106107</v>
      </c>
      <c r="Y261" s="740" t="s">
        <v>1558</v>
      </c>
      <c r="Z261" s="742" t="s">
        <v>610</v>
      </c>
      <c r="AA261" s="742" t="s">
        <v>1802</v>
      </c>
      <c r="AB261" s="746">
        <v>1</v>
      </c>
      <c r="AC261" s="743" t="s">
        <v>1559</v>
      </c>
      <c r="AD261" s="744">
        <v>1340.26</v>
      </c>
      <c r="AE261" s="787" t="s">
        <v>435</v>
      </c>
      <c r="AF261">
        <f>GDF_price_list[[#This Row],[Indicative 
FCA Price]]/GDF_price_list[[#This Row],[Unit]]</f>
        <v>1340.26</v>
      </c>
    </row>
    <row r="262" spans="12:32" ht="17">
      <c r="L262" s="416"/>
      <c r="M262" s="416"/>
      <c r="N262" s="416"/>
      <c r="O262" s="439"/>
      <c r="P262" s="417"/>
      <c r="Q262" s="417"/>
      <c r="R262" s="417">
        <f>IFERROR(ROUND(Bunuri_lab_nomenc[[#This Row],[Cost unitate GFATM_valuta]]*VLOOKUP(Bunuri_lab_nomenc[[#This Row],[Valuta cost GFATM]],$B$58:$D$59,2,0),2),0)</f>
        <v>0</v>
      </c>
      <c r="S262" s="417" t="str">
        <f>IFERROR(VLOOKUP(Bunuri_lab_nomenc[[#This Row],[Denumire catalog GDF]],GDF_price_list[[Product Name]:[Column1]],8,0),"")</f>
        <v/>
      </c>
      <c r="T262" s="417" t="e">
        <f>VLOOKUP(Bunuri_lab_nomenc[[#This Row],[Denumire catalog GDF]],GDF_price_list[[Product Name]:[Column1]],7,0)</f>
        <v>#N/A</v>
      </c>
      <c r="V262" s="786" t="s">
        <v>648</v>
      </c>
      <c r="W262" s="738" t="s">
        <v>649</v>
      </c>
      <c r="X262" s="739">
        <v>106631</v>
      </c>
      <c r="Y262" s="743" t="s">
        <v>1560</v>
      </c>
      <c r="Z262" s="742" t="s">
        <v>651</v>
      </c>
      <c r="AA262" s="742" t="s">
        <v>1802</v>
      </c>
      <c r="AB262" s="742">
        <v>1</v>
      </c>
      <c r="AC262" s="743" t="s">
        <v>1561</v>
      </c>
      <c r="AD262" s="753">
        <v>6.6</v>
      </c>
      <c r="AE262" s="790" t="s">
        <v>435</v>
      </c>
      <c r="AF262">
        <f>GDF_price_list[[#This Row],[Indicative 
FCA Price]]/GDF_price_list[[#This Row],[Unit]]</f>
        <v>6.6</v>
      </c>
    </row>
    <row r="263" spans="12:32" ht="17">
      <c r="L263" s="416"/>
      <c r="M263" s="416"/>
      <c r="N263" s="416"/>
      <c r="O263" s="439"/>
      <c r="P263" s="417"/>
      <c r="Q263" s="417"/>
      <c r="R263" s="417">
        <f>IFERROR(ROUND(Bunuri_lab_nomenc[[#This Row],[Cost unitate GFATM_valuta]]*VLOOKUP(Bunuri_lab_nomenc[[#This Row],[Valuta cost GFATM]],$B$58:$D$59,2,0),2),0)</f>
        <v>0</v>
      </c>
      <c r="S263" s="417" t="str">
        <f>IFERROR(VLOOKUP(Bunuri_lab_nomenc[[#This Row],[Denumire catalog GDF]],GDF_price_list[[Product Name]:[Column1]],8,0),"")</f>
        <v/>
      </c>
      <c r="T263" s="417" t="e">
        <f>VLOOKUP(Bunuri_lab_nomenc[[#This Row],[Denumire catalog GDF]],GDF_price_list[[Product Name]:[Column1]],7,0)</f>
        <v>#N/A</v>
      </c>
      <c r="V263" s="786" t="s">
        <v>666</v>
      </c>
      <c r="W263" s="738" t="s">
        <v>940</v>
      </c>
      <c r="X263" s="739">
        <v>106248</v>
      </c>
      <c r="Y263" s="740" t="s">
        <v>1562</v>
      </c>
      <c r="Z263" s="742" t="s">
        <v>610</v>
      </c>
      <c r="AA263" s="742" t="s">
        <v>1802</v>
      </c>
      <c r="AB263" s="742">
        <v>1</v>
      </c>
      <c r="AC263" s="743" t="s">
        <v>1563</v>
      </c>
      <c r="AD263" s="744">
        <v>188.41</v>
      </c>
      <c r="AE263" s="787" t="s">
        <v>435</v>
      </c>
      <c r="AF263">
        <f>GDF_price_list[[#This Row],[Indicative 
FCA Price]]/GDF_price_list[[#This Row],[Unit]]</f>
        <v>188.41</v>
      </c>
    </row>
    <row r="264" spans="12:32" ht="34">
      <c r="L264" s="416"/>
      <c r="M264" s="416"/>
      <c r="N264" s="416"/>
      <c r="O264" s="439"/>
      <c r="P264" s="417"/>
      <c r="Q264" s="417"/>
      <c r="R264" s="417">
        <f>IFERROR(ROUND(Bunuri_lab_nomenc[[#This Row],[Cost unitate GFATM_valuta]]*VLOOKUP(Bunuri_lab_nomenc[[#This Row],[Valuta cost GFATM]],$B$58:$D$59,2,0),2),0)</f>
        <v>0</v>
      </c>
      <c r="S264" s="417" t="str">
        <f>IFERROR(VLOOKUP(Bunuri_lab_nomenc[[#This Row],[Denumire catalog GDF]],GDF_price_list[[Product Name]:[Column1]],8,0),"")</f>
        <v/>
      </c>
      <c r="T264" s="417" t="e">
        <f>VLOOKUP(Bunuri_lab_nomenc[[#This Row],[Denumire catalog GDF]],GDF_price_list[[Product Name]:[Column1]],7,0)</f>
        <v>#N/A</v>
      </c>
      <c r="V264" s="786" t="s">
        <v>718</v>
      </c>
      <c r="W264" s="738" t="s">
        <v>719</v>
      </c>
      <c r="X264" s="739">
        <v>106100</v>
      </c>
      <c r="Y264" s="740" t="s">
        <v>1564</v>
      </c>
      <c r="Z264" s="742" t="s">
        <v>610</v>
      </c>
      <c r="AA264" s="742" t="s">
        <v>1802</v>
      </c>
      <c r="AB264" s="742">
        <v>1</v>
      </c>
      <c r="AC264" s="743" t="s">
        <v>1565</v>
      </c>
      <c r="AD264" s="744">
        <v>113.48</v>
      </c>
      <c r="AE264" s="787" t="s">
        <v>435</v>
      </c>
      <c r="AF264">
        <f>GDF_price_list[[#This Row],[Indicative 
FCA Price]]/GDF_price_list[[#This Row],[Unit]]</f>
        <v>113.48</v>
      </c>
    </row>
    <row r="265" spans="12:32" ht="17">
      <c r="L265" s="416"/>
      <c r="M265" s="416"/>
      <c r="N265" s="416"/>
      <c r="O265" s="439"/>
      <c r="P265" s="417"/>
      <c r="Q265" s="417"/>
      <c r="R265" s="417">
        <f>IFERROR(ROUND(Bunuri_lab_nomenc[[#This Row],[Cost unitate GFATM_valuta]]*VLOOKUP(Bunuri_lab_nomenc[[#This Row],[Valuta cost GFATM]],$B$58:$D$59,2,0),2),0)</f>
        <v>0</v>
      </c>
      <c r="S265" s="417" t="str">
        <f>IFERROR(VLOOKUP(Bunuri_lab_nomenc[[#This Row],[Denumire catalog GDF]],GDF_price_list[[Product Name]:[Column1]],8,0),"")</f>
        <v/>
      </c>
      <c r="T265" s="417" t="e">
        <f>VLOOKUP(Bunuri_lab_nomenc[[#This Row],[Denumire catalog GDF]],GDF_price_list[[Product Name]:[Column1]],7,0)</f>
        <v>#N/A</v>
      </c>
      <c r="V265" s="786" t="s">
        <v>648</v>
      </c>
      <c r="W265" s="738" t="s">
        <v>649</v>
      </c>
      <c r="X265" s="739">
        <v>106569</v>
      </c>
      <c r="Y265" s="740" t="s">
        <v>1566</v>
      </c>
      <c r="Z265" s="742" t="s">
        <v>651</v>
      </c>
      <c r="AA265" s="742" t="s">
        <v>1802</v>
      </c>
      <c r="AB265" s="742">
        <v>1</v>
      </c>
      <c r="AC265" s="743" t="s">
        <v>1567</v>
      </c>
      <c r="AD265" s="753">
        <v>0.9</v>
      </c>
      <c r="AE265" s="790" t="s">
        <v>435</v>
      </c>
      <c r="AF265">
        <f>GDF_price_list[[#This Row],[Indicative 
FCA Price]]/GDF_price_list[[#This Row],[Unit]]</f>
        <v>0.9</v>
      </c>
    </row>
    <row r="266" spans="12:32" ht="51">
      <c r="L266" s="416"/>
      <c r="M266" s="416"/>
      <c r="N266" s="416"/>
      <c r="O266" s="439"/>
      <c r="P266" s="417"/>
      <c r="Q266" s="417"/>
      <c r="R266" s="417">
        <f>IFERROR(ROUND(Bunuri_lab_nomenc[[#This Row],[Cost unitate GFATM_valuta]]*VLOOKUP(Bunuri_lab_nomenc[[#This Row],[Valuta cost GFATM]],$B$58:$D$59,2,0),2),0)</f>
        <v>0</v>
      </c>
      <c r="S266" s="417" t="str">
        <f>IFERROR(VLOOKUP(Bunuri_lab_nomenc[[#This Row],[Denumire catalog GDF]],GDF_price_list[[Product Name]:[Column1]],8,0),"")</f>
        <v/>
      </c>
      <c r="T266" s="417" t="e">
        <f>VLOOKUP(Bunuri_lab_nomenc[[#This Row],[Denumire catalog GDF]],GDF_price_list[[Product Name]:[Column1]],7,0)</f>
        <v>#N/A</v>
      </c>
      <c r="V266" s="786" t="s">
        <v>612</v>
      </c>
      <c r="W266" s="738" t="s">
        <v>842</v>
      </c>
      <c r="X266" s="745">
        <v>106053</v>
      </c>
      <c r="Y266" s="740" t="s">
        <v>1570</v>
      </c>
      <c r="Z266" s="742" t="s">
        <v>610</v>
      </c>
      <c r="AA266" s="742" t="s">
        <v>1802</v>
      </c>
      <c r="AB266" s="746">
        <v>1</v>
      </c>
      <c r="AC266" s="743" t="s">
        <v>1571</v>
      </c>
      <c r="AD266" s="744">
        <v>245.03</v>
      </c>
      <c r="AE266" s="787" t="s">
        <v>435</v>
      </c>
      <c r="AF266">
        <f>GDF_price_list[[#This Row],[Indicative 
FCA Price]]/GDF_price_list[[#This Row],[Unit]]</f>
        <v>245.03</v>
      </c>
    </row>
    <row r="267" spans="12:32" ht="51">
      <c r="L267" s="416"/>
      <c r="M267" s="416"/>
      <c r="N267" s="416"/>
      <c r="O267" s="439"/>
      <c r="P267" s="417"/>
      <c r="Q267" s="417"/>
      <c r="R267" s="417">
        <f>IFERROR(ROUND(Bunuri_lab_nomenc[[#This Row],[Cost unitate GFATM_valuta]]*VLOOKUP(Bunuri_lab_nomenc[[#This Row],[Valuta cost GFATM]],$B$58:$D$59,2,0),2),0)</f>
        <v>0</v>
      </c>
      <c r="S267" s="417" t="str">
        <f>IFERROR(VLOOKUP(Bunuri_lab_nomenc[[#This Row],[Denumire catalog GDF]],GDF_price_list[[Product Name]:[Column1]],8,0),"")</f>
        <v/>
      </c>
      <c r="T267" s="417" t="e">
        <f>VLOOKUP(Bunuri_lab_nomenc[[#This Row],[Denumire catalog GDF]],GDF_price_list[[Product Name]:[Column1]],7,0)</f>
        <v>#N/A</v>
      </c>
      <c r="V267" s="786" t="s">
        <v>612</v>
      </c>
      <c r="W267" s="738" t="s">
        <v>842</v>
      </c>
      <c r="X267" s="745">
        <v>106055</v>
      </c>
      <c r="Y267" s="754" t="s">
        <v>1572</v>
      </c>
      <c r="Z267" s="742" t="s">
        <v>610</v>
      </c>
      <c r="AA267" s="742" t="s">
        <v>1802</v>
      </c>
      <c r="AB267" s="746">
        <v>1</v>
      </c>
      <c r="AC267" s="743" t="s">
        <v>1573</v>
      </c>
      <c r="AD267" s="744">
        <v>226.94</v>
      </c>
      <c r="AE267" s="787" t="s">
        <v>435</v>
      </c>
      <c r="AF267">
        <f>GDF_price_list[[#This Row],[Indicative 
FCA Price]]/GDF_price_list[[#This Row],[Unit]]</f>
        <v>226.94</v>
      </c>
    </row>
    <row r="268" spans="12:32" ht="51">
      <c r="L268" s="416"/>
      <c r="M268" s="416"/>
      <c r="N268" s="416"/>
      <c r="O268" s="439"/>
      <c r="P268" s="417"/>
      <c r="Q268" s="417"/>
      <c r="R268" s="417">
        <f>IFERROR(ROUND(Bunuri_lab_nomenc[[#This Row],[Cost unitate GFATM_valuta]]*VLOOKUP(Bunuri_lab_nomenc[[#This Row],[Valuta cost GFATM]],$B$58:$D$59,2,0),2),0)</f>
        <v>0</v>
      </c>
      <c r="S268" s="417" t="str">
        <f>IFERROR(VLOOKUP(Bunuri_lab_nomenc[[#This Row],[Denumire catalog GDF]],GDF_price_list[[Product Name]:[Column1]],8,0),"")</f>
        <v/>
      </c>
      <c r="T268" s="417" t="e">
        <f>VLOOKUP(Bunuri_lab_nomenc[[#This Row],[Denumire catalog GDF]],GDF_price_list[[Product Name]:[Column1]],7,0)</f>
        <v>#N/A</v>
      </c>
      <c r="V268" s="786" t="s">
        <v>612</v>
      </c>
      <c r="W268" s="738" t="s">
        <v>842</v>
      </c>
      <c r="X268" s="745">
        <v>106054</v>
      </c>
      <c r="Y268" s="754" t="s">
        <v>1574</v>
      </c>
      <c r="Z268" s="742" t="s">
        <v>610</v>
      </c>
      <c r="AA268" s="742" t="s">
        <v>1802</v>
      </c>
      <c r="AB268" s="746">
        <v>1</v>
      </c>
      <c r="AC268" s="743" t="s">
        <v>1575</v>
      </c>
      <c r="AD268" s="744">
        <v>226.94</v>
      </c>
      <c r="AE268" s="787" t="s">
        <v>435</v>
      </c>
      <c r="AF268">
        <f>GDF_price_list[[#This Row],[Indicative 
FCA Price]]/GDF_price_list[[#This Row],[Unit]]</f>
        <v>226.94</v>
      </c>
    </row>
    <row r="269" spans="12:32" ht="51">
      <c r="L269" s="416"/>
      <c r="M269" s="416"/>
      <c r="N269" s="416"/>
      <c r="O269" s="439"/>
      <c r="P269" s="417"/>
      <c r="Q269" s="417"/>
      <c r="R269" s="417">
        <f>IFERROR(ROUND(Bunuri_lab_nomenc[[#This Row],[Cost unitate GFATM_valuta]]*VLOOKUP(Bunuri_lab_nomenc[[#This Row],[Valuta cost GFATM]],$B$58:$D$59,2,0),2),0)</f>
        <v>0</v>
      </c>
      <c r="S269" s="417" t="str">
        <f>IFERROR(VLOOKUP(Bunuri_lab_nomenc[[#This Row],[Denumire catalog GDF]],GDF_price_list[[Product Name]:[Column1]],8,0),"")</f>
        <v/>
      </c>
      <c r="T269" s="417" t="e">
        <f>VLOOKUP(Bunuri_lab_nomenc[[#This Row],[Denumire catalog GDF]],GDF_price_list[[Product Name]:[Column1]],7,0)</f>
        <v>#N/A</v>
      </c>
      <c r="V269" s="786" t="s">
        <v>612</v>
      </c>
      <c r="W269" s="738" t="s">
        <v>842</v>
      </c>
      <c r="X269" s="745">
        <v>106056</v>
      </c>
      <c r="Y269" s="754" t="s">
        <v>1576</v>
      </c>
      <c r="Z269" s="742" t="s">
        <v>610</v>
      </c>
      <c r="AA269" s="742" t="s">
        <v>1802</v>
      </c>
      <c r="AB269" s="746">
        <v>1</v>
      </c>
      <c r="AC269" s="743" t="s">
        <v>1577</v>
      </c>
      <c r="AD269" s="744">
        <v>226.94</v>
      </c>
      <c r="AE269" s="787" t="s">
        <v>435</v>
      </c>
      <c r="AF269">
        <f>GDF_price_list[[#This Row],[Indicative 
FCA Price]]/GDF_price_list[[#This Row],[Unit]]</f>
        <v>226.94</v>
      </c>
    </row>
    <row r="270" spans="12:32" ht="51">
      <c r="L270" s="416"/>
      <c r="M270" s="416"/>
      <c r="N270" s="416"/>
      <c r="O270" s="439"/>
      <c r="P270" s="417"/>
      <c r="Q270" s="417"/>
      <c r="R270" s="417">
        <f>IFERROR(ROUND(Bunuri_lab_nomenc[[#This Row],[Cost unitate GFATM_valuta]]*VLOOKUP(Bunuri_lab_nomenc[[#This Row],[Valuta cost GFATM]],$B$58:$D$59,2,0),2),0)</f>
        <v>0</v>
      </c>
      <c r="S270" s="417" t="str">
        <f>IFERROR(VLOOKUP(Bunuri_lab_nomenc[[#This Row],[Denumire catalog GDF]],GDF_price_list[[Product Name]:[Column1]],8,0),"")</f>
        <v/>
      </c>
      <c r="T270" s="417" t="e">
        <f>VLOOKUP(Bunuri_lab_nomenc[[#This Row],[Denumire catalog GDF]],GDF_price_list[[Product Name]:[Column1]],7,0)</f>
        <v>#N/A</v>
      </c>
      <c r="V270" s="786" t="s">
        <v>612</v>
      </c>
      <c r="W270" s="738" t="s">
        <v>842</v>
      </c>
      <c r="X270" s="745">
        <v>106057</v>
      </c>
      <c r="Y270" s="754" t="s">
        <v>1578</v>
      </c>
      <c r="Z270" s="742" t="s">
        <v>610</v>
      </c>
      <c r="AA270" s="742" t="s">
        <v>1802</v>
      </c>
      <c r="AB270" s="746">
        <v>1</v>
      </c>
      <c r="AC270" s="743" t="s">
        <v>1579</v>
      </c>
      <c r="AD270" s="744">
        <v>226.94</v>
      </c>
      <c r="AE270" s="787" t="s">
        <v>435</v>
      </c>
      <c r="AF270">
        <f>GDF_price_list[[#This Row],[Indicative 
FCA Price]]/GDF_price_list[[#This Row],[Unit]]</f>
        <v>226.94</v>
      </c>
    </row>
    <row r="271" spans="12:32" ht="51">
      <c r="L271" s="416"/>
      <c r="M271" s="416"/>
      <c r="N271" s="416"/>
      <c r="O271" s="439"/>
      <c r="P271" s="417"/>
      <c r="Q271" s="417"/>
      <c r="R271" s="417">
        <f>IFERROR(ROUND(Bunuri_lab_nomenc[[#This Row],[Cost unitate GFATM_valuta]]*VLOOKUP(Bunuri_lab_nomenc[[#This Row],[Valuta cost GFATM]],$B$58:$D$59,2,0),2),0)</f>
        <v>0</v>
      </c>
      <c r="S271" s="417" t="str">
        <f>IFERROR(VLOOKUP(Bunuri_lab_nomenc[[#This Row],[Denumire catalog GDF]],GDF_price_list[[Product Name]:[Column1]],8,0),"")</f>
        <v/>
      </c>
      <c r="T271" s="417" t="e">
        <f>VLOOKUP(Bunuri_lab_nomenc[[#This Row],[Denumire catalog GDF]],GDF_price_list[[Product Name]:[Column1]],7,0)</f>
        <v>#N/A</v>
      </c>
      <c r="V271" s="786" t="s">
        <v>666</v>
      </c>
      <c r="W271" s="738" t="s">
        <v>793</v>
      </c>
      <c r="X271" s="745">
        <v>106432</v>
      </c>
      <c r="Y271" s="740" t="s">
        <v>1582</v>
      </c>
      <c r="Z271" s="742" t="s">
        <v>610</v>
      </c>
      <c r="AA271" s="742" t="s">
        <v>1802</v>
      </c>
      <c r="AB271" s="773">
        <v>1</v>
      </c>
      <c r="AC271" s="743" t="s">
        <v>1583</v>
      </c>
      <c r="AD271" s="744">
        <v>34.4</v>
      </c>
      <c r="AE271" s="787" t="s">
        <v>435</v>
      </c>
      <c r="AF271">
        <f>GDF_price_list[[#This Row],[Indicative 
FCA Price]]/GDF_price_list[[#This Row],[Unit]]</f>
        <v>34.4</v>
      </c>
    </row>
    <row r="272" spans="12:32" ht="17">
      <c r="L272" s="416"/>
      <c r="M272" s="416"/>
      <c r="N272" s="416"/>
      <c r="O272" s="439"/>
      <c r="P272" s="417"/>
      <c r="Q272" s="417"/>
      <c r="R272" s="417">
        <f>IFERROR(ROUND(Bunuri_lab_nomenc[[#This Row],[Cost unitate GFATM_valuta]]*VLOOKUP(Bunuri_lab_nomenc[[#This Row],[Valuta cost GFATM]],$B$58:$D$59,2,0),2),0)</f>
        <v>0</v>
      </c>
      <c r="S272" s="417" t="str">
        <f>IFERROR(VLOOKUP(Bunuri_lab_nomenc[[#This Row],[Denumire catalog GDF]],GDF_price_list[[Product Name]:[Column1]],8,0),"")</f>
        <v/>
      </c>
      <c r="T272" s="417" t="e">
        <f>VLOOKUP(Bunuri_lab_nomenc[[#This Row],[Denumire catalog GDF]],GDF_price_list[[Product Name]:[Column1]],7,0)</f>
        <v>#N/A</v>
      </c>
      <c r="V272" s="786" t="s">
        <v>666</v>
      </c>
      <c r="W272" s="738" t="s">
        <v>793</v>
      </c>
      <c r="X272" s="745">
        <v>106496</v>
      </c>
      <c r="Y272" s="740" t="s">
        <v>1584</v>
      </c>
      <c r="Z272" s="742" t="s">
        <v>610</v>
      </c>
      <c r="AA272" s="742" t="s">
        <v>1802</v>
      </c>
      <c r="AB272" s="746">
        <v>1</v>
      </c>
      <c r="AC272" s="743" t="s">
        <v>1585</v>
      </c>
      <c r="AD272" s="744">
        <v>34.4</v>
      </c>
      <c r="AE272" s="787" t="s">
        <v>435</v>
      </c>
      <c r="AF272">
        <f>GDF_price_list[[#This Row],[Indicative 
FCA Price]]/GDF_price_list[[#This Row],[Unit]]</f>
        <v>34.4</v>
      </c>
    </row>
    <row r="273" spans="12:32" ht="17">
      <c r="L273" s="416"/>
      <c r="M273" s="416"/>
      <c r="N273" s="416"/>
      <c r="O273" s="439"/>
      <c r="P273" s="417"/>
      <c r="Q273" s="417"/>
      <c r="R273" s="417">
        <f>IFERROR(ROUND(Bunuri_lab_nomenc[[#This Row],[Cost unitate GFATM_valuta]]*VLOOKUP(Bunuri_lab_nomenc[[#This Row],[Valuta cost GFATM]],$B$58:$D$59,2,0),2),0)</f>
        <v>0</v>
      </c>
      <c r="S273" s="417" t="str">
        <f>IFERROR(VLOOKUP(Bunuri_lab_nomenc[[#This Row],[Denumire catalog GDF]],GDF_price_list[[Product Name]:[Column1]],8,0),"")</f>
        <v/>
      </c>
      <c r="T273" s="417" t="e">
        <f>VLOOKUP(Bunuri_lab_nomenc[[#This Row],[Denumire catalog GDF]],GDF_price_list[[Product Name]:[Column1]],7,0)</f>
        <v>#N/A</v>
      </c>
      <c r="V273" s="786" t="s">
        <v>648</v>
      </c>
      <c r="W273" s="738" t="s">
        <v>649</v>
      </c>
      <c r="X273" s="739">
        <v>106567</v>
      </c>
      <c r="Y273" s="740" t="s">
        <v>1586</v>
      </c>
      <c r="Z273" s="742" t="s">
        <v>651</v>
      </c>
      <c r="AA273" s="742" t="s">
        <v>1802</v>
      </c>
      <c r="AB273" s="742">
        <v>1</v>
      </c>
      <c r="AC273" s="743" t="s">
        <v>1587</v>
      </c>
      <c r="AD273" s="753">
        <v>1.7</v>
      </c>
      <c r="AE273" s="790" t="s">
        <v>435</v>
      </c>
      <c r="AF273">
        <f>GDF_price_list[[#This Row],[Indicative 
FCA Price]]/GDF_price_list[[#This Row],[Unit]]</f>
        <v>1.7</v>
      </c>
    </row>
    <row r="274" spans="12:32" ht="17">
      <c r="L274" s="416"/>
      <c r="M274" s="416"/>
      <c r="N274" s="416"/>
      <c r="O274" s="439"/>
      <c r="P274" s="417"/>
      <c r="Q274" s="417"/>
      <c r="R274" s="417">
        <f>IFERROR(ROUND(Bunuri_lab_nomenc[[#This Row],[Cost unitate GFATM_valuta]]*VLOOKUP(Bunuri_lab_nomenc[[#This Row],[Valuta cost GFATM]],$B$58:$D$59,2,0),2),0)</f>
        <v>0</v>
      </c>
      <c r="S274" s="417" t="str">
        <f>IFERROR(VLOOKUP(Bunuri_lab_nomenc[[#This Row],[Denumire catalog GDF]],GDF_price_list[[Product Name]:[Column1]],8,0),"")</f>
        <v/>
      </c>
      <c r="T274" s="417" t="e">
        <f>VLOOKUP(Bunuri_lab_nomenc[[#This Row],[Denumire catalog GDF]],GDF_price_list[[Product Name]:[Column1]],7,0)</f>
        <v>#N/A</v>
      </c>
      <c r="V274" s="786" t="s">
        <v>648</v>
      </c>
      <c r="W274" s="738" t="s">
        <v>649</v>
      </c>
      <c r="X274" s="739">
        <v>106568</v>
      </c>
      <c r="Y274" s="740" t="s">
        <v>1588</v>
      </c>
      <c r="Z274" s="742" t="s">
        <v>651</v>
      </c>
      <c r="AA274" s="742" t="s">
        <v>1802</v>
      </c>
      <c r="AB274" s="742">
        <v>1</v>
      </c>
      <c r="AC274" s="743" t="s">
        <v>1589</v>
      </c>
      <c r="AD274" s="753">
        <v>1.94</v>
      </c>
      <c r="AE274" s="790" t="s">
        <v>435</v>
      </c>
      <c r="AF274">
        <f>GDF_price_list[[#This Row],[Indicative 
FCA Price]]/GDF_price_list[[#This Row],[Unit]]</f>
        <v>1.94</v>
      </c>
    </row>
    <row r="275" spans="12:32" ht="34">
      <c r="L275" s="416"/>
      <c r="M275" s="416"/>
      <c r="N275" s="416"/>
      <c r="O275" s="439"/>
      <c r="P275" s="417"/>
      <c r="Q275" s="417"/>
      <c r="R275" s="417">
        <f>IFERROR(ROUND(Bunuri_lab_nomenc[[#This Row],[Cost unitate GFATM_valuta]]*VLOOKUP(Bunuri_lab_nomenc[[#This Row],[Valuta cost GFATM]],$B$58:$D$59,2,0),2),0)</f>
        <v>0</v>
      </c>
      <c r="S275" s="417" t="str">
        <f>IFERROR(VLOOKUP(Bunuri_lab_nomenc[[#This Row],[Denumire catalog GDF]],GDF_price_list[[Product Name]:[Column1]],8,0),"")</f>
        <v/>
      </c>
      <c r="T275" s="417" t="e">
        <f>VLOOKUP(Bunuri_lab_nomenc[[#This Row],[Denumire catalog GDF]],GDF_price_list[[Product Name]:[Column1]],7,0)</f>
        <v>#N/A</v>
      </c>
      <c r="V275" s="786" t="s">
        <v>666</v>
      </c>
      <c r="W275" s="738" t="s">
        <v>722</v>
      </c>
      <c r="X275" s="745">
        <v>106475</v>
      </c>
      <c r="Y275" s="740" t="s">
        <v>1590</v>
      </c>
      <c r="Z275" s="742" t="s">
        <v>610</v>
      </c>
      <c r="AA275" s="742" t="s">
        <v>1802</v>
      </c>
      <c r="AB275" s="746">
        <v>1</v>
      </c>
      <c r="AC275" s="743" t="s">
        <v>1591</v>
      </c>
      <c r="AD275" s="744">
        <v>1493.2059999999999</v>
      </c>
      <c r="AE275" s="787" t="s">
        <v>435</v>
      </c>
      <c r="AF275">
        <f>GDF_price_list[[#This Row],[Indicative 
FCA Price]]/GDF_price_list[[#This Row],[Unit]]</f>
        <v>1493.2059999999999</v>
      </c>
    </row>
    <row r="276" spans="12:32" ht="85">
      <c r="L276" s="416"/>
      <c r="M276" s="416"/>
      <c r="N276" s="416"/>
      <c r="O276" s="439"/>
      <c r="P276" s="417"/>
      <c r="Q276" s="417"/>
      <c r="R276" s="417">
        <f>IFERROR(ROUND(Bunuri_lab_nomenc[[#This Row],[Cost unitate GFATM_valuta]]*VLOOKUP(Bunuri_lab_nomenc[[#This Row],[Valuta cost GFATM]],$B$58:$D$59,2,0),2),0)</f>
        <v>0</v>
      </c>
      <c r="S276" s="417" t="str">
        <f>IFERROR(VLOOKUP(Bunuri_lab_nomenc[[#This Row],[Denumire catalog GDF]],GDF_price_list[[Product Name]:[Column1]],8,0),"")</f>
        <v/>
      </c>
      <c r="T276" s="417" t="e">
        <f>VLOOKUP(Bunuri_lab_nomenc[[#This Row],[Denumire catalog GDF]],GDF_price_list[[Product Name]:[Column1]],7,0)</f>
        <v>#N/A</v>
      </c>
      <c r="V276" s="786" t="s">
        <v>612</v>
      </c>
      <c r="W276" s="738" t="s">
        <v>1007</v>
      </c>
      <c r="X276" s="745">
        <v>106493</v>
      </c>
      <c r="Y276" s="740" t="s">
        <v>1602</v>
      </c>
      <c r="Z276" s="742" t="s">
        <v>610</v>
      </c>
      <c r="AA276" s="742" t="s">
        <v>1802</v>
      </c>
      <c r="AB276" s="746">
        <v>1</v>
      </c>
      <c r="AC276" s="743" t="s">
        <v>1603</v>
      </c>
      <c r="AD276" s="744">
        <v>9150</v>
      </c>
      <c r="AE276" s="787" t="s">
        <v>435</v>
      </c>
      <c r="AF276">
        <f>GDF_price_list[[#This Row],[Indicative 
FCA Price]]/GDF_price_list[[#This Row],[Unit]]</f>
        <v>9150</v>
      </c>
    </row>
    <row r="277" spans="12:32" ht="17">
      <c r="L277" s="416"/>
      <c r="M277" s="416"/>
      <c r="N277" s="416"/>
      <c r="O277" s="439"/>
      <c r="P277" s="417"/>
      <c r="Q277" s="417"/>
      <c r="R277" s="417">
        <f>IFERROR(ROUND(Bunuri_lab_nomenc[[#This Row],[Cost unitate GFATM_valuta]]*VLOOKUP(Bunuri_lab_nomenc[[#This Row],[Valuta cost GFATM]],$B$58:$D$59,2,0),2),0)</f>
        <v>0</v>
      </c>
      <c r="S277" s="417" t="str">
        <f>IFERROR(VLOOKUP(Bunuri_lab_nomenc[[#This Row],[Denumire catalog GDF]],GDF_price_list[[Product Name]:[Column1]],8,0),"")</f>
        <v/>
      </c>
      <c r="T277" s="417" t="e">
        <f>VLOOKUP(Bunuri_lab_nomenc[[#This Row],[Denumire catalog GDF]],GDF_price_list[[Product Name]:[Column1]],7,0)</f>
        <v>#N/A</v>
      </c>
      <c r="V277" s="786" t="s">
        <v>607</v>
      </c>
      <c r="W277" s="738" t="s">
        <v>1530</v>
      </c>
      <c r="X277" s="745">
        <v>106242</v>
      </c>
      <c r="Y277" s="740" t="s">
        <v>1606</v>
      </c>
      <c r="Z277" s="741" t="s">
        <v>610</v>
      </c>
      <c r="AA277" s="742" t="s">
        <v>1802</v>
      </c>
      <c r="AB277" s="746">
        <v>1</v>
      </c>
      <c r="AC277" s="743" t="s">
        <v>1607</v>
      </c>
      <c r="AD277" s="744">
        <v>30.93</v>
      </c>
      <c r="AE277" s="787" t="s">
        <v>435</v>
      </c>
      <c r="AF277">
        <f>GDF_price_list[[#This Row],[Indicative 
FCA Price]]/GDF_price_list[[#This Row],[Unit]]</f>
        <v>30.93</v>
      </c>
    </row>
    <row r="278" spans="12:32" ht="17">
      <c r="L278" s="416"/>
      <c r="M278" s="416"/>
      <c r="N278" s="416"/>
      <c r="O278" s="439"/>
      <c r="P278" s="417"/>
      <c r="Q278" s="417"/>
      <c r="R278" s="417">
        <f>IFERROR(ROUND(Bunuri_lab_nomenc[[#This Row],[Cost unitate GFATM_valuta]]*VLOOKUP(Bunuri_lab_nomenc[[#This Row],[Valuta cost GFATM]],$B$58:$D$59,2,0),2),0)</f>
        <v>0</v>
      </c>
      <c r="S278" s="417" t="str">
        <f>IFERROR(VLOOKUP(Bunuri_lab_nomenc[[#This Row],[Denumire catalog GDF]],GDF_price_list[[Product Name]:[Column1]],8,0),"")</f>
        <v/>
      </c>
      <c r="T278" s="417" t="e">
        <f>VLOOKUP(Bunuri_lab_nomenc[[#This Row],[Denumire catalog GDF]],GDF_price_list[[Product Name]:[Column1]],7,0)</f>
        <v>#N/A</v>
      </c>
      <c r="V278" s="786" t="s">
        <v>648</v>
      </c>
      <c r="W278" s="738" t="s">
        <v>649</v>
      </c>
      <c r="X278" s="739">
        <v>106564</v>
      </c>
      <c r="Y278" s="740" t="s">
        <v>1608</v>
      </c>
      <c r="Z278" s="742" t="s">
        <v>651</v>
      </c>
      <c r="AA278" s="742" t="s">
        <v>1802</v>
      </c>
      <c r="AB278" s="742">
        <v>1</v>
      </c>
      <c r="AC278" s="743" t="s">
        <v>1609</v>
      </c>
      <c r="AD278" s="753">
        <v>1.88</v>
      </c>
      <c r="AE278" s="790" t="s">
        <v>435</v>
      </c>
      <c r="AF278">
        <f>GDF_price_list[[#This Row],[Indicative 
FCA Price]]/GDF_price_list[[#This Row],[Unit]]</f>
        <v>1.88</v>
      </c>
    </row>
    <row r="279" spans="12:32" ht="17">
      <c r="L279" s="416"/>
      <c r="M279" s="416"/>
      <c r="N279" s="416"/>
      <c r="O279" s="439"/>
      <c r="P279" s="417"/>
      <c r="Q279" s="417"/>
      <c r="R279" s="417">
        <f>IFERROR(ROUND(Bunuri_lab_nomenc[[#This Row],[Cost unitate GFATM_valuta]]*VLOOKUP(Bunuri_lab_nomenc[[#This Row],[Valuta cost GFATM]],$B$58:$D$59,2,0),2),0)</f>
        <v>0</v>
      </c>
      <c r="S279" s="417" t="str">
        <f>IFERROR(VLOOKUP(Bunuri_lab_nomenc[[#This Row],[Denumire catalog GDF]],GDF_price_list[[Product Name]:[Column1]],8,0),"")</f>
        <v/>
      </c>
      <c r="T279" s="417" t="e">
        <f>VLOOKUP(Bunuri_lab_nomenc[[#This Row],[Denumire catalog GDF]],GDF_price_list[[Product Name]:[Column1]],7,0)</f>
        <v>#N/A</v>
      </c>
      <c r="V279" s="786" t="s">
        <v>638</v>
      </c>
      <c r="W279" s="738" t="s">
        <v>835</v>
      </c>
      <c r="X279" s="739">
        <v>106372</v>
      </c>
      <c r="Y279" s="740" t="s">
        <v>1610</v>
      </c>
      <c r="Z279" s="742" t="s">
        <v>610</v>
      </c>
      <c r="AA279" s="742" t="s">
        <v>1802</v>
      </c>
      <c r="AB279" s="742">
        <v>1</v>
      </c>
      <c r="AC279" s="743" t="s">
        <v>1611</v>
      </c>
      <c r="AD279" s="744">
        <v>5.32</v>
      </c>
      <c r="AE279" s="787" t="s">
        <v>435</v>
      </c>
      <c r="AF279">
        <f>GDF_price_list[[#This Row],[Indicative 
FCA Price]]/GDF_price_list[[#This Row],[Unit]]</f>
        <v>5.32</v>
      </c>
    </row>
    <row r="280" spans="12:32" ht="17">
      <c r="L280" s="416"/>
      <c r="M280" s="416"/>
      <c r="N280" s="416"/>
      <c r="O280" s="439"/>
      <c r="P280" s="417"/>
      <c r="Q280" s="417"/>
      <c r="R280" s="417">
        <f>IFERROR(ROUND(Bunuri_lab_nomenc[[#This Row],[Cost unitate GFATM_valuta]]*VLOOKUP(Bunuri_lab_nomenc[[#This Row],[Valuta cost GFATM]],$B$58:$D$59,2,0),2),0)</f>
        <v>0</v>
      </c>
      <c r="S280" s="417" t="str">
        <f>IFERROR(VLOOKUP(Bunuri_lab_nomenc[[#This Row],[Denumire catalog GDF]],GDF_price_list[[Product Name]:[Column1]],8,0),"")</f>
        <v/>
      </c>
      <c r="T280" s="417" t="e">
        <f>VLOOKUP(Bunuri_lab_nomenc[[#This Row],[Denumire catalog GDF]],GDF_price_list[[Product Name]:[Column1]],7,0)</f>
        <v>#N/A</v>
      </c>
      <c r="V280" s="786" t="s">
        <v>648</v>
      </c>
      <c r="W280" s="738" t="s">
        <v>649</v>
      </c>
      <c r="X280" s="739">
        <v>106572</v>
      </c>
      <c r="Y280" s="740" t="s">
        <v>1616</v>
      </c>
      <c r="Z280" s="742" t="s">
        <v>651</v>
      </c>
      <c r="AA280" s="742" t="s">
        <v>1802</v>
      </c>
      <c r="AB280" s="742">
        <v>1</v>
      </c>
      <c r="AC280" s="743" t="s">
        <v>1617</v>
      </c>
      <c r="AD280" s="753">
        <v>0.46</v>
      </c>
      <c r="AE280" s="790" t="s">
        <v>435</v>
      </c>
      <c r="AF280">
        <f>GDF_price_list[[#This Row],[Indicative 
FCA Price]]/GDF_price_list[[#This Row],[Unit]]</f>
        <v>0.46</v>
      </c>
    </row>
    <row r="281" spans="12:32" ht="17">
      <c r="L281" s="416"/>
      <c r="M281" s="416"/>
      <c r="N281" s="416"/>
      <c r="O281" s="439"/>
      <c r="P281" s="417"/>
      <c r="Q281" s="417"/>
      <c r="R281" s="417">
        <f>IFERROR(ROUND(Bunuri_lab_nomenc[[#This Row],[Cost unitate GFATM_valuta]]*VLOOKUP(Bunuri_lab_nomenc[[#This Row],[Valuta cost GFATM]],$B$58:$D$59,2,0),2),0)</f>
        <v>0</v>
      </c>
      <c r="S281" s="417" t="str">
        <f>IFERROR(VLOOKUP(Bunuri_lab_nomenc[[#This Row],[Denumire catalog GDF]],GDF_price_list[[Product Name]:[Column1]],8,0),"")</f>
        <v/>
      </c>
      <c r="T281" s="417" t="e">
        <f>VLOOKUP(Bunuri_lab_nomenc[[#This Row],[Denumire catalog GDF]],GDF_price_list[[Product Name]:[Column1]],7,0)</f>
        <v>#N/A</v>
      </c>
      <c r="V281" s="786" t="s">
        <v>648</v>
      </c>
      <c r="W281" s="738" t="s">
        <v>649</v>
      </c>
      <c r="X281" s="739">
        <v>106573</v>
      </c>
      <c r="Y281" s="740" t="s">
        <v>1618</v>
      </c>
      <c r="Z281" s="742" t="s">
        <v>651</v>
      </c>
      <c r="AA281" s="742" t="s">
        <v>1802</v>
      </c>
      <c r="AB281" s="742">
        <v>1</v>
      </c>
      <c r="AC281" s="743" t="s">
        <v>1619</v>
      </c>
      <c r="AD281" s="753">
        <v>0.53</v>
      </c>
      <c r="AE281" s="790" t="s">
        <v>435</v>
      </c>
      <c r="AF281">
        <f>GDF_price_list[[#This Row],[Indicative 
FCA Price]]/GDF_price_list[[#This Row],[Unit]]</f>
        <v>0.53</v>
      </c>
    </row>
    <row r="282" spans="12:32" ht="34">
      <c r="L282" s="416"/>
      <c r="M282" s="416"/>
      <c r="N282" s="416"/>
      <c r="O282" s="439"/>
      <c r="P282" s="417"/>
      <c r="Q282" s="417"/>
      <c r="R282" s="417">
        <f>IFERROR(ROUND(Bunuri_lab_nomenc[[#This Row],[Cost unitate GFATM_valuta]]*VLOOKUP(Bunuri_lab_nomenc[[#This Row],[Valuta cost GFATM]],$B$58:$D$59,2,0),2),0)</f>
        <v>0</v>
      </c>
      <c r="S282" s="417" t="str">
        <f>IFERROR(VLOOKUP(Bunuri_lab_nomenc[[#This Row],[Denumire catalog GDF]],GDF_price_list[[Product Name]:[Column1]],8,0),"")</f>
        <v/>
      </c>
      <c r="T282" s="417" t="e">
        <f>VLOOKUP(Bunuri_lab_nomenc[[#This Row],[Denumire catalog GDF]],GDF_price_list[[Product Name]:[Column1]],7,0)</f>
        <v>#N/A</v>
      </c>
      <c r="V282" s="786" t="s">
        <v>648</v>
      </c>
      <c r="W282" s="738" t="s">
        <v>649</v>
      </c>
      <c r="X282" s="739">
        <v>106566</v>
      </c>
      <c r="Y282" s="740" t="s">
        <v>1620</v>
      </c>
      <c r="Z282" s="742" t="s">
        <v>651</v>
      </c>
      <c r="AA282" s="742" t="s">
        <v>1802</v>
      </c>
      <c r="AB282" s="742">
        <v>1</v>
      </c>
      <c r="AC282" s="743" t="s">
        <v>1621</v>
      </c>
      <c r="AD282" s="753">
        <v>4.38</v>
      </c>
      <c r="AE282" s="790" t="s">
        <v>435</v>
      </c>
      <c r="AF282">
        <f>GDF_price_list[[#This Row],[Indicative 
FCA Price]]/GDF_price_list[[#This Row],[Unit]]</f>
        <v>4.38</v>
      </c>
    </row>
    <row r="283" spans="12:32" ht="17">
      <c r="L283" s="416"/>
      <c r="M283" s="416"/>
      <c r="N283" s="416"/>
      <c r="O283" s="439"/>
      <c r="P283" s="417"/>
      <c r="Q283" s="417"/>
      <c r="R283" s="417">
        <f>IFERROR(ROUND(Bunuri_lab_nomenc[[#This Row],[Cost unitate GFATM_valuta]]*VLOOKUP(Bunuri_lab_nomenc[[#This Row],[Valuta cost GFATM]],$B$58:$D$59,2,0),2),0)</f>
        <v>0</v>
      </c>
      <c r="S283" s="417" t="str">
        <f>IFERROR(VLOOKUP(Bunuri_lab_nomenc[[#This Row],[Denumire catalog GDF]],GDF_price_list[[Product Name]:[Column1]],8,0),"")</f>
        <v/>
      </c>
      <c r="T283" s="417" t="e">
        <f>VLOOKUP(Bunuri_lab_nomenc[[#This Row],[Denumire catalog GDF]],GDF_price_list[[Product Name]:[Column1]],7,0)</f>
        <v>#N/A</v>
      </c>
      <c r="V283" s="786" t="s">
        <v>638</v>
      </c>
      <c r="W283" s="738" t="s">
        <v>899</v>
      </c>
      <c r="X283" s="745">
        <v>106250</v>
      </c>
      <c r="Y283" s="740" t="s">
        <v>1622</v>
      </c>
      <c r="Z283" s="742" t="s">
        <v>610</v>
      </c>
      <c r="AA283" s="742" t="s">
        <v>1802</v>
      </c>
      <c r="AB283" s="746">
        <v>1</v>
      </c>
      <c r="AC283" s="743" t="s">
        <v>1623</v>
      </c>
      <c r="AD283" s="744">
        <v>55.71</v>
      </c>
      <c r="AE283" s="787" t="s">
        <v>435</v>
      </c>
      <c r="AF283">
        <f>GDF_price_list[[#This Row],[Indicative 
FCA Price]]/GDF_price_list[[#This Row],[Unit]]</f>
        <v>55.71</v>
      </c>
    </row>
    <row r="284" spans="12:32" ht="17">
      <c r="L284" s="416"/>
      <c r="M284" s="416"/>
      <c r="N284" s="416"/>
      <c r="O284" s="439"/>
      <c r="P284" s="417"/>
      <c r="Q284" s="417"/>
      <c r="R284" s="417">
        <f>IFERROR(ROUND(Bunuri_lab_nomenc[[#This Row],[Cost unitate GFATM_valuta]]*VLOOKUP(Bunuri_lab_nomenc[[#This Row],[Valuta cost GFATM]],$B$58:$D$59,2,0),2),0)</f>
        <v>0</v>
      </c>
      <c r="S284" s="417" t="str">
        <f>IFERROR(VLOOKUP(Bunuri_lab_nomenc[[#This Row],[Denumire catalog GDF]],GDF_price_list[[Product Name]:[Column1]],8,0),"")</f>
        <v/>
      </c>
      <c r="T284" s="417" t="e">
        <f>VLOOKUP(Bunuri_lab_nomenc[[#This Row],[Denumire catalog GDF]],GDF_price_list[[Product Name]:[Column1]],7,0)</f>
        <v>#N/A</v>
      </c>
      <c r="V284" s="786" t="s">
        <v>718</v>
      </c>
      <c r="W284" s="738" t="s">
        <v>798</v>
      </c>
      <c r="X284" s="745">
        <v>106095</v>
      </c>
      <c r="Y284" s="740" t="s">
        <v>1624</v>
      </c>
      <c r="Z284" s="742" t="s">
        <v>610</v>
      </c>
      <c r="AA284" s="742" t="s">
        <v>1802</v>
      </c>
      <c r="AB284" s="746">
        <v>1</v>
      </c>
      <c r="AC284" s="743" t="s">
        <v>1625</v>
      </c>
      <c r="AD284" s="744">
        <v>16.87</v>
      </c>
      <c r="AE284" s="787" t="s">
        <v>435</v>
      </c>
      <c r="AF284">
        <f>GDF_price_list[[#This Row],[Indicative 
FCA Price]]/GDF_price_list[[#This Row],[Unit]]</f>
        <v>16.87</v>
      </c>
    </row>
    <row r="285" spans="12:32" ht="17">
      <c r="L285" s="416"/>
      <c r="M285" s="416"/>
      <c r="N285" s="416"/>
      <c r="O285" s="439"/>
      <c r="P285" s="417"/>
      <c r="Q285" s="417"/>
      <c r="R285" s="417">
        <f>IFERROR(ROUND(Bunuri_lab_nomenc[[#This Row],[Cost unitate GFATM_valuta]]*VLOOKUP(Bunuri_lab_nomenc[[#This Row],[Valuta cost GFATM]],$B$58:$D$59,2,0),2),0)</f>
        <v>0</v>
      </c>
      <c r="S285" s="417" t="str">
        <f>IFERROR(VLOOKUP(Bunuri_lab_nomenc[[#This Row],[Denumire catalog GDF]],GDF_price_list[[Product Name]:[Column1]],8,0),"")</f>
        <v/>
      </c>
      <c r="T285" s="417" t="e">
        <f>VLOOKUP(Bunuri_lab_nomenc[[#This Row],[Denumire catalog GDF]],GDF_price_list[[Product Name]:[Column1]],7,0)</f>
        <v>#N/A</v>
      </c>
      <c r="V285" s="786" t="s">
        <v>638</v>
      </c>
      <c r="W285" s="738" t="s">
        <v>899</v>
      </c>
      <c r="X285" s="745">
        <v>106252</v>
      </c>
      <c r="Y285" s="740" t="s">
        <v>1626</v>
      </c>
      <c r="Z285" s="742" t="s">
        <v>610</v>
      </c>
      <c r="AA285" s="742" t="s">
        <v>1802</v>
      </c>
      <c r="AB285" s="746">
        <v>1</v>
      </c>
      <c r="AC285" s="743" t="s">
        <v>1627</v>
      </c>
      <c r="AD285" s="744">
        <v>13.32</v>
      </c>
      <c r="AE285" s="787" t="s">
        <v>435</v>
      </c>
      <c r="AF285">
        <f>GDF_price_list[[#This Row],[Indicative 
FCA Price]]/GDF_price_list[[#This Row],[Unit]]</f>
        <v>13.32</v>
      </c>
    </row>
    <row r="286" spans="12:32" ht="51">
      <c r="L286" s="416"/>
      <c r="M286" s="416"/>
      <c r="N286" s="416"/>
      <c r="O286" s="439"/>
      <c r="P286" s="417"/>
      <c r="Q286" s="417"/>
      <c r="R286" s="417">
        <f>IFERROR(ROUND(Bunuri_lab_nomenc[[#This Row],[Cost unitate GFATM_valuta]]*VLOOKUP(Bunuri_lab_nomenc[[#This Row],[Valuta cost GFATM]],$B$58:$D$59,2,0),2),0)</f>
        <v>0</v>
      </c>
      <c r="S286" s="417" t="str">
        <f>IFERROR(VLOOKUP(Bunuri_lab_nomenc[[#This Row],[Denumire catalog GDF]],GDF_price_list[[Product Name]:[Column1]],8,0),"")</f>
        <v/>
      </c>
      <c r="T286" s="417" t="e">
        <f>VLOOKUP(Bunuri_lab_nomenc[[#This Row],[Denumire catalog GDF]],GDF_price_list[[Product Name]:[Column1]],7,0)</f>
        <v>#N/A</v>
      </c>
      <c r="V286" s="786" t="s">
        <v>607</v>
      </c>
      <c r="W286" s="738" t="s">
        <v>645</v>
      </c>
      <c r="X286" s="745">
        <v>106230</v>
      </c>
      <c r="Y286" s="740" t="s">
        <v>1628</v>
      </c>
      <c r="Z286" s="742" t="s">
        <v>610</v>
      </c>
      <c r="AA286" s="742" t="s">
        <v>1802</v>
      </c>
      <c r="AB286" s="746">
        <v>1</v>
      </c>
      <c r="AC286" s="743" t="s">
        <v>1629</v>
      </c>
      <c r="AD286" s="744">
        <v>25.98</v>
      </c>
      <c r="AE286" s="787" t="s">
        <v>435</v>
      </c>
      <c r="AF286">
        <f>GDF_price_list[[#This Row],[Indicative 
FCA Price]]/GDF_price_list[[#This Row],[Unit]]</f>
        <v>25.98</v>
      </c>
    </row>
    <row r="287" spans="12:32" ht="17">
      <c r="L287" s="416"/>
      <c r="M287" s="416"/>
      <c r="N287" s="416"/>
      <c r="O287" s="439"/>
      <c r="P287" s="417"/>
      <c r="Q287" s="417"/>
      <c r="R287" s="417">
        <f>IFERROR(ROUND(Bunuri_lab_nomenc[[#This Row],[Cost unitate GFATM_valuta]]*VLOOKUP(Bunuri_lab_nomenc[[#This Row],[Valuta cost GFATM]],$B$58:$D$59,2,0),2),0)</f>
        <v>0</v>
      </c>
      <c r="S287" s="417" t="str">
        <f>IFERROR(VLOOKUP(Bunuri_lab_nomenc[[#This Row],[Denumire catalog GDF]],GDF_price_list[[Product Name]:[Column1]],8,0),"")</f>
        <v/>
      </c>
      <c r="T287" s="417" t="e">
        <f>VLOOKUP(Bunuri_lab_nomenc[[#This Row],[Denumire catalog GDF]],GDF_price_list[[Product Name]:[Column1]],7,0)</f>
        <v>#N/A</v>
      </c>
      <c r="V287" s="786" t="s">
        <v>607</v>
      </c>
      <c r="W287" s="738" t="s">
        <v>645</v>
      </c>
      <c r="X287" s="745">
        <v>106231</v>
      </c>
      <c r="Y287" s="740" t="s">
        <v>1630</v>
      </c>
      <c r="Z287" s="741" t="s">
        <v>610</v>
      </c>
      <c r="AA287" s="742" t="s">
        <v>1802</v>
      </c>
      <c r="AB287" s="746">
        <v>1</v>
      </c>
      <c r="AC287" s="743" t="s">
        <v>1631</v>
      </c>
      <c r="AD287" s="744">
        <v>85.64</v>
      </c>
      <c r="AE287" s="787" t="s">
        <v>435</v>
      </c>
      <c r="AF287">
        <f>GDF_price_list[[#This Row],[Indicative 
FCA Price]]/GDF_price_list[[#This Row],[Unit]]</f>
        <v>85.64</v>
      </c>
    </row>
    <row r="288" spans="12:32" ht="34">
      <c r="L288" s="416"/>
      <c r="M288" s="416"/>
      <c r="N288" s="416"/>
      <c r="O288" s="439"/>
      <c r="P288" s="417"/>
      <c r="Q288" s="417"/>
      <c r="R288" s="417">
        <f>IFERROR(ROUND(Bunuri_lab_nomenc[[#This Row],[Cost unitate GFATM_valuta]]*VLOOKUP(Bunuri_lab_nomenc[[#This Row],[Valuta cost GFATM]],$B$58:$D$59,2,0),2),0)</f>
        <v>0</v>
      </c>
      <c r="S288" s="417" t="str">
        <f>IFERROR(VLOOKUP(Bunuri_lab_nomenc[[#This Row],[Denumire catalog GDF]],GDF_price_list[[Product Name]:[Column1]],8,0),"")</f>
        <v/>
      </c>
      <c r="T288" s="417" t="e">
        <f>VLOOKUP(Bunuri_lab_nomenc[[#This Row],[Denumire catalog GDF]],GDF_price_list[[Product Name]:[Column1]],7,0)</f>
        <v>#N/A</v>
      </c>
      <c r="V288" s="786" t="s">
        <v>638</v>
      </c>
      <c r="W288" s="738" t="s">
        <v>639</v>
      </c>
      <c r="X288" s="745">
        <v>106445</v>
      </c>
      <c r="Y288" s="740" t="s">
        <v>1632</v>
      </c>
      <c r="Z288" s="742" t="s">
        <v>610</v>
      </c>
      <c r="AA288" s="742" t="s">
        <v>1802</v>
      </c>
      <c r="AB288" s="773">
        <v>1</v>
      </c>
      <c r="AC288" s="743" t="s">
        <v>1633</v>
      </c>
      <c r="AD288" s="744">
        <v>47.77</v>
      </c>
      <c r="AE288" s="787" t="s">
        <v>435</v>
      </c>
      <c r="AF288">
        <f>GDF_price_list[[#This Row],[Indicative 
FCA Price]]/GDF_price_list[[#This Row],[Unit]]</f>
        <v>47.77</v>
      </c>
    </row>
    <row r="289" spans="12:32" ht="17">
      <c r="L289" s="416"/>
      <c r="M289" s="416"/>
      <c r="N289" s="416"/>
      <c r="O289" s="439"/>
      <c r="P289" s="417"/>
      <c r="Q289" s="417"/>
      <c r="R289" s="417">
        <f>IFERROR(ROUND(Bunuri_lab_nomenc[[#This Row],[Cost unitate GFATM_valuta]]*VLOOKUP(Bunuri_lab_nomenc[[#This Row],[Valuta cost GFATM]],$B$58:$D$59,2,0),2),0)</f>
        <v>0</v>
      </c>
      <c r="S289" s="417" t="str">
        <f>IFERROR(VLOOKUP(Bunuri_lab_nomenc[[#This Row],[Denumire catalog GDF]],GDF_price_list[[Product Name]:[Column1]],8,0),"")</f>
        <v/>
      </c>
      <c r="T289" s="417" t="e">
        <f>VLOOKUP(Bunuri_lab_nomenc[[#This Row],[Denumire catalog GDF]],GDF_price_list[[Product Name]:[Column1]],7,0)</f>
        <v>#N/A</v>
      </c>
      <c r="V289" s="786" t="s">
        <v>612</v>
      </c>
      <c r="W289" s="738" t="s">
        <v>842</v>
      </c>
      <c r="X289" s="745">
        <v>106208</v>
      </c>
      <c r="Y289" s="740" t="s">
        <v>1636</v>
      </c>
      <c r="Z289" s="742" t="s">
        <v>610</v>
      </c>
      <c r="AA289" s="742" t="s">
        <v>1802</v>
      </c>
      <c r="AB289" s="746">
        <v>1</v>
      </c>
      <c r="AC289" s="743" t="s">
        <v>1637</v>
      </c>
      <c r="AD289" s="744">
        <v>1.39</v>
      </c>
      <c r="AE289" s="787" t="s">
        <v>435</v>
      </c>
      <c r="AF289">
        <f>GDF_price_list[[#This Row],[Indicative 
FCA Price]]/GDF_price_list[[#This Row],[Unit]]</f>
        <v>1.39</v>
      </c>
    </row>
    <row r="290" spans="12:32" ht="34">
      <c r="L290" s="416"/>
      <c r="M290" s="416"/>
      <c r="N290" s="416"/>
      <c r="O290" s="439"/>
      <c r="P290" s="417"/>
      <c r="Q290" s="417"/>
      <c r="R290" s="417">
        <f>IFERROR(ROUND(Bunuri_lab_nomenc[[#This Row],[Cost unitate GFATM_valuta]]*VLOOKUP(Bunuri_lab_nomenc[[#This Row],[Valuta cost GFATM]],$B$58:$D$59,2,0),2),0)</f>
        <v>0</v>
      </c>
      <c r="S290" s="417" t="str">
        <f>IFERROR(VLOOKUP(Bunuri_lab_nomenc[[#This Row],[Denumire catalog GDF]],GDF_price_list[[Product Name]:[Column1]],8,0),"")</f>
        <v/>
      </c>
      <c r="T290" s="417" t="e">
        <f>VLOOKUP(Bunuri_lab_nomenc[[#This Row],[Denumire catalog GDF]],GDF_price_list[[Product Name]:[Column1]],7,0)</f>
        <v>#N/A</v>
      </c>
      <c r="V290" s="786" t="s">
        <v>638</v>
      </c>
      <c r="W290" s="738" t="s">
        <v>899</v>
      </c>
      <c r="X290" s="739">
        <v>106359</v>
      </c>
      <c r="Y290" s="740" t="s">
        <v>1675</v>
      </c>
      <c r="Z290" s="742" t="s">
        <v>610</v>
      </c>
      <c r="AA290" s="742" t="s">
        <v>1802</v>
      </c>
      <c r="AB290" s="742">
        <v>1</v>
      </c>
      <c r="AC290" s="743" t="s">
        <v>1676</v>
      </c>
      <c r="AD290" s="744">
        <v>2.13</v>
      </c>
      <c r="AE290" s="787" t="s">
        <v>435</v>
      </c>
      <c r="AF290">
        <f>GDF_price_list[[#This Row],[Indicative 
FCA Price]]/GDF_price_list[[#This Row],[Unit]]</f>
        <v>2.13</v>
      </c>
    </row>
    <row r="291" spans="12:32" ht="17">
      <c r="L291" s="416"/>
      <c r="M291" s="416"/>
      <c r="N291" s="416"/>
      <c r="O291" s="439"/>
      <c r="P291" s="417"/>
      <c r="Q291" s="417"/>
      <c r="R291" s="417">
        <f>IFERROR(ROUND(Bunuri_lab_nomenc[[#This Row],[Cost unitate GFATM_valuta]]*VLOOKUP(Bunuri_lab_nomenc[[#This Row],[Valuta cost GFATM]],$B$58:$D$59,2,0),2),0)</f>
        <v>0</v>
      </c>
      <c r="S291" s="417" t="str">
        <f>IFERROR(VLOOKUP(Bunuri_lab_nomenc[[#This Row],[Denumire catalog GDF]],GDF_price_list[[Product Name]:[Column1]],8,0),"")</f>
        <v/>
      </c>
      <c r="T291" s="417" t="e">
        <f>VLOOKUP(Bunuri_lab_nomenc[[#This Row],[Denumire catalog GDF]],GDF_price_list[[Product Name]:[Column1]],7,0)</f>
        <v>#N/A</v>
      </c>
      <c r="V291" s="786" t="s">
        <v>638</v>
      </c>
      <c r="W291" s="738" t="s">
        <v>899</v>
      </c>
      <c r="X291" s="739">
        <v>106358</v>
      </c>
      <c r="Y291" s="740" t="s">
        <v>1677</v>
      </c>
      <c r="Z291" s="742" t="s">
        <v>610</v>
      </c>
      <c r="AA291" s="742" t="s">
        <v>1802</v>
      </c>
      <c r="AB291" s="742">
        <v>1</v>
      </c>
      <c r="AC291" s="743" t="s">
        <v>1678</v>
      </c>
      <c r="AD291" s="744">
        <v>13.32</v>
      </c>
      <c r="AE291" s="787" t="s">
        <v>435</v>
      </c>
      <c r="AF291">
        <f>GDF_price_list[[#This Row],[Indicative 
FCA Price]]/GDF_price_list[[#This Row],[Unit]]</f>
        <v>13.32</v>
      </c>
    </row>
    <row r="292" spans="12:32" ht="34">
      <c r="L292" s="416"/>
      <c r="M292" s="416"/>
      <c r="N292" s="416"/>
      <c r="O292" s="439"/>
      <c r="P292" s="417"/>
      <c r="Q292" s="417"/>
      <c r="R292" s="417">
        <f>IFERROR(ROUND(Bunuri_lab_nomenc[[#This Row],[Cost unitate GFATM_valuta]]*VLOOKUP(Bunuri_lab_nomenc[[#This Row],[Valuta cost GFATM]],$B$58:$D$59,2,0),2),0)</f>
        <v>0</v>
      </c>
      <c r="S292" s="417" t="str">
        <f>IFERROR(VLOOKUP(Bunuri_lab_nomenc[[#This Row],[Denumire catalog GDF]],GDF_price_list[[Product Name]:[Column1]],8,0),"")</f>
        <v/>
      </c>
      <c r="T292" s="417" t="e">
        <f>VLOOKUP(Bunuri_lab_nomenc[[#This Row],[Denumire catalog GDF]],GDF_price_list[[Product Name]:[Column1]],7,0)</f>
        <v>#N/A</v>
      </c>
      <c r="V292" s="786" t="s">
        <v>718</v>
      </c>
      <c r="W292" s="738" t="s">
        <v>817</v>
      </c>
      <c r="X292" s="745">
        <v>106145</v>
      </c>
      <c r="Y292" s="740" t="s">
        <v>1679</v>
      </c>
      <c r="Z292" s="742" t="s">
        <v>610</v>
      </c>
      <c r="AA292" s="742" t="s">
        <v>1802</v>
      </c>
      <c r="AB292" s="746">
        <v>1</v>
      </c>
      <c r="AC292" s="743" t="s">
        <v>1680</v>
      </c>
      <c r="AD292" s="744">
        <v>15.83</v>
      </c>
      <c r="AE292" s="787" t="s">
        <v>435</v>
      </c>
      <c r="AF292">
        <f>GDF_price_list[[#This Row],[Indicative 
FCA Price]]/GDF_price_list[[#This Row],[Unit]]</f>
        <v>15.83</v>
      </c>
    </row>
    <row r="293" spans="12:32" ht="68">
      <c r="L293" s="416"/>
      <c r="M293" s="416"/>
      <c r="N293" s="416"/>
      <c r="O293" s="439"/>
      <c r="P293" s="417"/>
      <c r="Q293" s="417"/>
      <c r="R293" s="417">
        <f>IFERROR(ROUND(Bunuri_lab_nomenc[[#This Row],[Cost unitate GFATM_valuta]]*VLOOKUP(Bunuri_lab_nomenc[[#This Row],[Valuta cost GFATM]],$B$58:$D$59,2,0),2),0)</f>
        <v>0</v>
      </c>
      <c r="S293" s="417" t="str">
        <f>IFERROR(VLOOKUP(Bunuri_lab_nomenc[[#This Row],[Denumire catalog GDF]],GDF_price_list[[Product Name]:[Column1]],8,0),"")</f>
        <v/>
      </c>
      <c r="T293" s="417" t="e">
        <f>VLOOKUP(Bunuri_lab_nomenc[[#This Row],[Denumire catalog GDF]],GDF_price_list[[Product Name]:[Column1]],7,0)</f>
        <v>#N/A</v>
      </c>
      <c r="V293" s="786" t="s">
        <v>612</v>
      </c>
      <c r="W293" s="738" t="s">
        <v>842</v>
      </c>
      <c r="X293" s="745">
        <v>106051</v>
      </c>
      <c r="Y293" s="740" t="s">
        <v>1681</v>
      </c>
      <c r="Z293" s="742" t="s">
        <v>610</v>
      </c>
      <c r="AA293" s="742" t="s">
        <v>1802</v>
      </c>
      <c r="AB293" s="746">
        <v>1</v>
      </c>
      <c r="AC293" s="743" t="s">
        <v>1682</v>
      </c>
      <c r="AD293" s="744">
        <v>3.1</v>
      </c>
      <c r="AE293" s="787" t="s">
        <v>435</v>
      </c>
      <c r="AF293">
        <f>GDF_price_list[[#This Row],[Indicative 
FCA Price]]/GDF_price_list[[#This Row],[Unit]]</f>
        <v>3.1</v>
      </c>
    </row>
    <row r="294" spans="12:32" ht="51">
      <c r="L294" s="416"/>
      <c r="M294" s="416"/>
      <c r="N294" s="416"/>
      <c r="O294" s="439"/>
      <c r="P294" s="417"/>
      <c r="Q294" s="417"/>
      <c r="R294" s="417">
        <f>IFERROR(ROUND(Bunuri_lab_nomenc[[#This Row],[Cost unitate GFATM_valuta]]*VLOOKUP(Bunuri_lab_nomenc[[#This Row],[Valuta cost GFATM]],$B$58:$D$59,2,0),2),0)</f>
        <v>0</v>
      </c>
      <c r="S294" s="417" t="str">
        <f>IFERROR(VLOOKUP(Bunuri_lab_nomenc[[#This Row],[Denumire catalog GDF]],GDF_price_list[[Product Name]:[Column1]],8,0),"")</f>
        <v/>
      </c>
      <c r="T294" s="417" t="e">
        <f>VLOOKUP(Bunuri_lab_nomenc[[#This Row],[Denumire catalog GDF]],GDF_price_list[[Product Name]:[Column1]],7,0)</f>
        <v>#N/A</v>
      </c>
      <c r="V294" s="786" t="s">
        <v>612</v>
      </c>
      <c r="W294" s="738" t="s">
        <v>842</v>
      </c>
      <c r="X294" s="745">
        <v>106052</v>
      </c>
      <c r="Y294" s="740" t="s">
        <v>1683</v>
      </c>
      <c r="Z294" s="742" t="s">
        <v>610</v>
      </c>
      <c r="AA294" s="742" t="s">
        <v>1802</v>
      </c>
      <c r="AB294" s="746">
        <v>1</v>
      </c>
      <c r="AC294" s="743" t="s">
        <v>1684</v>
      </c>
      <c r="AD294" s="744">
        <v>2.46</v>
      </c>
      <c r="AE294" s="787" t="s">
        <v>435</v>
      </c>
      <c r="AF294">
        <f>GDF_price_list[[#This Row],[Indicative 
FCA Price]]/GDF_price_list[[#This Row],[Unit]]</f>
        <v>2.46</v>
      </c>
    </row>
    <row r="295" spans="12:32" ht="68">
      <c r="L295" s="416"/>
      <c r="M295" s="416"/>
      <c r="N295" s="416"/>
      <c r="O295" s="439"/>
      <c r="P295" s="417"/>
      <c r="Q295" s="417"/>
      <c r="R295" s="417">
        <f>IFERROR(ROUND(Bunuri_lab_nomenc[[#This Row],[Cost unitate GFATM_valuta]]*VLOOKUP(Bunuri_lab_nomenc[[#This Row],[Valuta cost GFATM]],$B$58:$D$59,2,0),2),0)</f>
        <v>0</v>
      </c>
      <c r="S295" s="417" t="str">
        <f>IFERROR(VLOOKUP(Bunuri_lab_nomenc[[#This Row],[Denumire catalog GDF]],GDF_price_list[[Product Name]:[Column1]],8,0),"")</f>
        <v/>
      </c>
      <c r="T295" s="417" t="e">
        <f>VLOOKUP(Bunuri_lab_nomenc[[#This Row],[Denumire catalog GDF]],GDF_price_list[[Product Name]:[Column1]],7,0)</f>
        <v>#N/A</v>
      </c>
      <c r="V295" s="786" t="s">
        <v>612</v>
      </c>
      <c r="W295" s="738" t="s">
        <v>842</v>
      </c>
      <c r="X295" s="745">
        <v>106217</v>
      </c>
      <c r="Y295" s="740" t="s">
        <v>1685</v>
      </c>
      <c r="Z295" s="742" t="s">
        <v>610</v>
      </c>
      <c r="AA295" s="742" t="s">
        <v>1802</v>
      </c>
      <c r="AB295" s="746">
        <v>1</v>
      </c>
      <c r="AC295" s="743" t="s">
        <v>1686</v>
      </c>
      <c r="AD295" s="744">
        <v>5.5</v>
      </c>
      <c r="AE295" s="787" t="s">
        <v>435</v>
      </c>
      <c r="AF295">
        <f>GDF_price_list[[#This Row],[Indicative 
FCA Price]]/GDF_price_list[[#This Row],[Unit]]</f>
        <v>5.5</v>
      </c>
    </row>
    <row r="296" spans="12:32" ht="34">
      <c r="L296" s="416"/>
      <c r="M296" s="416"/>
      <c r="N296" s="416"/>
      <c r="O296" s="439"/>
      <c r="P296" s="417"/>
      <c r="Q296" s="417"/>
      <c r="R296" s="417">
        <f>IFERROR(ROUND(Bunuri_lab_nomenc[[#This Row],[Cost unitate GFATM_valuta]]*VLOOKUP(Bunuri_lab_nomenc[[#This Row],[Valuta cost GFATM]],$B$58:$D$59,2,0),2),0)</f>
        <v>0</v>
      </c>
      <c r="S296" s="417" t="str">
        <f>IFERROR(VLOOKUP(Bunuri_lab_nomenc[[#This Row],[Denumire catalog GDF]],GDF_price_list[[Product Name]:[Column1]],8,0),"")</f>
        <v/>
      </c>
      <c r="T296" s="417" t="e">
        <f>VLOOKUP(Bunuri_lab_nomenc[[#This Row],[Denumire catalog GDF]],GDF_price_list[[Product Name]:[Column1]],7,0)</f>
        <v>#N/A</v>
      </c>
      <c r="V296" s="786" t="s">
        <v>612</v>
      </c>
      <c r="W296" s="738" t="s">
        <v>842</v>
      </c>
      <c r="X296" s="745">
        <v>106495</v>
      </c>
      <c r="Y296" s="740" t="s">
        <v>1687</v>
      </c>
      <c r="Z296" s="742" t="s">
        <v>610</v>
      </c>
      <c r="AA296" s="742" t="s">
        <v>1802</v>
      </c>
      <c r="AB296" s="746">
        <v>1</v>
      </c>
      <c r="AC296" s="743" t="s">
        <v>1688</v>
      </c>
      <c r="AD296" s="744">
        <v>4.1900000000000004</v>
      </c>
      <c r="AE296" s="787" t="s">
        <v>435</v>
      </c>
      <c r="AF296">
        <f>GDF_price_list[[#This Row],[Indicative 
FCA Price]]/GDF_price_list[[#This Row],[Unit]]</f>
        <v>4.1900000000000004</v>
      </c>
    </row>
    <row r="297" spans="12:32" ht="68">
      <c r="L297" s="416"/>
      <c r="M297" s="416"/>
      <c r="N297" s="416"/>
      <c r="O297" s="439"/>
      <c r="P297" s="417"/>
      <c r="Q297" s="417"/>
      <c r="R297" s="417">
        <f>IFERROR(ROUND(Bunuri_lab_nomenc[[#This Row],[Cost unitate GFATM_valuta]]*VLOOKUP(Bunuri_lab_nomenc[[#This Row],[Valuta cost GFATM]],$B$58:$D$59,2,0),2),0)</f>
        <v>0</v>
      </c>
      <c r="S297" s="417" t="str">
        <f>IFERROR(VLOOKUP(Bunuri_lab_nomenc[[#This Row],[Denumire catalog GDF]],GDF_price_list[[Product Name]:[Column1]],8,0),"")</f>
        <v/>
      </c>
      <c r="T297" s="417" t="e">
        <f>VLOOKUP(Bunuri_lab_nomenc[[#This Row],[Denumire catalog GDF]],GDF_price_list[[Product Name]:[Column1]],7,0)</f>
        <v>#N/A</v>
      </c>
      <c r="V297" s="786" t="s">
        <v>607</v>
      </c>
      <c r="W297" s="738" t="s">
        <v>1530</v>
      </c>
      <c r="X297" s="745">
        <v>106244</v>
      </c>
      <c r="Y297" s="740" t="s">
        <v>1689</v>
      </c>
      <c r="Z297" s="741" t="s">
        <v>610</v>
      </c>
      <c r="AA297" s="742" t="s">
        <v>1802</v>
      </c>
      <c r="AB297" s="746">
        <v>1</v>
      </c>
      <c r="AC297" s="743" t="s">
        <v>1690</v>
      </c>
      <c r="AD297" s="744">
        <v>7.59</v>
      </c>
      <c r="AE297" s="787" t="s">
        <v>435</v>
      </c>
      <c r="AF297">
        <f>GDF_price_list[[#This Row],[Indicative 
FCA Price]]/GDF_price_list[[#This Row],[Unit]]</f>
        <v>7.59</v>
      </c>
    </row>
    <row r="298" spans="12:32" ht="17">
      <c r="L298" s="416"/>
      <c r="M298" s="416"/>
      <c r="N298" s="416"/>
      <c r="O298" s="439"/>
      <c r="P298" s="417"/>
      <c r="Q298" s="417"/>
      <c r="R298" s="417">
        <f>IFERROR(ROUND(Bunuri_lab_nomenc[[#This Row],[Cost unitate GFATM_valuta]]*VLOOKUP(Bunuri_lab_nomenc[[#This Row],[Valuta cost GFATM]],$B$58:$D$59,2,0),2),0)</f>
        <v>0</v>
      </c>
      <c r="S298" s="417" t="str">
        <f>IFERROR(VLOOKUP(Bunuri_lab_nomenc[[#This Row],[Denumire catalog GDF]],GDF_price_list[[Product Name]:[Column1]],8,0),"")</f>
        <v/>
      </c>
      <c r="T298" s="417" t="e">
        <f>VLOOKUP(Bunuri_lab_nomenc[[#This Row],[Denumire catalog GDF]],GDF_price_list[[Product Name]:[Column1]],7,0)</f>
        <v>#N/A</v>
      </c>
      <c r="V298" s="786" t="s">
        <v>718</v>
      </c>
      <c r="W298" s="738" t="s">
        <v>817</v>
      </c>
      <c r="X298" s="745">
        <v>106157</v>
      </c>
      <c r="Y298" s="740" t="s">
        <v>1695</v>
      </c>
      <c r="Z298" s="742" t="s">
        <v>610</v>
      </c>
      <c r="AA298" s="742" t="s">
        <v>1802</v>
      </c>
      <c r="AB298" s="746">
        <v>1</v>
      </c>
      <c r="AC298" s="743" t="s">
        <v>1696</v>
      </c>
      <c r="AD298" s="744">
        <v>3.55</v>
      </c>
      <c r="AE298" s="787" t="s">
        <v>435</v>
      </c>
      <c r="AF298">
        <f>GDF_price_list[[#This Row],[Indicative 
FCA Price]]/GDF_price_list[[#This Row],[Unit]]</f>
        <v>3.55</v>
      </c>
    </row>
    <row r="299" spans="12:32" ht="85">
      <c r="L299" s="416"/>
      <c r="M299" s="416"/>
      <c r="N299" s="416"/>
      <c r="O299" s="439"/>
      <c r="P299" s="417"/>
      <c r="Q299" s="417"/>
      <c r="R299" s="417">
        <f>IFERROR(ROUND(Bunuri_lab_nomenc[[#This Row],[Cost unitate GFATM_valuta]]*VLOOKUP(Bunuri_lab_nomenc[[#This Row],[Valuta cost GFATM]],$B$58:$D$59,2,0),2),0)</f>
        <v>0</v>
      </c>
      <c r="S299" s="417" t="str">
        <f>IFERROR(VLOOKUP(Bunuri_lab_nomenc[[#This Row],[Denumire catalog GDF]],GDF_price_list[[Product Name]:[Column1]],8,0),"")</f>
        <v/>
      </c>
      <c r="T299" s="417" t="e">
        <f>VLOOKUP(Bunuri_lab_nomenc[[#This Row],[Denumire catalog GDF]],GDF_price_list[[Product Name]:[Column1]],7,0)</f>
        <v>#N/A</v>
      </c>
      <c r="V299" s="786" t="s">
        <v>612</v>
      </c>
      <c r="W299" s="738" t="s">
        <v>627</v>
      </c>
      <c r="X299" s="745">
        <v>106045</v>
      </c>
      <c r="Y299" s="740" t="s">
        <v>1697</v>
      </c>
      <c r="Z299" s="742" t="s">
        <v>610</v>
      </c>
      <c r="AA299" s="742" t="s">
        <v>1802</v>
      </c>
      <c r="AB299" s="746">
        <v>1</v>
      </c>
      <c r="AC299" s="743" t="s">
        <v>1698</v>
      </c>
      <c r="AD299" s="744">
        <v>2208.36</v>
      </c>
      <c r="AE299" s="787" t="s">
        <v>435</v>
      </c>
      <c r="AF299">
        <f>GDF_price_list[[#This Row],[Indicative 
FCA Price]]/GDF_price_list[[#This Row],[Unit]]</f>
        <v>2208.36</v>
      </c>
    </row>
    <row r="300" spans="12:32" ht="51">
      <c r="L300" s="416"/>
      <c r="M300" s="416"/>
      <c r="N300" s="416"/>
      <c r="O300" s="439"/>
      <c r="P300" s="417"/>
      <c r="Q300" s="417"/>
      <c r="R300" s="417">
        <f>IFERROR(ROUND(Bunuri_lab_nomenc[[#This Row],[Cost unitate GFATM_valuta]]*VLOOKUP(Bunuri_lab_nomenc[[#This Row],[Valuta cost GFATM]],$B$58:$D$59,2,0),2),0)</f>
        <v>0</v>
      </c>
      <c r="S300" s="417" t="str">
        <f>IFERROR(VLOOKUP(Bunuri_lab_nomenc[[#This Row],[Denumire catalog GDF]],GDF_price_list[[Product Name]:[Column1]],8,0),"")</f>
        <v/>
      </c>
      <c r="T300" s="417" t="e">
        <f>VLOOKUP(Bunuri_lab_nomenc[[#This Row],[Denumire catalog GDF]],GDF_price_list[[Product Name]:[Column1]],7,0)</f>
        <v>#N/A</v>
      </c>
      <c r="V300" s="786" t="s">
        <v>638</v>
      </c>
      <c r="W300" s="738" t="s">
        <v>1243</v>
      </c>
      <c r="X300" s="745">
        <v>106079</v>
      </c>
      <c r="Y300" s="740" t="s">
        <v>1704</v>
      </c>
      <c r="Z300" s="742" t="s">
        <v>610</v>
      </c>
      <c r="AA300" s="742" t="s">
        <v>1802</v>
      </c>
      <c r="AB300" s="746">
        <v>1</v>
      </c>
      <c r="AC300" s="743" t="s">
        <v>1705</v>
      </c>
      <c r="AD300" s="744">
        <v>1993.15</v>
      </c>
      <c r="AE300" s="787" t="s">
        <v>435</v>
      </c>
      <c r="AF300">
        <f>GDF_price_list[[#This Row],[Indicative 
FCA Price]]/GDF_price_list[[#This Row],[Unit]]</f>
        <v>1993.15</v>
      </c>
    </row>
    <row r="301" spans="12:32" ht="34">
      <c r="L301" s="416"/>
      <c r="M301" s="416"/>
      <c r="N301" s="416"/>
      <c r="O301" s="439"/>
      <c r="P301" s="417"/>
      <c r="Q301" s="417"/>
      <c r="R301" s="417">
        <f>IFERROR(ROUND(Bunuri_lab_nomenc[[#This Row],[Cost unitate GFATM_valuta]]*VLOOKUP(Bunuri_lab_nomenc[[#This Row],[Valuta cost GFATM]],$B$58:$D$59,2,0),2),0)</f>
        <v>0</v>
      </c>
      <c r="S301" s="417" t="str">
        <f>IFERROR(VLOOKUP(Bunuri_lab_nomenc[[#This Row],[Denumire catalog GDF]],GDF_price_list[[Product Name]:[Column1]],8,0),"")</f>
        <v/>
      </c>
      <c r="T301" s="417" t="e">
        <f>VLOOKUP(Bunuri_lab_nomenc[[#This Row],[Denumire catalog GDF]],GDF_price_list[[Product Name]:[Column1]],7,0)</f>
        <v>#N/A</v>
      </c>
      <c r="V301" s="786" t="s">
        <v>612</v>
      </c>
      <c r="W301" s="738" t="s">
        <v>627</v>
      </c>
      <c r="X301" s="739">
        <v>106425</v>
      </c>
      <c r="Y301" s="740" t="s">
        <v>1706</v>
      </c>
      <c r="Z301" s="742" t="s">
        <v>610</v>
      </c>
      <c r="AA301" s="742" t="s">
        <v>1802</v>
      </c>
      <c r="AB301" s="742">
        <v>1</v>
      </c>
      <c r="AC301" s="743" t="s">
        <v>1707</v>
      </c>
      <c r="AD301" s="744">
        <v>1052.48</v>
      </c>
      <c r="AE301" s="787" t="s">
        <v>435</v>
      </c>
      <c r="AF301">
        <f>GDF_price_list[[#This Row],[Indicative 
FCA Price]]/GDF_price_list[[#This Row],[Unit]]</f>
        <v>1052.48</v>
      </c>
    </row>
    <row r="302" spans="12:32" ht="102">
      <c r="L302" s="416"/>
      <c r="M302" s="416"/>
      <c r="N302" s="416"/>
      <c r="O302" s="439"/>
      <c r="P302" s="417"/>
      <c r="Q302" s="417"/>
      <c r="R302" s="417">
        <f>IFERROR(ROUND(Bunuri_lab_nomenc[[#This Row],[Cost unitate GFATM_valuta]]*VLOOKUP(Bunuri_lab_nomenc[[#This Row],[Valuta cost GFATM]],$B$58:$D$59,2,0),2),0)</f>
        <v>0</v>
      </c>
      <c r="S302" s="417" t="str">
        <f>IFERROR(VLOOKUP(Bunuri_lab_nomenc[[#This Row],[Denumire catalog GDF]],GDF_price_list[[Product Name]:[Column1]],8,0),"")</f>
        <v/>
      </c>
      <c r="T302" s="417" t="e">
        <f>VLOOKUP(Bunuri_lab_nomenc[[#This Row],[Denumire catalog GDF]],GDF_price_list[[Product Name]:[Column1]],7,0)</f>
        <v>#N/A</v>
      </c>
      <c r="V302" s="786" t="s">
        <v>612</v>
      </c>
      <c r="W302" s="738" t="s">
        <v>627</v>
      </c>
      <c r="X302" s="739">
        <v>106046</v>
      </c>
      <c r="Y302" s="740" t="s">
        <v>1708</v>
      </c>
      <c r="Z302" s="742" t="s">
        <v>610</v>
      </c>
      <c r="AA302" s="742" t="s">
        <v>1802</v>
      </c>
      <c r="AB302" s="742">
        <v>1</v>
      </c>
      <c r="AC302" s="743" t="s">
        <v>1709</v>
      </c>
      <c r="AD302" s="744">
        <v>7646.92</v>
      </c>
      <c r="AE302" s="787" t="s">
        <v>435</v>
      </c>
      <c r="AF302">
        <f>GDF_price_list[[#This Row],[Indicative 
FCA Price]]/GDF_price_list[[#This Row],[Unit]]</f>
        <v>7646.92</v>
      </c>
    </row>
    <row r="303" spans="12:32" ht="17">
      <c r="L303" s="416"/>
      <c r="M303" s="416"/>
      <c r="N303" s="416"/>
      <c r="O303" s="439"/>
      <c r="P303" s="417"/>
      <c r="Q303" s="417"/>
      <c r="R303" s="417">
        <f>IFERROR(ROUND(Bunuri_lab_nomenc[[#This Row],[Cost unitate GFATM_valuta]]*VLOOKUP(Bunuri_lab_nomenc[[#This Row],[Valuta cost GFATM]],$B$58:$D$59,2,0),2),0)</f>
        <v>0</v>
      </c>
      <c r="S303" s="417" t="str">
        <f>IFERROR(VLOOKUP(Bunuri_lab_nomenc[[#This Row],[Denumire catalog GDF]],GDF_price_list[[Product Name]:[Column1]],8,0),"")</f>
        <v/>
      </c>
      <c r="T303" s="417" t="e">
        <f>VLOOKUP(Bunuri_lab_nomenc[[#This Row],[Denumire catalog GDF]],GDF_price_list[[Product Name]:[Column1]],7,0)</f>
        <v>#N/A</v>
      </c>
      <c r="V303" s="786" t="s">
        <v>718</v>
      </c>
      <c r="W303" s="738" t="s">
        <v>798</v>
      </c>
      <c r="X303" s="745">
        <v>106442</v>
      </c>
      <c r="Y303" s="740" t="s">
        <v>1710</v>
      </c>
      <c r="Z303" s="742" t="s">
        <v>610</v>
      </c>
      <c r="AA303" s="742" t="s">
        <v>1802</v>
      </c>
      <c r="AB303" s="773">
        <v>1</v>
      </c>
      <c r="AC303" s="743" t="s">
        <v>1711</v>
      </c>
      <c r="AD303" s="744">
        <v>5.18</v>
      </c>
      <c r="AE303" s="787" t="s">
        <v>435</v>
      </c>
      <c r="AF303">
        <f>GDF_price_list[[#This Row],[Indicative 
FCA Price]]/GDF_price_list[[#This Row],[Unit]]</f>
        <v>5.18</v>
      </c>
    </row>
    <row r="304" spans="12:32" ht="17">
      <c r="L304" s="416"/>
      <c r="M304" s="416"/>
      <c r="N304" s="416"/>
      <c r="O304" s="439"/>
      <c r="P304" s="417"/>
      <c r="Q304" s="417"/>
      <c r="R304" s="417">
        <f>IFERROR(ROUND(Bunuri_lab_nomenc[[#This Row],[Cost unitate GFATM_valuta]]*VLOOKUP(Bunuri_lab_nomenc[[#This Row],[Valuta cost GFATM]],$B$58:$D$59,2,0),2),0)</f>
        <v>0</v>
      </c>
      <c r="S304" s="417" t="str">
        <f>IFERROR(VLOOKUP(Bunuri_lab_nomenc[[#This Row],[Denumire catalog GDF]],GDF_price_list[[Product Name]:[Column1]],8,0),"")</f>
        <v/>
      </c>
      <c r="T304" s="417" t="e">
        <f>VLOOKUP(Bunuri_lab_nomenc[[#This Row],[Denumire catalog GDF]],GDF_price_list[[Product Name]:[Column1]],7,0)</f>
        <v>#N/A</v>
      </c>
      <c r="V304" s="786" t="s">
        <v>718</v>
      </c>
      <c r="W304" s="738" t="s">
        <v>798</v>
      </c>
      <c r="X304" s="745">
        <v>106453</v>
      </c>
      <c r="Y304" s="740" t="s">
        <v>1712</v>
      </c>
      <c r="Z304" s="742" t="s">
        <v>610</v>
      </c>
      <c r="AA304" s="742" t="s">
        <v>1802</v>
      </c>
      <c r="AB304" s="773">
        <v>1</v>
      </c>
      <c r="AC304" s="743" t="s">
        <v>1713</v>
      </c>
      <c r="AD304" s="744">
        <v>6.57</v>
      </c>
      <c r="AE304" s="787" t="s">
        <v>435</v>
      </c>
      <c r="AF304">
        <f>GDF_price_list[[#This Row],[Indicative 
FCA Price]]/GDF_price_list[[#This Row],[Unit]]</f>
        <v>6.57</v>
      </c>
    </row>
    <row r="305" spans="12:32" ht="51">
      <c r="L305" s="416"/>
      <c r="M305" s="416"/>
      <c r="N305" s="416"/>
      <c r="O305" s="439"/>
      <c r="P305" s="417"/>
      <c r="Q305" s="417"/>
      <c r="R305" s="417">
        <f>IFERROR(ROUND(Bunuri_lab_nomenc[[#This Row],[Cost unitate GFATM_valuta]]*VLOOKUP(Bunuri_lab_nomenc[[#This Row],[Valuta cost GFATM]],$B$58:$D$59,2,0),2),0)</f>
        <v>0</v>
      </c>
      <c r="S305" s="417" t="str">
        <f>IFERROR(VLOOKUP(Bunuri_lab_nomenc[[#This Row],[Denumire catalog GDF]],GDF_price_list[[Product Name]:[Column1]],8,0),"")</f>
        <v/>
      </c>
      <c r="T305" s="417" t="e">
        <f>VLOOKUP(Bunuri_lab_nomenc[[#This Row],[Denumire catalog GDF]],GDF_price_list[[Product Name]:[Column1]],7,0)</f>
        <v>#N/A</v>
      </c>
      <c r="V305" s="786" t="s">
        <v>612</v>
      </c>
      <c r="W305" s="738" t="s">
        <v>627</v>
      </c>
      <c r="X305" s="739">
        <v>106050</v>
      </c>
      <c r="Y305" s="740" t="s">
        <v>1714</v>
      </c>
      <c r="Z305" s="742" t="s">
        <v>1086</v>
      </c>
      <c r="AA305" s="742" t="s">
        <v>1802</v>
      </c>
      <c r="AB305" s="742">
        <v>1</v>
      </c>
      <c r="AC305" s="743" t="s">
        <v>1715</v>
      </c>
      <c r="AD305" s="770">
        <v>2200</v>
      </c>
      <c r="AE305" s="790" t="s">
        <v>447</v>
      </c>
      <c r="AF305">
        <f>GDF_price_list[[#This Row],[Indicative 
FCA Price]]/GDF_price_list[[#This Row],[Unit]]</f>
        <v>2200</v>
      </c>
    </row>
    <row r="306" spans="12:32" ht="85">
      <c r="L306" s="416"/>
      <c r="M306" s="416"/>
      <c r="N306" s="416"/>
      <c r="O306" s="439"/>
      <c r="P306" s="417"/>
      <c r="Q306" s="417"/>
      <c r="R306" s="417">
        <f>IFERROR(ROUND(Bunuri_lab_nomenc[[#This Row],[Cost unitate GFATM_valuta]]*VLOOKUP(Bunuri_lab_nomenc[[#This Row],[Valuta cost GFATM]],$B$58:$D$59,2,0),2),0)</f>
        <v>0</v>
      </c>
      <c r="S306" s="417" t="str">
        <f>IFERROR(VLOOKUP(Bunuri_lab_nomenc[[#This Row],[Denumire catalog GDF]],GDF_price_list[[Product Name]:[Column1]],8,0),"")</f>
        <v/>
      </c>
      <c r="T306" s="417" t="e">
        <f>VLOOKUP(Bunuri_lab_nomenc[[#This Row],[Denumire catalog GDF]],GDF_price_list[[Product Name]:[Column1]],7,0)</f>
        <v>#N/A</v>
      </c>
      <c r="V306" s="786" t="s">
        <v>740</v>
      </c>
      <c r="W306" s="738" t="s">
        <v>741</v>
      </c>
      <c r="X306" s="765">
        <v>106078</v>
      </c>
      <c r="Y306" s="763" t="s">
        <v>1716</v>
      </c>
      <c r="Z306" s="759" t="s">
        <v>610</v>
      </c>
      <c r="AA306" s="742" t="s">
        <v>1802</v>
      </c>
      <c r="AB306" s="764">
        <v>1</v>
      </c>
      <c r="AC306" s="747" t="s">
        <v>1717</v>
      </c>
      <c r="AD306" s="761">
        <v>1989.1872000000001</v>
      </c>
      <c r="AE306" s="791" t="s">
        <v>435</v>
      </c>
      <c r="AF306">
        <f>GDF_price_list[[#This Row],[Indicative 
FCA Price]]/GDF_price_list[[#This Row],[Unit]]</f>
        <v>1989.1872000000001</v>
      </c>
    </row>
    <row r="307" spans="12:32" ht="85">
      <c r="L307" s="416"/>
      <c r="M307" s="416"/>
      <c r="N307" s="416"/>
      <c r="O307" s="439"/>
      <c r="P307" s="417"/>
      <c r="Q307" s="417"/>
      <c r="R307" s="417">
        <f>IFERROR(ROUND(Bunuri_lab_nomenc[[#This Row],[Cost unitate GFATM_valuta]]*VLOOKUP(Bunuri_lab_nomenc[[#This Row],[Valuta cost GFATM]],$B$58:$D$59,2,0),2),0)</f>
        <v>0</v>
      </c>
      <c r="S307" s="417" t="str">
        <f>IFERROR(VLOOKUP(Bunuri_lab_nomenc[[#This Row],[Denumire catalog GDF]],GDF_price_list[[Product Name]:[Column1]],8,0),"")</f>
        <v/>
      </c>
      <c r="T307" s="417" t="e">
        <f>VLOOKUP(Bunuri_lab_nomenc[[#This Row],[Denumire catalog GDF]],GDF_price_list[[Product Name]:[Column1]],7,0)</f>
        <v>#N/A</v>
      </c>
      <c r="V307" s="786" t="s">
        <v>740</v>
      </c>
      <c r="W307" s="738" t="s">
        <v>750</v>
      </c>
      <c r="X307" s="765">
        <v>106078</v>
      </c>
      <c r="Y307" s="763" t="s">
        <v>1716</v>
      </c>
      <c r="Z307" s="759" t="s">
        <v>610</v>
      </c>
      <c r="AA307" s="742" t="s">
        <v>1802</v>
      </c>
      <c r="AB307" s="764">
        <v>1</v>
      </c>
      <c r="AC307" s="747" t="s">
        <v>1718</v>
      </c>
      <c r="AD307" s="761">
        <v>1989.1872000000001</v>
      </c>
      <c r="AE307" s="791" t="s">
        <v>435</v>
      </c>
      <c r="AF307">
        <f>GDF_price_list[[#This Row],[Indicative 
FCA Price]]/GDF_price_list[[#This Row],[Unit]]</f>
        <v>1989.1872000000001</v>
      </c>
    </row>
    <row r="308" spans="12:32" ht="17">
      <c r="L308" s="416"/>
      <c r="M308" s="416"/>
      <c r="N308" s="416"/>
      <c r="O308" s="439"/>
      <c r="P308" s="417"/>
      <c r="Q308" s="417"/>
      <c r="R308" s="417">
        <f>IFERROR(ROUND(Bunuri_lab_nomenc[[#This Row],[Cost unitate GFATM_valuta]]*VLOOKUP(Bunuri_lab_nomenc[[#This Row],[Valuta cost GFATM]],$B$58:$D$59,2,0),2),0)</f>
        <v>0</v>
      </c>
      <c r="S308" s="417" t="str">
        <f>IFERROR(VLOOKUP(Bunuri_lab_nomenc[[#This Row],[Denumire catalog GDF]],GDF_price_list[[Product Name]:[Column1]],8,0),"")</f>
        <v/>
      </c>
      <c r="T308" s="417" t="e">
        <f>VLOOKUP(Bunuri_lab_nomenc[[#This Row],[Denumire catalog GDF]],GDF_price_list[[Product Name]:[Column1]],7,0)</f>
        <v>#N/A</v>
      </c>
      <c r="V308" s="786" t="s">
        <v>648</v>
      </c>
      <c r="W308" s="738" t="s">
        <v>649</v>
      </c>
      <c r="X308" s="739">
        <v>106570</v>
      </c>
      <c r="Y308" s="740" t="s">
        <v>1719</v>
      </c>
      <c r="Z308" s="742" t="s">
        <v>651</v>
      </c>
      <c r="AA308" s="742" t="s">
        <v>1802</v>
      </c>
      <c r="AB308" s="742">
        <v>1</v>
      </c>
      <c r="AC308" s="743" t="s">
        <v>1720</v>
      </c>
      <c r="AD308" s="753">
        <v>1.1100000000000001</v>
      </c>
      <c r="AE308" s="790" t="s">
        <v>435</v>
      </c>
      <c r="AF308">
        <f>GDF_price_list[[#This Row],[Indicative 
FCA Price]]/GDF_price_list[[#This Row],[Unit]]</f>
        <v>1.1100000000000001</v>
      </c>
    </row>
    <row r="309" spans="12:32" ht="170">
      <c r="L309" s="416"/>
      <c r="M309" s="416"/>
      <c r="N309" s="416"/>
      <c r="O309" s="439"/>
      <c r="P309" s="417"/>
      <c r="Q309" s="417"/>
      <c r="R309" s="417">
        <f>IFERROR(ROUND(Bunuri_lab_nomenc[[#This Row],[Cost unitate GFATM_valuta]]*VLOOKUP(Bunuri_lab_nomenc[[#This Row],[Valuta cost GFATM]],$B$58:$D$59,2,0),2),0)</f>
        <v>0</v>
      </c>
      <c r="S309" s="417" t="str">
        <f>IFERROR(VLOOKUP(Bunuri_lab_nomenc[[#This Row],[Denumire catalog GDF]],GDF_price_list[[Product Name]:[Column1]],8,0),"")</f>
        <v/>
      </c>
      <c r="T309" s="417" t="e">
        <f>VLOOKUP(Bunuri_lab_nomenc[[#This Row],[Denumire catalog GDF]],GDF_price_list[[Product Name]:[Column1]],7,0)</f>
        <v>#N/A</v>
      </c>
      <c r="V309" s="786" t="s">
        <v>612</v>
      </c>
      <c r="W309" s="738" t="s">
        <v>1221</v>
      </c>
      <c r="X309" s="745">
        <v>106638</v>
      </c>
      <c r="Y309" s="740" t="s">
        <v>1721</v>
      </c>
      <c r="Z309" s="742" t="s">
        <v>1188</v>
      </c>
      <c r="AA309" s="742" t="s">
        <v>1802</v>
      </c>
      <c r="AB309" s="742">
        <v>1</v>
      </c>
      <c r="AC309" s="743" t="s">
        <v>1722</v>
      </c>
      <c r="AD309" s="744">
        <v>275</v>
      </c>
      <c r="AE309" s="790" t="s">
        <v>435</v>
      </c>
      <c r="AF309">
        <f>GDF_price_list[[#This Row],[Indicative 
FCA Price]]/GDF_price_list[[#This Row],[Unit]]</f>
        <v>275</v>
      </c>
    </row>
    <row r="310" spans="12:32" ht="51">
      <c r="L310" s="416"/>
      <c r="M310" s="416"/>
      <c r="N310" s="416"/>
      <c r="O310" s="439"/>
      <c r="P310" s="417"/>
      <c r="Q310" s="417"/>
      <c r="R310" s="417">
        <f>IFERROR(ROUND(Bunuri_lab_nomenc[[#This Row],[Cost unitate GFATM_valuta]]*VLOOKUP(Bunuri_lab_nomenc[[#This Row],[Valuta cost GFATM]],$B$58:$D$59,2,0),2),0)</f>
        <v>0</v>
      </c>
      <c r="S310" s="417" t="str">
        <f>IFERROR(VLOOKUP(Bunuri_lab_nomenc[[#This Row],[Denumire catalog GDF]],GDF_price_list[[Product Name]:[Column1]],8,0),"")</f>
        <v/>
      </c>
      <c r="T310" s="417" t="e">
        <f>VLOOKUP(Bunuri_lab_nomenc[[#This Row],[Denumire catalog GDF]],GDF_price_list[[Product Name]:[Column1]],7,0)</f>
        <v>#N/A</v>
      </c>
      <c r="V310" s="786" t="s">
        <v>648</v>
      </c>
      <c r="W310" s="738" t="s">
        <v>679</v>
      </c>
      <c r="X310" s="740">
        <v>106630</v>
      </c>
      <c r="Y310" s="740" t="s">
        <v>1726</v>
      </c>
      <c r="Z310" s="742" t="s">
        <v>806</v>
      </c>
      <c r="AA310" s="742" t="s">
        <v>1802</v>
      </c>
      <c r="AB310" s="764">
        <v>1</v>
      </c>
      <c r="AC310" s="743" t="s">
        <v>1727</v>
      </c>
      <c r="AD310" s="744">
        <v>86.13</v>
      </c>
      <c r="AE310" s="790" t="s">
        <v>435</v>
      </c>
      <c r="AF310">
        <f>GDF_price_list[[#This Row],[Indicative 
FCA Price]]/GDF_price_list[[#This Row],[Unit]]</f>
        <v>86.13</v>
      </c>
    </row>
    <row r="311" spans="12:32" ht="68">
      <c r="L311" s="416"/>
      <c r="M311" s="416"/>
      <c r="N311" s="416"/>
      <c r="O311" s="439"/>
      <c r="P311" s="417"/>
      <c r="Q311" s="417"/>
      <c r="R311" s="417">
        <f>IFERROR(ROUND(Bunuri_lab_nomenc[[#This Row],[Cost unitate GFATM_valuta]]*VLOOKUP(Bunuri_lab_nomenc[[#This Row],[Valuta cost GFATM]],$B$58:$D$59,2,0),2),0)</f>
        <v>0</v>
      </c>
      <c r="S311" s="417" t="str">
        <f>IFERROR(VLOOKUP(Bunuri_lab_nomenc[[#This Row],[Denumire catalog GDF]],GDF_price_list[[Product Name]:[Column1]],8,0),"")</f>
        <v/>
      </c>
      <c r="T311" s="417" t="e">
        <f>VLOOKUP(Bunuri_lab_nomenc[[#This Row],[Denumire catalog GDF]],GDF_price_list[[Product Name]:[Column1]],7,0)</f>
        <v>#N/A</v>
      </c>
      <c r="V311" s="786" t="s">
        <v>648</v>
      </c>
      <c r="W311" s="738" t="s">
        <v>679</v>
      </c>
      <c r="X311" s="739">
        <v>106534</v>
      </c>
      <c r="Y311" s="740" t="s">
        <v>1728</v>
      </c>
      <c r="Z311" s="742" t="s">
        <v>1281</v>
      </c>
      <c r="AA311" s="742" t="s">
        <v>1802</v>
      </c>
      <c r="AB311" s="764">
        <v>1</v>
      </c>
      <c r="AC311" s="743" t="s">
        <v>1729</v>
      </c>
      <c r="AD311" s="744">
        <v>237</v>
      </c>
      <c r="AE311" s="790" t="s">
        <v>435</v>
      </c>
      <c r="AF311">
        <f>GDF_price_list[[#This Row],[Indicative 
FCA Price]]/GDF_price_list[[#This Row],[Unit]]</f>
        <v>237</v>
      </c>
    </row>
    <row r="312" spans="12:32" ht="17">
      <c r="L312" s="416"/>
      <c r="M312" s="416"/>
      <c r="N312" s="416"/>
      <c r="O312" s="439"/>
      <c r="P312" s="417"/>
      <c r="Q312" s="417"/>
      <c r="R312" s="417">
        <f>IFERROR(ROUND(Bunuri_lab_nomenc[[#This Row],[Cost unitate GFATM_valuta]]*VLOOKUP(Bunuri_lab_nomenc[[#This Row],[Valuta cost GFATM]],$B$58:$D$59,2,0),2),0)</f>
        <v>0</v>
      </c>
      <c r="S312" s="417" t="str">
        <f>IFERROR(VLOOKUP(Bunuri_lab_nomenc[[#This Row],[Denumire catalog GDF]],GDF_price_list[[Product Name]:[Column1]],8,0),"")</f>
        <v/>
      </c>
      <c r="T312" s="417" t="e">
        <f>VLOOKUP(Bunuri_lab_nomenc[[#This Row],[Denumire catalog GDF]],GDF_price_list[[Product Name]:[Column1]],7,0)</f>
        <v>#N/A</v>
      </c>
      <c r="V312" s="786" t="s">
        <v>607</v>
      </c>
      <c r="W312" s="738" t="s">
        <v>812</v>
      </c>
      <c r="X312" s="745">
        <v>106156</v>
      </c>
      <c r="Y312" s="740" t="s">
        <v>1732</v>
      </c>
      <c r="Z312" s="742" t="s">
        <v>610</v>
      </c>
      <c r="AA312" s="742" t="s">
        <v>1802</v>
      </c>
      <c r="AB312" s="746">
        <v>1</v>
      </c>
      <c r="AC312" s="743" t="s">
        <v>1733</v>
      </c>
      <c r="AD312" s="744">
        <v>10.45</v>
      </c>
      <c r="AE312" s="787" t="s">
        <v>435</v>
      </c>
      <c r="AF312">
        <f>GDF_price_list[[#This Row],[Indicative 
FCA Price]]/GDF_price_list[[#This Row],[Unit]]</f>
        <v>10.45</v>
      </c>
    </row>
    <row r="313" spans="12:32" ht="17">
      <c r="L313" s="416"/>
      <c r="M313" s="416"/>
      <c r="N313" s="416"/>
      <c r="O313" s="439"/>
      <c r="P313" s="417"/>
      <c r="Q313" s="417"/>
      <c r="R313" s="417">
        <f>IFERROR(ROUND(Bunuri_lab_nomenc[[#This Row],[Cost unitate GFATM_valuta]]*VLOOKUP(Bunuri_lab_nomenc[[#This Row],[Valuta cost GFATM]],$B$58:$D$59,2,0),2),0)</f>
        <v>0</v>
      </c>
      <c r="S313" s="417" t="str">
        <f>IFERROR(VLOOKUP(Bunuri_lab_nomenc[[#This Row],[Denumire catalog GDF]],GDF_price_list[[Product Name]:[Column1]],8,0),"")</f>
        <v/>
      </c>
      <c r="T313" s="417" t="e">
        <f>VLOOKUP(Bunuri_lab_nomenc[[#This Row],[Denumire catalog GDF]],GDF_price_list[[Product Name]:[Column1]],7,0)</f>
        <v>#N/A</v>
      </c>
      <c r="V313" s="786" t="s">
        <v>638</v>
      </c>
      <c r="W313" s="738" t="s">
        <v>639</v>
      </c>
      <c r="X313" s="745">
        <v>106349</v>
      </c>
      <c r="Y313" s="740" t="s">
        <v>1734</v>
      </c>
      <c r="Z313" s="742" t="s">
        <v>610</v>
      </c>
      <c r="AA313" s="742" t="s">
        <v>1802</v>
      </c>
      <c r="AB313" s="746">
        <v>1</v>
      </c>
      <c r="AC313" s="743" t="s">
        <v>1735</v>
      </c>
      <c r="AD313" s="744">
        <v>10.87</v>
      </c>
      <c r="AE313" s="787" t="s">
        <v>435</v>
      </c>
      <c r="AF313">
        <f>GDF_price_list[[#This Row],[Indicative 
FCA Price]]/GDF_price_list[[#This Row],[Unit]]</f>
        <v>10.87</v>
      </c>
    </row>
    <row r="314" spans="12:32" ht="34">
      <c r="L314" s="416"/>
      <c r="M314" s="416"/>
      <c r="N314" s="416"/>
      <c r="O314" s="439"/>
      <c r="P314" s="417"/>
      <c r="Q314" s="417"/>
      <c r="R314" s="417">
        <f>IFERROR(ROUND(Bunuri_lab_nomenc[[#This Row],[Cost unitate GFATM_valuta]]*VLOOKUP(Bunuri_lab_nomenc[[#This Row],[Valuta cost GFATM]],$B$58:$D$59,2,0),2),0)</f>
        <v>0</v>
      </c>
      <c r="S314" s="417" t="str">
        <f>IFERROR(VLOOKUP(Bunuri_lab_nomenc[[#This Row],[Denumire catalog GDF]],GDF_price_list[[Product Name]:[Column1]],8,0),"")</f>
        <v/>
      </c>
      <c r="T314" s="417" t="e">
        <f>VLOOKUP(Bunuri_lab_nomenc[[#This Row],[Denumire catalog GDF]],GDF_price_list[[Product Name]:[Column1]],7,0)</f>
        <v>#N/A</v>
      </c>
      <c r="V314" s="786" t="s">
        <v>607</v>
      </c>
      <c r="W314" s="738" t="s">
        <v>812</v>
      </c>
      <c r="X314" s="745">
        <v>106222</v>
      </c>
      <c r="Y314" s="740" t="s">
        <v>1744</v>
      </c>
      <c r="Z314" s="741" t="s">
        <v>610</v>
      </c>
      <c r="AA314" s="742" t="s">
        <v>1802</v>
      </c>
      <c r="AB314" s="746">
        <v>1</v>
      </c>
      <c r="AC314" s="743" t="s">
        <v>1745</v>
      </c>
      <c r="AD314" s="744">
        <v>6.97</v>
      </c>
      <c r="AE314" s="787" t="s">
        <v>435</v>
      </c>
      <c r="AF314">
        <f>GDF_price_list[[#This Row],[Indicative 
FCA Price]]/GDF_price_list[[#This Row],[Unit]]</f>
        <v>6.97</v>
      </c>
    </row>
    <row r="315" spans="12:32" ht="51">
      <c r="L315" s="416"/>
      <c r="M315" s="416"/>
      <c r="N315" s="416"/>
      <c r="O315" s="439"/>
      <c r="P315" s="417"/>
      <c r="Q315" s="417"/>
      <c r="R315" s="417">
        <f>IFERROR(ROUND(Bunuri_lab_nomenc[[#This Row],[Cost unitate GFATM_valuta]]*VLOOKUP(Bunuri_lab_nomenc[[#This Row],[Valuta cost GFATM]],$B$58:$D$59,2,0),2),0)</f>
        <v>0</v>
      </c>
      <c r="S315" s="417" t="str">
        <f>IFERROR(VLOOKUP(Bunuri_lab_nomenc[[#This Row],[Denumire catalog GDF]],GDF_price_list[[Product Name]:[Column1]],8,0),"")</f>
        <v/>
      </c>
      <c r="T315" s="417" t="e">
        <f>VLOOKUP(Bunuri_lab_nomenc[[#This Row],[Denumire catalog GDF]],GDF_price_list[[Product Name]:[Column1]],7,0)</f>
        <v>#N/A</v>
      </c>
      <c r="V315" s="786" t="s">
        <v>621</v>
      </c>
      <c r="W315" s="738" t="s">
        <v>622</v>
      </c>
      <c r="X315" s="745">
        <v>106104</v>
      </c>
      <c r="Y315" s="740" t="s">
        <v>1746</v>
      </c>
      <c r="Z315" s="742" t="s">
        <v>610</v>
      </c>
      <c r="AA315" s="742" t="s">
        <v>1802</v>
      </c>
      <c r="AB315" s="746">
        <v>1</v>
      </c>
      <c r="AC315" s="747" t="s">
        <v>1747</v>
      </c>
      <c r="AD315" s="744">
        <v>1117.93</v>
      </c>
      <c r="AE315" s="787" t="s">
        <v>435</v>
      </c>
      <c r="AF315">
        <f>GDF_price_list[[#This Row],[Indicative 
FCA Price]]/GDF_price_list[[#This Row],[Unit]]</f>
        <v>1117.93</v>
      </c>
    </row>
    <row r="316" spans="12:32" ht="17">
      <c r="L316" s="416"/>
      <c r="M316" s="416"/>
      <c r="N316" s="416"/>
      <c r="O316" s="439"/>
      <c r="P316" s="417"/>
      <c r="Q316" s="417"/>
      <c r="R316" s="417">
        <f>IFERROR(ROUND(Bunuri_lab_nomenc[[#This Row],[Cost unitate GFATM_valuta]]*VLOOKUP(Bunuri_lab_nomenc[[#This Row],[Valuta cost GFATM]],$B$58:$D$59,2,0),2),0)</f>
        <v>0</v>
      </c>
      <c r="S316" s="417" t="str">
        <f>IFERROR(VLOOKUP(Bunuri_lab_nomenc[[#This Row],[Denumire catalog GDF]],GDF_price_list[[Product Name]:[Column1]],8,0),"")</f>
        <v/>
      </c>
      <c r="T316" s="417" t="e">
        <f>VLOOKUP(Bunuri_lab_nomenc[[#This Row],[Denumire catalog GDF]],GDF_price_list[[Product Name]:[Column1]],7,0)</f>
        <v>#N/A</v>
      </c>
      <c r="V316" s="786" t="s">
        <v>740</v>
      </c>
      <c r="W316" s="738" t="s">
        <v>741</v>
      </c>
      <c r="X316" s="745">
        <v>106081</v>
      </c>
      <c r="Y316" s="754" t="s">
        <v>1748</v>
      </c>
      <c r="Z316" s="741" t="s">
        <v>610</v>
      </c>
      <c r="AA316" s="742" t="s">
        <v>1802</v>
      </c>
      <c r="AB316" s="746">
        <v>1</v>
      </c>
      <c r="AC316" s="743" t="s">
        <v>1749</v>
      </c>
      <c r="AD316" s="744">
        <v>1318.88</v>
      </c>
      <c r="AE316" s="787" t="s">
        <v>435</v>
      </c>
      <c r="AF316">
        <f>GDF_price_list[[#This Row],[Indicative 
FCA Price]]/GDF_price_list[[#This Row],[Unit]]</f>
        <v>1318.88</v>
      </c>
    </row>
    <row r="317" spans="12:32" ht="17">
      <c r="L317" s="416"/>
      <c r="M317" s="416"/>
      <c r="N317" s="416"/>
      <c r="O317" s="439"/>
      <c r="P317" s="417"/>
      <c r="Q317" s="417"/>
      <c r="R317" s="417">
        <f>IFERROR(ROUND(Bunuri_lab_nomenc[[#This Row],[Cost unitate GFATM_valuta]]*VLOOKUP(Bunuri_lab_nomenc[[#This Row],[Valuta cost GFATM]],$B$58:$D$59,2,0),2),0)</f>
        <v>0</v>
      </c>
      <c r="S317" s="417" t="str">
        <f>IFERROR(VLOOKUP(Bunuri_lab_nomenc[[#This Row],[Denumire catalog GDF]],GDF_price_list[[Product Name]:[Column1]],8,0),"")</f>
        <v/>
      </c>
      <c r="T317" s="417" t="e">
        <f>VLOOKUP(Bunuri_lab_nomenc[[#This Row],[Denumire catalog GDF]],GDF_price_list[[Product Name]:[Column1]],7,0)</f>
        <v>#N/A</v>
      </c>
      <c r="V317" s="786" t="s">
        <v>740</v>
      </c>
      <c r="W317" s="738" t="s">
        <v>750</v>
      </c>
      <c r="X317" s="745">
        <v>106081</v>
      </c>
      <c r="Y317" s="754" t="s">
        <v>1748</v>
      </c>
      <c r="Z317" s="741" t="s">
        <v>610</v>
      </c>
      <c r="AA317" s="742" t="s">
        <v>1802</v>
      </c>
      <c r="AB317" s="746">
        <v>1</v>
      </c>
      <c r="AC317" s="743" t="s">
        <v>1749</v>
      </c>
      <c r="AD317" s="744">
        <v>1318.88</v>
      </c>
      <c r="AE317" s="787" t="s">
        <v>435</v>
      </c>
      <c r="AF317">
        <f>GDF_price_list[[#This Row],[Indicative 
FCA Price]]/GDF_price_list[[#This Row],[Unit]]</f>
        <v>1318.88</v>
      </c>
    </row>
    <row r="318" spans="12:32" ht="17">
      <c r="L318" s="416"/>
      <c r="M318" s="416"/>
      <c r="N318" s="416"/>
      <c r="O318" s="439"/>
      <c r="P318" s="417"/>
      <c r="Q318" s="417"/>
      <c r="R318" s="417">
        <f>IFERROR(ROUND(Bunuri_lab_nomenc[[#This Row],[Cost unitate GFATM_valuta]]*VLOOKUP(Bunuri_lab_nomenc[[#This Row],[Valuta cost GFATM]],$B$58:$D$59,2,0),2),0)</f>
        <v>0</v>
      </c>
      <c r="S318" s="417" t="str">
        <f>IFERROR(VLOOKUP(Bunuri_lab_nomenc[[#This Row],[Denumire catalog GDF]],GDF_price_list[[Product Name]:[Column1]],8,0),"")</f>
        <v/>
      </c>
      <c r="T318" s="417" t="e">
        <f>VLOOKUP(Bunuri_lab_nomenc[[#This Row],[Denumire catalog GDF]],GDF_price_list[[Product Name]:[Column1]],7,0)</f>
        <v>#N/A</v>
      </c>
      <c r="V318" s="786" t="s">
        <v>666</v>
      </c>
      <c r="W318" s="738" t="s">
        <v>722</v>
      </c>
      <c r="X318" s="745">
        <v>106081</v>
      </c>
      <c r="Y318" s="754" t="s">
        <v>1748</v>
      </c>
      <c r="Z318" s="741" t="s">
        <v>610</v>
      </c>
      <c r="AA318" s="742" t="s">
        <v>1802</v>
      </c>
      <c r="AB318" s="746">
        <v>1</v>
      </c>
      <c r="AC318" s="743" t="s">
        <v>1750</v>
      </c>
      <c r="AD318" s="744">
        <v>1318.88</v>
      </c>
      <c r="AE318" s="787" t="s">
        <v>435</v>
      </c>
      <c r="AF318">
        <f>GDF_price_list[[#This Row],[Indicative 
FCA Price]]/GDF_price_list[[#This Row],[Unit]]</f>
        <v>1318.88</v>
      </c>
    </row>
    <row r="319" spans="12:32" ht="17">
      <c r="L319" s="416"/>
      <c r="M319" s="416"/>
      <c r="N319" s="416"/>
      <c r="O319" s="439"/>
      <c r="P319" s="417"/>
      <c r="Q319" s="417"/>
      <c r="R319" s="417">
        <f>IFERROR(ROUND(Bunuri_lab_nomenc[[#This Row],[Cost unitate GFATM_valuta]]*VLOOKUP(Bunuri_lab_nomenc[[#This Row],[Valuta cost GFATM]],$B$58:$D$59,2,0),2),0)</f>
        <v>0</v>
      </c>
      <c r="S319" s="417" t="str">
        <f>IFERROR(VLOOKUP(Bunuri_lab_nomenc[[#This Row],[Denumire catalog GDF]],GDF_price_list[[Product Name]:[Column1]],8,0),"")</f>
        <v/>
      </c>
      <c r="T319" s="417" t="e">
        <f>VLOOKUP(Bunuri_lab_nomenc[[#This Row],[Denumire catalog GDF]],GDF_price_list[[Product Name]:[Column1]],7,0)</f>
        <v>#N/A</v>
      </c>
      <c r="V319" s="786" t="s">
        <v>612</v>
      </c>
      <c r="W319" s="738" t="s">
        <v>753</v>
      </c>
      <c r="X319" s="745">
        <v>106443</v>
      </c>
      <c r="Y319" s="754" t="s">
        <v>1751</v>
      </c>
      <c r="Z319" s="742" t="s">
        <v>610</v>
      </c>
      <c r="AA319" s="742" t="s">
        <v>1802</v>
      </c>
      <c r="AB319" s="773">
        <v>1</v>
      </c>
      <c r="AC319" s="743" t="s">
        <v>1752</v>
      </c>
      <c r="AD319" s="744">
        <v>467.03</v>
      </c>
      <c r="AE319" s="787" t="s">
        <v>435</v>
      </c>
      <c r="AF319">
        <f>GDF_price_list[[#This Row],[Indicative 
FCA Price]]/GDF_price_list[[#This Row],[Unit]]</f>
        <v>467.03</v>
      </c>
    </row>
    <row r="320" spans="12:32" ht="51">
      <c r="L320" s="416"/>
      <c r="M320" s="416"/>
      <c r="N320" s="416"/>
      <c r="O320" s="439"/>
      <c r="P320" s="417"/>
      <c r="Q320" s="417"/>
      <c r="R320" s="417">
        <f>IFERROR(ROUND(Bunuri_lab_nomenc[[#This Row],[Cost unitate GFATM_valuta]]*VLOOKUP(Bunuri_lab_nomenc[[#This Row],[Valuta cost GFATM]],$B$58:$D$59,2,0),2),0)</f>
        <v>0</v>
      </c>
      <c r="S320" s="417" t="str">
        <f>IFERROR(VLOOKUP(Bunuri_lab_nomenc[[#This Row],[Denumire catalog GDF]],GDF_price_list[[Product Name]:[Column1]],8,0),"")</f>
        <v/>
      </c>
      <c r="T320" s="417" t="e">
        <f>VLOOKUP(Bunuri_lab_nomenc[[#This Row],[Denumire catalog GDF]],GDF_price_list[[Product Name]:[Column1]],7,0)</f>
        <v>#N/A</v>
      </c>
      <c r="V320" s="786" t="s">
        <v>612</v>
      </c>
      <c r="W320" s="738" t="s">
        <v>627</v>
      </c>
      <c r="X320" s="785">
        <v>106411</v>
      </c>
      <c r="Y320" s="740" t="s">
        <v>1753</v>
      </c>
      <c r="Z320" s="742" t="s">
        <v>610</v>
      </c>
      <c r="AA320" s="742" t="s">
        <v>1802</v>
      </c>
      <c r="AB320" s="746">
        <v>1</v>
      </c>
      <c r="AC320" s="743" t="s">
        <v>1754</v>
      </c>
      <c r="AD320" s="744">
        <v>1907.62</v>
      </c>
      <c r="AE320" s="787" t="s">
        <v>435</v>
      </c>
      <c r="AF320">
        <f>GDF_price_list[[#This Row],[Indicative 
FCA Price]]/GDF_price_list[[#This Row],[Unit]]</f>
        <v>1907.62</v>
      </c>
    </row>
    <row r="321" spans="12:32" ht="17">
      <c r="L321" s="416"/>
      <c r="M321" s="416"/>
      <c r="N321" s="416"/>
      <c r="O321" s="439"/>
      <c r="P321" s="417"/>
      <c r="Q321" s="417"/>
      <c r="R321" s="417">
        <f>IFERROR(ROUND(Bunuri_lab_nomenc[[#This Row],[Cost unitate GFATM_valuta]]*VLOOKUP(Bunuri_lab_nomenc[[#This Row],[Valuta cost GFATM]],$B$58:$D$59,2,0),2),0)</f>
        <v>0</v>
      </c>
      <c r="S321" s="417" t="str">
        <f>IFERROR(VLOOKUP(Bunuri_lab_nomenc[[#This Row],[Denumire catalog GDF]],GDF_price_list[[Product Name]:[Column1]],8,0),"")</f>
        <v/>
      </c>
      <c r="T321" s="417" t="e">
        <f>VLOOKUP(Bunuri_lab_nomenc[[#This Row],[Denumire catalog GDF]],GDF_price_list[[Product Name]:[Column1]],7,0)</f>
        <v>#N/A</v>
      </c>
      <c r="V321" s="786" t="s">
        <v>612</v>
      </c>
      <c r="W321" s="738" t="s">
        <v>627</v>
      </c>
      <c r="X321" s="745">
        <v>106213</v>
      </c>
      <c r="Y321" s="740" t="s">
        <v>1755</v>
      </c>
      <c r="Z321" s="742" t="s">
        <v>610</v>
      </c>
      <c r="AA321" s="742" t="s">
        <v>1802</v>
      </c>
      <c r="AB321" s="746">
        <v>1</v>
      </c>
      <c r="AC321" s="743" t="s">
        <v>1756</v>
      </c>
      <c r="AD321" s="744">
        <v>1844.47</v>
      </c>
      <c r="AE321" s="787" t="s">
        <v>435</v>
      </c>
      <c r="AF321">
        <f>GDF_price_list[[#This Row],[Indicative 
FCA Price]]/GDF_price_list[[#This Row],[Unit]]</f>
        <v>1844.47</v>
      </c>
    </row>
    <row r="322" spans="12:32" ht="34">
      <c r="L322" s="416"/>
      <c r="M322" s="416"/>
      <c r="N322" s="416"/>
      <c r="O322" s="439"/>
      <c r="P322" s="417"/>
      <c r="Q322" s="417"/>
      <c r="R322" s="417">
        <f>IFERROR(ROUND(Bunuri_lab_nomenc[[#This Row],[Cost unitate GFATM_valuta]]*VLOOKUP(Bunuri_lab_nomenc[[#This Row],[Valuta cost GFATM]],$B$58:$D$59,2,0),2),0)</f>
        <v>0</v>
      </c>
      <c r="S322" s="417" t="str">
        <f>IFERROR(VLOOKUP(Bunuri_lab_nomenc[[#This Row],[Denumire catalog GDF]],GDF_price_list[[Product Name]:[Column1]],8,0),"")</f>
        <v/>
      </c>
      <c r="T322" s="417" t="e">
        <f>VLOOKUP(Bunuri_lab_nomenc[[#This Row],[Denumire catalog GDF]],GDF_price_list[[Product Name]:[Column1]],7,0)</f>
        <v>#N/A</v>
      </c>
      <c r="V322" s="786" t="s">
        <v>612</v>
      </c>
      <c r="W322" s="738" t="s">
        <v>627</v>
      </c>
      <c r="X322" s="745">
        <v>106205</v>
      </c>
      <c r="Y322" s="740" t="s">
        <v>1757</v>
      </c>
      <c r="Z322" s="742" t="s">
        <v>610</v>
      </c>
      <c r="AA322" s="742" t="s">
        <v>1802</v>
      </c>
      <c r="AB322" s="746">
        <v>1</v>
      </c>
      <c r="AC322" s="743" t="s">
        <v>1758</v>
      </c>
      <c r="AD322" s="744">
        <v>1685.61</v>
      </c>
      <c r="AE322" s="787" t="s">
        <v>435</v>
      </c>
      <c r="AF322">
        <f>GDF_price_list[[#This Row],[Indicative 
FCA Price]]/GDF_price_list[[#This Row],[Unit]]</f>
        <v>1685.61</v>
      </c>
    </row>
    <row r="323" spans="12:32" ht="68">
      <c r="L323" s="416"/>
      <c r="M323" s="416"/>
      <c r="N323" s="416"/>
      <c r="O323" s="439"/>
      <c r="P323" s="417"/>
      <c r="Q323" s="417"/>
      <c r="R323" s="417">
        <f>IFERROR(ROUND(Bunuri_lab_nomenc[[#This Row],[Cost unitate GFATM_valuta]]*VLOOKUP(Bunuri_lab_nomenc[[#This Row],[Valuta cost GFATM]],$B$58:$D$59,2,0),2),0)</f>
        <v>0</v>
      </c>
      <c r="S323" s="417" t="str">
        <f>IFERROR(VLOOKUP(Bunuri_lab_nomenc[[#This Row],[Denumire catalog GDF]],GDF_price_list[[Product Name]:[Column1]],8,0),"")</f>
        <v/>
      </c>
      <c r="T323" s="417" t="e">
        <f>VLOOKUP(Bunuri_lab_nomenc[[#This Row],[Denumire catalog GDF]],GDF_price_list[[Product Name]:[Column1]],7,0)</f>
        <v>#N/A</v>
      </c>
      <c r="V323" s="786" t="s">
        <v>718</v>
      </c>
      <c r="W323" s="738" t="s">
        <v>798</v>
      </c>
      <c r="X323" s="745">
        <v>106151</v>
      </c>
      <c r="Y323" s="740" t="s">
        <v>1759</v>
      </c>
      <c r="Z323" s="742" t="s">
        <v>610</v>
      </c>
      <c r="AA323" s="742" t="s">
        <v>1802</v>
      </c>
      <c r="AB323" s="746">
        <v>1</v>
      </c>
      <c r="AC323" s="743" t="s">
        <v>1760</v>
      </c>
      <c r="AD323" s="744">
        <v>303.29000000000002</v>
      </c>
      <c r="AE323" s="787" t="s">
        <v>435</v>
      </c>
      <c r="AF323">
        <f>GDF_price_list[[#This Row],[Indicative 
FCA Price]]/GDF_price_list[[#This Row],[Unit]]</f>
        <v>303.29000000000002</v>
      </c>
    </row>
    <row r="324" spans="12:32" ht="34">
      <c r="L324" s="416"/>
      <c r="M324" s="416"/>
      <c r="N324" s="416"/>
      <c r="O324" s="439"/>
      <c r="P324" s="417"/>
      <c r="Q324" s="417"/>
      <c r="R324" s="417">
        <f>IFERROR(ROUND(Bunuri_lab_nomenc[[#This Row],[Cost unitate GFATM_valuta]]*VLOOKUP(Bunuri_lab_nomenc[[#This Row],[Valuta cost GFATM]],$B$58:$D$59,2,0),2),0)</f>
        <v>0</v>
      </c>
      <c r="S324" s="417" t="str">
        <f>IFERROR(VLOOKUP(Bunuri_lab_nomenc[[#This Row],[Denumire catalog GDF]],GDF_price_list[[Product Name]:[Column1]],8,0),"")</f>
        <v/>
      </c>
      <c r="T324" s="417" t="e">
        <f>VLOOKUP(Bunuri_lab_nomenc[[#This Row],[Denumire catalog GDF]],GDF_price_list[[Product Name]:[Column1]],7,0)</f>
        <v>#N/A</v>
      </c>
      <c r="V324" s="786" t="s">
        <v>718</v>
      </c>
      <c r="W324" s="738" t="s">
        <v>798</v>
      </c>
      <c r="X324" s="745">
        <v>106153</v>
      </c>
      <c r="Y324" s="740" t="s">
        <v>1761</v>
      </c>
      <c r="Z324" s="742" t="s">
        <v>610</v>
      </c>
      <c r="AA324" s="742" t="s">
        <v>1802</v>
      </c>
      <c r="AB324" s="746">
        <v>1</v>
      </c>
      <c r="AC324" s="743" t="s">
        <v>1762</v>
      </c>
      <c r="AD324" s="744">
        <v>20.12</v>
      </c>
      <c r="AE324" s="787" t="s">
        <v>435</v>
      </c>
      <c r="AF324">
        <f>GDF_price_list[[#This Row],[Indicative 
FCA Price]]/GDF_price_list[[#This Row],[Unit]]</f>
        <v>20.12</v>
      </c>
    </row>
    <row r="325" spans="12:32" ht="51">
      <c r="L325" s="416"/>
      <c r="M325" s="416"/>
      <c r="N325" s="416"/>
      <c r="O325" s="439"/>
      <c r="P325" s="417"/>
      <c r="Q325" s="417"/>
      <c r="R325" s="417">
        <f>IFERROR(ROUND(Bunuri_lab_nomenc[[#This Row],[Cost unitate GFATM_valuta]]*VLOOKUP(Bunuri_lab_nomenc[[#This Row],[Valuta cost GFATM]],$B$58:$D$59,2,0),2),0)</f>
        <v>0</v>
      </c>
      <c r="S325" s="417" t="str">
        <f>IFERROR(VLOOKUP(Bunuri_lab_nomenc[[#This Row],[Denumire catalog GDF]],GDF_price_list[[Product Name]:[Column1]],8,0),"")</f>
        <v/>
      </c>
      <c r="T325" s="417" t="e">
        <f>VLOOKUP(Bunuri_lab_nomenc[[#This Row],[Denumire catalog GDF]],GDF_price_list[[Product Name]:[Column1]],7,0)</f>
        <v>#N/A</v>
      </c>
      <c r="V325" s="786" t="s">
        <v>607</v>
      </c>
      <c r="W325" s="738" t="s">
        <v>1530</v>
      </c>
      <c r="X325" s="745">
        <v>106245</v>
      </c>
      <c r="Y325" s="740" t="s">
        <v>1763</v>
      </c>
      <c r="Z325" s="741" t="s">
        <v>610</v>
      </c>
      <c r="AA325" s="742" t="s">
        <v>1802</v>
      </c>
      <c r="AB325" s="746">
        <v>1</v>
      </c>
      <c r="AC325" s="743" t="s">
        <v>1764</v>
      </c>
      <c r="AD325" s="744">
        <v>8.6999999999999993</v>
      </c>
      <c r="AE325" s="787" t="s">
        <v>435</v>
      </c>
      <c r="AF325">
        <f>GDF_price_list[[#This Row],[Indicative 
FCA Price]]/GDF_price_list[[#This Row],[Unit]]</f>
        <v>8.6999999999999993</v>
      </c>
    </row>
    <row r="326" spans="12:32" ht="68">
      <c r="L326" s="416"/>
      <c r="M326" s="416"/>
      <c r="N326" s="416"/>
      <c r="O326" s="439"/>
      <c r="P326" s="417"/>
      <c r="Q326" s="417"/>
      <c r="R326" s="417">
        <f>IFERROR(ROUND(Bunuri_lab_nomenc[[#This Row],[Cost unitate GFATM_valuta]]*VLOOKUP(Bunuri_lab_nomenc[[#This Row],[Valuta cost GFATM]],$B$58:$D$59,2,0),2),0)</f>
        <v>0</v>
      </c>
      <c r="S326" s="417" t="str">
        <f>IFERROR(VLOOKUP(Bunuri_lab_nomenc[[#This Row],[Denumire catalog GDF]],GDF_price_list[[Product Name]:[Column1]],8,0),"")</f>
        <v/>
      </c>
      <c r="T326" s="417" t="e">
        <f>VLOOKUP(Bunuri_lab_nomenc[[#This Row],[Denumire catalog GDF]],GDF_price_list[[Product Name]:[Column1]],7,0)</f>
        <v>#N/A</v>
      </c>
      <c r="V326" s="786" t="s">
        <v>718</v>
      </c>
      <c r="W326" s="738" t="s">
        <v>719</v>
      </c>
      <c r="X326" s="739">
        <v>106595</v>
      </c>
      <c r="Y326" s="740" t="s">
        <v>1765</v>
      </c>
      <c r="Z326" s="742" t="s">
        <v>610</v>
      </c>
      <c r="AA326" s="742" t="s">
        <v>1802</v>
      </c>
      <c r="AB326" s="742">
        <v>1</v>
      </c>
      <c r="AC326" s="747" t="s">
        <v>1766</v>
      </c>
      <c r="AD326" s="753">
        <v>286</v>
      </c>
      <c r="AE326" s="790" t="s">
        <v>435</v>
      </c>
      <c r="AF326">
        <f>GDF_price_list[[#This Row],[Indicative 
FCA Price]]/GDF_price_list[[#This Row],[Unit]]</f>
        <v>286</v>
      </c>
    </row>
    <row r="327" spans="12:32" ht="51">
      <c r="L327" s="416"/>
      <c r="M327" s="416"/>
      <c r="N327" s="416"/>
      <c r="O327" s="439"/>
      <c r="P327" s="417"/>
      <c r="Q327" s="417"/>
      <c r="R327" s="417">
        <f>IFERROR(ROUND(Bunuri_lab_nomenc[[#This Row],[Cost unitate GFATM_valuta]]*VLOOKUP(Bunuri_lab_nomenc[[#This Row],[Valuta cost GFATM]],$B$58:$D$59,2,0),2),0)</f>
        <v>0</v>
      </c>
      <c r="S327" s="417" t="str">
        <f>IFERROR(VLOOKUP(Bunuri_lab_nomenc[[#This Row],[Denumire catalog GDF]],GDF_price_list[[Product Name]:[Column1]],8,0),"")</f>
        <v/>
      </c>
      <c r="T327" s="417" t="e">
        <f>VLOOKUP(Bunuri_lab_nomenc[[#This Row],[Denumire catalog GDF]],GDF_price_list[[Product Name]:[Column1]],7,0)</f>
        <v>#N/A</v>
      </c>
      <c r="V327" s="786" t="s">
        <v>621</v>
      </c>
      <c r="W327" s="738" t="s">
        <v>622</v>
      </c>
      <c r="X327" s="745">
        <v>106102</v>
      </c>
      <c r="Y327" s="740" t="s">
        <v>1767</v>
      </c>
      <c r="Z327" s="742" t="s">
        <v>610</v>
      </c>
      <c r="AA327" s="742" t="s">
        <v>1802</v>
      </c>
      <c r="AB327" s="746">
        <v>1</v>
      </c>
      <c r="AC327" s="747" t="s">
        <v>1768</v>
      </c>
      <c r="AD327" s="744">
        <v>142.08000000000001</v>
      </c>
      <c r="AE327" s="787" t="s">
        <v>435</v>
      </c>
      <c r="AF327">
        <f>GDF_price_list[[#This Row],[Indicative 
FCA Price]]/GDF_price_list[[#This Row],[Unit]]</f>
        <v>142.08000000000001</v>
      </c>
    </row>
    <row r="328" spans="12:32" ht="34">
      <c r="L328" s="416"/>
      <c r="M328" s="416"/>
      <c r="N328" s="416"/>
      <c r="O328" s="439"/>
      <c r="P328" s="417"/>
      <c r="Q328" s="417"/>
      <c r="R328" s="417">
        <f>IFERROR(ROUND(Bunuri_lab_nomenc[[#This Row],[Cost unitate GFATM_valuta]]*VLOOKUP(Bunuri_lab_nomenc[[#This Row],[Valuta cost GFATM]],$B$58:$D$59,2,0),2),0)</f>
        <v>0</v>
      </c>
      <c r="S328" s="417" t="str">
        <f>IFERROR(VLOOKUP(Bunuri_lab_nomenc[[#This Row],[Denumire catalog GDF]],GDF_price_list[[Product Name]:[Column1]],8,0),"")</f>
        <v/>
      </c>
      <c r="T328" s="417" t="e">
        <f>VLOOKUP(Bunuri_lab_nomenc[[#This Row],[Denumire catalog GDF]],GDF_price_list[[Product Name]:[Column1]],7,0)</f>
        <v>#N/A</v>
      </c>
      <c r="V328" s="786" t="s">
        <v>638</v>
      </c>
      <c r="W328" s="738" t="s">
        <v>899</v>
      </c>
      <c r="X328" s="745">
        <v>106256</v>
      </c>
      <c r="Y328" s="740" t="s">
        <v>1769</v>
      </c>
      <c r="Z328" s="742" t="s">
        <v>610</v>
      </c>
      <c r="AA328" s="742" t="s">
        <v>1802</v>
      </c>
      <c r="AB328" s="746">
        <v>1</v>
      </c>
      <c r="AC328" s="743" t="s">
        <v>1770</v>
      </c>
      <c r="AD328" s="744">
        <v>55.46</v>
      </c>
      <c r="AE328" s="787" t="s">
        <v>435</v>
      </c>
      <c r="AF328">
        <f>GDF_price_list[[#This Row],[Indicative 
FCA Price]]/GDF_price_list[[#This Row],[Unit]]</f>
        <v>55.46</v>
      </c>
    </row>
    <row r="329" spans="12:32" ht="85">
      <c r="L329" s="416"/>
      <c r="M329" s="416"/>
      <c r="N329" s="416"/>
      <c r="O329" s="439"/>
      <c r="P329" s="417"/>
      <c r="Q329" s="417"/>
      <c r="R329" s="417">
        <f>IFERROR(ROUND(Bunuri_lab_nomenc[[#This Row],[Cost unitate GFATM_valuta]]*VLOOKUP(Bunuri_lab_nomenc[[#This Row],[Valuta cost GFATM]],$B$58:$D$59,2,0),2),0)</f>
        <v>0</v>
      </c>
      <c r="S329" s="417" t="str">
        <f>IFERROR(VLOOKUP(Bunuri_lab_nomenc[[#This Row],[Denumire catalog GDF]],GDF_price_list[[Product Name]:[Column1]],8,0),"")</f>
        <v/>
      </c>
      <c r="T329" s="417" t="e">
        <f>VLOOKUP(Bunuri_lab_nomenc[[#This Row],[Denumire catalog GDF]],GDF_price_list[[Product Name]:[Column1]],7,0)</f>
        <v>#N/A</v>
      </c>
      <c r="V329" s="786" t="s">
        <v>718</v>
      </c>
      <c r="W329" s="738" t="s">
        <v>719</v>
      </c>
      <c r="X329" s="745">
        <v>106127</v>
      </c>
      <c r="Y329" s="754" t="s">
        <v>1775</v>
      </c>
      <c r="Z329" s="742" t="s">
        <v>610</v>
      </c>
      <c r="AA329" s="742" t="s">
        <v>1802</v>
      </c>
      <c r="AB329" s="746">
        <v>1</v>
      </c>
      <c r="AC329" s="743" t="s">
        <v>1776</v>
      </c>
      <c r="AD329" s="744">
        <v>1952.43</v>
      </c>
      <c r="AE329" s="787" t="s">
        <v>435</v>
      </c>
      <c r="AF329">
        <f>GDF_price_list[[#This Row],[Indicative 
FCA Price]]/GDF_price_list[[#This Row],[Unit]]</f>
        <v>1952.43</v>
      </c>
    </row>
    <row r="330" spans="12:32" ht="34">
      <c r="L330" s="416"/>
      <c r="M330" s="416"/>
      <c r="N330" s="416"/>
      <c r="O330" s="439"/>
      <c r="P330" s="417"/>
      <c r="Q330" s="417"/>
      <c r="R330" s="417">
        <f>IFERROR(ROUND(Bunuri_lab_nomenc[[#This Row],[Cost unitate GFATM_valuta]]*VLOOKUP(Bunuri_lab_nomenc[[#This Row],[Valuta cost GFATM]],$B$58:$D$59,2,0),2),0)</f>
        <v>0</v>
      </c>
      <c r="S330" s="417" t="str">
        <f>IFERROR(VLOOKUP(Bunuri_lab_nomenc[[#This Row],[Denumire catalog GDF]],GDF_price_list[[Product Name]:[Column1]],8,0),"")</f>
        <v/>
      </c>
      <c r="T330" s="417" t="e">
        <f>VLOOKUP(Bunuri_lab_nomenc[[#This Row],[Denumire catalog GDF]],GDF_price_list[[Product Name]:[Column1]],7,0)</f>
        <v>#N/A</v>
      </c>
      <c r="V330" s="786" t="s">
        <v>612</v>
      </c>
      <c r="W330" s="738" t="s">
        <v>627</v>
      </c>
      <c r="X330" s="739">
        <v>106131</v>
      </c>
      <c r="Y330" s="754" t="s">
        <v>1777</v>
      </c>
      <c r="Z330" s="742" t="s">
        <v>610</v>
      </c>
      <c r="AA330" s="742" t="s">
        <v>1802</v>
      </c>
      <c r="AB330" s="742">
        <v>1</v>
      </c>
      <c r="AC330" s="743" t="s">
        <v>1778</v>
      </c>
      <c r="AD330" s="744">
        <v>925.52</v>
      </c>
      <c r="AE330" s="787" t="s">
        <v>435</v>
      </c>
      <c r="AF330">
        <f>GDF_price_list[[#This Row],[Indicative 
FCA Price]]/GDF_price_list[[#This Row],[Unit]]</f>
        <v>925.52</v>
      </c>
    </row>
    <row r="331" spans="12:32" ht="34">
      <c r="L331" s="416"/>
      <c r="M331" s="416"/>
      <c r="N331" s="416"/>
      <c r="O331" s="439"/>
      <c r="P331" s="417"/>
      <c r="Q331" s="417"/>
      <c r="R331" s="417">
        <f>IFERROR(ROUND(Bunuri_lab_nomenc[[#This Row],[Cost unitate GFATM_valuta]]*VLOOKUP(Bunuri_lab_nomenc[[#This Row],[Valuta cost GFATM]],$B$58:$D$59,2,0),2),0)</f>
        <v>0</v>
      </c>
      <c r="S331" s="417" t="str">
        <f>IFERROR(VLOOKUP(Bunuri_lab_nomenc[[#This Row],[Denumire catalog GDF]],GDF_price_list[[Product Name]:[Column1]],8,0),"")</f>
        <v/>
      </c>
      <c r="T331" s="417" t="e">
        <f>VLOOKUP(Bunuri_lab_nomenc[[#This Row],[Denumire catalog GDF]],GDF_price_list[[Product Name]:[Column1]],7,0)</f>
        <v>#N/A</v>
      </c>
      <c r="V331" s="786" t="s">
        <v>612</v>
      </c>
      <c r="W331" s="738" t="s">
        <v>627</v>
      </c>
      <c r="X331" s="745">
        <v>106510</v>
      </c>
      <c r="Y331" s="754" t="s">
        <v>1779</v>
      </c>
      <c r="Z331" s="742" t="s">
        <v>610</v>
      </c>
      <c r="AA331" s="742" t="s">
        <v>1802</v>
      </c>
      <c r="AB331" s="742">
        <v>1</v>
      </c>
      <c r="AC331" s="743" t="s">
        <v>1780</v>
      </c>
      <c r="AD331" s="744">
        <v>677.61</v>
      </c>
      <c r="AE331" s="787" t="s">
        <v>435</v>
      </c>
      <c r="AF331">
        <f>GDF_price_list[[#This Row],[Indicative 
FCA Price]]/GDF_price_list[[#This Row],[Unit]]</f>
        <v>677.61</v>
      </c>
    </row>
    <row r="332" spans="12:32" ht="34">
      <c r="L332" s="416"/>
      <c r="M332" s="416"/>
      <c r="N332" s="416"/>
      <c r="O332" s="439"/>
      <c r="P332" s="417"/>
      <c r="Q332" s="417"/>
      <c r="R332" s="417">
        <f>IFERROR(ROUND(Bunuri_lab_nomenc[[#This Row],[Cost unitate GFATM_valuta]]*VLOOKUP(Bunuri_lab_nomenc[[#This Row],[Valuta cost GFATM]],$B$58:$D$59,2,0),2),0)</f>
        <v>0</v>
      </c>
      <c r="S332" s="417" t="str">
        <f>IFERROR(VLOOKUP(Bunuri_lab_nomenc[[#This Row],[Denumire catalog GDF]],GDF_price_list[[Product Name]:[Column1]],8,0),"")</f>
        <v/>
      </c>
      <c r="T332" s="417" t="e">
        <f>VLOOKUP(Bunuri_lab_nomenc[[#This Row],[Denumire catalog GDF]],GDF_price_list[[Product Name]:[Column1]],7,0)</f>
        <v>#N/A</v>
      </c>
      <c r="V332" s="786" t="s">
        <v>718</v>
      </c>
      <c r="W332" s="738" t="s">
        <v>948</v>
      </c>
      <c r="X332" s="745">
        <v>106152</v>
      </c>
      <c r="Y332" s="740" t="s">
        <v>1785</v>
      </c>
      <c r="Z332" s="742" t="s">
        <v>610</v>
      </c>
      <c r="AA332" s="742" t="s">
        <v>1802</v>
      </c>
      <c r="AB332" s="746">
        <v>1</v>
      </c>
      <c r="AC332" s="743" t="s">
        <v>1786</v>
      </c>
      <c r="AD332" s="744">
        <v>54.3</v>
      </c>
      <c r="AE332" s="787" t="s">
        <v>435</v>
      </c>
      <c r="AF332">
        <f>GDF_price_list[[#This Row],[Indicative 
FCA Price]]/GDF_price_list[[#This Row],[Unit]]</f>
        <v>54.3</v>
      </c>
    </row>
    <row r="333" spans="12:32" ht="17">
      <c r="L333" s="416"/>
      <c r="M333" s="416"/>
      <c r="N333" s="416"/>
      <c r="O333" s="439"/>
      <c r="P333" s="417"/>
      <c r="Q333" s="417"/>
      <c r="R333" s="417">
        <f>IFERROR(ROUND(Bunuri_lab_nomenc[[#This Row],[Cost unitate GFATM_valuta]]*VLOOKUP(Bunuri_lab_nomenc[[#This Row],[Valuta cost GFATM]],$B$58:$D$59,2,0),2),0)</f>
        <v>0</v>
      </c>
      <c r="S333" s="417" t="str">
        <f>IFERROR(VLOOKUP(Bunuri_lab_nomenc[[#This Row],[Denumire catalog GDF]],GDF_price_list[[Product Name]:[Column1]],8,0),"")</f>
        <v/>
      </c>
      <c r="T333" s="417" t="e">
        <f>VLOOKUP(Bunuri_lab_nomenc[[#This Row],[Denumire catalog GDF]],GDF_price_list[[Product Name]:[Column1]],7,0)</f>
        <v>#N/A</v>
      </c>
      <c r="V333" s="786" t="s">
        <v>666</v>
      </c>
      <c r="W333" s="738" t="s">
        <v>685</v>
      </c>
      <c r="X333" s="739">
        <v>106021</v>
      </c>
      <c r="Y333" s="740" t="s">
        <v>686</v>
      </c>
      <c r="Z333" s="742" t="s">
        <v>673</v>
      </c>
      <c r="AA333" s="742" t="s">
        <v>1802</v>
      </c>
      <c r="AB333" s="742">
        <v>3</v>
      </c>
      <c r="AC333" s="740" t="s">
        <v>686</v>
      </c>
      <c r="AD333" s="753">
        <v>36</v>
      </c>
      <c r="AE333" s="790" t="s">
        <v>435</v>
      </c>
      <c r="AF333">
        <f>GDF_price_list[[#This Row],[Indicative 
FCA Price]]/GDF_price_list[[#This Row],[Unit]]</f>
        <v>12</v>
      </c>
    </row>
    <row r="334" spans="12:32" ht="17">
      <c r="L334" s="416"/>
      <c r="M334" s="416"/>
      <c r="N334" s="416"/>
      <c r="O334" s="439"/>
      <c r="P334" s="417"/>
      <c r="Q334" s="417"/>
      <c r="R334" s="417">
        <f>IFERROR(ROUND(Bunuri_lab_nomenc[[#This Row],[Cost unitate GFATM_valuta]]*VLOOKUP(Bunuri_lab_nomenc[[#This Row],[Valuta cost GFATM]],$B$58:$D$59,2,0),2),0)</f>
        <v>0</v>
      </c>
      <c r="S334" s="417" t="str">
        <f>IFERROR(VLOOKUP(Bunuri_lab_nomenc[[#This Row],[Denumire catalog GDF]],GDF_price_list[[Product Name]:[Column1]],8,0),"")</f>
        <v/>
      </c>
      <c r="T334" s="417" t="e">
        <f>VLOOKUP(Bunuri_lab_nomenc[[#This Row],[Denumire catalog GDF]],GDF_price_list[[Product Name]:[Column1]],7,0)</f>
        <v>#N/A</v>
      </c>
      <c r="V334" s="786" t="s">
        <v>666</v>
      </c>
      <c r="W334" s="738" t="s">
        <v>685</v>
      </c>
      <c r="X334" s="739">
        <v>106020</v>
      </c>
      <c r="Y334" s="740" t="s">
        <v>687</v>
      </c>
      <c r="Z334" s="742" t="s">
        <v>673</v>
      </c>
      <c r="AA334" s="742" t="s">
        <v>1802</v>
      </c>
      <c r="AB334" s="742">
        <v>3</v>
      </c>
      <c r="AC334" s="740" t="s">
        <v>687</v>
      </c>
      <c r="AD334" s="753">
        <v>36</v>
      </c>
      <c r="AE334" s="790" t="s">
        <v>435</v>
      </c>
      <c r="AF334">
        <f>GDF_price_list[[#This Row],[Indicative 
FCA Price]]/GDF_price_list[[#This Row],[Unit]]</f>
        <v>12</v>
      </c>
    </row>
    <row r="335" spans="12:32" ht="17">
      <c r="L335" s="416"/>
      <c r="M335" s="416"/>
      <c r="N335" s="416"/>
      <c r="O335" s="439"/>
      <c r="P335" s="417"/>
      <c r="Q335" s="417"/>
      <c r="R335" s="417">
        <f>IFERROR(ROUND(Bunuri_lab_nomenc[[#This Row],[Cost unitate GFATM_valuta]]*VLOOKUP(Bunuri_lab_nomenc[[#This Row],[Valuta cost GFATM]],$B$58:$D$59,2,0),2),0)</f>
        <v>0</v>
      </c>
      <c r="S335" s="417" t="str">
        <f>IFERROR(VLOOKUP(Bunuri_lab_nomenc[[#This Row],[Denumire catalog GDF]],GDF_price_list[[Product Name]:[Column1]],8,0),"")</f>
        <v/>
      </c>
      <c r="T335" s="417" t="e">
        <f>VLOOKUP(Bunuri_lab_nomenc[[#This Row],[Denumire catalog GDF]],GDF_price_list[[Product Name]:[Column1]],7,0)</f>
        <v>#N/A</v>
      </c>
      <c r="V335" s="786" t="s">
        <v>666</v>
      </c>
      <c r="W335" s="738" t="s">
        <v>685</v>
      </c>
      <c r="X335" s="739">
        <v>106019</v>
      </c>
      <c r="Y335" s="740" t="s">
        <v>688</v>
      </c>
      <c r="Z335" s="742" t="s">
        <v>673</v>
      </c>
      <c r="AA335" s="742" t="s">
        <v>1802</v>
      </c>
      <c r="AB335" s="742">
        <v>3</v>
      </c>
      <c r="AC335" s="740" t="s">
        <v>688</v>
      </c>
      <c r="AD335" s="753">
        <v>36</v>
      </c>
      <c r="AE335" s="790" t="s">
        <v>435</v>
      </c>
      <c r="AF335">
        <f>GDF_price_list[[#This Row],[Indicative 
FCA Price]]/GDF_price_list[[#This Row],[Unit]]</f>
        <v>12</v>
      </c>
    </row>
    <row r="336" spans="12:32" ht="17">
      <c r="L336" s="416"/>
      <c r="M336" s="416"/>
      <c r="N336" s="416"/>
      <c r="O336" s="439"/>
      <c r="P336" s="417"/>
      <c r="Q336" s="417"/>
      <c r="R336" s="417">
        <f>IFERROR(ROUND(Bunuri_lab_nomenc[[#This Row],[Cost unitate GFATM_valuta]]*VLOOKUP(Bunuri_lab_nomenc[[#This Row],[Valuta cost GFATM]],$B$58:$D$59,2,0),2),0)</f>
        <v>0</v>
      </c>
      <c r="S336" s="417" t="str">
        <f>IFERROR(VLOOKUP(Bunuri_lab_nomenc[[#This Row],[Denumire catalog GDF]],GDF_price_list[[Product Name]:[Column1]],8,0),"")</f>
        <v/>
      </c>
      <c r="T336" s="417" t="e">
        <f>VLOOKUP(Bunuri_lab_nomenc[[#This Row],[Denumire catalog GDF]],GDF_price_list[[Product Name]:[Column1]],7,0)</f>
        <v>#N/A</v>
      </c>
      <c r="V336" s="786" t="s">
        <v>666</v>
      </c>
      <c r="W336" s="738" t="s">
        <v>685</v>
      </c>
      <c r="X336" s="739">
        <v>106018</v>
      </c>
      <c r="Y336" s="740" t="s">
        <v>689</v>
      </c>
      <c r="Z336" s="742" t="s">
        <v>673</v>
      </c>
      <c r="AA336" s="742" t="s">
        <v>1802</v>
      </c>
      <c r="AB336" s="742">
        <v>3</v>
      </c>
      <c r="AC336" s="740" t="s">
        <v>689</v>
      </c>
      <c r="AD336" s="753">
        <v>36</v>
      </c>
      <c r="AE336" s="790" t="s">
        <v>435</v>
      </c>
      <c r="AF336">
        <f>GDF_price_list[[#This Row],[Indicative 
FCA Price]]/GDF_price_list[[#This Row],[Unit]]</f>
        <v>12</v>
      </c>
    </row>
    <row r="337" spans="12:32" ht="17">
      <c r="L337" s="416"/>
      <c r="M337" s="416"/>
      <c r="N337" s="416"/>
      <c r="O337" s="439"/>
      <c r="P337" s="417"/>
      <c r="Q337" s="417"/>
      <c r="R337" s="417">
        <f>IFERROR(ROUND(Bunuri_lab_nomenc[[#This Row],[Cost unitate GFATM_valuta]]*VLOOKUP(Bunuri_lab_nomenc[[#This Row],[Valuta cost GFATM]],$B$58:$D$59,2,0),2),0)</f>
        <v>0</v>
      </c>
      <c r="S337" s="417" t="str">
        <f>IFERROR(VLOOKUP(Bunuri_lab_nomenc[[#This Row],[Denumire catalog GDF]],GDF_price_list[[Product Name]:[Column1]],8,0),"")</f>
        <v/>
      </c>
      <c r="T337" s="417" t="e">
        <f>VLOOKUP(Bunuri_lab_nomenc[[#This Row],[Denumire catalog GDF]],GDF_price_list[[Product Name]:[Column1]],7,0)</f>
        <v>#N/A</v>
      </c>
      <c r="V337" s="786" t="s">
        <v>666</v>
      </c>
      <c r="W337" s="738" t="s">
        <v>685</v>
      </c>
      <c r="X337" s="739">
        <v>106022</v>
      </c>
      <c r="Y337" s="740" t="s">
        <v>690</v>
      </c>
      <c r="Z337" s="742" t="s">
        <v>673</v>
      </c>
      <c r="AA337" s="742" t="s">
        <v>1802</v>
      </c>
      <c r="AB337" s="742">
        <v>3</v>
      </c>
      <c r="AC337" s="740" t="s">
        <v>690</v>
      </c>
      <c r="AD337" s="753">
        <v>36</v>
      </c>
      <c r="AE337" s="790" t="s">
        <v>435</v>
      </c>
      <c r="AF337">
        <f>GDF_price_list[[#This Row],[Indicative 
FCA Price]]/GDF_price_list[[#This Row],[Unit]]</f>
        <v>12</v>
      </c>
    </row>
    <row r="338" spans="12:32" ht="17">
      <c r="L338" s="416"/>
      <c r="M338" s="416"/>
      <c r="N338" s="416"/>
      <c r="O338" s="439"/>
      <c r="P338" s="417"/>
      <c r="Q338" s="417"/>
      <c r="R338" s="417">
        <f>IFERROR(ROUND(Bunuri_lab_nomenc[[#This Row],[Cost unitate GFATM_valuta]]*VLOOKUP(Bunuri_lab_nomenc[[#This Row],[Valuta cost GFATM]],$B$58:$D$59,2,0),2),0)</f>
        <v>0</v>
      </c>
      <c r="S338" s="417" t="str">
        <f>IFERROR(VLOOKUP(Bunuri_lab_nomenc[[#This Row],[Denumire catalog GDF]],GDF_price_list[[Product Name]:[Column1]],8,0),"")</f>
        <v/>
      </c>
      <c r="T338" s="417" t="e">
        <f>VLOOKUP(Bunuri_lab_nomenc[[#This Row],[Denumire catalog GDF]],GDF_price_list[[Product Name]:[Column1]],7,0)</f>
        <v>#N/A</v>
      </c>
      <c r="V338" s="786" t="s">
        <v>612</v>
      </c>
      <c r="W338" s="738" t="s">
        <v>627</v>
      </c>
      <c r="X338" s="739">
        <v>106228</v>
      </c>
      <c r="Y338" s="740" t="s">
        <v>628</v>
      </c>
      <c r="Z338" s="742" t="s">
        <v>610</v>
      </c>
      <c r="AA338" s="742" t="s">
        <v>1802</v>
      </c>
      <c r="AB338" s="742">
        <v>4</v>
      </c>
      <c r="AC338" s="747" t="s">
        <v>629</v>
      </c>
      <c r="AD338" s="744">
        <v>314.02999999999997</v>
      </c>
      <c r="AE338" s="787" t="s">
        <v>435</v>
      </c>
      <c r="AF338">
        <f>GDF_price_list[[#This Row],[Indicative 
FCA Price]]/GDF_price_list[[#This Row],[Unit]]</f>
        <v>78.507499999999993</v>
      </c>
    </row>
    <row r="339" spans="12:32" ht="17">
      <c r="L339" s="416"/>
      <c r="M339" s="416"/>
      <c r="N339" s="416"/>
      <c r="O339" s="439"/>
      <c r="P339" s="417"/>
      <c r="Q339" s="417"/>
      <c r="R339" s="417">
        <f>IFERROR(ROUND(Bunuri_lab_nomenc[[#This Row],[Cost unitate GFATM_valuta]]*VLOOKUP(Bunuri_lab_nomenc[[#This Row],[Valuta cost GFATM]],$B$58:$D$59,2,0),2),0)</f>
        <v>0</v>
      </c>
      <c r="S339" s="417" t="str">
        <f>IFERROR(VLOOKUP(Bunuri_lab_nomenc[[#This Row],[Denumire catalog GDF]],GDF_price_list[[Product Name]:[Column1]],8,0),"")</f>
        <v/>
      </c>
      <c r="T339" s="417" t="e">
        <f>VLOOKUP(Bunuri_lab_nomenc[[#This Row],[Denumire catalog GDF]],GDF_price_list[[Product Name]:[Column1]],7,0)</f>
        <v>#N/A</v>
      </c>
      <c r="V339" s="786" t="s">
        <v>612</v>
      </c>
      <c r="W339" s="738" t="s">
        <v>627</v>
      </c>
      <c r="X339" s="739">
        <v>106227</v>
      </c>
      <c r="Y339" s="740" t="s">
        <v>630</v>
      </c>
      <c r="Z339" s="742" t="s">
        <v>610</v>
      </c>
      <c r="AA339" s="742" t="s">
        <v>1802</v>
      </c>
      <c r="AB339" s="742">
        <v>4</v>
      </c>
      <c r="AC339" s="747" t="s">
        <v>631</v>
      </c>
      <c r="AD339" s="744">
        <v>167.21</v>
      </c>
      <c r="AE339" s="787" t="s">
        <v>435</v>
      </c>
      <c r="AF339">
        <f>GDF_price_list[[#This Row],[Indicative 
FCA Price]]/GDF_price_list[[#This Row],[Unit]]</f>
        <v>41.802500000000002</v>
      </c>
    </row>
    <row r="340" spans="12:32" ht="17">
      <c r="L340" s="416"/>
      <c r="M340" s="416"/>
      <c r="N340" s="416"/>
      <c r="O340" s="439"/>
      <c r="P340" s="417"/>
      <c r="Q340" s="417"/>
      <c r="R340" s="417">
        <f>IFERROR(ROUND(Bunuri_lab_nomenc[[#This Row],[Cost unitate GFATM_valuta]]*VLOOKUP(Bunuri_lab_nomenc[[#This Row],[Valuta cost GFATM]],$B$58:$D$59,2,0),2),0)</f>
        <v>0</v>
      </c>
      <c r="S340" s="417" t="str">
        <f>IFERROR(VLOOKUP(Bunuri_lab_nomenc[[#This Row],[Denumire catalog GDF]],GDF_price_list[[Product Name]:[Column1]],8,0),"")</f>
        <v/>
      </c>
      <c r="T340" s="417" t="e">
        <f>VLOOKUP(Bunuri_lab_nomenc[[#This Row],[Denumire catalog GDF]],GDF_price_list[[Product Name]:[Column1]],7,0)</f>
        <v>#N/A</v>
      </c>
      <c r="V340" s="786" t="s">
        <v>612</v>
      </c>
      <c r="W340" s="738" t="s">
        <v>627</v>
      </c>
      <c r="X340" s="739">
        <v>106226</v>
      </c>
      <c r="Y340" s="740" t="s">
        <v>634</v>
      </c>
      <c r="Z340" s="742" t="s">
        <v>610</v>
      </c>
      <c r="AA340" s="742" t="s">
        <v>1802</v>
      </c>
      <c r="AB340" s="742">
        <v>4</v>
      </c>
      <c r="AC340" s="747" t="s">
        <v>635</v>
      </c>
      <c r="AD340" s="744">
        <v>558.73</v>
      </c>
      <c r="AE340" s="787" t="s">
        <v>435</v>
      </c>
      <c r="AF340">
        <f>GDF_price_list[[#This Row],[Indicative 
FCA Price]]/GDF_price_list[[#This Row],[Unit]]</f>
        <v>139.6825</v>
      </c>
    </row>
    <row r="341" spans="12:32" ht="17">
      <c r="L341" s="416"/>
      <c r="M341" s="416"/>
      <c r="N341" s="416"/>
      <c r="O341" s="439"/>
      <c r="P341" s="417"/>
      <c r="Q341" s="417"/>
      <c r="R341" s="417">
        <f>IFERROR(ROUND(Bunuri_lab_nomenc[[#This Row],[Cost unitate GFATM_valuta]]*VLOOKUP(Bunuri_lab_nomenc[[#This Row],[Valuta cost GFATM]],$B$58:$D$59,2,0),2),0)</f>
        <v>0</v>
      </c>
      <c r="S341" s="417" t="str">
        <f>IFERROR(VLOOKUP(Bunuri_lab_nomenc[[#This Row],[Denumire catalog GDF]],GDF_price_list[[Product Name]:[Column1]],8,0),"")</f>
        <v/>
      </c>
      <c r="T341" s="417" t="e">
        <f>VLOOKUP(Bunuri_lab_nomenc[[#This Row],[Denumire catalog GDF]],GDF_price_list[[Product Name]:[Column1]],7,0)</f>
        <v>#N/A</v>
      </c>
      <c r="V341" s="786" t="s">
        <v>612</v>
      </c>
      <c r="W341" s="738" t="s">
        <v>627</v>
      </c>
      <c r="X341" s="739">
        <v>106229</v>
      </c>
      <c r="Y341" s="740" t="s">
        <v>636</v>
      </c>
      <c r="Z341" s="742" t="s">
        <v>610</v>
      </c>
      <c r="AA341" s="742" t="s">
        <v>1802</v>
      </c>
      <c r="AB341" s="742">
        <v>4</v>
      </c>
      <c r="AC341" s="747" t="s">
        <v>637</v>
      </c>
      <c r="AD341" s="744">
        <v>314.02999999999997</v>
      </c>
      <c r="AE341" s="787" t="s">
        <v>435</v>
      </c>
      <c r="AF341">
        <f>GDF_price_list[[#This Row],[Indicative 
FCA Price]]/GDF_price_list[[#This Row],[Unit]]</f>
        <v>78.507499999999993</v>
      </c>
    </row>
    <row r="342" spans="12:32" ht="17">
      <c r="L342" s="416"/>
      <c r="M342" s="416"/>
      <c r="N342" s="416"/>
      <c r="O342" s="439"/>
      <c r="P342" s="417"/>
      <c r="Q342" s="417"/>
      <c r="R342" s="417">
        <f>IFERROR(ROUND(Bunuri_lab_nomenc[[#This Row],[Cost unitate GFATM_valuta]]*VLOOKUP(Bunuri_lab_nomenc[[#This Row],[Valuta cost GFATM]],$B$58:$D$59,2,0),2),0)</f>
        <v>0</v>
      </c>
      <c r="S342" s="417" t="str">
        <f>IFERROR(VLOOKUP(Bunuri_lab_nomenc[[#This Row],[Denumire catalog GDF]],GDF_price_list[[Product Name]:[Column1]],8,0),"")</f>
        <v/>
      </c>
      <c r="T342" s="417" t="e">
        <f>VLOOKUP(Bunuri_lab_nomenc[[#This Row],[Denumire catalog GDF]],GDF_price_list[[Product Name]:[Column1]],7,0)</f>
        <v>#N/A</v>
      </c>
      <c r="V342" s="786" t="s">
        <v>718</v>
      </c>
      <c r="W342" s="738" t="s">
        <v>798</v>
      </c>
      <c r="X342" s="739">
        <v>106363</v>
      </c>
      <c r="Y342" s="740" t="s">
        <v>810</v>
      </c>
      <c r="Z342" s="742" t="s">
        <v>610</v>
      </c>
      <c r="AA342" s="742" t="s">
        <v>1802</v>
      </c>
      <c r="AB342" s="742">
        <v>5</v>
      </c>
      <c r="AC342" s="743" t="s">
        <v>811</v>
      </c>
      <c r="AD342" s="744">
        <v>12.74</v>
      </c>
      <c r="AE342" s="787" t="s">
        <v>435</v>
      </c>
      <c r="AF342">
        <f>GDF_price_list[[#This Row],[Indicative 
FCA Price]]/GDF_price_list[[#This Row],[Unit]]</f>
        <v>2.548</v>
      </c>
    </row>
    <row r="343" spans="12:32" ht="17">
      <c r="L343" s="416"/>
      <c r="M343" s="416"/>
      <c r="N343" s="416"/>
      <c r="O343" s="439"/>
      <c r="P343" s="417"/>
      <c r="Q343" s="417"/>
      <c r="R343" s="417">
        <f>IFERROR(ROUND(Bunuri_lab_nomenc[[#This Row],[Cost unitate GFATM_valuta]]*VLOOKUP(Bunuri_lab_nomenc[[#This Row],[Valuta cost GFATM]],$B$58:$D$59,2,0),2),0)</f>
        <v>0</v>
      </c>
      <c r="S343" s="417" t="str">
        <f>IFERROR(VLOOKUP(Bunuri_lab_nomenc[[#This Row],[Denumire catalog GDF]],GDF_price_list[[Product Name]:[Column1]],8,0),"")</f>
        <v/>
      </c>
      <c r="T343" s="417" t="e">
        <f>VLOOKUP(Bunuri_lab_nomenc[[#This Row],[Denumire catalog GDF]],GDF_price_list[[Product Name]:[Column1]],7,0)</f>
        <v>#N/A</v>
      </c>
      <c r="V343" s="786" t="s">
        <v>612</v>
      </c>
      <c r="W343" s="738" t="s">
        <v>842</v>
      </c>
      <c r="X343" s="745">
        <v>106216</v>
      </c>
      <c r="Y343" s="740" t="s">
        <v>984</v>
      </c>
      <c r="Z343" s="742" t="s">
        <v>610</v>
      </c>
      <c r="AA343" s="742" t="s">
        <v>1802</v>
      </c>
      <c r="AB343" s="746">
        <v>5</v>
      </c>
      <c r="AC343" s="743" t="s">
        <v>985</v>
      </c>
      <c r="AD343" s="744">
        <v>11</v>
      </c>
      <c r="AE343" s="787" t="s">
        <v>435</v>
      </c>
      <c r="AF343">
        <f>GDF_price_list[[#This Row],[Indicative 
FCA Price]]/GDF_price_list[[#This Row],[Unit]]</f>
        <v>2.2000000000000002</v>
      </c>
    </row>
    <row r="344" spans="12:32" ht="68">
      <c r="L344" s="416"/>
      <c r="M344" s="416"/>
      <c r="N344" s="416"/>
      <c r="O344" s="439"/>
      <c r="P344" s="417"/>
      <c r="Q344" s="417"/>
      <c r="R344" s="417">
        <f>IFERROR(ROUND(Bunuri_lab_nomenc[[#This Row],[Cost unitate GFATM_valuta]]*VLOOKUP(Bunuri_lab_nomenc[[#This Row],[Valuta cost GFATM]],$B$58:$D$59,2,0),2),0)</f>
        <v>0</v>
      </c>
      <c r="S344" s="417" t="str">
        <f>IFERROR(VLOOKUP(Bunuri_lab_nomenc[[#This Row],[Denumire catalog GDF]],GDF_price_list[[Product Name]:[Column1]],8,0),"")</f>
        <v/>
      </c>
      <c r="T344" s="417" t="e">
        <f>VLOOKUP(Bunuri_lab_nomenc[[#This Row],[Denumire catalog GDF]],GDF_price_list[[Product Name]:[Column1]],7,0)</f>
        <v>#N/A</v>
      </c>
      <c r="V344" s="786" t="s">
        <v>648</v>
      </c>
      <c r="W344" s="738" t="s">
        <v>649</v>
      </c>
      <c r="X344" s="749">
        <v>106610</v>
      </c>
      <c r="Y344" s="750" t="s">
        <v>650</v>
      </c>
      <c r="Z344" s="742" t="s">
        <v>651</v>
      </c>
      <c r="AA344" s="742" t="s">
        <v>1802</v>
      </c>
      <c r="AB344" s="751">
        <v>6</v>
      </c>
      <c r="AC344" s="743" t="s">
        <v>652</v>
      </c>
      <c r="AD344" s="752">
        <v>14.5</v>
      </c>
      <c r="AE344" s="789" t="s">
        <v>435</v>
      </c>
      <c r="AF344">
        <f>GDF_price_list[[#This Row],[Indicative 
FCA Price]]/GDF_price_list[[#This Row],[Unit]]</f>
        <v>2.4166666666666665</v>
      </c>
    </row>
    <row r="345" spans="12:32" ht="68">
      <c r="L345" s="416"/>
      <c r="M345" s="416"/>
      <c r="N345" s="416"/>
      <c r="O345" s="439"/>
      <c r="P345" s="417"/>
      <c r="Q345" s="417"/>
      <c r="R345" s="417">
        <f>IFERROR(ROUND(Bunuri_lab_nomenc[[#This Row],[Cost unitate GFATM_valuta]]*VLOOKUP(Bunuri_lab_nomenc[[#This Row],[Valuta cost GFATM]],$B$58:$D$59,2,0),2),0)</f>
        <v>0</v>
      </c>
      <c r="S345" s="417" t="str">
        <f>IFERROR(VLOOKUP(Bunuri_lab_nomenc[[#This Row],[Denumire catalog GDF]],GDF_price_list[[Product Name]:[Column1]],8,0),"")</f>
        <v/>
      </c>
      <c r="T345" s="417" t="e">
        <f>VLOOKUP(Bunuri_lab_nomenc[[#This Row],[Denumire catalog GDF]],GDF_price_list[[Product Name]:[Column1]],7,0)</f>
        <v>#N/A</v>
      </c>
      <c r="V345" s="786" t="s">
        <v>666</v>
      </c>
      <c r="W345" s="738" t="s">
        <v>671</v>
      </c>
      <c r="X345" s="745">
        <v>106586</v>
      </c>
      <c r="Y345" s="740" t="s">
        <v>672</v>
      </c>
      <c r="Z345" s="742" t="s">
        <v>673</v>
      </c>
      <c r="AA345" s="742" t="s">
        <v>1802</v>
      </c>
      <c r="AB345" s="742">
        <v>6</v>
      </c>
      <c r="AC345" s="743" t="s">
        <v>674</v>
      </c>
      <c r="AD345" s="753">
        <v>90</v>
      </c>
      <c r="AE345" s="790" t="s">
        <v>435</v>
      </c>
      <c r="AF345">
        <f>GDF_price_list[[#This Row],[Indicative 
FCA Price]]/GDF_price_list[[#This Row],[Unit]]</f>
        <v>15</v>
      </c>
    </row>
    <row r="346" spans="12:32" ht="68">
      <c r="L346" s="416"/>
      <c r="M346" s="416"/>
      <c r="N346" s="416"/>
      <c r="O346" s="439"/>
      <c r="P346" s="417"/>
      <c r="Q346" s="417"/>
      <c r="R346" s="417">
        <f>IFERROR(ROUND(Bunuri_lab_nomenc[[#This Row],[Cost unitate GFATM_valuta]]*VLOOKUP(Bunuri_lab_nomenc[[#This Row],[Valuta cost GFATM]],$B$58:$D$59,2,0),2),0)</f>
        <v>0</v>
      </c>
      <c r="S346" s="417" t="str">
        <f>IFERROR(VLOOKUP(Bunuri_lab_nomenc[[#This Row],[Denumire catalog GDF]],GDF_price_list[[Product Name]:[Column1]],8,0),"")</f>
        <v/>
      </c>
      <c r="T346" s="417" t="e">
        <f>VLOOKUP(Bunuri_lab_nomenc[[#This Row],[Denumire catalog GDF]],GDF_price_list[[Product Name]:[Column1]],7,0)</f>
        <v>#N/A</v>
      </c>
      <c r="V346" s="786" t="s">
        <v>666</v>
      </c>
      <c r="W346" s="738" t="s">
        <v>671</v>
      </c>
      <c r="X346" s="745">
        <v>106587</v>
      </c>
      <c r="Y346" s="740" t="s">
        <v>829</v>
      </c>
      <c r="Z346" s="742" t="s">
        <v>673</v>
      </c>
      <c r="AA346" s="742" t="s">
        <v>1802</v>
      </c>
      <c r="AB346" s="742">
        <v>6</v>
      </c>
      <c r="AC346" s="743" t="s">
        <v>830</v>
      </c>
      <c r="AD346" s="753">
        <v>90</v>
      </c>
      <c r="AE346" s="790" t="s">
        <v>435</v>
      </c>
      <c r="AF346">
        <f>GDF_price_list[[#This Row],[Indicative 
FCA Price]]/GDF_price_list[[#This Row],[Unit]]</f>
        <v>15</v>
      </c>
    </row>
    <row r="347" spans="12:32" ht="68">
      <c r="L347" s="416"/>
      <c r="M347" s="416"/>
      <c r="N347" s="416"/>
      <c r="O347" s="439"/>
      <c r="P347" s="417"/>
      <c r="Q347" s="417"/>
      <c r="R347" s="417">
        <f>IFERROR(ROUND(Bunuri_lab_nomenc[[#This Row],[Cost unitate GFATM_valuta]]*VLOOKUP(Bunuri_lab_nomenc[[#This Row],[Valuta cost GFATM]],$B$58:$D$59,2,0),2),0)</f>
        <v>0</v>
      </c>
      <c r="S347" s="417" t="str">
        <f>IFERROR(VLOOKUP(Bunuri_lab_nomenc[[#This Row],[Denumire catalog GDF]],GDF_price_list[[Product Name]:[Column1]],8,0),"")</f>
        <v/>
      </c>
      <c r="T347" s="417" t="e">
        <f>VLOOKUP(Bunuri_lab_nomenc[[#This Row],[Denumire catalog GDF]],GDF_price_list[[Product Name]:[Column1]],7,0)</f>
        <v>#N/A</v>
      </c>
      <c r="V347" s="786" t="s">
        <v>666</v>
      </c>
      <c r="W347" s="738" t="s">
        <v>671</v>
      </c>
      <c r="X347" s="745">
        <v>106584</v>
      </c>
      <c r="Y347" s="740" t="s">
        <v>1234</v>
      </c>
      <c r="Z347" s="742" t="s">
        <v>673</v>
      </c>
      <c r="AA347" s="742" t="s">
        <v>1802</v>
      </c>
      <c r="AB347" s="742">
        <v>6</v>
      </c>
      <c r="AC347" s="743" t="s">
        <v>830</v>
      </c>
      <c r="AD347" s="753">
        <v>90</v>
      </c>
      <c r="AE347" s="790" t="s">
        <v>435</v>
      </c>
      <c r="AF347">
        <f>GDF_price_list[[#This Row],[Indicative 
FCA Price]]/GDF_price_list[[#This Row],[Unit]]</f>
        <v>15</v>
      </c>
    </row>
    <row r="348" spans="12:32" ht="68">
      <c r="L348" s="416"/>
      <c r="M348" s="416"/>
      <c r="N348" s="416"/>
      <c r="O348" s="439"/>
      <c r="P348" s="417"/>
      <c r="Q348" s="417"/>
      <c r="R348" s="417">
        <f>IFERROR(ROUND(Bunuri_lab_nomenc[[#This Row],[Cost unitate GFATM_valuta]]*VLOOKUP(Bunuri_lab_nomenc[[#This Row],[Valuta cost GFATM]],$B$58:$D$59,2,0),2),0)</f>
        <v>0</v>
      </c>
      <c r="S348" s="417" t="str">
        <f>IFERROR(VLOOKUP(Bunuri_lab_nomenc[[#This Row],[Denumire catalog GDF]],GDF_price_list[[Product Name]:[Column1]],8,0),"")</f>
        <v/>
      </c>
      <c r="T348" s="417" t="e">
        <f>VLOOKUP(Bunuri_lab_nomenc[[#This Row],[Denumire catalog GDF]],GDF_price_list[[Product Name]:[Column1]],7,0)</f>
        <v>#N/A</v>
      </c>
      <c r="V348" s="786" t="s">
        <v>666</v>
      </c>
      <c r="W348" s="738" t="s">
        <v>671</v>
      </c>
      <c r="X348" s="745">
        <v>106585</v>
      </c>
      <c r="Y348" s="740" t="s">
        <v>1362</v>
      </c>
      <c r="Z348" s="742" t="s">
        <v>673</v>
      </c>
      <c r="AA348" s="742" t="s">
        <v>1802</v>
      </c>
      <c r="AB348" s="742">
        <v>6</v>
      </c>
      <c r="AC348" s="743" t="s">
        <v>1363</v>
      </c>
      <c r="AD348" s="753">
        <v>90</v>
      </c>
      <c r="AE348" s="790" t="s">
        <v>435</v>
      </c>
      <c r="AF348">
        <f>GDF_price_list[[#This Row],[Indicative 
FCA Price]]/GDF_price_list[[#This Row],[Unit]]</f>
        <v>15</v>
      </c>
    </row>
    <row r="349" spans="12:32" ht="68">
      <c r="L349" s="416"/>
      <c r="M349" s="416"/>
      <c r="N349" s="416"/>
      <c r="O349" s="439"/>
      <c r="P349" s="417"/>
      <c r="Q349" s="417"/>
      <c r="R349" s="417">
        <f>IFERROR(ROUND(Bunuri_lab_nomenc[[#This Row],[Cost unitate GFATM_valuta]]*VLOOKUP(Bunuri_lab_nomenc[[#This Row],[Valuta cost GFATM]],$B$58:$D$59,2,0),2),0)</f>
        <v>0</v>
      </c>
      <c r="S349" s="417" t="str">
        <f>IFERROR(VLOOKUP(Bunuri_lab_nomenc[[#This Row],[Denumire catalog GDF]],GDF_price_list[[Product Name]:[Column1]],8,0),"")</f>
        <v/>
      </c>
      <c r="T349" s="417" t="e">
        <f>VLOOKUP(Bunuri_lab_nomenc[[#This Row],[Denumire catalog GDF]],GDF_price_list[[Product Name]:[Column1]],7,0)</f>
        <v>#N/A</v>
      </c>
      <c r="V349" s="786" t="s">
        <v>666</v>
      </c>
      <c r="W349" s="738" t="s">
        <v>671</v>
      </c>
      <c r="X349" s="745">
        <v>106588</v>
      </c>
      <c r="Y349" s="740" t="s">
        <v>1382</v>
      </c>
      <c r="Z349" s="742" t="s">
        <v>673</v>
      </c>
      <c r="AA349" s="742" t="s">
        <v>1802</v>
      </c>
      <c r="AB349" s="742">
        <v>6</v>
      </c>
      <c r="AC349" s="743" t="s">
        <v>1383</v>
      </c>
      <c r="AD349" s="753">
        <v>90</v>
      </c>
      <c r="AE349" s="790" t="s">
        <v>435</v>
      </c>
      <c r="AF349">
        <f>GDF_price_list[[#This Row],[Indicative 
FCA Price]]/GDF_price_list[[#This Row],[Unit]]</f>
        <v>15</v>
      </c>
    </row>
    <row r="350" spans="12:32" ht="68">
      <c r="L350" s="416"/>
      <c r="M350" s="416"/>
      <c r="N350" s="416"/>
      <c r="O350" s="439"/>
      <c r="P350" s="417"/>
      <c r="Q350" s="417"/>
      <c r="R350" s="417">
        <f>IFERROR(ROUND(Bunuri_lab_nomenc[[#This Row],[Cost unitate GFATM_valuta]]*VLOOKUP(Bunuri_lab_nomenc[[#This Row],[Valuta cost GFATM]],$B$58:$D$59,2,0),2),0)</f>
        <v>0</v>
      </c>
      <c r="S350" s="417" t="str">
        <f>IFERROR(VLOOKUP(Bunuri_lab_nomenc[[#This Row],[Denumire catalog GDF]],GDF_price_list[[Product Name]:[Column1]],8,0),"")</f>
        <v/>
      </c>
      <c r="T350" s="417" t="e">
        <f>VLOOKUP(Bunuri_lab_nomenc[[#This Row],[Denumire catalog GDF]],GDF_price_list[[Product Name]:[Column1]],7,0)</f>
        <v>#N/A</v>
      </c>
      <c r="V350" s="786" t="s">
        <v>612</v>
      </c>
      <c r="W350" s="738" t="s">
        <v>842</v>
      </c>
      <c r="X350" s="739">
        <v>106073</v>
      </c>
      <c r="Y350" s="740" t="s">
        <v>1604</v>
      </c>
      <c r="Z350" s="742" t="s">
        <v>1086</v>
      </c>
      <c r="AA350" s="742" t="s">
        <v>1802</v>
      </c>
      <c r="AB350" s="742">
        <v>6</v>
      </c>
      <c r="AC350" s="743" t="s">
        <v>1605</v>
      </c>
      <c r="AD350" s="770">
        <v>0</v>
      </c>
      <c r="AE350" s="790" t="s">
        <v>447</v>
      </c>
      <c r="AF350">
        <f>GDF_price_list[[#This Row],[Indicative 
FCA Price]]/GDF_price_list[[#This Row],[Unit]]</f>
        <v>0</v>
      </c>
    </row>
    <row r="351" spans="12:32" ht="34">
      <c r="L351" s="416"/>
      <c r="M351" s="416"/>
      <c r="N351" s="416"/>
      <c r="O351" s="439"/>
      <c r="P351" s="417"/>
      <c r="Q351" s="417"/>
      <c r="R351" s="417">
        <f>IFERROR(ROUND(Bunuri_lab_nomenc[[#This Row],[Cost unitate GFATM_valuta]]*VLOOKUP(Bunuri_lab_nomenc[[#This Row],[Valuta cost GFATM]],$B$58:$D$59,2,0),2),0)</f>
        <v>0</v>
      </c>
      <c r="S351" s="417" t="str">
        <f>IFERROR(VLOOKUP(Bunuri_lab_nomenc[[#This Row],[Denumire catalog GDF]],GDF_price_list[[Product Name]:[Column1]],8,0),"")</f>
        <v/>
      </c>
      <c r="T351" s="417" t="e">
        <f>VLOOKUP(Bunuri_lab_nomenc[[#This Row],[Denumire catalog GDF]],GDF_price_list[[Product Name]:[Column1]],7,0)</f>
        <v>#N/A</v>
      </c>
      <c r="V351" s="786" t="s">
        <v>638</v>
      </c>
      <c r="W351" s="738" t="s">
        <v>899</v>
      </c>
      <c r="X351" s="745">
        <v>106255</v>
      </c>
      <c r="Y351" s="740" t="s">
        <v>1773</v>
      </c>
      <c r="Z351" s="742" t="s">
        <v>610</v>
      </c>
      <c r="AA351" s="742" t="s">
        <v>1802</v>
      </c>
      <c r="AB351" s="746">
        <v>6</v>
      </c>
      <c r="AC351" s="743" t="s">
        <v>1774</v>
      </c>
      <c r="AD351" s="744">
        <v>54.31</v>
      </c>
      <c r="AE351" s="787" t="s">
        <v>435</v>
      </c>
      <c r="AF351">
        <f>GDF_price_list[[#This Row],[Indicative 
FCA Price]]/GDF_price_list[[#This Row],[Unit]]</f>
        <v>9.0516666666666676</v>
      </c>
    </row>
    <row r="352" spans="12:32" ht="17">
      <c r="L352" s="416"/>
      <c r="M352" s="416"/>
      <c r="N352" s="416"/>
      <c r="O352" s="439"/>
      <c r="P352" s="417"/>
      <c r="Q352" s="417"/>
      <c r="R352" s="417">
        <f>IFERROR(ROUND(Bunuri_lab_nomenc[[#This Row],[Cost unitate GFATM_valuta]]*VLOOKUP(Bunuri_lab_nomenc[[#This Row],[Valuta cost GFATM]],$B$58:$D$59,2,0),2),0)</f>
        <v>0</v>
      </c>
      <c r="S352" s="417" t="str">
        <f>IFERROR(VLOOKUP(Bunuri_lab_nomenc[[#This Row],[Denumire catalog GDF]],GDF_price_list[[Product Name]:[Column1]],8,0),"")</f>
        <v/>
      </c>
      <c r="T352" s="417" t="e">
        <f>VLOOKUP(Bunuri_lab_nomenc[[#This Row],[Denumire catalog GDF]],GDF_price_list[[Product Name]:[Column1]],7,0)</f>
        <v>#N/A</v>
      </c>
      <c r="V352" s="786" t="s">
        <v>666</v>
      </c>
      <c r="W352" s="738" t="s">
        <v>685</v>
      </c>
      <c r="X352" s="745">
        <v>106618</v>
      </c>
      <c r="Y352" s="743" t="s">
        <v>760</v>
      </c>
      <c r="Z352" s="742" t="s">
        <v>673</v>
      </c>
      <c r="AA352" s="742" t="s">
        <v>1802</v>
      </c>
      <c r="AB352" s="746">
        <v>10</v>
      </c>
      <c r="AC352" s="743" t="s">
        <v>761</v>
      </c>
      <c r="AD352" s="753">
        <v>640</v>
      </c>
      <c r="AE352" s="790" t="s">
        <v>435</v>
      </c>
      <c r="AF352">
        <f>GDF_price_list[[#This Row],[Indicative 
FCA Price]]/GDF_price_list[[#This Row],[Unit]]</f>
        <v>64</v>
      </c>
    </row>
    <row r="353" spans="12:32" ht="68">
      <c r="L353" s="416"/>
      <c r="M353" s="416"/>
      <c r="N353" s="416"/>
      <c r="O353" s="439"/>
      <c r="P353" s="417"/>
      <c r="Q353" s="417"/>
      <c r="R353" s="417">
        <f>IFERROR(ROUND(Bunuri_lab_nomenc[[#This Row],[Cost unitate GFATM_valuta]]*VLOOKUP(Bunuri_lab_nomenc[[#This Row],[Valuta cost GFATM]],$B$58:$D$59,2,0),2),0)</f>
        <v>0</v>
      </c>
      <c r="S353" s="417" t="str">
        <f>IFERROR(VLOOKUP(Bunuri_lab_nomenc[[#This Row],[Denumire catalog GDF]],GDF_price_list[[Product Name]:[Column1]],8,0),"")</f>
        <v/>
      </c>
      <c r="T353" s="417" t="e">
        <f>VLOOKUP(Bunuri_lab_nomenc[[#This Row],[Denumire catalog GDF]],GDF_price_list[[Product Name]:[Column1]],7,0)</f>
        <v>#N/A</v>
      </c>
      <c r="V353" s="786" t="s">
        <v>666</v>
      </c>
      <c r="W353" s="738" t="s">
        <v>773</v>
      </c>
      <c r="X353" s="745">
        <v>106273</v>
      </c>
      <c r="Y353" s="740" t="s">
        <v>774</v>
      </c>
      <c r="Z353" s="742" t="s">
        <v>673</v>
      </c>
      <c r="AA353" s="742" t="s">
        <v>1802</v>
      </c>
      <c r="AB353" s="742">
        <v>10</v>
      </c>
      <c r="AC353" s="743" t="s">
        <v>775</v>
      </c>
      <c r="AD353" s="753">
        <v>25.5</v>
      </c>
      <c r="AE353" s="790" t="s">
        <v>435</v>
      </c>
      <c r="AF353">
        <f>GDF_price_list[[#This Row],[Indicative 
FCA Price]]/GDF_price_list[[#This Row],[Unit]]</f>
        <v>2.5499999999999998</v>
      </c>
    </row>
    <row r="354" spans="12:32" ht="51">
      <c r="L354" s="416"/>
      <c r="M354" s="416"/>
      <c r="N354" s="416"/>
      <c r="O354" s="439"/>
      <c r="P354" s="417"/>
      <c r="Q354" s="417"/>
      <c r="R354" s="417">
        <f>IFERROR(ROUND(Bunuri_lab_nomenc[[#This Row],[Cost unitate GFATM_valuta]]*VLOOKUP(Bunuri_lab_nomenc[[#This Row],[Valuta cost GFATM]],$B$58:$D$59,2,0),2),0)</f>
        <v>0</v>
      </c>
      <c r="S354" s="417" t="str">
        <f>IFERROR(VLOOKUP(Bunuri_lab_nomenc[[#This Row],[Denumire catalog GDF]],GDF_price_list[[Product Name]:[Column1]],8,0),"")</f>
        <v/>
      </c>
      <c r="T354" s="417" t="e">
        <f>VLOOKUP(Bunuri_lab_nomenc[[#This Row],[Denumire catalog GDF]],GDF_price_list[[Product Name]:[Column1]],7,0)</f>
        <v>#N/A</v>
      </c>
      <c r="V354" s="786" t="s">
        <v>666</v>
      </c>
      <c r="W354" s="738" t="s">
        <v>685</v>
      </c>
      <c r="X354" s="745">
        <v>106582</v>
      </c>
      <c r="Y354" s="740" t="s">
        <v>779</v>
      </c>
      <c r="Z354" s="742" t="s">
        <v>673</v>
      </c>
      <c r="AA354" s="742" t="s">
        <v>1802</v>
      </c>
      <c r="AB354" s="742">
        <v>10</v>
      </c>
      <c r="AC354" s="743" t="s">
        <v>780</v>
      </c>
      <c r="AD354" s="753">
        <v>65.8</v>
      </c>
      <c r="AE354" s="790" t="s">
        <v>435</v>
      </c>
      <c r="AF354">
        <f>GDF_price_list[[#This Row],[Indicative 
FCA Price]]/GDF_price_list[[#This Row],[Unit]]</f>
        <v>6.58</v>
      </c>
    </row>
    <row r="355" spans="12:32" ht="17">
      <c r="L355" s="416"/>
      <c r="M355" s="416"/>
      <c r="N355" s="416"/>
      <c r="O355" s="439"/>
      <c r="P355" s="417"/>
      <c r="Q355" s="417"/>
      <c r="R355" s="417">
        <f>IFERROR(ROUND(Bunuri_lab_nomenc[[#This Row],[Cost unitate GFATM_valuta]]*VLOOKUP(Bunuri_lab_nomenc[[#This Row],[Valuta cost GFATM]],$B$58:$D$59,2,0),2),0)</f>
        <v>0</v>
      </c>
      <c r="S355" s="417" t="str">
        <f>IFERROR(VLOOKUP(Bunuri_lab_nomenc[[#This Row],[Denumire catalog GDF]],GDF_price_list[[Product Name]:[Column1]],8,0),"")</f>
        <v/>
      </c>
      <c r="T355" s="417" t="e">
        <f>VLOOKUP(Bunuri_lab_nomenc[[#This Row],[Denumire catalog GDF]],GDF_price_list[[Product Name]:[Column1]],7,0)</f>
        <v>#N/A</v>
      </c>
      <c r="V355" s="786" t="s">
        <v>638</v>
      </c>
      <c r="W355" s="738" t="s">
        <v>852</v>
      </c>
      <c r="X355" s="739">
        <v>106369</v>
      </c>
      <c r="Y355" s="740" t="s">
        <v>931</v>
      </c>
      <c r="Z355" s="742" t="s">
        <v>610</v>
      </c>
      <c r="AA355" s="742" t="s">
        <v>1802</v>
      </c>
      <c r="AB355" s="742">
        <v>10</v>
      </c>
      <c r="AC355" s="743" t="s">
        <v>932</v>
      </c>
      <c r="AD355" s="744">
        <v>20.059999999999999</v>
      </c>
      <c r="AE355" s="787" t="s">
        <v>435</v>
      </c>
      <c r="AF355">
        <f>GDF_price_list[[#This Row],[Indicative 
FCA Price]]/GDF_price_list[[#This Row],[Unit]]</f>
        <v>2.0059999999999998</v>
      </c>
    </row>
    <row r="356" spans="12:32" ht="17">
      <c r="L356" s="416"/>
      <c r="M356" s="416"/>
      <c r="N356" s="416"/>
      <c r="O356" s="439"/>
      <c r="P356" s="417"/>
      <c r="Q356" s="417"/>
      <c r="R356" s="417">
        <f>IFERROR(ROUND(Bunuri_lab_nomenc[[#This Row],[Cost unitate GFATM_valuta]]*VLOOKUP(Bunuri_lab_nomenc[[#This Row],[Valuta cost GFATM]],$B$58:$D$59,2,0),2),0)</f>
        <v>0</v>
      </c>
      <c r="S356" s="417" t="str">
        <f>IFERROR(VLOOKUP(Bunuri_lab_nomenc[[#This Row],[Denumire catalog GDF]],GDF_price_list[[Product Name]:[Column1]],8,0),"")</f>
        <v/>
      </c>
      <c r="T356" s="417" t="e">
        <f>VLOOKUP(Bunuri_lab_nomenc[[#This Row],[Denumire catalog GDF]],GDF_price_list[[Product Name]:[Column1]],7,0)</f>
        <v>#N/A</v>
      </c>
      <c r="V356" s="786" t="s">
        <v>718</v>
      </c>
      <c r="W356" s="738" t="s">
        <v>948</v>
      </c>
      <c r="X356" s="745">
        <v>106163</v>
      </c>
      <c r="Y356" s="740" t="s">
        <v>949</v>
      </c>
      <c r="Z356" s="742" t="s">
        <v>610</v>
      </c>
      <c r="AA356" s="742" t="s">
        <v>1802</v>
      </c>
      <c r="AB356" s="746">
        <v>10</v>
      </c>
      <c r="AC356" s="743" t="s">
        <v>950</v>
      </c>
      <c r="AD356" s="744">
        <v>16.28</v>
      </c>
      <c r="AE356" s="787" t="s">
        <v>435</v>
      </c>
      <c r="AF356">
        <f>GDF_price_list[[#This Row],[Indicative 
FCA Price]]/GDF_price_list[[#This Row],[Unit]]</f>
        <v>1.6280000000000001</v>
      </c>
    </row>
    <row r="357" spans="12:32" ht="17">
      <c r="L357" s="416"/>
      <c r="M357" s="416"/>
      <c r="N357" s="416"/>
      <c r="O357" s="439"/>
      <c r="P357" s="417"/>
      <c r="Q357" s="417"/>
      <c r="R357" s="417">
        <f>IFERROR(ROUND(Bunuri_lab_nomenc[[#This Row],[Cost unitate GFATM_valuta]]*VLOOKUP(Bunuri_lab_nomenc[[#This Row],[Valuta cost GFATM]],$B$58:$D$59,2,0),2),0)</f>
        <v>0</v>
      </c>
      <c r="S357" s="417" t="str">
        <f>IFERROR(VLOOKUP(Bunuri_lab_nomenc[[#This Row],[Denumire catalog GDF]],GDF_price_list[[Product Name]:[Column1]],8,0),"")</f>
        <v/>
      </c>
      <c r="T357" s="417" t="e">
        <f>VLOOKUP(Bunuri_lab_nomenc[[#This Row],[Denumire catalog GDF]],GDF_price_list[[Product Name]:[Column1]],7,0)</f>
        <v>#N/A</v>
      </c>
      <c r="V357" s="786" t="s">
        <v>718</v>
      </c>
      <c r="W357" s="738" t="s">
        <v>948</v>
      </c>
      <c r="X357" s="745">
        <v>106160</v>
      </c>
      <c r="Y357" s="740" t="s">
        <v>951</v>
      </c>
      <c r="Z357" s="742" t="s">
        <v>610</v>
      </c>
      <c r="AA357" s="742" t="s">
        <v>1802</v>
      </c>
      <c r="AB357" s="746">
        <v>10</v>
      </c>
      <c r="AC357" s="743" t="s">
        <v>952</v>
      </c>
      <c r="AD357" s="744">
        <v>43.08</v>
      </c>
      <c r="AE357" s="787" t="s">
        <v>435</v>
      </c>
      <c r="AF357">
        <f>GDF_price_list[[#This Row],[Indicative 
FCA Price]]/GDF_price_list[[#This Row],[Unit]]</f>
        <v>4.3079999999999998</v>
      </c>
    </row>
    <row r="358" spans="12:32" ht="17">
      <c r="L358" s="416"/>
      <c r="M358" s="416"/>
      <c r="N358" s="416"/>
      <c r="O358" s="439"/>
      <c r="P358" s="417"/>
      <c r="Q358" s="417"/>
      <c r="R358" s="417">
        <f>IFERROR(ROUND(Bunuri_lab_nomenc[[#This Row],[Cost unitate GFATM_valuta]]*VLOOKUP(Bunuri_lab_nomenc[[#This Row],[Valuta cost GFATM]],$B$58:$D$59,2,0),2),0)</f>
        <v>0</v>
      </c>
      <c r="S358" s="417" t="str">
        <f>IFERROR(VLOOKUP(Bunuri_lab_nomenc[[#This Row],[Denumire catalog GDF]],GDF_price_list[[Product Name]:[Column1]],8,0),"")</f>
        <v/>
      </c>
      <c r="T358" s="417" t="e">
        <f>VLOOKUP(Bunuri_lab_nomenc[[#This Row],[Denumire catalog GDF]],GDF_price_list[[Product Name]:[Column1]],7,0)</f>
        <v>#N/A</v>
      </c>
      <c r="V358" s="786" t="s">
        <v>718</v>
      </c>
      <c r="W358" s="738" t="s">
        <v>948</v>
      </c>
      <c r="X358" s="745">
        <v>106159</v>
      </c>
      <c r="Y358" s="740" t="s">
        <v>953</v>
      </c>
      <c r="Z358" s="742" t="s">
        <v>610</v>
      </c>
      <c r="AA358" s="742" t="s">
        <v>1802</v>
      </c>
      <c r="AB358" s="746">
        <v>10</v>
      </c>
      <c r="AC358" s="743" t="s">
        <v>954</v>
      </c>
      <c r="AD358" s="744">
        <v>78.599999999999994</v>
      </c>
      <c r="AE358" s="787" t="s">
        <v>435</v>
      </c>
      <c r="AF358">
        <f>GDF_price_list[[#This Row],[Indicative 
FCA Price]]/GDF_price_list[[#This Row],[Unit]]</f>
        <v>7.8599999999999994</v>
      </c>
    </row>
    <row r="359" spans="12:32" ht="17">
      <c r="L359" s="416"/>
      <c r="M359" s="416"/>
      <c r="N359" s="416"/>
      <c r="O359" s="439"/>
      <c r="P359" s="417"/>
      <c r="Q359" s="417"/>
      <c r="R359" s="417">
        <f>IFERROR(ROUND(Bunuri_lab_nomenc[[#This Row],[Cost unitate GFATM_valuta]]*VLOOKUP(Bunuri_lab_nomenc[[#This Row],[Valuta cost GFATM]],$B$58:$D$59,2,0),2),0)</f>
        <v>0</v>
      </c>
      <c r="S359" s="417" t="str">
        <f>IFERROR(VLOOKUP(Bunuri_lab_nomenc[[#This Row],[Denumire catalog GDF]],GDF_price_list[[Product Name]:[Column1]],8,0),"")</f>
        <v/>
      </c>
      <c r="T359" s="417" t="e">
        <f>VLOOKUP(Bunuri_lab_nomenc[[#This Row],[Denumire catalog GDF]],GDF_price_list[[Product Name]:[Column1]],7,0)</f>
        <v>#N/A</v>
      </c>
      <c r="V359" s="786" t="s">
        <v>718</v>
      </c>
      <c r="W359" s="738" t="s">
        <v>948</v>
      </c>
      <c r="X359" s="745">
        <v>106162</v>
      </c>
      <c r="Y359" s="740" t="s">
        <v>955</v>
      </c>
      <c r="Z359" s="742" t="s">
        <v>610</v>
      </c>
      <c r="AA359" s="742" t="s">
        <v>1802</v>
      </c>
      <c r="AB359" s="746">
        <v>10</v>
      </c>
      <c r="AC359" s="743" t="s">
        <v>956</v>
      </c>
      <c r="AD359" s="744">
        <v>19.239999999999998</v>
      </c>
      <c r="AE359" s="787" t="s">
        <v>435</v>
      </c>
      <c r="AF359">
        <f>GDF_price_list[[#This Row],[Indicative 
FCA Price]]/GDF_price_list[[#This Row],[Unit]]</f>
        <v>1.9239999999999999</v>
      </c>
    </row>
    <row r="360" spans="12:32" ht="17">
      <c r="L360" s="416"/>
      <c r="M360" s="416"/>
      <c r="N360" s="416"/>
      <c r="O360" s="439"/>
      <c r="P360" s="417"/>
      <c r="Q360" s="417"/>
      <c r="R360" s="417">
        <f>IFERROR(ROUND(Bunuri_lab_nomenc[[#This Row],[Cost unitate GFATM_valuta]]*VLOOKUP(Bunuri_lab_nomenc[[#This Row],[Valuta cost GFATM]],$B$58:$D$59,2,0),2),0)</f>
        <v>0</v>
      </c>
      <c r="S360" s="417" t="str">
        <f>IFERROR(VLOOKUP(Bunuri_lab_nomenc[[#This Row],[Denumire catalog GDF]],GDF_price_list[[Product Name]:[Column1]],8,0),"")</f>
        <v/>
      </c>
      <c r="T360" s="417" t="e">
        <f>VLOOKUP(Bunuri_lab_nomenc[[#This Row],[Denumire catalog GDF]],GDF_price_list[[Product Name]:[Column1]],7,0)</f>
        <v>#N/A</v>
      </c>
      <c r="V360" s="786" t="s">
        <v>718</v>
      </c>
      <c r="W360" s="738" t="s">
        <v>948</v>
      </c>
      <c r="X360" s="745">
        <v>106164</v>
      </c>
      <c r="Y360" s="740" t="s">
        <v>957</v>
      </c>
      <c r="Z360" s="742" t="s">
        <v>610</v>
      </c>
      <c r="AA360" s="742" t="s">
        <v>1802</v>
      </c>
      <c r="AB360" s="746">
        <v>10</v>
      </c>
      <c r="AC360" s="743" t="s">
        <v>958</v>
      </c>
      <c r="AD360" s="744">
        <v>17.920000000000002</v>
      </c>
      <c r="AE360" s="787" t="s">
        <v>435</v>
      </c>
      <c r="AF360">
        <f>GDF_price_list[[#This Row],[Indicative 
FCA Price]]/GDF_price_list[[#This Row],[Unit]]</f>
        <v>1.7920000000000003</v>
      </c>
    </row>
    <row r="361" spans="12:32" ht="17">
      <c r="L361" s="416"/>
      <c r="M361" s="416"/>
      <c r="N361" s="416"/>
      <c r="O361" s="439"/>
      <c r="P361" s="417"/>
      <c r="Q361" s="417"/>
      <c r="R361" s="417">
        <f>IFERROR(ROUND(Bunuri_lab_nomenc[[#This Row],[Cost unitate GFATM_valuta]]*VLOOKUP(Bunuri_lab_nomenc[[#This Row],[Valuta cost GFATM]],$B$58:$D$59,2,0),2),0)</f>
        <v>0</v>
      </c>
      <c r="S361" s="417" t="str">
        <f>IFERROR(VLOOKUP(Bunuri_lab_nomenc[[#This Row],[Denumire catalog GDF]],GDF_price_list[[Product Name]:[Column1]],8,0),"")</f>
        <v/>
      </c>
      <c r="T361" s="417" t="e">
        <f>VLOOKUP(Bunuri_lab_nomenc[[#This Row],[Denumire catalog GDF]],GDF_price_list[[Product Name]:[Column1]],7,0)</f>
        <v>#N/A</v>
      </c>
      <c r="V361" s="786" t="s">
        <v>718</v>
      </c>
      <c r="W361" s="738" t="s">
        <v>948</v>
      </c>
      <c r="X361" s="745">
        <v>106161</v>
      </c>
      <c r="Y361" s="740" t="s">
        <v>959</v>
      </c>
      <c r="Z361" s="742" t="s">
        <v>610</v>
      </c>
      <c r="AA361" s="742" t="s">
        <v>1802</v>
      </c>
      <c r="AB361" s="746">
        <v>10</v>
      </c>
      <c r="AC361" s="743" t="s">
        <v>960</v>
      </c>
      <c r="AD361" s="744">
        <v>27.29</v>
      </c>
      <c r="AE361" s="787" t="s">
        <v>435</v>
      </c>
      <c r="AF361">
        <f>GDF_price_list[[#This Row],[Indicative 
FCA Price]]/GDF_price_list[[#This Row],[Unit]]</f>
        <v>2.7290000000000001</v>
      </c>
    </row>
    <row r="362" spans="12:32" ht="17">
      <c r="L362" s="416"/>
      <c r="M362" s="416"/>
      <c r="N362" s="416"/>
      <c r="O362" s="439"/>
      <c r="P362" s="417"/>
      <c r="Q362" s="417"/>
      <c r="R362" s="417">
        <f>IFERROR(ROUND(Bunuri_lab_nomenc[[#This Row],[Cost unitate GFATM_valuta]]*VLOOKUP(Bunuri_lab_nomenc[[#This Row],[Valuta cost GFATM]],$B$58:$D$59,2,0),2),0)</f>
        <v>0</v>
      </c>
      <c r="S362" s="417" t="str">
        <f>IFERROR(VLOOKUP(Bunuri_lab_nomenc[[#This Row],[Denumire catalog GDF]],GDF_price_list[[Product Name]:[Column1]],8,0),"")</f>
        <v/>
      </c>
      <c r="T362" s="417" t="e">
        <f>VLOOKUP(Bunuri_lab_nomenc[[#This Row],[Denumire catalog GDF]],GDF_price_list[[Product Name]:[Column1]],7,0)</f>
        <v>#N/A</v>
      </c>
      <c r="V362" s="786" t="s">
        <v>718</v>
      </c>
      <c r="W362" s="738" t="s">
        <v>948</v>
      </c>
      <c r="X362" s="745">
        <v>106146</v>
      </c>
      <c r="Y362" s="740" t="s">
        <v>1141</v>
      </c>
      <c r="Z362" s="742" t="s">
        <v>610</v>
      </c>
      <c r="AA362" s="742" t="s">
        <v>1802</v>
      </c>
      <c r="AB362" s="746">
        <v>10</v>
      </c>
      <c r="AC362" s="743" t="s">
        <v>1142</v>
      </c>
      <c r="AD362" s="744">
        <v>29.1</v>
      </c>
      <c r="AE362" s="787" t="s">
        <v>435</v>
      </c>
      <c r="AF362">
        <f>GDF_price_list[[#This Row],[Indicative 
FCA Price]]/GDF_price_list[[#This Row],[Unit]]</f>
        <v>2.91</v>
      </c>
    </row>
    <row r="363" spans="12:32" ht="17">
      <c r="L363" s="416"/>
      <c r="M363" s="416"/>
      <c r="N363" s="416"/>
      <c r="O363" s="439"/>
      <c r="P363" s="417"/>
      <c r="Q363" s="417"/>
      <c r="R363" s="417">
        <f>IFERROR(ROUND(Bunuri_lab_nomenc[[#This Row],[Cost unitate GFATM_valuta]]*VLOOKUP(Bunuri_lab_nomenc[[#This Row],[Valuta cost GFATM]],$B$58:$D$59,2,0),2),0)</f>
        <v>0</v>
      </c>
      <c r="S363" s="417" t="str">
        <f>IFERROR(VLOOKUP(Bunuri_lab_nomenc[[#This Row],[Denumire catalog GDF]],GDF_price_list[[Product Name]:[Column1]],8,0),"")</f>
        <v/>
      </c>
      <c r="T363" s="417" t="e">
        <f>VLOOKUP(Bunuri_lab_nomenc[[#This Row],[Denumire catalog GDF]],GDF_price_list[[Product Name]:[Column1]],7,0)</f>
        <v>#N/A</v>
      </c>
      <c r="V363" s="786" t="s">
        <v>718</v>
      </c>
      <c r="W363" s="738" t="s">
        <v>948</v>
      </c>
      <c r="X363" s="745">
        <v>106149</v>
      </c>
      <c r="Y363" s="740" t="s">
        <v>1143</v>
      </c>
      <c r="Z363" s="742" t="s">
        <v>610</v>
      </c>
      <c r="AA363" s="742" t="s">
        <v>1802</v>
      </c>
      <c r="AB363" s="746">
        <v>10</v>
      </c>
      <c r="AC363" s="743" t="s">
        <v>1144</v>
      </c>
      <c r="AD363" s="744">
        <v>34.86</v>
      </c>
      <c r="AE363" s="787" t="s">
        <v>435</v>
      </c>
      <c r="AF363">
        <f>GDF_price_list[[#This Row],[Indicative 
FCA Price]]/GDF_price_list[[#This Row],[Unit]]</f>
        <v>3.4859999999999998</v>
      </c>
    </row>
    <row r="364" spans="12:32" ht="17">
      <c r="L364" s="416"/>
      <c r="M364" s="416"/>
      <c r="N364" s="416"/>
      <c r="O364" s="439"/>
      <c r="P364" s="417"/>
      <c r="Q364" s="417"/>
      <c r="R364" s="417">
        <f>IFERROR(ROUND(Bunuri_lab_nomenc[[#This Row],[Cost unitate GFATM_valuta]]*VLOOKUP(Bunuri_lab_nomenc[[#This Row],[Valuta cost GFATM]],$B$58:$D$59,2,0),2),0)</f>
        <v>0</v>
      </c>
      <c r="S364" s="417" t="str">
        <f>IFERROR(VLOOKUP(Bunuri_lab_nomenc[[#This Row],[Denumire catalog GDF]],GDF_price_list[[Product Name]:[Column1]],8,0),"")</f>
        <v/>
      </c>
      <c r="T364" s="417" t="e">
        <f>VLOOKUP(Bunuri_lab_nomenc[[#This Row],[Denumire catalog GDF]],GDF_price_list[[Product Name]:[Column1]],7,0)</f>
        <v>#N/A</v>
      </c>
      <c r="V364" s="786" t="s">
        <v>718</v>
      </c>
      <c r="W364" s="738" t="s">
        <v>948</v>
      </c>
      <c r="X364" s="745">
        <v>106147</v>
      </c>
      <c r="Y364" s="740" t="s">
        <v>1145</v>
      </c>
      <c r="Z364" s="742" t="s">
        <v>610</v>
      </c>
      <c r="AA364" s="742" t="s">
        <v>1802</v>
      </c>
      <c r="AB364" s="746">
        <v>10</v>
      </c>
      <c r="AC364" s="743" t="s">
        <v>1146</v>
      </c>
      <c r="AD364" s="744">
        <v>29.1</v>
      </c>
      <c r="AE364" s="787" t="s">
        <v>435</v>
      </c>
      <c r="AF364">
        <f>GDF_price_list[[#This Row],[Indicative 
FCA Price]]/GDF_price_list[[#This Row],[Unit]]</f>
        <v>2.91</v>
      </c>
    </row>
    <row r="365" spans="12:32" ht="17">
      <c r="L365" s="416"/>
      <c r="M365" s="416"/>
      <c r="N365" s="416"/>
      <c r="O365" s="439"/>
      <c r="P365" s="417"/>
      <c r="Q365" s="417"/>
      <c r="R365" s="417">
        <f>IFERROR(ROUND(Bunuri_lab_nomenc[[#This Row],[Cost unitate GFATM_valuta]]*VLOOKUP(Bunuri_lab_nomenc[[#This Row],[Valuta cost GFATM]],$B$58:$D$59,2,0),2),0)</f>
        <v>0</v>
      </c>
      <c r="S365" s="417" t="str">
        <f>IFERROR(VLOOKUP(Bunuri_lab_nomenc[[#This Row],[Denumire catalog GDF]],GDF_price_list[[Product Name]:[Column1]],8,0),"")</f>
        <v/>
      </c>
      <c r="T365" s="417" t="e">
        <f>VLOOKUP(Bunuri_lab_nomenc[[#This Row],[Denumire catalog GDF]],GDF_price_list[[Product Name]:[Column1]],7,0)</f>
        <v>#N/A</v>
      </c>
      <c r="V365" s="786" t="s">
        <v>718</v>
      </c>
      <c r="W365" s="738" t="s">
        <v>948</v>
      </c>
      <c r="X365" s="745">
        <v>106148</v>
      </c>
      <c r="Y365" s="740" t="s">
        <v>1147</v>
      </c>
      <c r="Z365" s="742" t="s">
        <v>610</v>
      </c>
      <c r="AA365" s="742" t="s">
        <v>1802</v>
      </c>
      <c r="AB365" s="746">
        <v>10</v>
      </c>
      <c r="AC365" s="743" t="s">
        <v>1148</v>
      </c>
      <c r="AD365" s="744">
        <v>34.04</v>
      </c>
      <c r="AE365" s="787" t="s">
        <v>435</v>
      </c>
      <c r="AF365">
        <f>GDF_price_list[[#This Row],[Indicative 
FCA Price]]/GDF_price_list[[#This Row],[Unit]]</f>
        <v>3.4039999999999999</v>
      </c>
    </row>
    <row r="366" spans="12:32" ht="17">
      <c r="L366" s="416"/>
      <c r="M366" s="416"/>
      <c r="N366" s="416"/>
      <c r="O366" s="439"/>
      <c r="P366" s="417"/>
      <c r="Q366" s="417"/>
      <c r="R366" s="417">
        <f>IFERROR(ROUND(Bunuri_lab_nomenc[[#This Row],[Cost unitate GFATM_valuta]]*VLOOKUP(Bunuri_lab_nomenc[[#This Row],[Valuta cost GFATM]],$B$58:$D$59,2,0),2),0)</f>
        <v>0</v>
      </c>
      <c r="S366" s="417" t="str">
        <f>IFERROR(VLOOKUP(Bunuri_lab_nomenc[[#This Row],[Denumire catalog GDF]],GDF_price_list[[Product Name]:[Column1]],8,0),"")</f>
        <v/>
      </c>
      <c r="T366" s="417" t="e">
        <f>VLOOKUP(Bunuri_lab_nomenc[[#This Row],[Denumire catalog GDF]],GDF_price_list[[Product Name]:[Column1]],7,0)</f>
        <v>#N/A</v>
      </c>
      <c r="V366" s="786" t="s">
        <v>666</v>
      </c>
      <c r="W366" s="738" t="s">
        <v>768</v>
      </c>
      <c r="X366" s="745">
        <v>106620</v>
      </c>
      <c r="Y366" s="743" t="s">
        <v>1307</v>
      </c>
      <c r="Z366" s="742" t="s">
        <v>673</v>
      </c>
      <c r="AA366" s="742" t="s">
        <v>1802</v>
      </c>
      <c r="AB366" s="746">
        <v>10</v>
      </c>
      <c r="AC366" s="743" t="s">
        <v>1308</v>
      </c>
      <c r="AD366" s="753">
        <v>15.7</v>
      </c>
      <c r="AE366" s="790" t="s">
        <v>435</v>
      </c>
      <c r="AF366">
        <f>GDF_price_list[[#This Row],[Indicative 
FCA Price]]/GDF_price_list[[#This Row],[Unit]]</f>
        <v>1.5699999999999998</v>
      </c>
    </row>
    <row r="367" spans="12:32" ht="68">
      <c r="L367" s="416"/>
      <c r="M367" s="416"/>
      <c r="N367" s="416"/>
      <c r="O367" s="439"/>
      <c r="P367" s="417"/>
      <c r="Q367" s="417"/>
      <c r="R367" s="417">
        <f>IFERROR(ROUND(Bunuri_lab_nomenc[[#This Row],[Cost unitate GFATM_valuta]]*VLOOKUP(Bunuri_lab_nomenc[[#This Row],[Valuta cost GFATM]],$B$58:$D$59,2,0),2),0)</f>
        <v>0</v>
      </c>
      <c r="S367" s="417" t="str">
        <f>IFERROR(VLOOKUP(Bunuri_lab_nomenc[[#This Row],[Denumire catalog GDF]],GDF_price_list[[Product Name]:[Column1]],8,0),"")</f>
        <v/>
      </c>
      <c r="T367" s="417" t="e">
        <f>VLOOKUP(Bunuri_lab_nomenc[[#This Row],[Denumire catalog GDF]],GDF_price_list[[Product Name]:[Column1]],7,0)</f>
        <v>#N/A</v>
      </c>
      <c r="V367" s="786" t="s">
        <v>666</v>
      </c>
      <c r="W367" s="738" t="s">
        <v>685</v>
      </c>
      <c r="X367" s="745">
        <v>106037</v>
      </c>
      <c r="Y367" s="740" t="s">
        <v>1366</v>
      </c>
      <c r="Z367" s="742" t="s">
        <v>673</v>
      </c>
      <c r="AA367" s="742" t="s">
        <v>1802</v>
      </c>
      <c r="AB367" s="742">
        <v>10</v>
      </c>
      <c r="AC367" s="743" t="s">
        <v>1367</v>
      </c>
      <c r="AD367" s="753">
        <v>81.5</v>
      </c>
      <c r="AE367" s="790" t="s">
        <v>435</v>
      </c>
      <c r="AF367">
        <f>GDF_price_list[[#This Row],[Indicative 
FCA Price]]/GDF_price_list[[#This Row],[Unit]]</f>
        <v>8.15</v>
      </c>
    </row>
    <row r="368" spans="12:32" ht="68">
      <c r="L368" s="416"/>
      <c r="M368" s="416"/>
      <c r="N368" s="416"/>
      <c r="O368" s="439"/>
      <c r="P368" s="417"/>
      <c r="Q368" s="417"/>
      <c r="R368" s="417">
        <f>IFERROR(ROUND(Bunuri_lab_nomenc[[#This Row],[Cost unitate GFATM_valuta]]*VLOOKUP(Bunuri_lab_nomenc[[#This Row],[Valuta cost GFATM]],$B$58:$D$59,2,0),2),0)</f>
        <v>0</v>
      </c>
      <c r="S368" s="417" t="str">
        <f>IFERROR(VLOOKUP(Bunuri_lab_nomenc[[#This Row],[Denumire catalog GDF]],GDF_price_list[[Product Name]:[Column1]],8,0),"")</f>
        <v/>
      </c>
      <c r="T368" s="417" t="e">
        <f>VLOOKUP(Bunuri_lab_nomenc[[#This Row],[Denumire catalog GDF]],GDF_price_list[[Product Name]:[Column1]],7,0)</f>
        <v>#N/A</v>
      </c>
      <c r="V368" s="786" t="s">
        <v>612</v>
      </c>
      <c r="W368" s="738" t="s">
        <v>842</v>
      </c>
      <c r="X368" s="745">
        <v>106068</v>
      </c>
      <c r="Y368" s="740" t="s">
        <v>1512</v>
      </c>
      <c r="Z368" s="742" t="s">
        <v>610</v>
      </c>
      <c r="AA368" s="742" t="s">
        <v>1802</v>
      </c>
      <c r="AB368" s="746">
        <v>10</v>
      </c>
      <c r="AC368" s="743" t="s">
        <v>1513</v>
      </c>
      <c r="AD368" s="744">
        <v>24.58</v>
      </c>
      <c r="AE368" s="787" t="s">
        <v>435</v>
      </c>
      <c r="AF368">
        <f>GDF_price_list[[#This Row],[Indicative 
FCA Price]]/GDF_price_list[[#This Row],[Unit]]</f>
        <v>2.4579999999999997</v>
      </c>
    </row>
    <row r="369" spans="12:32" ht="17">
      <c r="L369" s="416"/>
      <c r="M369" s="416"/>
      <c r="N369" s="416"/>
      <c r="O369" s="439"/>
      <c r="P369" s="417"/>
      <c r="Q369" s="417"/>
      <c r="R369" s="417">
        <f>IFERROR(ROUND(Bunuri_lab_nomenc[[#This Row],[Cost unitate GFATM_valuta]]*VLOOKUP(Bunuri_lab_nomenc[[#This Row],[Valuta cost GFATM]],$B$58:$D$59,2,0),2),0)</f>
        <v>0</v>
      </c>
      <c r="S369" s="417" t="str">
        <f>IFERROR(VLOOKUP(Bunuri_lab_nomenc[[#This Row],[Denumire catalog GDF]],GDF_price_list[[Product Name]:[Column1]],8,0),"")</f>
        <v/>
      </c>
      <c r="T369" s="417" t="e">
        <f>VLOOKUP(Bunuri_lab_nomenc[[#This Row],[Denumire catalog GDF]],GDF_price_list[[Product Name]:[Column1]],7,0)</f>
        <v>#N/A</v>
      </c>
      <c r="V369" s="786" t="s">
        <v>638</v>
      </c>
      <c r="W369" s="738" t="s">
        <v>639</v>
      </c>
      <c r="X369" s="745">
        <v>106409</v>
      </c>
      <c r="Y369" s="740" t="s">
        <v>1771</v>
      </c>
      <c r="Z369" s="742" t="s">
        <v>610</v>
      </c>
      <c r="AA369" s="742" t="s">
        <v>1802</v>
      </c>
      <c r="AB369" s="746">
        <v>10</v>
      </c>
      <c r="AC369" s="743" t="s">
        <v>1772</v>
      </c>
      <c r="AD369" s="744">
        <v>16.11</v>
      </c>
      <c r="AE369" s="787" t="s">
        <v>435</v>
      </c>
      <c r="AF369">
        <f>GDF_price_list[[#This Row],[Indicative 
FCA Price]]/GDF_price_list[[#This Row],[Unit]]</f>
        <v>1.611</v>
      </c>
    </row>
    <row r="370" spans="12:32" ht="17">
      <c r="L370" s="416"/>
      <c r="M370" s="416"/>
      <c r="N370" s="416"/>
      <c r="O370" s="439"/>
      <c r="P370" s="417"/>
      <c r="Q370" s="417"/>
      <c r="R370" s="417">
        <f>IFERROR(ROUND(Bunuri_lab_nomenc[[#This Row],[Cost unitate GFATM_valuta]]*VLOOKUP(Bunuri_lab_nomenc[[#This Row],[Valuta cost GFATM]],$B$58:$D$59,2,0),2),0)</f>
        <v>0</v>
      </c>
      <c r="S370" s="417" t="str">
        <f>IFERROR(VLOOKUP(Bunuri_lab_nomenc[[#This Row],[Denumire catalog GDF]],GDF_price_list[[Product Name]:[Column1]],8,0),"")</f>
        <v/>
      </c>
      <c r="T370" s="417" t="e">
        <f>VLOOKUP(Bunuri_lab_nomenc[[#This Row],[Denumire catalog GDF]],GDF_price_list[[Product Name]:[Column1]],7,0)</f>
        <v>#N/A</v>
      </c>
      <c r="V370" s="786" t="s">
        <v>718</v>
      </c>
      <c r="W370" s="738" t="s">
        <v>719</v>
      </c>
      <c r="X370" s="745">
        <v>106557</v>
      </c>
      <c r="Y370" s="740" t="s">
        <v>1311</v>
      </c>
      <c r="Z370" s="742" t="s">
        <v>610</v>
      </c>
      <c r="AA370" s="742" t="s">
        <v>1802</v>
      </c>
      <c r="AB370" s="746">
        <v>12</v>
      </c>
      <c r="AC370" s="743" t="s">
        <v>1312</v>
      </c>
      <c r="AD370" s="744">
        <v>39.299999999999997</v>
      </c>
      <c r="AE370" s="787" t="s">
        <v>435</v>
      </c>
      <c r="AF370">
        <f>GDF_price_list[[#This Row],[Indicative 
FCA Price]]/GDF_price_list[[#This Row],[Unit]]</f>
        <v>3.2749999999999999</v>
      </c>
    </row>
    <row r="371" spans="12:32" ht="17">
      <c r="L371" s="416"/>
      <c r="M371" s="416"/>
      <c r="N371" s="416"/>
      <c r="O371" s="439"/>
      <c r="P371" s="417"/>
      <c r="Q371" s="417"/>
      <c r="R371" s="417">
        <f>IFERROR(ROUND(Bunuri_lab_nomenc[[#This Row],[Cost unitate GFATM_valuta]]*VLOOKUP(Bunuri_lab_nomenc[[#This Row],[Valuta cost GFATM]],$B$58:$D$59,2,0),2),0)</f>
        <v>0</v>
      </c>
      <c r="S371" s="417" t="str">
        <f>IFERROR(VLOOKUP(Bunuri_lab_nomenc[[#This Row],[Denumire catalog GDF]],GDF_price_list[[Product Name]:[Column1]],8,0),"")</f>
        <v/>
      </c>
      <c r="T371" s="417" t="e">
        <f>VLOOKUP(Bunuri_lab_nomenc[[#This Row],[Denumire catalog GDF]],GDF_price_list[[Product Name]:[Column1]],7,0)</f>
        <v>#N/A</v>
      </c>
      <c r="V371" s="786" t="s">
        <v>638</v>
      </c>
      <c r="W371" s="738" t="s">
        <v>852</v>
      </c>
      <c r="X371" s="739">
        <v>106405</v>
      </c>
      <c r="Y371" s="740" t="s">
        <v>1376</v>
      </c>
      <c r="Z371" s="742" t="s">
        <v>610</v>
      </c>
      <c r="AA371" s="742" t="s">
        <v>1802</v>
      </c>
      <c r="AB371" s="742">
        <v>12</v>
      </c>
      <c r="AC371" s="743" t="s">
        <v>1377</v>
      </c>
      <c r="AD371" s="744">
        <v>24.27</v>
      </c>
      <c r="AE371" s="787" t="s">
        <v>435</v>
      </c>
      <c r="AF371">
        <f>GDF_price_list[[#This Row],[Indicative 
FCA Price]]/GDF_price_list[[#This Row],[Unit]]</f>
        <v>2.0225</v>
      </c>
    </row>
    <row r="372" spans="12:32" ht="17">
      <c r="L372" s="416"/>
      <c r="M372" s="416"/>
      <c r="N372" s="416"/>
      <c r="O372" s="439"/>
      <c r="P372" s="417"/>
      <c r="Q372" s="417"/>
      <c r="R372" s="417">
        <f>IFERROR(ROUND(Bunuri_lab_nomenc[[#This Row],[Cost unitate GFATM_valuta]]*VLOOKUP(Bunuri_lab_nomenc[[#This Row],[Valuta cost GFATM]],$B$58:$D$59,2,0),2),0)</f>
        <v>0</v>
      </c>
      <c r="S372" s="417" t="str">
        <f>IFERROR(VLOOKUP(Bunuri_lab_nomenc[[#This Row],[Denumire catalog GDF]],GDF_price_list[[Product Name]:[Column1]],8,0),"")</f>
        <v/>
      </c>
      <c r="T372" s="417" t="e">
        <f>VLOOKUP(Bunuri_lab_nomenc[[#This Row],[Denumire catalog GDF]],GDF_price_list[[Product Name]:[Column1]],7,0)</f>
        <v>#N/A</v>
      </c>
      <c r="V372" s="786" t="s">
        <v>638</v>
      </c>
      <c r="W372" s="738" t="s">
        <v>852</v>
      </c>
      <c r="X372" s="739">
        <v>106404</v>
      </c>
      <c r="Y372" s="740" t="s">
        <v>1378</v>
      </c>
      <c r="Z372" s="742" t="s">
        <v>610</v>
      </c>
      <c r="AA372" s="742" t="s">
        <v>1802</v>
      </c>
      <c r="AB372" s="742">
        <v>12</v>
      </c>
      <c r="AC372" s="743" t="s">
        <v>1379</v>
      </c>
      <c r="AD372" s="744">
        <v>24.27</v>
      </c>
      <c r="AE372" s="787" t="s">
        <v>435</v>
      </c>
      <c r="AF372">
        <f>GDF_price_list[[#This Row],[Indicative 
FCA Price]]/GDF_price_list[[#This Row],[Unit]]</f>
        <v>2.0225</v>
      </c>
    </row>
    <row r="373" spans="12:32" ht="17">
      <c r="L373" s="416"/>
      <c r="M373" s="416"/>
      <c r="N373" s="416"/>
      <c r="O373" s="439"/>
      <c r="P373" s="417"/>
      <c r="Q373" s="417"/>
      <c r="R373" s="417">
        <f>IFERROR(ROUND(Bunuri_lab_nomenc[[#This Row],[Cost unitate GFATM_valuta]]*VLOOKUP(Bunuri_lab_nomenc[[#This Row],[Valuta cost GFATM]],$B$58:$D$59,2,0),2),0)</f>
        <v>0</v>
      </c>
      <c r="S373" s="417" t="str">
        <f>IFERROR(VLOOKUP(Bunuri_lab_nomenc[[#This Row],[Denumire catalog GDF]],GDF_price_list[[Product Name]:[Column1]],8,0),"")</f>
        <v/>
      </c>
      <c r="T373" s="417" t="e">
        <f>VLOOKUP(Bunuri_lab_nomenc[[#This Row],[Denumire catalog GDF]],GDF_price_list[[Product Name]:[Column1]],7,0)</f>
        <v>#N/A</v>
      </c>
      <c r="V373" s="786" t="s">
        <v>638</v>
      </c>
      <c r="W373" s="738" t="s">
        <v>852</v>
      </c>
      <c r="X373" s="739">
        <v>106403</v>
      </c>
      <c r="Y373" s="740" t="s">
        <v>1380</v>
      </c>
      <c r="Z373" s="742" t="s">
        <v>610</v>
      </c>
      <c r="AA373" s="742" t="s">
        <v>1802</v>
      </c>
      <c r="AB373" s="742">
        <v>12</v>
      </c>
      <c r="AC373" s="743" t="s">
        <v>1381</v>
      </c>
      <c r="AD373" s="744">
        <v>24.27</v>
      </c>
      <c r="AE373" s="787" t="s">
        <v>435</v>
      </c>
      <c r="AF373">
        <f>GDF_price_list[[#This Row],[Indicative 
FCA Price]]/GDF_price_list[[#This Row],[Unit]]</f>
        <v>2.0225</v>
      </c>
    </row>
    <row r="374" spans="12:32" ht="17">
      <c r="L374" s="416"/>
      <c r="M374" s="416"/>
      <c r="N374" s="416"/>
      <c r="O374" s="439"/>
      <c r="P374" s="417"/>
      <c r="Q374" s="417"/>
      <c r="R374" s="417">
        <f>IFERROR(ROUND(Bunuri_lab_nomenc[[#This Row],[Cost unitate GFATM_valuta]]*VLOOKUP(Bunuri_lab_nomenc[[#This Row],[Valuta cost GFATM]],$B$58:$D$59,2,0),2),0)</f>
        <v>0</v>
      </c>
      <c r="S374" s="417" t="str">
        <f>IFERROR(VLOOKUP(Bunuri_lab_nomenc[[#This Row],[Denumire catalog GDF]],GDF_price_list[[Product Name]:[Column1]],8,0),"")</f>
        <v/>
      </c>
      <c r="T374" s="417" t="e">
        <f>VLOOKUP(Bunuri_lab_nomenc[[#This Row],[Denumire catalog GDF]],GDF_price_list[[Product Name]:[Column1]],7,0)</f>
        <v>#N/A</v>
      </c>
      <c r="V374" s="786" t="s">
        <v>648</v>
      </c>
      <c r="W374" s="738" t="s">
        <v>649</v>
      </c>
      <c r="X374" s="749">
        <v>106606</v>
      </c>
      <c r="Y374" s="750" t="s">
        <v>1781</v>
      </c>
      <c r="Z374" s="755" t="s">
        <v>610</v>
      </c>
      <c r="AA374" s="742" t="s">
        <v>1802</v>
      </c>
      <c r="AB374" s="751">
        <v>12</v>
      </c>
      <c r="AC374" s="756" t="s">
        <v>1782</v>
      </c>
      <c r="AD374" s="752">
        <v>67.03</v>
      </c>
      <c r="AE374" s="789" t="s">
        <v>435</v>
      </c>
      <c r="AF374">
        <f>GDF_price_list[[#This Row],[Indicative 
FCA Price]]/GDF_price_list[[#This Row],[Unit]]</f>
        <v>5.5858333333333334</v>
      </c>
    </row>
    <row r="375" spans="12:32" ht="51">
      <c r="L375" s="416"/>
      <c r="M375" s="416"/>
      <c r="N375" s="416"/>
      <c r="O375" s="439"/>
      <c r="P375" s="417"/>
      <c r="Q375" s="417"/>
      <c r="R375" s="417">
        <f>IFERROR(ROUND(Bunuri_lab_nomenc[[#This Row],[Cost unitate GFATM_valuta]]*VLOOKUP(Bunuri_lab_nomenc[[#This Row],[Valuta cost GFATM]],$B$58:$D$59,2,0),2),0)</f>
        <v>0</v>
      </c>
      <c r="S375" s="417" t="str">
        <f>IFERROR(VLOOKUP(Bunuri_lab_nomenc[[#This Row],[Denumire catalog GDF]],GDF_price_list[[Product Name]:[Column1]],8,0),"")</f>
        <v/>
      </c>
      <c r="T375" s="417" t="e">
        <f>VLOOKUP(Bunuri_lab_nomenc[[#This Row],[Denumire catalog GDF]],GDF_price_list[[Product Name]:[Column1]],7,0)</f>
        <v>#N/A</v>
      </c>
      <c r="V375" s="786" t="s">
        <v>666</v>
      </c>
      <c r="W375" s="738" t="s">
        <v>685</v>
      </c>
      <c r="X375" s="766">
        <v>106272</v>
      </c>
      <c r="Y375" s="767" t="s">
        <v>766</v>
      </c>
      <c r="Z375" s="742" t="s">
        <v>673</v>
      </c>
      <c r="AA375" s="742" t="s">
        <v>1802</v>
      </c>
      <c r="AB375" s="768">
        <v>17</v>
      </c>
      <c r="AC375" s="767" t="s">
        <v>767</v>
      </c>
      <c r="AD375" s="753">
        <v>155.75</v>
      </c>
      <c r="AE375" s="790" t="s">
        <v>435</v>
      </c>
      <c r="AF375">
        <f>GDF_price_list[[#This Row],[Indicative 
FCA Price]]/GDF_price_list[[#This Row],[Unit]]</f>
        <v>9.1617647058823533</v>
      </c>
    </row>
    <row r="376" spans="12:32" ht="17">
      <c r="L376" s="416"/>
      <c r="M376" s="416"/>
      <c r="N376" s="416"/>
      <c r="O376" s="439"/>
      <c r="P376" s="417"/>
      <c r="Q376" s="417"/>
      <c r="R376" s="417">
        <f>IFERROR(ROUND(Bunuri_lab_nomenc[[#This Row],[Cost unitate GFATM_valuta]]*VLOOKUP(Bunuri_lab_nomenc[[#This Row],[Valuta cost GFATM]],$B$58:$D$59,2,0),2),0)</f>
        <v>0</v>
      </c>
      <c r="S376" s="417" t="str">
        <f>IFERROR(VLOOKUP(Bunuri_lab_nomenc[[#This Row],[Denumire catalog GDF]],GDF_price_list[[Product Name]:[Column1]],8,0),"")</f>
        <v/>
      </c>
      <c r="T376" s="417" t="e">
        <f>VLOOKUP(Bunuri_lab_nomenc[[#This Row],[Denumire catalog GDF]],GDF_price_list[[Product Name]:[Column1]],7,0)</f>
        <v>#N/A</v>
      </c>
      <c r="V376" s="786" t="s">
        <v>638</v>
      </c>
      <c r="W376" s="738" t="s">
        <v>852</v>
      </c>
      <c r="X376" s="739">
        <v>106437</v>
      </c>
      <c r="Y376" s="740" t="s">
        <v>1644</v>
      </c>
      <c r="Z376" s="742" t="s">
        <v>610</v>
      </c>
      <c r="AA376" s="742" t="s">
        <v>1802</v>
      </c>
      <c r="AB376" s="742">
        <v>20</v>
      </c>
      <c r="AC376" s="743" t="s">
        <v>1645</v>
      </c>
      <c r="AD376" s="744">
        <v>60.75</v>
      </c>
      <c r="AE376" s="787" t="s">
        <v>435</v>
      </c>
      <c r="AF376">
        <f>GDF_price_list[[#This Row],[Indicative 
FCA Price]]/GDF_price_list[[#This Row],[Unit]]</f>
        <v>3.0375000000000001</v>
      </c>
    </row>
    <row r="377" spans="12:32" ht="17">
      <c r="L377" s="416"/>
      <c r="M377" s="416"/>
      <c r="N377" s="416"/>
      <c r="O377" s="439"/>
      <c r="P377" s="417"/>
      <c r="Q377" s="417"/>
      <c r="R377" s="417">
        <f>IFERROR(ROUND(Bunuri_lab_nomenc[[#This Row],[Cost unitate GFATM_valuta]]*VLOOKUP(Bunuri_lab_nomenc[[#This Row],[Valuta cost GFATM]],$B$58:$D$59,2,0),2),0)</f>
        <v>0</v>
      </c>
      <c r="S377" s="417" t="str">
        <f>IFERROR(VLOOKUP(Bunuri_lab_nomenc[[#This Row],[Denumire catalog GDF]],GDF_price_list[[Product Name]:[Column1]],8,0),"")</f>
        <v/>
      </c>
      <c r="T377" s="417" t="e">
        <f>VLOOKUP(Bunuri_lab_nomenc[[#This Row],[Denumire catalog GDF]],GDF_price_list[[Product Name]:[Column1]],7,0)</f>
        <v>#N/A</v>
      </c>
      <c r="V377" s="786" t="s">
        <v>638</v>
      </c>
      <c r="W377" s="738" t="s">
        <v>852</v>
      </c>
      <c r="X377" s="739">
        <v>106436</v>
      </c>
      <c r="Y377" s="740" t="s">
        <v>1646</v>
      </c>
      <c r="Z377" s="742" t="s">
        <v>610</v>
      </c>
      <c r="AA377" s="742" t="s">
        <v>1802</v>
      </c>
      <c r="AB377" s="742">
        <v>20</v>
      </c>
      <c r="AC377" s="743" t="s">
        <v>1645</v>
      </c>
      <c r="AD377" s="744">
        <v>59.46</v>
      </c>
      <c r="AE377" s="787" t="s">
        <v>435</v>
      </c>
      <c r="AF377">
        <f>GDF_price_list[[#This Row],[Indicative 
FCA Price]]/GDF_price_list[[#This Row],[Unit]]</f>
        <v>2.9729999999999999</v>
      </c>
    </row>
    <row r="378" spans="12:32" ht="17">
      <c r="L378" s="416"/>
      <c r="M378" s="416"/>
      <c r="N378" s="416"/>
      <c r="O378" s="439"/>
      <c r="P378" s="417"/>
      <c r="Q378" s="417"/>
      <c r="R378" s="417">
        <f>IFERROR(ROUND(Bunuri_lab_nomenc[[#This Row],[Cost unitate GFATM_valuta]]*VLOOKUP(Bunuri_lab_nomenc[[#This Row],[Valuta cost GFATM]],$B$58:$D$59,2,0),2),0)</f>
        <v>0</v>
      </c>
      <c r="S378" s="417" t="str">
        <f>IFERROR(VLOOKUP(Bunuri_lab_nomenc[[#This Row],[Denumire catalog GDF]],GDF_price_list[[Product Name]:[Column1]],8,0),"")</f>
        <v/>
      </c>
      <c r="T378" s="417" t="e">
        <f>VLOOKUP(Bunuri_lab_nomenc[[#This Row],[Denumire catalog GDF]],GDF_price_list[[Product Name]:[Column1]],7,0)</f>
        <v>#N/A</v>
      </c>
      <c r="V378" s="786" t="s">
        <v>638</v>
      </c>
      <c r="W378" s="738" t="s">
        <v>852</v>
      </c>
      <c r="X378" s="739">
        <v>106435</v>
      </c>
      <c r="Y378" s="740" t="s">
        <v>1647</v>
      </c>
      <c r="Z378" s="742" t="s">
        <v>610</v>
      </c>
      <c r="AA378" s="742" t="s">
        <v>1802</v>
      </c>
      <c r="AB378" s="742">
        <v>20</v>
      </c>
      <c r="AC378" s="743" t="s">
        <v>1645</v>
      </c>
      <c r="AD378" s="744">
        <v>57.84</v>
      </c>
      <c r="AE378" s="787" t="s">
        <v>435</v>
      </c>
      <c r="AF378">
        <f>GDF_price_list[[#This Row],[Indicative 
FCA Price]]/GDF_price_list[[#This Row],[Unit]]</f>
        <v>2.8920000000000003</v>
      </c>
    </row>
    <row r="379" spans="12:32" ht="17">
      <c r="L379" s="416"/>
      <c r="M379" s="416"/>
      <c r="N379" s="416"/>
      <c r="O379" s="439"/>
      <c r="P379" s="417"/>
      <c r="Q379" s="417"/>
      <c r="R379" s="417">
        <f>IFERROR(ROUND(Bunuri_lab_nomenc[[#This Row],[Cost unitate GFATM_valuta]]*VLOOKUP(Bunuri_lab_nomenc[[#This Row],[Valuta cost GFATM]],$B$58:$D$59,2,0),2),0)</f>
        <v>0</v>
      </c>
      <c r="S379" s="417" t="str">
        <f>IFERROR(VLOOKUP(Bunuri_lab_nomenc[[#This Row],[Denumire catalog GDF]],GDF_price_list[[Product Name]:[Column1]],8,0),"")</f>
        <v/>
      </c>
      <c r="T379" s="417" t="e">
        <f>VLOOKUP(Bunuri_lab_nomenc[[#This Row],[Denumire catalog GDF]],GDF_price_list[[Product Name]:[Column1]],7,0)</f>
        <v>#N/A</v>
      </c>
      <c r="V379" s="786" t="s">
        <v>666</v>
      </c>
      <c r="W379" s="738" t="s">
        <v>685</v>
      </c>
      <c r="X379" s="739">
        <v>106036</v>
      </c>
      <c r="Y379" s="740" t="s">
        <v>736</v>
      </c>
      <c r="Z379" s="742" t="s">
        <v>673</v>
      </c>
      <c r="AA379" s="742" t="s">
        <v>1802</v>
      </c>
      <c r="AB379" s="742">
        <v>25</v>
      </c>
      <c r="AC379" s="743" t="s">
        <v>737</v>
      </c>
      <c r="AD379" s="753">
        <v>53.55</v>
      </c>
      <c r="AE379" s="790" t="s">
        <v>435</v>
      </c>
      <c r="AF379">
        <f>GDF_price_list[[#This Row],[Indicative 
FCA Price]]/GDF_price_list[[#This Row],[Unit]]</f>
        <v>2.1419999999999999</v>
      </c>
    </row>
    <row r="380" spans="12:32" ht="17">
      <c r="L380" s="416"/>
      <c r="M380" s="416"/>
      <c r="N380" s="416"/>
      <c r="O380" s="439"/>
      <c r="P380" s="417"/>
      <c r="Q380" s="417"/>
      <c r="R380" s="417">
        <f>IFERROR(ROUND(Bunuri_lab_nomenc[[#This Row],[Cost unitate GFATM_valuta]]*VLOOKUP(Bunuri_lab_nomenc[[#This Row],[Valuta cost GFATM]],$B$58:$D$59,2,0),2),0)</f>
        <v>0</v>
      </c>
      <c r="S380" s="417" t="str">
        <f>IFERROR(VLOOKUP(Bunuri_lab_nomenc[[#This Row],[Denumire catalog GDF]],GDF_price_list[[Product Name]:[Column1]],8,0),"")</f>
        <v/>
      </c>
      <c r="T380" s="417" t="e">
        <f>VLOOKUP(Bunuri_lab_nomenc[[#This Row],[Denumire catalog GDF]],GDF_price_list[[Product Name]:[Column1]],7,0)</f>
        <v>#N/A</v>
      </c>
      <c r="V380" s="786" t="s">
        <v>638</v>
      </c>
      <c r="W380" s="738" t="s">
        <v>899</v>
      </c>
      <c r="X380" s="745">
        <v>106253</v>
      </c>
      <c r="Y380" s="740" t="s">
        <v>1546</v>
      </c>
      <c r="Z380" s="742" t="s">
        <v>610</v>
      </c>
      <c r="AA380" s="742" t="s">
        <v>1802</v>
      </c>
      <c r="AB380" s="746">
        <v>30</v>
      </c>
      <c r="AC380" s="743" t="s">
        <v>1547</v>
      </c>
      <c r="AD380" s="744">
        <v>59.33</v>
      </c>
      <c r="AE380" s="787" t="s">
        <v>435</v>
      </c>
      <c r="AF380">
        <f>GDF_price_list[[#This Row],[Indicative 
FCA Price]]/GDF_price_list[[#This Row],[Unit]]</f>
        <v>1.9776666666666667</v>
      </c>
    </row>
    <row r="381" spans="12:32" ht="68">
      <c r="L381" s="416"/>
      <c r="M381" s="416"/>
      <c r="N381" s="416"/>
      <c r="O381" s="439"/>
      <c r="P381" s="417"/>
      <c r="Q381" s="417"/>
      <c r="R381" s="417">
        <f>IFERROR(ROUND(Bunuri_lab_nomenc[[#This Row],[Cost unitate GFATM_valuta]]*VLOOKUP(Bunuri_lab_nomenc[[#This Row],[Valuta cost GFATM]],$B$58:$D$59,2,0),2),0)</f>
        <v>0</v>
      </c>
      <c r="S381" s="417" t="str">
        <f>IFERROR(VLOOKUP(Bunuri_lab_nomenc[[#This Row],[Denumire catalog GDF]],GDF_price_list[[Product Name]:[Column1]],8,0),"")</f>
        <v/>
      </c>
      <c r="T381" s="417" t="e">
        <f>VLOOKUP(Bunuri_lab_nomenc[[#This Row],[Denumire catalog GDF]],GDF_price_list[[Product Name]:[Column1]],7,0)</f>
        <v>#N/A</v>
      </c>
      <c r="V381" s="786" t="s">
        <v>666</v>
      </c>
      <c r="W381" s="738" t="s">
        <v>685</v>
      </c>
      <c r="X381" s="739">
        <v>106028</v>
      </c>
      <c r="Y381" s="740" t="s">
        <v>728</v>
      </c>
      <c r="Z381" s="742" t="s">
        <v>673</v>
      </c>
      <c r="AA381" s="742" t="s">
        <v>1802</v>
      </c>
      <c r="AB381" s="742">
        <v>40</v>
      </c>
      <c r="AC381" s="743" t="s">
        <v>729</v>
      </c>
      <c r="AD381" s="753">
        <v>72.7</v>
      </c>
      <c r="AE381" s="790" t="s">
        <v>435</v>
      </c>
      <c r="AF381">
        <f>GDF_price_list[[#This Row],[Indicative 
FCA Price]]/GDF_price_list[[#This Row],[Unit]]</f>
        <v>1.8175000000000001</v>
      </c>
    </row>
    <row r="382" spans="12:32" ht="51">
      <c r="L382" s="416"/>
      <c r="M382" s="416"/>
      <c r="N382" s="416"/>
      <c r="O382" s="439"/>
      <c r="P382" s="417"/>
      <c r="Q382" s="417"/>
      <c r="R382" s="417">
        <f>IFERROR(ROUND(Bunuri_lab_nomenc[[#This Row],[Cost unitate GFATM_valuta]]*VLOOKUP(Bunuri_lab_nomenc[[#This Row],[Valuta cost GFATM]],$B$58:$D$59,2,0),2),0)</f>
        <v>0</v>
      </c>
      <c r="S382" s="417" t="str">
        <f>IFERROR(VLOOKUP(Bunuri_lab_nomenc[[#This Row],[Denumire catalog GDF]],GDF_price_list[[Product Name]:[Column1]],8,0),"")</f>
        <v/>
      </c>
      <c r="T382" s="417" t="e">
        <f>VLOOKUP(Bunuri_lab_nomenc[[#This Row],[Denumire catalog GDF]],GDF_price_list[[Product Name]:[Column1]],7,0)</f>
        <v>#N/A</v>
      </c>
      <c r="V382" s="786" t="s">
        <v>666</v>
      </c>
      <c r="W382" s="738" t="s">
        <v>685</v>
      </c>
      <c r="X382" s="739">
        <v>106033</v>
      </c>
      <c r="Y382" s="740" t="s">
        <v>734</v>
      </c>
      <c r="Z382" s="742" t="s">
        <v>673</v>
      </c>
      <c r="AA382" s="742" t="s">
        <v>1802</v>
      </c>
      <c r="AB382" s="742">
        <v>50</v>
      </c>
      <c r="AC382" s="743" t="s">
        <v>735</v>
      </c>
      <c r="AD382" s="753">
        <v>90.6</v>
      </c>
      <c r="AE382" s="790" t="s">
        <v>435</v>
      </c>
      <c r="AF382">
        <f>GDF_price_list[[#This Row],[Indicative 
FCA Price]]/GDF_price_list[[#This Row],[Unit]]</f>
        <v>1.8119999999999998</v>
      </c>
    </row>
    <row r="383" spans="12:32" ht="17">
      <c r="L383" s="416"/>
      <c r="M383" s="416"/>
      <c r="N383" s="416"/>
      <c r="O383" s="439"/>
      <c r="P383" s="417"/>
      <c r="Q383" s="417"/>
      <c r="R383" s="417">
        <f>IFERROR(ROUND(Bunuri_lab_nomenc[[#This Row],[Cost unitate GFATM_valuta]]*VLOOKUP(Bunuri_lab_nomenc[[#This Row],[Valuta cost GFATM]],$B$58:$D$59,2,0),2),0)</f>
        <v>0</v>
      </c>
      <c r="S383" s="417" t="str">
        <f>IFERROR(VLOOKUP(Bunuri_lab_nomenc[[#This Row],[Denumire catalog GDF]],GDF_price_list[[Product Name]:[Column1]],8,0),"")</f>
        <v/>
      </c>
      <c r="T383" s="417" t="e">
        <f>VLOOKUP(Bunuri_lab_nomenc[[#This Row],[Denumire catalog GDF]],GDF_price_list[[Product Name]:[Column1]],7,0)</f>
        <v>#N/A</v>
      </c>
      <c r="V383" s="786" t="s">
        <v>638</v>
      </c>
      <c r="W383" s="738" t="s">
        <v>852</v>
      </c>
      <c r="X383" s="739">
        <v>106551</v>
      </c>
      <c r="Y383" s="740" t="s">
        <v>919</v>
      </c>
      <c r="Z383" s="742" t="s">
        <v>610</v>
      </c>
      <c r="AA383" s="742" t="s">
        <v>1802</v>
      </c>
      <c r="AB383" s="746">
        <v>50</v>
      </c>
      <c r="AC383" s="743" t="s">
        <v>920</v>
      </c>
      <c r="AD383" s="744">
        <v>46.94</v>
      </c>
      <c r="AE383" s="787" t="s">
        <v>435</v>
      </c>
      <c r="AF383">
        <f>GDF_price_list[[#This Row],[Indicative 
FCA Price]]/GDF_price_list[[#This Row],[Unit]]</f>
        <v>0.93879999999999997</v>
      </c>
    </row>
    <row r="384" spans="12:32" ht="17">
      <c r="L384" s="416"/>
      <c r="M384" s="416"/>
      <c r="N384" s="416"/>
      <c r="O384" s="439"/>
      <c r="P384" s="417"/>
      <c r="Q384" s="417"/>
      <c r="R384" s="417">
        <f>IFERROR(ROUND(Bunuri_lab_nomenc[[#This Row],[Cost unitate GFATM_valuta]]*VLOOKUP(Bunuri_lab_nomenc[[#This Row],[Valuta cost GFATM]],$B$58:$D$59,2,0),2),0)</f>
        <v>0</v>
      </c>
      <c r="S384" s="417" t="str">
        <f>IFERROR(VLOOKUP(Bunuri_lab_nomenc[[#This Row],[Denumire catalog GDF]],GDF_price_list[[Product Name]:[Column1]],8,0),"")</f>
        <v/>
      </c>
      <c r="T384" s="417" t="e">
        <f>VLOOKUP(Bunuri_lab_nomenc[[#This Row],[Denumire catalog GDF]],GDF_price_list[[Product Name]:[Column1]],7,0)</f>
        <v>#N/A</v>
      </c>
      <c r="V384" s="786" t="s">
        <v>638</v>
      </c>
      <c r="W384" s="738" t="s">
        <v>852</v>
      </c>
      <c r="X384" s="739">
        <v>106552</v>
      </c>
      <c r="Y384" s="740" t="s">
        <v>921</v>
      </c>
      <c r="Z384" s="742" t="s">
        <v>610</v>
      </c>
      <c r="AA384" s="742" t="s">
        <v>1802</v>
      </c>
      <c r="AB384" s="742">
        <v>50</v>
      </c>
      <c r="AC384" s="743" t="s">
        <v>922</v>
      </c>
      <c r="AD384" s="744">
        <v>46.94</v>
      </c>
      <c r="AE384" s="787" t="s">
        <v>435</v>
      </c>
      <c r="AF384">
        <f>GDF_price_list[[#This Row],[Indicative 
FCA Price]]/GDF_price_list[[#This Row],[Unit]]</f>
        <v>0.93879999999999997</v>
      </c>
    </row>
    <row r="385" spans="12:32" ht="17">
      <c r="L385" s="416"/>
      <c r="M385" s="416"/>
      <c r="N385" s="416"/>
      <c r="O385" s="439"/>
      <c r="P385" s="417"/>
      <c r="Q385" s="417"/>
      <c r="R385" s="417">
        <f>IFERROR(ROUND(Bunuri_lab_nomenc[[#This Row],[Cost unitate GFATM_valuta]]*VLOOKUP(Bunuri_lab_nomenc[[#This Row],[Valuta cost GFATM]],$B$58:$D$59,2,0),2),0)</f>
        <v>0</v>
      </c>
      <c r="S385" s="417" t="str">
        <f>IFERROR(VLOOKUP(Bunuri_lab_nomenc[[#This Row],[Denumire catalog GDF]],GDF_price_list[[Product Name]:[Column1]],8,0),"")</f>
        <v/>
      </c>
      <c r="T385" s="417" t="e">
        <f>VLOOKUP(Bunuri_lab_nomenc[[#This Row],[Denumire catalog GDF]],GDF_price_list[[Product Name]:[Column1]],7,0)</f>
        <v>#N/A</v>
      </c>
      <c r="V385" s="786" t="s">
        <v>638</v>
      </c>
      <c r="W385" s="738" t="s">
        <v>852</v>
      </c>
      <c r="X385" s="739">
        <v>106553</v>
      </c>
      <c r="Y385" s="740" t="s">
        <v>923</v>
      </c>
      <c r="Z385" s="742" t="s">
        <v>610</v>
      </c>
      <c r="AA385" s="742" t="s">
        <v>1802</v>
      </c>
      <c r="AB385" s="742">
        <v>50</v>
      </c>
      <c r="AC385" s="743" t="s">
        <v>924</v>
      </c>
      <c r="AD385" s="744">
        <v>46.94</v>
      </c>
      <c r="AE385" s="787" t="s">
        <v>435</v>
      </c>
      <c r="AF385">
        <f>GDF_price_list[[#This Row],[Indicative 
FCA Price]]/GDF_price_list[[#This Row],[Unit]]</f>
        <v>0.93879999999999997</v>
      </c>
    </row>
    <row r="386" spans="12:32" ht="51">
      <c r="L386" s="416"/>
      <c r="M386" s="416"/>
      <c r="N386" s="416"/>
      <c r="O386" s="439"/>
      <c r="P386" s="417"/>
      <c r="Q386" s="417"/>
      <c r="R386" s="417">
        <f>IFERROR(ROUND(Bunuri_lab_nomenc[[#This Row],[Cost unitate GFATM_valuta]]*VLOOKUP(Bunuri_lab_nomenc[[#This Row],[Valuta cost GFATM]],$B$58:$D$59,2,0),2),0)</f>
        <v>0</v>
      </c>
      <c r="S386" s="417" t="str">
        <f>IFERROR(VLOOKUP(Bunuri_lab_nomenc[[#This Row],[Denumire catalog GDF]],GDF_price_list[[Product Name]:[Column1]],8,0),"")</f>
        <v/>
      </c>
      <c r="T386" s="417" t="e">
        <f>VLOOKUP(Bunuri_lab_nomenc[[#This Row],[Denumire catalog GDF]],GDF_price_list[[Product Name]:[Column1]],7,0)</f>
        <v>#N/A</v>
      </c>
      <c r="V386" s="786" t="s">
        <v>656</v>
      </c>
      <c r="W386" s="738" t="s">
        <v>657</v>
      </c>
      <c r="X386" s="739">
        <v>106668</v>
      </c>
      <c r="Y386" s="743" t="s">
        <v>1285</v>
      </c>
      <c r="Z386" s="742" t="s">
        <v>659</v>
      </c>
      <c r="AA386" s="742" t="s">
        <v>1802</v>
      </c>
      <c r="AB386" s="742">
        <v>50</v>
      </c>
      <c r="AC386" s="743" t="s">
        <v>1285</v>
      </c>
      <c r="AD386" s="744">
        <v>89</v>
      </c>
      <c r="AE386" s="787" t="s">
        <v>435</v>
      </c>
      <c r="AF386">
        <f>GDF_price_list[[#This Row],[Indicative 
FCA Price]]/GDF_price_list[[#This Row],[Unit]]</f>
        <v>1.78</v>
      </c>
    </row>
    <row r="387" spans="12:32" ht="17">
      <c r="L387" s="416"/>
      <c r="M387" s="416"/>
      <c r="N387" s="416"/>
      <c r="O387" s="439"/>
      <c r="P387" s="417"/>
      <c r="Q387" s="417"/>
      <c r="R387" s="417">
        <f>IFERROR(ROUND(Bunuri_lab_nomenc[[#This Row],[Cost unitate GFATM_valuta]]*VLOOKUP(Bunuri_lab_nomenc[[#This Row],[Valuta cost GFATM]],$B$58:$D$59,2,0),2),0)</f>
        <v>0</v>
      </c>
      <c r="S387" s="417" t="str">
        <f>IFERROR(VLOOKUP(Bunuri_lab_nomenc[[#This Row],[Denumire catalog GDF]],GDF_price_list[[Product Name]:[Column1]],8,0),"")</f>
        <v/>
      </c>
      <c r="T387" s="417" t="e">
        <f>VLOOKUP(Bunuri_lab_nomenc[[#This Row],[Denumire catalog GDF]],GDF_price_list[[Product Name]:[Column1]],7,0)</f>
        <v>#N/A</v>
      </c>
      <c r="V387" s="786" t="s">
        <v>612</v>
      </c>
      <c r="W387" s="738" t="s">
        <v>842</v>
      </c>
      <c r="X387" s="739">
        <v>106556</v>
      </c>
      <c r="Y387" s="740" t="s">
        <v>1665</v>
      </c>
      <c r="Z387" s="742" t="s">
        <v>610</v>
      </c>
      <c r="AA387" s="742" t="s">
        <v>1802</v>
      </c>
      <c r="AB387" s="742">
        <v>50</v>
      </c>
      <c r="AC387" s="743" t="s">
        <v>1666</v>
      </c>
      <c r="AD387" s="744">
        <v>7.56</v>
      </c>
      <c r="AE387" s="787" t="s">
        <v>435</v>
      </c>
      <c r="AF387">
        <f>GDF_price_list[[#This Row],[Indicative 
FCA Price]]/GDF_price_list[[#This Row],[Unit]]</f>
        <v>0.1512</v>
      </c>
    </row>
    <row r="388" spans="12:32" ht="17">
      <c r="L388" s="416"/>
      <c r="M388" s="416"/>
      <c r="N388" s="416"/>
      <c r="O388" s="439"/>
      <c r="P388" s="417"/>
      <c r="Q388" s="417"/>
      <c r="R388" s="417">
        <f>IFERROR(ROUND(Bunuri_lab_nomenc[[#This Row],[Cost unitate GFATM_valuta]]*VLOOKUP(Bunuri_lab_nomenc[[#This Row],[Valuta cost GFATM]],$B$58:$D$59,2,0),2),0)</f>
        <v>0</v>
      </c>
      <c r="S388" s="417" t="str">
        <f>IFERROR(VLOOKUP(Bunuri_lab_nomenc[[#This Row],[Denumire catalog GDF]],GDF_price_list[[Product Name]:[Column1]],8,0),"")</f>
        <v/>
      </c>
      <c r="T388" s="417" t="e">
        <f>VLOOKUP(Bunuri_lab_nomenc[[#This Row],[Denumire catalog GDF]],GDF_price_list[[Product Name]:[Column1]],7,0)</f>
        <v>#N/A</v>
      </c>
      <c r="V388" s="786" t="s">
        <v>666</v>
      </c>
      <c r="W388" s="738" t="s">
        <v>685</v>
      </c>
      <c r="X388" s="739">
        <v>106352</v>
      </c>
      <c r="Y388" s="740" t="s">
        <v>1671</v>
      </c>
      <c r="Z388" s="742" t="s">
        <v>610</v>
      </c>
      <c r="AA388" s="742" t="s">
        <v>1802</v>
      </c>
      <c r="AB388" s="742">
        <v>50</v>
      </c>
      <c r="AC388" s="743" t="s">
        <v>1672</v>
      </c>
      <c r="AD388" s="744">
        <v>120.87</v>
      </c>
      <c r="AE388" s="787" t="s">
        <v>435</v>
      </c>
      <c r="AF388">
        <f>GDF_price_list[[#This Row],[Indicative 
FCA Price]]/GDF_price_list[[#This Row],[Unit]]</f>
        <v>2.4174000000000002</v>
      </c>
    </row>
    <row r="389" spans="12:32" ht="17">
      <c r="L389" s="416"/>
      <c r="M389" s="416"/>
      <c r="N389" s="416"/>
      <c r="O389" s="439"/>
      <c r="P389" s="417"/>
      <c r="Q389" s="417"/>
      <c r="R389" s="417">
        <f>IFERROR(ROUND(Bunuri_lab_nomenc[[#This Row],[Cost unitate GFATM_valuta]]*VLOOKUP(Bunuri_lab_nomenc[[#This Row],[Valuta cost GFATM]],$B$58:$D$59,2,0),2),0)</f>
        <v>0</v>
      </c>
      <c r="S389" s="417" t="str">
        <f>IFERROR(VLOOKUP(Bunuri_lab_nomenc[[#This Row],[Denumire catalog GDF]],GDF_price_list[[Product Name]:[Column1]],8,0),"")</f>
        <v/>
      </c>
      <c r="T389" s="417" t="e">
        <f>VLOOKUP(Bunuri_lab_nomenc[[#This Row],[Denumire catalog GDF]],GDF_price_list[[Product Name]:[Column1]],7,0)</f>
        <v>#N/A</v>
      </c>
      <c r="V389" s="786" t="s">
        <v>666</v>
      </c>
      <c r="W389" s="738" t="s">
        <v>685</v>
      </c>
      <c r="X389" s="739">
        <v>106351</v>
      </c>
      <c r="Y389" s="740" t="s">
        <v>1673</v>
      </c>
      <c r="Z389" s="742" t="s">
        <v>610</v>
      </c>
      <c r="AA389" s="742" t="s">
        <v>1802</v>
      </c>
      <c r="AB389" s="742">
        <v>50</v>
      </c>
      <c r="AC389" s="743" t="s">
        <v>1674</v>
      </c>
      <c r="AD389" s="744">
        <v>3.61</v>
      </c>
      <c r="AE389" s="787" t="s">
        <v>435</v>
      </c>
      <c r="AF389">
        <f>GDF_price_list[[#This Row],[Indicative 
FCA Price]]/GDF_price_list[[#This Row],[Unit]]</f>
        <v>7.22E-2</v>
      </c>
    </row>
    <row r="390" spans="12:32" ht="17">
      <c r="L390" s="416"/>
      <c r="M390" s="416"/>
      <c r="N390" s="416"/>
      <c r="O390" s="439"/>
      <c r="P390" s="417"/>
      <c r="Q390" s="417"/>
      <c r="R390" s="417">
        <f>IFERROR(ROUND(Bunuri_lab_nomenc[[#This Row],[Cost unitate GFATM_valuta]]*VLOOKUP(Bunuri_lab_nomenc[[#This Row],[Valuta cost GFATM]],$B$58:$D$59,2,0),2),0)</f>
        <v>0</v>
      </c>
      <c r="S390" s="417" t="str">
        <f>IFERROR(VLOOKUP(Bunuri_lab_nomenc[[#This Row],[Denumire catalog GDF]],GDF_price_list[[Product Name]:[Column1]],8,0),"")</f>
        <v/>
      </c>
      <c r="T390" s="417" t="e">
        <f>VLOOKUP(Bunuri_lab_nomenc[[#This Row],[Denumire catalog GDF]],GDF_price_list[[Product Name]:[Column1]],7,0)</f>
        <v>#N/A</v>
      </c>
      <c r="V390" s="786" t="s">
        <v>666</v>
      </c>
      <c r="W390" s="738" t="s">
        <v>685</v>
      </c>
      <c r="X390" s="745">
        <v>106114</v>
      </c>
      <c r="Y390" s="740" t="s">
        <v>1149</v>
      </c>
      <c r="Z390" s="742" t="s">
        <v>610</v>
      </c>
      <c r="AA390" s="742" t="s">
        <v>1802</v>
      </c>
      <c r="AB390" s="746">
        <v>72</v>
      </c>
      <c r="AC390" s="743" t="s">
        <v>1150</v>
      </c>
      <c r="AD390" s="744">
        <v>95.31</v>
      </c>
      <c r="AE390" s="787" t="s">
        <v>435</v>
      </c>
      <c r="AF390">
        <f>GDF_price_list[[#This Row],[Indicative 
FCA Price]]/GDF_price_list[[#This Row],[Unit]]</f>
        <v>1.32375</v>
      </c>
    </row>
    <row r="391" spans="12:32" ht="17">
      <c r="L391" s="416"/>
      <c r="M391" s="416"/>
      <c r="N391" s="416"/>
      <c r="O391" s="439"/>
      <c r="P391" s="417"/>
      <c r="Q391" s="417"/>
      <c r="R391" s="417">
        <f>IFERROR(ROUND(Bunuri_lab_nomenc[[#This Row],[Cost unitate GFATM_valuta]]*VLOOKUP(Bunuri_lab_nomenc[[#This Row],[Valuta cost GFATM]],$B$58:$D$59,2,0),2),0)</f>
        <v>0</v>
      </c>
      <c r="S391" s="417" t="str">
        <f>IFERROR(VLOOKUP(Bunuri_lab_nomenc[[#This Row],[Denumire catalog GDF]],GDF_price_list[[Product Name]:[Column1]],8,0),"")</f>
        <v/>
      </c>
      <c r="T391" s="417" t="e">
        <f>VLOOKUP(Bunuri_lab_nomenc[[#This Row],[Denumire catalog GDF]],GDF_price_list[[Product Name]:[Column1]],7,0)</f>
        <v>#N/A</v>
      </c>
      <c r="V391" s="786" t="s">
        <v>607</v>
      </c>
      <c r="W391" s="738" t="s">
        <v>608</v>
      </c>
      <c r="X391" s="739">
        <v>106288</v>
      </c>
      <c r="Y391" s="740" t="s">
        <v>609</v>
      </c>
      <c r="Z391" s="741" t="s">
        <v>610</v>
      </c>
      <c r="AA391" s="742" t="s">
        <v>1802</v>
      </c>
      <c r="AB391" s="742">
        <v>100</v>
      </c>
      <c r="AC391" s="743" t="s">
        <v>611</v>
      </c>
      <c r="AD391" s="744">
        <v>36.67</v>
      </c>
      <c r="AE391" s="787" t="s">
        <v>435</v>
      </c>
      <c r="AF391">
        <f>GDF_price_list[[#This Row],[Indicative 
FCA Price]]/GDF_price_list[[#This Row],[Unit]]</f>
        <v>0.36670000000000003</v>
      </c>
    </row>
    <row r="392" spans="12:32" ht="68">
      <c r="L392" s="416"/>
      <c r="M392" s="416"/>
      <c r="N392" s="416"/>
      <c r="O392" s="439"/>
      <c r="P392" s="417"/>
      <c r="Q392" s="417"/>
      <c r="R392" s="417">
        <f>IFERROR(ROUND(Bunuri_lab_nomenc[[#This Row],[Cost unitate GFATM_valuta]]*VLOOKUP(Bunuri_lab_nomenc[[#This Row],[Valuta cost GFATM]],$B$58:$D$59,2,0),2),0)</f>
        <v>0</v>
      </c>
      <c r="S392" s="417" t="str">
        <f>IFERROR(VLOOKUP(Bunuri_lab_nomenc[[#This Row],[Denumire catalog GDF]],GDF_price_list[[Product Name]:[Column1]],8,0),"")</f>
        <v/>
      </c>
      <c r="T392" s="417" t="e">
        <f>VLOOKUP(Bunuri_lab_nomenc[[#This Row],[Denumire catalog GDF]],GDF_price_list[[Product Name]:[Column1]],7,0)</f>
        <v>#N/A</v>
      </c>
      <c r="V392" s="786" t="s">
        <v>666</v>
      </c>
      <c r="W392" s="738" t="s">
        <v>685</v>
      </c>
      <c r="X392" s="739">
        <v>106027</v>
      </c>
      <c r="Y392" s="740" t="s">
        <v>730</v>
      </c>
      <c r="Z392" s="742" t="s">
        <v>673</v>
      </c>
      <c r="AA392" s="742" t="s">
        <v>1802</v>
      </c>
      <c r="AB392" s="742">
        <v>100</v>
      </c>
      <c r="AC392" s="743" t="s">
        <v>731</v>
      </c>
      <c r="AD392" s="753">
        <v>70.8</v>
      </c>
      <c r="AE392" s="790" t="s">
        <v>435</v>
      </c>
      <c r="AF392">
        <f>GDF_price_list[[#This Row],[Indicative 
FCA Price]]/GDF_price_list[[#This Row],[Unit]]</f>
        <v>0.70799999999999996</v>
      </c>
    </row>
    <row r="393" spans="12:32" ht="68">
      <c r="L393" s="416"/>
      <c r="M393" s="416"/>
      <c r="N393" s="416"/>
      <c r="O393" s="439"/>
      <c r="P393" s="417"/>
      <c r="Q393" s="417"/>
      <c r="R393" s="417">
        <f>IFERROR(ROUND(Bunuri_lab_nomenc[[#This Row],[Cost unitate GFATM_valuta]]*VLOOKUP(Bunuri_lab_nomenc[[#This Row],[Valuta cost GFATM]],$B$58:$D$59,2,0),2),0)</f>
        <v>0</v>
      </c>
      <c r="S393" s="417" t="str">
        <f>IFERROR(VLOOKUP(Bunuri_lab_nomenc[[#This Row],[Denumire catalog GDF]],GDF_price_list[[Product Name]:[Column1]],8,0),"")</f>
        <v/>
      </c>
      <c r="T393" s="417" t="e">
        <f>VLOOKUP(Bunuri_lab_nomenc[[#This Row],[Denumire catalog GDF]],GDF_price_list[[Product Name]:[Column1]],7,0)</f>
        <v>#N/A</v>
      </c>
      <c r="V393" s="786" t="s">
        <v>666</v>
      </c>
      <c r="W393" s="738" t="s">
        <v>685</v>
      </c>
      <c r="X393" s="739">
        <v>106026</v>
      </c>
      <c r="Y393" s="740" t="s">
        <v>758</v>
      </c>
      <c r="Z393" s="742" t="s">
        <v>673</v>
      </c>
      <c r="AA393" s="742" t="s">
        <v>1802</v>
      </c>
      <c r="AB393" s="742">
        <v>100</v>
      </c>
      <c r="AC393" s="743" t="s">
        <v>759</v>
      </c>
      <c r="AD393" s="753">
        <v>195</v>
      </c>
      <c r="AE393" s="790" t="s">
        <v>435</v>
      </c>
      <c r="AF393">
        <f>GDF_price_list[[#This Row],[Indicative 
FCA Price]]/GDF_price_list[[#This Row],[Unit]]</f>
        <v>1.95</v>
      </c>
    </row>
    <row r="394" spans="12:32" ht="51">
      <c r="L394" s="416"/>
      <c r="M394" s="416"/>
      <c r="N394" s="416"/>
      <c r="O394" s="439"/>
      <c r="P394" s="417"/>
      <c r="Q394" s="417"/>
      <c r="R394" s="417">
        <f>IFERROR(ROUND(Bunuri_lab_nomenc[[#This Row],[Cost unitate GFATM_valuta]]*VLOOKUP(Bunuri_lab_nomenc[[#This Row],[Valuta cost GFATM]],$B$58:$D$59,2,0),2),0)</f>
        <v>0</v>
      </c>
      <c r="S394" s="417" t="str">
        <f>IFERROR(VLOOKUP(Bunuri_lab_nomenc[[#This Row],[Denumire catalog GDF]],GDF_price_list[[Product Name]:[Column1]],8,0),"")</f>
        <v/>
      </c>
      <c r="T394" s="417" t="e">
        <f>VLOOKUP(Bunuri_lab_nomenc[[#This Row],[Denumire catalog GDF]],GDF_price_list[[Product Name]:[Column1]],7,0)</f>
        <v>#N/A</v>
      </c>
      <c r="V394" s="786" t="s">
        <v>666</v>
      </c>
      <c r="W394" s="738" t="s">
        <v>768</v>
      </c>
      <c r="X394" s="745">
        <v>106038</v>
      </c>
      <c r="Y394" s="740" t="s">
        <v>769</v>
      </c>
      <c r="Z394" s="742" t="s">
        <v>673</v>
      </c>
      <c r="AA394" s="742" t="s">
        <v>1802</v>
      </c>
      <c r="AB394" s="742">
        <v>100</v>
      </c>
      <c r="AC394" s="743" t="s">
        <v>770</v>
      </c>
      <c r="AD394" s="753">
        <v>125</v>
      </c>
      <c r="AE394" s="790" t="s">
        <v>435</v>
      </c>
      <c r="AF394">
        <f>GDF_price_list[[#This Row],[Indicative 
FCA Price]]/GDF_price_list[[#This Row],[Unit]]</f>
        <v>1.25</v>
      </c>
    </row>
    <row r="395" spans="12:32" ht="34">
      <c r="L395" s="416"/>
      <c r="M395" s="416"/>
      <c r="N395" s="416"/>
      <c r="O395" s="439"/>
      <c r="P395" s="417"/>
      <c r="Q395" s="417"/>
      <c r="R395" s="417">
        <f>IFERROR(ROUND(Bunuri_lab_nomenc[[#This Row],[Cost unitate GFATM_valuta]]*VLOOKUP(Bunuri_lab_nomenc[[#This Row],[Valuta cost GFATM]],$B$58:$D$59,2,0),2),0)</f>
        <v>0</v>
      </c>
      <c r="S395" s="417" t="str">
        <f>IFERROR(VLOOKUP(Bunuri_lab_nomenc[[#This Row],[Denumire catalog GDF]],GDF_price_list[[Product Name]:[Column1]],8,0),"")</f>
        <v/>
      </c>
      <c r="T395" s="417" t="e">
        <f>VLOOKUP(Bunuri_lab_nomenc[[#This Row],[Denumire catalog GDF]],GDF_price_list[[Product Name]:[Column1]],7,0)</f>
        <v>#N/A</v>
      </c>
      <c r="V395" s="786" t="s">
        <v>666</v>
      </c>
      <c r="W395" s="738" t="s">
        <v>768</v>
      </c>
      <c r="X395" s="745">
        <v>106039</v>
      </c>
      <c r="Y395" s="743" t="s">
        <v>771</v>
      </c>
      <c r="Z395" s="742" t="s">
        <v>673</v>
      </c>
      <c r="AA395" s="742" t="s">
        <v>1802</v>
      </c>
      <c r="AB395" s="742">
        <v>100</v>
      </c>
      <c r="AC395" s="743" t="s">
        <v>772</v>
      </c>
      <c r="AD395" s="753">
        <v>90</v>
      </c>
      <c r="AE395" s="790" t="s">
        <v>435</v>
      </c>
      <c r="AF395">
        <f>GDF_price_list[[#This Row],[Indicative 
FCA Price]]/GDF_price_list[[#This Row],[Unit]]</f>
        <v>0.9</v>
      </c>
    </row>
    <row r="396" spans="12:32" ht="34">
      <c r="L396" s="416"/>
      <c r="M396" s="416"/>
      <c r="N396" s="416"/>
      <c r="O396" s="439"/>
      <c r="P396" s="417"/>
      <c r="Q396" s="417"/>
      <c r="R396" s="417">
        <f>IFERROR(ROUND(Bunuri_lab_nomenc[[#This Row],[Cost unitate GFATM_valuta]]*VLOOKUP(Bunuri_lab_nomenc[[#This Row],[Valuta cost GFATM]],$B$58:$D$59,2,0),2),0)</f>
        <v>0</v>
      </c>
      <c r="S396" s="417" t="str">
        <f>IFERROR(VLOOKUP(Bunuri_lab_nomenc[[#This Row],[Denumire catalog GDF]],GDF_price_list[[Product Name]:[Column1]],8,0),"")</f>
        <v/>
      </c>
      <c r="T396" s="417" t="e">
        <f>VLOOKUP(Bunuri_lab_nomenc[[#This Row],[Denumire catalog GDF]],GDF_price_list[[Product Name]:[Column1]],7,0)</f>
        <v>#N/A</v>
      </c>
      <c r="V396" s="786" t="s">
        <v>666</v>
      </c>
      <c r="W396" s="738" t="s">
        <v>793</v>
      </c>
      <c r="X396" s="739">
        <v>106338</v>
      </c>
      <c r="Y396" s="740" t="s">
        <v>794</v>
      </c>
      <c r="Z396" s="742" t="s">
        <v>610</v>
      </c>
      <c r="AA396" s="742" t="s">
        <v>1802</v>
      </c>
      <c r="AB396" s="742">
        <v>100</v>
      </c>
      <c r="AC396" s="743" t="s">
        <v>795</v>
      </c>
      <c r="AD396" s="744">
        <v>25.98</v>
      </c>
      <c r="AE396" s="787" t="s">
        <v>435</v>
      </c>
      <c r="AF396">
        <f>GDF_price_list[[#This Row],[Indicative 
FCA Price]]/GDF_price_list[[#This Row],[Unit]]</f>
        <v>0.25980000000000003</v>
      </c>
    </row>
    <row r="397" spans="12:32" ht="68">
      <c r="L397" s="416"/>
      <c r="M397" s="416"/>
      <c r="N397" s="416"/>
      <c r="O397" s="439"/>
      <c r="P397" s="417"/>
      <c r="Q397" s="417"/>
      <c r="R397" s="417">
        <f>IFERROR(ROUND(Bunuri_lab_nomenc[[#This Row],[Cost unitate GFATM_valuta]]*VLOOKUP(Bunuri_lab_nomenc[[#This Row],[Valuta cost GFATM]],$B$58:$D$59,2,0),2),0)</f>
        <v>0</v>
      </c>
      <c r="S397" s="417" t="str">
        <f>IFERROR(VLOOKUP(Bunuri_lab_nomenc[[#This Row],[Denumire catalog GDF]],GDF_price_list[[Product Name]:[Column1]],8,0),"")</f>
        <v/>
      </c>
      <c r="T397" s="417" t="e">
        <f>VLOOKUP(Bunuri_lab_nomenc[[#This Row],[Denumire catalog GDF]],GDF_price_list[[Product Name]:[Column1]],7,0)</f>
        <v>#N/A</v>
      </c>
      <c r="V397" s="786" t="s">
        <v>612</v>
      </c>
      <c r="W397" s="738" t="s">
        <v>842</v>
      </c>
      <c r="X397" s="739">
        <v>106398</v>
      </c>
      <c r="Y397" s="740" t="s">
        <v>843</v>
      </c>
      <c r="Z397" s="742" t="s">
        <v>610</v>
      </c>
      <c r="AA397" s="742" t="s">
        <v>1802</v>
      </c>
      <c r="AB397" s="742">
        <v>100</v>
      </c>
      <c r="AC397" s="743" t="s">
        <v>844</v>
      </c>
      <c r="AD397" s="744">
        <v>72.83</v>
      </c>
      <c r="AE397" s="787" t="s">
        <v>435</v>
      </c>
      <c r="AF397">
        <f>GDF_price_list[[#This Row],[Indicative 
FCA Price]]/GDF_price_list[[#This Row],[Unit]]</f>
        <v>0.72829999999999995</v>
      </c>
    </row>
    <row r="398" spans="12:32" ht="68">
      <c r="L398" s="416"/>
      <c r="M398" s="416"/>
      <c r="N398" s="416"/>
      <c r="O398" s="439"/>
      <c r="P398" s="417"/>
      <c r="Q398" s="417"/>
      <c r="R398" s="417">
        <f>IFERROR(ROUND(Bunuri_lab_nomenc[[#This Row],[Cost unitate GFATM_valuta]]*VLOOKUP(Bunuri_lab_nomenc[[#This Row],[Valuta cost GFATM]],$B$58:$D$59,2,0),2),0)</f>
        <v>0</v>
      </c>
      <c r="S398" s="417" t="str">
        <f>IFERROR(VLOOKUP(Bunuri_lab_nomenc[[#This Row],[Denumire catalog GDF]],GDF_price_list[[Product Name]:[Column1]],8,0),"")</f>
        <v/>
      </c>
      <c r="T398" s="417" t="e">
        <f>VLOOKUP(Bunuri_lab_nomenc[[#This Row],[Denumire catalog GDF]],GDF_price_list[[Product Name]:[Column1]],7,0)</f>
        <v>#N/A</v>
      </c>
      <c r="V398" s="786" t="s">
        <v>612</v>
      </c>
      <c r="W398" s="738" t="s">
        <v>842</v>
      </c>
      <c r="X398" s="739">
        <v>106396</v>
      </c>
      <c r="Y398" s="740" t="s">
        <v>845</v>
      </c>
      <c r="Z398" s="742" t="s">
        <v>610</v>
      </c>
      <c r="AA398" s="742" t="s">
        <v>1802</v>
      </c>
      <c r="AB398" s="742">
        <v>100</v>
      </c>
      <c r="AC398" s="743" t="s">
        <v>846</v>
      </c>
      <c r="AD398" s="744">
        <v>64.34</v>
      </c>
      <c r="AE398" s="787" t="s">
        <v>435</v>
      </c>
      <c r="AF398">
        <f>GDF_price_list[[#This Row],[Indicative 
FCA Price]]/GDF_price_list[[#This Row],[Unit]]</f>
        <v>0.64340000000000008</v>
      </c>
    </row>
    <row r="399" spans="12:32" ht="17">
      <c r="L399" s="416"/>
      <c r="M399" s="416"/>
      <c r="N399" s="416"/>
      <c r="O399" s="439"/>
      <c r="P399" s="417"/>
      <c r="Q399" s="417"/>
      <c r="R399" s="417">
        <f>IFERROR(ROUND(Bunuri_lab_nomenc[[#This Row],[Cost unitate GFATM_valuta]]*VLOOKUP(Bunuri_lab_nomenc[[#This Row],[Valuta cost GFATM]],$B$58:$D$59,2,0),2),0)</f>
        <v>0</v>
      </c>
      <c r="S399" s="417" t="str">
        <f>IFERROR(VLOOKUP(Bunuri_lab_nomenc[[#This Row],[Denumire catalog GDF]],GDF_price_list[[Product Name]:[Column1]],8,0),"")</f>
        <v/>
      </c>
      <c r="T399" s="417" t="e">
        <f>VLOOKUP(Bunuri_lab_nomenc[[#This Row],[Denumire catalog GDF]],GDF_price_list[[Product Name]:[Column1]],7,0)</f>
        <v>#N/A</v>
      </c>
      <c r="V399" s="786" t="s">
        <v>638</v>
      </c>
      <c r="W399" s="738" t="s">
        <v>852</v>
      </c>
      <c r="X399" s="745">
        <v>106499</v>
      </c>
      <c r="Y399" s="740" t="s">
        <v>925</v>
      </c>
      <c r="Z399" s="742" t="s">
        <v>610</v>
      </c>
      <c r="AA399" s="742" t="s">
        <v>1802</v>
      </c>
      <c r="AB399" s="742">
        <v>100</v>
      </c>
      <c r="AC399" s="743" t="s">
        <v>926</v>
      </c>
      <c r="AD399" s="744">
        <v>15.92</v>
      </c>
      <c r="AE399" s="787" t="s">
        <v>435</v>
      </c>
      <c r="AF399">
        <f>GDF_price_list[[#This Row],[Indicative 
FCA Price]]/GDF_price_list[[#This Row],[Unit]]</f>
        <v>0.15920000000000001</v>
      </c>
    </row>
    <row r="400" spans="12:32" ht="17">
      <c r="L400" s="416"/>
      <c r="M400" s="416"/>
      <c r="N400" s="416"/>
      <c r="O400" s="439"/>
      <c r="P400" s="417"/>
      <c r="Q400" s="417"/>
      <c r="R400" s="417">
        <f>IFERROR(ROUND(Bunuri_lab_nomenc[[#This Row],[Cost unitate GFATM_valuta]]*VLOOKUP(Bunuri_lab_nomenc[[#This Row],[Valuta cost GFATM]],$B$58:$D$59,2,0),2),0)</f>
        <v>0</v>
      </c>
      <c r="S400" s="417" t="str">
        <f>IFERROR(VLOOKUP(Bunuri_lab_nomenc[[#This Row],[Denumire catalog GDF]],GDF_price_list[[Product Name]:[Column1]],8,0),"")</f>
        <v/>
      </c>
      <c r="T400" s="417" t="e">
        <f>VLOOKUP(Bunuri_lab_nomenc[[#This Row],[Denumire catalog GDF]],GDF_price_list[[Product Name]:[Column1]],7,0)</f>
        <v>#N/A</v>
      </c>
      <c r="V400" s="786" t="s">
        <v>638</v>
      </c>
      <c r="W400" s="738" t="s">
        <v>852</v>
      </c>
      <c r="X400" s="745">
        <v>106498</v>
      </c>
      <c r="Y400" s="740" t="s">
        <v>927</v>
      </c>
      <c r="Z400" s="742" t="s">
        <v>610</v>
      </c>
      <c r="AA400" s="742" t="s">
        <v>1802</v>
      </c>
      <c r="AB400" s="742">
        <v>100</v>
      </c>
      <c r="AC400" s="743" t="s">
        <v>928</v>
      </c>
      <c r="AD400" s="744">
        <v>15.92</v>
      </c>
      <c r="AE400" s="787" t="s">
        <v>435</v>
      </c>
      <c r="AF400">
        <f>GDF_price_list[[#This Row],[Indicative 
FCA Price]]/GDF_price_list[[#This Row],[Unit]]</f>
        <v>0.15920000000000001</v>
      </c>
    </row>
    <row r="401" spans="12:32" ht="17">
      <c r="L401" s="416"/>
      <c r="M401" s="416"/>
      <c r="N401" s="416"/>
      <c r="O401" s="439"/>
      <c r="P401" s="417"/>
      <c r="Q401" s="417"/>
      <c r="R401" s="417">
        <f>IFERROR(ROUND(Bunuri_lab_nomenc[[#This Row],[Cost unitate GFATM_valuta]]*VLOOKUP(Bunuri_lab_nomenc[[#This Row],[Valuta cost GFATM]],$B$58:$D$59,2,0),2),0)</f>
        <v>0</v>
      </c>
      <c r="S401" s="417" t="str">
        <f>IFERROR(VLOOKUP(Bunuri_lab_nomenc[[#This Row],[Denumire catalog GDF]],GDF_price_list[[Product Name]:[Column1]],8,0),"")</f>
        <v/>
      </c>
      <c r="T401" s="417" t="e">
        <f>VLOOKUP(Bunuri_lab_nomenc[[#This Row],[Denumire catalog GDF]],GDF_price_list[[Product Name]:[Column1]],7,0)</f>
        <v>#N/A</v>
      </c>
      <c r="V401" s="786" t="s">
        <v>638</v>
      </c>
      <c r="W401" s="738" t="s">
        <v>852</v>
      </c>
      <c r="X401" s="745">
        <v>106497</v>
      </c>
      <c r="Y401" s="740" t="s">
        <v>929</v>
      </c>
      <c r="Z401" s="742" t="s">
        <v>610</v>
      </c>
      <c r="AA401" s="742" t="s">
        <v>1802</v>
      </c>
      <c r="AB401" s="742">
        <v>100</v>
      </c>
      <c r="AC401" s="743" t="s">
        <v>930</v>
      </c>
      <c r="AD401" s="744">
        <v>15.92</v>
      </c>
      <c r="AE401" s="787" t="s">
        <v>435</v>
      </c>
      <c r="AF401">
        <f>GDF_price_list[[#This Row],[Indicative 
FCA Price]]/GDF_price_list[[#This Row],[Unit]]</f>
        <v>0.15920000000000001</v>
      </c>
    </row>
    <row r="402" spans="12:32" ht="17">
      <c r="L402" s="416"/>
      <c r="M402" s="416"/>
      <c r="N402" s="416"/>
      <c r="O402" s="439"/>
      <c r="P402" s="417"/>
      <c r="Q402" s="417"/>
      <c r="R402" s="417">
        <f>IFERROR(ROUND(Bunuri_lab_nomenc[[#This Row],[Cost unitate GFATM_valuta]]*VLOOKUP(Bunuri_lab_nomenc[[#This Row],[Valuta cost GFATM]],$B$58:$D$59,2,0),2),0)</f>
        <v>0</v>
      </c>
      <c r="S402" s="417" t="str">
        <f>IFERROR(VLOOKUP(Bunuri_lab_nomenc[[#This Row],[Denumire catalog GDF]],GDF_price_list[[Product Name]:[Column1]],8,0),"")</f>
        <v/>
      </c>
      <c r="T402" s="417" t="e">
        <f>VLOOKUP(Bunuri_lab_nomenc[[#This Row],[Denumire catalog GDF]],GDF_price_list[[Product Name]:[Column1]],7,0)</f>
        <v>#N/A</v>
      </c>
      <c r="V402" s="786" t="s">
        <v>666</v>
      </c>
      <c r="W402" s="738" t="s">
        <v>793</v>
      </c>
      <c r="X402" s="745">
        <v>106098</v>
      </c>
      <c r="Y402" s="740" t="s">
        <v>1290</v>
      </c>
      <c r="Z402" s="742" t="s">
        <v>610</v>
      </c>
      <c r="AA402" s="742" t="s">
        <v>1802</v>
      </c>
      <c r="AB402" s="746">
        <v>100</v>
      </c>
      <c r="AC402" s="743" t="s">
        <v>1291</v>
      </c>
      <c r="AD402" s="744">
        <v>46.21</v>
      </c>
      <c r="AE402" s="787" t="s">
        <v>435</v>
      </c>
      <c r="AF402">
        <f>GDF_price_list[[#This Row],[Indicative 
FCA Price]]/GDF_price_list[[#This Row],[Unit]]</f>
        <v>0.46210000000000001</v>
      </c>
    </row>
    <row r="403" spans="12:32" ht="34">
      <c r="L403" s="416"/>
      <c r="M403" s="416"/>
      <c r="N403" s="416"/>
      <c r="O403" s="439"/>
      <c r="P403" s="417"/>
      <c r="Q403" s="417"/>
      <c r="R403" s="417">
        <f>IFERROR(ROUND(Bunuri_lab_nomenc[[#This Row],[Cost unitate GFATM_valuta]]*VLOOKUP(Bunuri_lab_nomenc[[#This Row],[Valuta cost GFATM]],$B$58:$D$59,2,0),2),0)</f>
        <v>0</v>
      </c>
      <c r="S403" s="417" t="str">
        <f>IFERROR(VLOOKUP(Bunuri_lab_nomenc[[#This Row],[Denumire catalog GDF]],GDF_price_list[[Product Name]:[Column1]],8,0),"")</f>
        <v/>
      </c>
      <c r="T403" s="417" t="e">
        <f>VLOOKUP(Bunuri_lab_nomenc[[#This Row],[Denumire catalog GDF]],GDF_price_list[[Product Name]:[Column1]],7,0)</f>
        <v>#N/A</v>
      </c>
      <c r="V403" s="786" t="s">
        <v>638</v>
      </c>
      <c r="W403" s="738" t="s">
        <v>639</v>
      </c>
      <c r="X403" s="739">
        <v>106399</v>
      </c>
      <c r="Y403" s="740" t="s">
        <v>1416</v>
      </c>
      <c r="Z403" s="742" t="s">
        <v>610</v>
      </c>
      <c r="AA403" s="742" t="s">
        <v>1802</v>
      </c>
      <c r="AB403" s="742">
        <v>100</v>
      </c>
      <c r="AC403" s="743" t="s">
        <v>1417</v>
      </c>
      <c r="AD403" s="744">
        <v>7.89</v>
      </c>
      <c r="AE403" s="787" t="s">
        <v>435</v>
      </c>
      <c r="AF403">
        <f>GDF_price_list[[#This Row],[Indicative 
FCA Price]]/GDF_price_list[[#This Row],[Unit]]</f>
        <v>7.8899999999999998E-2</v>
      </c>
    </row>
    <row r="404" spans="12:32" ht="17">
      <c r="L404" s="416"/>
      <c r="M404" s="416"/>
      <c r="N404" s="416"/>
      <c r="O404" s="439"/>
      <c r="P404" s="417"/>
      <c r="Q404" s="417"/>
      <c r="R404" s="417">
        <f>IFERROR(ROUND(Bunuri_lab_nomenc[[#This Row],[Cost unitate GFATM_valuta]]*VLOOKUP(Bunuri_lab_nomenc[[#This Row],[Valuta cost GFATM]],$B$58:$D$59,2,0),2),0)</f>
        <v>0</v>
      </c>
      <c r="S404" s="417" t="str">
        <f>IFERROR(VLOOKUP(Bunuri_lab_nomenc[[#This Row],[Denumire catalog GDF]],GDF_price_list[[Product Name]:[Column1]],8,0),"")</f>
        <v/>
      </c>
      <c r="T404" s="417" t="e">
        <f>VLOOKUP(Bunuri_lab_nomenc[[#This Row],[Denumire catalog GDF]],GDF_price_list[[Product Name]:[Column1]],7,0)</f>
        <v>#N/A</v>
      </c>
      <c r="V404" s="786" t="s">
        <v>666</v>
      </c>
      <c r="W404" s="738" t="s">
        <v>685</v>
      </c>
      <c r="X404" s="739">
        <v>106181</v>
      </c>
      <c r="Y404" s="740" t="s">
        <v>1642</v>
      </c>
      <c r="Z404" s="742" t="s">
        <v>610</v>
      </c>
      <c r="AA404" s="742" t="s">
        <v>1802</v>
      </c>
      <c r="AB404" s="742">
        <v>100</v>
      </c>
      <c r="AC404" s="743" t="s">
        <v>1643</v>
      </c>
      <c r="AD404" s="744">
        <v>197.34</v>
      </c>
      <c r="AE404" s="787" t="s">
        <v>435</v>
      </c>
      <c r="AF404">
        <f>GDF_price_list[[#This Row],[Indicative 
FCA Price]]/GDF_price_list[[#This Row],[Unit]]</f>
        <v>1.9734</v>
      </c>
    </row>
    <row r="405" spans="12:32" ht="51">
      <c r="L405" s="416"/>
      <c r="M405" s="416"/>
      <c r="N405" s="416"/>
      <c r="O405" s="439"/>
      <c r="P405" s="417"/>
      <c r="Q405" s="417"/>
      <c r="R405" s="417">
        <f>IFERROR(ROUND(Bunuri_lab_nomenc[[#This Row],[Cost unitate GFATM_valuta]]*VLOOKUP(Bunuri_lab_nomenc[[#This Row],[Valuta cost GFATM]],$B$58:$D$59,2,0),2),0)</f>
        <v>0</v>
      </c>
      <c r="S405" s="417" t="str">
        <f>IFERROR(VLOOKUP(Bunuri_lab_nomenc[[#This Row],[Denumire catalog GDF]],GDF_price_list[[Product Name]:[Column1]],8,0),"")</f>
        <v/>
      </c>
      <c r="T405" s="417" t="e">
        <f>VLOOKUP(Bunuri_lab_nomenc[[#This Row],[Denumire catalog GDF]],GDF_price_list[[Product Name]:[Column1]],7,0)</f>
        <v>#N/A</v>
      </c>
      <c r="V405" s="786" t="s">
        <v>638</v>
      </c>
      <c r="W405" s="738" t="s">
        <v>639</v>
      </c>
      <c r="X405" s="739">
        <v>106444</v>
      </c>
      <c r="Y405" s="740" t="s">
        <v>1418</v>
      </c>
      <c r="Z405" s="742" t="s">
        <v>610</v>
      </c>
      <c r="AA405" s="742" t="s">
        <v>1802</v>
      </c>
      <c r="AB405" s="764">
        <v>200</v>
      </c>
      <c r="AC405" s="743" t="s">
        <v>1419</v>
      </c>
      <c r="AD405" s="744">
        <v>79.099999999999994</v>
      </c>
      <c r="AE405" s="787" t="s">
        <v>435</v>
      </c>
      <c r="AF405">
        <f>GDF_price_list[[#This Row],[Indicative 
FCA Price]]/GDF_price_list[[#This Row],[Unit]]</f>
        <v>0.39549999999999996</v>
      </c>
    </row>
    <row r="406" spans="12:32" ht="17">
      <c r="L406" s="416"/>
      <c r="M406" s="416"/>
      <c r="N406" s="416"/>
      <c r="O406" s="439"/>
      <c r="P406" s="417"/>
      <c r="Q406" s="417"/>
      <c r="R406" s="417">
        <f>IFERROR(ROUND(Bunuri_lab_nomenc[[#This Row],[Cost unitate GFATM_valuta]]*VLOOKUP(Bunuri_lab_nomenc[[#This Row],[Valuta cost GFATM]],$B$58:$D$59,2,0),2),0)</f>
        <v>0</v>
      </c>
      <c r="S406" s="417" t="str">
        <f>IFERROR(VLOOKUP(Bunuri_lab_nomenc[[#This Row],[Denumire catalog GDF]],GDF_price_list[[Product Name]:[Column1]],8,0),"")</f>
        <v/>
      </c>
      <c r="T406" s="417" t="e">
        <f>VLOOKUP(Bunuri_lab_nomenc[[#This Row],[Denumire catalog GDF]],GDF_price_list[[Product Name]:[Column1]],7,0)</f>
        <v>#N/A</v>
      </c>
      <c r="V406" s="786" t="s">
        <v>656</v>
      </c>
      <c r="W406" s="738" t="s">
        <v>657</v>
      </c>
      <c r="X406" s="739">
        <v>106673</v>
      </c>
      <c r="Y406" s="743" t="s">
        <v>1484</v>
      </c>
      <c r="Z406" s="742" t="s">
        <v>1479</v>
      </c>
      <c r="AA406" s="742" t="s">
        <v>1802</v>
      </c>
      <c r="AB406" s="742">
        <v>200</v>
      </c>
      <c r="AC406" s="743" t="s">
        <v>1485</v>
      </c>
      <c r="AD406" s="744">
        <v>477</v>
      </c>
      <c r="AE406" s="787" t="s">
        <v>435</v>
      </c>
      <c r="AF406">
        <f>GDF_price_list[[#This Row],[Indicative 
FCA Price]]/GDF_price_list[[#This Row],[Unit]]</f>
        <v>2.3849999999999998</v>
      </c>
    </row>
    <row r="407" spans="12:32" ht="17">
      <c r="L407" s="416"/>
      <c r="M407" s="416"/>
      <c r="N407" s="416"/>
      <c r="O407" s="439"/>
      <c r="P407" s="417"/>
      <c r="Q407" s="417"/>
      <c r="R407" s="417">
        <f>IFERROR(ROUND(Bunuri_lab_nomenc[[#This Row],[Cost unitate GFATM_valuta]]*VLOOKUP(Bunuri_lab_nomenc[[#This Row],[Valuta cost GFATM]],$B$58:$D$59,2,0),2),0)</f>
        <v>0</v>
      </c>
      <c r="S407" s="417" t="str">
        <f>IFERROR(VLOOKUP(Bunuri_lab_nomenc[[#This Row],[Denumire catalog GDF]],GDF_price_list[[Product Name]:[Column1]],8,0),"")</f>
        <v/>
      </c>
      <c r="T407" s="417" t="e">
        <f>VLOOKUP(Bunuri_lab_nomenc[[#This Row],[Denumire catalog GDF]],GDF_price_list[[Product Name]:[Column1]],7,0)</f>
        <v>#N/A</v>
      </c>
      <c r="V407" s="786" t="s">
        <v>656</v>
      </c>
      <c r="W407" s="738" t="s">
        <v>657</v>
      </c>
      <c r="X407" s="739">
        <v>106674</v>
      </c>
      <c r="Y407" s="743" t="s">
        <v>1486</v>
      </c>
      <c r="Z407" s="742" t="s">
        <v>1479</v>
      </c>
      <c r="AA407" s="742" t="s">
        <v>1802</v>
      </c>
      <c r="AB407" s="742">
        <v>200</v>
      </c>
      <c r="AC407" s="743" t="s">
        <v>1487</v>
      </c>
      <c r="AD407" s="744">
        <v>477</v>
      </c>
      <c r="AE407" s="787" t="s">
        <v>435</v>
      </c>
      <c r="AF407">
        <f>GDF_price_list[[#This Row],[Indicative 
FCA Price]]/GDF_price_list[[#This Row],[Unit]]</f>
        <v>2.3849999999999998</v>
      </c>
    </row>
    <row r="408" spans="12:32" ht="17">
      <c r="L408" s="416"/>
      <c r="M408" s="416"/>
      <c r="N408" s="416"/>
      <c r="O408" s="439"/>
      <c r="P408" s="417"/>
      <c r="Q408" s="417"/>
      <c r="R408" s="417">
        <f>IFERROR(ROUND(Bunuri_lab_nomenc[[#This Row],[Cost unitate GFATM_valuta]]*VLOOKUP(Bunuri_lab_nomenc[[#This Row],[Valuta cost GFATM]],$B$58:$D$59,2,0),2),0)</f>
        <v>0</v>
      </c>
      <c r="S408" s="417" t="str">
        <f>IFERROR(VLOOKUP(Bunuri_lab_nomenc[[#This Row],[Denumire catalog GDF]],GDF_price_list[[Product Name]:[Column1]],8,0),"")</f>
        <v/>
      </c>
      <c r="T408" s="417" t="e">
        <f>VLOOKUP(Bunuri_lab_nomenc[[#This Row],[Denumire catalog GDF]],GDF_price_list[[Product Name]:[Column1]],7,0)</f>
        <v>#N/A</v>
      </c>
      <c r="V408" s="786" t="s">
        <v>666</v>
      </c>
      <c r="W408" s="738" t="s">
        <v>685</v>
      </c>
      <c r="X408" s="739">
        <v>106550</v>
      </c>
      <c r="Y408" s="740" t="s">
        <v>1667</v>
      </c>
      <c r="Z408" s="742" t="s">
        <v>610</v>
      </c>
      <c r="AA408" s="742" t="s">
        <v>1802</v>
      </c>
      <c r="AB408" s="742">
        <v>200</v>
      </c>
      <c r="AC408" s="743" t="s">
        <v>1668</v>
      </c>
      <c r="AD408" s="744">
        <v>57.56</v>
      </c>
      <c r="AE408" s="787" t="s">
        <v>435</v>
      </c>
      <c r="AF408">
        <f>GDF_price_list[[#This Row],[Indicative 
FCA Price]]/GDF_price_list[[#This Row],[Unit]]</f>
        <v>0.2878</v>
      </c>
    </row>
    <row r="409" spans="12:32" ht="17">
      <c r="L409" s="416"/>
      <c r="M409" s="416"/>
      <c r="N409" s="416"/>
      <c r="O409" s="439"/>
      <c r="P409" s="417"/>
      <c r="Q409" s="417"/>
      <c r="R409" s="417">
        <f>IFERROR(ROUND(Bunuri_lab_nomenc[[#This Row],[Cost unitate GFATM_valuta]]*VLOOKUP(Bunuri_lab_nomenc[[#This Row],[Valuta cost GFATM]],$B$58:$D$59,2,0),2),0)</f>
        <v>0</v>
      </c>
      <c r="S409" s="417" t="str">
        <f>IFERROR(VLOOKUP(Bunuri_lab_nomenc[[#This Row],[Denumire catalog GDF]],GDF_price_list[[Product Name]:[Column1]],8,0),"")</f>
        <v/>
      </c>
      <c r="T409" s="417" t="e">
        <f>VLOOKUP(Bunuri_lab_nomenc[[#This Row],[Denumire catalog GDF]],GDF_price_list[[Product Name]:[Column1]],7,0)</f>
        <v>#N/A</v>
      </c>
      <c r="V409" s="786" t="s">
        <v>666</v>
      </c>
      <c r="W409" s="738" t="s">
        <v>685</v>
      </c>
      <c r="X409" s="739">
        <v>106209</v>
      </c>
      <c r="Y409" s="740" t="s">
        <v>1669</v>
      </c>
      <c r="Z409" s="742" t="s">
        <v>610</v>
      </c>
      <c r="AA409" s="742" t="s">
        <v>1802</v>
      </c>
      <c r="AB409" s="742">
        <v>200</v>
      </c>
      <c r="AC409" s="743" t="s">
        <v>1670</v>
      </c>
      <c r="AD409" s="744">
        <v>57.55</v>
      </c>
      <c r="AE409" s="787" t="s">
        <v>435</v>
      </c>
      <c r="AF409">
        <f>GDF_price_list[[#This Row],[Indicative 
FCA Price]]/GDF_price_list[[#This Row],[Unit]]</f>
        <v>0.28775000000000001</v>
      </c>
    </row>
    <row r="410" spans="12:32" ht="17">
      <c r="L410" s="416"/>
      <c r="M410" s="416"/>
      <c r="N410" s="416"/>
      <c r="O410" s="439"/>
      <c r="P410" s="417"/>
      <c r="Q410" s="417"/>
      <c r="R410" s="417">
        <f>IFERROR(ROUND(Bunuri_lab_nomenc[[#This Row],[Cost unitate GFATM_valuta]]*VLOOKUP(Bunuri_lab_nomenc[[#This Row],[Valuta cost GFATM]],$B$58:$D$59,2,0),2),0)</f>
        <v>0</v>
      </c>
      <c r="S410" s="417" t="str">
        <f>IFERROR(VLOOKUP(Bunuri_lab_nomenc[[#This Row],[Denumire catalog GDF]],GDF_price_list[[Product Name]:[Column1]],8,0),"")</f>
        <v/>
      </c>
      <c r="T410" s="417" t="e">
        <f>VLOOKUP(Bunuri_lab_nomenc[[#This Row],[Denumire catalog GDF]],GDF_price_list[[Product Name]:[Column1]],7,0)</f>
        <v>#N/A</v>
      </c>
      <c r="V410" s="786" t="s">
        <v>666</v>
      </c>
      <c r="W410" s="738" t="s">
        <v>685</v>
      </c>
      <c r="X410" s="739">
        <v>106113</v>
      </c>
      <c r="Y410" s="740" t="s">
        <v>1446</v>
      </c>
      <c r="Z410" s="742" t="s">
        <v>610</v>
      </c>
      <c r="AA410" s="742" t="s">
        <v>1802</v>
      </c>
      <c r="AB410" s="742">
        <v>480</v>
      </c>
      <c r="AC410" s="743" t="s">
        <v>1447</v>
      </c>
      <c r="AD410" s="744">
        <v>37.409999999999997</v>
      </c>
      <c r="AE410" s="787" t="s">
        <v>435</v>
      </c>
      <c r="AF410">
        <f>GDF_price_list[[#This Row],[Indicative 
FCA Price]]/GDF_price_list[[#This Row],[Unit]]</f>
        <v>7.7937499999999993E-2</v>
      </c>
    </row>
    <row r="411" spans="12:32" ht="17">
      <c r="L411" s="416"/>
      <c r="M411" s="416"/>
      <c r="N411" s="416"/>
      <c r="O411" s="439"/>
      <c r="P411" s="417"/>
      <c r="Q411" s="417"/>
      <c r="R411" s="417">
        <f>IFERROR(ROUND(Bunuri_lab_nomenc[[#This Row],[Cost unitate GFATM_valuta]]*VLOOKUP(Bunuri_lab_nomenc[[#This Row],[Valuta cost GFATM]],$B$58:$D$59,2,0),2),0)</f>
        <v>0</v>
      </c>
      <c r="S411" s="417" t="str">
        <f>IFERROR(VLOOKUP(Bunuri_lab_nomenc[[#This Row],[Denumire catalog GDF]],GDF_price_list[[Product Name]:[Column1]],8,0),"")</f>
        <v/>
      </c>
      <c r="T411" s="417" t="e">
        <f>VLOOKUP(Bunuri_lab_nomenc[[#This Row],[Denumire catalog GDF]],GDF_price_list[[Product Name]:[Column1]],7,0)</f>
        <v>#N/A</v>
      </c>
      <c r="V411" s="786" t="s">
        <v>666</v>
      </c>
      <c r="W411" s="738" t="s">
        <v>793</v>
      </c>
      <c r="X411" s="739">
        <v>106236</v>
      </c>
      <c r="Y411" s="740" t="s">
        <v>917</v>
      </c>
      <c r="Z411" s="742" t="s">
        <v>610</v>
      </c>
      <c r="AA411" s="742" t="s">
        <v>1802</v>
      </c>
      <c r="AB411" s="742">
        <v>500</v>
      </c>
      <c r="AC411" s="743" t="s">
        <v>918</v>
      </c>
      <c r="AD411" s="744">
        <v>16.28</v>
      </c>
      <c r="AE411" s="787" t="s">
        <v>435</v>
      </c>
      <c r="AF411">
        <f>GDF_price_list[[#This Row],[Indicative 
FCA Price]]/GDF_price_list[[#This Row],[Unit]]</f>
        <v>3.2560000000000006E-2</v>
      </c>
    </row>
    <row r="412" spans="12:32" ht="34">
      <c r="L412" s="416"/>
      <c r="M412" s="416"/>
      <c r="N412" s="416"/>
      <c r="O412" s="439"/>
      <c r="P412" s="417"/>
      <c r="Q412" s="417"/>
      <c r="R412" s="417">
        <f>IFERROR(ROUND(Bunuri_lab_nomenc[[#This Row],[Cost unitate GFATM_valuta]]*VLOOKUP(Bunuri_lab_nomenc[[#This Row],[Valuta cost GFATM]],$B$58:$D$59,2,0),2),0)</f>
        <v>0</v>
      </c>
      <c r="S412" s="417" t="str">
        <f>IFERROR(VLOOKUP(Bunuri_lab_nomenc[[#This Row],[Denumire catalog GDF]],GDF_price_list[[Product Name]:[Column1]],8,0),"")</f>
        <v/>
      </c>
      <c r="T412" s="417" t="e">
        <f>VLOOKUP(Bunuri_lab_nomenc[[#This Row],[Denumire catalog GDF]],GDF_price_list[[Product Name]:[Column1]],7,0)</f>
        <v>#N/A</v>
      </c>
      <c r="V412" s="786" t="s">
        <v>612</v>
      </c>
      <c r="W412" s="738" t="s">
        <v>842</v>
      </c>
      <c r="X412" s="739">
        <v>106421</v>
      </c>
      <c r="Y412" s="754" t="s">
        <v>1338</v>
      </c>
      <c r="Z412" s="742" t="s">
        <v>610</v>
      </c>
      <c r="AA412" s="742" t="s">
        <v>1802</v>
      </c>
      <c r="AB412" s="742">
        <v>500</v>
      </c>
      <c r="AC412" s="743" t="s">
        <v>1339</v>
      </c>
      <c r="AD412" s="744">
        <v>108.12</v>
      </c>
      <c r="AE412" s="787" t="s">
        <v>435</v>
      </c>
      <c r="AF412">
        <f>GDF_price_list[[#This Row],[Indicative 
FCA Price]]/GDF_price_list[[#This Row],[Unit]]</f>
        <v>0.21624000000000002</v>
      </c>
    </row>
    <row r="413" spans="12:32" ht="17">
      <c r="L413" s="416"/>
      <c r="M413" s="416"/>
      <c r="N413" s="416"/>
      <c r="O413" s="439"/>
      <c r="P413" s="417"/>
      <c r="Q413" s="417"/>
      <c r="R413" s="417">
        <f>IFERROR(ROUND(Bunuri_lab_nomenc[[#This Row],[Cost unitate GFATM_valuta]]*VLOOKUP(Bunuri_lab_nomenc[[#This Row],[Valuta cost GFATM]],$B$58:$D$59,2,0),2),0)</f>
        <v>0</v>
      </c>
      <c r="S413" s="417" t="str">
        <f>IFERROR(VLOOKUP(Bunuri_lab_nomenc[[#This Row],[Denumire catalog GDF]],GDF_price_list[[Product Name]:[Column1]],8,0),"")</f>
        <v/>
      </c>
      <c r="T413" s="417" t="e">
        <f>VLOOKUP(Bunuri_lab_nomenc[[#This Row],[Denumire catalog GDF]],GDF_price_list[[Product Name]:[Column1]],7,0)</f>
        <v>#N/A</v>
      </c>
      <c r="V413" s="786" t="s">
        <v>612</v>
      </c>
      <c r="W413" s="738" t="s">
        <v>842</v>
      </c>
      <c r="X413" s="739">
        <v>106422</v>
      </c>
      <c r="Y413" s="754" t="s">
        <v>1340</v>
      </c>
      <c r="Z413" s="742" t="s">
        <v>610</v>
      </c>
      <c r="AA413" s="742" t="s">
        <v>1802</v>
      </c>
      <c r="AB413" s="742">
        <v>500</v>
      </c>
      <c r="AC413" s="743" t="s">
        <v>1341</v>
      </c>
      <c r="AD413" s="744">
        <v>109.44</v>
      </c>
      <c r="AE413" s="787" t="s">
        <v>435</v>
      </c>
      <c r="AF413">
        <f>GDF_price_list[[#This Row],[Indicative 
FCA Price]]/GDF_price_list[[#This Row],[Unit]]</f>
        <v>0.21887999999999999</v>
      </c>
    </row>
    <row r="414" spans="12:32" ht="17">
      <c r="L414" s="416"/>
      <c r="M414" s="416"/>
      <c r="N414" s="416"/>
      <c r="O414" s="439"/>
      <c r="P414" s="417"/>
      <c r="Q414" s="417"/>
      <c r="R414" s="417">
        <f>IFERROR(ROUND(Bunuri_lab_nomenc[[#This Row],[Cost unitate GFATM_valuta]]*VLOOKUP(Bunuri_lab_nomenc[[#This Row],[Valuta cost GFATM]],$B$58:$D$59,2,0),2),0)</f>
        <v>0</v>
      </c>
      <c r="S414" s="417" t="str">
        <f>IFERROR(VLOOKUP(Bunuri_lab_nomenc[[#This Row],[Denumire catalog GDF]],GDF_price_list[[Product Name]:[Column1]],8,0),"")</f>
        <v/>
      </c>
      <c r="T414" s="417" t="e">
        <f>VLOOKUP(Bunuri_lab_nomenc[[#This Row],[Denumire catalog GDF]],GDF_price_list[[Product Name]:[Column1]],7,0)</f>
        <v>#N/A</v>
      </c>
      <c r="V414" s="786" t="s">
        <v>666</v>
      </c>
      <c r="W414" s="738" t="s">
        <v>685</v>
      </c>
      <c r="X414" s="739">
        <v>106434</v>
      </c>
      <c r="Y414" s="740" t="s">
        <v>1374</v>
      </c>
      <c r="Z414" s="742" t="s">
        <v>610</v>
      </c>
      <c r="AA414" s="742" t="s">
        <v>1802</v>
      </c>
      <c r="AB414" s="764">
        <v>500</v>
      </c>
      <c r="AC414" s="743" t="s">
        <v>1375</v>
      </c>
      <c r="AD414" s="744">
        <v>9.34</v>
      </c>
      <c r="AE414" s="787" t="s">
        <v>435</v>
      </c>
      <c r="AF414">
        <f>GDF_price_list[[#This Row],[Indicative 
FCA Price]]/GDF_price_list[[#This Row],[Unit]]</f>
        <v>1.8679999999999999E-2</v>
      </c>
    </row>
    <row r="415" spans="12:32" ht="17">
      <c r="L415" s="416"/>
      <c r="M415" s="416"/>
      <c r="N415" s="416"/>
      <c r="O415" s="439"/>
      <c r="P415" s="417"/>
      <c r="Q415" s="417"/>
      <c r="R415" s="417">
        <f>IFERROR(ROUND(Bunuri_lab_nomenc[[#This Row],[Cost unitate GFATM_valuta]]*VLOOKUP(Bunuri_lab_nomenc[[#This Row],[Valuta cost GFATM]],$B$58:$D$59,2,0),2),0)</f>
        <v>0</v>
      </c>
      <c r="S415" s="417" t="str">
        <f>IFERROR(VLOOKUP(Bunuri_lab_nomenc[[#This Row],[Denumire catalog GDF]],GDF_price_list[[Product Name]:[Column1]],8,0),"")</f>
        <v/>
      </c>
      <c r="T415" s="417" t="e">
        <f>VLOOKUP(Bunuri_lab_nomenc[[#This Row],[Denumire catalog GDF]],GDF_price_list[[Product Name]:[Column1]],7,0)</f>
        <v>#N/A</v>
      </c>
      <c r="V415" s="786" t="s">
        <v>666</v>
      </c>
      <c r="W415" s="738" t="s">
        <v>685</v>
      </c>
      <c r="X415" s="739">
        <v>106394</v>
      </c>
      <c r="Y415" s="740" t="s">
        <v>1659</v>
      </c>
      <c r="Z415" s="742" t="s">
        <v>610</v>
      </c>
      <c r="AA415" s="742" t="s">
        <v>1802</v>
      </c>
      <c r="AB415" s="742">
        <v>500</v>
      </c>
      <c r="AC415" s="743" t="s">
        <v>1660</v>
      </c>
      <c r="AD415" s="744">
        <v>44.64</v>
      </c>
      <c r="AE415" s="787" t="s">
        <v>435</v>
      </c>
      <c r="AF415">
        <f>GDF_price_list[[#This Row],[Indicative 
FCA Price]]/GDF_price_list[[#This Row],[Unit]]</f>
        <v>8.9279999999999998E-2</v>
      </c>
    </row>
    <row r="416" spans="12:32" ht="17">
      <c r="L416" s="416"/>
      <c r="M416" s="416"/>
      <c r="N416" s="416"/>
      <c r="O416" s="439"/>
      <c r="P416" s="417"/>
      <c r="Q416" s="417"/>
      <c r="R416" s="417">
        <f>IFERROR(ROUND(Bunuri_lab_nomenc[[#This Row],[Cost unitate GFATM_valuta]]*VLOOKUP(Bunuri_lab_nomenc[[#This Row],[Valuta cost GFATM]],$B$58:$D$59,2,0),2),0)</f>
        <v>0</v>
      </c>
      <c r="S416" s="417" t="str">
        <f>IFERROR(VLOOKUP(Bunuri_lab_nomenc[[#This Row],[Denumire catalog GDF]],GDF_price_list[[Product Name]:[Column1]],8,0),"")</f>
        <v/>
      </c>
      <c r="T416" s="417" t="e">
        <f>VLOOKUP(Bunuri_lab_nomenc[[#This Row],[Denumire catalog GDF]],GDF_price_list[[Product Name]:[Column1]],7,0)</f>
        <v>#N/A</v>
      </c>
      <c r="V416" s="786" t="s">
        <v>612</v>
      </c>
      <c r="W416" s="738" t="s">
        <v>842</v>
      </c>
      <c r="X416" s="739">
        <v>106384</v>
      </c>
      <c r="Y416" s="740" t="s">
        <v>1661</v>
      </c>
      <c r="Z416" s="742" t="s">
        <v>610</v>
      </c>
      <c r="AA416" s="742" t="s">
        <v>1802</v>
      </c>
      <c r="AB416" s="742">
        <v>500</v>
      </c>
      <c r="AC416" s="743" t="s">
        <v>1662</v>
      </c>
      <c r="AD416" s="744">
        <v>85.34</v>
      </c>
      <c r="AE416" s="787" t="s">
        <v>435</v>
      </c>
      <c r="AF416">
        <f>GDF_price_list[[#This Row],[Indicative 
FCA Price]]/GDF_price_list[[#This Row],[Unit]]</f>
        <v>0.17068</v>
      </c>
    </row>
    <row r="417" spans="12:32" ht="34">
      <c r="L417" s="416"/>
      <c r="M417" s="416"/>
      <c r="N417" s="416"/>
      <c r="O417" s="439"/>
      <c r="P417" s="417"/>
      <c r="Q417" s="417"/>
      <c r="R417" s="417">
        <f>IFERROR(ROUND(Bunuri_lab_nomenc[[#This Row],[Cost unitate GFATM_valuta]]*VLOOKUP(Bunuri_lab_nomenc[[#This Row],[Valuta cost GFATM]],$B$58:$D$59,2,0),2),0)</f>
        <v>0</v>
      </c>
      <c r="S417" s="417" t="str">
        <f>IFERROR(VLOOKUP(Bunuri_lab_nomenc[[#This Row],[Denumire catalog GDF]],GDF_price_list[[Product Name]:[Column1]],8,0),"")</f>
        <v/>
      </c>
      <c r="T417" s="417" t="e">
        <f>VLOOKUP(Bunuri_lab_nomenc[[#This Row],[Denumire catalog GDF]],GDF_price_list[[Product Name]:[Column1]],7,0)</f>
        <v>#N/A</v>
      </c>
      <c r="V417" s="786" t="s">
        <v>612</v>
      </c>
      <c r="W417" s="738" t="s">
        <v>842</v>
      </c>
      <c r="X417" s="739">
        <v>106340</v>
      </c>
      <c r="Y417" s="754" t="s">
        <v>1663</v>
      </c>
      <c r="Z417" s="742" t="s">
        <v>610</v>
      </c>
      <c r="AA417" s="742" t="s">
        <v>1802</v>
      </c>
      <c r="AB417" s="742">
        <v>500</v>
      </c>
      <c r="AC417" s="743" t="s">
        <v>1664</v>
      </c>
      <c r="AD417" s="744">
        <v>74.099999999999994</v>
      </c>
      <c r="AE417" s="787" t="s">
        <v>435</v>
      </c>
      <c r="AF417">
        <f>GDF_price_list[[#This Row],[Indicative 
FCA Price]]/GDF_price_list[[#This Row],[Unit]]</f>
        <v>0.1482</v>
      </c>
    </row>
    <row r="418" spans="12:32" ht="51">
      <c r="L418" s="416"/>
      <c r="M418" s="416"/>
      <c r="N418" s="416"/>
      <c r="O418" s="439"/>
      <c r="P418" s="417"/>
      <c r="Q418" s="417"/>
      <c r="R418" s="417">
        <f>IFERROR(ROUND(Bunuri_lab_nomenc[[#This Row],[Cost unitate GFATM_valuta]]*VLOOKUP(Bunuri_lab_nomenc[[#This Row],[Valuta cost GFATM]],$B$58:$D$59,2,0),2),0)</f>
        <v>0</v>
      </c>
      <c r="S418" s="417" t="str">
        <f>IFERROR(VLOOKUP(Bunuri_lab_nomenc[[#This Row],[Denumire catalog GDF]],GDF_price_list[[Product Name]:[Column1]],8,0),"")</f>
        <v/>
      </c>
      <c r="T418" s="417" t="e">
        <f>VLOOKUP(Bunuri_lab_nomenc[[#This Row],[Denumire catalog GDF]],GDF_price_list[[Product Name]:[Column1]],7,0)</f>
        <v>#N/A</v>
      </c>
      <c r="V418" s="786" t="s">
        <v>612</v>
      </c>
      <c r="W418" s="738" t="s">
        <v>842</v>
      </c>
      <c r="X418" s="739">
        <v>106412</v>
      </c>
      <c r="Y418" s="740" t="s">
        <v>1297</v>
      </c>
      <c r="Z418" s="742" t="s">
        <v>610</v>
      </c>
      <c r="AA418" s="742" t="s">
        <v>1802</v>
      </c>
      <c r="AB418" s="742">
        <v>800</v>
      </c>
      <c r="AC418" s="743" t="s">
        <v>1298</v>
      </c>
      <c r="AD418" s="744">
        <v>97.03</v>
      </c>
      <c r="AE418" s="787" t="s">
        <v>435</v>
      </c>
      <c r="AF418">
        <f>GDF_price_list[[#This Row],[Indicative 
FCA Price]]/GDF_price_list[[#This Row],[Unit]]</f>
        <v>0.12128750000000001</v>
      </c>
    </row>
    <row r="419" spans="12:32" ht="17">
      <c r="L419" s="416"/>
      <c r="M419" s="416"/>
      <c r="N419" s="416"/>
      <c r="O419" s="439"/>
      <c r="P419" s="417"/>
      <c r="Q419" s="417"/>
      <c r="R419" s="417">
        <f>IFERROR(ROUND(Bunuri_lab_nomenc[[#This Row],[Cost unitate GFATM_valuta]]*VLOOKUP(Bunuri_lab_nomenc[[#This Row],[Valuta cost GFATM]],$B$58:$D$59,2,0),2),0)</f>
        <v>0</v>
      </c>
      <c r="S419" s="417" t="str">
        <f>IFERROR(VLOOKUP(Bunuri_lab_nomenc[[#This Row],[Denumire catalog GDF]],GDF_price_list[[Product Name]:[Column1]],8,0),"")</f>
        <v/>
      </c>
      <c r="T419" s="417" t="e">
        <f>VLOOKUP(Bunuri_lab_nomenc[[#This Row],[Denumire catalog GDF]],GDF_price_list[[Product Name]:[Column1]],7,0)</f>
        <v>#N/A</v>
      </c>
      <c r="V419" s="786" t="s">
        <v>612</v>
      </c>
      <c r="W419" s="738" t="s">
        <v>842</v>
      </c>
      <c r="X419" s="739">
        <v>106357</v>
      </c>
      <c r="Y419" s="740" t="s">
        <v>1237</v>
      </c>
      <c r="Z419" s="742" t="s">
        <v>610</v>
      </c>
      <c r="AA419" s="742" t="s">
        <v>1802</v>
      </c>
      <c r="AB419" s="741">
        <v>1000</v>
      </c>
      <c r="AC419" s="743" t="s">
        <v>1238</v>
      </c>
      <c r="AD419" s="744">
        <v>26.31</v>
      </c>
      <c r="AE419" s="787" t="s">
        <v>435</v>
      </c>
      <c r="AF419">
        <f>GDF_price_list[[#This Row],[Indicative 
FCA Price]]/GDF_price_list[[#This Row],[Unit]]</f>
        <v>2.631E-2</v>
      </c>
    </row>
    <row r="420" spans="12:32" ht="17">
      <c r="L420" s="416"/>
      <c r="M420" s="416"/>
      <c r="N420" s="416"/>
      <c r="O420" s="439"/>
      <c r="P420" s="417"/>
      <c r="Q420" s="417"/>
      <c r="R420" s="417">
        <f>IFERROR(ROUND(Bunuri_lab_nomenc[[#This Row],[Cost unitate GFATM_valuta]]*VLOOKUP(Bunuri_lab_nomenc[[#This Row],[Valuta cost GFATM]],$B$58:$D$59,2,0),2),0)</f>
        <v>0</v>
      </c>
      <c r="S420" s="417" t="str">
        <f>IFERROR(VLOOKUP(Bunuri_lab_nomenc[[#This Row],[Denumire catalog GDF]],GDF_price_list[[Product Name]:[Column1]],8,0),"")</f>
        <v/>
      </c>
      <c r="T420" s="417" t="e">
        <f>VLOOKUP(Bunuri_lab_nomenc[[#This Row],[Denumire catalog GDF]],GDF_price_list[[Product Name]:[Column1]],7,0)</f>
        <v>#N/A</v>
      </c>
      <c r="V420" s="786" t="s">
        <v>638</v>
      </c>
      <c r="W420" s="738" t="s">
        <v>852</v>
      </c>
      <c r="X420" s="739">
        <v>106440</v>
      </c>
      <c r="Y420" s="740" t="s">
        <v>1262</v>
      </c>
      <c r="Z420" s="742" t="s">
        <v>610</v>
      </c>
      <c r="AA420" s="742" t="s">
        <v>1802</v>
      </c>
      <c r="AB420" s="764">
        <v>1000</v>
      </c>
      <c r="AC420" s="743" t="s">
        <v>1263</v>
      </c>
      <c r="AD420" s="744">
        <v>22.85</v>
      </c>
      <c r="AE420" s="787" t="s">
        <v>435</v>
      </c>
      <c r="AF420">
        <f>GDF_price_list[[#This Row],[Indicative 
FCA Price]]/GDF_price_list[[#This Row],[Unit]]</f>
        <v>2.2850000000000002E-2</v>
      </c>
    </row>
    <row r="421" spans="12:32" ht="17">
      <c r="L421" s="416"/>
      <c r="M421" s="416"/>
      <c r="N421" s="416"/>
      <c r="O421" s="439"/>
      <c r="P421" s="417"/>
      <c r="Q421" s="417"/>
      <c r="R421" s="417">
        <f>IFERROR(ROUND(Bunuri_lab_nomenc[[#This Row],[Cost unitate GFATM_valuta]]*VLOOKUP(Bunuri_lab_nomenc[[#This Row],[Valuta cost GFATM]],$B$58:$D$59,2,0),2),0)</f>
        <v>0</v>
      </c>
      <c r="S421" s="417" t="str">
        <f>IFERROR(VLOOKUP(Bunuri_lab_nomenc[[#This Row],[Denumire catalog GDF]],GDF_price_list[[Product Name]:[Column1]],8,0),"")</f>
        <v/>
      </c>
      <c r="T421" s="417" t="e">
        <f>VLOOKUP(Bunuri_lab_nomenc[[#This Row],[Denumire catalog GDF]],GDF_price_list[[Product Name]:[Column1]],7,0)</f>
        <v>#N/A</v>
      </c>
      <c r="V421" s="786" t="s">
        <v>638</v>
      </c>
      <c r="W421" s="738" t="s">
        <v>852</v>
      </c>
      <c r="X421" s="739">
        <v>106347</v>
      </c>
      <c r="Y421" s="740" t="s">
        <v>1276</v>
      </c>
      <c r="Z421" s="742" t="s">
        <v>610</v>
      </c>
      <c r="AA421" s="742" t="s">
        <v>1802</v>
      </c>
      <c r="AB421" s="742">
        <v>1000</v>
      </c>
      <c r="AC421" s="743" t="s">
        <v>1277</v>
      </c>
      <c r="AD421" s="744">
        <v>50.32</v>
      </c>
      <c r="AE421" s="787" t="s">
        <v>435</v>
      </c>
      <c r="AF421">
        <f>GDF_price_list[[#This Row],[Indicative 
FCA Price]]/GDF_price_list[[#This Row],[Unit]]</f>
        <v>5.0320000000000004E-2</v>
      </c>
    </row>
    <row r="422" spans="12:32" ht="17">
      <c r="L422" s="416"/>
      <c r="M422" s="416"/>
      <c r="N422" s="416"/>
      <c r="O422" s="439"/>
      <c r="P422" s="417"/>
      <c r="Q422" s="417"/>
      <c r="R422" s="417">
        <f>IFERROR(ROUND(Bunuri_lab_nomenc[[#This Row],[Cost unitate GFATM_valuta]]*VLOOKUP(Bunuri_lab_nomenc[[#This Row],[Valuta cost GFATM]],$B$58:$D$59,2,0),2),0)</f>
        <v>0</v>
      </c>
      <c r="S422" s="417" t="str">
        <f>IFERROR(VLOOKUP(Bunuri_lab_nomenc[[#This Row],[Denumire catalog GDF]],GDF_price_list[[Product Name]:[Column1]],8,0),"")</f>
        <v/>
      </c>
      <c r="T422" s="417" t="e">
        <f>VLOOKUP(Bunuri_lab_nomenc[[#This Row],[Denumire catalog GDF]],GDF_price_list[[Product Name]:[Column1]],7,0)</f>
        <v>#N/A</v>
      </c>
      <c r="V422" s="786" t="s">
        <v>638</v>
      </c>
      <c r="W422" s="738" t="s">
        <v>852</v>
      </c>
      <c r="X422" s="739">
        <v>106346</v>
      </c>
      <c r="Y422" s="740" t="s">
        <v>1278</v>
      </c>
      <c r="Z422" s="742" t="s">
        <v>610</v>
      </c>
      <c r="AA422" s="742" t="s">
        <v>1802</v>
      </c>
      <c r="AB422" s="742">
        <v>1000</v>
      </c>
      <c r="AC422" s="743" t="s">
        <v>1277</v>
      </c>
      <c r="AD422" s="744">
        <v>50.32</v>
      </c>
      <c r="AE422" s="787" t="s">
        <v>435</v>
      </c>
      <c r="AF422">
        <f>GDF_price_list[[#This Row],[Indicative 
FCA Price]]/GDF_price_list[[#This Row],[Unit]]</f>
        <v>5.0320000000000004E-2</v>
      </c>
    </row>
    <row r="423" spans="12:32" ht="17">
      <c r="L423" s="416"/>
      <c r="M423" s="416"/>
      <c r="N423" s="416"/>
      <c r="O423" s="439"/>
      <c r="P423" s="417"/>
      <c r="Q423" s="417"/>
      <c r="R423" s="417">
        <f>IFERROR(ROUND(Bunuri_lab_nomenc[[#This Row],[Cost unitate GFATM_valuta]]*VLOOKUP(Bunuri_lab_nomenc[[#This Row],[Valuta cost GFATM]],$B$58:$D$59,2,0),2),0)</f>
        <v>0</v>
      </c>
      <c r="S423" s="417" t="str">
        <f>IFERROR(VLOOKUP(Bunuri_lab_nomenc[[#This Row],[Denumire catalog GDF]],GDF_price_list[[Product Name]:[Column1]],8,0),"")</f>
        <v/>
      </c>
      <c r="T423" s="417" t="e">
        <f>VLOOKUP(Bunuri_lab_nomenc[[#This Row],[Denumire catalog GDF]],GDF_price_list[[Product Name]:[Column1]],7,0)</f>
        <v>#N/A</v>
      </c>
      <c r="V423" s="786" t="s">
        <v>638</v>
      </c>
      <c r="W423" s="738" t="s">
        <v>852</v>
      </c>
      <c r="X423" s="739">
        <v>106345</v>
      </c>
      <c r="Y423" s="740" t="s">
        <v>1279</v>
      </c>
      <c r="Z423" s="742" t="s">
        <v>610</v>
      </c>
      <c r="AA423" s="742" t="s">
        <v>1802</v>
      </c>
      <c r="AB423" s="742">
        <v>1000</v>
      </c>
      <c r="AC423" s="743" t="s">
        <v>1277</v>
      </c>
      <c r="AD423" s="744">
        <v>50.32</v>
      </c>
      <c r="AE423" s="787" t="s">
        <v>435</v>
      </c>
      <c r="AF423">
        <f>GDF_price_list[[#This Row],[Indicative 
FCA Price]]/GDF_price_list[[#This Row],[Unit]]</f>
        <v>5.0320000000000004E-2</v>
      </c>
    </row>
    <row r="424" spans="12:32" ht="17">
      <c r="L424" s="416"/>
      <c r="M424" s="416"/>
      <c r="N424" s="416"/>
      <c r="O424" s="439"/>
      <c r="P424" s="417"/>
      <c r="Q424" s="417"/>
      <c r="R424" s="417">
        <f>IFERROR(ROUND(Bunuri_lab_nomenc[[#This Row],[Cost unitate GFATM_valuta]]*VLOOKUP(Bunuri_lab_nomenc[[#This Row],[Valuta cost GFATM]],$B$58:$D$59,2,0),2),0)</f>
        <v>0</v>
      </c>
      <c r="S424" s="417" t="str">
        <f>IFERROR(VLOOKUP(Bunuri_lab_nomenc[[#This Row],[Denumire catalog GDF]],GDF_price_list[[Product Name]:[Column1]],8,0),"")</f>
        <v/>
      </c>
      <c r="T424" s="417" t="e">
        <f>VLOOKUP(Bunuri_lab_nomenc[[#This Row],[Denumire catalog GDF]],GDF_price_list[[Product Name]:[Column1]],7,0)</f>
        <v>#N/A</v>
      </c>
      <c r="V424" s="786" t="s">
        <v>612</v>
      </c>
      <c r="W424" s="738" t="s">
        <v>842</v>
      </c>
      <c r="X424" s="739">
        <v>106385</v>
      </c>
      <c r="Y424" s="740" t="s">
        <v>1396</v>
      </c>
      <c r="Z424" s="742" t="s">
        <v>610</v>
      </c>
      <c r="AA424" s="742" t="s">
        <v>1802</v>
      </c>
      <c r="AB424" s="742">
        <v>1000</v>
      </c>
      <c r="AC424" s="743" t="s">
        <v>1397</v>
      </c>
      <c r="AD424" s="744">
        <v>46.16</v>
      </c>
      <c r="AE424" s="787" t="s">
        <v>435</v>
      </c>
      <c r="AF424">
        <f>GDF_price_list[[#This Row],[Indicative 
FCA Price]]/GDF_price_list[[#This Row],[Unit]]</f>
        <v>4.616E-2</v>
      </c>
    </row>
    <row r="425" spans="12:32" ht="102">
      <c r="L425" s="416"/>
      <c r="M425" s="416"/>
      <c r="N425" s="416"/>
      <c r="O425" s="439"/>
      <c r="P425" s="417"/>
      <c r="Q425" s="417"/>
      <c r="R425" s="417">
        <f>IFERROR(ROUND(Bunuri_lab_nomenc[[#This Row],[Cost unitate GFATM_valuta]]*VLOOKUP(Bunuri_lab_nomenc[[#This Row],[Valuta cost GFATM]],$B$58:$D$59,2,0),2),0)</f>
        <v>0</v>
      </c>
      <c r="S425" s="417" t="str">
        <f>IFERROR(VLOOKUP(Bunuri_lab_nomenc[[#This Row],[Denumire catalog GDF]],GDF_price_list[[Product Name]:[Column1]],8,0),"")</f>
        <v/>
      </c>
      <c r="T425" s="417" t="e">
        <f>VLOOKUP(Bunuri_lab_nomenc[[#This Row],[Denumire catalog GDF]],GDF_price_list[[Product Name]:[Column1]],7,0)</f>
        <v>#N/A</v>
      </c>
      <c r="V425" s="786" t="s">
        <v>648</v>
      </c>
      <c r="W425" s="738" t="s">
        <v>649</v>
      </c>
      <c r="X425" s="739">
        <v>106525</v>
      </c>
      <c r="Y425" s="740" t="s">
        <v>1612</v>
      </c>
      <c r="Z425" s="742" t="s">
        <v>651</v>
      </c>
      <c r="AA425" s="742" t="s">
        <v>1802</v>
      </c>
      <c r="AB425" s="764">
        <v>1000</v>
      </c>
      <c r="AC425" s="784" t="s">
        <v>1613</v>
      </c>
      <c r="AD425" s="744">
        <v>83.3</v>
      </c>
      <c r="AE425" s="790" t="s">
        <v>435</v>
      </c>
      <c r="AF425">
        <f>GDF_price_list[[#This Row],[Indicative 
FCA Price]]/GDF_price_list[[#This Row],[Unit]]</f>
        <v>8.3299999999999999E-2</v>
      </c>
    </row>
    <row r="426" spans="12:32" ht="17">
      <c r="L426" s="416"/>
      <c r="M426" s="416"/>
      <c r="N426" s="416"/>
      <c r="O426" s="439"/>
      <c r="P426" s="417"/>
      <c r="Q426" s="417"/>
      <c r="R426" s="417">
        <f>IFERROR(ROUND(Bunuri_lab_nomenc[[#This Row],[Cost unitate GFATM_valuta]]*VLOOKUP(Bunuri_lab_nomenc[[#This Row],[Valuta cost GFATM]],$B$58:$D$59,2,0),2),0)</f>
        <v>0</v>
      </c>
      <c r="S426" s="417" t="str">
        <f>IFERROR(VLOOKUP(Bunuri_lab_nomenc[[#This Row],[Denumire catalog GDF]],GDF_price_list[[Product Name]:[Column1]],8,0),"")</f>
        <v/>
      </c>
      <c r="T426" s="417" t="e">
        <f>VLOOKUP(Bunuri_lab_nomenc[[#This Row],[Denumire catalog GDF]],GDF_price_list[[Product Name]:[Column1]],7,0)</f>
        <v>#N/A</v>
      </c>
      <c r="V426" s="786" t="s">
        <v>612</v>
      </c>
      <c r="W426" s="738" t="s">
        <v>842</v>
      </c>
      <c r="X426" s="739">
        <v>106383</v>
      </c>
      <c r="Y426" s="740" t="s">
        <v>1638</v>
      </c>
      <c r="Z426" s="742" t="s">
        <v>610</v>
      </c>
      <c r="AA426" s="742" t="s">
        <v>1802</v>
      </c>
      <c r="AB426" s="742">
        <v>1000</v>
      </c>
      <c r="AC426" s="743" t="s">
        <v>1639</v>
      </c>
      <c r="AD426" s="744">
        <v>255.14</v>
      </c>
      <c r="AE426" s="787" t="s">
        <v>435</v>
      </c>
      <c r="AF426">
        <f>GDF_price_list[[#This Row],[Indicative 
FCA Price]]/GDF_price_list[[#This Row],[Unit]]</f>
        <v>0.25513999999999998</v>
      </c>
    </row>
    <row r="427" spans="12:32" ht="17">
      <c r="L427" s="416"/>
      <c r="M427" s="416"/>
      <c r="N427" s="416"/>
      <c r="O427" s="439"/>
      <c r="P427" s="417"/>
      <c r="Q427" s="417"/>
      <c r="R427" s="417">
        <f>IFERROR(ROUND(Bunuri_lab_nomenc[[#This Row],[Cost unitate GFATM_valuta]]*VLOOKUP(Bunuri_lab_nomenc[[#This Row],[Valuta cost GFATM]],$B$58:$D$59,2,0),2),0)</f>
        <v>0</v>
      </c>
      <c r="S427" s="417" t="str">
        <f>IFERROR(VLOOKUP(Bunuri_lab_nomenc[[#This Row],[Denumire catalog GDF]],GDF_price_list[[Product Name]:[Column1]],8,0),"")</f>
        <v/>
      </c>
      <c r="T427" s="417" t="e">
        <f>VLOOKUP(Bunuri_lab_nomenc[[#This Row],[Denumire catalog GDF]],GDF_price_list[[Product Name]:[Column1]],7,0)</f>
        <v>#N/A</v>
      </c>
      <c r="V427" s="786" t="s">
        <v>612</v>
      </c>
      <c r="W427" s="738" t="s">
        <v>842</v>
      </c>
      <c r="X427" s="739">
        <v>106344</v>
      </c>
      <c r="Y427" s="740" t="s">
        <v>1640</v>
      </c>
      <c r="Z427" s="742" t="s">
        <v>610</v>
      </c>
      <c r="AA427" s="742" t="s">
        <v>1802</v>
      </c>
      <c r="AB427" s="742">
        <v>1000</v>
      </c>
      <c r="AC427" s="743" t="s">
        <v>1641</v>
      </c>
      <c r="AD427" s="744">
        <v>332.15</v>
      </c>
      <c r="AE427" s="787" t="s">
        <v>435</v>
      </c>
      <c r="AF427">
        <f>GDF_price_list[[#This Row],[Indicative 
FCA Price]]/GDF_price_list[[#This Row],[Unit]]</f>
        <v>0.33215</v>
      </c>
    </row>
    <row r="428" spans="12:32" ht="17">
      <c r="L428" s="416"/>
      <c r="M428" s="416"/>
      <c r="N428" s="416"/>
      <c r="O428" s="439"/>
      <c r="P428" s="417"/>
      <c r="Q428" s="417"/>
      <c r="R428" s="417">
        <f>IFERROR(ROUND(Bunuri_lab_nomenc[[#This Row],[Cost unitate GFATM_valuta]]*VLOOKUP(Bunuri_lab_nomenc[[#This Row],[Valuta cost GFATM]],$B$58:$D$59,2,0),2),0)</f>
        <v>0</v>
      </c>
      <c r="S428" s="417" t="str">
        <f>IFERROR(VLOOKUP(Bunuri_lab_nomenc[[#This Row],[Denumire catalog GDF]],GDF_price_list[[Product Name]:[Column1]],8,0),"")</f>
        <v/>
      </c>
      <c r="T428" s="417" t="e">
        <f>VLOOKUP(Bunuri_lab_nomenc[[#This Row],[Denumire catalog GDF]],GDF_price_list[[Product Name]:[Column1]],7,0)</f>
        <v>#N/A</v>
      </c>
      <c r="V428" s="786" t="s">
        <v>648</v>
      </c>
      <c r="W428" s="738" t="s">
        <v>649</v>
      </c>
      <c r="X428" s="739">
        <v>106655</v>
      </c>
      <c r="Y428" s="754" t="s">
        <v>1783</v>
      </c>
      <c r="Z428" s="742" t="s">
        <v>651</v>
      </c>
      <c r="AA428" s="742" t="s">
        <v>1802</v>
      </c>
      <c r="AB428" s="742">
        <v>1000</v>
      </c>
      <c r="AC428" s="743" t="s">
        <v>1784</v>
      </c>
      <c r="AD428" s="753">
        <v>2.5099999999999998</v>
      </c>
      <c r="AE428" s="790" t="s">
        <v>435</v>
      </c>
      <c r="AF428">
        <f>GDF_price_list[[#This Row],[Indicative 
FCA Price]]/GDF_price_list[[#This Row],[Unit]]</f>
        <v>2.5099999999999996E-3</v>
      </c>
    </row>
    <row r="429" spans="12:32" ht="17">
      <c r="L429" s="416"/>
      <c r="M429" s="416"/>
      <c r="N429" s="416"/>
      <c r="O429" s="439"/>
      <c r="P429" s="417"/>
      <c r="Q429" s="417"/>
      <c r="R429" s="417">
        <f>IFERROR(ROUND(Bunuri_lab_nomenc[[#This Row],[Cost unitate GFATM_valuta]]*VLOOKUP(Bunuri_lab_nomenc[[#This Row],[Valuta cost GFATM]],$B$58:$D$59,2,0),2),0)</f>
        <v>0</v>
      </c>
      <c r="S429" s="417" t="str">
        <f>IFERROR(VLOOKUP(Bunuri_lab_nomenc[[#This Row],[Denumire catalog GDF]],GDF_price_list[[Product Name]:[Column1]],8,0),"")</f>
        <v/>
      </c>
      <c r="T429" s="417" t="e">
        <f>VLOOKUP(Bunuri_lab_nomenc[[#This Row],[Denumire catalog GDF]],GDF_price_list[[Product Name]:[Column1]],7,0)</f>
        <v>#N/A</v>
      </c>
      <c r="V429" s="786" t="s">
        <v>638</v>
      </c>
      <c r="W429" s="738" t="s">
        <v>852</v>
      </c>
      <c r="X429" s="739">
        <v>106441</v>
      </c>
      <c r="Y429" s="740" t="s">
        <v>1254</v>
      </c>
      <c r="Z429" s="742" t="s">
        <v>610</v>
      </c>
      <c r="AA429" s="742" t="s">
        <v>1802</v>
      </c>
      <c r="AB429" s="764">
        <v>2000</v>
      </c>
      <c r="AC429" s="743" t="s">
        <v>1255</v>
      </c>
      <c r="AD429" s="744">
        <v>22.2</v>
      </c>
      <c r="AE429" s="787" t="s">
        <v>435</v>
      </c>
      <c r="AF429">
        <f>GDF_price_list[[#This Row],[Indicative 
FCA Price]]/GDF_price_list[[#This Row],[Unit]]</f>
        <v>1.11E-2</v>
      </c>
    </row>
    <row r="430" spans="12:32" ht="17">
      <c r="L430" s="416"/>
      <c r="M430" s="416"/>
      <c r="N430" s="416"/>
      <c r="O430" s="439"/>
      <c r="P430" s="417"/>
      <c r="Q430" s="417"/>
      <c r="R430" s="417">
        <f>IFERROR(ROUND(Bunuri_lab_nomenc[[#This Row],[Cost unitate GFATM_valuta]]*VLOOKUP(Bunuri_lab_nomenc[[#This Row],[Valuta cost GFATM]],$B$58:$D$59,2,0),2),0)</f>
        <v>0</v>
      </c>
      <c r="S430" s="417" t="str">
        <f>IFERROR(VLOOKUP(Bunuri_lab_nomenc[[#This Row],[Denumire catalog GDF]],GDF_price_list[[Product Name]:[Column1]],8,0),"")</f>
        <v/>
      </c>
      <c r="T430" s="417" t="e">
        <f>VLOOKUP(Bunuri_lab_nomenc[[#This Row],[Denumire catalog GDF]],GDF_price_list[[Product Name]:[Column1]],7,0)</f>
        <v>#N/A</v>
      </c>
      <c r="V430" s="786" t="s">
        <v>666</v>
      </c>
      <c r="W430" s="738" t="s">
        <v>793</v>
      </c>
      <c r="X430" s="739">
        <v>106581</v>
      </c>
      <c r="Y430" s="740" t="s">
        <v>1552</v>
      </c>
      <c r="Z430" s="742" t="s">
        <v>610</v>
      </c>
      <c r="AA430" s="742" t="s">
        <v>1802</v>
      </c>
      <c r="AB430" s="742">
        <v>4000</v>
      </c>
      <c r="AC430" s="743" t="s">
        <v>1553</v>
      </c>
      <c r="AD430" s="753">
        <v>1120</v>
      </c>
      <c r="AE430" s="790" t="s">
        <v>435</v>
      </c>
      <c r="AF430">
        <f>GDF_price_list[[#This Row],[Indicative 
FCA Price]]/GDF_price_list[[#This Row],[Unit]]</f>
        <v>0.28000000000000003</v>
      </c>
    </row>
    <row r="431" spans="12:32" ht="17">
      <c r="L431" s="416"/>
      <c r="M431" s="416"/>
      <c r="N431" s="416"/>
      <c r="O431" s="439"/>
      <c r="P431" s="417"/>
      <c r="Q431" s="417"/>
      <c r="R431" s="417">
        <f>IFERROR(ROUND(Bunuri_lab_nomenc[[#This Row],[Cost unitate GFATM_valuta]]*VLOOKUP(Bunuri_lab_nomenc[[#This Row],[Valuta cost GFATM]],$B$58:$D$59,2,0),2),0)</f>
        <v>0</v>
      </c>
      <c r="S431" s="417" t="str">
        <f>IFERROR(VLOOKUP(Bunuri_lab_nomenc[[#This Row],[Denumire catalog GDF]],GDF_price_list[[Product Name]:[Column1]],8,0),"")</f>
        <v/>
      </c>
      <c r="T431" s="417" t="e">
        <f>VLOOKUP(Bunuri_lab_nomenc[[#This Row],[Denumire catalog GDF]],GDF_price_list[[Product Name]:[Column1]],7,0)</f>
        <v>#N/A</v>
      </c>
      <c r="V431" s="786" t="s">
        <v>638</v>
      </c>
      <c r="W431" s="738" t="s">
        <v>639</v>
      </c>
      <c r="X431" s="739">
        <v>106375</v>
      </c>
      <c r="Y431" s="740" t="s">
        <v>1392</v>
      </c>
      <c r="Z431" s="742" t="s">
        <v>610</v>
      </c>
      <c r="AA431" s="742" t="s">
        <v>1802</v>
      </c>
      <c r="AB431" s="742">
        <v>5000</v>
      </c>
      <c r="AC431" s="743" t="s">
        <v>1393</v>
      </c>
      <c r="AD431" s="744">
        <v>15.21</v>
      </c>
      <c r="AE431" s="787" t="s">
        <v>435</v>
      </c>
      <c r="AF431">
        <f>GDF_price_list[[#This Row],[Indicative 
FCA Price]]/GDF_price_list[[#This Row],[Unit]]</f>
        <v>3.042E-3</v>
      </c>
    </row>
    <row r="432" spans="12:32" ht="51">
      <c r="L432" s="416"/>
      <c r="M432" s="416"/>
      <c r="N432" s="416"/>
      <c r="O432" s="439"/>
      <c r="P432" s="417"/>
      <c r="Q432" s="417"/>
      <c r="R432" s="417">
        <f>IFERROR(ROUND(Bunuri_lab_nomenc[[#This Row],[Cost unitate GFATM_valuta]]*VLOOKUP(Bunuri_lab_nomenc[[#This Row],[Valuta cost GFATM]],$B$58:$D$59,2,0),2),0)</f>
        <v>0</v>
      </c>
      <c r="S432" s="417" t="str">
        <f>IFERROR(VLOOKUP(Bunuri_lab_nomenc[[#This Row],[Denumire catalog GDF]],GDF_price_list[[Product Name]:[Column1]],8,0),"")</f>
        <v/>
      </c>
      <c r="T432" s="417" t="e">
        <f>VLOOKUP(Bunuri_lab_nomenc[[#This Row],[Denumire catalog GDF]],GDF_price_list[[Product Name]:[Column1]],7,0)</f>
        <v>#N/A</v>
      </c>
      <c r="V432" s="786" t="s">
        <v>612</v>
      </c>
      <c r="W432" s="738" t="s">
        <v>753</v>
      </c>
      <c r="X432" s="745">
        <v>106633</v>
      </c>
      <c r="Y432" s="740" t="s">
        <v>1192</v>
      </c>
      <c r="Z432" s="742" t="s">
        <v>1188</v>
      </c>
      <c r="AA432" s="742"/>
      <c r="AB432" s="742" t="s">
        <v>1193</v>
      </c>
      <c r="AC432" s="743" t="s">
        <v>1194</v>
      </c>
      <c r="AD432" s="744">
        <v>17490</v>
      </c>
      <c r="AE432" s="790" t="s">
        <v>435</v>
      </c>
      <c r="AF432" t="e">
        <f>GDF_price_list[[#This Row],[Indicative 
FCA Price]]/GDF_price_list[[#This Row],[Unit]]</f>
        <v>#VALUE!</v>
      </c>
    </row>
    <row r="433" spans="12:32" ht="51">
      <c r="L433" s="416"/>
      <c r="M433" s="416"/>
      <c r="N433" s="416"/>
      <c r="O433" s="439"/>
      <c r="P433" s="417"/>
      <c r="Q433" s="417"/>
      <c r="R433" s="417">
        <f>IFERROR(ROUND(Bunuri_lab_nomenc[[#This Row],[Cost unitate GFATM_valuta]]*VLOOKUP(Bunuri_lab_nomenc[[#This Row],[Valuta cost GFATM]],$B$58:$D$59,2,0),2),0)</f>
        <v>0</v>
      </c>
      <c r="S433" s="417" t="str">
        <f>IFERROR(VLOOKUP(Bunuri_lab_nomenc[[#This Row],[Denumire catalog GDF]],GDF_price_list[[Product Name]:[Column1]],8,0),"")</f>
        <v/>
      </c>
      <c r="T433" s="417" t="e">
        <f>VLOOKUP(Bunuri_lab_nomenc[[#This Row],[Denumire catalog GDF]],GDF_price_list[[Product Name]:[Column1]],7,0)</f>
        <v>#N/A</v>
      </c>
      <c r="V433" s="786" t="s">
        <v>666</v>
      </c>
      <c r="W433" s="738" t="s">
        <v>667</v>
      </c>
      <c r="X433" s="739">
        <v>106319</v>
      </c>
      <c r="Y433" s="740" t="s">
        <v>831</v>
      </c>
      <c r="Z433" s="742" t="s">
        <v>610</v>
      </c>
      <c r="AA433" s="742" t="s">
        <v>535</v>
      </c>
      <c r="AB433" s="742">
        <v>1</v>
      </c>
      <c r="AC433" s="743" t="s">
        <v>832</v>
      </c>
      <c r="AD433" s="744">
        <v>300.12</v>
      </c>
      <c r="AE433" s="787" t="s">
        <v>435</v>
      </c>
      <c r="AF433">
        <f>GDF_price_list[[#This Row],[Indicative 
FCA Price]]/GDF_price_list[[#This Row],[Unit]]</f>
        <v>300.12</v>
      </c>
    </row>
    <row r="434" spans="12:32" ht="34">
      <c r="L434" s="416"/>
      <c r="M434" s="416"/>
      <c r="N434" s="416"/>
      <c r="O434" s="439"/>
      <c r="P434" s="417"/>
      <c r="Q434" s="417"/>
      <c r="R434" s="417">
        <f>IFERROR(ROUND(Bunuri_lab_nomenc[[#This Row],[Cost unitate GFATM_valuta]]*VLOOKUP(Bunuri_lab_nomenc[[#This Row],[Valuta cost GFATM]],$B$58:$D$59,2,0),2),0)</f>
        <v>0</v>
      </c>
      <c r="S434" s="417" t="str">
        <f>IFERROR(VLOOKUP(Bunuri_lab_nomenc[[#This Row],[Denumire catalog GDF]],GDF_price_list[[Product Name]:[Column1]],8,0),"")</f>
        <v/>
      </c>
      <c r="T434" s="417" t="e">
        <f>VLOOKUP(Bunuri_lab_nomenc[[#This Row],[Denumire catalog GDF]],GDF_price_list[[Product Name]:[Column1]],7,0)</f>
        <v>#N/A</v>
      </c>
      <c r="V434" s="786" t="s">
        <v>666</v>
      </c>
      <c r="W434" s="738" t="s">
        <v>667</v>
      </c>
      <c r="X434" s="739">
        <v>106654</v>
      </c>
      <c r="Y434" s="740" t="s">
        <v>840</v>
      </c>
      <c r="Z434" s="742" t="s">
        <v>610</v>
      </c>
      <c r="AA434" s="742" t="s">
        <v>535</v>
      </c>
      <c r="AB434" s="742">
        <v>1</v>
      </c>
      <c r="AC434" s="743" t="s">
        <v>841</v>
      </c>
      <c r="AD434" s="744">
        <v>100.1</v>
      </c>
      <c r="AE434" s="787" t="s">
        <v>435</v>
      </c>
      <c r="AF434">
        <f>GDF_price_list[[#This Row],[Indicative 
FCA Price]]/GDF_price_list[[#This Row],[Unit]]</f>
        <v>100.1</v>
      </c>
    </row>
    <row r="435" spans="12:32" ht="17">
      <c r="L435" s="416"/>
      <c r="M435" s="416"/>
      <c r="N435" s="416"/>
      <c r="O435" s="439"/>
      <c r="P435" s="417"/>
      <c r="Q435" s="417"/>
      <c r="R435" s="417">
        <f>IFERROR(ROUND(Bunuri_lab_nomenc[[#This Row],[Cost unitate GFATM_valuta]]*VLOOKUP(Bunuri_lab_nomenc[[#This Row],[Valuta cost GFATM]],$B$58:$D$59,2,0),2),0)</f>
        <v>0</v>
      </c>
      <c r="S435" s="417" t="str">
        <f>IFERROR(VLOOKUP(Bunuri_lab_nomenc[[#This Row],[Denumire catalog GDF]],GDF_price_list[[Product Name]:[Column1]],8,0),"")</f>
        <v/>
      </c>
      <c r="T435" s="417" t="e">
        <f>VLOOKUP(Bunuri_lab_nomenc[[#This Row],[Denumire catalog GDF]],GDF_price_list[[Product Name]:[Column1]],7,0)</f>
        <v>#N/A</v>
      </c>
      <c r="V435" s="786" t="s">
        <v>612</v>
      </c>
      <c r="W435" s="738" t="s">
        <v>653</v>
      </c>
      <c r="X435" s="739">
        <v>106324</v>
      </c>
      <c r="Y435" s="740" t="s">
        <v>965</v>
      </c>
      <c r="Z435" s="742" t="s">
        <v>610</v>
      </c>
      <c r="AA435" s="742" t="s">
        <v>535</v>
      </c>
      <c r="AB435" s="742">
        <v>1</v>
      </c>
      <c r="AC435" s="743" t="s">
        <v>966</v>
      </c>
      <c r="AD435" s="744">
        <v>57.32</v>
      </c>
      <c r="AE435" s="787" t="s">
        <v>435</v>
      </c>
      <c r="AF435">
        <f>GDF_price_list[[#This Row],[Indicative 
FCA Price]]/GDF_price_list[[#This Row],[Unit]]</f>
        <v>57.32</v>
      </c>
    </row>
    <row r="436" spans="12:32" ht="51">
      <c r="L436" s="416"/>
      <c r="M436" s="416"/>
      <c r="N436" s="416"/>
      <c r="O436" s="439"/>
      <c r="P436" s="417"/>
      <c r="Q436" s="417"/>
      <c r="R436" s="417">
        <f>IFERROR(ROUND(Bunuri_lab_nomenc[[#This Row],[Cost unitate GFATM_valuta]]*VLOOKUP(Bunuri_lab_nomenc[[#This Row],[Valuta cost GFATM]],$B$58:$D$59,2,0),2),0)</f>
        <v>0</v>
      </c>
      <c r="S436" s="417" t="str">
        <f>IFERROR(VLOOKUP(Bunuri_lab_nomenc[[#This Row],[Denumire catalog GDF]],GDF_price_list[[Product Name]:[Column1]],8,0),"")</f>
        <v/>
      </c>
      <c r="T436" s="417" t="e">
        <f>VLOOKUP(Bunuri_lab_nomenc[[#This Row],[Denumire catalog GDF]],GDF_price_list[[Product Name]:[Column1]],7,0)</f>
        <v>#N/A</v>
      </c>
      <c r="V436" s="786" t="s">
        <v>666</v>
      </c>
      <c r="W436" s="738" t="s">
        <v>667</v>
      </c>
      <c r="X436" s="739">
        <v>106560</v>
      </c>
      <c r="Y436" s="740" t="s">
        <v>1286</v>
      </c>
      <c r="Z436" s="742" t="s">
        <v>610</v>
      </c>
      <c r="AA436" s="742" t="s">
        <v>535</v>
      </c>
      <c r="AB436" s="742">
        <v>1</v>
      </c>
      <c r="AC436" s="743" t="s">
        <v>1287</v>
      </c>
      <c r="AD436" s="753">
        <v>48.23</v>
      </c>
      <c r="AE436" s="790" t="s">
        <v>435</v>
      </c>
      <c r="AF436">
        <f>GDF_price_list[[#This Row],[Indicative 
FCA Price]]/GDF_price_list[[#This Row],[Unit]]</f>
        <v>48.23</v>
      </c>
    </row>
    <row r="437" spans="12:32" ht="51">
      <c r="L437" s="416"/>
      <c r="M437" s="416"/>
      <c r="N437" s="416"/>
      <c r="O437" s="439"/>
      <c r="P437" s="417"/>
      <c r="Q437" s="417"/>
      <c r="R437" s="417">
        <f>IFERROR(ROUND(Bunuri_lab_nomenc[[#This Row],[Cost unitate GFATM_valuta]]*VLOOKUP(Bunuri_lab_nomenc[[#This Row],[Valuta cost GFATM]],$B$58:$D$59,2,0),2),0)</f>
        <v>0</v>
      </c>
      <c r="S437" s="417" t="str">
        <f>IFERROR(VLOOKUP(Bunuri_lab_nomenc[[#This Row],[Denumire catalog GDF]],GDF_price_list[[Product Name]:[Column1]],8,0),"")</f>
        <v/>
      </c>
      <c r="T437" s="417" t="e">
        <f>VLOOKUP(Bunuri_lab_nomenc[[#This Row],[Denumire catalog GDF]],GDF_price_list[[Product Name]:[Column1]],7,0)</f>
        <v>#N/A</v>
      </c>
      <c r="V437" s="786" t="s">
        <v>666</v>
      </c>
      <c r="W437" s="738" t="s">
        <v>667</v>
      </c>
      <c r="X437" s="739">
        <v>106314</v>
      </c>
      <c r="Y437" s="740" t="s">
        <v>1364</v>
      </c>
      <c r="Z437" s="742" t="s">
        <v>610</v>
      </c>
      <c r="AA437" s="742" t="s">
        <v>535</v>
      </c>
      <c r="AB437" s="742">
        <v>1</v>
      </c>
      <c r="AC437" s="743" t="s">
        <v>1365</v>
      </c>
      <c r="AD437" s="744">
        <v>368.69</v>
      </c>
      <c r="AE437" s="787" t="s">
        <v>435</v>
      </c>
      <c r="AF437">
        <f>GDF_price_list[[#This Row],[Indicative 
FCA Price]]/GDF_price_list[[#This Row],[Unit]]</f>
        <v>368.69</v>
      </c>
    </row>
    <row r="438" spans="12:32" ht="34">
      <c r="L438" s="416"/>
      <c r="M438" s="416"/>
      <c r="N438" s="416"/>
      <c r="O438" s="439"/>
      <c r="P438" s="417"/>
      <c r="Q438" s="417"/>
      <c r="R438" s="417">
        <f>IFERROR(ROUND(Bunuri_lab_nomenc[[#This Row],[Cost unitate GFATM_valuta]]*VLOOKUP(Bunuri_lab_nomenc[[#This Row],[Valuta cost GFATM]],$B$58:$D$59,2,0),2),0)</f>
        <v>0</v>
      </c>
      <c r="S438" s="417" t="str">
        <f>IFERROR(VLOOKUP(Bunuri_lab_nomenc[[#This Row],[Denumire catalog GDF]],GDF_price_list[[Product Name]:[Column1]],8,0),"")</f>
        <v/>
      </c>
      <c r="T438" s="417" t="e">
        <f>VLOOKUP(Bunuri_lab_nomenc[[#This Row],[Denumire catalog GDF]],GDF_price_list[[Product Name]:[Column1]],7,0)</f>
        <v>#N/A</v>
      </c>
      <c r="V438" s="786" t="s">
        <v>666</v>
      </c>
      <c r="W438" s="738" t="s">
        <v>895</v>
      </c>
      <c r="X438" s="739">
        <v>106309</v>
      </c>
      <c r="Y438" s="740" t="s">
        <v>1535</v>
      </c>
      <c r="Z438" s="742" t="s">
        <v>610</v>
      </c>
      <c r="AA438" s="742" t="s">
        <v>535</v>
      </c>
      <c r="AB438" s="742">
        <v>1</v>
      </c>
      <c r="AC438" s="743" t="s">
        <v>1536</v>
      </c>
      <c r="AD438" s="744">
        <v>152.28</v>
      </c>
      <c r="AE438" s="787" t="s">
        <v>435</v>
      </c>
      <c r="AF438">
        <f>GDF_price_list[[#This Row],[Indicative 
FCA Price]]/GDF_price_list[[#This Row],[Unit]]</f>
        <v>152.28</v>
      </c>
    </row>
    <row r="439" spans="12:32" ht="17">
      <c r="L439" s="416"/>
      <c r="M439" s="416"/>
      <c r="N439" s="416"/>
      <c r="O439" s="439"/>
      <c r="P439" s="417"/>
      <c r="Q439" s="417"/>
      <c r="R439" s="417">
        <f>IFERROR(ROUND(Bunuri_lab_nomenc[[#This Row],[Cost unitate GFATM_valuta]]*VLOOKUP(Bunuri_lab_nomenc[[#This Row],[Valuta cost GFATM]],$B$58:$D$59,2,0),2),0)</f>
        <v>0</v>
      </c>
      <c r="S439" s="417" t="str">
        <f>IFERROR(VLOOKUP(Bunuri_lab_nomenc[[#This Row],[Denumire catalog GDF]],GDF_price_list[[Product Name]:[Column1]],8,0),"")</f>
        <v/>
      </c>
      <c r="T439" s="417" t="e">
        <f>VLOOKUP(Bunuri_lab_nomenc[[#This Row],[Denumire catalog GDF]],GDF_price_list[[Product Name]:[Column1]],7,0)</f>
        <v>#N/A</v>
      </c>
      <c r="V439" s="786" t="s">
        <v>612</v>
      </c>
      <c r="W439" s="738" t="s">
        <v>653</v>
      </c>
      <c r="X439" s="739">
        <v>106322</v>
      </c>
      <c r="Y439" s="740" t="s">
        <v>791</v>
      </c>
      <c r="Z439" s="742" t="s">
        <v>610</v>
      </c>
      <c r="AA439" s="742" t="s">
        <v>535</v>
      </c>
      <c r="AB439" s="742">
        <v>1000</v>
      </c>
      <c r="AC439" s="743" t="s">
        <v>792</v>
      </c>
      <c r="AD439" s="744">
        <v>52.36</v>
      </c>
      <c r="AE439" s="787" t="s">
        <v>435</v>
      </c>
      <c r="AF439">
        <f>GDF_price_list[[#This Row],[Indicative 
FCA Price]]/GDF_price_list[[#This Row],[Unit]]</f>
        <v>5.2359999999999997E-2</v>
      </c>
    </row>
    <row r="440" spans="12:32" ht="17">
      <c r="L440" s="416"/>
      <c r="M440" s="416"/>
      <c r="N440" s="416"/>
      <c r="O440" s="439"/>
      <c r="P440" s="417"/>
      <c r="Q440" s="417"/>
      <c r="R440" s="417">
        <f>IFERROR(ROUND(Bunuri_lab_nomenc[[#This Row],[Cost unitate GFATM_valuta]]*VLOOKUP(Bunuri_lab_nomenc[[#This Row],[Valuta cost GFATM]],$B$58:$D$59,2,0),2),0)</f>
        <v>0</v>
      </c>
      <c r="S440" s="417" t="str">
        <f>IFERROR(VLOOKUP(Bunuri_lab_nomenc[[#This Row],[Denumire catalog GDF]],GDF_price_list[[Product Name]:[Column1]],8,0),"")</f>
        <v/>
      </c>
      <c r="T440" s="417" t="e">
        <f>VLOOKUP(Bunuri_lab_nomenc[[#This Row],[Denumire catalog GDF]],GDF_price_list[[Product Name]:[Column1]],7,0)</f>
        <v>#N/A</v>
      </c>
      <c r="V440" s="786" t="s">
        <v>675</v>
      </c>
      <c r="W440" s="738" t="s">
        <v>676</v>
      </c>
      <c r="X440" s="739">
        <v>106295</v>
      </c>
      <c r="Y440" s="740" t="s">
        <v>909</v>
      </c>
      <c r="Z440" s="742" t="s">
        <v>610</v>
      </c>
      <c r="AA440" s="742" t="s">
        <v>535</v>
      </c>
      <c r="AB440" s="742">
        <v>1000</v>
      </c>
      <c r="AC440" s="743" t="s">
        <v>909</v>
      </c>
      <c r="AD440" s="744">
        <v>51.58</v>
      </c>
      <c r="AE440" s="787" t="s">
        <v>435</v>
      </c>
      <c r="AF440">
        <f>GDF_price_list[[#This Row],[Indicative 
FCA Price]]/GDF_price_list[[#This Row],[Unit]]</f>
        <v>5.1580000000000001E-2</v>
      </c>
    </row>
    <row r="441" spans="12:32" ht="17">
      <c r="L441" s="416"/>
      <c r="M441" s="416"/>
      <c r="N441" s="416"/>
      <c r="O441" s="439"/>
      <c r="P441" s="417"/>
      <c r="Q441" s="417"/>
      <c r="R441" s="417">
        <f>IFERROR(ROUND(Bunuri_lab_nomenc[[#This Row],[Cost unitate GFATM_valuta]]*VLOOKUP(Bunuri_lab_nomenc[[#This Row],[Valuta cost GFATM]],$B$58:$D$59,2,0),2),0)</f>
        <v>0</v>
      </c>
      <c r="S441" s="417" t="str">
        <f>IFERROR(VLOOKUP(Bunuri_lab_nomenc[[#This Row],[Denumire catalog GDF]],GDF_price_list[[Product Name]:[Column1]],8,0),"")</f>
        <v/>
      </c>
      <c r="T441" s="417" t="e">
        <f>VLOOKUP(Bunuri_lab_nomenc[[#This Row],[Denumire catalog GDF]],GDF_price_list[[Product Name]:[Column1]],7,0)</f>
        <v>#N/A</v>
      </c>
      <c r="V441" s="786" t="s">
        <v>666</v>
      </c>
      <c r="W441" s="738" t="s">
        <v>768</v>
      </c>
      <c r="X441" s="739">
        <v>106279</v>
      </c>
      <c r="Y441" s="740" t="s">
        <v>910</v>
      </c>
      <c r="Z441" s="742" t="s">
        <v>610</v>
      </c>
      <c r="AA441" s="742" t="s">
        <v>535</v>
      </c>
      <c r="AB441" s="742">
        <v>1000</v>
      </c>
      <c r="AC441" s="743" t="s">
        <v>911</v>
      </c>
      <c r="AD441" s="744">
        <v>41.22</v>
      </c>
      <c r="AE441" s="787" t="s">
        <v>435</v>
      </c>
      <c r="AF441">
        <f>GDF_price_list[[#This Row],[Indicative 
FCA Price]]/GDF_price_list[[#This Row],[Unit]]</f>
        <v>4.122E-2</v>
      </c>
    </row>
    <row r="442" spans="12:32" ht="17">
      <c r="L442" s="416"/>
      <c r="M442" s="416"/>
      <c r="N442" s="416"/>
      <c r="O442" s="439"/>
      <c r="P442" s="417"/>
      <c r="Q442" s="417"/>
      <c r="R442" s="417">
        <f>IFERROR(ROUND(Bunuri_lab_nomenc[[#This Row],[Cost unitate GFATM_valuta]]*VLOOKUP(Bunuri_lab_nomenc[[#This Row],[Valuta cost GFATM]],$B$58:$D$59,2,0),2),0)</f>
        <v>0</v>
      </c>
      <c r="S442" s="417" t="str">
        <f>IFERROR(VLOOKUP(Bunuri_lab_nomenc[[#This Row],[Denumire catalog GDF]],GDF_price_list[[Product Name]:[Column1]],8,0),"")</f>
        <v/>
      </c>
      <c r="T442" s="417" t="e">
        <f>VLOOKUP(Bunuri_lab_nomenc[[#This Row],[Denumire catalog GDF]],GDF_price_list[[Product Name]:[Column1]],7,0)</f>
        <v>#N/A</v>
      </c>
      <c r="V442" s="786" t="s">
        <v>666</v>
      </c>
      <c r="W442" s="738" t="s">
        <v>768</v>
      </c>
      <c r="X442" s="739">
        <v>106278</v>
      </c>
      <c r="Y442" s="740" t="s">
        <v>537</v>
      </c>
      <c r="Z442" s="742" t="s">
        <v>610</v>
      </c>
      <c r="AA442" s="742" t="s">
        <v>535</v>
      </c>
      <c r="AB442" s="742">
        <v>1000</v>
      </c>
      <c r="AC442" s="743" t="s">
        <v>912</v>
      </c>
      <c r="AD442" s="744">
        <v>63.26</v>
      </c>
      <c r="AE442" s="787" t="s">
        <v>435</v>
      </c>
      <c r="AF442">
        <f>GDF_price_list[[#This Row],[Indicative 
FCA Price]]/GDF_price_list[[#This Row],[Unit]]</f>
        <v>6.3259999999999997E-2</v>
      </c>
    </row>
    <row r="443" spans="12:32" ht="17">
      <c r="L443" s="416"/>
      <c r="M443" s="416"/>
      <c r="N443" s="416"/>
      <c r="O443" s="439"/>
      <c r="P443" s="417"/>
      <c r="Q443" s="417"/>
      <c r="R443" s="417">
        <f>IFERROR(ROUND(Bunuri_lab_nomenc[[#This Row],[Cost unitate GFATM_valuta]]*VLOOKUP(Bunuri_lab_nomenc[[#This Row],[Valuta cost GFATM]],$B$58:$D$59,2,0),2),0)</f>
        <v>0</v>
      </c>
      <c r="S443" s="417" t="str">
        <f>IFERROR(VLOOKUP(Bunuri_lab_nomenc[[#This Row],[Denumire catalog GDF]],GDF_price_list[[Product Name]:[Column1]],8,0),"")</f>
        <v/>
      </c>
      <c r="T443" s="417" t="e">
        <f>VLOOKUP(Bunuri_lab_nomenc[[#This Row],[Denumire catalog GDF]],GDF_price_list[[Product Name]:[Column1]],7,0)</f>
        <v>#N/A</v>
      </c>
      <c r="V443" s="786" t="s">
        <v>666</v>
      </c>
      <c r="W443" s="738" t="s">
        <v>793</v>
      </c>
      <c r="X443" s="745">
        <v>106096</v>
      </c>
      <c r="Y443" s="740" t="s">
        <v>1100</v>
      </c>
      <c r="Z443" s="742" t="s">
        <v>610</v>
      </c>
      <c r="AA443" s="742" t="s">
        <v>535</v>
      </c>
      <c r="AB443" s="742">
        <v>1000</v>
      </c>
      <c r="AC443" s="743" t="s">
        <v>1101</v>
      </c>
      <c r="AD443" s="744">
        <v>6.19</v>
      </c>
      <c r="AE443" s="787" t="s">
        <v>435</v>
      </c>
      <c r="AF443">
        <f>GDF_price_list[[#This Row],[Indicative 
FCA Price]]/GDF_price_list[[#This Row],[Unit]]</f>
        <v>6.1900000000000002E-3</v>
      </c>
    </row>
    <row r="444" spans="12:32" ht="17">
      <c r="L444" s="416"/>
      <c r="M444" s="416"/>
      <c r="N444" s="416"/>
      <c r="O444" s="439"/>
      <c r="P444" s="417"/>
      <c r="Q444" s="417"/>
      <c r="R444" s="417">
        <f>IFERROR(ROUND(Bunuri_lab_nomenc[[#This Row],[Cost unitate GFATM_valuta]]*VLOOKUP(Bunuri_lab_nomenc[[#This Row],[Valuta cost GFATM]],$B$58:$D$59,2,0),2),0)</f>
        <v>0</v>
      </c>
      <c r="S444" s="417" t="str">
        <f>IFERROR(VLOOKUP(Bunuri_lab_nomenc[[#This Row],[Denumire catalog GDF]],GDF_price_list[[Product Name]:[Column1]],8,0),"")</f>
        <v/>
      </c>
      <c r="T444" s="417" t="e">
        <f>VLOOKUP(Bunuri_lab_nomenc[[#This Row],[Denumire catalog GDF]],GDF_price_list[[Product Name]:[Column1]],7,0)</f>
        <v>#N/A</v>
      </c>
      <c r="V444" s="786" t="s">
        <v>666</v>
      </c>
      <c r="W444" s="738" t="s">
        <v>793</v>
      </c>
      <c r="X444" s="745">
        <v>106097</v>
      </c>
      <c r="Y444" s="740" t="s">
        <v>1102</v>
      </c>
      <c r="Z444" s="742" t="s">
        <v>610</v>
      </c>
      <c r="AA444" s="742" t="s">
        <v>535</v>
      </c>
      <c r="AB444" s="742">
        <v>1000</v>
      </c>
      <c r="AC444" s="743" t="s">
        <v>1103</v>
      </c>
      <c r="AD444" s="744">
        <v>6.7</v>
      </c>
      <c r="AE444" s="787" t="s">
        <v>435</v>
      </c>
      <c r="AF444">
        <f>GDF_price_list[[#This Row],[Indicative 
FCA Price]]/GDF_price_list[[#This Row],[Unit]]</f>
        <v>6.7000000000000002E-3</v>
      </c>
    </row>
    <row r="445" spans="12:32" ht="17">
      <c r="L445" s="416"/>
      <c r="M445" s="416"/>
      <c r="N445" s="416"/>
      <c r="O445" s="439"/>
      <c r="P445" s="417"/>
      <c r="Q445" s="417"/>
      <c r="R445" s="417">
        <f>IFERROR(ROUND(Bunuri_lab_nomenc[[#This Row],[Cost unitate GFATM_valuta]]*VLOOKUP(Bunuri_lab_nomenc[[#This Row],[Valuta cost GFATM]],$B$58:$D$59,2,0),2),0)</f>
        <v>0</v>
      </c>
      <c r="S445" s="417" t="str">
        <f>IFERROR(VLOOKUP(Bunuri_lab_nomenc[[#This Row],[Denumire catalog GDF]],GDF_price_list[[Product Name]:[Column1]],8,0),"")</f>
        <v/>
      </c>
      <c r="T445" s="417" t="e">
        <f>VLOOKUP(Bunuri_lab_nomenc[[#This Row],[Denumire catalog GDF]],GDF_price_list[[Product Name]:[Column1]],7,0)</f>
        <v>#N/A</v>
      </c>
      <c r="V445" s="786" t="s">
        <v>666</v>
      </c>
      <c r="W445" s="738" t="s">
        <v>768</v>
      </c>
      <c r="X445" s="739">
        <v>106268</v>
      </c>
      <c r="Y445" s="740" t="s">
        <v>1171</v>
      </c>
      <c r="Z445" s="742" t="s">
        <v>610</v>
      </c>
      <c r="AA445" s="742" t="s">
        <v>535</v>
      </c>
      <c r="AB445" s="742">
        <v>1000</v>
      </c>
      <c r="AC445" s="743" t="s">
        <v>1172</v>
      </c>
      <c r="AD445" s="744">
        <v>175.25</v>
      </c>
      <c r="AE445" s="787" t="s">
        <v>435</v>
      </c>
      <c r="AF445">
        <f>GDF_price_list[[#This Row],[Indicative 
FCA Price]]/GDF_price_list[[#This Row],[Unit]]</f>
        <v>0.17524999999999999</v>
      </c>
    </row>
    <row r="446" spans="12:32" ht="17">
      <c r="L446" s="416"/>
      <c r="M446" s="416"/>
      <c r="N446" s="416"/>
      <c r="O446" s="439"/>
      <c r="P446" s="417"/>
      <c r="Q446" s="417"/>
      <c r="R446" s="417">
        <f>IFERROR(ROUND(Bunuri_lab_nomenc[[#This Row],[Cost unitate GFATM_valuta]]*VLOOKUP(Bunuri_lab_nomenc[[#This Row],[Valuta cost GFATM]],$B$58:$D$59,2,0),2),0)</f>
        <v>0</v>
      </c>
      <c r="S446" s="417" t="str">
        <f>IFERROR(VLOOKUP(Bunuri_lab_nomenc[[#This Row],[Denumire catalog GDF]],GDF_price_list[[Product Name]:[Column1]],8,0),"")</f>
        <v/>
      </c>
      <c r="T446" s="417" t="e">
        <f>VLOOKUP(Bunuri_lab_nomenc[[#This Row],[Denumire catalog GDF]],GDF_price_list[[Product Name]:[Column1]],7,0)</f>
        <v>#N/A</v>
      </c>
      <c r="V446" s="786" t="s">
        <v>638</v>
      </c>
      <c r="W446" s="738" t="s">
        <v>988</v>
      </c>
      <c r="X446" s="739">
        <v>106331</v>
      </c>
      <c r="Y446" s="740" t="s">
        <v>1403</v>
      </c>
      <c r="Z446" s="742" t="s">
        <v>610</v>
      </c>
      <c r="AA446" s="742" t="s">
        <v>535</v>
      </c>
      <c r="AB446" s="742">
        <v>1000</v>
      </c>
      <c r="AC446" s="743" t="s">
        <v>1404</v>
      </c>
      <c r="AD446" s="744">
        <v>69.66</v>
      </c>
      <c r="AE446" s="787" t="s">
        <v>435</v>
      </c>
      <c r="AF446">
        <f>GDF_price_list[[#This Row],[Indicative 
FCA Price]]/GDF_price_list[[#This Row],[Unit]]</f>
        <v>6.966E-2</v>
      </c>
    </row>
    <row r="447" spans="12:32" ht="17">
      <c r="L447" s="416"/>
      <c r="M447" s="416"/>
      <c r="N447" s="416"/>
      <c r="O447" s="439"/>
      <c r="P447" s="417"/>
      <c r="Q447" s="417"/>
      <c r="R447" s="417">
        <f>IFERROR(ROUND(Bunuri_lab_nomenc[[#This Row],[Cost unitate GFATM_valuta]]*VLOOKUP(Bunuri_lab_nomenc[[#This Row],[Valuta cost GFATM]],$B$58:$D$59,2,0),2),0)</f>
        <v>0</v>
      </c>
      <c r="S447" s="417" t="str">
        <f>IFERROR(VLOOKUP(Bunuri_lab_nomenc[[#This Row],[Denumire catalog GDF]],GDF_price_list[[Product Name]:[Column1]],8,0),"")</f>
        <v/>
      </c>
      <c r="T447" s="417" t="e">
        <f>VLOOKUP(Bunuri_lab_nomenc[[#This Row],[Denumire catalog GDF]],GDF_price_list[[Product Name]:[Column1]],7,0)</f>
        <v>#N/A</v>
      </c>
      <c r="V447" s="786" t="s">
        <v>675</v>
      </c>
      <c r="W447" s="738" t="s">
        <v>676</v>
      </c>
      <c r="X447" s="739">
        <v>106292</v>
      </c>
      <c r="Y447" s="740" t="s">
        <v>1458</v>
      </c>
      <c r="Z447" s="742" t="s">
        <v>610</v>
      </c>
      <c r="AA447" s="742" t="s">
        <v>535</v>
      </c>
      <c r="AB447" s="742">
        <v>1000</v>
      </c>
      <c r="AC447" s="743" t="s">
        <v>1459</v>
      </c>
      <c r="AD447" s="744">
        <v>116.82</v>
      </c>
      <c r="AE447" s="787" t="s">
        <v>435</v>
      </c>
      <c r="AF447">
        <f>GDF_price_list[[#This Row],[Indicative 
FCA Price]]/GDF_price_list[[#This Row],[Unit]]</f>
        <v>0.11681999999999999</v>
      </c>
    </row>
    <row r="448" spans="12:32" ht="34">
      <c r="L448" s="416"/>
      <c r="M448" s="416"/>
      <c r="N448" s="416"/>
      <c r="O448" s="439"/>
      <c r="P448" s="417"/>
      <c r="Q448" s="417"/>
      <c r="R448" s="417">
        <f>IFERROR(ROUND(Bunuri_lab_nomenc[[#This Row],[Cost unitate GFATM_valuta]]*VLOOKUP(Bunuri_lab_nomenc[[#This Row],[Valuta cost GFATM]],$B$58:$D$59,2,0),2),0)</f>
        <v>0</v>
      </c>
      <c r="S448" s="417" t="str">
        <f>IFERROR(VLOOKUP(Bunuri_lab_nomenc[[#This Row],[Denumire catalog GDF]],GDF_price_list[[Product Name]:[Column1]],8,0),"")</f>
        <v/>
      </c>
      <c r="T448" s="417" t="e">
        <f>VLOOKUP(Bunuri_lab_nomenc[[#This Row],[Denumire catalog GDF]],GDF_price_list[[Product Name]:[Column1]],7,0)</f>
        <v>#N/A</v>
      </c>
      <c r="V448" s="786" t="s">
        <v>666</v>
      </c>
      <c r="W448" s="738" t="s">
        <v>768</v>
      </c>
      <c r="X448" s="739">
        <v>106263</v>
      </c>
      <c r="Y448" s="740" t="s">
        <v>539</v>
      </c>
      <c r="Z448" s="742" t="s">
        <v>610</v>
      </c>
      <c r="AA448" s="742" t="s">
        <v>535</v>
      </c>
      <c r="AB448" s="742">
        <v>1000</v>
      </c>
      <c r="AC448" s="743" t="s">
        <v>1460</v>
      </c>
      <c r="AD448" s="744">
        <v>37.24</v>
      </c>
      <c r="AE448" s="787" t="s">
        <v>435</v>
      </c>
      <c r="AF448">
        <f>GDF_price_list[[#This Row],[Indicative 
FCA Price]]/GDF_price_list[[#This Row],[Unit]]</f>
        <v>3.7240000000000002E-2</v>
      </c>
    </row>
    <row r="449" spans="12:32" ht="17">
      <c r="L449" s="416"/>
      <c r="M449" s="416"/>
      <c r="N449" s="416"/>
      <c r="O449" s="439"/>
      <c r="P449" s="417"/>
      <c r="Q449" s="417"/>
      <c r="R449" s="417">
        <f>IFERROR(ROUND(Bunuri_lab_nomenc[[#This Row],[Cost unitate GFATM_valuta]]*VLOOKUP(Bunuri_lab_nomenc[[#This Row],[Valuta cost GFATM]],$B$58:$D$59,2,0),2),0)</f>
        <v>0</v>
      </c>
      <c r="S449" s="417" t="str">
        <f>IFERROR(VLOOKUP(Bunuri_lab_nomenc[[#This Row],[Denumire catalog GDF]],GDF_price_list[[Product Name]:[Column1]],8,0),"")</f>
        <v/>
      </c>
      <c r="T449" s="417" t="e">
        <f>VLOOKUP(Bunuri_lab_nomenc[[#This Row],[Denumire catalog GDF]],GDF_price_list[[Product Name]:[Column1]],7,0)</f>
        <v>#N/A</v>
      </c>
      <c r="V449" s="786" t="s">
        <v>718</v>
      </c>
      <c r="W449" s="738" t="s">
        <v>798</v>
      </c>
      <c r="X449" s="745">
        <v>106154</v>
      </c>
      <c r="Y449" s="740" t="s">
        <v>1568</v>
      </c>
      <c r="Z449" s="742" t="s">
        <v>610</v>
      </c>
      <c r="AA449" s="742" t="s">
        <v>535</v>
      </c>
      <c r="AB449" s="742">
        <v>1000</v>
      </c>
      <c r="AC449" s="743" t="s">
        <v>1569</v>
      </c>
      <c r="AD449" s="744">
        <v>55.25</v>
      </c>
      <c r="AE449" s="787" t="s">
        <v>435</v>
      </c>
      <c r="AF449">
        <f>GDF_price_list[[#This Row],[Indicative 
FCA Price]]/GDF_price_list[[#This Row],[Unit]]</f>
        <v>5.525E-2</v>
      </c>
    </row>
    <row r="450" spans="12:32" ht="17">
      <c r="L450" s="416"/>
      <c r="M450" s="416"/>
      <c r="N450" s="416"/>
      <c r="O450" s="439"/>
      <c r="P450" s="417"/>
      <c r="Q450" s="417"/>
      <c r="R450" s="417">
        <f>IFERROR(ROUND(Bunuri_lab_nomenc[[#This Row],[Cost unitate GFATM_valuta]]*VLOOKUP(Bunuri_lab_nomenc[[#This Row],[Valuta cost GFATM]],$B$58:$D$59,2,0),2),0)</f>
        <v>0</v>
      </c>
      <c r="S450" s="417" t="str">
        <f>IFERROR(VLOOKUP(Bunuri_lab_nomenc[[#This Row],[Denumire catalog GDF]],GDF_price_list[[Product Name]:[Column1]],8,0),"")</f>
        <v/>
      </c>
      <c r="T450" s="417" t="e">
        <f>VLOOKUP(Bunuri_lab_nomenc[[#This Row],[Denumire catalog GDF]],GDF_price_list[[Product Name]:[Column1]],7,0)</f>
        <v>#N/A</v>
      </c>
      <c r="V450" s="786" t="s">
        <v>612</v>
      </c>
      <c r="W450" s="738" t="s">
        <v>653</v>
      </c>
      <c r="X450" s="739">
        <v>106323</v>
      </c>
      <c r="Y450" s="740" t="s">
        <v>1592</v>
      </c>
      <c r="Z450" s="742" t="s">
        <v>610</v>
      </c>
      <c r="AA450" s="742" t="s">
        <v>535</v>
      </c>
      <c r="AB450" s="742">
        <v>1000</v>
      </c>
      <c r="AC450" s="743" t="s">
        <v>1593</v>
      </c>
      <c r="AD450" s="744">
        <v>40.4</v>
      </c>
      <c r="AE450" s="787" t="s">
        <v>435</v>
      </c>
      <c r="AF450">
        <f>GDF_price_list[[#This Row],[Indicative 
FCA Price]]/GDF_price_list[[#This Row],[Unit]]</f>
        <v>4.0399999999999998E-2</v>
      </c>
    </row>
    <row r="451" spans="12:32" ht="17">
      <c r="L451" s="416"/>
      <c r="M451" s="416"/>
      <c r="N451" s="416"/>
      <c r="O451" s="439"/>
      <c r="P451" s="417"/>
      <c r="Q451" s="417"/>
      <c r="R451" s="417">
        <f>IFERROR(ROUND(Bunuri_lab_nomenc[[#This Row],[Cost unitate GFATM_valuta]]*VLOOKUP(Bunuri_lab_nomenc[[#This Row],[Valuta cost GFATM]],$B$58:$D$59,2,0),2),0)</f>
        <v>0</v>
      </c>
      <c r="S451" s="417" t="str">
        <f>IFERROR(VLOOKUP(Bunuri_lab_nomenc[[#This Row],[Denumire catalog GDF]],GDF_price_list[[Product Name]:[Column1]],8,0),"")</f>
        <v/>
      </c>
      <c r="T451" s="417" t="e">
        <f>VLOOKUP(Bunuri_lab_nomenc[[#This Row],[Denumire catalog GDF]],GDF_price_list[[Product Name]:[Column1]],7,0)</f>
        <v>#N/A</v>
      </c>
      <c r="V451" s="786" t="s">
        <v>607</v>
      </c>
      <c r="W451" s="738" t="s">
        <v>608</v>
      </c>
      <c r="X451" s="739">
        <v>106287</v>
      </c>
      <c r="Y451" s="740" t="s">
        <v>1594</v>
      </c>
      <c r="Z451" s="741" t="s">
        <v>610</v>
      </c>
      <c r="AA451" s="742" t="s">
        <v>535</v>
      </c>
      <c r="AB451" s="742">
        <v>1000</v>
      </c>
      <c r="AC451" s="743" t="s">
        <v>1595</v>
      </c>
      <c r="AD451" s="744">
        <v>21.7</v>
      </c>
      <c r="AE451" s="787" t="s">
        <v>435</v>
      </c>
      <c r="AF451">
        <f>GDF_price_list[[#This Row],[Indicative 
FCA Price]]/GDF_price_list[[#This Row],[Unit]]</f>
        <v>2.1700000000000001E-2</v>
      </c>
    </row>
    <row r="452" spans="12:32" ht="17">
      <c r="L452" s="416"/>
      <c r="M452" s="416"/>
      <c r="N452" s="416"/>
      <c r="O452" s="439"/>
      <c r="P452" s="417"/>
      <c r="Q452" s="417"/>
      <c r="R452" s="417">
        <f>IFERROR(ROUND(Bunuri_lab_nomenc[[#This Row],[Cost unitate GFATM_valuta]]*VLOOKUP(Bunuri_lab_nomenc[[#This Row],[Valuta cost GFATM]],$B$58:$D$59,2,0),2),0)</f>
        <v>0</v>
      </c>
      <c r="S452" s="417" t="str">
        <f>IFERROR(VLOOKUP(Bunuri_lab_nomenc[[#This Row],[Denumire catalog GDF]],GDF_price_list[[Product Name]:[Column1]],8,0),"")</f>
        <v/>
      </c>
      <c r="T452" s="417" t="e">
        <f>VLOOKUP(Bunuri_lab_nomenc[[#This Row],[Denumire catalog GDF]],GDF_price_list[[Product Name]:[Column1]],7,0)</f>
        <v>#N/A</v>
      </c>
      <c r="V452" s="786" t="s">
        <v>607</v>
      </c>
      <c r="W452" s="738" t="s">
        <v>608</v>
      </c>
      <c r="X452" s="739">
        <v>106281</v>
      </c>
      <c r="Y452" s="740" t="s">
        <v>1596</v>
      </c>
      <c r="Z452" s="741" t="s">
        <v>610</v>
      </c>
      <c r="AA452" s="742" t="s">
        <v>535</v>
      </c>
      <c r="AB452" s="742">
        <v>1000</v>
      </c>
      <c r="AC452" s="743" t="s">
        <v>1597</v>
      </c>
      <c r="AD452" s="744">
        <v>34.619999999999997</v>
      </c>
      <c r="AE452" s="787" t="s">
        <v>435</v>
      </c>
      <c r="AF452">
        <f>GDF_price_list[[#This Row],[Indicative 
FCA Price]]/GDF_price_list[[#This Row],[Unit]]</f>
        <v>3.4619999999999998E-2</v>
      </c>
    </row>
    <row r="453" spans="12:32" ht="17">
      <c r="L453" s="416"/>
      <c r="M453" s="416"/>
      <c r="N453" s="416"/>
      <c r="O453" s="439"/>
      <c r="P453" s="417"/>
      <c r="Q453" s="417"/>
      <c r="R453" s="417">
        <f>IFERROR(ROUND(Bunuri_lab_nomenc[[#This Row],[Cost unitate GFATM_valuta]]*VLOOKUP(Bunuri_lab_nomenc[[#This Row],[Valuta cost GFATM]],$B$58:$D$59,2,0),2),0)</f>
        <v>0</v>
      </c>
      <c r="S453" s="417" t="str">
        <f>IFERROR(VLOOKUP(Bunuri_lab_nomenc[[#This Row],[Denumire catalog GDF]],GDF_price_list[[Product Name]:[Column1]],8,0),"")</f>
        <v/>
      </c>
      <c r="T453" s="417" t="e">
        <f>VLOOKUP(Bunuri_lab_nomenc[[#This Row],[Denumire catalog GDF]],GDF_price_list[[Product Name]:[Column1]],7,0)</f>
        <v>#N/A</v>
      </c>
      <c r="V453" s="786" t="s">
        <v>666</v>
      </c>
      <c r="W453" s="738" t="s">
        <v>768</v>
      </c>
      <c r="X453" s="739">
        <v>106269</v>
      </c>
      <c r="Y453" s="740" t="s">
        <v>1600</v>
      </c>
      <c r="Z453" s="742" t="s">
        <v>610</v>
      </c>
      <c r="AA453" s="742" t="s">
        <v>535</v>
      </c>
      <c r="AB453" s="742">
        <v>1000</v>
      </c>
      <c r="AC453" s="743" t="s">
        <v>1601</v>
      </c>
      <c r="AD453" s="744">
        <v>127.77</v>
      </c>
      <c r="AE453" s="787" t="s">
        <v>435</v>
      </c>
      <c r="AF453">
        <f>GDF_price_list[[#This Row],[Indicative 
FCA Price]]/GDF_price_list[[#This Row],[Unit]]</f>
        <v>0.12776999999999999</v>
      </c>
    </row>
    <row r="454" spans="12:32" ht="17">
      <c r="L454" s="416"/>
      <c r="M454" s="416"/>
      <c r="N454" s="416"/>
      <c r="O454" s="439"/>
      <c r="P454" s="417"/>
      <c r="Q454" s="417"/>
      <c r="R454" s="417">
        <f>IFERROR(ROUND(Bunuri_lab_nomenc[[#This Row],[Cost unitate GFATM_valuta]]*VLOOKUP(Bunuri_lab_nomenc[[#This Row],[Valuta cost GFATM]],$B$58:$D$59,2,0),2),0)</f>
        <v>0</v>
      </c>
      <c r="S454" s="417" t="str">
        <f>IFERROR(VLOOKUP(Bunuri_lab_nomenc[[#This Row],[Denumire catalog GDF]],GDF_price_list[[Product Name]:[Column1]],8,0),"")</f>
        <v/>
      </c>
      <c r="T454" s="417" t="e">
        <f>VLOOKUP(Bunuri_lab_nomenc[[#This Row],[Denumire catalog GDF]],GDF_price_list[[Product Name]:[Column1]],7,0)</f>
        <v>#N/A</v>
      </c>
      <c r="V454" s="786" t="s">
        <v>612</v>
      </c>
      <c r="W454" s="738" t="s">
        <v>653</v>
      </c>
      <c r="X454" s="739">
        <v>106325</v>
      </c>
      <c r="Y454" s="740" t="s">
        <v>1736</v>
      </c>
      <c r="Z454" s="742" t="s">
        <v>610</v>
      </c>
      <c r="AA454" s="742" t="s">
        <v>535</v>
      </c>
      <c r="AB454" s="742">
        <v>1000</v>
      </c>
      <c r="AC454" s="743" t="s">
        <v>1737</v>
      </c>
      <c r="AD454" s="744">
        <v>216.41</v>
      </c>
      <c r="AE454" s="787" t="s">
        <v>435</v>
      </c>
      <c r="AF454">
        <f>GDF_price_list[[#This Row],[Indicative 
FCA Price]]/GDF_price_list[[#This Row],[Unit]]</f>
        <v>0.21640999999999999</v>
      </c>
    </row>
    <row r="455" spans="12:32" ht="17">
      <c r="L455" s="416"/>
      <c r="M455" s="416"/>
      <c r="N455" s="416"/>
      <c r="O455" s="439"/>
      <c r="P455" s="417"/>
      <c r="Q455" s="417"/>
      <c r="R455" s="417">
        <f>IFERROR(ROUND(Bunuri_lab_nomenc[[#This Row],[Cost unitate GFATM_valuta]]*VLOOKUP(Bunuri_lab_nomenc[[#This Row],[Valuta cost GFATM]],$B$58:$D$59,2,0),2),0)</f>
        <v>0</v>
      </c>
      <c r="S455" s="417" t="str">
        <f>IFERROR(VLOOKUP(Bunuri_lab_nomenc[[#This Row],[Denumire catalog GDF]],GDF_price_list[[Product Name]:[Column1]],8,0),"")</f>
        <v/>
      </c>
      <c r="T455" s="417" t="e">
        <f>VLOOKUP(Bunuri_lab_nomenc[[#This Row],[Denumire catalog GDF]],GDF_price_list[[Product Name]:[Column1]],7,0)</f>
        <v>#N/A</v>
      </c>
      <c r="V455" s="786" t="s">
        <v>607</v>
      </c>
      <c r="W455" s="738" t="s">
        <v>608</v>
      </c>
      <c r="X455" s="739">
        <v>106284</v>
      </c>
      <c r="Y455" s="740" t="s">
        <v>1738</v>
      </c>
      <c r="Z455" s="741" t="s">
        <v>610</v>
      </c>
      <c r="AA455" s="742" t="s">
        <v>535</v>
      </c>
      <c r="AB455" s="742">
        <v>1000</v>
      </c>
      <c r="AC455" s="743" t="s">
        <v>1739</v>
      </c>
      <c r="AD455" s="744">
        <v>72.599999999999994</v>
      </c>
      <c r="AE455" s="787" t="s">
        <v>435</v>
      </c>
      <c r="AF455">
        <f>GDF_price_list[[#This Row],[Indicative 
FCA Price]]/GDF_price_list[[#This Row],[Unit]]</f>
        <v>7.2599999999999998E-2</v>
      </c>
    </row>
    <row r="456" spans="12:32" ht="17">
      <c r="L456" s="416"/>
      <c r="M456" s="416"/>
      <c r="N456" s="416"/>
      <c r="O456" s="439"/>
      <c r="P456" s="417"/>
      <c r="Q456" s="417"/>
      <c r="R456" s="417">
        <f>IFERROR(ROUND(Bunuri_lab_nomenc[[#This Row],[Cost unitate GFATM_valuta]]*VLOOKUP(Bunuri_lab_nomenc[[#This Row],[Valuta cost GFATM]],$B$58:$D$59,2,0),2),0)</f>
        <v>0</v>
      </c>
      <c r="S456" s="417" t="str">
        <f>IFERROR(VLOOKUP(Bunuri_lab_nomenc[[#This Row],[Denumire catalog GDF]],GDF_price_list[[Product Name]:[Column1]],8,0),"")</f>
        <v/>
      </c>
      <c r="T456" s="417" t="e">
        <f>VLOOKUP(Bunuri_lab_nomenc[[#This Row],[Denumire catalog GDF]],GDF_price_list[[Product Name]:[Column1]],7,0)</f>
        <v>#N/A</v>
      </c>
      <c r="V456" s="786" t="s">
        <v>607</v>
      </c>
      <c r="W456" s="738" t="s">
        <v>608</v>
      </c>
      <c r="X456" s="739">
        <v>106282</v>
      </c>
      <c r="Y456" s="740" t="s">
        <v>1740</v>
      </c>
      <c r="Z456" s="741" t="s">
        <v>610</v>
      </c>
      <c r="AA456" s="742" t="s">
        <v>535</v>
      </c>
      <c r="AB456" s="742">
        <v>1000</v>
      </c>
      <c r="AC456" s="743" t="s">
        <v>1741</v>
      </c>
      <c r="AD456" s="744">
        <v>34.22</v>
      </c>
      <c r="AE456" s="787" t="s">
        <v>435</v>
      </c>
      <c r="AF456">
        <f>GDF_price_list[[#This Row],[Indicative 
FCA Price]]/GDF_price_list[[#This Row],[Unit]]</f>
        <v>3.422E-2</v>
      </c>
    </row>
    <row r="457" spans="12:32" ht="272">
      <c r="L457" s="416"/>
      <c r="M457" s="416"/>
      <c r="N457" s="416"/>
      <c r="O457" s="439"/>
      <c r="P457" s="417"/>
      <c r="Q457" s="417"/>
      <c r="R457" s="417">
        <f>IFERROR(ROUND(Bunuri_lab_nomenc[[#This Row],[Cost unitate GFATM_valuta]]*VLOOKUP(Bunuri_lab_nomenc[[#This Row],[Valuta cost GFATM]],$B$58:$D$59,2,0),2),0)</f>
        <v>0</v>
      </c>
      <c r="S457" s="417" t="str">
        <f>IFERROR(VLOOKUP(Bunuri_lab_nomenc[[#This Row],[Denumire catalog GDF]],GDF_price_list[[Product Name]:[Column1]],8,0),"")</f>
        <v/>
      </c>
      <c r="T457" s="417" t="e">
        <f>VLOOKUP(Bunuri_lab_nomenc[[#This Row],[Denumire catalog GDF]],GDF_price_list[[Product Name]:[Column1]],7,0)</f>
        <v>#N/A</v>
      </c>
      <c r="V457" s="786" t="s">
        <v>648</v>
      </c>
      <c r="W457" s="738" t="s">
        <v>886</v>
      </c>
      <c r="X457" s="739">
        <v>106522</v>
      </c>
      <c r="Y457" s="740" t="s">
        <v>887</v>
      </c>
      <c r="Z457" s="742" t="s">
        <v>651</v>
      </c>
      <c r="AA457" s="742" t="s">
        <v>542</v>
      </c>
      <c r="AB457" s="764">
        <v>1</v>
      </c>
      <c r="AC457" s="774" t="s">
        <v>888</v>
      </c>
      <c r="AD457" s="744">
        <v>244</v>
      </c>
      <c r="AE457" s="790" t="s">
        <v>435</v>
      </c>
      <c r="AF457">
        <f>GDF_price_list[[#This Row],[Indicative 
FCA Price]]/GDF_price_list[[#This Row],[Unit]]</f>
        <v>244</v>
      </c>
    </row>
    <row r="458" spans="12:32" ht="289">
      <c r="L458" s="416"/>
      <c r="M458" s="416"/>
      <c r="N458" s="416"/>
      <c r="O458" s="439"/>
      <c r="P458" s="417"/>
      <c r="Q458" s="417"/>
      <c r="R458" s="417">
        <f>IFERROR(ROUND(Bunuri_lab_nomenc[[#This Row],[Cost unitate GFATM_valuta]]*VLOOKUP(Bunuri_lab_nomenc[[#This Row],[Valuta cost GFATM]],$B$58:$D$59,2,0),2),0)</f>
        <v>0</v>
      </c>
      <c r="S458" s="417" t="str">
        <f>IFERROR(VLOOKUP(Bunuri_lab_nomenc[[#This Row],[Denumire catalog GDF]],GDF_price_list[[Product Name]:[Column1]],8,0),"")</f>
        <v/>
      </c>
      <c r="T458" s="417" t="e">
        <f>VLOOKUP(Bunuri_lab_nomenc[[#This Row],[Denumire catalog GDF]],GDF_price_list[[Product Name]:[Column1]],7,0)</f>
        <v>#N/A</v>
      </c>
      <c r="V458" s="786" t="s">
        <v>648</v>
      </c>
      <c r="W458" s="738" t="s">
        <v>886</v>
      </c>
      <c r="X458" s="739">
        <v>106523</v>
      </c>
      <c r="Y458" s="754" t="s">
        <v>889</v>
      </c>
      <c r="Z458" s="741" t="s">
        <v>651</v>
      </c>
      <c r="AA458" s="742" t="s">
        <v>542</v>
      </c>
      <c r="AB458" s="764">
        <v>1</v>
      </c>
      <c r="AC458" s="775" t="s">
        <v>890</v>
      </c>
      <c r="AD458" s="744">
        <v>182.5</v>
      </c>
      <c r="AE458" s="790" t="s">
        <v>435</v>
      </c>
      <c r="AF458">
        <f>GDF_price_list[[#This Row],[Indicative 
FCA Price]]/GDF_price_list[[#This Row],[Unit]]</f>
        <v>182.5</v>
      </c>
    </row>
    <row r="459" spans="12:32" ht="289">
      <c r="L459" s="416"/>
      <c r="M459" s="416"/>
      <c r="N459" s="416"/>
      <c r="O459" s="439"/>
      <c r="P459" s="417"/>
      <c r="Q459" s="417"/>
      <c r="R459" s="417">
        <f>IFERROR(ROUND(Bunuri_lab_nomenc[[#This Row],[Cost unitate GFATM_valuta]]*VLOOKUP(Bunuri_lab_nomenc[[#This Row],[Valuta cost GFATM]],$B$58:$D$59,2,0),2),0)</f>
        <v>0</v>
      </c>
      <c r="S459" s="417" t="str">
        <f>IFERROR(VLOOKUP(Bunuri_lab_nomenc[[#This Row],[Denumire catalog GDF]],GDF_price_list[[Product Name]:[Column1]],8,0),"")</f>
        <v/>
      </c>
      <c r="T459" s="417" t="e">
        <f>VLOOKUP(Bunuri_lab_nomenc[[#This Row],[Denumire catalog GDF]],GDF_price_list[[Product Name]:[Column1]],7,0)</f>
        <v>#N/A</v>
      </c>
      <c r="V459" s="786" t="s">
        <v>648</v>
      </c>
      <c r="W459" s="738" t="s">
        <v>886</v>
      </c>
      <c r="X459" s="739">
        <v>106526</v>
      </c>
      <c r="Y459" s="740" t="s">
        <v>1634</v>
      </c>
      <c r="Z459" s="742" t="s">
        <v>651</v>
      </c>
      <c r="AA459" s="742" t="s">
        <v>542</v>
      </c>
      <c r="AB459" s="764">
        <v>1</v>
      </c>
      <c r="AC459" s="774" t="s">
        <v>1635</v>
      </c>
      <c r="AD459" s="744">
        <v>117.5</v>
      </c>
      <c r="AE459" s="790" t="s">
        <v>435</v>
      </c>
      <c r="AF459">
        <f>GDF_price_list[[#This Row],[Indicative 
FCA Price]]/GDF_price_list[[#This Row],[Unit]]</f>
        <v>117.5</v>
      </c>
    </row>
    <row r="460" spans="12:32" ht="51">
      <c r="L460" s="416"/>
      <c r="M460" s="416"/>
      <c r="N460" s="416"/>
      <c r="O460" s="439"/>
      <c r="P460" s="417"/>
      <c r="Q460" s="417"/>
      <c r="R460" s="417">
        <f>IFERROR(ROUND(Bunuri_lab_nomenc[[#This Row],[Cost unitate GFATM_valuta]]*VLOOKUP(Bunuri_lab_nomenc[[#This Row],[Valuta cost GFATM]],$B$58:$D$59,2,0),2),0)</f>
        <v>0</v>
      </c>
      <c r="S460" s="417" t="str">
        <f>IFERROR(VLOOKUP(Bunuri_lab_nomenc[[#This Row],[Denumire catalog GDF]],GDF_price_list[[Product Name]:[Column1]],8,0),"")</f>
        <v/>
      </c>
      <c r="T460" s="417" t="e">
        <f>VLOOKUP(Bunuri_lab_nomenc[[#This Row],[Denumire catalog GDF]],GDF_price_list[[Product Name]:[Column1]],7,0)</f>
        <v>#N/A</v>
      </c>
      <c r="V460" s="786" t="s">
        <v>656</v>
      </c>
      <c r="W460" s="738" t="s">
        <v>657</v>
      </c>
      <c r="X460" s="739">
        <v>106667</v>
      </c>
      <c r="Y460" s="743" t="s">
        <v>1701</v>
      </c>
      <c r="Z460" s="742" t="s">
        <v>659</v>
      </c>
      <c r="AA460" s="742" t="s">
        <v>542</v>
      </c>
      <c r="AB460" s="764">
        <v>1</v>
      </c>
      <c r="AC460" s="743" t="s">
        <v>1701</v>
      </c>
      <c r="AD460" s="744">
        <v>693</v>
      </c>
      <c r="AE460" s="787" t="s">
        <v>435</v>
      </c>
      <c r="AF460">
        <f>GDF_price_list[[#This Row],[Indicative 
FCA Price]]/GDF_price_list[[#This Row],[Unit]]</f>
        <v>693</v>
      </c>
    </row>
    <row r="461" spans="12:32" ht="17">
      <c r="L461" s="416"/>
      <c r="M461" s="416"/>
      <c r="N461" s="416"/>
      <c r="O461" s="439"/>
      <c r="P461" s="417"/>
      <c r="Q461" s="417"/>
      <c r="R461" s="417">
        <f>IFERROR(ROUND(Bunuri_lab_nomenc[[#This Row],[Cost unitate GFATM_valuta]]*VLOOKUP(Bunuri_lab_nomenc[[#This Row],[Valuta cost GFATM]],$B$58:$D$59,2,0),2),0)</f>
        <v>0</v>
      </c>
      <c r="S461" s="417" t="str">
        <f>IFERROR(VLOOKUP(Bunuri_lab_nomenc[[#This Row],[Denumire catalog GDF]],GDF_price_list[[Product Name]:[Column1]],8,0),"")</f>
        <v/>
      </c>
      <c r="T461" s="417" t="e">
        <f>VLOOKUP(Bunuri_lab_nomenc[[#This Row],[Denumire catalog GDF]],GDF_price_list[[Product Name]:[Column1]],7,0)</f>
        <v>#N/A</v>
      </c>
      <c r="V461" s="786" t="s">
        <v>648</v>
      </c>
      <c r="W461" s="738" t="s">
        <v>691</v>
      </c>
      <c r="X461" s="749">
        <v>106662</v>
      </c>
      <c r="Y461" s="750" t="s">
        <v>692</v>
      </c>
      <c r="Z461" s="755" t="s">
        <v>651</v>
      </c>
      <c r="AA461" s="742" t="s">
        <v>542</v>
      </c>
      <c r="AB461" s="764">
        <v>1</v>
      </c>
      <c r="AC461" s="756" t="s">
        <v>693</v>
      </c>
      <c r="AD461" s="752">
        <v>3.29</v>
      </c>
      <c r="AE461" s="789" t="s">
        <v>435</v>
      </c>
      <c r="AF461">
        <f>GDF_price_list[[#This Row],[Indicative 
FCA Price]]/GDF_price_list[[#This Row],[Unit]]</f>
        <v>3.29</v>
      </c>
    </row>
    <row r="462" spans="12:32" ht="17">
      <c r="L462" s="416"/>
      <c r="M462" s="416"/>
      <c r="N462" s="416"/>
      <c r="O462" s="439"/>
      <c r="P462" s="417"/>
      <c r="Q462" s="417"/>
      <c r="R462" s="417">
        <f>IFERROR(ROUND(Bunuri_lab_nomenc[[#This Row],[Cost unitate GFATM_valuta]]*VLOOKUP(Bunuri_lab_nomenc[[#This Row],[Valuta cost GFATM]],$B$58:$D$59,2,0),2),0)</f>
        <v>0</v>
      </c>
      <c r="S462" s="417" t="str">
        <f>IFERROR(VLOOKUP(Bunuri_lab_nomenc[[#This Row],[Denumire catalog GDF]],GDF_price_list[[Product Name]:[Column1]],8,0),"")</f>
        <v/>
      </c>
      <c r="T462" s="417" t="e">
        <f>VLOOKUP(Bunuri_lab_nomenc[[#This Row],[Denumire catalog GDF]],GDF_price_list[[Product Name]:[Column1]],7,0)</f>
        <v>#N/A</v>
      </c>
      <c r="V462" s="786" t="s">
        <v>648</v>
      </c>
      <c r="W462" s="738" t="s">
        <v>691</v>
      </c>
      <c r="X462" s="749">
        <v>106661</v>
      </c>
      <c r="Y462" s="750" t="s">
        <v>694</v>
      </c>
      <c r="Z462" s="755" t="s">
        <v>651</v>
      </c>
      <c r="AA462" s="742" t="s">
        <v>542</v>
      </c>
      <c r="AB462" s="764">
        <v>1</v>
      </c>
      <c r="AC462" s="756" t="s">
        <v>695</v>
      </c>
      <c r="AD462" s="752">
        <v>4.28</v>
      </c>
      <c r="AE462" s="789" t="s">
        <v>435</v>
      </c>
      <c r="AF462">
        <f>GDF_price_list[[#This Row],[Indicative 
FCA Price]]/GDF_price_list[[#This Row],[Unit]]</f>
        <v>4.28</v>
      </c>
    </row>
    <row r="463" spans="12:32" ht="17">
      <c r="L463" s="416"/>
      <c r="M463" s="416"/>
      <c r="N463" s="416"/>
      <c r="O463" s="439"/>
      <c r="P463" s="417"/>
      <c r="Q463" s="417"/>
      <c r="R463" s="417">
        <f>IFERROR(ROUND(Bunuri_lab_nomenc[[#This Row],[Cost unitate GFATM_valuta]]*VLOOKUP(Bunuri_lab_nomenc[[#This Row],[Valuta cost GFATM]],$B$58:$D$59,2,0),2),0)</f>
        <v>0</v>
      </c>
      <c r="S463" s="417" t="str">
        <f>IFERROR(VLOOKUP(Bunuri_lab_nomenc[[#This Row],[Denumire catalog GDF]],GDF_price_list[[Product Name]:[Column1]],8,0),"")</f>
        <v/>
      </c>
      <c r="T463" s="417" t="e">
        <f>VLOOKUP(Bunuri_lab_nomenc[[#This Row],[Denumire catalog GDF]],GDF_price_list[[Product Name]:[Column1]],7,0)</f>
        <v>#N/A</v>
      </c>
      <c r="V463" s="786" t="s">
        <v>648</v>
      </c>
      <c r="W463" s="738" t="s">
        <v>691</v>
      </c>
      <c r="X463" s="749">
        <v>106597</v>
      </c>
      <c r="Y463" s="772" t="s">
        <v>872</v>
      </c>
      <c r="Z463" s="755" t="s">
        <v>610</v>
      </c>
      <c r="AA463" s="742" t="s">
        <v>542</v>
      </c>
      <c r="AB463" s="764">
        <v>1</v>
      </c>
      <c r="AC463" s="756" t="s">
        <v>873</v>
      </c>
      <c r="AD463" s="752">
        <v>12.89</v>
      </c>
      <c r="AE463" s="789" t="s">
        <v>435</v>
      </c>
      <c r="AF463">
        <f>GDF_price_list[[#This Row],[Indicative 
FCA Price]]/GDF_price_list[[#This Row],[Unit]]</f>
        <v>12.89</v>
      </c>
    </row>
    <row r="464" spans="12:32" ht="17">
      <c r="L464" s="416"/>
      <c r="M464" s="416"/>
      <c r="N464" s="416"/>
      <c r="O464" s="439"/>
      <c r="P464" s="417"/>
      <c r="Q464" s="417"/>
      <c r="R464" s="417">
        <f>IFERROR(ROUND(Bunuri_lab_nomenc[[#This Row],[Cost unitate GFATM_valuta]]*VLOOKUP(Bunuri_lab_nomenc[[#This Row],[Valuta cost GFATM]],$B$58:$D$59,2,0),2),0)</f>
        <v>0</v>
      </c>
      <c r="S464" s="417" t="str">
        <f>IFERROR(VLOOKUP(Bunuri_lab_nomenc[[#This Row],[Denumire catalog GDF]],GDF_price_list[[Product Name]:[Column1]],8,0),"")</f>
        <v/>
      </c>
      <c r="T464" s="417" t="e">
        <f>VLOOKUP(Bunuri_lab_nomenc[[#This Row],[Denumire catalog GDF]],GDF_price_list[[Product Name]:[Column1]],7,0)</f>
        <v>#N/A</v>
      </c>
      <c r="V464" s="786" t="s">
        <v>638</v>
      </c>
      <c r="W464" s="738" t="s">
        <v>835</v>
      </c>
      <c r="X464" s="739">
        <v>106374</v>
      </c>
      <c r="Y464" s="740" t="s">
        <v>907</v>
      </c>
      <c r="Z464" s="742" t="s">
        <v>610</v>
      </c>
      <c r="AA464" s="742" t="s">
        <v>542</v>
      </c>
      <c r="AB464" s="764">
        <v>1</v>
      </c>
      <c r="AC464" s="743" t="s">
        <v>908</v>
      </c>
      <c r="AD464" s="744">
        <v>9.09</v>
      </c>
      <c r="AE464" s="787" t="s">
        <v>435</v>
      </c>
      <c r="AF464">
        <f>GDF_price_list[[#This Row],[Indicative 
FCA Price]]/GDF_price_list[[#This Row],[Unit]]</f>
        <v>9.09</v>
      </c>
    </row>
    <row r="465" spans="12:32" ht="17">
      <c r="L465" s="416"/>
      <c r="M465" s="416"/>
      <c r="N465" s="416"/>
      <c r="O465" s="439"/>
      <c r="P465" s="417"/>
      <c r="Q465" s="417"/>
      <c r="R465" s="417">
        <f>IFERROR(ROUND(Bunuri_lab_nomenc[[#This Row],[Cost unitate GFATM_valuta]]*VLOOKUP(Bunuri_lab_nomenc[[#This Row],[Valuta cost GFATM]],$B$58:$D$59,2,0),2),0)</f>
        <v>0</v>
      </c>
      <c r="S465" s="417" t="str">
        <f>IFERROR(VLOOKUP(Bunuri_lab_nomenc[[#This Row],[Denumire catalog GDF]],GDF_price_list[[Product Name]:[Column1]],8,0),"")</f>
        <v/>
      </c>
      <c r="T465" s="417" t="e">
        <f>VLOOKUP(Bunuri_lab_nomenc[[#This Row],[Denumire catalog GDF]],GDF_price_list[[Product Name]:[Column1]],7,0)</f>
        <v>#N/A</v>
      </c>
      <c r="V465" s="786" t="s">
        <v>607</v>
      </c>
      <c r="W465" s="738" t="s">
        <v>608</v>
      </c>
      <c r="X465" s="739">
        <v>106280</v>
      </c>
      <c r="Y465" s="740" t="s">
        <v>963</v>
      </c>
      <c r="Z465" s="741" t="s">
        <v>610</v>
      </c>
      <c r="AA465" s="742" t="s">
        <v>542</v>
      </c>
      <c r="AB465" s="764">
        <v>1</v>
      </c>
      <c r="AC465" s="743" t="s">
        <v>964</v>
      </c>
      <c r="AD465" s="744">
        <v>17.5</v>
      </c>
      <c r="AE465" s="790" t="s">
        <v>435</v>
      </c>
      <c r="AF465">
        <f>GDF_price_list[[#This Row],[Indicative 
FCA Price]]/GDF_price_list[[#This Row],[Unit]]</f>
        <v>17.5</v>
      </c>
    </row>
    <row r="466" spans="12:32" ht="17">
      <c r="L466" s="416"/>
      <c r="M466" s="416"/>
      <c r="N466" s="416"/>
      <c r="O466" s="439"/>
      <c r="P466" s="417"/>
      <c r="Q466" s="417"/>
      <c r="R466" s="417">
        <f>IFERROR(ROUND(Bunuri_lab_nomenc[[#This Row],[Cost unitate GFATM_valuta]]*VLOOKUP(Bunuri_lab_nomenc[[#This Row],[Valuta cost GFATM]],$B$58:$D$59,2,0),2),0)</f>
        <v>0</v>
      </c>
      <c r="S466" s="417" t="str">
        <f>IFERROR(VLOOKUP(Bunuri_lab_nomenc[[#This Row],[Denumire catalog GDF]],GDF_price_list[[Product Name]:[Column1]],8,0),"")</f>
        <v/>
      </c>
      <c r="T466" s="417" t="e">
        <f>VLOOKUP(Bunuri_lab_nomenc[[#This Row],[Denumire catalog GDF]],GDF_price_list[[Product Name]:[Column1]],7,0)</f>
        <v>#N/A</v>
      </c>
      <c r="V466" s="786" t="s">
        <v>638</v>
      </c>
      <c r="W466" s="738" t="s">
        <v>988</v>
      </c>
      <c r="X466" s="739">
        <v>106328</v>
      </c>
      <c r="Y466" s="740" t="s">
        <v>989</v>
      </c>
      <c r="Z466" s="742" t="s">
        <v>610</v>
      </c>
      <c r="AA466" s="742" t="s">
        <v>542</v>
      </c>
      <c r="AB466" s="764">
        <v>1</v>
      </c>
      <c r="AC466" s="743" t="s">
        <v>990</v>
      </c>
      <c r="AD466" s="744">
        <v>33.82</v>
      </c>
      <c r="AE466" s="787" t="s">
        <v>435</v>
      </c>
      <c r="AF466">
        <f>GDF_price_list[[#This Row],[Indicative 
FCA Price]]/GDF_price_list[[#This Row],[Unit]]</f>
        <v>33.82</v>
      </c>
    </row>
    <row r="467" spans="12:32" ht="17">
      <c r="L467" s="416"/>
      <c r="M467" s="416"/>
      <c r="N467" s="416"/>
      <c r="O467" s="439"/>
      <c r="P467" s="417"/>
      <c r="Q467" s="417"/>
      <c r="R467" s="417">
        <f>IFERROR(ROUND(Bunuri_lab_nomenc[[#This Row],[Cost unitate GFATM_valuta]]*VLOOKUP(Bunuri_lab_nomenc[[#This Row],[Valuta cost GFATM]],$B$58:$D$59,2,0),2),0)</f>
        <v>0</v>
      </c>
      <c r="S467" s="417" t="str">
        <f>IFERROR(VLOOKUP(Bunuri_lab_nomenc[[#This Row],[Denumire catalog GDF]],GDF_price_list[[Product Name]:[Column1]],8,0),"")</f>
        <v/>
      </c>
      <c r="T467" s="417" t="e">
        <f>VLOOKUP(Bunuri_lab_nomenc[[#This Row],[Denumire catalog GDF]],GDF_price_list[[Product Name]:[Column1]],7,0)</f>
        <v>#N/A</v>
      </c>
      <c r="V467" s="786" t="s">
        <v>666</v>
      </c>
      <c r="W467" s="738" t="s">
        <v>768</v>
      </c>
      <c r="X467" s="739">
        <v>106261</v>
      </c>
      <c r="Y467" s="740" t="s">
        <v>1169</v>
      </c>
      <c r="Z467" s="742" t="s">
        <v>610</v>
      </c>
      <c r="AA467" s="742" t="s">
        <v>542</v>
      </c>
      <c r="AB467" s="764">
        <v>1</v>
      </c>
      <c r="AC467" s="743" t="s">
        <v>1170</v>
      </c>
      <c r="AD467" s="744">
        <v>17.02</v>
      </c>
      <c r="AE467" s="787" t="s">
        <v>435</v>
      </c>
      <c r="AF467">
        <f>GDF_price_list[[#This Row],[Indicative 
FCA Price]]/GDF_price_list[[#This Row],[Unit]]</f>
        <v>17.02</v>
      </c>
    </row>
    <row r="468" spans="12:32" ht="17">
      <c r="L468" s="416"/>
      <c r="M468" s="416"/>
      <c r="N468" s="416"/>
      <c r="O468" s="439"/>
      <c r="P468" s="417"/>
      <c r="Q468" s="417"/>
      <c r="R468" s="417">
        <f>IFERROR(ROUND(Bunuri_lab_nomenc[[#This Row],[Cost unitate GFATM_valuta]]*VLOOKUP(Bunuri_lab_nomenc[[#This Row],[Valuta cost GFATM]],$B$58:$D$59,2,0),2),0)</f>
        <v>0</v>
      </c>
      <c r="S468" s="417" t="str">
        <f>IFERROR(VLOOKUP(Bunuri_lab_nomenc[[#This Row],[Denumire catalog GDF]],GDF_price_list[[Product Name]:[Column1]],8,0),"")</f>
        <v/>
      </c>
      <c r="T468" s="417" t="e">
        <f>VLOOKUP(Bunuri_lab_nomenc[[#This Row],[Denumire catalog GDF]],GDF_price_list[[Product Name]:[Column1]],7,0)</f>
        <v>#N/A</v>
      </c>
      <c r="V468" s="786" t="s">
        <v>638</v>
      </c>
      <c r="W468" s="738" t="s">
        <v>835</v>
      </c>
      <c r="X468" s="739">
        <v>106373</v>
      </c>
      <c r="Y468" s="740" t="s">
        <v>1295</v>
      </c>
      <c r="Z468" s="742" t="s">
        <v>610</v>
      </c>
      <c r="AA468" s="742" t="s">
        <v>542</v>
      </c>
      <c r="AB468" s="764">
        <v>1</v>
      </c>
      <c r="AC468" s="743" t="s">
        <v>1296</v>
      </c>
      <c r="AD468" s="744">
        <v>3.14</v>
      </c>
      <c r="AE468" s="787" t="s">
        <v>435</v>
      </c>
      <c r="AF468">
        <f>GDF_price_list[[#This Row],[Indicative 
FCA Price]]/GDF_price_list[[#This Row],[Unit]]</f>
        <v>3.14</v>
      </c>
    </row>
    <row r="469" spans="12:32" ht="17">
      <c r="L469" s="416"/>
      <c r="M469" s="416"/>
      <c r="N469" s="416"/>
      <c r="O469" s="439"/>
      <c r="P469" s="417"/>
      <c r="Q469" s="417"/>
      <c r="R469" s="417">
        <f>IFERROR(ROUND(Bunuri_lab_nomenc[[#This Row],[Cost unitate GFATM_valuta]]*VLOOKUP(Bunuri_lab_nomenc[[#This Row],[Valuta cost GFATM]],$B$58:$D$59,2,0),2),0)</f>
        <v>0</v>
      </c>
      <c r="S469" s="417" t="str">
        <f>IFERROR(VLOOKUP(Bunuri_lab_nomenc[[#This Row],[Denumire catalog GDF]],GDF_price_list[[Product Name]:[Column1]],8,0),"")</f>
        <v/>
      </c>
      <c r="T469" s="417" t="e">
        <f>VLOOKUP(Bunuri_lab_nomenc[[#This Row],[Denumire catalog GDF]],GDF_price_list[[Product Name]:[Column1]],7,0)</f>
        <v>#N/A</v>
      </c>
      <c r="V469" s="786" t="s">
        <v>621</v>
      </c>
      <c r="W469" s="738" t="s">
        <v>622</v>
      </c>
      <c r="X469" s="739">
        <v>106380</v>
      </c>
      <c r="Y469" s="740" t="s">
        <v>1537</v>
      </c>
      <c r="Z469" s="742" t="s">
        <v>610</v>
      </c>
      <c r="AA469" s="742" t="s">
        <v>542</v>
      </c>
      <c r="AB469" s="764">
        <v>1</v>
      </c>
      <c r="AC469" s="743" t="s">
        <v>1538</v>
      </c>
      <c r="AD469" s="744">
        <v>12.52</v>
      </c>
      <c r="AE469" s="787" t="s">
        <v>435</v>
      </c>
      <c r="AF469">
        <f>GDF_price_list[[#This Row],[Indicative 
FCA Price]]/GDF_price_list[[#This Row],[Unit]]</f>
        <v>12.52</v>
      </c>
    </row>
    <row r="470" spans="12:32" ht="17">
      <c r="L470" s="416"/>
      <c r="M470" s="416"/>
      <c r="N470" s="416"/>
      <c r="O470" s="439"/>
      <c r="P470" s="417"/>
      <c r="Q470" s="417"/>
      <c r="R470" s="417">
        <f>IFERROR(ROUND(Bunuri_lab_nomenc[[#This Row],[Cost unitate GFATM_valuta]]*VLOOKUP(Bunuri_lab_nomenc[[#This Row],[Valuta cost GFATM]],$B$58:$D$59,2,0),2),0)</f>
        <v>0</v>
      </c>
      <c r="S470" s="417" t="str">
        <f>IFERROR(VLOOKUP(Bunuri_lab_nomenc[[#This Row],[Denumire catalog GDF]],GDF_price_list[[Product Name]:[Column1]],8,0),"")</f>
        <v/>
      </c>
      <c r="T470" s="417" t="e">
        <f>VLOOKUP(Bunuri_lab_nomenc[[#This Row],[Denumire catalog GDF]],GDF_price_list[[Product Name]:[Column1]],7,0)</f>
        <v>#N/A</v>
      </c>
      <c r="V470" s="786" t="s">
        <v>648</v>
      </c>
      <c r="W470" s="738" t="s">
        <v>691</v>
      </c>
      <c r="X470" s="749">
        <v>106659</v>
      </c>
      <c r="Y470" s="750" t="s">
        <v>1787</v>
      </c>
      <c r="Z470" s="755" t="s">
        <v>651</v>
      </c>
      <c r="AA470" s="742" t="s">
        <v>542</v>
      </c>
      <c r="AB470" s="764">
        <v>1</v>
      </c>
      <c r="AC470" s="756" t="s">
        <v>1788</v>
      </c>
      <c r="AD470" s="752">
        <v>3.29</v>
      </c>
      <c r="AE470" s="789" t="s">
        <v>435</v>
      </c>
      <c r="AF470">
        <f>GDF_price_list[[#This Row],[Indicative 
FCA Price]]/GDF_price_list[[#This Row],[Unit]]</f>
        <v>3.29</v>
      </c>
    </row>
    <row r="471" spans="12:32" ht="17">
      <c r="L471" s="416"/>
      <c r="M471" s="416"/>
      <c r="N471" s="416"/>
      <c r="O471" s="439"/>
      <c r="P471" s="417"/>
      <c r="Q471" s="417"/>
      <c r="R471" s="417">
        <f>IFERROR(ROUND(Bunuri_lab_nomenc[[#This Row],[Cost unitate GFATM_valuta]]*VLOOKUP(Bunuri_lab_nomenc[[#This Row],[Valuta cost GFATM]],$B$58:$D$59,2,0),2),0)</f>
        <v>0</v>
      </c>
      <c r="S471" s="417" t="str">
        <f>IFERROR(VLOOKUP(Bunuri_lab_nomenc[[#This Row],[Denumire catalog GDF]],GDF_price_list[[Product Name]:[Column1]],8,0),"")</f>
        <v/>
      </c>
      <c r="T471" s="417" t="e">
        <f>VLOOKUP(Bunuri_lab_nomenc[[#This Row],[Denumire catalog GDF]],GDF_price_list[[Product Name]:[Column1]],7,0)</f>
        <v>#N/A</v>
      </c>
      <c r="V471" s="786" t="s">
        <v>648</v>
      </c>
      <c r="W471" s="738" t="s">
        <v>691</v>
      </c>
      <c r="X471" s="749">
        <v>106658</v>
      </c>
      <c r="Y471" s="750" t="s">
        <v>1789</v>
      </c>
      <c r="Z471" s="755" t="s">
        <v>651</v>
      </c>
      <c r="AA471" s="742" t="s">
        <v>542</v>
      </c>
      <c r="AB471" s="764">
        <v>1</v>
      </c>
      <c r="AC471" s="756" t="s">
        <v>1790</v>
      </c>
      <c r="AD471" s="752">
        <v>4.9400000000000004</v>
      </c>
      <c r="AE471" s="789" t="s">
        <v>435</v>
      </c>
      <c r="AF471">
        <f>GDF_price_list[[#This Row],[Indicative 
FCA Price]]/GDF_price_list[[#This Row],[Unit]]</f>
        <v>4.9400000000000004</v>
      </c>
    </row>
    <row r="472" spans="12:32" ht="17">
      <c r="L472" s="416"/>
      <c r="M472" s="416"/>
      <c r="N472" s="416"/>
      <c r="O472" s="439"/>
      <c r="P472" s="417"/>
      <c r="Q472" s="417"/>
      <c r="R472" s="417">
        <f>IFERROR(ROUND(Bunuri_lab_nomenc[[#This Row],[Cost unitate GFATM_valuta]]*VLOOKUP(Bunuri_lab_nomenc[[#This Row],[Valuta cost GFATM]],$B$58:$D$59,2,0),2),0)</f>
        <v>0</v>
      </c>
      <c r="S472" s="417" t="str">
        <f>IFERROR(VLOOKUP(Bunuri_lab_nomenc[[#This Row],[Denumire catalog GDF]],GDF_price_list[[Product Name]:[Column1]],8,0),"")</f>
        <v/>
      </c>
      <c r="T472" s="417" t="e">
        <f>VLOOKUP(Bunuri_lab_nomenc[[#This Row],[Denumire catalog GDF]],GDF_price_list[[Product Name]:[Column1]],7,0)</f>
        <v>#N/A</v>
      </c>
      <c r="V472" s="786" t="s">
        <v>648</v>
      </c>
      <c r="W472" s="738" t="s">
        <v>691</v>
      </c>
      <c r="X472" s="749">
        <v>106657</v>
      </c>
      <c r="Y472" s="750" t="s">
        <v>1791</v>
      </c>
      <c r="Z472" s="755" t="s">
        <v>651</v>
      </c>
      <c r="AA472" s="742" t="s">
        <v>542</v>
      </c>
      <c r="AB472" s="764">
        <v>1</v>
      </c>
      <c r="AC472" s="756" t="s">
        <v>1792</v>
      </c>
      <c r="AD472" s="752">
        <v>11.52</v>
      </c>
      <c r="AE472" s="789" t="s">
        <v>435</v>
      </c>
      <c r="AF472">
        <f>GDF_price_list[[#This Row],[Indicative 
FCA Price]]/GDF_price_list[[#This Row],[Unit]]</f>
        <v>11.52</v>
      </c>
    </row>
    <row r="473" spans="12:32" ht="17">
      <c r="L473" s="416"/>
      <c r="M473" s="416"/>
      <c r="N473" s="416"/>
      <c r="O473" s="439"/>
      <c r="P473" s="417"/>
      <c r="Q473" s="417"/>
      <c r="R473" s="417">
        <f>IFERROR(ROUND(Bunuri_lab_nomenc[[#This Row],[Cost unitate GFATM_valuta]]*VLOOKUP(Bunuri_lab_nomenc[[#This Row],[Valuta cost GFATM]],$B$58:$D$59,2,0),2),0)</f>
        <v>0</v>
      </c>
      <c r="S473" s="417" t="str">
        <f>IFERROR(VLOOKUP(Bunuri_lab_nomenc[[#This Row],[Denumire catalog GDF]],GDF_price_list[[Product Name]:[Column1]],8,0),"")</f>
        <v/>
      </c>
      <c r="T473" s="417" t="e">
        <f>VLOOKUP(Bunuri_lab_nomenc[[#This Row],[Denumire catalog GDF]],GDF_price_list[[Product Name]:[Column1]],7,0)</f>
        <v>#N/A</v>
      </c>
      <c r="V473" s="786" t="s">
        <v>648</v>
      </c>
      <c r="W473" s="738" t="s">
        <v>691</v>
      </c>
      <c r="X473" s="749">
        <v>106660</v>
      </c>
      <c r="Y473" s="750" t="s">
        <v>699</v>
      </c>
      <c r="Z473" s="755" t="s">
        <v>651</v>
      </c>
      <c r="AA473" s="742" t="s">
        <v>542</v>
      </c>
      <c r="AB473" s="764">
        <v>1</v>
      </c>
      <c r="AC473" s="756" t="s">
        <v>700</v>
      </c>
      <c r="AD473" s="752">
        <v>23.03</v>
      </c>
      <c r="AE473" s="789" t="s">
        <v>435</v>
      </c>
      <c r="AF473">
        <f>GDF_price_list[[#This Row],[Indicative 
FCA Price]]/GDF_price_list[[#This Row],[Unit]]</f>
        <v>23.03</v>
      </c>
    </row>
    <row r="474" spans="12:32" ht="85">
      <c r="L474" s="416"/>
      <c r="M474" s="416"/>
      <c r="N474" s="416"/>
      <c r="O474" s="439"/>
      <c r="P474" s="417"/>
      <c r="Q474" s="417"/>
      <c r="R474" s="417">
        <f>IFERROR(ROUND(Bunuri_lab_nomenc[[#This Row],[Cost unitate GFATM_valuta]]*VLOOKUP(Bunuri_lab_nomenc[[#This Row],[Valuta cost GFATM]],$B$58:$D$59,2,0),2),0)</f>
        <v>0</v>
      </c>
      <c r="S474" s="417" t="str">
        <f>IFERROR(VLOOKUP(Bunuri_lab_nomenc[[#This Row],[Denumire catalog GDF]],GDF_price_list[[Product Name]:[Column1]],8,0),"")</f>
        <v/>
      </c>
      <c r="T474" s="417" t="e">
        <f>VLOOKUP(Bunuri_lab_nomenc[[#This Row],[Denumire catalog GDF]],GDF_price_list[[Product Name]:[Column1]],7,0)</f>
        <v>#N/A</v>
      </c>
      <c r="V474" s="786" t="s">
        <v>612</v>
      </c>
      <c r="W474" s="738" t="s">
        <v>1413</v>
      </c>
      <c r="X474" s="745">
        <v>106643</v>
      </c>
      <c r="Y474" s="740" t="s">
        <v>1414</v>
      </c>
      <c r="Z474" s="742" t="s">
        <v>1188</v>
      </c>
      <c r="AA474" s="742" t="s">
        <v>542</v>
      </c>
      <c r="AB474" s="764">
        <v>1</v>
      </c>
      <c r="AC474" s="743" t="s">
        <v>1415</v>
      </c>
      <c r="AD474" s="744">
        <v>42</v>
      </c>
      <c r="AE474" s="790" t="s">
        <v>435</v>
      </c>
      <c r="AF474">
        <f>GDF_price_list[[#This Row],[Indicative 
FCA Price]]/GDF_price_list[[#This Row],[Unit]]</f>
        <v>42</v>
      </c>
    </row>
    <row r="475" spans="12:32" ht="17">
      <c r="L475" s="416"/>
      <c r="M475" s="416"/>
      <c r="N475" s="416"/>
      <c r="O475" s="439"/>
      <c r="P475" s="417"/>
      <c r="Q475" s="417"/>
      <c r="R475" s="417">
        <f>IFERROR(ROUND(Bunuri_lab_nomenc[[#This Row],[Cost unitate GFATM_valuta]]*VLOOKUP(Bunuri_lab_nomenc[[#This Row],[Valuta cost GFATM]],$B$58:$D$59,2,0),2),0)</f>
        <v>0</v>
      </c>
      <c r="S475" s="417" t="str">
        <f>IFERROR(VLOOKUP(Bunuri_lab_nomenc[[#This Row],[Denumire catalog GDF]],GDF_price_list[[Product Name]:[Column1]],8,0),"")</f>
        <v/>
      </c>
      <c r="T475" s="417" t="e">
        <f>VLOOKUP(Bunuri_lab_nomenc[[#This Row],[Denumire catalog GDF]],GDF_price_list[[Product Name]:[Column1]],7,0)</f>
        <v>#N/A</v>
      </c>
      <c r="V475" s="786" t="s">
        <v>648</v>
      </c>
      <c r="W475" s="738" t="s">
        <v>649</v>
      </c>
      <c r="X475" s="739">
        <v>106656</v>
      </c>
      <c r="Y475" s="754" t="s">
        <v>1283</v>
      </c>
      <c r="Z475" s="742" t="s">
        <v>651</v>
      </c>
      <c r="AA475" s="742">
        <v>150</v>
      </c>
      <c r="AB475" s="742">
        <v>1</v>
      </c>
      <c r="AC475" s="743" t="s">
        <v>1284</v>
      </c>
      <c r="AD475" s="753">
        <v>0.56999999999999995</v>
      </c>
      <c r="AE475" s="790" t="s">
        <v>435</v>
      </c>
      <c r="AF475">
        <f>GDF_price_list[[#This Row],[Indicative 
FCA Price]]/GDF_price_list[[#This Row],[Unit]]</f>
        <v>0.56999999999999995</v>
      </c>
    </row>
    <row r="476" spans="12:32" ht="51">
      <c r="L476" s="416"/>
      <c r="M476" s="416"/>
      <c r="N476" s="416"/>
      <c r="O476" s="439"/>
      <c r="P476" s="417"/>
      <c r="Q476" s="417"/>
      <c r="R476" s="417">
        <f>IFERROR(ROUND(Bunuri_lab_nomenc[[#This Row],[Cost unitate GFATM_valuta]]*VLOOKUP(Bunuri_lab_nomenc[[#This Row],[Valuta cost GFATM]],$B$58:$D$59,2,0),2),0)</f>
        <v>0</v>
      </c>
      <c r="S476" s="417" t="str">
        <f>IFERROR(VLOOKUP(Bunuri_lab_nomenc[[#This Row],[Denumire catalog GDF]],GDF_price_list[[Product Name]:[Column1]],8,0),"")</f>
        <v/>
      </c>
      <c r="T476" s="417" t="e">
        <f>VLOOKUP(Bunuri_lab_nomenc[[#This Row],[Denumire catalog GDF]],GDF_price_list[[Product Name]:[Column1]],7,0)</f>
        <v>#N/A</v>
      </c>
      <c r="V476" s="786" t="s">
        <v>666</v>
      </c>
      <c r="W476" s="738" t="s">
        <v>667</v>
      </c>
      <c r="X476" s="739">
        <v>106313</v>
      </c>
      <c r="Y476" s="740" t="s">
        <v>1384</v>
      </c>
      <c r="Z476" s="742" t="s">
        <v>610</v>
      </c>
      <c r="AA476" s="742" t="s">
        <v>535</v>
      </c>
      <c r="AB476" s="742">
        <v>10</v>
      </c>
      <c r="AC476" s="743" t="s">
        <v>1385</v>
      </c>
      <c r="AD476" s="744">
        <v>315.39</v>
      </c>
      <c r="AE476" s="787" t="s">
        <v>435</v>
      </c>
      <c r="AF476">
        <f>GDF_price_list[[#This Row],[Indicative 
FCA Price]]/GDF_price_list[[#This Row],[Unit]]</f>
        <v>31.538999999999998</v>
      </c>
    </row>
    <row r="477" spans="12:32" ht="17">
      <c r="L477" s="416"/>
      <c r="M477" s="416"/>
      <c r="N477" s="416"/>
      <c r="O477" s="439"/>
      <c r="P477" s="417"/>
      <c r="Q477" s="417"/>
      <c r="R477" s="417">
        <f>IFERROR(ROUND(Bunuri_lab_nomenc[[#This Row],[Cost unitate GFATM_valuta]]*VLOOKUP(Bunuri_lab_nomenc[[#This Row],[Valuta cost GFATM]],$B$58:$D$59,2,0),2),0)</f>
        <v>0</v>
      </c>
      <c r="S477" s="417" t="str">
        <f>IFERROR(VLOOKUP(Bunuri_lab_nomenc[[#This Row],[Denumire catalog GDF]],GDF_price_list[[Product Name]:[Column1]],8,0),"")</f>
        <v/>
      </c>
      <c r="T477" s="417" t="e">
        <f>VLOOKUP(Bunuri_lab_nomenc[[#This Row],[Denumire catalog GDF]],GDF_price_list[[Product Name]:[Column1]],7,0)</f>
        <v>#N/A</v>
      </c>
      <c r="V477" s="786" t="s">
        <v>638</v>
      </c>
      <c r="W477" s="738" t="s">
        <v>835</v>
      </c>
      <c r="X477" s="739">
        <v>106378</v>
      </c>
      <c r="Y477" s="740" t="s">
        <v>878</v>
      </c>
      <c r="Z477" s="742" t="s">
        <v>610</v>
      </c>
      <c r="AA477" s="742"/>
      <c r="AB477" s="742" t="s">
        <v>879</v>
      </c>
      <c r="AC477" s="743" t="s">
        <v>880</v>
      </c>
      <c r="AD477" s="744">
        <v>160.96</v>
      </c>
      <c r="AE477" s="787" t="s">
        <v>435</v>
      </c>
      <c r="AF477" t="e">
        <f>GDF_price_list[[#This Row],[Indicative 
FCA Price]]/GDF_price_list[[#This Row],[Unit]]</f>
        <v>#VALUE!</v>
      </c>
    </row>
    <row r="478" spans="12:32" ht="85">
      <c r="L478" s="416"/>
      <c r="M478" s="416"/>
      <c r="N478" s="416"/>
      <c r="O478" s="439"/>
      <c r="P478" s="417"/>
      <c r="Q478" s="417"/>
      <c r="R478" s="417">
        <f>IFERROR(ROUND(Bunuri_lab_nomenc[[#This Row],[Cost unitate GFATM_valuta]]*VLOOKUP(Bunuri_lab_nomenc[[#This Row],[Valuta cost GFATM]],$B$58:$D$59,2,0),2),0)</f>
        <v>0</v>
      </c>
      <c r="S478" s="417" t="str">
        <f>IFERROR(VLOOKUP(Bunuri_lab_nomenc[[#This Row],[Denumire catalog GDF]],GDF_price_list[[Product Name]:[Column1]],8,0),"")</f>
        <v/>
      </c>
      <c r="T478" s="417" t="e">
        <f>VLOOKUP(Bunuri_lab_nomenc[[#This Row],[Denumire catalog GDF]],GDF_price_list[[Product Name]:[Column1]],7,0)</f>
        <v>#N/A</v>
      </c>
      <c r="V478" s="786" t="s">
        <v>612</v>
      </c>
      <c r="W478" s="738" t="s">
        <v>1000</v>
      </c>
      <c r="X478" s="745" t="s">
        <v>1074</v>
      </c>
      <c r="Y478" s="740" t="s">
        <v>1075</v>
      </c>
      <c r="Z478" s="742" t="s">
        <v>616</v>
      </c>
      <c r="AA478" s="742" t="s">
        <v>542</v>
      </c>
      <c r="AB478" s="746" t="s">
        <v>1076</v>
      </c>
      <c r="AC478" s="743" t="s">
        <v>1077</v>
      </c>
      <c r="AD478" s="744">
        <v>198</v>
      </c>
      <c r="AE478" s="787" t="s">
        <v>435</v>
      </c>
      <c r="AF478" t="e">
        <f>GDF_price_list[[#This Row],[Indicative 
FCA Price]]/GDF_price_list[[#This Row],[Unit]]</f>
        <v>#VALUE!</v>
      </c>
    </row>
    <row r="479" spans="12:32" ht="17">
      <c r="L479" s="416"/>
      <c r="M479" s="416"/>
      <c r="N479" s="416"/>
      <c r="O479" s="439"/>
      <c r="P479" s="417"/>
      <c r="Q479" s="417"/>
      <c r="R479" s="417">
        <f>IFERROR(ROUND(Bunuri_lab_nomenc[[#This Row],[Cost unitate GFATM_valuta]]*VLOOKUP(Bunuri_lab_nomenc[[#This Row],[Valuta cost GFATM]],$B$58:$D$59,2,0),2),0)</f>
        <v>0</v>
      </c>
      <c r="S479" s="417" t="str">
        <f>IFERROR(VLOOKUP(Bunuri_lab_nomenc[[#This Row],[Denumire catalog GDF]],GDF_price_list[[Product Name]:[Column1]],8,0),"")</f>
        <v/>
      </c>
      <c r="T479" s="417" t="e">
        <f>VLOOKUP(Bunuri_lab_nomenc[[#This Row],[Denumire catalog GDF]],GDF_price_list[[Product Name]:[Column1]],7,0)</f>
        <v>#N/A</v>
      </c>
      <c r="V479" s="786" t="s">
        <v>612</v>
      </c>
      <c r="W479" s="738" t="s">
        <v>1084</v>
      </c>
      <c r="X479" s="739">
        <v>106254</v>
      </c>
      <c r="Y479" s="740" t="s">
        <v>1359</v>
      </c>
      <c r="Z479" s="742" t="s">
        <v>610</v>
      </c>
      <c r="AA479" s="742"/>
      <c r="AB479" s="742" t="s">
        <v>1360</v>
      </c>
      <c r="AC479" s="743" t="s">
        <v>1361</v>
      </c>
      <c r="AD479" s="744">
        <v>195.44</v>
      </c>
      <c r="AE479" s="787" t="s">
        <v>435</v>
      </c>
      <c r="AF479" t="e">
        <f>GDF_price_list[[#This Row],[Indicative 
FCA Price]]/GDF_price_list[[#This Row],[Unit]]</f>
        <v>#VALUE!</v>
      </c>
    </row>
    <row r="480" spans="12:32" ht="51">
      <c r="L480" s="416"/>
      <c r="M480" s="416"/>
      <c r="N480" s="416"/>
      <c r="O480" s="439"/>
      <c r="P480" s="417"/>
      <c r="Q480" s="417"/>
      <c r="R480" s="417">
        <f>IFERROR(ROUND(Bunuri_lab_nomenc[[#This Row],[Cost unitate GFATM_valuta]]*VLOOKUP(Bunuri_lab_nomenc[[#This Row],[Valuta cost GFATM]],$B$58:$D$59,2,0),2),0)</f>
        <v>0</v>
      </c>
      <c r="S480" s="417" t="str">
        <f>IFERROR(VLOOKUP(Bunuri_lab_nomenc[[#This Row],[Denumire catalog GDF]],GDF_price_list[[Product Name]:[Column1]],8,0),"")</f>
        <v/>
      </c>
      <c r="T480" s="417" t="e">
        <f>VLOOKUP(Bunuri_lab_nomenc[[#This Row],[Denumire catalog GDF]],GDF_price_list[[Product Name]:[Column1]],7,0)</f>
        <v>#N/A</v>
      </c>
      <c r="V480" s="786" t="s">
        <v>612</v>
      </c>
      <c r="W480" s="738" t="s">
        <v>842</v>
      </c>
      <c r="X480" s="739">
        <v>106554</v>
      </c>
      <c r="Y480" s="740" t="s">
        <v>1648</v>
      </c>
      <c r="Z480" s="742" t="s">
        <v>610</v>
      </c>
      <c r="AA480" s="742"/>
      <c r="AB480" s="742" t="s">
        <v>1649</v>
      </c>
      <c r="AC480" s="743" t="s">
        <v>1650</v>
      </c>
      <c r="AD480" s="744">
        <v>129.72</v>
      </c>
      <c r="AE480" s="787" t="s">
        <v>435</v>
      </c>
      <c r="AF480" t="e">
        <f>GDF_price_list[[#This Row],[Indicative 
FCA Price]]/GDF_price_list[[#This Row],[Unit]]</f>
        <v>#VALUE!</v>
      </c>
    </row>
    <row r="481" spans="12:32" ht="51">
      <c r="L481" s="416"/>
      <c r="M481" s="416"/>
      <c r="N481" s="416"/>
      <c r="O481" s="439"/>
      <c r="P481" s="417"/>
      <c r="Q481" s="417"/>
      <c r="R481" s="417">
        <f>IFERROR(ROUND(Bunuri_lab_nomenc[[#This Row],[Cost unitate GFATM_valuta]]*VLOOKUP(Bunuri_lab_nomenc[[#This Row],[Valuta cost GFATM]],$B$58:$D$59,2,0),2),0)</f>
        <v>0</v>
      </c>
      <c r="S481" s="417" t="str">
        <f>IFERROR(VLOOKUP(Bunuri_lab_nomenc[[#This Row],[Denumire catalog GDF]],GDF_price_list[[Product Name]:[Column1]],8,0),"")</f>
        <v/>
      </c>
      <c r="T481" s="417" t="e">
        <f>VLOOKUP(Bunuri_lab_nomenc[[#This Row],[Denumire catalog GDF]],GDF_price_list[[Product Name]:[Column1]],7,0)</f>
        <v>#N/A</v>
      </c>
      <c r="V481" s="786" t="s">
        <v>612</v>
      </c>
      <c r="W481" s="738" t="s">
        <v>842</v>
      </c>
      <c r="X481" s="739">
        <v>106555</v>
      </c>
      <c r="Y481" s="740" t="s">
        <v>1651</v>
      </c>
      <c r="Z481" s="742" t="s">
        <v>610</v>
      </c>
      <c r="AA481" s="742"/>
      <c r="AB481" s="742" t="s">
        <v>1649</v>
      </c>
      <c r="AC481" s="743" t="s">
        <v>1652</v>
      </c>
      <c r="AD481" s="744">
        <v>129.72</v>
      </c>
      <c r="AE481" s="787" t="s">
        <v>435</v>
      </c>
      <c r="AF481" t="e">
        <f>GDF_price_list[[#This Row],[Indicative 
FCA Price]]/GDF_price_list[[#This Row],[Unit]]</f>
        <v>#VALUE!</v>
      </c>
    </row>
    <row r="482" spans="12:32" ht="51">
      <c r="L482" s="416"/>
      <c r="M482" s="416"/>
      <c r="N482" s="416"/>
      <c r="O482" s="439"/>
      <c r="P482" s="417"/>
      <c r="Q482" s="417"/>
      <c r="R482" s="417">
        <f>IFERROR(ROUND(Bunuri_lab_nomenc[[#This Row],[Cost unitate GFATM_valuta]]*VLOOKUP(Bunuri_lab_nomenc[[#This Row],[Valuta cost GFATM]],$B$58:$D$59,2,0),2),0)</f>
        <v>0</v>
      </c>
      <c r="S482" s="417" t="str">
        <f>IFERROR(VLOOKUP(Bunuri_lab_nomenc[[#This Row],[Denumire catalog GDF]],GDF_price_list[[Product Name]:[Column1]],8,0),"")</f>
        <v/>
      </c>
      <c r="T482" s="417" t="e">
        <f>VLOOKUP(Bunuri_lab_nomenc[[#This Row],[Denumire catalog GDF]],GDF_price_list[[Product Name]:[Column1]],7,0)</f>
        <v>#N/A</v>
      </c>
      <c r="V482" s="786" t="s">
        <v>612</v>
      </c>
      <c r="W482" s="738" t="s">
        <v>842</v>
      </c>
      <c r="X482" s="739">
        <v>106390</v>
      </c>
      <c r="Y482" s="740" t="s">
        <v>1653</v>
      </c>
      <c r="Z482" s="742" t="s">
        <v>610</v>
      </c>
      <c r="AA482" s="742"/>
      <c r="AB482" s="742" t="s">
        <v>1649</v>
      </c>
      <c r="AC482" s="743" t="s">
        <v>1654</v>
      </c>
      <c r="AD482" s="744">
        <v>58.97</v>
      </c>
      <c r="AE482" s="787" t="s">
        <v>435</v>
      </c>
      <c r="AF482" t="e">
        <f>GDF_price_list[[#This Row],[Indicative 
FCA Price]]/GDF_price_list[[#This Row],[Unit]]</f>
        <v>#VALUE!</v>
      </c>
    </row>
    <row r="483" spans="12:32" ht="51">
      <c r="L483" s="416"/>
      <c r="M483" s="416"/>
      <c r="N483" s="416"/>
      <c r="O483" s="439"/>
      <c r="P483" s="417"/>
      <c r="Q483" s="417"/>
      <c r="R483" s="417">
        <f>IFERROR(ROUND(Bunuri_lab_nomenc[[#This Row],[Cost unitate GFATM_valuta]]*VLOOKUP(Bunuri_lab_nomenc[[#This Row],[Valuta cost GFATM]],$B$58:$D$59,2,0),2),0)</f>
        <v>0</v>
      </c>
      <c r="S483" s="417" t="str">
        <f>IFERROR(VLOOKUP(Bunuri_lab_nomenc[[#This Row],[Denumire catalog GDF]],GDF_price_list[[Product Name]:[Column1]],8,0),"")</f>
        <v/>
      </c>
      <c r="T483" s="417" t="e">
        <f>VLOOKUP(Bunuri_lab_nomenc[[#This Row],[Denumire catalog GDF]],GDF_price_list[[Product Name]:[Column1]],7,0)</f>
        <v>#N/A</v>
      </c>
      <c r="V483" s="786" t="s">
        <v>612</v>
      </c>
      <c r="W483" s="738" t="s">
        <v>842</v>
      </c>
      <c r="X483" s="739">
        <v>106389</v>
      </c>
      <c r="Y483" s="740" t="s">
        <v>1655</v>
      </c>
      <c r="Z483" s="742" t="s">
        <v>610</v>
      </c>
      <c r="AA483" s="742"/>
      <c r="AB483" s="742" t="s">
        <v>1649</v>
      </c>
      <c r="AC483" s="743" t="s">
        <v>1656</v>
      </c>
      <c r="AD483" s="744">
        <v>53.59</v>
      </c>
      <c r="AE483" s="787" t="s">
        <v>435</v>
      </c>
      <c r="AF483" t="e">
        <f>GDF_price_list[[#This Row],[Indicative 
FCA Price]]/GDF_price_list[[#This Row],[Unit]]</f>
        <v>#VALUE!</v>
      </c>
    </row>
    <row r="484" spans="12:32" ht="51">
      <c r="L484" s="416"/>
      <c r="M484" s="416"/>
      <c r="N484" s="416"/>
      <c r="O484" s="439"/>
      <c r="P484" s="417"/>
      <c r="Q484" s="417"/>
      <c r="R484" s="417">
        <f>IFERROR(ROUND(Bunuri_lab_nomenc[[#This Row],[Cost unitate GFATM_valuta]]*VLOOKUP(Bunuri_lab_nomenc[[#This Row],[Valuta cost GFATM]],$B$58:$D$59,2,0),2),0)</f>
        <v>0</v>
      </c>
      <c r="S484" s="417" t="str">
        <f>IFERROR(VLOOKUP(Bunuri_lab_nomenc[[#This Row],[Denumire catalog GDF]],GDF_price_list[[Product Name]:[Column1]],8,0),"")</f>
        <v/>
      </c>
      <c r="T484" s="417" t="e">
        <f>VLOOKUP(Bunuri_lab_nomenc[[#This Row],[Denumire catalog GDF]],GDF_price_list[[Product Name]:[Column1]],7,0)</f>
        <v>#N/A</v>
      </c>
      <c r="V484" s="786" t="s">
        <v>612</v>
      </c>
      <c r="W484" s="738" t="s">
        <v>842</v>
      </c>
      <c r="X484" s="739">
        <v>106388</v>
      </c>
      <c r="Y484" s="740" t="s">
        <v>1657</v>
      </c>
      <c r="Z484" s="742" t="s">
        <v>610</v>
      </c>
      <c r="AA484" s="742"/>
      <c r="AB484" s="742" t="s">
        <v>1649</v>
      </c>
      <c r="AC484" s="743" t="s">
        <v>1658</v>
      </c>
      <c r="AD484" s="744">
        <v>72.75</v>
      </c>
      <c r="AE484" s="787" t="s">
        <v>435</v>
      </c>
      <c r="AF484" t="e">
        <f>GDF_price_list[[#This Row],[Indicative 
FCA Price]]/GDF_price_list[[#This Row],[Unit]]</f>
        <v>#VALUE!</v>
      </c>
    </row>
    <row r="485" spans="12:32" ht="34">
      <c r="L485" s="416"/>
      <c r="M485" s="416"/>
      <c r="N485" s="416"/>
      <c r="O485" s="439"/>
      <c r="P485" s="417"/>
      <c r="Q485" s="417"/>
      <c r="R485" s="417">
        <f>IFERROR(ROUND(Bunuri_lab_nomenc[[#This Row],[Cost unitate GFATM_valuta]]*VLOOKUP(Bunuri_lab_nomenc[[#This Row],[Valuta cost GFATM]],$B$58:$D$59,2,0),2),0)</f>
        <v>0</v>
      </c>
      <c r="S485" s="417" t="str">
        <f>IFERROR(VLOOKUP(Bunuri_lab_nomenc[[#This Row],[Denumire catalog GDF]],GDF_price_list[[Product Name]:[Column1]],8,0),"")</f>
        <v/>
      </c>
      <c r="T485" s="417" t="e">
        <f>VLOOKUP(Bunuri_lab_nomenc[[#This Row],[Denumire catalog GDF]],GDF_price_list[[Product Name]:[Column1]],7,0)</f>
        <v>#N/A</v>
      </c>
      <c r="V485" s="786" t="s">
        <v>607</v>
      </c>
      <c r="W485" s="738" t="s">
        <v>645</v>
      </c>
      <c r="X485" s="745">
        <v>106509</v>
      </c>
      <c r="Y485" s="740" t="s">
        <v>1400</v>
      </c>
      <c r="Z485" s="741" t="s">
        <v>610</v>
      </c>
      <c r="AA485" s="742" t="s">
        <v>542</v>
      </c>
      <c r="AB485" s="742" t="s">
        <v>1401</v>
      </c>
      <c r="AC485" s="743" t="s">
        <v>1402</v>
      </c>
      <c r="AD485" s="744">
        <v>11.65</v>
      </c>
      <c r="AE485" s="787" t="s">
        <v>435</v>
      </c>
      <c r="AF485" t="e">
        <f>GDF_price_list[[#This Row],[Indicative 
FCA Price]]/GDF_price_list[[#This Row],[Unit]]</f>
        <v>#VALUE!</v>
      </c>
    </row>
    <row r="486" spans="12:32" ht="17">
      <c r="L486" s="416"/>
      <c r="M486" s="416"/>
      <c r="N486" s="416"/>
      <c r="O486" s="439"/>
      <c r="P486" s="417"/>
      <c r="Q486" s="417"/>
      <c r="R486" s="417">
        <f>IFERROR(ROUND(Bunuri_lab_nomenc[[#This Row],[Cost unitate GFATM_valuta]]*VLOOKUP(Bunuri_lab_nomenc[[#This Row],[Valuta cost GFATM]],$B$58:$D$59,2,0),2),0)</f>
        <v>0</v>
      </c>
      <c r="S486" s="417" t="str">
        <f>IFERROR(VLOOKUP(Bunuri_lab_nomenc[[#This Row],[Denumire catalog GDF]],GDF_price_list[[Product Name]:[Column1]],8,0),"")</f>
        <v/>
      </c>
      <c r="T486" s="417" t="e">
        <f>VLOOKUP(Bunuri_lab_nomenc[[#This Row],[Denumire catalog GDF]],GDF_price_list[[Product Name]:[Column1]],7,0)</f>
        <v>#N/A</v>
      </c>
      <c r="V486" s="786" t="s">
        <v>718</v>
      </c>
      <c r="W486" s="738" t="s">
        <v>798</v>
      </c>
      <c r="X486" s="739">
        <v>106354</v>
      </c>
      <c r="Y486" s="740" t="s">
        <v>1539</v>
      </c>
      <c r="Z486" s="742" t="s">
        <v>610</v>
      </c>
      <c r="AA486" s="742" t="s">
        <v>542</v>
      </c>
      <c r="AB486" s="742">
        <v>100</v>
      </c>
      <c r="AC486" s="743" t="s">
        <v>1541</v>
      </c>
      <c r="AD486" s="744">
        <v>24.66</v>
      </c>
      <c r="AE486" s="787" t="s">
        <v>435</v>
      </c>
      <c r="AF486">
        <f>GDF_price_list[[#This Row],[Indicative 
FCA Price]]/GDF_price_list[[#This Row],[Unit]]</f>
        <v>0.24660000000000001</v>
      </c>
    </row>
    <row r="487" spans="12:32" ht="17">
      <c r="L487" s="416"/>
      <c r="M487" s="416"/>
      <c r="N487" s="416"/>
      <c r="O487" s="439"/>
      <c r="P487" s="417"/>
      <c r="Q487" s="417"/>
      <c r="R487" s="417">
        <f>IFERROR(ROUND(Bunuri_lab_nomenc[[#This Row],[Cost unitate GFATM_valuta]]*VLOOKUP(Bunuri_lab_nomenc[[#This Row],[Valuta cost GFATM]],$B$58:$D$59,2,0),2),0)</f>
        <v>0</v>
      </c>
      <c r="S487" s="417" t="str">
        <f>IFERROR(VLOOKUP(Bunuri_lab_nomenc[[#This Row],[Denumire catalog GDF]],GDF_price_list[[Product Name]:[Column1]],8,0),"")</f>
        <v/>
      </c>
      <c r="T487" s="417" t="e">
        <f>VLOOKUP(Bunuri_lab_nomenc[[#This Row],[Denumire catalog GDF]],GDF_price_list[[Product Name]:[Column1]],7,0)</f>
        <v>#N/A</v>
      </c>
      <c r="V487" s="786" t="s">
        <v>718</v>
      </c>
      <c r="W487" s="738" t="s">
        <v>798</v>
      </c>
      <c r="X487" s="739">
        <v>106353</v>
      </c>
      <c r="Y487" s="740" t="s">
        <v>1542</v>
      </c>
      <c r="Z487" s="742" t="s">
        <v>610</v>
      </c>
      <c r="AA487" s="742" t="s">
        <v>542</v>
      </c>
      <c r="AB487" s="742" t="s">
        <v>1540</v>
      </c>
      <c r="AC487" s="743" t="s">
        <v>1543</v>
      </c>
      <c r="AD487" s="744">
        <v>35.35</v>
      </c>
      <c r="AE487" s="787" t="s">
        <v>435</v>
      </c>
      <c r="AF487" t="e">
        <f>GDF_price_list[[#This Row],[Indicative 
FCA Price]]/GDF_price_list[[#This Row],[Unit]]</f>
        <v>#VALUE!</v>
      </c>
    </row>
    <row r="488" spans="12:32" ht="17">
      <c r="L488" s="416"/>
      <c r="M488" s="416"/>
      <c r="N488" s="416"/>
      <c r="O488" s="439"/>
      <c r="P488" s="417"/>
      <c r="Q488" s="417"/>
      <c r="R488" s="417">
        <f>IFERROR(ROUND(Bunuri_lab_nomenc[[#This Row],[Cost unitate GFATM_valuta]]*VLOOKUP(Bunuri_lab_nomenc[[#This Row],[Valuta cost GFATM]],$B$58:$D$59,2,0),2),0)</f>
        <v>0</v>
      </c>
      <c r="S488" s="417" t="str">
        <f>IFERROR(VLOOKUP(Bunuri_lab_nomenc[[#This Row],[Denumire catalog GDF]],GDF_price_list[[Product Name]:[Column1]],8,0),"")</f>
        <v/>
      </c>
      <c r="T488" s="417" t="e">
        <f>VLOOKUP(Bunuri_lab_nomenc[[#This Row],[Denumire catalog GDF]],GDF_price_list[[Product Name]:[Column1]],7,0)</f>
        <v>#N/A</v>
      </c>
      <c r="V488" s="786" t="s">
        <v>718</v>
      </c>
      <c r="W488" s="738" t="s">
        <v>798</v>
      </c>
      <c r="X488" s="739">
        <v>106415</v>
      </c>
      <c r="Y488" s="740" t="s">
        <v>1614</v>
      </c>
      <c r="Z488" s="742" t="s">
        <v>610</v>
      </c>
      <c r="AA488" s="742" t="s">
        <v>542</v>
      </c>
      <c r="AB488" s="742" t="s">
        <v>1540</v>
      </c>
      <c r="AC488" s="743" t="s">
        <v>1615</v>
      </c>
      <c r="AD488" s="744">
        <v>118.4</v>
      </c>
      <c r="AE488" s="787" t="s">
        <v>435</v>
      </c>
      <c r="AF488" t="e">
        <f>GDF_price_list[[#This Row],[Indicative 
FCA Price]]/GDF_price_list[[#This Row],[Unit]]</f>
        <v>#VALUE!</v>
      </c>
    </row>
    <row r="489" spans="12:32" ht="17">
      <c r="L489" s="416"/>
      <c r="M489" s="416"/>
      <c r="N489" s="416"/>
      <c r="O489" s="439"/>
      <c r="P489" s="417"/>
      <c r="Q489" s="417"/>
      <c r="R489" s="417">
        <f>IFERROR(ROUND(Bunuri_lab_nomenc[[#This Row],[Cost unitate GFATM_valuta]]*VLOOKUP(Bunuri_lab_nomenc[[#This Row],[Valuta cost GFATM]],$B$58:$D$59,2,0),2),0)</f>
        <v>0</v>
      </c>
      <c r="S489" s="417" t="str">
        <f>IFERROR(VLOOKUP(Bunuri_lab_nomenc[[#This Row],[Denumire catalog GDF]],GDF_price_list[[Product Name]:[Column1]],8,0),"")</f>
        <v/>
      </c>
      <c r="T489" s="417" t="e">
        <f>VLOOKUP(Bunuri_lab_nomenc[[#This Row],[Denumire catalog GDF]],GDF_price_list[[Product Name]:[Column1]],7,0)</f>
        <v>#N/A</v>
      </c>
      <c r="V489" s="786" t="s">
        <v>612</v>
      </c>
      <c r="W489" s="738" t="s">
        <v>653</v>
      </c>
      <c r="X489" s="739">
        <v>106321</v>
      </c>
      <c r="Y489" s="740" t="s">
        <v>654</v>
      </c>
      <c r="Z489" s="742" t="s">
        <v>610</v>
      </c>
      <c r="AA489" s="742" t="s">
        <v>535</v>
      </c>
      <c r="AB489" s="742">
        <v>100</v>
      </c>
      <c r="AC489" s="743" t="s">
        <v>655</v>
      </c>
      <c r="AD489" s="744">
        <v>246.67</v>
      </c>
      <c r="AE489" s="787" t="s">
        <v>435</v>
      </c>
      <c r="AF489">
        <f>GDF_price_list[[#This Row],[Indicative 
FCA Price]]/GDF_price_list[[#This Row],[Unit]]</f>
        <v>2.4666999999999999</v>
      </c>
    </row>
    <row r="490" spans="12:32" ht="17">
      <c r="L490" s="416"/>
      <c r="M490" s="416"/>
      <c r="N490" s="416"/>
      <c r="O490" s="439"/>
      <c r="P490" s="417"/>
      <c r="Q490" s="417"/>
      <c r="R490" s="417">
        <f>IFERROR(ROUND(Bunuri_lab_nomenc[[#This Row],[Cost unitate GFATM_valuta]]*VLOOKUP(Bunuri_lab_nomenc[[#This Row],[Valuta cost GFATM]],$B$58:$D$59,2,0),2),0)</f>
        <v>0</v>
      </c>
      <c r="S490" s="417" t="str">
        <f>IFERROR(VLOOKUP(Bunuri_lab_nomenc[[#This Row],[Denumire catalog GDF]],GDF_price_list[[Product Name]:[Column1]],8,0),"")</f>
        <v/>
      </c>
      <c r="T490" s="417" t="e">
        <f>VLOOKUP(Bunuri_lab_nomenc[[#This Row],[Denumire catalog GDF]],GDF_price_list[[Product Name]:[Column1]],7,0)</f>
        <v>#N/A</v>
      </c>
      <c r="V490" s="786" t="s">
        <v>648</v>
      </c>
      <c r="W490" s="738" t="s">
        <v>691</v>
      </c>
      <c r="X490" s="749">
        <v>106601</v>
      </c>
      <c r="Y490" s="750" t="s">
        <v>744</v>
      </c>
      <c r="Z490" s="755" t="s">
        <v>610</v>
      </c>
      <c r="AA490" s="742" t="s">
        <v>535</v>
      </c>
      <c r="AB490" s="742">
        <v>100</v>
      </c>
      <c r="AC490" s="756" t="s">
        <v>745</v>
      </c>
      <c r="AD490" s="752">
        <v>136.38999999999999</v>
      </c>
      <c r="AE490" s="789" t="s">
        <v>435</v>
      </c>
      <c r="AF490">
        <f>GDF_price_list[[#This Row],[Indicative 
FCA Price]]/GDF_price_list[[#This Row],[Unit]]</f>
        <v>1.3638999999999999</v>
      </c>
    </row>
    <row r="491" spans="12:32" ht="17">
      <c r="L491" s="416"/>
      <c r="M491" s="416"/>
      <c r="N491" s="416"/>
      <c r="O491" s="439"/>
      <c r="P491" s="417"/>
      <c r="Q491" s="417"/>
      <c r="R491" s="417">
        <f>IFERROR(ROUND(Bunuri_lab_nomenc[[#This Row],[Cost unitate GFATM_valuta]]*VLOOKUP(Bunuri_lab_nomenc[[#This Row],[Valuta cost GFATM]],$B$58:$D$59,2,0),2),0)</f>
        <v>0</v>
      </c>
      <c r="S491" s="417" t="str">
        <f>IFERROR(VLOOKUP(Bunuri_lab_nomenc[[#This Row],[Denumire catalog GDF]],GDF_price_list[[Product Name]:[Column1]],8,0),"")</f>
        <v/>
      </c>
      <c r="T491" s="417" t="e">
        <f>VLOOKUP(Bunuri_lab_nomenc[[#This Row],[Denumire catalog GDF]],GDF_price_list[[Product Name]:[Column1]],7,0)</f>
        <v>#N/A</v>
      </c>
      <c r="V491" s="786" t="s">
        <v>607</v>
      </c>
      <c r="W491" s="738" t="s">
        <v>608</v>
      </c>
      <c r="X491" s="739">
        <v>106286</v>
      </c>
      <c r="Y491" s="740" t="s">
        <v>833</v>
      </c>
      <c r="Z491" s="741" t="s">
        <v>610</v>
      </c>
      <c r="AA491" s="742" t="s">
        <v>535</v>
      </c>
      <c r="AB491" s="742">
        <v>100</v>
      </c>
      <c r="AC491" s="743" t="s">
        <v>834</v>
      </c>
      <c r="AD491" s="744">
        <v>111.12</v>
      </c>
      <c r="AE491" s="787" t="s">
        <v>435</v>
      </c>
      <c r="AF491">
        <f>GDF_price_list[[#This Row],[Indicative 
FCA Price]]/GDF_price_list[[#This Row],[Unit]]</f>
        <v>1.1112</v>
      </c>
    </row>
    <row r="492" spans="12:32" ht="17">
      <c r="L492" s="416"/>
      <c r="M492" s="416"/>
      <c r="N492" s="416"/>
      <c r="O492" s="439"/>
      <c r="P492" s="417"/>
      <c r="Q492" s="417"/>
      <c r="R492" s="417">
        <f>IFERROR(ROUND(Bunuri_lab_nomenc[[#This Row],[Cost unitate GFATM_valuta]]*VLOOKUP(Bunuri_lab_nomenc[[#This Row],[Valuta cost GFATM]],$B$58:$D$59,2,0),2),0)</f>
        <v>0</v>
      </c>
      <c r="S492" s="417" t="str">
        <f>IFERROR(VLOOKUP(Bunuri_lab_nomenc[[#This Row],[Denumire catalog GDF]],GDF_price_list[[Product Name]:[Column1]],8,0),"")</f>
        <v/>
      </c>
      <c r="T492" s="417" t="e">
        <f>VLOOKUP(Bunuri_lab_nomenc[[#This Row],[Denumire catalog GDF]],GDF_price_list[[Product Name]:[Column1]],7,0)</f>
        <v>#N/A</v>
      </c>
      <c r="V492" s="786" t="s">
        <v>666</v>
      </c>
      <c r="W492" s="738" t="s">
        <v>768</v>
      </c>
      <c r="X492" s="739">
        <v>106265</v>
      </c>
      <c r="Y492" s="740" t="s">
        <v>1274</v>
      </c>
      <c r="Z492" s="742" t="s">
        <v>610</v>
      </c>
      <c r="AA492" s="742" t="s">
        <v>535</v>
      </c>
      <c r="AB492" s="742">
        <v>100</v>
      </c>
      <c r="AC492" s="743" t="s">
        <v>1275</v>
      </c>
      <c r="AD492" s="744">
        <v>25.31</v>
      </c>
      <c r="AE492" s="787" t="s">
        <v>435</v>
      </c>
      <c r="AF492">
        <f>GDF_price_list[[#This Row],[Indicative 
FCA Price]]/GDF_price_list[[#This Row],[Unit]]</f>
        <v>0.25309999999999999</v>
      </c>
    </row>
    <row r="493" spans="12:32" ht="17">
      <c r="L493" s="416"/>
      <c r="M493" s="416"/>
      <c r="N493" s="416"/>
      <c r="O493" s="439"/>
      <c r="P493" s="417"/>
      <c r="Q493" s="417"/>
      <c r="R493" s="417">
        <f>IFERROR(ROUND(Bunuri_lab_nomenc[[#This Row],[Cost unitate GFATM_valuta]]*VLOOKUP(Bunuri_lab_nomenc[[#This Row],[Valuta cost GFATM]],$B$58:$D$59,2,0),2),0)</f>
        <v>0</v>
      </c>
      <c r="S493" s="417" t="str">
        <f>IFERROR(VLOOKUP(Bunuri_lab_nomenc[[#This Row],[Denumire catalog GDF]],GDF_price_list[[Product Name]:[Column1]],8,0),"")</f>
        <v/>
      </c>
      <c r="T493" s="417" t="e">
        <f>VLOOKUP(Bunuri_lab_nomenc[[#This Row],[Denumire catalog GDF]],GDF_price_list[[Product Name]:[Column1]],7,0)</f>
        <v>#N/A</v>
      </c>
      <c r="V493" s="786" t="s">
        <v>666</v>
      </c>
      <c r="W493" s="738" t="s">
        <v>768</v>
      </c>
      <c r="X493" s="739">
        <v>106267</v>
      </c>
      <c r="Y493" s="740" t="s">
        <v>1322</v>
      </c>
      <c r="Z493" s="742" t="s">
        <v>610</v>
      </c>
      <c r="AA493" s="742" t="s">
        <v>535</v>
      </c>
      <c r="AB493" s="742">
        <v>100</v>
      </c>
      <c r="AC493" s="743" t="s">
        <v>1323</v>
      </c>
      <c r="AD493" s="744">
        <v>68.34</v>
      </c>
      <c r="AE493" s="787" t="s">
        <v>435</v>
      </c>
      <c r="AF493">
        <f>GDF_price_list[[#This Row],[Indicative 
FCA Price]]/GDF_price_list[[#This Row],[Unit]]</f>
        <v>0.68340000000000001</v>
      </c>
    </row>
    <row r="494" spans="12:32" ht="17">
      <c r="L494" s="416"/>
      <c r="M494" s="416"/>
      <c r="N494" s="416"/>
      <c r="O494" s="439"/>
      <c r="P494" s="417"/>
      <c r="Q494" s="417"/>
      <c r="R494" s="417">
        <f>IFERROR(ROUND(Bunuri_lab_nomenc[[#This Row],[Cost unitate GFATM_valuta]]*VLOOKUP(Bunuri_lab_nomenc[[#This Row],[Valuta cost GFATM]],$B$58:$D$59,2,0),2),0)</f>
        <v>0</v>
      </c>
      <c r="S494" s="417" t="str">
        <f>IFERROR(VLOOKUP(Bunuri_lab_nomenc[[#This Row],[Denumire catalog GDF]],GDF_price_list[[Product Name]:[Column1]],8,0),"")</f>
        <v/>
      </c>
      <c r="T494" s="417" t="e">
        <f>VLOOKUP(Bunuri_lab_nomenc[[#This Row],[Denumire catalog GDF]],GDF_price_list[[Product Name]:[Column1]],7,0)</f>
        <v>#N/A</v>
      </c>
      <c r="V494" s="786" t="s">
        <v>648</v>
      </c>
      <c r="W494" s="738" t="s">
        <v>691</v>
      </c>
      <c r="X494" s="749">
        <v>106602</v>
      </c>
      <c r="Y494" s="750" t="s">
        <v>1334</v>
      </c>
      <c r="Z494" s="755" t="s">
        <v>610</v>
      </c>
      <c r="AA494" s="742" t="s">
        <v>535</v>
      </c>
      <c r="AB494" s="742">
        <v>100</v>
      </c>
      <c r="AC494" s="756" t="s">
        <v>1335</v>
      </c>
      <c r="AD494" s="752">
        <v>143.88999999999999</v>
      </c>
      <c r="AE494" s="789" t="s">
        <v>435</v>
      </c>
      <c r="AF494">
        <f>GDF_price_list[[#This Row],[Indicative 
FCA Price]]/GDF_price_list[[#This Row],[Unit]]</f>
        <v>1.4388999999999998</v>
      </c>
    </row>
    <row r="495" spans="12:32" ht="17">
      <c r="L495" s="416"/>
      <c r="M495" s="416"/>
      <c r="N495" s="416"/>
      <c r="O495" s="439"/>
      <c r="P495" s="417"/>
      <c r="Q495" s="417"/>
      <c r="R495" s="417">
        <f>IFERROR(ROUND(Bunuri_lab_nomenc[[#This Row],[Cost unitate GFATM_valuta]]*VLOOKUP(Bunuri_lab_nomenc[[#This Row],[Valuta cost GFATM]],$B$58:$D$59,2,0),2),0)</f>
        <v>0</v>
      </c>
      <c r="S495" s="417" t="str">
        <f>IFERROR(VLOOKUP(Bunuri_lab_nomenc[[#This Row],[Denumire catalog GDF]],GDF_price_list[[Product Name]:[Column1]],8,0),"")</f>
        <v/>
      </c>
      <c r="T495" s="417" t="e">
        <f>VLOOKUP(Bunuri_lab_nomenc[[#This Row],[Denumire catalog GDF]],GDF_price_list[[Product Name]:[Column1]],7,0)</f>
        <v>#N/A</v>
      </c>
      <c r="V495" s="786" t="s">
        <v>607</v>
      </c>
      <c r="W495" s="738" t="s">
        <v>608</v>
      </c>
      <c r="X495" s="739">
        <v>106283</v>
      </c>
      <c r="Y495" s="740" t="s">
        <v>1370</v>
      </c>
      <c r="Z495" s="741" t="s">
        <v>610</v>
      </c>
      <c r="AA495" s="742" t="s">
        <v>535</v>
      </c>
      <c r="AB495" s="742">
        <v>100</v>
      </c>
      <c r="AC495" s="743" t="s">
        <v>1371</v>
      </c>
      <c r="AD495" s="744">
        <v>133.53</v>
      </c>
      <c r="AE495" s="787" t="s">
        <v>435</v>
      </c>
      <c r="AF495">
        <f>GDF_price_list[[#This Row],[Indicative 
FCA Price]]/GDF_price_list[[#This Row],[Unit]]</f>
        <v>1.3352999999999999</v>
      </c>
    </row>
    <row r="496" spans="12:32" ht="34">
      <c r="L496" s="416"/>
      <c r="M496" s="416"/>
      <c r="N496" s="416"/>
      <c r="O496" s="439"/>
      <c r="P496" s="417"/>
      <c r="Q496" s="417"/>
      <c r="R496" s="417">
        <f>IFERROR(ROUND(Bunuri_lab_nomenc[[#This Row],[Cost unitate GFATM_valuta]]*VLOOKUP(Bunuri_lab_nomenc[[#This Row],[Valuta cost GFATM]],$B$58:$D$59,2,0),2),0)</f>
        <v>0</v>
      </c>
      <c r="S496" s="417" t="str">
        <f>IFERROR(VLOOKUP(Bunuri_lab_nomenc[[#This Row],[Denumire catalog GDF]],GDF_price_list[[Product Name]:[Column1]],8,0),"")</f>
        <v/>
      </c>
      <c r="T496" s="417" t="e">
        <f>VLOOKUP(Bunuri_lab_nomenc[[#This Row],[Denumire catalog GDF]],GDF_price_list[[Product Name]:[Column1]],7,0)</f>
        <v>#N/A</v>
      </c>
      <c r="V496" s="786" t="s">
        <v>666</v>
      </c>
      <c r="W496" s="738" t="s">
        <v>895</v>
      </c>
      <c r="X496" s="739">
        <v>106312</v>
      </c>
      <c r="Y496" s="740" t="s">
        <v>1372</v>
      </c>
      <c r="Z496" s="742" t="s">
        <v>610</v>
      </c>
      <c r="AA496" s="742" t="s">
        <v>535</v>
      </c>
      <c r="AB496" s="742">
        <v>100</v>
      </c>
      <c r="AC496" s="743" t="s">
        <v>1373</v>
      </c>
      <c r="AD496" s="744">
        <v>45.3</v>
      </c>
      <c r="AE496" s="787" t="s">
        <v>435</v>
      </c>
      <c r="AF496">
        <f>GDF_price_list[[#This Row],[Indicative 
FCA Price]]/GDF_price_list[[#This Row],[Unit]]</f>
        <v>0.45299999999999996</v>
      </c>
    </row>
    <row r="497" spans="12:32" ht="17">
      <c r="L497" s="416"/>
      <c r="M497" s="416"/>
      <c r="N497" s="416"/>
      <c r="O497" s="439"/>
      <c r="P497" s="417"/>
      <c r="Q497" s="417"/>
      <c r="R497" s="417">
        <f>IFERROR(ROUND(Bunuri_lab_nomenc[[#This Row],[Cost unitate GFATM_valuta]]*VLOOKUP(Bunuri_lab_nomenc[[#This Row],[Valuta cost GFATM]],$B$58:$D$59,2,0),2),0)</f>
        <v>0</v>
      </c>
      <c r="S497" s="417" t="str">
        <f>IFERROR(VLOOKUP(Bunuri_lab_nomenc[[#This Row],[Denumire catalog GDF]],GDF_price_list[[Product Name]:[Column1]],8,0),"")</f>
        <v/>
      </c>
      <c r="T497" s="417" t="e">
        <f>VLOOKUP(Bunuri_lab_nomenc[[#This Row],[Denumire catalog GDF]],GDF_price_list[[Product Name]:[Column1]],7,0)</f>
        <v>#N/A</v>
      </c>
      <c r="V497" s="786" t="s">
        <v>666</v>
      </c>
      <c r="W497" s="738" t="s">
        <v>768</v>
      </c>
      <c r="X497" s="749">
        <v>106289</v>
      </c>
      <c r="Y497" s="750" t="s">
        <v>1394</v>
      </c>
      <c r="Z497" s="742" t="s">
        <v>610</v>
      </c>
      <c r="AA497" s="742" t="s">
        <v>535</v>
      </c>
      <c r="AB497" s="742">
        <v>100</v>
      </c>
      <c r="AC497" s="756" t="s">
        <v>1395</v>
      </c>
      <c r="AD497" s="752">
        <v>28.31</v>
      </c>
      <c r="AE497" s="789" t="s">
        <v>435</v>
      </c>
      <c r="AF497">
        <f>GDF_price_list[[#This Row],[Indicative 
FCA Price]]/GDF_price_list[[#This Row],[Unit]]</f>
        <v>0.28309999999999996</v>
      </c>
    </row>
    <row r="498" spans="12:32" ht="17">
      <c r="L498" s="416"/>
      <c r="M498" s="416"/>
      <c r="N498" s="416"/>
      <c r="O498" s="439"/>
      <c r="P498" s="417"/>
      <c r="Q498" s="417"/>
      <c r="R498" s="417">
        <f>IFERROR(ROUND(Bunuri_lab_nomenc[[#This Row],[Cost unitate GFATM_valuta]]*VLOOKUP(Bunuri_lab_nomenc[[#This Row],[Valuta cost GFATM]],$B$58:$D$59,2,0),2),0)</f>
        <v>0</v>
      </c>
      <c r="S498" s="417" t="str">
        <f>IFERROR(VLOOKUP(Bunuri_lab_nomenc[[#This Row],[Denumire catalog GDF]],GDF_price_list[[Product Name]:[Column1]],8,0),"")</f>
        <v/>
      </c>
      <c r="T498" s="417" t="e">
        <f>VLOOKUP(Bunuri_lab_nomenc[[#This Row],[Denumire catalog GDF]],GDF_price_list[[Product Name]:[Column1]],7,0)</f>
        <v>#N/A</v>
      </c>
      <c r="V498" s="786" t="s">
        <v>675</v>
      </c>
      <c r="W498" s="738" t="s">
        <v>676</v>
      </c>
      <c r="X498" s="739">
        <v>106297</v>
      </c>
      <c r="Y498" s="740" t="s">
        <v>1691</v>
      </c>
      <c r="Z498" s="742" t="s">
        <v>610</v>
      </c>
      <c r="AA498" s="742" t="s">
        <v>535</v>
      </c>
      <c r="AB498" s="742">
        <v>100</v>
      </c>
      <c r="AC498" s="743" t="s">
        <v>1692</v>
      </c>
      <c r="AD498" s="744">
        <v>87.6</v>
      </c>
      <c r="AE498" s="787" t="s">
        <v>435</v>
      </c>
      <c r="AF498">
        <f>GDF_price_list[[#This Row],[Indicative 
FCA Price]]/GDF_price_list[[#This Row],[Unit]]</f>
        <v>0.87599999999999989</v>
      </c>
    </row>
    <row r="499" spans="12:32" ht="17">
      <c r="L499" s="416"/>
      <c r="M499" s="416"/>
      <c r="N499" s="416"/>
      <c r="O499" s="439"/>
      <c r="P499" s="417"/>
      <c r="Q499" s="417"/>
      <c r="R499" s="417">
        <f>IFERROR(ROUND(Bunuri_lab_nomenc[[#This Row],[Cost unitate GFATM_valuta]]*VLOOKUP(Bunuri_lab_nomenc[[#This Row],[Valuta cost GFATM]],$B$58:$D$59,2,0),2),0)</f>
        <v>0</v>
      </c>
      <c r="S499" s="417" t="str">
        <f>IFERROR(VLOOKUP(Bunuri_lab_nomenc[[#This Row],[Denumire catalog GDF]],GDF_price_list[[Product Name]:[Column1]],8,0),"")</f>
        <v/>
      </c>
      <c r="T499" s="417" t="e">
        <f>VLOOKUP(Bunuri_lab_nomenc[[#This Row],[Denumire catalog GDF]],GDF_price_list[[Product Name]:[Column1]],7,0)</f>
        <v>#N/A</v>
      </c>
      <c r="V499" s="786" t="s">
        <v>666</v>
      </c>
      <c r="W499" s="738" t="s">
        <v>768</v>
      </c>
      <c r="X499" s="739">
        <v>106266</v>
      </c>
      <c r="Y499" s="740" t="s">
        <v>1730</v>
      </c>
      <c r="Z499" s="742" t="s">
        <v>610</v>
      </c>
      <c r="AA499" s="742" t="s">
        <v>535</v>
      </c>
      <c r="AB499" s="742">
        <v>100</v>
      </c>
      <c r="AC499" s="743" t="s">
        <v>1731</v>
      </c>
      <c r="AD499" s="744">
        <v>41.09</v>
      </c>
      <c r="AE499" s="787" t="s">
        <v>435</v>
      </c>
      <c r="AF499">
        <f>GDF_price_list[[#This Row],[Indicative 
FCA Price]]/GDF_price_list[[#This Row],[Unit]]</f>
        <v>0.41090000000000004</v>
      </c>
    </row>
    <row r="500" spans="12:32" ht="17">
      <c r="L500" s="416"/>
      <c r="M500" s="416"/>
      <c r="N500" s="416"/>
      <c r="O500" s="439"/>
      <c r="P500" s="417"/>
      <c r="Q500" s="417"/>
      <c r="R500" s="417">
        <f>IFERROR(ROUND(Bunuri_lab_nomenc[[#This Row],[Cost unitate GFATM_valuta]]*VLOOKUP(Bunuri_lab_nomenc[[#This Row],[Valuta cost GFATM]],$B$58:$D$59,2,0),2),0)</f>
        <v>0</v>
      </c>
      <c r="S500" s="417" t="str">
        <f>IFERROR(VLOOKUP(Bunuri_lab_nomenc[[#This Row],[Denumire catalog GDF]],GDF_price_list[[Product Name]:[Column1]],8,0),"")</f>
        <v/>
      </c>
      <c r="T500" s="417" t="e">
        <f>VLOOKUP(Bunuri_lab_nomenc[[#This Row],[Denumire catalog GDF]],GDF_price_list[[Product Name]:[Column1]],7,0)</f>
        <v>#N/A</v>
      </c>
      <c r="V500" s="786" t="s">
        <v>675</v>
      </c>
      <c r="W500" s="738" t="s">
        <v>676</v>
      </c>
      <c r="X500" s="739">
        <v>106302</v>
      </c>
      <c r="Y500" s="740" t="s">
        <v>677</v>
      </c>
      <c r="Z500" s="742" t="s">
        <v>610</v>
      </c>
      <c r="AA500" s="742" t="s">
        <v>296</v>
      </c>
      <c r="AB500" s="742">
        <v>100</v>
      </c>
      <c r="AC500" s="743" t="s">
        <v>678</v>
      </c>
      <c r="AD500" s="744">
        <v>30.33</v>
      </c>
      <c r="AE500" s="787" t="s">
        <v>435</v>
      </c>
      <c r="AF500">
        <f>GDF_price_list[[#This Row],[Indicative 
FCA Price]]/GDF_price_list[[#This Row],[Unit]]</f>
        <v>0.30329999999999996</v>
      </c>
    </row>
    <row r="501" spans="12:32" ht="17">
      <c r="L501" s="416"/>
      <c r="M501" s="416"/>
      <c r="N501" s="416"/>
      <c r="O501" s="439"/>
      <c r="P501" s="417"/>
      <c r="Q501" s="417"/>
      <c r="R501" s="417">
        <f>IFERROR(ROUND(Bunuri_lab_nomenc[[#This Row],[Cost unitate GFATM_valuta]]*VLOOKUP(Bunuri_lab_nomenc[[#This Row],[Valuta cost GFATM]],$B$58:$D$59,2,0),2),0)</f>
        <v>0</v>
      </c>
      <c r="S501" s="417" t="str">
        <f>IFERROR(VLOOKUP(Bunuri_lab_nomenc[[#This Row],[Denumire catalog GDF]],GDF_price_list[[Product Name]:[Column1]],8,0),"")</f>
        <v/>
      </c>
      <c r="T501" s="417" t="e">
        <f>VLOOKUP(Bunuri_lab_nomenc[[#This Row],[Denumire catalog GDF]],GDF_price_list[[Product Name]:[Column1]],7,0)</f>
        <v>#N/A</v>
      </c>
      <c r="V501" s="786" t="s">
        <v>648</v>
      </c>
      <c r="W501" s="738" t="s">
        <v>691</v>
      </c>
      <c r="X501" s="739">
        <v>106627</v>
      </c>
      <c r="Y501" s="743" t="s">
        <v>1204</v>
      </c>
      <c r="Z501" s="742" t="s">
        <v>651</v>
      </c>
      <c r="AA501" s="742" t="s">
        <v>296</v>
      </c>
      <c r="AB501" s="742">
        <v>100</v>
      </c>
      <c r="AC501" s="743" t="s">
        <v>1205</v>
      </c>
      <c r="AD501" s="753">
        <v>9.24</v>
      </c>
      <c r="AE501" s="790" t="s">
        <v>435</v>
      </c>
      <c r="AF501">
        <f>GDF_price_list[[#This Row],[Indicative 
FCA Price]]/GDF_price_list[[#This Row],[Unit]]</f>
        <v>9.2399999999999996E-2</v>
      </c>
    </row>
    <row r="502" spans="12:32" ht="51">
      <c r="L502" s="416"/>
      <c r="M502" s="416"/>
      <c r="N502" s="416"/>
      <c r="O502" s="439"/>
      <c r="P502" s="417"/>
      <c r="Q502" s="417"/>
      <c r="R502" s="417">
        <f>IFERROR(ROUND(Bunuri_lab_nomenc[[#This Row],[Cost unitate GFATM_valuta]]*VLOOKUP(Bunuri_lab_nomenc[[#This Row],[Valuta cost GFATM]],$B$58:$D$59,2,0),2),0)</f>
        <v>0</v>
      </c>
      <c r="S502" s="417" t="str">
        <f>IFERROR(VLOOKUP(Bunuri_lab_nomenc[[#This Row],[Denumire catalog GDF]],GDF_price_list[[Product Name]:[Column1]],8,0),"")</f>
        <v/>
      </c>
      <c r="T502" s="417" t="e">
        <f>VLOOKUP(Bunuri_lab_nomenc[[#This Row],[Denumire catalog GDF]],GDF_price_list[[Product Name]:[Column1]],7,0)</f>
        <v>#N/A</v>
      </c>
      <c r="V502" s="786" t="s">
        <v>638</v>
      </c>
      <c r="W502" s="738" t="s">
        <v>835</v>
      </c>
      <c r="X502" s="745">
        <v>106624</v>
      </c>
      <c r="Y502" s="740" t="s">
        <v>836</v>
      </c>
      <c r="Z502" s="742" t="s">
        <v>610</v>
      </c>
      <c r="AA502" s="742" t="s">
        <v>542</v>
      </c>
      <c r="AB502" s="742">
        <v>100</v>
      </c>
      <c r="AC502" s="743" t="s">
        <v>837</v>
      </c>
      <c r="AD502" s="744">
        <v>30.25</v>
      </c>
      <c r="AE502" s="787" t="s">
        <v>435</v>
      </c>
      <c r="AF502">
        <f>GDF_price_list[[#This Row],[Indicative 
FCA Price]]/GDF_price_list[[#This Row],[Unit]]</f>
        <v>0.30249999999999999</v>
      </c>
    </row>
    <row r="503" spans="12:32" ht="68">
      <c r="L503" s="416"/>
      <c r="M503" s="416"/>
      <c r="N503" s="416"/>
      <c r="O503" s="439"/>
      <c r="P503" s="417"/>
      <c r="Q503" s="417"/>
      <c r="R503" s="417">
        <f>IFERROR(ROUND(Bunuri_lab_nomenc[[#This Row],[Cost unitate GFATM_valuta]]*VLOOKUP(Bunuri_lab_nomenc[[#This Row],[Valuta cost GFATM]],$B$58:$D$59,2,0),2),0)</f>
        <v>0</v>
      </c>
      <c r="S503" s="417" t="str">
        <f>IFERROR(VLOOKUP(Bunuri_lab_nomenc[[#This Row],[Denumire catalog GDF]],GDF_price_list[[Product Name]:[Column1]],8,0),"")</f>
        <v/>
      </c>
      <c r="T503" s="417" t="e">
        <f>VLOOKUP(Bunuri_lab_nomenc[[#This Row],[Denumire catalog GDF]],GDF_price_list[[Product Name]:[Column1]],7,0)</f>
        <v>#N/A</v>
      </c>
      <c r="V503" s="786" t="s">
        <v>675</v>
      </c>
      <c r="W503" s="738" t="s">
        <v>822</v>
      </c>
      <c r="X503" s="739">
        <v>106611</v>
      </c>
      <c r="Y503" s="740" t="s">
        <v>823</v>
      </c>
      <c r="Z503" s="742" t="s">
        <v>824</v>
      </c>
      <c r="AA503" s="742" t="s">
        <v>542</v>
      </c>
      <c r="AB503" s="742">
        <v>100</v>
      </c>
      <c r="AC503" s="769" t="s">
        <v>825</v>
      </c>
      <c r="AD503" s="770">
        <v>100</v>
      </c>
      <c r="AE503" s="790" t="s">
        <v>435</v>
      </c>
      <c r="AF503">
        <f>GDF_price_list[[#This Row],[Indicative 
FCA Price]]/GDF_price_list[[#This Row],[Unit]]</f>
        <v>1</v>
      </c>
    </row>
    <row r="504" spans="12:32" ht="102">
      <c r="L504" s="416"/>
      <c r="M504" s="416"/>
      <c r="N504" s="416"/>
      <c r="O504" s="439"/>
      <c r="P504" s="417"/>
      <c r="Q504" s="417"/>
      <c r="R504" s="417">
        <f>IFERROR(ROUND(Bunuri_lab_nomenc[[#This Row],[Cost unitate GFATM_valuta]]*VLOOKUP(Bunuri_lab_nomenc[[#This Row],[Valuta cost GFATM]],$B$58:$D$59,2,0),2),0)</f>
        <v>0</v>
      </c>
      <c r="S504" s="417" t="str">
        <f>IFERROR(VLOOKUP(Bunuri_lab_nomenc[[#This Row],[Denumire catalog GDF]],GDF_price_list[[Product Name]:[Column1]],8,0),"")</f>
        <v/>
      </c>
      <c r="T504" s="417" t="e">
        <f>VLOOKUP(Bunuri_lab_nomenc[[#This Row],[Denumire catalog GDF]],GDF_price_list[[Product Name]:[Column1]],7,0)</f>
        <v>#N/A</v>
      </c>
      <c r="V504" s="786" t="s">
        <v>881</v>
      </c>
      <c r="W504" s="738" t="s">
        <v>882</v>
      </c>
      <c r="X504" s="739">
        <v>106642</v>
      </c>
      <c r="Y504" s="740" t="s">
        <v>883</v>
      </c>
      <c r="Z504" s="742" t="s">
        <v>884</v>
      </c>
      <c r="AA504" s="742" t="s">
        <v>542</v>
      </c>
      <c r="AB504" s="742">
        <v>100</v>
      </c>
      <c r="AC504" s="743" t="s">
        <v>885</v>
      </c>
      <c r="AD504" s="770">
        <v>350</v>
      </c>
      <c r="AE504" s="789" t="s">
        <v>435</v>
      </c>
      <c r="AF504">
        <f>GDF_price_list[[#This Row],[Indicative 
FCA Price]]/GDF_price_list[[#This Row],[Unit]]</f>
        <v>3.5</v>
      </c>
    </row>
    <row r="505" spans="12:32" ht="17">
      <c r="L505" s="416"/>
      <c r="M505" s="416"/>
      <c r="N505" s="416"/>
      <c r="O505" s="439"/>
      <c r="P505" s="417"/>
      <c r="Q505" s="417"/>
      <c r="R505" s="417">
        <f>IFERROR(ROUND(Bunuri_lab_nomenc[[#This Row],[Cost unitate GFATM_valuta]]*VLOOKUP(Bunuri_lab_nomenc[[#This Row],[Valuta cost GFATM]],$B$58:$D$59,2,0),2),0)</f>
        <v>0</v>
      </c>
      <c r="S505" s="417" t="str">
        <f>IFERROR(VLOOKUP(Bunuri_lab_nomenc[[#This Row],[Denumire catalog GDF]],GDF_price_list[[Product Name]:[Column1]],8,0),"")</f>
        <v/>
      </c>
      <c r="T505" s="417" t="e">
        <f>VLOOKUP(Bunuri_lab_nomenc[[#This Row],[Denumire catalog GDF]],GDF_price_list[[Product Name]:[Column1]],7,0)</f>
        <v>#N/A</v>
      </c>
      <c r="V505" s="786" t="s">
        <v>648</v>
      </c>
      <c r="W505" s="738" t="s">
        <v>691</v>
      </c>
      <c r="X505" s="749">
        <v>106603</v>
      </c>
      <c r="Y505" s="750" t="s">
        <v>1200</v>
      </c>
      <c r="Z505" s="755" t="s">
        <v>610</v>
      </c>
      <c r="AA505" s="755" t="s">
        <v>296</v>
      </c>
      <c r="AB505" s="751">
        <v>1000</v>
      </c>
      <c r="AC505" s="756" t="s">
        <v>1201</v>
      </c>
      <c r="AD505" s="752">
        <v>154.06</v>
      </c>
      <c r="AE505" s="789" t="s">
        <v>435</v>
      </c>
      <c r="AF505">
        <f>GDF_price_list[[#This Row],[Indicative 
FCA Price]]/GDF_price_list[[#This Row],[Unit]]</f>
        <v>0.15406</v>
      </c>
    </row>
    <row r="506" spans="12:32" ht="17">
      <c r="L506" s="416"/>
      <c r="M506" s="416"/>
      <c r="N506" s="416"/>
      <c r="O506" s="439"/>
      <c r="P506" s="417"/>
      <c r="Q506" s="417"/>
      <c r="R506" s="417">
        <f>IFERROR(ROUND(Bunuri_lab_nomenc[[#This Row],[Cost unitate GFATM_valuta]]*VLOOKUP(Bunuri_lab_nomenc[[#This Row],[Valuta cost GFATM]],$B$58:$D$59,2,0),2),0)</f>
        <v>0</v>
      </c>
      <c r="S506" s="417" t="str">
        <f>IFERROR(VLOOKUP(Bunuri_lab_nomenc[[#This Row],[Denumire catalog GDF]],GDF_price_list[[Product Name]:[Column1]],8,0),"")</f>
        <v/>
      </c>
      <c r="T506" s="417" t="e">
        <f>VLOOKUP(Bunuri_lab_nomenc[[#This Row],[Denumire catalog GDF]],GDF_price_list[[Product Name]:[Column1]],7,0)</f>
        <v>#N/A</v>
      </c>
      <c r="V506" s="786" t="s">
        <v>648</v>
      </c>
      <c r="W506" s="738" t="s">
        <v>691</v>
      </c>
      <c r="X506" s="749">
        <v>106604</v>
      </c>
      <c r="Y506" s="750" t="s">
        <v>1693</v>
      </c>
      <c r="Z506" s="755" t="s">
        <v>610</v>
      </c>
      <c r="AA506" s="755" t="s">
        <v>296</v>
      </c>
      <c r="AB506" s="751">
        <v>1000</v>
      </c>
      <c r="AC506" s="756" t="s">
        <v>1694</v>
      </c>
      <c r="AD506" s="752">
        <v>368.23</v>
      </c>
      <c r="AE506" s="789" t="s">
        <v>435</v>
      </c>
      <c r="AF506">
        <f>GDF_price_list[[#This Row],[Indicative 
FCA Price]]/GDF_price_list[[#This Row],[Unit]]</f>
        <v>0.36823</v>
      </c>
    </row>
    <row r="507" spans="12:32" ht="34">
      <c r="L507" s="416"/>
      <c r="M507" s="416"/>
      <c r="N507" s="416"/>
      <c r="O507" s="439"/>
      <c r="P507" s="417"/>
      <c r="Q507" s="417"/>
      <c r="R507" s="417">
        <f>IFERROR(ROUND(Bunuri_lab_nomenc[[#This Row],[Cost unitate GFATM_valuta]]*VLOOKUP(Bunuri_lab_nomenc[[#This Row],[Valuta cost GFATM]],$B$58:$D$59,2,0),2),0)</f>
        <v>0</v>
      </c>
      <c r="S507" s="417" t="str">
        <f>IFERROR(VLOOKUP(Bunuri_lab_nomenc[[#This Row],[Denumire catalog GDF]],GDF_price_list[[Product Name]:[Column1]],8,0),"")</f>
        <v/>
      </c>
      <c r="T507" s="417" t="e">
        <f>VLOOKUP(Bunuri_lab_nomenc[[#This Row],[Denumire catalog GDF]],GDF_price_list[[Product Name]:[Column1]],7,0)</f>
        <v>#N/A</v>
      </c>
      <c r="V507" s="786" t="s">
        <v>621</v>
      </c>
      <c r="W507" s="738" t="s">
        <v>622</v>
      </c>
      <c r="X507" s="739">
        <v>106379</v>
      </c>
      <c r="Y507" s="740" t="s">
        <v>1550</v>
      </c>
      <c r="Z507" s="742" t="s">
        <v>610</v>
      </c>
      <c r="AA507" s="742" t="s">
        <v>1803</v>
      </c>
      <c r="AB507" s="742">
        <v>12</v>
      </c>
      <c r="AC507" s="743" t="s">
        <v>1551</v>
      </c>
      <c r="AD507" s="744">
        <v>13.3</v>
      </c>
      <c r="AE507" s="787" t="s">
        <v>435</v>
      </c>
      <c r="AF507">
        <f>GDF_price_list[[#This Row],[Indicative 
FCA Price]]/GDF_price_list[[#This Row],[Unit]]</f>
        <v>1.1083333333333334</v>
      </c>
    </row>
    <row r="508" spans="12:32" ht="51">
      <c r="L508" s="416"/>
      <c r="M508" s="416"/>
      <c r="N508" s="416"/>
      <c r="O508" s="439"/>
      <c r="P508" s="417"/>
      <c r="Q508" s="417"/>
      <c r="R508" s="417">
        <f>IFERROR(ROUND(Bunuri_lab_nomenc[[#This Row],[Cost unitate GFATM_valuta]]*VLOOKUP(Bunuri_lab_nomenc[[#This Row],[Valuta cost GFATM]],$B$58:$D$59,2,0),2),0)</f>
        <v>0</v>
      </c>
      <c r="S508" s="417" t="str">
        <f>IFERROR(VLOOKUP(Bunuri_lab_nomenc[[#This Row],[Denumire catalog GDF]],GDF_price_list[[Product Name]:[Column1]],8,0),"")</f>
        <v/>
      </c>
      <c r="T508" s="417" t="e">
        <f>VLOOKUP(Bunuri_lab_nomenc[[#This Row],[Denumire catalog GDF]],GDF_price_list[[Product Name]:[Column1]],7,0)</f>
        <v>#N/A</v>
      </c>
      <c r="V508" s="786" t="s">
        <v>666</v>
      </c>
      <c r="W508" s="738" t="s">
        <v>667</v>
      </c>
      <c r="X508" s="739">
        <v>106315</v>
      </c>
      <c r="Y508" s="754" t="s">
        <v>1476</v>
      </c>
      <c r="Z508" s="742" t="s">
        <v>610</v>
      </c>
      <c r="AA508" s="742" t="s">
        <v>535</v>
      </c>
      <c r="AB508" s="742">
        <v>2</v>
      </c>
      <c r="AC508" s="743" t="s">
        <v>1477</v>
      </c>
      <c r="AD508" s="744">
        <v>128.27000000000001</v>
      </c>
      <c r="AE508" s="787" t="s">
        <v>435</v>
      </c>
      <c r="AF508">
        <f>GDF_price_list[[#This Row],[Indicative 
FCA Price]]/GDF_price_list[[#This Row],[Unit]]</f>
        <v>64.135000000000005</v>
      </c>
    </row>
    <row r="509" spans="12:32" ht="17">
      <c r="L509" s="416"/>
      <c r="M509" s="416"/>
      <c r="N509" s="416"/>
      <c r="O509" s="439"/>
      <c r="P509" s="417"/>
      <c r="Q509" s="417"/>
      <c r="R509" s="417">
        <f>IFERROR(ROUND(Bunuri_lab_nomenc[[#This Row],[Cost unitate GFATM_valuta]]*VLOOKUP(Bunuri_lab_nomenc[[#This Row],[Valuta cost GFATM]],$B$58:$D$59,2,0),2),0)</f>
        <v>0</v>
      </c>
      <c r="S509" s="417" t="str">
        <f>IFERROR(VLOOKUP(Bunuri_lab_nomenc[[#This Row],[Denumire catalog GDF]],GDF_price_list[[Product Name]:[Column1]],8,0),"")</f>
        <v/>
      </c>
      <c r="T509" s="417" t="e">
        <f>VLOOKUP(Bunuri_lab_nomenc[[#This Row],[Denumire catalog GDF]],GDF_price_list[[Product Name]:[Column1]],7,0)</f>
        <v>#N/A</v>
      </c>
      <c r="V509" s="786" t="s">
        <v>638</v>
      </c>
      <c r="W509" s="738" t="s">
        <v>835</v>
      </c>
      <c r="X509" s="745">
        <v>106294</v>
      </c>
      <c r="Y509" s="740" t="s">
        <v>838</v>
      </c>
      <c r="Z509" s="742" t="s">
        <v>610</v>
      </c>
      <c r="AA509" s="742" t="s">
        <v>1804</v>
      </c>
      <c r="AB509" s="742">
        <v>2</v>
      </c>
      <c r="AC509" s="743" t="s">
        <v>839</v>
      </c>
      <c r="AD509" s="744">
        <v>47.44</v>
      </c>
      <c r="AE509" s="787" t="s">
        <v>435</v>
      </c>
      <c r="AF509">
        <f>GDF_price_list[[#This Row],[Indicative 
FCA Price]]/GDF_price_list[[#This Row],[Unit]]</f>
        <v>23.72</v>
      </c>
    </row>
    <row r="510" spans="12:32" ht="17">
      <c r="L510" s="416"/>
      <c r="M510" s="416"/>
      <c r="N510" s="416"/>
      <c r="O510" s="439"/>
      <c r="P510" s="417"/>
      <c r="Q510" s="417"/>
      <c r="R510" s="417">
        <f>IFERROR(ROUND(Bunuri_lab_nomenc[[#This Row],[Cost unitate GFATM_valuta]]*VLOOKUP(Bunuri_lab_nomenc[[#This Row],[Valuta cost GFATM]],$B$58:$D$59,2,0),2),0)</f>
        <v>0</v>
      </c>
      <c r="S510" s="417" t="str">
        <f>IFERROR(VLOOKUP(Bunuri_lab_nomenc[[#This Row],[Denumire catalog GDF]],GDF_price_list[[Product Name]:[Column1]],8,0),"")</f>
        <v/>
      </c>
      <c r="T510" s="417" t="e">
        <f>VLOOKUP(Bunuri_lab_nomenc[[#This Row],[Denumire catalog GDF]],GDF_price_list[[Product Name]:[Column1]],7,0)</f>
        <v>#N/A</v>
      </c>
      <c r="V510" s="786" t="s">
        <v>638</v>
      </c>
      <c r="W510" s="738" t="s">
        <v>835</v>
      </c>
      <c r="X510" s="745">
        <v>106370</v>
      </c>
      <c r="Y510" s="740" t="s">
        <v>905</v>
      </c>
      <c r="Z510" s="742" t="s">
        <v>610</v>
      </c>
      <c r="AA510" s="742" t="s">
        <v>1804</v>
      </c>
      <c r="AB510" s="742">
        <v>2</v>
      </c>
      <c r="AC510" s="743" t="s">
        <v>906</v>
      </c>
      <c r="AD510" s="744">
        <v>13.79</v>
      </c>
      <c r="AE510" s="787" t="s">
        <v>435</v>
      </c>
      <c r="AF510">
        <f>GDF_price_list[[#This Row],[Indicative 
FCA Price]]/GDF_price_list[[#This Row],[Unit]]</f>
        <v>6.8949999999999996</v>
      </c>
    </row>
    <row r="511" spans="12:32" ht="102">
      <c r="L511" s="416"/>
      <c r="M511" s="416"/>
      <c r="N511" s="416"/>
      <c r="O511" s="439"/>
      <c r="P511" s="417"/>
      <c r="Q511" s="417"/>
      <c r="R511" s="417">
        <f>IFERROR(ROUND(Bunuri_lab_nomenc[[#This Row],[Cost unitate GFATM_valuta]]*VLOOKUP(Bunuri_lab_nomenc[[#This Row],[Valuta cost GFATM]],$B$58:$D$59,2,0),2),0)</f>
        <v>0</v>
      </c>
      <c r="S511" s="417" t="str">
        <f>IFERROR(VLOOKUP(Bunuri_lab_nomenc[[#This Row],[Denumire catalog GDF]],GDF_price_list[[Product Name]:[Column1]],8,0),"")</f>
        <v/>
      </c>
      <c r="T511" s="417" t="e">
        <f>VLOOKUP(Bunuri_lab_nomenc[[#This Row],[Denumire catalog GDF]],GDF_price_list[[Product Name]:[Column1]],7,0)</f>
        <v>#N/A</v>
      </c>
      <c r="V511" s="786" t="s">
        <v>612</v>
      </c>
      <c r="W511" s="738" t="s">
        <v>1301</v>
      </c>
      <c r="X511" s="745">
        <v>106634</v>
      </c>
      <c r="Y511" s="740" t="s">
        <v>1302</v>
      </c>
      <c r="Z511" s="742" t="s">
        <v>1188</v>
      </c>
      <c r="AA511" s="742"/>
      <c r="AB511" s="742" t="s">
        <v>1303</v>
      </c>
      <c r="AC511" s="743" t="s">
        <v>1304</v>
      </c>
      <c r="AD511" s="744">
        <v>219</v>
      </c>
      <c r="AE511" s="790" t="s">
        <v>435</v>
      </c>
      <c r="AF511" t="e">
        <f>GDF_price_list[[#This Row],[Indicative 
FCA Price]]/GDF_price_list[[#This Row],[Unit]]</f>
        <v>#VALUE!</v>
      </c>
    </row>
    <row r="512" spans="12:32" ht="17">
      <c r="L512" s="416"/>
      <c r="M512" s="416"/>
      <c r="N512" s="416"/>
      <c r="O512" s="439"/>
      <c r="P512" s="417"/>
      <c r="Q512" s="417"/>
      <c r="R512" s="417">
        <f>IFERROR(ROUND(Bunuri_lab_nomenc[[#This Row],[Cost unitate GFATM_valuta]]*VLOOKUP(Bunuri_lab_nomenc[[#This Row],[Valuta cost GFATM]],$B$58:$D$59,2,0),2),0)</f>
        <v>0</v>
      </c>
      <c r="S512" s="417" t="str">
        <f>IFERROR(VLOOKUP(Bunuri_lab_nomenc[[#This Row],[Denumire catalog GDF]],GDF_price_list[[Product Name]:[Column1]],8,0),"")</f>
        <v/>
      </c>
      <c r="T512" s="417" t="e">
        <f>VLOOKUP(Bunuri_lab_nomenc[[#This Row],[Denumire catalog GDF]],GDF_price_list[[Product Name]:[Column1]],7,0)</f>
        <v>#N/A</v>
      </c>
      <c r="V512" s="786" t="s">
        <v>656</v>
      </c>
      <c r="W512" s="738" t="s">
        <v>657</v>
      </c>
      <c r="X512" s="739">
        <v>106671</v>
      </c>
      <c r="Y512" s="743" t="s">
        <v>1488</v>
      </c>
      <c r="Z512" s="742" t="s">
        <v>1479</v>
      </c>
      <c r="AA512" s="742"/>
      <c r="AB512" s="742" t="s">
        <v>1489</v>
      </c>
      <c r="AC512" s="743" t="s">
        <v>1490</v>
      </c>
      <c r="AD512" s="744">
        <v>279.39999999999998</v>
      </c>
      <c r="AE512" s="787" t="s">
        <v>435</v>
      </c>
      <c r="AF512" t="e">
        <f>GDF_price_list[[#This Row],[Indicative 
FCA Price]]/GDF_price_list[[#This Row],[Unit]]</f>
        <v>#VALUE!</v>
      </c>
    </row>
    <row r="513" spans="12:32" ht="51">
      <c r="L513" s="416"/>
      <c r="M513" s="416"/>
      <c r="N513" s="416"/>
      <c r="O513" s="439"/>
      <c r="P513" s="417"/>
      <c r="Q513" s="417"/>
      <c r="R513" s="417">
        <f>IFERROR(ROUND(Bunuri_lab_nomenc[[#This Row],[Cost unitate GFATM_valuta]]*VLOOKUP(Bunuri_lab_nomenc[[#This Row],[Valuta cost GFATM]],$B$58:$D$59,2,0),2),0)</f>
        <v>0</v>
      </c>
      <c r="S513" s="417" t="str">
        <f>IFERROR(VLOOKUP(Bunuri_lab_nomenc[[#This Row],[Denumire catalog GDF]],GDF_price_list[[Product Name]:[Column1]],8,0),"")</f>
        <v/>
      </c>
      <c r="T513" s="417" t="e">
        <f>VLOOKUP(Bunuri_lab_nomenc[[#This Row],[Denumire catalog GDF]],GDF_price_list[[Product Name]:[Column1]],7,0)</f>
        <v>#N/A</v>
      </c>
      <c r="V513" s="786" t="s">
        <v>675</v>
      </c>
      <c r="W513" s="738" t="s">
        <v>822</v>
      </c>
      <c r="X513" s="739">
        <v>106612</v>
      </c>
      <c r="Y513" s="740" t="s">
        <v>826</v>
      </c>
      <c r="Z513" s="742" t="s">
        <v>824</v>
      </c>
      <c r="AA513" s="742"/>
      <c r="AB513" s="742" t="s">
        <v>827</v>
      </c>
      <c r="AC513" s="743" t="s">
        <v>828</v>
      </c>
      <c r="AD513" s="770">
        <v>8</v>
      </c>
      <c r="AE513" s="790" t="s">
        <v>435</v>
      </c>
      <c r="AF513" t="e">
        <f>GDF_price_list[[#This Row],[Indicative 
FCA Price]]/GDF_price_list[[#This Row],[Unit]]</f>
        <v>#VALUE!</v>
      </c>
    </row>
    <row r="514" spans="12:32" ht="17">
      <c r="L514" s="416"/>
      <c r="M514" s="416"/>
      <c r="N514" s="416"/>
      <c r="O514" s="439"/>
      <c r="P514" s="417"/>
      <c r="Q514" s="417"/>
      <c r="R514" s="417">
        <f>IFERROR(ROUND(Bunuri_lab_nomenc[[#This Row],[Cost unitate GFATM_valuta]]*VLOOKUP(Bunuri_lab_nomenc[[#This Row],[Valuta cost GFATM]],$B$58:$D$59,2,0),2),0)</f>
        <v>0</v>
      </c>
      <c r="S514" s="417" t="str">
        <f>IFERROR(VLOOKUP(Bunuri_lab_nomenc[[#This Row],[Denumire catalog GDF]],GDF_price_list[[Product Name]:[Column1]],8,0),"")</f>
        <v/>
      </c>
      <c r="T514" s="417" t="e">
        <f>VLOOKUP(Bunuri_lab_nomenc[[#This Row],[Denumire catalog GDF]],GDF_price_list[[Product Name]:[Column1]],7,0)</f>
        <v>#N/A</v>
      </c>
      <c r="V514" s="786" t="s">
        <v>656</v>
      </c>
      <c r="W514" s="738" t="s">
        <v>657</v>
      </c>
      <c r="X514" s="739">
        <v>106672</v>
      </c>
      <c r="Y514" s="743" t="s">
        <v>1491</v>
      </c>
      <c r="Z514" s="742" t="s">
        <v>1479</v>
      </c>
      <c r="AA514" s="742"/>
      <c r="AB514" s="742" t="s">
        <v>1492</v>
      </c>
      <c r="AC514" s="743" t="s">
        <v>1493</v>
      </c>
      <c r="AD514" s="744">
        <v>2798.4</v>
      </c>
      <c r="AE514" s="787" t="s">
        <v>435</v>
      </c>
      <c r="AF514" t="e">
        <f>GDF_price_list[[#This Row],[Indicative 
FCA Price]]/GDF_price_list[[#This Row],[Unit]]</f>
        <v>#VALUE!</v>
      </c>
    </row>
    <row r="515" spans="12:32" ht="51">
      <c r="L515" s="416"/>
      <c r="M515" s="416"/>
      <c r="N515" s="416"/>
      <c r="O515" s="439"/>
      <c r="P515" s="417"/>
      <c r="Q515" s="417"/>
      <c r="R515" s="417">
        <f>IFERROR(ROUND(Bunuri_lab_nomenc[[#This Row],[Cost unitate GFATM_valuta]]*VLOOKUP(Bunuri_lab_nomenc[[#This Row],[Valuta cost GFATM]],$B$58:$D$59,2,0),2),0)</f>
        <v>0</v>
      </c>
      <c r="S515" s="417" t="str">
        <f>IFERROR(VLOOKUP(Bunuri_lab_nomenc[[#This Row],[Denumire catalog GDF]],GDF_price_list[[Product Name]:[Column1]],8,0),"")</f>
        <v/>
      </c>
      <c r="T515" s="417" t="e">
        <f>VLOOKUP(Bunuri_lab_nomenc[[#This Row],[Denumire catalog GDF]],GDF_price_list[[Product Name]:[Column1]],7,0)</f>
        <v>#N/A</v>
      </c>
      <c r="V515" s="786" t="s">
        <v>656</v>
      </c>
      <c r="W515" s="738" t="s">
        <v>657</v>
      </c>
      <c r="X515" s="739">
        <v>106665</v>
      </c>
      <c r="Y515" s="743" t="s">
        <v>1742</v>
      </c>
      <c r="Z515" s="742" t="s">
        <v>659</v>
      </c>
      <c r="AA515" s="742"/>
      <c r="AB515" s="742" t="s">
        <v>1743</v>
      </c>
      <c r="AC515" s="743" t="s">
        <v>1742</v>
      </c>
      <c r="AD515" s="744">
        <v>168</v>
      </c>
      <c r="AE515" s="787" t="s">
        <v>435</v>
      </c>
      <c r="AF515" t="e">
        <f>GDF_price_list[[#This Row],[Indicative 
FCA Price]]/GDF_price_list[[#This Row],[Unit]]</f>
        <v>#VALUE!</v>
      </c>
    </row>
    <row r="516" spans="12:32" ht="17">
      <c r="L516" s="416"/>
      <c r="M516" s="416"/>
      <c r="N516" s="416"/>
      <c r="O516" s="439"/>
      <c r="P516" s="417"/>
      <c r="Q516" s="417"/>
      <c r="R516" s="417">
        <f>IFERROR(ROUND(Bunuri_lab_nomenc[[#This Row],[Cost unitate GFATM_valuta]]*VLOOKUP(Bunuri_lab_nomenc[[#This Row],[Valuta cost GFATM]],$B$58:$D$59,2,0),2),0)</f>
        <v>0</v>
      </c>
      <c r="S516" s="417" t="str">
        <f>IFERROR(VLOOKUP(Bunuri_lab_nomenc[[#This Row],[Denumire catalog GDF]],GDF_price_list[[Product Name]:[Column1]],8,0),"")</f>
        <v/>
      </c>
      <c r="T516" s="417" t="e">
        <f>VLOOKUP(Bunuri_lab_nomenc[[#This Row],[Denumire catalog GDF]],GDF_price_list[[Product Name]:[Column1]],7,0)</f>
        <v>#N/A</v>
      </c>
      <c r="V516" s="786" t="s">
        <v>648</v>
      </c>
      <c r="W516" s="738" t="s">
        <v>691</v>
      </c>
      <c r="X516" s="749">
        <v>106276</v>
      </c>
      <c r="Y516" s="750" t="s">
        <v>696</v>
      </c>
      <c r="Z516" s="755" t="s">
        <v>610</v>
      </c>
      <c r="AA516" s="755"/>
      <c r="AB516" s="751" t="s">
        <v>697</v>
      </c>
      <c r="AC516" s="756" t="s">
        <v>698</v>
      </c>
      <c r="AD516" s="752">
        <v>48.71</v>
      </c>
      <c r="AE516" s="789" t="s">
        <v>435</v>
      </c>
      <c r="AF516" t="e">
        <f>GDF_price_list[[#This Row],[Indicative 
FCA Price]]/GDF_price_list[[#This Row],[Unit]]</f>
        <v>#VALUE!</v>
      </c>
    </row>
    <row r="517" spans="12:32" ht="34">
      <c r="L517" s="416"/>
      <c r="M517" s="416"/>
      <c r="N517" s="416"/>
      <c r="O517" s="439"/>
      <c r="P517" s="417"/>
      <c r="Q517" s="417"/>
      <c r="R517" s="417">
        <f>IFERROR(ROUND(Bunuri_lab_nomenc[[#This Row],[Cost unitate GFATM_valuta]]*VLOOKUP(Bunuri_lab_nomenc[[#This Row],[Valuta cost GFATM]],$B$58:$D$59,2,0),2),0)</f>
        <v>0</v>
      </c>
      <c r="S517" s="417" t="str">
        <f>IFERROR(VLOOKUP(Bunuri_lab_nomenc[[#This Row],[Denumire catalog GDF]],GDF_price_list[[Product Name]:[Column1]],8,0),"")</f>
        <v/>
      </c>
      <c r="T517" s="417" t="e">
        <f>VLOOKUP(Bunuri_lab_nomenc[[#This Row],[Denumire catalog GDF]],GDF_price_list[[Product Name]:[Column1]],7,0)</f>
        <v>#N/A</v>
      </c>
      <c r="V517" s="786" t="s">
        <v>666</v>
      </c>
      <c r="W517" s="738" t="s">
        <v>895</v>
      </c>
      <c r="X517" s="739">
        <v>106310</v>
      </c>
      <c r="Y517" s="740" t="s">
        <v>961</v>
      </c>
      <c r="Z517" s="742" t="s">
        <v>610</v>
      </c>
      <c r="AA517" s="742"/>
      <c r="AB517" s="742" t="s">
        <v>697</v>
      </c>
      <c r="AC517" s="743" t="s">
        <v>962</v>
      </c>
      <c r="AD517" s="744">
        <v>158.03</v>
      </c>
      <c r="AE517" s="787" t="s">
        <v>435</v>
      </c>
      <c r="AF517" t="e">
        <f>GDF_price_list[[#This Row],[Indicative 
FCA Price]]/GDF_price_list[[#This Row],[Unit]]</f>
        <v>#VALUE!</v>
      </c>
    </row>
    <row r="518" spans="12:32" ht="17">
      <c r="L518" s="416"/>
      <c r="M518" s="416"/>
      <c r="N518" s="416"/>
      <c r="O518" s="439"/>
      <c r="P518" s="417"/>
      <c r="Q518" s="417"/>
      <c r="R518" s="417">
        <f>IFERROR(ROUND(Bunuri_lab_nomenc[[#This Row],[Cost unitate GFATM_valuta]]*VLOOKUP(Bunuri_lab_nomenc[[#This Row],[Valuta cost GFATM]],$B$58:$D$59,2,0),2),0)</f>
        <v>0</v>
      </c>
      <c r="S518" s="417" t="str">
        <f>IFERROR(VLOOKUP(Bunuri_lab_nomenc[[#This Row],[Denumire catalog GDF]],GDF_price_list[[Product Name]:[Column1]],8,0),"")</f>
        <v/>
      </c>
      <c r="T518" s="417" t="e">
        <f>VLOOKUP(Bunuri_lab_nomenc[[#This Row],[Denumire catalog GDF]],GDF_price_list[[Product Name]:[Column1]],7,0)</f>
        <v>#N/A</v>
      </c>
      <c r="V518" s="786" t="s">
        <v>675</v>
      </c>
      <c r="W518" s="738" t="s">
        <v>676</v>
      </c>
      <c r="X518" s="739">
        <v>106298</v>
      </c>
      <c r="Y518" s="740" t="s">
        <v>1368</v>
      </c>
      <c r="Z518" s="742" t="s">
        <v>610</v>
      </c>
      <c r="AA518" s="742"/>
      <c r="AB518" s="742" t="s">
        <v>697</v>
      </c>
      <c r="AC518" s="743" t="s">
        <v>1369</v>
      </c>
      <c r="AD518" s="744">
        <v>143.88999999999999</v>
      </c>
      <c r="AE518" s="787" t="s">
        <v>435</v>
      </c>
      <c r="AF518" t="e">
        <f>GDF_price_list[[#This Row],[Indicative 
FCA Price]]/GDF_price_list[[#This Row],[Unit]]</f>
        <v>#VALUE!</v>
      </c>
    </row>
    <row r="519" spans="12:32" ht="17">
      <c r="L519" s="416"/>
      <c r="M519" s="416"/>
      <c r="N519" s="416"/>
      <c r="O519" s="439"/>
      <c r="P519" s="417"/>
      <c r="Q519" s="417"/>
      <c r="R519" s="417">
        <f>IFERROR(ROUND(Bunuri_lab_nomenc[[#This Row],[Cost unitate GFATM_valuta]]*VLOOKUP(Bunuri_lab_nomenc[[#This Row],[Valuta cost GFATM]],$B$58:$D$59,2,0),2),0)</f>
        <v>0</v>
      </c>
      <c r="S519" s="417" t="str">
        <f>IFERROR(VLOOKUP(Bunuri_lab_nomenc[[#This Row],[Denumire catalog GDF]],GDF_price_list[[Product Name]:[Column1]],8,0),"")</f>
        <v/>
      </c>
      <c r="T519" s="417" t="e">
        <f>VLOOKUP(Bunuri_lab_nomenc[[#This Row],[Denumire catalog GDF]],GDF_price_list[[Product Name]:[Column1]],7,0)</f>
        <v>#N/A</v>
      </c>
      <c r="V519" s="786" t="s">
        <v>666</v>
      </c>
      <c r="W519" s="738" t="s">
        <v>768</v>
      </c>
      <c r="X519" s="739">
        <v>106262</v>
      </c>
      <c r="Y519" s="740" t="s">
        <v>1598</v>
      </c>
      <c r="Z519" s="742" t="s">
        <v>610</v>
      </c>
      <c r="AA519" s="742"/>
      <c r="AB519" s="742" t="s">
        <v>697</v>
      </c>
      <c r="AC519" s="743" t="s">
        <v>1599</v>
      </c>
      <c r="AD519" s="744">
        <v>30.01</v>
      </c>
      <c r="AE519" s="787" t="s">
        <v>435</v>
      </c>
      <c r="AF519" t="e">
        <f>GDF_price_list[[#This Row],[Indicative 
FCA Price]]/GDF_price_list[[#This Row],[Unit]]</f>
        <v>#VALUE!</v>
      </c>
    </row>
    <row r="520" spans="12:32" ht="34">
      <c r="L520" s="416"/>
      <c r="M520" s="416"/>
      <c r="N520" s="416"/>
      <c r="O520" s="439"/>
      <c r="P520" s="417"/>
      <c r="Q520" s="417"/>
      <c r="R520" s="417">
        <f>IFERROR(ROUND(Bunuri_lab_nomenc[[#This Row],[Cost unitate GFATM_valuta]]*VLOOKUP(Bunuri_lab_nomenc[[#This Row],[Valuta cost GFATM]],$B$58:$D$59,2,0),2),0)</f>
        <v>0</v>
      </c>
      <c r="S520" s="417" t="str">
        <f>IFERROR(VLOOKUP(Bunuri_lab_nomenc[[#This Row],[Denumire catalog GDF]],GDF_price_list[[Product Name]:[Column1]],8,0),"")</f>
        <v/>
      </c>
      <c r="T520" s="417" t="e">
        <f>VLOOKUP(Bunuri_lab_nomenc[[#This Row],[Denumire catalog GDF]],GDF_price_list[[Product Name]:[Column1]],7,0)</f>
        <v>#N/A</v>
      </c>
      <c r="V520" s="786" t="s">
        <v>666</v>
      </c>
      <c r="W520" s="738" t="s">
        <v>667</v>
      </c>
      <c r="X520" s="739">
        <v>106653</v>
      </c>
      <c r="Y520" s="740" t="s">
        <v>1292</v>
      </c>
      <c r="Z520" s="742" t="s">
        <v>610</v>
      </c>
      <c r="AA520" s="742"/>
      <c r="AB520" s="742" t="s">
        <v>1293</v>
      </c>
      <c r="AC520" s="743" t="s">
        <v>1294</v>
      </c>
      <c r="AD520" s="744">
        <v>216.85</v>
      </c>
      <c r="AE520" s="787" t="s">
        <v>435</v>
      </c>
      <c r="AF520" t="e">
        <f>GDF_price_list[[#This Row],[Indicative 
FCA Price]]/GDF_price_list[[#This Row],[Unit]]</f>
        <v>#VALUE!</v>
      </c>
    </row>
    <row r="521" spans="12:32" ht="51">
      <c r="L521" s="416"/>
      <c r="M521" s="416"/>
      <c r="N521" s="416"/>
      <c r="O521" s="439"/>
      <c r="P521" s="417"/>
      <c r="Q521" s="417"/>
      <c r="R521" s="417">
        <f>IFERROR(ROUND(Bunuri_lab_nomenc[[#This Row],[Cost unitate GFATM_valuta]]*VLOOKUP(Bunuri_lab_nomenc[[#This Row],[Valuta cost GFATM]],$B$58:$D$59,2,0),2),0)</f>
        <v>0</v>
      </c>
      <c r="S521" s="417" t="str">
        <f>IFERROR(VLOOKUP(Bunuri_lab_nomenc[[#This Row],[Denumire catalog GDF]],GDF_price_list[[Product Name]:[Column1]],8,0),"")</f>
        <v/>
      </c>
      <c r="T521" s="417" t="e">
        <f>VLOOKUP(Bunuri_lab_nomenc[[#This Row],[Denumire catalog GDF]],GDF_price_list[[Product Name]:[Column1]],7,0)</f>
        <v>#N/A</v>
      </c>
      <c r="V521" s="786" t="s">
        <v>675</v>
      </c>
      <c r="W521" s="738" t="s">
        <v>822</v>
      </c>
      <c r="X521" s="739">
        <v>106414</v>
      </c>
      <c r="Y521" s="740" t="s">
        <v>1516</v>
      </c>
      <c r="Z521" s="742" t="s">
        <v>1517</v>
      </c>
      <c r="AA521" s="742"/>
      <c r="AB521" s="742" t="s">
        <v>1518</v>
      </c>
      <c r="AC521" s="743" t="s">
        <v>1519</v>
      </c>
      <c r="AD521" s="770">
        <v>35</v>
      </c>
      <c r="AE521" s="790" t="s">
        <v>435</v>
      </c>
      <c r="AF521" t="e">
        <f>GDF_price_list[[#This Row],[Indicative 
FCA Price]]/GDF_price_list[[#This Row],[Unit]]</f>
        <v>#VALUE!</v>
      </c>
    </row>
    <row r="522" spans="12:32" ht="17">
      <c r="L522" s="416"/>
      <c r="M522" s="416"/>
      <c r="N522" s="416"/>
      <c r="O522" s="439"/>
      <c r="P522" s="417"/>
      <c r="Q522" s="417"/>
      <c r="R522" s="417">
        <f>IFERROR(ROUND(Bunuri_lab_nomenc[[#This Row],[Cost unitate GFATM_valuta]]*VLOOKUP(Bunuri_lab_nomenc[[#This Row],[Valuta cost GFATM]],$B$58:$D$59,2,0),2),0)</f>
        <v>0</v>
      </c>
      <c r="S522" s="417" t="str">
        <f>IFERROR(VLOOKUP(Bunuri_lab_nomenc[[#This Row],[Denumire catalog GDF]],GDF_price_list[[Product Name]:[Column1]],8,0),"")</f>
        <v/>
      </c>
      <c r="T522" s="417" t="e">
        <f>VLOOKUP(Bunuri_lab_nomenc[[#This Row],[Denumire catalog GDF]],GDF_price_list[[Product Name]:[Column1]],7,0)</f>
        <v>#N/A</v>
      </c>
      <c r="V522" s="786" t="s">
        <v>612</v>
      </c>
      <c r="W522" s="738" t="s">
        <v>653</v>
      </c>
      <c r="X522" s="739">
        <v>106326</v>
      </c>
      <c r="Y522" s="740" t="s">
        <v>937</v>
      </c>
      <c r="Z522" s="742" t="s">
        <v>610</v>
      </c>
      <c r="AA522" s="742"/>
      <c r="AB522" s="742" t="s">
        <v>938</v>
      </c>
      <c r="AC522" s="743" t="s">
        <v>939</v>
      </c>
      <c r="AD522" s="744">
        <v>23.22</v>
      </c>
      <c r="AE522" s="787" t="s">
        <v>435</v>
      </c>
      <c r="AF522" t="e">
        <f>GDF_price_list[[#This Row],[Indicative 
FCA Price]]/GDF_price_list[[#This Row],[Unit]]</f>
        <v>#VALUE!</v>
      </c>
    </row>
    <row r="523" spans="12:32" ht="17">
      <c r="L523" s="416"/>
      <c r="M523" s="416"/>
      <c r="N523" s="416"/>
      <c r="O523" s="439"/>
      <c r="P523" s="417"/>
      <c r="Q523" s="417"/>
      <c r="R523" s="417">
        <f>IFERROR(ROUND(Bunuri_lab_nomenc[[#This Row],[Cost unitate GFATM_valuta]]*VLOOKUP(Bunuri_lab_nomenc[[#This Row],[Valuta cost GFATM]],$B$58:$D$59,2,0),2),0)</f>
        <v>0</v>
      </c>
      <c r="S523" s="417" t="str">
        <f>IFERROR(VLOOKUP(Bunuri_lab_nomenc[[#This Row],[Denumire catalog GDF]],GDF_price_list[[Product Name]:[Column1]],8,0),"")</f>
        <v/>
      </c>
      <c r="T523" s="417" t="e">
        <f>VLOOKUP(Bunuri_lab_nomenc[[#This Row],[Denumire catalog GDF]],GDF_price_list[[Product Name]:[Column1]],7,0)</f>
        <v>#N/A</v>
      </c>
      <c r="V523" s="786" t="s">
        <v>666</v>
      </c>
      <c r="W523" s="738" t="s">
        <v>895</v>
      </c>
      <c r="X523" s="739">
        <v>106307</v>
      </c>
      <c r="Y523" s="740" t="s">
        <v>896</v>
      </c>
      <c r="Z523" s="742" t="s">
        <v>610</v>
      </c>
      <c r="AA523" s="742"/>
      <c r="AB523" s="742" t="s">
        <v>897</v>
      </c>
      <c r="AC523" s="743" t="s">
        <v>898</v>
      </c>
      <c r="AD523" s="744">
        <v>15.46</v>
      </c>
      <c r="AE523" s="787" t="s">
        <v>435</v>
      </c>
      <c r="AF523" t="e">
        <f>GDF_price_list[[#This Row],[Indicative 
FCA Price]]/GDF_price_list[[#This Row],[Unit]]</f>
        <v>#VALUE!</v>
      </c>
    </row>
    <row r="524" spans="12:32" ht="17">
      <c r="L524" s="416"/>
      <c r="M524" s="416"/>
      <c r="N524" s="416"/>
      <c r="O524" s="439"/>
      <c r="P524" s="417"/>
      <c r="Q524" s="417"/>
      <c r="R524" s="417">
        <f>IFERROR(ROUND(Bunuri_lab_nomenc[[#This Row],[Cost unitate GFATM_valuta]]*VLOOKUP(Bunuri_lab_nomenc[[#This Row],[Valuta cost GFATM]],$B$58:$D$59,2,0),2),0)</f>
        <v>0</v>
      </c>
      <c r="S524" s="417" t="str">
        <f>IFERROR(VLOOKUP(Bunuri_lab_nomenc[[#This Row],[Denumire catalog GDF]],GDF_price_list[[Product Name]:[Column1]],8,0),"")</f>
        <v/>
      </c>
      <c r="T524" s="417" t="e">
        <f>VLOOKUP(Bunuri_lab_nomenc[[#This Row],[Denumire catalog GDF]],GDF_price_list[[Product Name]:[Column1]],7,0)</f>
        <v>#N/A</v>
      </c>
      <c r="V524" s="786" t="s">
        <v>675</v>
      </c>
      <c r="W524" s="738" t="s">
        <v>676</v>
      </c>
      <c r="X524" s="739">
        <v>106293</v>
      </c>
      <c r="Y524" s="740" t="s">
        <v>1202</v>
      </c>
      <c r="Z524" s="742" t="s">
        <v>610</v>
      </c>
      <c r="AA524" s="742"/>
      <c r="AB524" s="742" t="s">
        <v>897</v>
      </c>
      <c r="AC524" s="743" t="s">
        <v>1203</v>
      </c>
      <c r="AD524" s="744">
        <v>32.46</v>
      </c>
      <c r="AE524" s="787" t="s">
        <v>435</v>
      </c>
      <c r="AF524" t="e">
        <f>GDF_price_list[[#This Row],[Indicative 
FCA Price]]/GDF_price_list[[#This Row],[Unit]]</f>
        <v>#VALUE!</v>
      </c>
    </row>
    <row r="525" spans="12:32" ht="51">
      <c r="L525" s="416"/>
      <c r="M525" s="416"/>
      <c r="N525" s="416"/>
      <c r="O525" s="439"/>
      <c r="P525" s="417"/>
      <c r="Q525" s="417"/>
      <c r="R525" s="417">
        <f>IFERROR(ROUND(Bunuri_lab_nomenc[[#This Row],[Cost unitate GFATM_valuta]]*VLOOKUP(Bunuri_lab_nomenc[[#This Row],[Valuta cost GFATM]],$B$58:$D$59,2,0),2),0)</f>
        <v>0</v>
      </c>
      <c r="S525" s="417" t="str">
        <f>IFERROR(VLOOKUP(Bunuri_lab_nomenc[[#This Row],[Denumire catalog GDF]],GDF_price_list[[Product Name]:[Column1]],8,0),"")</f>
        <v/>
      </c>
      <c r="T525" s="417" t="e">
        <f>VLOOKUP(Bunuri_lab_nomenc[[#This Row],[Denumire catalog GDF]],GDF_price_list[[Product Name]:[Column1]],7,0)</f>
        <v>#N/A</v>
      </c>
      <c r="V525" s="786" t="s">
        <v>656</v>
      </c>
      <c r="W525" s="738" t="s">
        <v>657</v>
      </c>
      <c r="X525" s="739">
        <v>106666</v>
      </c>
      <c r="Y525" s="743" t="s">
        <v>1702</v>
      </c>
      <c r="Z525" s="742" t="s">
        <v>659</v>
      </c>
      <c r="AA525" s="742"/>
      <c r="AB525" s="742" t="s">
        <v>1703</v>
      </c>
      <c r="AC525" s="743" t="s">
        <v>1702</v>
      </c>
      <c r="AD525" s="744">
        <v>115</v>
      </c>
      <c r="AE525" s="787" t="s">
        <v>435</v>
      </c>
      <c r="AF525" t="e">
        <f>GDF_price_list[[#This Row],[Indicative 
FCA Price]]/GDF_price_list[[#This Row],[Unit]]</f>
        <v>#VALUE!</v>
      </c>
    </row>
    <row r="526" spans="12:32" ht="17">
      <c r="L526" s="416"/>
      <c r="M526" s="416"/>
      <c r="N526" s="416"/>
      <c r="O526" s="439"/>
      <c r="P526" s="417"/>
      <c r="Q526" s="417"/>
      <c r="R526" s="417">
        <f>IFERROR(ROUND(Bunuri_lab_nomenc[[#This Row],[Cost unitate GFATM_valuta]]*VLOOKUP(Bunuri_lab_nomenc[[#This Row],[Valuta cost GFATM]],$B$58:$D$59,2,0),2),0)</f>
        <v>0</v>
      </c>
      <c r="S526" s="417" t="str">
        <f>IFERROR(VLOOKUP(Bunuri_lab_nomenc[[#This Row],[Denumire catalog GDF]],GDF_price_list[[Product Name]:[Column1]],8,0),"")</f>
        <v/>
      </c>
      <c r="T526" s="417" t="e">
        <f>VLOOKUP(Bunuri_lab_nomenc[[#This Row],[Denumire catalog GDF]],GDF_price_list[[Product Name]:[Column1]],7,0)</f>
        <v>#N/A</v>
      </c>
      <c r="V526" s="786" t="s">
        <v>656</v>
      </c>
      <c r="W526" s="738" t="s">
        <v>657</v>
      </c>
      <c r="X526" s="739">
        <v>106675</v>
      </c>
      <c r="Y526" s="743" t="s">
        <v>1478</v>
      </c>
      <c r="Z526" s="742" t="s">
        <v>1479</v>
      </c>
      <c r="AA526" s="742"/>
      <c r="AB526" s="742" t="s">
        <v>1480</v>
      </c>
      <c r="AC526" s="743" t="s">
        <v>1481</v>
      </c>
      <c r="AD526" s="744">
        <v>95.4</v>
      </c>
      <c r="AE526" s="787" t="s">
        <v>435</v>
      </c>
      <c r="AF526" t="e">
        <f>GDF_price_list[[#This Row],[Indicative 
FCA Price]]/GDF_price_list[[#This Row],[Unit]]</f>
        <v>#VALUE!</v>
      </c>
    </row>
    <row r="527" spans="12:32" ht="17">
      <c r="L527" s="416"/>
      <c r="M527" s="416"/>
      <c r="N527" s="416"/>
      <c r="O527" s="439"/>
      <c r="P527" s="417"/>
      <c r="Q527" s="417"/>
      <c r="R527" s="417">
        <f>IFERROR(ROUND(Bunuri_lab_nomenc[[#This Row],[Cost unitate GFATM_valuta]]*VLOOKUP(Bunuri_lab_nomenc[[#This Row],[Valuta cost GFATM]],$B$58:$D$59,2,0),2),0)</f>
        <v>0</v>
      </c>
      <c r="S527" s="417" t="str">
        <f>IFERROR(VLOOKUP(Bunuri_lab_nomenc[[#This Row],[Denumire catalog GDF]],GDF_price_list[[Product Name]:[Column1]],8,0),"")</f>
        <v/>
      </c>
      <c r="T527" s="417" t="e">
        <f>VLOOKUP(Bunuri_lab_nomenc[[#This Row],[Denumire catalog GDF]],GDF_price_list[[Product Name]:[Column1]],7,0)</f>
        <v>#N/A</v>
      </c>
      <c r="V527" s="786" t="s">
        <v>656</v>
      </c>
      <c r="W527" s="738" t="s">
        <v>657</v>
      </c>
      <c r="X527" s="739">
        <v>106676</v>
      </c>
      <c r="Y527" s="743" t="s">
        <v>1482</v>
      </c>
      <c r="Z527" s="742" t="s">
        <v>1479</v>
      </c>
      <c r="AA527" s="742"/>
      <c r="AB527" s="742" t="s">
        <v>1480</v>
      </c>
      <c r="AC527" s="743" t="s">
        <v>1483</v>
      </c>
      <c r="AD527" s="744">
        <v>95.4</v>
      </c>
      <c r="AE527" s="787" t="s">
        <v>435</v>
      </c>
      <c r="AF527" t="e">
        <f>GDF_price_list[[#This Row],[Indicative 
FCA Price]]/GDF_price_list[[#This Row],[Unit]]</f>
        <v>#VALUE!</v>
      </c>
    </row>
    <row r="528" spans="12:32" ht="51">
      <c r="L528" s="416"/>
      <c r="M528" s="416"/>
      <c r="N528" s="416"/>
      <c r="O528" s="439"/>
      <c r="P528" s="417"/>
      <c r="Q528" s="417"/>
      <c r="R528" s="417">
        <f>IFERROR(ROUND(Bunuri_lab_nomenc[[#This Row],[Cost unitate GFATM_valuta]]*VLOOKUP(Bunuri_lab_nomenc[[#This Row],[Valuta cost GFATM]],$B$58:$D$59,2,0),2),0)</f>
        <v>0</v>
      </c>
      <c r="S528" s="417" t="str">
        <f>IFERROR(VLOOKUP(Bunuri_lab_nomenc[[#This Row],[Denumire catalog GDF]],GDF_price_list[[Product Name]:[Column1]],8,0),"")</f>
        <v/>
      </c>
      <c r="T528" s="417" t="e">
        <f>VLOOKUP(Bunuri_lab_nomenc[[#This Row],[Denumire catalog GDF]],GDF_price_list[[Product Name]:[Column1]],7,0)</f>
        <v>#N/A</v>
      </c>
      <c r="V528" s="786" t="s">
        <v>666</v>
      </c>
      <c r="W528" s="738" t="s">
        <v>667</v>
      </c>
      <c r="X528" s="739">
        <v>106318</v>
      </c>
      <c r="Y528" s="740" t="s">
        <v>668</v>
      </c>
      <c r="Z528" s="742" t="s">
        <v>610</v>
      </c>
      <c r="AA528" s="742"/>
      <c r="AB528" s="742" t="s">
        <v>669</v>
      </c>
      <c r="AC528" s="743" t="s">
        <v>670</v>
      </c>
      <c r="AD528" s="744">
        <v>689.73</v>
      </c>
      <c r="AE528" s="787" t="s">
        <v>435</v>
      </c>
      <c r="AF528" t="e">
        <f>GDF_price_list[[#This Row],[Indicative 
FCA Price]]/GDF_price_list[[#This Row],[Unit]]</f>
        <v>#VALUE!</v>
      </c>
    </row>
    <row r="529" spans="12:32" ht="34">
      <c r="L529" s="416"/>
      <c r="M529" s="416"/>
      <c r="N529" s="416"/>
      <c r="O529" s="439"/>
      <c r="P529" s="417"/>
      <c r="Q529" s="417"/>
      <c r="R529" s="417">
        <f>IFERROR(ROUND(Bunuri_lab_nomenc[[#This Row],[Cost unitate GFATM_valuta]]*VLOOKUP(Bunuri_lab_nomenc[[#This Row],[Valuta cost GFATM]],$B$58:$D$59,2,0),2),0)</f>
        <v>0</v>
      </c>
      <c r="S529" s="417" t="str">
        <f>IFERROR(VLOOKUP(Bunuri_lab_nomenc[[#This Row],[Denumire catalog GDF]],GDF_price_list[[Product Name]:[Column1]],8,0),"")</f>
        <v/>
      </c>
      <c r="T529" s="417" t="e">
        <f>VLOOKUP(Bunuri_lab_nomenc[[#This Row],[Denumire catalog GDF]],GDF_price_list[[Product Name]:[Column1]],7,0)</f>
        <v>#N/A</v>
      </c>
      <c r="V529" s="786" t="s">
        <v>675</v>
      </c>
      <c r="W529" s="738" t="s">
        <v>676</v>
      </c>
      <c r="X529" s="739">
        <v>106311</v>
      </c>
      <c r="Y529" s="740" t="s">
        <v>893</v>
      </c>
      <c r="Z529" s="742" t="s">
        <v>610</v>
      </c>
      <c r="AA529" s="742"/>
      <c r="AB529" s="742" t="s">
        <v>669</v>
      </c>
      <c r="AC529" s="743" t="s">
        <v>894</v>
      </c>
      <c r="AD529" s="744">
        <v>65.61</v>
      </c>
      <c r="AE529" s="787" t="s">
        <v>435</v>
      </c>
      <c r="AF529" t="e">
        <f>GDF_price_list[[#This Row],[Indicative 
FCA Price]]/GDF_price_list[[#This Row],[Unit]]</f>
        <v>#VALUE!</v>
      </c>
    </row>
    <row r="530" spans="12:32" ht="51">
      <c r="L530" s="416"/>
      <c r="M530" s="416"/>
      <c r="N530" s="416"/>
      <c r="O530" s="439"/>
      <c r="P530" s="417"/>
      <c r="Q530" s="417"/>
      <c r="R530" s="417">
        <f>IFERROR(ROUND(Bunuri_lab_nomenc[[#This Row],[Cost unitate GFATM_valuta]]*VLOOKUP(Bunuri_lab_nomenc[[#This Row],[Valuta cost GFATM]],$B$58:$D$59,2,0),2),0)</f>
        <v>0</v>
      </c>
      <c r="S530" s="417" t="str">
        <f>IFERROR(VLOOKUP(Bunuri_lab_nomenc[[#This Row],[Denumire catalog GDF]],GDF_price_list[[Product Name]:[Column1]],8,0),"")</f>
        <v/>
      </c>
      <c r="T530" s="417" t="e">
        <f>VLOOKUP(Bunuri_lab_nomenc[[#This Row],[Denumire catalog GDF]],GDF_price_list[[Product Name]:[Column1]],7,0)</f>
        <v>#N/A</v>
      </c>
      <c r="V530" s="786" t="s">
        <v>666</v>
      </c>
      <c r="W530" s="738" t="s">
        <v>667</v>
      </c>
      <c r="X530" s="739">
        <v>106316</v>
      </c>
      <c r="Y530" s="740" t="s">
        <v>970</v>
      </c>
      <c r="Z530" s="742" t="s">
        <v>610</v>
      </c>
      <c r="AA530" s="742"/>
      <c r="AB530" s="742" t="s">
        <v>669</v>
      </c>
      <c r="AC530" s="743" t="s">
        <v>971</v>
      </c>
      <c r="AD530" s="744">
        <v>112.97</v>
      </c>
      <c r="AE530" s="787" t="s">
        <v>435</v>
      </c>
      <c r="AF530" t="e">
        <f>GDF_price_list[[#This Row],[Indicative 
FCA Price]]/GDF_price_list[[#This Row],[Unit]]</f>
        <v>#VALUE!</v>
      </c>
    </row>
    <row r="531" spans="12:32" ht="34">
      <c r="L531" s="416"/>
      <c r="M531" s="416"/>
      <c r="N531" s="416"/>
      <c r="O531" s="439"/>
      <c r="P531" s="417"/>
      <c r="Q531" s="417"/>
      <c r="R531" s="417">
        <f>IFERROR(ROUND(Bunuri_lab_nomenc[[#This Row],[Cost unitate GFATM_valuta]]*VLOOKUP(Bunuri_lab_nomenc[[#This Row],[Valuta cost GFATM]],$B$58:$D$59,2,0),2),0)</f>
        <v>0</v>
      </c>
      <c r="S531" s="417" t="str">
        <f>IFERROR(VLOOKUP(Bunuri_lab_nomenc[[#This Row],[Denumire catalog GDF]],GDF_price_list[[Product Name]:[Column1]],8,0),"")</f>
        <v/>
      </c>
      <c r="T531" s="417" t="e">
        <f>VLOOKUP(Bunuri_lab_nomenc[[#This Row],[Denumire catalog GDF]],GDF_price_list[[Product Name]:[Column1]],7,0)</f>
        <v>#N/A</v>
      </c>
      <c r="V531" s="786" t="s">
        <v>666</v>
      </c>
      <c r="W531" s="738" t="s">
        <v>895</v>
      </c>
      <c r="X531" s="739">
        <v>106308</v>
      </c>
      <c r="Y531" s="740" t="s">
        <v>1228</v>
      </c>
      <c r="Z531" s="742" t="s">
        <v>610</v>
      </c>
      <c r="AA531" s="742"/>
      <c r="AB531" s="742" t="s">
        <v>669</v>
      </c>
      <c r="AC531" s="743" t="s">
        <v>1229</v>
      </c>
      <c r="AD531" s="744">
        <v>26.55</v>
      </c>
      <c r="AE531" s="787" t="s">
        <v>435</v>
      </c>
      <c r="AF531" t="e">
        <f>GDF_price_list[[#This Row],[Indicative 
FCA Price]]/GDF_price_list[[#This Row],[Unit]]</f>
        <v>#VALUE!</v>
      </c>
    </row>
    <row r="532" spans="12:32" ht="51">
      <c r="L532" s="416"/>
      <c r="M532" s="416"/>
      <c r="N532" s="416"/>
      <c r="O532" s="439"/>
      <c r="P532" s="417"/>
      <c r="Q532" s="417"/>
      <c r="R532" s="417">
        <f>IFERROR(ROUND(Bunuri_lab_nomenc[[#This Row],[Cost unitate GFATM_valuta]]*VLOOKUP(Bunuri_lab_nomenc[[#This Row],[Valuta cost GFATM]],$B$58:$D$59,2,0),2),0)</f>
        <v>0</v>
      </c>
      <c r="S532" s="417" t="str">
        <f>IFERROR(VLOOKUP(Bunuri_lab_nomenc[[#This Row],[Denumire catalog GDF]],GDF_price_list[[Product Name]:[Column1]],8,0),"")</f>
        <v/>
      </c>
      <c r="T532" s="417" t="e">
        <f>VLOOKUP(Bunuri_lab_nomenc[[#This Row],[Denumire catalog GDF]],GDF_price_list[[Product Name]:[Column1]],7,0)</f>
        <v>#N/A</v>
      </c>
      <c r="V532" s="786" t="s">
        <v>666</v>
      </c>
      <c r="W532" s="738" t="s">
        <v>667</v>
      </c>
      <c r="X532" s="739">
        <v>106317</v>
      </c>
      <c r="Y532" s="740" t="s">
        <v>1235</v>
      </c>
      <c r="Z532" s="742" t="s">
        <v>610</v>
      </c>
      <c r="AA532" s="742"/>
      <c r="AB532" s="742" t="s">
        <v>669</v>
      </c>
      <c r="AC532" s="743" t="s">
        <v>1236</v>
      </c>
      <c r="AD532" s="744">
        <v>67.22</v>
      </c>
      <c r="AE532" s="787" t="s">
        <v>435</v>
      </c>
      <c r="AF532" t="e">
        <f>GDF_price_list[[#This Row],[Indicative 
FCA Price]]/GDF_price_list[[#This Row],[Unit]]</f>
        <v>#VALUE!</v>
      </c>
    </row>
    <row r="533" spans="12:32" ht="17">
      <c r="L533" s="416"/>
      <c r="M533" s="416"/>
      <c r="N533" s="416"/>
      <c r="O533" s="439"/>
      <c r="P533" s="417"/>
      <c r="Q533" s="417"/>
      <c r="R533" s="417">
        <f>IFERROR(ROUND(Bunuri_lab_nomenc[[#This Row],[Cost unitate GFATM_valuta]]*VLOOKUP(Bunuri_lab_nomenc[[#This Row],[Valuta cost GFATM]],$B$58:$D$59,2,0),2),0)</f>
        <v>0</v>
      </c>
      <c r="S533" s="417" t="str">
        <f>IFERROR(VLOOKUP(Bunuri_lab_nomenc[[#This Row],[Denumire catalog GDF]],GDF_price_list[[Product Name]:[Column1]],8,0),"")</f>
        <v/>
      </c>
      <c r="T533" s="417" t="e">
        <f>VLOOKUP(Bunuri_lab_nomenc[[#This Row],[Denumire catalog GDF]],GDF_price_list[[Product Name]:[Column1]],7,0)</f>
        <v>#N/A</v>
      </c>
      <c r="V533" s="786" t="s">
        <v>638</v>
      </c>
      <c r="W533" s="738" t="s">
        <v>835</v>
      </c>
      <c r="X533" s="739">
        <v>106371</v>
      </c>
      <c r="Y533" s="740" t="s">
        <v>902</v>
      </c>
      <c r="Z533" s="742" t="s">
        <v>610</v>
      </c>
      <c r="AA533" s="742"/>
      <c r="AB533" s="742" t="s">
        <v>903</v>
      </c>
      <c r="AC533" s="743" t="s">
        <v>904</v>
      </c>
      <c r="AD533" s="744">
        <v>38.11</v>
      </c>
      <c r="AE533" s="787" t="s">
        <v>435</v>
      </c>
      <c r="AF533" t="e">
        <f>GDF_price_list[[#This Row],[Indicative 
FCA Price]]/GDF_price_list[[#This Row],[Unit]]</f>
        <v>#VALUE!</v>
      </c>
    </row>
    <row r="534" spans="12:32" ht="17">
      <c r="L534" s="416"/>
      <c r="M534" s="416"/>
      <c r="N534" s="416"/>
      <c r="O534" s="439"/>
      <c r="P534" s="417"/>
      <c r="Q534" s="417"/>
      <c r="R534" s="417">
        <f>IFERROR(ROUND(Bunuri_lab_nomenc[[#This Row],[Cost unitate GFATM_valuta]]*VLOOKUP(Bunuri_lab_nomenc[[#This Row],[Valuta cost GFATM]],$B$58:$D$59,2,0),2),0)</f>
        <v>0</v>
      </c>
      <c r="S534" s="417" t="str">
        <f>IFERROR(VLOOKUP(Bunuri_lab_nomenc[[#This Row],[Denumire catalog GDF]],GDF_price_list[[Product Name]:[Column1]],8,0),"")</f>
        <v/>
      </c>
      <c r="T534" s="417" t="e">
        <f>VLOOKUP(Bunuri_lab_nomenc[[#This Row],[Denumire catalog GDF]],GDF_price_list[[Product Name]:[Column1]],7,0)</f>
        <v>#N/A</v>
      </c>
      <c r="V534" s="786" t="s">
        <v>638</v>
      </c>
      <c r="W534" s="738" t="s">
        <v>988</v>
      </c>
      <c r="X534" s="739">
        <v>106333</v>
      </c>
      <c r="Y534" s="740" t="s">
        <v>1230</v>
      </c>
      <c r="Z534" s="742" t="s">
        <v>610</v>
      </c>
      <c r="AA534" s="742"/>
      <c r="AB534" s="742" t="s">
        <v>903</v>
      </c>
      <c r="AC534" s="743" t="s">
        <v>1231</v>
      </c>
      <c r="AD534" s="744">
        <v>15.01</v>
      </c>
      <c r="AE534" s="787" t="s">
        <v>435</v>
      </c>
      <c r="AF534" t="e">
        <f>GDF_price_list[[#This Row],[Indicative 
FCA Price]]/GDF_price_list[[#This Row],[Unit]]</f>
        <v>#VALUE!</v>
      </c>
    </row>
    <row r="535" spans="12:32" ht="17">
      <c r="L535" s="416"/>
      <c r="M535" s="416"/>
      <c r="N535" s="416"/>
      <c r="O535" s="439"/>
      <c r="P535" s="417"/>
      <c r="Q535" s="417"/>
      <c r="R535" s="417">
        <f>IFERROR(ROUND(Bunuri_lab_nomenc[[#This Row],[Cost unitate GFATM_valuta]]*VLOOKUP(Bunuri_lab_nomenc[[#This Row],[Valuta cost GFATM]],$B$58:$D$59,2,0),2),0)</f>
        <v>0</v>
      </c>
      <c r="S535" s="417" t="str">
        <f>IFERROR(VLOOKUP(Bunuri_lab_nomenc[[#This Row],[Denumire catalog GDF]],GDF_price_list[[Product Name]:[Column1]],8,0),"")</f>
        <v/>
      </c>
      <c r="T535" s="417" t="e">
        <f>VLOOKUP(Bunuri_lab_nomenc[[#This Row],[Denumire catalog GDF]],GDF_price_list[[Product Name]:[Column1]],7,0)</f>
        <v>#N/A</v>
      </c>
      <c r="V535" s="786" t="s">
        <v>612</v>
      </c>
      <c r="W535" s="738" t="s">
        <v>653</v>
      </c>
      <c r="X535" s="739">
        <v>106336</v>
      </c>
      <c r="Y535" s="740" t="s">
        <v>967</v>
      </c>
      <c r="Z535" s="742" t="s">
        <v>610</v>
      </c>
      <c r="AA535" s="742"/>
      <c r="AB535" s="742" t="s">
        <v>968</v>
      </c>
      <c r="AC535" s="743" t="s">
        <v>969</v>
      </c>
      <c r="AD535" s="744">
        <v>20.62</v>
      </c>
      <c r="AE535" s="787" t="s">
        <v>435</v>
      </c>
      <c r="AF535" t="e">
        <f>GDF_price_list[[#This Row],[Indicative 
FCA Price]]/GDF_price_list[[#This Row],[Unit]]</f>
        <v>#VALUE!</v>
      </c>
    </row>
    <row r="536" spans="12:32" ht="17">
      <c r="L536" s="416"/>
      <c r="M536" s="416"/>
      <c r="N536" s="416"/>
      <c r="O536" s="439"/>
      <c r="P536" s="417"/>
      <c r="Q536" s="417"/>
      <c r="R536" s="417">
        <f>IFERROR(ROUND(Bunuri_lab_nomenc[[#This Row],[Cost unitate GFATM_valuta]]*VLOOKUP(Bunuri_lab_nomenc[[#This Row],[Valuta cost GFATM]],$B$58:$D$59,2,0),2),0)</f>
        <v>0</v>
      </c>
      <c r="S536" s="417" t="str">
        <f>IFERROR(VLOOKUP(Bunuri_lab_nomenc[[#This Row],[Denumire catalog GDF]],GDF_price_list[[Product Name]:[Column1]],8,0),"")</f>
        <v/>
      </c>
      <c r="T536" s="417" t="e">
        <f>VLOOKUP(Bunuri_lab_nomenc[[#This Row],[Denumire catalog GDF]],GDF_price_list[[Product Name]:[Column1]],7,0)</f>
        <v>#N/A</v>
      </c>
      <c r="V536" s="786" t="s">
        <v>638</v>
      </c>
      <c r="W536" s="738" t="s">
        <v>899</v>
      </c>
      <c r="X536" s="739">
        <v>106348</v>
      </c>
      <c r="Y536" s="740" t="s">
        <v>1723</v>
      </c>
      <c r="Z536" s="742" t="s">
        <v>610</v>
      </c>
      <c r="AA536" s="742"/>
      <c r="AB536" s="742" t="s">
        <v>1724</v>
      </c>
      <c r="AC536" s="743" t="s">
        <v>1725</v>
      </c>
      <c r="AD536" s="744">
        <v>175.96</v>
      </c>
      <c r="AE536" s="787" t="s">
        <v>435</v>
      </c>
      <c r="AF536" t="e">
        <f>GDF_price_list[[#This Row],[Indicative 
FCA Price]]/GDF_price_list[[#This Row],[Unit]]</f>
        <v>#VALUE!</v>
      </c>
    </row>
    <row r="537" spans="12:32" ht="51">
      <c r="L537" s="416"/>
      <c r="M537" s="416"/>
      <c r="N537" s="416"/>
      <c r="O537" s="439"/>
      <c r="P537" s="417"/>
      <c r="Q537" s="417"/>
      <c r="R537" s="417">
        <f>IFERROR(ROUND(Bunuri_lab_nomenc[[#This Row],[Cost unitate GFATM_valuta]]*VLOOKUP(Bunuri_lab_nomenc[[#This Row],[Valuta cost GFATM]],$B$58:$D$59,2,0),2),0)</f>
        <v>0</v>
      </c>
      <c r="S537" s="417" t="str">
        <f>IFERROR(VLOOKUP(Bunuri_lab_nomenc[[#This Row],[Denumire catalog GDF]],GDF_price_list[[Product Name]:[Column1]],8,0),"")</f>
        <v/>
      </c>
      <c r="T537" s="417" t="e">
        <f>VLOOKUP(Bunuri_lab_nomenc[[#This Row],[Denumire catalog GDF]],GDF_price_list[[Product Name]:[Column1]],7,0)</f>
        <v>#N/A</v>
      </c>
      <c r="V537" s="786" t="s">
        <v>612</v>
      </c>
      <c r="W537" s="738" t="s">
        <v>1000</v>
      </c>
      <c r="X537" s="745" t="s">
        <v>1015</v>
      </c>
      <c r="Y537" s="745" t="s">
        <v>1016</v>
      </c>
      <c r="Z537" s="742" t="s">
        <v>616</v>
      </c>
      <c r="AA537" s="742"/>
      <c r="AB537" s="746" t="s">
        <v>1017</v>
      </c>
      <c r="AC537" s="745" t="s">
        <v>1018</v>
      </c>
      <c r="AD537" s="777">
        <v>450</v>
      </c>
      <c r="AE537" s="788" t="s">
        <v>435</v>
      </c>
      <c r="AF537" t="e">
        <f>GDF_price_list[[#This Row],[Indicative 
FCA Price]]/GDF_price_list[[#This Row],[Unit]]</f>
        <v>#VALUE!</v>
      </c>
    </row>
    <row r="538" spans="12:32" ht="51">
      <c r="L538" s="416"/>
      <c r="M538" s="416"/>
      <c r="N538" s="416"/>
      <c r="O538" s="439"/>
      <c r="P538" s="417"/>
      <c r="Q538" s="417"/>
      <c r="R538" s="417">
        <f>IFERROR(ROUND(Bunuri_lab_nomenc[[#This Row],[Cost unitate GFATM_valuta]]*VLOOKUP(Bunuri_lab_nomenc[[#This Row],[Valuta cost GFATM]],$B$58:$D$59,2,0),2),0)</f>
        <v>0</v>
      </c>
      <c r="S538" s="417" t="str">
        <f>IFERROR(VLOOKUP(Bunuri_lab_nomenc[[#This Row],[Denumire catalog GDF]],GDF_price_list[[Product Name]:[Column1]],8,0),"")</f>
        <v/>
      </c>
      <c r="T538" s="417" t="e">
        <f>VLOOKUP(Bunuri_lab_nomenc[[#This Row],[Denumire catalog GDF]],GDF_price_list[[Product Name]:[Column1]],7,0)</f>
        <v>#N/A</v>
      </c>
      <c r="V538" s="786" t="s">
        <v>675</v>
      </c>
      <c r="W538" s="738" t="s">
        <v>676</v>
      </c>
      <c r="X538" s="745">
        <v>106301</v>
      </c>
      <c r="Y538" s="740" t="s">
        <v>869</v>
      </c>
      <c r="Z538" s="742" t="s">
        <v>610</v>
      </c>
      <c r="AA538" s="742"/>
      <c r="AB538" s="742" t="s">
        <v>870</v>
      </c>
      <c r="AC538" s="743" t="s">
        <v>871</v>
      </c>
      <c r="AD538" s="744">
        <v>94.12</v>
      </c>
      <c r="AE538" s="787" t="s">
        <v>435</v>
      </c>
      <c r="AF538" t="e">
        <f>GDF_price_list[[#This Row],[Indicative 
FCA Price]]/GDF_price_list[[#This Row],[Unit]]</f>
        <v>#VALUE!</v>
      </c>
    </row>
    <row r="539" spans="12:32" ht="51">
      <c r="L539" s="416"/>
      <c r="M539" s="416"/>
      <c r="N539" s="416"/>
      <c r="O539" s="439"/>
      <c r="P539" s="417"/>
      <c r="Q539" s="417"/>
      <c r="R539" s="417">
        <f>IFERROR(ROUND(Bunuri_lab_nomenc[[#This Row],[Cost unitate GFATM_valuta]]*VLOOKUP(Bunuri_lab_nomenc[[#This Row],[Valuta cost GFATM]],$B$58:$D$59,2,0),2),0)</f>
        <v>0</v>
      </c>
      <c r="S539" s="417" t="str">
        <f>IFERROR(VLOOKUP(Bunuri_lab_nomenc[[#This Row],[Denumire catalog GDF]],GDF_price_list[[Product Name]:[Column1]],8,0),"")</f>
        <v/>
      </c>
      <c r="T539" s="417" t="e">
        <f>VLOOKUP(Bunuri_lab_nomenc[[#This Row],[Denumire catalog GDF]],GDF_price_list[[Product Name]:[Column1]],7,0)</f>
        <v>#N/A</v>
      </c>
      <c r="V539" s="786" t="s">
        <v>656</v>
      </c>
      <c r="W539" s="738" t="s">
        <v>657</v>
      </c>
      <c r="X539" s="739">
        <v>106669</v>
      </c>
      <c r="Y539" s="743" t="s">
        <v>658</v>
      </c>
      <c r="Z539" s="742" t="s">
        <v>659</v>
      </c>
      <c r="AA539" s="742"/>
      <c r="AB539" s="742" t="s">
        <v>660</v>
      </c>
      <c r="AC539" s="743" t="s">
        <v>658</v>
      </c>
      <c r="AD539" s="744">
        <v>23</v>
      </c>
      <c r="AE539" s="787" t="s">
        <v>435</v>
      </c>
      <c r="AF539" t="e">
        <f>GDF_price_list[[#This Row],[Indicative 
FCA Price]]/GDF_price_list[[#This Row],[Unit]]</f>
        <v>#VALUE!</v>
      </c>
    </row>
    <row r="540" spans="12:32" ht="34">
      <c r="L540" s="416"/>
      <c r="M540" s="416"/>
      <c r="N540" s="416"/>
      <c r="O540" s="439"/>
      <c r="P540" s="417"/>
      <c r="Q540" s="417"/>
      <c r="R540" s="417">
        <f>IFERROR(ROUND(Bunuri_lab_nomenc[[#This Row],[Cost unitate GFATM_valuta]]*VLOOKUP(Bunuri_lab_nomenc[[#This Row],[Valuta cost GFATM]],$B$58:$D$59,2,0),2),0)</f>
        <v>0</v>
      </c>
      <c r="S540" s="417" t="str">
        <f>IFERROR(VLOOKUP(Bunuri_lab_nomenc[[#This Row],[Denumire catalog GDF]],GDF_price_list[[Product Name]:[Column1]],8,0),"")</f>
        <v/>
      </c>
      <c r="T540" s="417" t="e">
        <f>VLOOKUP(Bunuri_lab_nomenc[[#This Row],[Denumire catalog GDF]],GDF_price_list[[Product Name]:[Column1]],7,0)</f>
        <v>#N/A</v>
      </c>
      <c r="V540" s="786" t="s">
        <v>612</v>
      </c>
      <c r="W540" s="738" t="s">
        <v>1000</v>
      </c>
      <c r="X540" s="745" t="s">
        <v>1037</v>
      </c>
      <c r="Y540" s="740" t="s">
        <v>1038</v>
      </c>
      <c r="Z540" s="742" t="s">
        <v>616</v>
      </c>
      <c r="AA540" s="742"/>
      <c r="AB540" s="746" t="s">
        <v>1039</v>
      </c>
      <c r="AC540" s="743" t="s">
        <v>1040</v>
      </c>
      <c r="AD540" s="744">
        <v>499</v>
      </c>
      <c r="AE540" s="787" t="s">
        <v>435</v>
      </c>
      <c r="AF540" t="e">
        <f>GDF_price_list[[#This Row],[Indicative 
FCA Price]]/GDF_price_list[[#This Row],[Unit]]</f>
        <v>#VALUE!</v>
      </c>
    </row>
    <row r="541" spans="12:32" ht="68">
      <c r="L541" s="416"/>
      <c r="M541" s="416"/>
      <c r="N541" s="416"/>
      <c r="O541" s="439"/>
      <c r="P541" s="417"/>
      <c r="Q541" s="417"/>
      <c r="R541" s="417">
        <f>IFERROR(ROUND(Bunuri_lab_nomenc[[#This Row],[Cost unitate GFATM_valuta]]*VLOOKUP(Bunuri_lab_nomenc[[#This Row],[Valuta cost GFATM]],$B$58:$D$59,2,0),2),0)</f>
        <v>0</v>
      </c>
      <c r="S541" s="417" t="str">
        <f>IFERROR(VLOOKUP(Bunuri_lab_nomenc[[#This Row],[Denumire catalog GDF]],GDF_price_list[[Product Name]:[Column1]],8,0),"")</f>
        <v/>
      </c>
      <c r="T541" s="417" t="e">
        <f>VLOOKUP(Bunuri_lab_nomenc[[#This Row],[Denumire catalog GDF]],GDF_price_list[[Product Name]:[Column1]],7,0)</f>
        <v>#N/A</v>
      </c>
      <c r="V541" s="786" t="s">
        <v>612</v>
      </c>
      <c r="W541" s="738" t="s">
        <v>1000</v>
      </c>
      <c r="X541" s="745" t="s">
        <v>1041</v>
      </c>
      <c r="Y541" s="745" t="s">
        <v>1042</v>
      </c>
      <c r="Z541" s="742" t="s">
        <v>616</v>
      </c>
      <c r="AA541" s="742"/>
      <c r="AB541" s="746" t="s">
        <v>1039</v>
      </c>
      <c r="AC541" s="745" t="s">
        <v>1043</v>
      </c>
      <c r="AD541" s="777">
        <v>499</v>
      </c>
      <c r="AE541" s="788" t="s">
        <v>435</v>
      </c>
      <c r="AF541" t="e">
        <f>GDF_price_list[[#This Row],[Indicative 
FCA Price]]/GDF_price_list[[#This Row],[Unit]]</f>
        <v>#VALUE!</v>
      </c>
    </row>
    <row r="542" spans="12:32" ht="34">
      <c r="L542" s="416"/>
      <c r="M542" s="416"/>
      <c r="N542" s="416"/>
      <c r="O542" s="439"/>
      <c r="P542" s="417"/>
      <c r="Q542" s="417"/>
      <c r="R542" s="417">
        <f>IFERROR(ROUND(Bunuri_lab_nomenc[[#This Row],[Cost unitate GFATM_valuta]]*VLOOKUP(Bunuri_lab_nomenc[[#This Row],[Valuta cost GFATM]],$B$58:$D$59,2,0),2),0)</f>
        <v>0</v>
      </c>
      <c r="S542" s="417" t="str">
        <f>IFERROR(VLOOKUP(Bunuri_lab_nomenc[[#This Row],[Denumire catalog GDF]],GDF_price_list[[Product Name]:[Column1]],8,0),"")</f>
        <v/>
      </c>
      <c r="T542" s="417" t="e">
        <f>VLOOKUP(Bunuri_lab_nomenc[[#This Row],[Denumire catalog GDF]],GDF_price_list[[Product Name]:[Column1]],7,0)</f>
        <v>#N/A</v>
      </c>
      <c r="V542" s="786" t="s">
        <v>648</v>
      </c>
      <c r="W542" s="738" t="s">
        <v>649</v>
      </c>
      <c r="X542" s="739">
        <v>106609</v>
      </c>
      <c r="Y542" s="743" t="s">
        <v>1344</v>
      </c>
      <c r="Z542" s="742" t="s">
        <v>651</v>
      </c>
      <c r="AA542" s="742"/>
      <c r="AB542" s="742" t="s">
        <v>1345</v>
      </c>
      <c r="AC542" s="743" t="s">
        <v>1346</v>
      </c>
      <c r="AD542" s="753">
        <v>10.4</v>
      </c>
      <c r="AE542" s="790" t="s">
        <v>435</v>
      </c>
      <c r="AF542" t="e">
        <f>GDF_price_list[[#This Row],[Indicative 
FCA Price]]/GDF_price_list[[#This Row],[Unit]]</f>
        <v>#VALUE!</v>
      </c>
    </row>
    <row r="543" spans="12:32" ht="34">
      <c r="L543" s="416"/>
      <c r="M543" s="416"/>
      <c r="N543" s="416"/>
      <c r="O543" s="439"/>
      <c r="P543" s="417"/>
      <c r="Q543" s="417"/>
      <c r="R543" s="417">
        <f>IFERROR(ROUND(Bunuri_lab_nomenc[[#This Row],[Cost unitate GFATM_valuta]]*VLOOKUP(Bunuri_lab_nomenc[[#This Row],[Valuta cost GFATM]],$B$58:$D$59,2,0),2),0)</f>
        <v>0</v>
      </c>
      <c r="S543" s="417" t="str">
        <f>IFERROR(VLOOKUP(Bunuri_lab_nomenc[[#This Row],[Denumire catalog GDF]],GDF_price_list[[Product Name]:[Column1]],8,0),"")</f>
        <v/>
      </c>
      <c r="T543" s="417" t="e">
        <f>VLOOKUP(Bunuri_lab_nomenc[[#This Row],[Denumire catalog GDF]],GDF_price_list[[Product Name]:[Column1]],7,0)</f>
        <v>#N/A</v>
      </c>
      <c r="V543" s="786" t="s">
        <v>666</v>
      </c>
      <c r="W543" s="738" t="s">
        <v>773</v>
      </c>
      <c r="X543" s="739">
        <v>106558</v>
      </c>
      <c r="Y543" s="740" t="s">
        <v>796</v>
      </c>
      <c r="Z543" s="742" t="s">
        <v>673</v>
      </c>
      <c r="AA543" s="742" t="s">
        <v>535</v>
      </c>
      <c r="AB543" s="742">
        <v>500</v>
      </c>
      <c r="AC543" s="743" t="s">
        <v>797</v>
      </c>
      <c r="AD543" s="753">
        <v>42.04</v>
      </c>
      <c r="AE543" s="790" t="s">
        <v>435</v>
      </c>
      <c r="AF543">
        <f>GDF_price_list[[#This Row],[Indicative 
FCA Price]]/GDF_price_list[[#This Row],[Unit]]</f>
        <v>8.4080000000000002E-2</v>
      </c>
    </row>
    <row r="544" spans="12:32" ht="17">
      <c r="L544" s="416"/>
      <c r="M544" s="416"/>
      <c r="N544" s="416"/>
      <c r="O544" s="439"/>
      <c r="P544" s="417"/>
      <c r="Q544" s="417"/>
      <c r="R544" s="417">
        <f>IFERROR(ROUND(Bunuri_lab_nomenc[[#This Row],[Cost unitate GFATM_valuta]]*VLOOKUP(Bunuri_lab_nomenc[[#This Row],[Valuta cost GFATM]],$B$58:$D$59,2,0),2),0)</f>
        <v>0</v>
      </c>
      <c r="S544" s="417" t="str">
        <f>IFERROR(VLOOKUP(Bunuri_lab_nomenc[[#This Row],[Denumire catalog GDF]],GDF_price_list[[Product Name]:[Column1]],8,0),"")</f>
        <v/>
      </c>
      <c r="T544" s="417" t="e">
        <f>VLOOKUP(Bunuri_lab_nomenc[[#This Row],[Denumire catalog GDF]],GDF_price_list[[Product Name]:[Column1]],7,0)</f>
        <v>#N/A</v>
      </c>
      <c r="V544" s="786" t="s">
        <v>666</v>
      </c>
      <c r="W544" s="738" t="s">
        <v>768</v>
      </c>
      <c r="X544" s="739">
        <v>106407</v>
      </c>
      <c r="Y544" s="740" t="s">
        <v>803</v>
      </c>
      <c r="Z544" s="742" t="s">
        <v>610</v>
      </c>
      <c r="AA544" s="742" t="s">
        <v>535</v>
      </c>
      <c r="AB544" s="742">
        <v>500</v>
      </c>
      <c r="AC544" s="743" t="s">
        <v>804</v>
      </c>
      <c r="AD544" s="744">
        <v>83.86</v>
      </c>
      <c r="AE544" s="787" t="s">
        <v>435</v>
      </c>
      <c r="AF544">
        <f>GDF_price_list[[#This Row],[Indicative 
FCA Price]]/GDF_price_list[[#This Row],[Unit]]</f>
        <v>0.16772000000000001</v>
      </c>
    </row>
    <row r="545" spans="12:32" ht="17">
      <c r="L545" s="416"/>
      <c r="M545" s="416"/>
      <c r="N545" s="416"/>
      <c r="O545" s="439"/>
      <c r="P545" s="417"/>
      <c r="Q545" s="417"/>
      <c r="R545" s="417">
        <f>IFERROR(ROUND(Bunuri_lab_nomenc[[#This Row],[Cost unitate GFATM_valuta]]*VLOOKUP(Bunuri_lab_nomenc[[#This Row],[Valuta cost GFATM]],$B$58:$D$59,2,0),2),0)</f>
        <v>0</v>
      </c>
      <c r="S545" s="417" t="str">
        <f>IFERROR(VLOOKUP(Bunuri_lab_nomenc[[#This Row],[Denumire catalog GDF]],GDF_price_list[[Product Name]:[Column1]],8,0),"")</f>
        <v/>
      </c>
      <c r="T545" s="417" t="e">
        <f>VLOOKUP(Bunuri_lab_nomenc[[#This Row],[Denumire catalog GDF]],GDF_price_list[[Product Name]:[Column1]],7,0)</f>
        <v>#N/A</v>
      </c>
      <c r="V545" s="786" t="s">
        <v>666</v>
      </c>
      <c r="W545" s="738" t="s">
        <v>768</v>
      </c>
      <c r="X545" s="739">
        <v>106264</v>
      </c>
      <c r="Y545" s="740" t="s">
        <v>1309</v>
      </c>
      <c r="Z545" s="742" t="s">
        <v>610</v>
      </c>
      <c r="AA545" s="742" t="s">
        <v>535</v>
      </c>
      <c r="AB545" s="742">
        <v>500</v>
      </c>
      <c r="AC545" s="743" t="s">
        <v>1310</v>
      </c>
      <c r="AD545" s="744">
        <v>35.78</v>
      </c>
      <c r="AE545" s="787" t="s">
        <v>435</v>
      </c>
      <c r="AF545">
        <f>GDF_price_list[[#This Row],[Indicative 
FCA Price]]/GDF_price_list[[#This Row],[Unit]]</f>
        <v>7.1559999999999999E-2</v>
      </c>
    </row>
    <row r="546" spans="12:32" ht="17">
      <c r="L546" s="416"/>
      <c r="M546" s="416"/>
      <c r="N546" s="416"/>
      <c r="O546" s="439"/>
      <c r="P546" s="417"/>
      <c r="Q546" s="417"/>
      <c r="R546" s="417">
        <f>IFERROR(ROUND(Bunuri_lab_nomenc[[#This Row],[Cost unitate GFATM_valuta]]*VLOOKUP(Bunuri_lab_nomenc[[#This Row],[Valuta cost GFATM]],$B$58:$D$59,2,0),2),0)</f>
        <v>0</v>
      </c>
      <c r="S546" s="417" t="str">
        <f>IFERROR(VLOOKUP(Bunuri_lab_nomenc[[#This Row],[Denumire catalog GDF]],GDF_price_list[[Product Name]:[Column1]],8,0),"")</f>
        <v/>
      </c>
      <c r="T546" s="417" t="e">
        <f>VLOOKUP(Bunuri_lab_nomenc[[#This Row],[Denumire catalog GDF]],GDF_price_list[[Product Name]:[Column1]],7,0)</f>
        <v>#N/A</v>
      </c>
      <c r="V546" s="786" t="s">
        <v>666</v>
      </c>
      <c r="W546" s="738" t="s">
        <v>768</v>
      </c>
      <c r="X546" s="745">
        <v>106615</v>
      </c>
      <c r="Y546" s="743" t="s">
        <v>1347</v>
      </c>
      <c r="Z546" s="742" t="s">
        <v>673</v>
      </c>
      <c r="AA546" s="742" t="s">
        <v>535</v>
      </c>
      <c r="AB546" s="742">
        <v>500</v>
      </c>
      <c r="AC546" s="743" t="s">
        <v>1348</v>
      </c>
      <c r="AD546" s="753">
        <v>83.87</v>
      </c>
      <c r="AE546" s="790" t="s">
        <v>435</v>
      </c>
      <c r="AF546">
        <f>GDF_price_list[[#This Row],[Indicative 
FCA Price]]/GDF_price_list[[#This Row],[Unit]]</f>
        <v>0.16774</v>
      </c>
    </row>
    <row r="547" spans="12:32" ht="17">
      <c r="L547" s="416"/>
      <c r="M547" s="416"/>
      <c r="N547" s="416"/>
      <c r="O547" s="439"/>
      <c r="P547" s="417"/>
      <c r="Q547" s="417"/>
      <c r="R547" s="417">
        <f>IFERROR(ROUND(Bunuri_lab_nomenc[[#This Row],[Cost unitate GFATM_valuta]]*VLOOKUP(Bunuri_lab_nomenc[[#This Row],[Valuta cost GFATM]],$B$58:$D$59,2,0),2),0)</f>
        <v>0</v>
      </c>
      <c r="S547" s="417" t="str">
        <f>IFERROR(VLOOKUP(Bunuri_lab_nomenc[[#This Row],[Denumire catalog GDF]],GDF_price_list[[Product Name]:[Column1]],8,0),"")</f>
        <v/>
      </c>
      <c r="T547" s="417" t="e">
        <f>VLOOKUP(Bunuri_lab_nomenc[[#This Row],[Denumire catalog GDF]],GDF_price_list[[Product Name]:[Column1]],7,0)</f>
        <v>#N/A</v>
      </c>
      <c r="V547" s="786" t="s">
        <v>666</v>
      </c>
      <c r="W547" s="738" t="s">
        <v>768</v>
      </c>
      <c r="X547" s="745">
        <v>106614</v>
      </c>
      <c r="Y547" s="743" t="s">
        <v>1349</v>
      </c>
      <c r="Z547" s="742" t="s">
        <v>673</v>
      </c>
      <c r="AA547" s="742" t="s">
        <v>535</v>
      </c>
      <c r="AB547" s="742">
        <v>500</v>
      </c>
      <c r="AC547" s="743" t="s">
        <v>1350</v>
      </c>
      <c r="AD547" s="753">
        <v>93.33</v>
      </c>
      <c r="AE547" s="790" t="s">
        <v>435</v>
      </c>
      <c r="AF547">
        <f>GDF_price_list[[#This Row],[Indicative 
FCA Price]]/GDF_price_list[[#This Row],[Unit]]</f>
        <v>0.18665999999999999</v>
      </c>
    </row>
    <row r="548" spans="12:32" ht="17">
      <c r="L548" s="416"/>
      <c r="M548" s="416"/>
      <c r="N548" s="416"/>
      <c r="O548" s="439"/>
      <c r="P548" s="417"/>
      <c r="Q548" s="417"/>
      <c r="R548" s="417">
        <f>IFERROR(ROUND(Bunuri_lab_nomenc[[#This Row],[Cost unitate GFATM_valuta]]*VLOOKUP(Bunuri_lab_nomenc[[#This Row],[Valuta cost GFATM]],$B$58:$D$59,2,0),2),0)</f>
        <v>0</v>
      </c>
      <c r="S548" s="417" t="str">
        <f>IFERROR(VLOOKUP(Bunuri_lab_nomenc[[#This Row],[Denumire catalog GDF]],GDF_price_list[[Product Name]:[Column1]],8,0),"")</f>
        <v/>
      </c>
      <c r="T548" s="417" t="e">
        <f>VLOOKUP(Bunuri_lab_nomenc[[#This Row],[Denumire catalog GDF]],GDF_price_list[[Product Name]:[Column1]],7,0)</f>
        <v>#N/A</v>
      </c>
      <c r="V548" s="786" t="s">
        <v>648</v>
      </c>
      <c r="W548" s="738" t="s">
        <v>691</v>
      </c>
      <c r="X548" s="749">
        <v>106599</v>
      </c>
      <c r="Y548" s="750" t="s">
        <v>1405</v>
      </c>
      <c r="Z548" s="755" t="s">
        <v>610</v>
      </c>
      <c r="AA548" s="742" t="s">
        <v>535</v>
      </c>
      <c r="AB548" s="742">
        <v>500</v>
      </c>
      <c r="AC548" s="756" t="s">
        <v>1406</v>
      </c>
      <c r="AD548" s="752">
        <v>96.99</v>
      </c>
      <c r="AE548" s="789" t="s">
        <v>435</v>
      </c>
      <c r="AF548">
        <f>GDF_price_list[[#This Row],[Indicative 
FCA Price]]/GDF_price_list[[#This Row],[Unit]]</f>
        <v>0.19397999999999999</v>
      </c>
    </row>
    <row r="549" spans="12:32" ht="17">
      <c r="L549" s="416"/>
      <c r="M549" s="416"/>
      <c r="N549" s="416"/>
      <c r="O549" s="439"/>
      <c r="P549" s="417"/>
      <c r="Q549" s="417"/>
      <c r="R549" s="417">
        <f>IFERROR(ROUND(Bunuri_lab_nomenc[[#This Row],[Cost unitate GFATM_valuta]]*VLOOKUP(Bunuri_lab_nomenc[[#This Row],[Valuta cost GFATM]],$B$58:$D$59,2,0),2),0)</f>
        <v>0</v>
      </c>
      <c r="S549" s="417" t="str">
        <f>IFERROR(VLOOKUP(Bunuri_lab_nomenc[[#This Row],[Denumire catalog GDF]],GDF_price_list[[Product Name]:[Column1]],8,0),"")</f>
        <v/>
      </c>
      <c r="T549" s="417" t="e">
        <f>VLOOKUP(Bunuri_lab_nomenc[[#This Row],[Denumire catalog GDF]],GDF_price_list[[Product Name]:[Column1]],7,0)</f>
        <v>#N/A</v>
      </c>
      <c r="V549" s="786" t="s">
        <v>666</v>
      </c>
      <c r="W549" s="738" t="s">
        <v>768</v>
      </c>
      <c r="X549" s="739">
        <v>106303</v>
      </c>
      <c r="Y549" s="740" t="s">
        <v>1580</v>
      </c>
      <c r="Z549" s="742" t="s">
        <v>610</v>
      </c>
      <c r="AA549" s="742" t="s">
        <v>535</v>
      </c>
      <c r="AB549" s="742">
        <v>500</v>
      </c>
      <c r="AC549" s="743" t="s">
        <v>1581</v>
      </c>
      <c r="AD549" s="744">
        <v>41.17</v>
      </c>
      <c r="AE549" s="787" t="s">
        <v>435</v>
      </c>
      <c r="AF549">
        <f>GDF_price_list[[#This Row],[Indicative 
FCA Price]]/GDF_price_list[[#This Row],[Unit]]</f>
        <v>8.2339999999999997E-2</v>
      </c>
    </row>
    <row r="550" spans="12:32" ht="17">
      <c r="L550" s="416"/>
      <c r="M550" s="416"/>
      <c r="N550" s="416"/>
      <c r="O550" s="439"/>
      <c r="P550" s="417"/>
      <c r="Q550" s="417"/>
      <c r="R550" s="417">
        <f>IFERROR(ROUND(Bunuri_lab_nomenc[[#This Row],[Cost unitate GFATM_valuta]]*VLOOKUP(Bunuri_lab_nomenc[[#This Row],[Valuta cost GFATM]],$B$58:$D$59,2,0),2),0)</f>
        <v>0</v>
      </c>
      <c r="S550" s="417" t="str">
        <f>IFERROR(VLOOKUP(Bunuri_lab_nomenc[[#This Row],[Denumire catalog GDF]],GDF_price_list[[Product Name]:[Column1]],8,0),"")</f>
        <v/>
      </c>
      <c r="T550" s="417" t="e">
        <f>VLOOKUP(Bunuri_lab_nomenc[[#This Row],[Denumire catalog GDF]],GDF_price_list[[Product Name]:[Column1]],7,0)</f>
        <v>#N/A</v>
      </c>
      <c r="V550" s="786" t="s">
        <v>666</v>
      </c>
      <c r="W550" s="738" t="s">
        <v>768</v>
      </c>
      <c r="X550" s="739">
        <v>106259</v>
      </c>
      <c r="Y550" s="740" t="s">
        <v>1699</v>
      </c>
      <c r="Z550" s="742" t="s">
        <v>610</v>
      </c>
      <c r="AA550" s="742" t="s">
        <v>535</v>
      </c>
      <c r="AB550" s="742">
        <v>500</v>
      </c>
      <c r="AC550" s="743" t="s">
        <v>1700</v>
      </c>
      <c r="AD550" s="744">
        <v>59.69</v>
      </c>
      <c r="AE550" s="787" t="s">
        <v>435</v>
      </c>
      <c r="AF550">
        <f>GDF_price_list[[#This Row],[Indicative 
FCA Price]]/GDF_price_list[[#This Row],[Unit]]</f>
        <v>0.11938</v>
      </c>
    </row>
    <row r="551" spans="12:32" ht="51">
      <c r="L551" s="416"/>
      <c r="M551" s="416"/>
      <c r="N551" s="416"/>
      <c r="O551" s="439"/>
      <c r="P551" s="417"/>
      <c r="Q551" s="417"/>
      <c r="R551" s="417">
        <f>IFERROR(ROUND(Bunuri_lab_nomenc[[#This Row],[Cost unitate GFATM_valuta]]*VLOOKUP(Bunuri_lab_nomenc[[#This Row],[Valuta cost GFATM]],$B$58:$D$59,2,0),2),0)</f>
        <v>0</v>
      </c>
      <c r="S551" s="417" t="str">
        <f>IFERROR(VLOOKUP(Bunuri_lab_nomenc[[#This Row],[Denumire catalog GDF]],GDF_price_list[[Product Name]:[Column1]],8,0),"")</f>
        <v/>
      </c>
      <c r="T551" s="417" t="e">
        <f>VLOOKUP(Bunuri_lab_nomenc[[#This Row],[Denumire catalog GDF]],GDF_price_list[[Product Name]:[Column1]],7,0)</f>
        <v>#N/A</v>
      </c>
      <c r="V551" s="786" t="s">
        <v>656</v>
      </c>
      <c r="W551" s="738" t="s">
        <v>657</v>
      </c>
      <c r="X551" s="739">
        <v>106670</v>
      </c>
      <c r="Y551" s="743" t="s">
        <v>661</v>
      </c>
      <c r="Z551" s="742" t="s">
        <v>659</v>
      </c>
      <c r="AA551" s="742" t="s">
        <v>296</v>
      </c>
      <c r="AB551" s="742">
        <v>500</v>
      </c>
      <c r="AC551" s="743" t="s">
        <v>661</v>
      </c>
      <c r="AD551" s="744">
        <v>37</v>
      </c>
      <c r="AE551" s="787" t="s">
        <v>435</v>
      </c>
      <c r="AF551">
        <f>GDF_price_list[[#This Row],[Indicative 
FCA Price]]/GDF_price_list[[#This Row],[Unit]]</f>
        <v>7.3999999999999996E-2</v>
      </c>
    </row>
    <row r="552" spans="12:32" ht="34">
      <c r="L552" s="416"/>
      <c r="M552" s="416"/>
      <c r="N552" s="416"/>
      <c r="O552" s="439"/>
      <c r="P552" s="417"/>
      <c r="Q552" s="417"/>
      <c r="R552" s="417">
        <f>IFERROR(ROUND(Bunuri_lab_nomenc[[#This Row],[Cost unitate GFATM_valuta]]*VLOOKUP(Bunuri_lab_nomenc[[#This Row],[Valuta cost GFATM]],$B$58:$D$59,2,0),2),0)</f>
        <v>0</v>
      </c>
      <c r="S552" s="417" t="str">
        <f>IFERROR(VLOOKUP(Bunuri_lab_nomenc[[#This Row],[Denumire catalog GDF]],GDF_price_list[[Product Name]:[Column1]],8,0),"")</f>
        <v/>
      </c>
      <c r="T552" s="417" t="e">
        <f>VLOOKUP(Bunuri_lab_nomenc[[#This Row],[Denumire catalog GDF]],GDF_price_list[[Product Name]:[Column1]],7,0)</f>
        <v>#N/A</v>
      </c>
      <c r="V552" s="786" t="s">
        <v>612</v>
      </c>
      <c r="W552" s="738" t="s">
        <v>1000</v>
      </c>
      <c r="X552" s="745" t="s">
        <v>1001</v>
      </c>
      <c r="Y552" s="745" t="s">
        <v>1002</v>
      </c>
      <c r="Z552" s="742" t="s">
        <v>616</v>
      </c>
      <c r="AA552" s="742" t="s">
        <v>542</v>
      </c>
      <c r="AB552" s="746">
        <v>5</v>
      </c>
      <c r="AC552" s="745" t="s">
        <v>1003</v>
      </c>
      <c r="AD552" s="777">
        <v>499</v>
      </c>
      <c r="AE552" s="788" t="s">
        <v>435</v>
      </c>
      <c r="AF552">
        <f>GDF_price_list[[#This Row],[Indicative 
FCA Price]]/GDF_price_list[[#This Row],[Unit]]</f>
        <v>99.8</v>
      </c>
    </row>
    <row r="553" spans="12:32" ht="51">
      <c r="L553" s="416"/>
      <c r="M553" s="416"/>
      <c r="N553" s="416"/>
      <c r="O553" s="439"/>
      <c r="P553" s="417"/>
      <c r="Q553" s="417"/>
      <c r="R553" s="417">
        <f>IFERROR(ROUND(Bunuri_lab_nomenc[[#This Row],[Cost unitate GFATM_valuta]]*VLOOKUP(Bunuri_lab_nomenc[[#This Row],[Valuta cost GFATM]],$B$58:$D$59,2,0),2),0)</f>
        <v>0</v>
      </c>
      <c r="S553" s="417" t="str">
        <f>IFERROR(VLOOKUP(Bunuri_lab_nomenc[[#This Row],[Denumire catalog GDF]],GDF_price_list[[Product Name]:[Column1]],8,0),"")</f>
        <v/>
      </c>
      <c r="T553" s="417" t="e">
        <f>VLOOKUP(Bunuri_lab_nomenc[[#This Row],[Denumire catalog GDF]],GDF_price_list[[Product Name]:[Column1]],7,0)</f>
        <v>#N/A</v>
      </c>
      <c r="V553" s="786" t="s">
        <v>666</v>
      </c>
      <c r="W553" s="738" t="s">
        <v>768</v>
      </c>
      <c r="X553" s="745">
        <v>106559</v>
      </c>
      <c r="Y553" s="740" t="s">
        <v>776</v>
      </c>
      <c r="Z553" s="742" t="s">
        <v>673</v>
      </c>
      <c r="AA553" s="742"/>
      <c r="AB553" s="742" t="s">
        <v>777</v>
      </c>
      <c r="AC553" s="743" t="s">
        <v>778</v>
      </c>
      <c r="AD553" s="753">
        <v>234.15</v>
      </c>
      <c r="AE553" s="790" t="s">
        <v>435</v>
      </c>
      <c r="AF553" t="e">
        <f>GDF_price_list[[#This Row],[Indicative 
FCA Price]]/GDF_price_list[[#This Row],[Unit]]</f>
        <v>#VALUE!</v>
      </c>
    </row>
    <row r="554" spans="12:32" ht="68">
      <c r="L554" s="416"/>
      <c r="M554" s="416"/>
      <c r="N554" s="416"/>
      <c r="O554" s="439"/>
      <c r="P554" s="417"/>
      <c r="Q554" s="417"/>
      <c r="R554" s="417">
        <f>IFERROR(ROUND(Bunuri_lab_nomenc[[#This Row],[Cost unitate GFATM_valuta]]*VLOOKUP(Bunuri_lab_nomenc[[#This Row],[Valuta cost GFATM]],$B$58:$D$59,2,0),2),0)</f>
        <v>0</v>
      </c>
      <c r="S554" s="417" t="str">
        <f>IFERROR(VLOOKUP(Bunuri_lab_nomenc[[#This Row],[Denumire catalog GDF]],GDF_price_list[[Product Name]:[Column1]],8,0),"")</f>
        <v/>
      </c>
      <c r="T554" s="417" t="e">
        <f>VLOOKUP(Bunuri_lab_nomenc[[#This Row],[Denumire catalog GDF]],GDF_price_list[[Product Name]:[Column1]],7,0)</f>
        <v>#N/A</v>
      </c>
      <c r="V554" s="786" t="s">
        <v>612</v>
      </c>
      <c r="W554" s="738" t="s">
        <v>1301</v>
      </c>
      <c r="X554" s="745">
        <v>106635</v>
      </c>
      <c r="Y554" s="740" t="s">
        <v>1305</v>
      </c>
      <c r="Z554" s="742" t="s">
        <v>1188</v>
      </c>
      <c r="AA554" s="742" t="s">
        <v>542</v>
      </c>
      <c r="AB554" s="742">
        <v>90</v>
      </c>
      <c r="AC554" s="743" t="s">
        <v>1306</v>
      </c>
      <c r="AD554" s="744">
        <v>275</v>
      </c>
      <c r="AE554" s="790" t="s">
        <v>435</v>
      </c>
      <c r="AF554">
        <f>GDF_price_list[[#This Row],[Indicative 
FCA Price]]/GDF_price_list[[#This Row],[Unit]]</f>
        <v>3.0555555555555554</v>
      </c>
    </row>
    <row r="555" spans="12:32" ht="68">
      <c r="L555" s="416"/>
      <c r="M555" s="416"/>
      <c r="N555" s="416"/>
      <c r="O555" s="439"/>
      <c r="P555" s="417"/>
      <c r="Q555" s="417"/>
      <c r="R555" s="417">
        <f>IFERROR(ROUND(Bunuri_lab_nomenc[[#This Row],[Cost unitate GFATM_valuta]]*VLOOKUP(Bunuri_lab_nomenc[[#This Row],[Valuta cost GFATM]],$B$58:$D$59,2,0),2),0)</f>
        <v>0</v>
      </c>
      <c r="S555" s="417" t="str">
        <f>IFERROR(VLOOKUP(Bunuri_lab_nomenc[[#This Row],[Denumire catalog GDF]],GDF_price_list[[Product Name]:[Column1]],8,0),"")</f>
        <v/>
      </c>
      <c r="T555" s="417" t="e">
        <f>VLOOKUP(Bunuri_lab_nomenc[[#This Row],[Denumire catalog GDF]],GDF_price_list[[Product Name]:[Column1]],7,0)</f>
        <v>#N/A</v>
      </c>
      <c r="V555" s="786" t="s">
        <v>612</v>
      </c>
      <c r="W555" s="738" t="s">
        <v>1084</v>
      </c>
      <c r="X555" s="740">
        <v>106477</v>
      </c>
      <c r="Y555" s="740" t="s">
        <v>1085</v>
      </c>
      <c r="Z555" s="742" t="s">
        <v>1086</v>
      </c>
      <c r="AA555" s="742" t="s">
        <v>542</v>
      </c>
      <c r="AB555" s="742">
        <v>96</v>
      </c>
      <c r="AC555" s="743" t="s">
        <v>1087</v>
      </c>
      <c r="AD555" s="770">
        <v>50</v>
      </c>
      <c r="AE555" s="790" t="s">
        <v>447</v>
      </c>
      <c r="AF555">
        <f>GDF_price_list[[#This Row],[Indicative 
FCA Price]]/GDF_price_list[[#This Row],[Unit]]</f>
        <v>0.52083333333333337</v>
      </c>
    </row>
    <row r="556" spans="12:32" ht="51">
      <c r="L556" s="416"/>
      <c r="M556" s="416"/>
      <c r="N556" s="416"/>
      <c r="O556" s="439"/>
      <c r="P556" s="417"/>
      <c r="Q556" s="417"/>
      <c r="R556" s="417">
        <f>IFERROR(ROUND(Bunuri_lab_nomenc[[#This Row],[Cost unitate GFATM_valuta]]*VLOOKUP(Bunuri_lab_nomenc[[#This Row],[Valuta cost GFATM]],$B$58:$D$59,2,0),2),0)</f>
        <v>0</v>
      </c>
      <c r="S556" s="417" t="str">
        <f>IFERROR(VLOOKUP(Bunuri_lab_nomenc[[#This Row],[Denumire catalog GDF]],GDF_price_list[[Product Name]:[Column1]],8,0),"")</f>
        <v/>
      </c>
      <c r="T556" s="417" t="e">
        <f>VLOOKUP(Bunuri_lab_nomenc[[#This Row],[Denumire catalog GDF]],GDF_price_list[[Product Name]:[Column1]],7,0)</f>
        <v>#N/A</v>
      </c>
      <c r="V556" s="786" t="s">
        <v>612</v>
      </c>
      <c r="W556" s="738" t="s">
        <v>1084</v>
      </c>
      <c r="X556" s="739">
        <v>106622</v>
      </c>
      <c r="Y556" s="740" t="s">
        <v>1090</v>
      </c>
      <c r="Z556" s="742" t="s">
        <v>1086</v>
      </c>
      <c r="AA556" s="742" t="s">
        <v>542</v>
      </c>
      <c r="AB556" s="742">
        <v>96</v>
      </c>
      <c r="AC556" s="743" t="s">
        <v>1091</v>
      </c>
      <c r="AD556" s="770">
        <v>720</v>
      </c>
      <c r="AE556" s="790" t="s">
        <v>447</v>
      </c>
      <c r="AF556">
        <f>GDF_price_list[[#This Row],[Indicative 
FCA Price]]/GDF_price_list[[#This Row],[Unit]]</f>
        <v>7.5</v>
      </c>
    </row>
    <row r="557" spans="12:32" ht="51">
      <c r="L557" s="416"/>
      <c r="M557" s="416"/>
      <c r="N557" s="416"/>
      <c r="O557" s="439"/>
      <c r="P557" s="417"/>
      <c r="Q557" s="417"/>
      <c r="R557" s="417">
        <f>IFERROR(ROUND(Bunuri_lab_nomenc[[#This Row],[Cost unitate GFATM_valuta]]*VLOOKUP(Bunuri_lab_nomenc[[#This Row],[Valuta cost GFATM]],$B$58:$D$59,2,0),2),0)</f>
        <v>0</v>
      </c>
      <c r="S557" s="417" t="str">
        <f>IFERROR(VLOOKUP(Bunuri_lab_nomenc[[#This Row],[Denumire catalog GDF]],GDF_price_list[[Product Name]:[Column1]],8,0),"")</f>
        <v/>
      </c>
      <c r="T557" s="417" t="e">
        <f>VLOOKUP(Bunuri_lab_nomenc[[#This Row],[Denumire catalog GDF]],GDF_price_list[[Product Name]:[Column1]],7,0)</f>
        <v>#N/A</v>
      </c>
      <c r="V557" s="786" t="s">
        <v>612</v>
      </c>
      <c r="W557" s="738" t="s">
        <v>1084</v>
      </c>
      <c r="X557" s="739">
        <v>106512</v>
      </c>
      <c r="Y557" s="740" t="s">
        <v>1092</v>
      </c>
      <c r="Z557" s="742" t="s">
        <v>1086</v>
      </c>
      <c r="AA557" s="742" t="s">
        <v>542</v>
      </c>
      <c r="AB557" s="742">
        <v>96</v>
      </c>
      <c r="AC557" s="743" t="s">
        <v>1093</v>
      </c>
      <c r="AD557" s="770">
        <v>720</v>
      </c>
      <c r="AE557" s="790" t="s">
        <v>447</v>
      </c>
      <c r="AF557">
        <f>GDF_price_list[[#This Row],[Indicative 
FCA Price]]/GDF_price_list[[#This Row],[Unit]]</f>
        <v>7.5</v>
      </c>
    </row>
    <row r="558" spans="12:32" ht="85">
      <c r="L558" s="416"/>
      <c r="M558" s="416"/>
      <c r="N558" s="416"/>
      <c r="O558" s="439"/>
      <c r="P558" s="417"/>
      <c r="Q558" s="417"/>
      <c r="R558" s="417">
        <f>IFERROR(ROUND(Bunuri_lab_nomenc[[#This Row],[Cost unitate GFATM_valuta]]*VLOOKUP(Bunuri_lab_nomenc[[#This Row],[Valuta cost GFATM]],$B$58:$D$59,2,0),2),0)</f>
        <v>0</v>
      </c>
      <c r="S558" s="417" t="str">
        <f>IFERROR(VLOOKUP(Bunuri_lab_nomenc[[#This Row],[Denumire catalog GDF]],GDF_price_list[[Product Name]:[Column1]],8,0),"")</f>
        <v/>
      </c>
      <c r="T558" s="417" t="e">
        <f>VLOOKUP(Bunuri_lab_nomenc[[#This Row],[Denumire catalog GDF]],GDF_price_list[[Product Name]:[Column1]],7,0)</f>
        <v>#N/A</v>
      </c>
      <c r="V558" s="786" t="s">
        <v>612</v>
      </c>
      <c r="W558" s="738" t="s">
        <v>1084</v>
      </c>
      <c r="X558" s="739">
        <v>106513</v>
      </c>
      <c r="Y558" s="740" t="s">
        <v>1094</v>
      </c>
      <c r="Z558" s="742" t="s">
        <v>1086</v>
      </c>
      <c r="AA558" s="742" t="s">
        <v>542</v>
      </c>
      <c r="AB558" s="742">
        <v>96</v>
      </c>
      <c r="AC558" s="743" t="s">
        <v>1095</v>
      </c>
      <c r="AD558" s="770">
        <v>720</v>
      </c>
      <c r="AE558" s="790" t="s">
        <v>447</v>
      </c>
      <c r="AF558">
        <f>GDF_price_list[[#This Row],[Indicative 
FCA Price]]/GDF_price_list[[#This Row],[Unit]]</f>
        <v>7.5</v>
      </c>
    </row>
    <row r="559" spans="12:32" ht="51">
      <c r="L559" s="416"/>
      <c r="M559" s="416"/>
      <c r="N559" s="416"/>
      <c r="O559" s="439"/>
      <c r="P559" s="417"/>
      <c r="Q559" s="417"/>
      <c r="R559" s="417">
        <f>IFERROR(ROUND(Bunuri_lab_nomenc[[#This Row],[Cost unitate GFATM_valuta]]*VLOOKUP(Bunuri_lab_nomenc[[#This Row],[Valuta cost GFATM]],$B$58:$D$59,2,0),2),0)</f>
        <v>0</v>
      </c>
      <c r="S559" s="417" t="str">
        <f>IFERROR(VLOOKUP(Bunuri_lab_nomenc[[#This Row],[Denumire catalog GDF]],GDF_price_list[[Product Name]:[Column1]],8,0),"")</f>
        <v/>
      </c>
      <c r="T559" s="417" t="e">
        <f>VLOOKUP(Bunuri_lab_nomenc[[#This Row],[Denumire catalog GDF]],GDF_price_list[[Product Name]:[Column1]],7,0)</f>
        <v>#N/A</v>
      </c>
      <c r="V559" s="786" t="s">
        <v>612</v>
      </c>
      <c r="W559" s="738" t="s">
        <v>1084</v>
      </c>
      <c r="X559" s="739">
        <v>106591</v>
      </c>
      <c r="Y559" s="740" t="s">
        <v>1096</v>
      </c>
      <c r="Z559" s="742" t="s">
        <v>1086</v>
      </c>
      <c r="AA559" s="742" t="s">
        <v>542</v>
      </c>
      <c r="AB559" s="742">
        <v>96</v>
      </c>
      <c r="AC559" s="743" t="s">
        <v>1097</v>
      </c>
      <c r="AD559" s="770">
        <v>720</v>
      </c>
      <c r="AE559" s="790" t="s">
        <v>447</v>
      </c>
      <c r="AF559">
        <f>GDF_price_list[[#This Row],[Indicative 
FCA Price]]/GDF_price_list[[#This Row],[Unit]]</f>
        <v>7.5</v>
      </c>
    </row>
    <row r="560" spans="12:32" ht="51">
      <c r="L560" s="416"/>
      <c r="M560" s="416"/>
      <c r="N560" s="416"/>
      <c r="O560" s="439"/>
      <c r="P560" s="417"/>
      <c r="Q560" s="417"/>
      <c r="R560" s="417">
        <f>IFERROR(ROUND(Bunuri_lab_nomenc[[#This Row],[Cost unitate GFATM_valuta]]*VLOOKUP(Bunuri_lab_nomenc[[#This Row],[Valuta cost GFATM]],$B$58:$D$59,2,0),2),0)</f>
        <v>0</v>
      </c>
      <c r="S560" s="417" t="str">
        <f>IFERROR(VLOOKUP(Bunuri_lab_nomenc[[#This Row],[Denumire catalog GDF]],GDF_price_list[[Product Name]:[Column1]],8,0),"")</f>
        <v/>
      </c>
      <c r="T560" s="417" t="e">
        <f>VLOOKUP(Bunuri_lab_nomenc[[#This Row],[Denumire catalog GDF]],GDF_price_list[[Product Name]:[Column1]],7,0)</f>
        <v>#N/A</v>
      </c>
      <c r="V560" s="798" t="s">
        <v>612</v>
      </c>
      <c r="W560" s="799" t="s">
        <v>1084</v>
      </c>
      <c r="X560" s="801">
        <v>106590</v>
      </c>
      <c r="Y560" s="802" t="s">
        <v>1098</v>
      </c>
      <c r="Z560" s="803" t="s">
        <v>1086</v>
      </c>
      <c r="AA560" s="742" t="s">
        <v>542</v>
      </c>
      <c r="AB560" s="742">
        <v>96</v>
      </c>
      <c r="AC560" s="804" t="s">
        <v>1099</v>
      </c>
      <c r="AD560" s="805">
        <v>720</v>
      </c>
      <c r="AE560" s="806" t="s">
        <v>447</v>
      </c>
      <c r="AF560">
        <f>GDF_price_list[[#This Row],[Indicative 
FCA Price]]/GDF_price_list[[#This Row],[Unit]]</f>
        <v>7.5</v>
      </c>
    </row>
    <row r="561" spans="12:20">
      <c r="L561" s="416"/>
      <c r="M561" s="416"/>
      <c r="N561" s="416"/>
      <c r="O561" s="439"/>
      <c r="P561" s="417"/>
      <c r="Q561" s="417"/>
      <c r="R561" s="417">
        <f>IFERROR(ROUND(Bunuri_lab_nomenc[[#This Row],[Cost unitate GFATM_valuta]]*VLOOKUP(Bunuri_lab_nomenc[[#This Row],[Valuta cost GFATM]],$B$58:$D$59,2,0),2),0)</f>
        <v>0</v>
      </c>
      <c r="S561" s="417" t="str">
        <f>IFERROR(VLOOKUP(Bunuri_lab_nomenc[[#This Row],[Denumire catalog GDF]],GDF_price_list[[Product Name]:[Column1]],8,0),"")</f>
        <v/>
      </c>
      <c r="T561" s="417" t="e">
        <f>VLOOKUP(Bunuri_lab_nomenc[[#This Row],[Denumire catalog GDF]],GDF_price_list[[Product Name]:[Column1]],7,0)</f>
        <v>#N/A</v>
      </c>
    </row>
    <row r="562" spans="12:20">
      <c r="L562" s="416"/>
      <c r="M562" s="416"/>
      <c r="N562" s="416"/>
      <c r="O562" s="439"/>
      <c r="P562" s="417"/>
      <c r="Q562" s="417"/>
      <c r="R562" s="417">
        <f>IFERROR(ROUND(Bunuri_lab_nomenc[[#This Row],[Cost unitate GFATM_valuta]]*VLOOKUP(Bunuri_lab_nomenc[[#This Row],[Valuta cost GFATM]],$B$58:$D$59,2,0),2),0)</f>
        <v>0</v>
      </c>
      <c r="S562" s="417" t="str">
        <f>IFERROR(VLOOKUP(Bunuri_lab_nomenc[[#This Row],[Denumire catalog GDF]],GDF_price_list[[Product Name]:[Column1]],8,0),"")</f>
        <v/>
      </c>
      <c r="T562" s="417" t="e">
        <f>VLOOKUP(Bunuri_lab_nomenc[[#This Row],[Denumire catalog GDF]],GDF_price_list[[Product Name]:[Column1]],7,0)</f>
        <v>#N/A</v>
      </c>
    </row>
    <row r="563" spans="12:20">
      <c r="L563" s="416"/>
      <c r="M563" s="416"/>
      <c r="N563" s="416"/>
      <c r="O563" s="439"/>
      <c r="P563" s="417"/>
      <c r="Q563" s="417"/>
      <c r="R563" s="417">
        <f>IFERROR(ROUND(Bunuri_lab_nomenc[[#This Row],[Cost unitate GFATM_valuta]]*VLOOKUP(Bunuri_lab_nomenc[[#This Row],[Valuta cost GFATM]],$B$58:$D$59,2,0),2),0)</f>
        <v>0</v>
      </c>
      <c r="S563" s="417" t="str">
        <f>IFERROR(VLOOKUP(Bunuri_lab_nomenc[[#This Row],[Denumire catalog GDF]],GDF_price_list[[Product Name]:[Column1]],8,0),"")</f>
        <v/>
      </c>
      <c r="T563" s="417" t="e">
        <f>VLOOKUP(Bunuri_lab_nomenc[[#This Row],[Denumire catalog GDF]],GDF_price_list[[Product Name]:[Column1]],7,0)</f>
        <v>#N/A</v>
      </c>
    </row>
    <row r="564" spans="12:20">
      <c r="L564" s="416"/>
      <c r="M564" s="416"/>
      <c r="N564" s="416"/>
      <c r="O564" s="439"/>
      <c r="P564" s="417"/>
      <c r="Q564" s="417"/>
      <c r="R564" s="417">
        <f>IFERROR(ROUND(Bunuri_lab_nomenc[[#This Row],[Cost unitate GFATM_valuta]]*VLOOKUP(Bunuri_lab_nomenc[[#This Row],[Valuta cost GFATM]],$B$58:$D$59,2,0),2),0)</f>
        <v>0</v>
      </c>
      <c r="S564" s="417" t="str">
        <f>IFERROR(VLOOKUP(Bunuri_lab_nomenc[[#This Row],[Denumire catalog GDF]],GDF_price_list[[Product Name]:[Column1]],8,0),"")</f>
        <v/>
      </c>
      <c r="T564" s="417" t="e">
        <f>VLOOKUP(Bunuri_lab_nomenc[[#This Row],[Denumire catalog GDF]],GDF_price_list[[Product Name]:[Column1]],7,0)</f>
        <v>#N/A</v>
      </c>
    </row>
    <row r="565" spans="12:20">
      <c r="L565" s="416"/>
      <c r="M565" s="416"/>
      <c r="N565" s="416"/>
      <c r="O565" s="439"/>
      <c r="P565" s="417"/>
      <c r="Q565" s="417"/>
      <c r="R565" s="417">
        <f>IFERROR(ROUND(Bunuri_lab_nomenc[[#This Row],[Cost unitate GFATM_valuta]]*VLOOKUP(Bunuri_lab_nomenc[[#This Row],[Valuta cost GFATM]],$B$58:$D$59,2,0),2),0)</f>
        <v>0</v>
      </c>
      <c r="S565" s="417" t="str">
        <f>IFERROR(VLOOKUP(Bunuri_lab_nomenc[[#This Row],[Denumire catalog GDF]],GDF_price_list[[Product Name]:[Column1]],8,0),"")</f>
        <v/>
      </c>
      <c r="T565" s="417" t="e">
        <f>VLOOKUP(Bunuri_lab_nomenc[[#This Row],[Denumire catalog GDF]],GDF_price_list[[Product Name]:[Column1]],7,0)</f>
        <v>#N/A</v>
      </c>
    </row>
    <row r="566" spans="12:20">
      <c r="L566" s="416"/>
      <c r="M566" s="416"/>
      <c r="N566" s="416"/>
      <c r="O566" s="439"/>
      <c r="P566" s="417"/>
      <c r="Q566" s="417"/>
      <c r="R566" s="417">
        <f>IFERROR(ROUND(Bunuri_lab_nomenc[[#This Row],[Cost unitate GFATM_valuta]]*VLOOKUP(Bunuri_lab_nomenc[[#This Row],[Valuta cost GFATM]],$B$58:$D$59,2,0),2),0)</f>
        <v>0</v>
      </c>
      <c r="S566" s="417" t="str">
        <f>IFERROR(VLOOKUP(Bunuri_lab_nomenc[[#This Row],[Denumire catalog GDF]],GDF_price_list[[Product Name]:[Column1]],8,0),"")</f>
        <v/>
      </c>
      <c r="T566" s="417" t="e">
        <f>VLOOKUP(Bunuri_lab_nomenc[[#This Row],[Denumire catalog GDF]],GDF_price_list[[Product Name]:[Column1]],7,0)</f>
        <v>#N/A</v>
      </c>
    </row>
    <row r="567" spans="12:20">
      <c r="L567" s="416"/>
      <c r="M567" s="416"/>
      <c r="N567" s="416"/>
      <c r="O567" s="439"/>
      <c r="P567" s="417"/>
      <c r="Q567" s="417"/>
      <c r="R567" s="417">
        <f>IFERROR(ROUND(Bunuri_lab_nomenc[[#This Row],[Cost unitate GFATM_valuta]]*VLOOKUP(Bunuri_lab_nomenc[[#This Row],[Valuta cost GFATM]],$B$58:$D$59,2,0),2),0)</f>
        <v>0</v>
      </c>
      <c r="S567" s="417" t="str">
        <f>IFERROR(VLOOKUP(Bunuri_lab_nomenc[[#This Row],[Denumire catalog GDF]],GDF_price_list[[Product Name]:[Column1]],8,0),"")</f>
        <v/>
      </c>
      <c r="T567" s="417" t="e">
        <f>VLOOKUP(Bunuri_lab_nomenc[[#This Row],[Denumire catalog GDF]],GDF_price_list[[Product Name]:[Column1]],7,0)</f>
        <v>#N/A</v>
      </c>
    </row>
    <row r="568" spans="12:20">
      <c r="L568" s="416"/>
      <c r="M568" s="416"/>
      <c r="N568" s="416"/>
      <c r="O568" s="439"/>
      <c r="P568" s="417"/>
      <c r="Q568" s="417"/>
      <c r="R568" s="417">
        <f>IFERROR(ROUND(Bunuri_lab_nomenc[[#This Row],[Cost unitate GFATM_valuta]]*VLOOKUP(Bunuri_lab_nomenc[[#This Row],[Valuta cost GFATM]],$B$58:$D$59,2,0),2),0)</f>
        <v>0</v>
      </c>
      <c r="S568" s="417" t="str">
        <f>IFERROR(VLOOKUP(Bunuri_lab_nomenc[[#This Row],[Denumire catalog GDF]],GDF_price_list[[Product Name]:[Column1]],8,0),"")</f>
        <v/>
      </c>
      <c r="T568" s="417" t="e">
        <f>VLOOKUP(Bunuri_lab_nomenc[[#This Row],[Denumire catalog GDF]],GDF_price_list[[Product Name]:[Column1]],7,0)</f>
        <v>#N/A</v>
      </c>
    </row>
    <row r="569" spans="12:20">
      <c r="L569" s="416"/>
      <c r="M569" s="416"/>
      <c r="N569" s="416"/>
      <c r="O569" s="439"/>
      <c r="P569" s="417"/>
      <c r="Q569" s="417"/>
      <c r="R569" s="417">
        <f>IFERROR(ROUND(Bunuri_lab_nomenc[[#This Row],[Cost unitate GFATM_valuta]]*VLOOKUP(Bunuri_lab_nomenc[[#This Row],[Valuta cost GFATM]],$B$58:$D$59,2,0),2),0)</f>
        <v>0</v>
      </c>
      <c r="S569" s="417" t="str">
        <f>IFERROR(VLOOKUP(Bunuri_lab_nomenc[[#This Row],[Denumire catalog GDF]],GDF_price_list[[Product Name]:[Column1]],8,0),"")</f>
        <v/>
      </c>
      <c r="T569" s="417" t="e">
        <f>VLOOKUP(Bunuri_lab_nomenc[[#This Row],[Denumire catalog GDF]],GDF_price_list[[Product Name]:[Column1]],7,0)</f>
        <v>#N/A</v>
      </c>
    </row>
    <row r="570" spans="12:20">
      <c r="L570" s="416"/>
      <c r="M570" s="416"/>
      <c r="N570" s="416"/>
      <c r="O570" s="439"/>
      <c r="P570" s="417"/>
      <c r="Q570" s="417"/>
      <c r="R570" s="417">
        <f>IFERROR(ROUND(Bunuri_lab_nomenc[[#This Row],[Cost unitate GFATM_valuta]]*VLOOKUP(Bunuri_lab_nomenc[[#This Row],[Valuta cost GFATM]],$B$58:$D$59,2,0),2),0)</f>
        <v>0</v>
      </c>
      <c r="S570" s="417" t="str">
        <f>IFERROR(VLOOKUP(Bunuri_lab_nomenc[[#This Row],[Denumire catalog GDF]],GDF_price_list[[Product Name]:[Column1]],8,0),"")</f>
        <v/>
      </c>
      <c r="T570" s="417" t="e">
        <f>VLOOKUP(Bunuri_lab_nomenc[[#This Row],[Denumire catalog GDF]],GDF_price_list[[Product Name]:[Column1]],7,0)</f>
        <v>#N/A</v>
      </c>
    </row>
    <row r="571" spans="12:20">
      <c r="L571" s="416"/>
      <c r="M571" s="416"/>
      <c r="N571" s="416"/>
      <c r="O571" s="439"/>
      <c r="P571" s="417"/>
      <c r="Q571" s="417"/>
      <c r="R571" s="417">
        <f>IFERROR(ROUND(Bunuri_lab_nomenc[[#This Row],[Cost unitate GFATM_valuta]]*VLOOKUP(Bunuri_lab_nomenc[[#This Row],[Valuta cost GFATM]],$B$58:$D$59,2,0),2),0)</f>
        <v>0</v>
      </c>
      <c r="S571" s="417" t="str">
        <f>IFERROR(VLOOKUP(Bunuri_lab_nomenc[[#This Row],[Denumire catalog GDF]],GDF_price_list[[Product Name]:[Column1]],8,0),"")</f>
        <v/>
      </c>
      <c r="T571" s="417" t="e">
        <f>VLOOKUP(Bunuri_lab_nomenc[[#This Row],[Denumire catalog GDF]],GDF_price_list[[Product Name]:[Column1]],7,0)</f>
        <v>#N/A</v>
      </c>
    </row>
    <row r="572" spans="12:20">
      <c r="L572" s="416"/>
      <c r="M572" s="416"/>
      <c r="N572" s="416"/>
      <c r="O572" s="439"/>
      <c r="P572" s="417"/>
      <c r="Q572" s="417"/>
      <c r="R572" s="417">
        <f>IFERROR(ROUND(Bunuri_lab_nomenc[[#This Row],[Cost unitate GFATM_valuta]]*VLOOKUP(Bunuri_lab_nomenc[[#This Row],[Valuta cost GFATM]],$B$58:$D$59,2,0),2),0)</f>
        <v>0</v>
      </c>
      <c r="S572" s="417" t="str">
        <f>IFERROR(VLOOKUP(Bunuri_lab_nomenc[[#This Row],[Denumire catalog GDF]],GDF_price_list[[Product Name]:[Column1]],8,0),"")</f>
        <v/>
      </c>
      <c r="T572" s="417" t="e">
        <f>VLOOKUP(Bunuri_lab_nomenc[[#This Row],[Denumire catalog GDF]],GDF_price_list[[Product Name]:[Column1]],7,0)</f>
        <v>#N/A</v>
      </c>
    </row>
    <row r="573" spans="12:20">
      <c r="L573" s="416"/>
      <c r="M573" s="416"/>
      <c r="N573" s="416"/>
      <c r="O573" s="439"/>
      <c r="P573" s="417"/>
      <c r="Q573" s="417"/>
      <c r="R573" s="417">
        <f>IFERROR(ROUND(Bunuri_lab_nomenc[[#This Row],[Cost unitate GFATM_valuta]]*VLOOKUP(Bunuri_lab_nomenc[[#This Row],[Valuta cost GFATM]],$B$58:$D$59,2,0),2),0)</f>
        <v>0</v>
      </c>
      <c r="S573" s="417" t="str">
        <f>IFERROR(VLOOKUP(Bunuri_lab_nomenc[[#This Row],[Denumire catalog GDF]],GDF_price_list[[Product Name]:[Column1]],8,0),"")</f>
        <v/>
      </c>
      <c r="T573" s="417" t="e">
        <f>VLOOKUP(Bunuri_lab_nomenc[[#This Row],[Denumire catalog GDF]],GDF_price_list[[Product Name]:[Column1]],7,0)</f>
        <v>#N/A</v>
      </c>
    </row>
    <row r="574" spans="12:20">
      <c r="L574" s="416"/>
      <c r="M574" s="416"/>
      <c r="N574" s="416"/>
      <c r="O574" s="439"/>
      <c r="P574" s="417"/>
      <c r="Q574" s="417"/>
      <c r="R574" s="417">
        <f>IFERROR(ROUND(Bunuri_lab_nomenc[[#This Row],[Cost unitate GFATM_valuta]]*VLOOKUP(Bunuri_lab_nomenc[[#This Row],[Valuta cost GFATM]],$B$58:$D$59,2,0),2),0)</f>
        <v>0</v>
      </c>
      <c r="S574" s="417" t="str">
        <f>IFERROR(VLOOKUP(Bunuri_lab_nomenc[[#This Row],[Denumire catalog GDF]],GDF_price_list[[Product Name]:[Column1]],8,0),"")</f>
        <v/>
      </c>
      <c r="T574" s="417" t="e">
        <f>VLOOKUP(Bunuri_lab_nomenc[[#This Row],[Denumire catalog GDF]],GDF_price_list[[Product Name]:[Column1]],7,0)</f>
        <v>#N/A</v>
      </c>
    </row>
    <row r="575" spans="12:20">
      <c r="L575" s="416"/>
      <c r="M575" s="416"/>
      <c r="N575" s="416"/>
      <c r="O575" s="439"/>
      <c r="P575" s="417"/>
      <c r="Q575" s="417"/>
      <c r="R575" s="417">
        <f>IFERROR(ROUND(Bunuri_lab_nomenc[[#This Row],[Cost unitate GFATM_valuta]]*VLOOKUP(Bunuri_lab_nomenc[[#This Row],[Valuta cost GFATM]],$B$58:$D$59,2,0),2),0)</f>
        <v>0</v>
      </c>
      <c r="S575" s="417" t="str">
        <f>IFERROR(VLOOKUP(Bunuri_lab_nomenc[[#This Row],[Denumire catalog GDF]],GDF_price_list[[Product Name]:[Column1]],8,0),"")</f>
        <v/>
      </c>
      <c r="T575" s="417" t="e">
        <f>VLOOKUP(Bunuri_lab_nomenc[[#This Row],[Denumire catalog GDF]],GDF_price_list[[Product Name]:[Column1]],7,0)</f>
        <v>#N/A</v>
      </c>
    </row>
    <row r="576" spans="12:20">
      <c r="L576" s="416"/>
      <c r="M576" s="416"/>
      <c r="N576" s="416"/>
      <c r="O576" s="439"/>
      <c r="P576" s="417"/>
      <c r="Q576" s="417"/>
      <c r="R576" s="417">
        <f>IFERROR(ROUND(Bunuri_lab_nomenc[[#This Row],[Cost unitate GFATM_valuta]]*VLOOKUP(Bunuri_lab_nomenc[[#This Row],[Valuta cost GFATM]],$B$58:$D$59,2,0),2),0)</f>
        <v>0</v>
      </c>
      <c r="S576" s="417" t="str">
        <f>IFERROR(VLOOKUP(Bunuri_lab_nomenc[[#This Row],[Denumire catalog GDF]],GDF_price_list[[Product Name]:[Column1]],8,0),"")</f>
        <v/>
      </c>
      <c r="T576" s="417" t="e">
        <f>VLOOKUP(Bunuri_lab_nomenc[[#This Row],[Denumire catalog GDF]],GDF_price_list[[Product Name]:[Column1]],7,0)</f>
        <v>#N/A</v>
      </c>
    </row>
    <row r="577" spans="12:20">
      <c r="L577" s="416"/>
      <c r="M577" s="416"/>
      <c r="N577" s="416"/>
      <c r="O577" s="439"/>
      <c r="P577" s="417"/>
      <c r="Q577" s="417"/>
      <c r="R577" s="417">
        <f>IFERROR(ROUND(Bunuri_lab_nomenc[[#This Row],[Cost unitate GFATM_valuta]]*VLOOKUP(Bunuri_lab_nomenc[[#This Row],[Valuta cost GFATM]],$B$58:$D$59,2,0),2),0)</f>
        <v>0</v>
      </c>
      <c r="S577" s="417" t="str">
        <f>IFERROR(VLOOKUP(Bunuri_lab_nomenc[[#This Row],[Denumire catalog GDF]],GDF_price_list[[Product Name]:[Column1]],8,0),"")</f>
        <v/>
      </c>
      <c r="T577" s="417" t="e">
        <f>VLOOKUP(Bunuri_lab_nomenc[[#This Row],[Denumire catalog GDF]],GDF_price_list[[Product Name]:[Column1]],7,0)</f>
        <v>#N/A</v>
      </c>
    </row>
    <row r="578" spans="12:20">
      <c r="L578" s="416"/>
      <c r="M578" s="416"/>
      <c r="N578" s="416"/>
      <c r="O578" s="439"/>
      <c r="P578" s="417"/>
      <c r="Q578" s="417"/>
      <c r="R578" s="417">
        <f>IFERROR(ROUND(Bunuri_lab_nomenc[[#This Row],[Cost unitate GFATM_valuta]]*VLOOKUP(Bunuri_lab_nomenc[[#This Row],[Valuta cost GFATM]],$B$58:$D$59,2,0),2),0)</f>
        <v>0</v>
      </c>
      <c r="S578" s="417" t="str">
        <f>IFERROR(VLOOKUP(Bunuri_lab_nomenc[[#This Row],[Denumire catalog GDF]],GDF_price_list[[Product Name]:[Column1]],8,0),"")</f>
        <v/>
      </c>
      <c r="T578" s="417" t="e">
        <f>VLOOKUP(Bunuri_lab_nomenc[[#This Row],[Denumire catalog GDF]],GDF_price_list[[Product Name]:[Column1]],7,0)</f>
        <v>#N/A</v>
      </c>
    </row>
    <row r="579" spans="12:20">
      <c r="L579" s="416"/>
      <c r="M579" s="416"/>
      <c r="N579" s="416"/>
      <c r="O579" s="439"/>
      <c r="P579" s="417"/>
      <c r="Q579" s="417"/>
      <c r="R579" s="417">
        <f>IFERROR(ROUND(Bunuri_lab_nomenc[[#This Row],[Cost unitate GFATM_valuta]]*VLOOKUP(Bunuri_lab_nomenc[[#This Row],[Valuta cost GFATM]],$B$58:$D$59,2,0),2),0)</f>
        <v>0</v>
      </c>
      <c r="S579" s="417" t="str">
        <f>IFERROR(VLOOKUP(Bunuri_lab_nomenc[[#This Row],[Denumire catalog GDF]],GDF_price_list[[Product Name]:[Column1]],8,0),"")</f>
        <v/>
      </c>
      <c r="T579" s="417" t="e">
        <f>VLOOKUP(Bunuri_lab_nomenc[[#This Row],[Denumire catalog GDF]],GDF_price_list[[Product Name]:[Column1]],7,0)</f>
        <v>#N/A</v>
      </c>
    </row>
    <row r="580" spans="12:20">
      <c r="L580" s="416"/>
      <c r="M580" s="416"/>
      <c r="N580" s="416"/>
      <c r="O580" s="439"/>
      <c r="P580" s="417"/>
      <c r="Q580" s="417"/>
      <c r="R580" s="417">
        <f>IFERROR(ROUND(Bunuri_lab_nomenc[[#This Row],[Cost unitate GFATM_valuta]]*VLOOKUP(Bunuri_lab_nomenc[[#This Row],[Valuta cost GFATM]],$B$58:$D$59,2,0),2),0)</f>
        <v>0</v>
      </c>
      <c r="S580" s="417" t="str">
        <f>IFERROR(VLOOKUP(Bunuri_lab_nomenc[[#This Row],[Denumire catalog GDF]],GDF_price_list[[Product Name]:[Column1]],8,0),"")</f>
        <v/>
      </c>
      <c r="T580" s="417" t="e">
        <f>VLOOKUP(Bunuri_lab_nomenc[[#This Row],[Denumire catalog GDF]],GDF_price_list[[Product Name]:[Column1]],7,0)</f>
        <v>#N/A</v>
      </c>
    </row>
    <row r="581" spans="12:20">
      <c r="L581" s="416"/>
      <c r="M581" s="416"/>
      <c r="N581" s="416"/>
      <c r="O581" s="439"/>
      <c r="P581" s="417"/>
      <c r="Q581" s="417"/>
      <c r="R581" s="417">
        <f>IFERROR(ROUND(Bunuri_lab_nomenc[[#This Row],[Cost unitate GFATM_valuta]]*VLOOKUP(Bunuri_lab_nomenc[[#This Row],[Valuta cost GFATM]],$B$58:$D$59,2,0),2),0)</f>
        <v>0</v>
      </c>
      <c r="S581" s="417" t="str">
        <f>IFERROR(VLOOKUP(Bunuri_lab_nomenc[[#This Row],[Denumire catalog GDF]],GDF_price_list[[Product Name]:[Column1]],8,0),"")</f>
        <v/>
      </c>
      <c r="T581" s="417" t="e">
        <f>VLOOKUP(Bunuri_lab_nomenc[[#This Row],[Denumire catalog GDF]],GDF_price_list[[Product Name]:[Column1]],7,0)</f>
        <v>#N/A</v>
      </c>
    </row>
    <row r="582" spans="12:20">
      <c r="L582" s="416"/>
      <c r="M582" s="416"/>
      <c r="N582" s="416"/>
      <c r="O582" s="439"/>
      <c r="P582" s="417"/>
      <c r="Q582" s="417"/>
      <c r="R582" s="417">
        <f>IFERROR(ROUND(Bunuri_lab_nomenc[[#This Row],[Cost unitate GFATM_valuta]]*VLOOKUP(Bunuri_lab_nomenc[[#This Row],[Valuta cost GFATM]],$B$58:$D$59,2,0),2),0)</f>
        <v>0</v>
      </c>
      <c r="S582" s="417" t="str">
        <f>IFERROR(VLOOKUP(Bunuri_lab_nomenc[[#This Row],[Denumire catalog GDF]],GDF_price_list[[Product Name]:[Column1]],8,0),"")</f>
        <v/>
      </c>
      <c r="T582" s="417" t="e">
        <f>VLOOKUP(Bunuri_lab_nomenc[[#This Row],[Denumire catalog GDF]],GDF_price_list[[Product Name]:[Column1]],7,0)</f>
        <v>#N/A</v>
      </c>
    </row>
    <row r="583" spans="12:20">
      <c r="L583" s="416"/>
      <c r="M583" s="416"/>
      <c r="N583" s="416"/>
      <c r="O583" s="439"/>
      <c r="P583" s="417"/>
      <c r="Q583" s="417"/>
      <c r="R583" s="417">
        <f>IFERROR(ROUND(Bunuri_lab_nomenc[[#This Row],[Cost unitate GFATM_valuta]]*VLOOKUP(Bunuri_lab_nomenc[[#This Row],[Valuta cost GFATM]],$B$58:$D$59,2,0),2),0)</f>
        <v>0</v>
      </c>
      <c r="S583" s="417" t="str">
        <f>IFERROR(VLOOKUP(Bunuri_lab_nomenc[[#This Row],[Denumire catalog GDF]],GDF_price_list[[Product Name]:[Column1]],8,0),"")</f>
        <v/>
      </c>
      <c r="T583" s="417" t="e">
        <f>VLOOKUP(Bunuri_lab_nomenc[[#This Row],[Denumire catalog GDF]],GDF_price_list[[Product Name]:[Column1]],7,0)</f>
        <v>#N/A</v>
      </c>
    </row>
    <row r="584" spans="12:20">
      <c r="L584" s="416"/>
      <c r="M584" s="416"/>
      <c r="N584" s="416"/>
      <c r="O584" s="439"/>
      <c r="P584" s="417"/>
      <c r="Q584" s="417"/>
      <c r="R584" s="417">
        <f>IFERROR(ROUND(Bunuri_lab_nomenc[[#This Row],[Cost unitate GFATM_valuta]]*VLOOKUP(Bunuri_lab_nomenc[[#This Row],[Valuta cost GFATM]],$B$58:$D$59,2,0),2),0)</f>
        <v>0</v>
      </c>
      <c r="S584" s="417" t="str">
        <f>IFERROR(VLOOKUP(Bunuri_lab_nomenc[[#This Row],[Denumire catalog GDF]],GDF_price_list[[Product Name]:[Column1]],8,0),"")</f>
        <v/>
      </c>
      <c r="T584" s="417" t="e">
        <f>VLOOKUP(Bunuri_lab_nomenc[[#This Row],[Denumire catalog GDF]],GDF_price_list[[Product Name]:[Column1]],7,0)</f>
        <v>#N/A</v>
      </c>
    </row>
    <row r="585" spans="12:20">
      <c r="L585" s="416"/>
      <c r="M585" s="416"/>
      <c r="N585" s="416"/>
      <c r="O585" s="439"/>
      <c r="P585" s="417"/>
      <c r="Q585" s="417"/>
      <c r="R585" s="417">
        <f>IFERROR(ROUND(Bunuri_lab_nomenc[[#This Row],[Cost unitate GFATM_valuta]]*VLOOKUP(Bunuri_lab_nomenc[[#This Row],[Valuta cost GFATM]],$B$58:$D$59,2,0),2),0)</f>
        <v>0</v>
      </c>
      <c r="S585" s="417" t="str">
        <f>IFERROR(VLOOKUP(Bunuri_lab_nomenc[[#This Row],[Denumire catalog GDF]],GDF_price_list[[Product Name]:[Column1]],8,0),"")</f>
        <v/>
      </c>
      <c r="T585" s="417" t="e">
        <f>VLOOKUP(Bunuri_lab_nomenc[[#This Row],[Denumire catalog GDF]],GDF_price_list[[Product Name]:[Column1]],7,0)</f>
        <v>#N/A</v>
      </c>
    </row>
    <row r="586" spans="12:20">
      <c r="L586" s="416"/>
      <c r="M586" s="416"/>
      <c r="N586" s="416"/>
      <c r="O586" s="439"/>
      <c r="P586" s="417"/>
      <c r="Q586" s="417"/>
      <c r="R586" s="417">
        <f>IFERROR(ROUND(Bunuri_lab_nomenc[[#This Row],[Cost unitate GFATM_valuta]]*VLOOKUP(Bunuri_lab_nomenc[[#This Row],[Valuta cost GFATM]],$B$58:$D$59,2,0),2),0)</f>
        <v>0</v>
      </c>
      <c r="S586" s="417" t="str">
        <f>IFERROR(VLOOKUP(Bunuri_lab_nomenc[[#This Row],[Denumire catalog GDF]],GDF_price_list[[Product Name]:[Column1]],8,0),"")</f>
        <v/>
      </c>
      <c r="T586" s="417" t="e">
        <f>VLOOKUP(Bunuri_lab_nomenc[[#This Row],[Denumire catalog GDF]],GDF_price_list[[Product Name]:[Column1]],7,0)</f>
        <v>#N/A</v>
      </c>
    </row>
    <row r="587" spans="12:20">
      <c r="L587" s="416"/>
      <c r="M587" s="416"/>
      <c r="N587" s="416"/>
      <c r="O587" s="439"/>
      <c r="P587" s="417"/>
      <c r="Q587" s="417"/>
      <c r="R587" s="417">
        <f>IFERROR(ROUND(Bunuri_lab_nomenc[[#This Row],[Cost unitate GFATM_valuta]]*VLOOKUP(Bunuri_lab_nomenc[[#This Row],[Valuta cost GFATM]],$B$58:$D$59,2,0),2),0)</f>
        <v>0</v>
      </c>
      <c r="S587" s="417" t="str">
        <f>IFERROR(VLOOKUP(Bunuri_lab_nomenc[[#This Row],[Denumire catalog GDF]],GDF_price_list[[Product Name]:[Column1]],8,0),"")</f>
        <v/>
      </c>
      <c r="T587" s="417" t="e">
        <f>VLOOKUP(Bunuri_lab_nomenc[[#This Row],[Denumire catalog GDF]],GDF_price_list[[Product Name]:[Column1]],7,0)</f>
        <v>#N/A</v>
      </c>
    </row>
    <row r="588" spans="12:20">
      <c r="L588" s="416"/>
      <c r="M588" s="416"/>
      <c r="N588" s="416"/>
      <c r="O588" s="439"/>
      <c r="P588" s="417"/>
      <c r="Q588" s="417"/>
      <c r="R588" s="417">
        <f>IFERROR(ROUND(Bunuri_lab_nomenc[[#This Row],[Cost unitate GFATM_valuta]]*VLOOKUP(Bunuri_lab_nomenc[[#This Row],[Valuta cost GFATM]],$B$58:$D$59,2,0),2),0)</f>
        <v>0</v>
      </c>
      <c r="S588" s="417" t="str">
        <f>IFERROR(VLOOKUP(Bunuri_lab_nomenc[[#This Row],[Denumire catalog GDF]],GDF_price_list[[Product Name]:[Column1]],8,0),"")</f>
        <v/>
      </c>
      <c r="T588" s="417" t="e">
        <f>VLOOKUP(Bunuri_lab_nomenc[[#This Row],[Denumire catalog GDF]],GDF_price_list[[Product Name]:[Column1]],7,0)</f>
        <v>#N/A</v>
      </c>
    </row>
    <row r="589" spans="12:20">
      <c r="L589" s="416"/>
      <c r="M589" s="416"/>
      <c r="N589" s="416"/>
      <c r="O589" s="439"/>
      <c r="P589" s="417"/>
      <c r="Q589" s="417"/>
      <c r="R589" s="417">
        <f>IFERROR(ROUND(Bunuri_lab_nomenc[[#This Row],[Cost unitate GFATM_valuta]]*VLOOKUP(Bunuri_lab_nomenc[[#This Row],[Valuta cost GFATM]],$B$58:$D$59,2,0),2),0)</f>
        <v>0</v>
      </c>
      <c r="S589" s="417" t="str">
        <f>IFERROR(VLOOKUP(Bunuri_lab_nomenc[[#This Row],[Denumire catalog GDF]],GDF_price_list[[Product Name]:[Column1]],8,0),"")</f>
        <v/>
      </c>
      <c r="T589" s="417" t="e">
        <f>VLOOKUP(Bunuri_lab_nomenc[[#This Row],[Denumire catalog GDF]],GDF_price_list[[Product Name]:[Column1]],7,0)</f>
        <v>#N/A</v>
      </c>
    </row>
    <row r="590" spans="12:20">
      <c r="L590" s="416"/>
      <c r="M590" s="416"/>
      <c r="N590" s="416"/>
      <c r="O590" s="439"/>
      <c r="P590" s="417"/>
      <c r="Q590" s="417"/>
      <c r="R590" s="417">
        <f>IFERROR(ROUND(Bunuri_lab_nomenc[[#This Row],[Cost unitate GFATM_valuta]]*VLOOKUP(Bunuri_lab_nomenc[[#This Row],[Valuta cost GFATM]],$B$58:$D$59,2,0),2),0)</f>
        <v>0</v>
      </c>
      <c r="S590" s="417" t="str">
        <f>IFERROR(VLOOKUP(Bunuri_lab_nomenc[[#This Row],[Denumire catalog GDF]],GDF_price_list[[Product Name]:[Column1]],8,0),"")</f>
        <v/>
      </c>
      <c r="T590" s="417" t="e">
        <f>VLOOKUP(Bunuri_lab_nomenc[[#This Row],[Denumire catalog GDF]],GDF_price_list[[Product Name]:[Column1]],7,0)</f>
        <v>#N/A</v>
      </c>
    </row>
    <row r="591" spans="12:20">
      <c r="L591" s="416"/>
      <c r="M591" s="416"/>
      <c r="N591" s="416"/>
      <c r="O591" s="439"/>
      <c r="P591" s="417"/>
      <c r="Q591" s="417"/>
      <c r="R591" s="417">
        <f>IFERROR(ROUND(Bunuri_lab_nomenc[[#This Row],[Cost unitate GFATM_valuta]]*VLOOKUP(Bunuri_lab_nomenc[[#This Row],[Valuta cost GFATM]],$B$58:$D$59,2,0),2),0)</f>
        <v>0</v>
      </c>
      <c r="S591" s="417" t="str">
        <f>IFERROR(VLOOKUP(Bunuri_lab_nomenc[[#This Row],[Denumire catalog GDF]],GDF_price_list[[Product Name]:[Column1]],8,0),"")</f>
        <v/>
      </c>
      <c r="T591" s="417" t="e">
        <f>VLOOKUP(Bunuri_lab_nomenc[[#This Row],[Denumire catalog GDF]],GDF_price_list[[Product Name]:[Column1]],7,0)</f>
        <v>#N/A</v>
      </c>
    </row>
    <row r="592" spans="12:20">
      <c r="L592" s="416"/>
      <c r="M592" s="416"/>
      <c r="N592" s="416"/>
      <c r="O592" s="439"/>
      <c r="P592" s="417"/>
      <c r="Q592" s="417"/>
      <c r="R592" s="417">
        <f>IFERROR(ROUND(Bunuri_lab_nomenc[[#This Row],[Cost unitate GFATM_valuta]]*VLOOKUP(Bunuri_lab_nomenc[[#This Row],[Valuta cost GFATM]],$B$58:$D$59,2,0),2),0)</f>
        <v>0</v>
      </c>
      <c r="S592" s="417" t="str">
        <f>IFERROR(VLOOKUP(Bunuri_lab_nomenc[[#This Row],[Denumire catalog GDF]],GDF_price_list[[Product Name]:[Column1]],8,0),"")</f>
        <v/>
      </c>
      <c r="T592" s="417" t="e">
        <f>VLOOKUP(Bunuri_lab_nomenc[[#This Row],[Denumire catalog GDF]],GDF_price_list[[Product Name]:[Column1]],7,0)</f>
        <v>#N/A</v>
      </c>
    </row>
    <row r="593" spans="12:20">
      <c r="L593" s="416"/>
      <c r="M593" s="416"/>
      <c r="N593" s="416"/>
      <c r="O593" s="439"/>
      <c r="P593" s="417"/>
      <c r="Q593" s="417"/>
      <c r="R593" s="417">
        <f>IFERROR(ROUND(Bunuri_lab_nomenc[[#This Row],[Cost unitate GFATM_valuta]]*VLOOKUP(Bunuri_lab_nomenc[[#This Row],[Valuta cost GFATM]],$B$58:$D$59,2,0),2),0)</f>
        <v>0</v>
      </c>
      <c r="S593" s="417" t="str">
        <f>IFERROR(VLOOKUP(Bunuri_lab_nomenc[[#This Row],[Denumire catalog GDF]],GDF_price_list[[Product Name]:[Column1]],8,0),"")</f>
        <v/>
      </c>
      <c r="T593" s="417" t="e">
        <f>VLOOKUP(Bunuri_lab_nomenc[[#This Row],[Denumire catalog GDF]],GDF_price_list[[Product Name]:[Column1]],7,0)</f>
        <v>#N/A</v>
      </c>
    </row>
    <row r="594" spans="12:20">
      <c r="L594" s="416"/>
      <c r="M594" s="416"/>
      <c r="N594" s="416"/>
      <c r="O594" s="439"/>
      <c r="P594" s="417"/>
      <c r="Q594" s="417"/>
      <c r="R594" s="417">
        <f>IFERROR(ROUND(Bunuri_lab_nomenc[[#This Row],[Cost unitate GFATM_valuta]]*VLOOKUP(Bunuri_lab_nomenc[[#This Row],[Valuta cost GFATM]],$B$58:$D$59,2,0),2),0)</f>
        <v>0</v>
      </c>
      <c r="S594" s="417" t="str">
        <f>IFERROR(VLOOKUP(Bunuri_lab_nomenc[[#This Row],[Denumire catalog GDF]],GDF_price_list[[Product Name]:[Column1]],8,0),"")</f>
        <v/>
      </c>
      <c r="T594" s="417" t="e">
        <f>VLOOKUP(Bunuri_lab_nomenc[[#This Row],[Denumire catalog GDF]],GDF_price_list[[Product Name]:[Column1]],7,0)</f>
        <v>#N/A</v>
      </c>
    </row>
    <row r="595" spans="12:20">
      <c r="L595" s="416"/>
      <c r="M595" s="416"/>
      <c r="N595" s="416"/>
      <c r="O595" s="439"/>
      <c r="P595" s="417"/>
      <c r="Q595" s="417"/>
      <c r="R595" s="417">
        <f>IFERROR(ROUND(Bunuri_lab_nomenc[[#This Row],[Cost unitate GFATM_valuta]]*VLOOKUP(Bunuri_lab_nomenc[[#This Row],[Valuta cost GFATM]],$B$58:$D$59,2,0),2),0)</f>
        <v>0</v>
      </c>
      <c r="S595" s="417" t="str">
        <f>IFERROR(VLOOKUP(Bunuri_lab_nomenc[[#This Row],[Denumire catalog GDF]],GDF_price_list[[Product Name]:[Column1]],8,0),"")</f>
        <v/>
      </c>
      <c r="T595" s="417" t="e">
        <f>VLOOKUP(Bunuri_lab_nomenc[[#This Row],[Denumire catalog GDF]],GDF_price_list[[Product Name]:[Column1]],7,0)</f>
        <v>#N/A</v>
      </c>
    </row>
    <row r="596" spans="12:20">
      <c r="L596" s="416"/>
      <c r="M596" s="416"/>
      <c r="N596" s="416"/>
      <c r="O596" s="439"/>
      <c r="P596" s="417"/>
      <c r="Q596" s="417"/>
      <c r="R596" s="417">
        <f>IFERROR(ROUND(Bunuri_lab_nomenc[[#This Row],[Cost unitate GFATM_valuta]]*VLOOKUP(Bunuri_lab_nomenc[[#This Row],[Valuta cost GFATM]],$B$58:$D$59,2,0),2),0)</f>
        <v>0</v>
      </c>
      <c r="S596" s="417" t="str">
        <f>IFERROR(VLOOKUP(Bunuri_lab_nomenc[[#This Row],[Denumire catalog GDF]],GDF_price_list[[Product Name]:[Column1]],8,0),"")</f>
        <v/>
      </c>
      <c r="T596" s="417" t="e">
        <f>VLOOKUP(Bunuri_lab_nomenc[[#This Row],[Denumire catalog GDF]],GDF_price_list[[Product Name]:[Column1]],7,0)</f>
        <v>#N/A</v>
      </c>
    </row>
    <row r="597" spans="12:20">
      <c r="L597" s="416"/>
      <c r="M597" s="416"/>
      <c r="N597" s="416"/>
      <c r="O597" s="439"/>
      <c r="P597" s="417"/>
      <c r="Q597" s="417"/>
      <c r="R597" s="417">
        <f>IFERROR(ROUND(Bunuri_lab_nomenc[[#This Row],[Cost unitate GFATM_valuta]]*VLOOKUP(Bunuri_lab_nomenc[[#This Row],[Valuta cost GFATM]],$B$58:$D$59,2,0),2),0)</f>
        <v>0</v>
      </c>
      <c r="S597" s="417" t="str">
        <f>IFERROR(VLOOKUP(Bunuri_lab_nomenc[[#This Row],[Denumire catalog GDF]],GDF_price_list[[Product Name]:[Column1]],8,0),"")</f>
        <v/>
      </c>
      <c r="T597" s="417" t="e">
        <f>VLOOKUP(Bunuri_lab_nomenc[[#This Row],[Denumire catalog GDF]],GDF_price_list[[Product Name]:[Column1]],7,0)</f>
        <v>#N/A</v>
      </c>
    </row>
    <row r="598" spans="12:20">
      <c r="L598" s="416"/>
      <c r="M598" s="416"/>
      <c r="N598" s="416"/>
      <c r="O598" s="439"/>
      <c r="P598" s="417"/>
      <c r="Q598" s="417"/>
      <c r="R598" s="417">
        <f>IFERROR(ROUND(Bunuri_lab_nomenc[[#This Row],[Cost unitate GFATM_valuta]]*VLOOKUP(Bunuri_lab_nomenc[[#This Row],[Valuta cost GFATM]],$B$58:$D$59,2,0),2),0)</f>
        <v>0</v>
      </c>
      <c r="S598" s="417" t="str">
        <f>IFERROR(VLOOKUP(Bunuri_lab_nomenc[[#This Row],[Denumire catalog GDF]],GDF_price_list[[Product Name]:[Column1]],8,0),"")</f>
        <v/>
      </c>
      <c r="T598" s="417" t="e">
        <f>VLOOKUP(Bunuri_lab_nomenc[[#This Row],[Denumire catalog GDF]],GDF_price_list[[Product Name]:[Column1]],7,0)</f>
        <v>#N/A</v>
      </c>
    </row>
    <row r="599" spans="12:20">
      <c r="L599" s="416"/>
      <c r="M599" s="416"/>
      <c r="N599" s="416"/>
      <c r="O599" s="439"/>
      <c r="P599" s="809"/>
      <c r="Q599" s="809"/>
      <c r="R599" s="809">
        <f>IFERROR(ROUND(Bunuri_lab_nomenc[[#This Row],[Cost unitate GFATM_valuta]]*VLOOKUP(Bunuri_lab_nomenc[[#This Row],[Valuta cost GFATM]],$B$58:$D$59,2,0),2),0)</f>
        <v>0</v>
      </c>
      <c r="S599" s="809" t="str">
        <f>IFERROR(VLOOKUP(Bunuri_lab_nomenc[[#This Row],[Denumire catalog GDF]],GDF_price_list[[Product Name]:[Column1]],8,0),"")</f>
        <v/>
      </c>
      <c r="T599" s="809" t="e">
        <f>VLOOKUP(Bunuri_lab_nomenc[[#This Row],[Denumire catalog GDF]],GDF_price_list[[Product Name]:[Column1]],7,0)</f>
        <v>#N/A</v>
      </c>
    </row>
  </sheetData>
  <conditionalFormatting sqref="AC161">
    <cfRule type="expression" dxfId="47" priority="19" stopIfTrue="1">
      <formula>$K$160&gt;0</formula>
    </cfRule>
  </conditionalFormatting>
  <conditionalFormatting sqref="AC162">
    <cfRule type="expression" dxfId="46" priority="18" stopIfTrue="1">
      <formula>$K$160&gt;0</formula>
    </cfRule>
  </conditionalFormatting>
  <conditionalFormatting sqref="AC163:AC165">
    <cfRule type="expression" dxfId="45" priority="17" stopIfTrue="1">
      <formula>$K$160&gt;0</formula>
    </cfRule>
  </conditionalFormatting>
  <conditionalFormatting sqref="AC223">
    <cfRule type="expression" dxfId="44" priority="16" stopIfTrue="1">
      <formula>$K$222&gt;0</formula>
    </cfRule>
  </conditionalFormatting>
  <conditionalFormatting sqref="AC390:AC392">
    <cfRule type="expression" dxfId="43" priority="15" stopIfTrue="1">
      <formula>$K$389&gt;0</formula>
    </cfRule>
  </conditionalFormatting>
  <conditionalFormatting sqref="AC485">
    <cfRule type="expression" dxfId="42" priority="14" stopIfTrue="1">
      <formula>$K$484&gt;0</formula>
    </cfRule>
  </conditionalFormatting>
  <conditionalFormatting sqref="AC486:AC489">
    <cfRule type="expression" dxfId="41" priority="13" stopIfTrue="1">
      <formula>$K$484&gt;0</formula>
    </cfRule>
  </conditionalFormatting>
  <conditionalFormatting sqref="AC492">
    <cfRule type="expression" dxfId="40" priority="12" stopIfTrue="1">
      <formula>$K$491&gt;0</formula>
    </cfRule>
  </conditionalFormatting>
  <conditionalFormatting sqref="AC493:AC496">
    <cfRule type="expression" dxfId="39" priority="11" stopIfTrue="1">
      <formula>$K$491&gt;0</formula>
    </cfRule>
  </conditionalFormatting>
  <conditionalFormatting sqref="AC499:AC502">
    <cfRule type="expression" dxfId="38" priority="10" stopIfTrue="1">
      <formula>$K$498&gt;0</formula>
    </cfRule>
  </conditionalFormatting>
  <conditionalFormatting sqref="AC505:AC508">
    <cfRule type="expression" dxfId="37" priority="9" stopIfTrue="1">
      <formula>$K$504&gt;0</formula>
    </cfRule>
  </conditionalFormatting>
  <conditionalFormatting sqref="AC527:AC534">
    <cfRule type="expression" dxfId="36" priority="8" stopIfTrue="1">
      <formula>$K$526&gt;0</formula>
    </cfRule>
  </conditionalFormatting>
  <conditionalFormatting sqref="AC490">
    <cfRule type="expression" dxfId="35" priority="7" stopIfTrue="1">
      <formula>$K$484&gt;0</formula>
    </cfRule>
  </conditionalFormatting>
  <conditionalFormatting sqref="AC497">
    <cfRule type="expression" dxfId="34" priority="6" stopIfTrue="1">
      <formula>$K$491&gt;0</formula>
    </cfRule>
  </conditionalFormatting>
  <conditionalFormatting sqref="AC503">
    <cfRule type="expression" dxfId="33" priority="5" stopIfTrue="1">
      <formula>$K$498&gt;0</formula>
    </cfRule>
  </conditionalFormatting>
  <conditionalFormatting sqref="AC509">
    <cfRule type="expression" dxfId="32" priority="4" stopIfTrue="1">
      <formula>$K$504&gt;0</formula>
    </cfRule>
  </conditionalFormatting>
  <conditionalFormatting sqref="AC512:AC514">
    <cfRule type="expression" dxfId="31" priority="3" stopIfTrue="1">
      <formula>$K$511&gt;0</formula>
    </cfRule>
  </conditionalFormatting>
  <conditionalFormatting sqref="AC518:AC521">
    <cfRule type="expression" dxfId="30" priority="2" stopIfTrue="1">
      <formula>$K$517&gt;0</formula>
    </cfRule>
  </conditionalFormatting>
  <conditionalFormatting sqref="AC539:AC545">
    <cfRule type="expression" dxfId="29" priority="1" stopIfTrue="1">
      <formula>$K$538&gt;0</formula>
    </cfRule>
  </conditionalFormatting>
  <dataValidations count="2">
    <dataValidation type="list" allowBlank="1" showInputMessage="1" showErrorMessage="1" sqref="O2:O599" xr:uid="{00000000-0002-0000-2000-000000000000}">
      <formula1>GDF_lab_prod_name</formula1>
    </dataValidation>
    <dataValidation type="list" allowBlank="1" showInputMessage="1" showErrorMessage="1" sqref="T2:T599" xr:uid="{00000000-0002-0000-2000-000001000000}">
      <formula1>Valuta</formula1>
    </dataValidation>
  </dataValidations>
  <pageMargins left="0.7" right="0.7" top="0.75" bottom="0.75" header="0.3" footer="0.3"/>
  <pageSetup paperSize="9" orientation="portrait" r:id="rId1"/>
  <tableParts count="2">
    <tablePart r:id="rId2"/>
    <tablePart r:id="rId3"/>
  </tableParts>
</worksheet>
</file>

<file path=xl/worksheets/sheet3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dimension ref="A2:M122"/>
  <sheetViews>
    <sheetView topLeftCell="D1" zoomScale="55" zoomScaleNormal="55" workbookViewId="0">
      <selection activeCell="L2" sqref="L2:M9"/>
    </sheetView>
  </sheetViews>
  <sheetFormatPr baseColWidth="10" defaultColWidth="8.83203125" defaultRowHeight="15"/>
  <cols>
    <col min="2" max="2" width="14.33203125" style="845" bestFit="1" customWidth="1"/>
    <col min="3" max="3" width="72.6640625" style="414" customWidth="1"/>
    <col min="4" max="4" width="74" style="414" customWidth="1"/>
    <col min="6" max="6" width="17" bestFit="1" customWidth="1"/>
    <col min="7" max="7" width="15.33203125" bestFit="1" customWidth="1"/>
    <col min="12" max="12" width="9.5" style="431" bestFit="1" customWidth="1"/>
    <col min="13" max="13" width="255.6640625" bestFit="1" customWidth="1"/>
  </cols>
  <sheetData>
    <row r="2" spans="2:13">
      <c r="L2" s="811" t="s">
        <v>1831</v>
      </c>
      <c r="M2" s="1237" t="s">
        <v>2229</v>
      </c>
    </row>
    <row r="3" spans="2:13">
      <c r="L3" s="811" t="s">
        <v>246</v>
      </c>
      <c r="M3" s="1238" t="s">
        <v>3139</v>
      </c>
    </row>
    <row r="4" spans="2:13" ht="16">
      <c r="B4" s="1233" t="s">
        <v>1826</v>
      </c>
      <c r="C4" s="1234" t="s">
        <v>1829</v>
      </c>
      <c r="D4" s="1234" t="s">
        <v>1830</v>
      </c>
      <c r="F4" s="811" t="s">
        <v>1827</v>
      </c>
      <c r="G4" s="811" t="s">
        <v>1828</v>
      </c>
      <c r="L4" s="811" t="s">
        <v>247</v>
      </c>
      <c r="M4" s="1238" t="s">
        <v>3140</v>
      </c>
    </row>
    <row r="5" spans="2:13">
      <c r="B5" s="1235">
        <v>0</v>
      </c>
      <c r="C5" s="1236"/>
      <c r="D5" s="811" t="s">
        <v>246</v>
      </c>
      <c r="F5" s="416" t="str">
        <f>Buget_detaliat!C6</f>
        <v>Obiectiv_abr</v>
      </c>
      <c r="G5" s="416">
        <v>0</v>
      </c>
      <c r="L5" s="811" t="s">
        <v>248</v>
      </c>
      <c r="M5" s="1238" t="s">
        <v>3142</v>
      </c>
    </row>
    <row r="6" spans="2:13">
      <c r="B6" s="1235">
        <v>0</v>
      </c>
      <c r="C6" s="1236"/>
      <c r="D6" s="811" t="s">
        <v>247</v>
      </c>
      <c r="F6" s="738" t="str">
        <f>Buget_detaliat!D6</f>
        <v xml:space="preserve">Direcții de acțiuni </v>
      </c>
      <c r="G6" s="416">
        <v>1</v>
      </c>
      <c r="L6" s="811" t="s">
        <v>252</v>
      </c>
      <c r="M6" s="1238" t="s">
        <v>3143</v>
      </c>
    </row>
    <row r="7" spans="2:13">
      <c r="B7" s="1235">
        <v>0</v>
      </c>
      <c r="C7" s="1236"/>
      <c r="D7" s="811" t="s">
        <v>248</v>
      </c>
      <c r="F7" s="416" t="str">
        <f>Buget_detaliat!E6</f>
        <v>Intervenții</v>
      </c>
      <c r="G7" s="416">
        <v>2</v>
      </c>
      <c r="L7" s="811" t="s">
        <v>2247</v>
      </c>
      <c r="M7" s="1238" t="s">
        <v>3144</v>
      </c>
    </row>
    <row r="8" spans="2:13">
      <c r="B8" s="1235">
        <v>0</v>
      </c>
      <c r="C8" s="1236"/>
      <c r="D8" s="811" t="s">
        <v>252</v>
      </c>
      <c r="F8" s="416"/>
      <c r="G8" s="416"/>
      <c r="L8" s="811" t="s">
        <v>2297</v>
      </c>
      <c r="M8" s="1238" t="s">
        <v>3145</v>
      </c>
    </row>
    <row r="9" spans="2:13">
      <c r="B9" s="1235">
        <v>0</v>
      </c>
      <c r="C9" s="1236"/>
      <c r="D9" s="811" t="s">
        <v>2247</v>
      </c>
      <c r="L9" s="811" t="s">
        <v>3079</v>
      </c>
      <c r="M9" s="1238" t="s">
        <v>3146</v>
      </c>
    </row>
    <row r="10" spans="2:13">
      <c r="B10" s="1235">
        <v>0</v>
      </c>
      <c r="C10" s="1236"/>
      <c r="D10" s="811" t="s">
        <v>2297</v>
      </c>
    </row>
    <row r="11" spans="2:13">
      <c r="B11" s="1235">
        <v>0</v>
      </c>
      <c r="C11" s="1236"/>
      <c r="D11" s="811" t="s">
        <v>3079</v>
      </c>
      <c r="L11" s="811" t="s">
        <v>1831</v>
      </c>
      <c r="M11" s="416" t="s">
        <v>1832</v>
      </c>
    </row>
    <row r="12" spans="2:13" ht="16">
      <c r="B12" s="1235">
        <v>1</v>
      </c>
      <c r="C12" s="1236" t="str">
        <f>L12</f>
        <v>1.</v>
      </c>
      <c r="D12" s="1236" t="str">
        <f>M12</f>
        <v>1.1.  Depistarea activă a TB în grupurile cu risc și vigilență sporită pentru TB</v>
      </c>
      <c r="F12" t="s">
        <v>2228</v>
      </c>
      <c r="G12" s="958" t="s">
        <v>1795</v>
      </c>
      <c r="H12" s="958">
        <f>COUNTIF(B:B,G5)</f>
        <v>7</v>
      </c>
      <c r="I12" s="958"/>
      <c r="L12" s="811" t="str">
        <f>LEFT(M12,2)</f>
        <v>1.</v>
      </c>
      <c r="M12" s="439" t="s">
        <v>389</v>
      </c>
    </row>
    <row r="13" spans="2:13" ht="32">
      <c r="B13" s="1235">
        <v>1</v>
      </c>
      <c r="C13" s="1236" t="str">
        <f t="shared" ref="C13:C32" si="0">L13</f>
        <v>2.</v>
      </c>
      <c r="D13" s="1236" t="str">
        <f t="shared" ref="D13:D32" si="1">M13</f>
        <v xml:space="preserve">2.1.  Asigurarea depistării TB prin aplicarea constantă și extinderea metodelor microbiologice rapide de diagnostic </v>
      </c>
      <c r="G13" s="958" t="s">
        <v>336</v>
      </c>
      <c r="H13" s="958">
        <f>COUNTIF(B:B,G6)</f>
        <v>21</v>
      </c>
      <c r="I13" s="958"/>
      <c r="L13" s="811" t="str">
        <f t="shared" ref="L13:L32" si="2">LEFT(M13,2)</f>
        <v>2.</v>
      </c>
      <c r="M13" s="439" t="s">
        <v>1849</v>
      </c>
    </row>
    <row r="14" spans="2:13" ht="48">
      <c r="B14" s="1235">
        <v>1</v>
      </c>
      <c r="C14" s="1236" t="str">
        <f t="shared" si="0"/>
        <v>2.</v>
      </c>
      <c r="D14" s="1236" t="str">
        <f t="shared" si="1"/>
        <v>2.2.  Fortificarea rețelei de laborator prin asigurarea controlului calității și biosecurității în conformitate cu standardele naționale și internaționale în cadrul rețelei naționale de laboratoare implicate în diagnosticul microbiologic al TB</v>
      </c>
      <c r="G14" s="958" t="s">
        <v>337</v>
      </c>
      <c r="H14" s="958">
        <f>COUNTIF(B:B,G7)</f>
        <v>90</v>
      </c>
      <c r="I14" s="958"/>
      <c r="L14" s="811" t="str">
        <f t="shared" si="2"/>
        <v>2.</v>
      </c>
      <c r="M14" s="439" t="s">
        <v>2220</v>
      </c>
    </row>
    <row r="15" spans="2:13" ht="32">
      <c r="B15" s="1235">
        <v>1</v>
      </c>
      <c r="C15" s="1236" t="str">
        <f t="shared" si="0"/>
        <v>2.</v>
      </c>
      <c r="D15" s="1236" t="str">
        <f t="shared" si="1"/>
        <v>2.3.  Asigurarea monitorizării tratamentului pacienților cu TB și TB MDR cu supravegherea rezistenței M. tuberculosis către medicamente</v>
      </c>
      <c r="L15" s="811" t="str">
        <f t="shared" si="2"/>
        <v>2.</v>
      </c>
      <c r="M15" s="439" t="s">
        <v>3141</v>
      </c>
    </row>
    <row r="16" spans="2:13" ht="16">
      <c r="B16" s="1235">
        <v>1</v>
      </c>
      <c r="C16" s="1236" t="str">
        <f t="shared" si="0"/>
        <v>3.</v>
      </c>
      <c r="D16" s="1236" t="str">
        <f t="shared" si="1"/>
        <v>3.1.  Asigurarea continuă cu medicamente TB</v>
      </c>
      <c r="L16" s="811" t="str">
        <f t="shared" si="2"/>
        <v>3.</v>
      </c>
      <c r="M16" s="439" t="s">
        <v>1850</v>
      </c>
    </row>
    <row r="17" spans="2:13" ht="32">
      <c r="B17" s="1235">
        <v>1</v>
      </c>
      <c r="C17" s="1236" t="str">
        <f t="shared" si="0"/>
        <v>3.</v>
      </c>
      <c r="D17" s="1236" t="str">
        <f t="shared" si="1"/>
        <v>3.2.  Asigurarea monitorizării tratamentului, managementului și prevenirii reacțiilor adverse la medicamente TB</v>
      </c>
      <c r="L17" s="811" t="str">
        <f t="shared" si="2"/>
        <v>3.</v>
      </c>
      <c r="M17" s="439" t="s">
        <v>1851</v>
      </c>
    </row>
    <row r="18" spans="2:13" ht="32">
      <c r="B18" s="1235">
        <v>1</v>
      </c>
      <c r="C18" s="1236" t="str">
        <f t="shared" si="0"/>
        <v>3.</v>
      </c>
      <c r="D18" s="1236" t="str">
        <f t="shared" si="1"/>
        <v>3.3.  Asigurarea aderenței la tratament, inclusiv prin utilizarea metodelor inovative, centrate pe persoană</v>
      </c>
      <c r="L18" s="811" t="str">
        <f t="shared" si="2"/>
        <v>3.</v>
      </c>
      <c r="M18" s="439" t="s">
        <v>339</v>
      </c>
    </row>
    <row r="19" spans="2:13" ht="16">
      <c r="B19" s="1235">
        <v>1</v>
      </c>
      <c r="C19" s="1236" t="str">
        <f t="shared" si="0"/>
        <v>4.</v>
      </c>
      <c r="D19" s="1236" t="str">
        <f t="shared" si="1"/>
        <v>4.1.  Consolidarea capacităților pentru realizarea unui control eficient al co-infecţiei TB/HIV</v>
      </c>
      <c r="L19" s="811" t="str">
        <f t="shared" si="2"/>
        <v>4.</v>
      </c>
      <c r="M19" s="439" t="s">
        <v>340</v>
      </c>
    </row>
    <row r="20" spans="2:13" ht="16">
      <c r="B20" s="1235">
        <v>1</v>
      </c>
      <c r="C20" s="1236" t="str">
        <f t="shared" si="0"/>
        <v>4.</v>
      </c>
      <c r="D20" s="1236" t="str">
        <f t="shared" si="1"/>
        <v>4.2.  Consolidarea acțiunilor colaborative în controlul TB cu alte programe naționale</v>
      </c>
      <c r="L20" s="811" t="str">
        <f t="shared" si="2"/>
        <v>4.</v>
      </c>
      <c r="M20" s="439" t="s">
        <v>390</v>
      </c>
    </row>
    <row r="21" spans="2:13" ht="16">
      <c r="B21" s="1235">
        <v>1</v>
      </c>
      <c r="C21" s="1236" t="str">
        <f t="shared" si="0"/>
        <v>5.</v>
      </c>
      <c r="D21" s="1236" t="str">
        <f t="shared" si="1"/>
        <v>5.1.  Asigurarea măsurilor de profilaxie specifică</v>
      </c>
      <c r="L21" s="811" t="str">
        <f t="shared" si="2"/>
        <v>5.</v>
      </c>
      <c r="M21" s="439" t="s">
        <v>341</v>
      </c>
    </row>
    <row r="22" spans="2:13" ht="32">
      <c r="B22" s="1235">
        <v>1</v>
      </c>
      <c r="C22" s="1236" t="str">
        <f t="shared" si="0"/>
        <v>5.</v>
      </c>
      <c r="D22" s="1236" t="str">
        <f t="shared" si="1"/>
        <v>5.2.  Asigurarea informării privind respectarea măsurilor de control al infecției  pentru reducerea riscului de transmitere a TB în societate</v>
      </c>
      <c r="L22" s="811" t="str">
        <f t="shared" si="2"/>
        <v>5.</v>
      </c>
      <c r="M22" s="439" t="s">
        <v>1852</v>
      </c>
    </row>
    <row r="23" spans="2:13" ht="16">
      <c r="B23" s="1235">
        <v>1</v>
      </c>
      <c r="C23" s="1236" t="str">
        <f t="shared" si="0"/>
        <v>5.</v>
      </c>
      <c r="D23" s="1236" t="str">
        <f t="shared" si="1"/>
        <v>5.3.  Asigurarea controlului infecției în IMSP și alte AP cu rețele sanitare proprii</v>
      </c>
      <c r="L23" s="811" t="str">
        <f t="shared" si="2"/>
        <v>5.</v>
      </c>
      <c r="M23" s="439" t="s">
        <v>391</v>
      </c>
    </row>
    <row r="24" spans="2:13" ht="16">
      <c r="B24" s="1235">
        <v>1</v>
      </c>
      <c r="C24" s="1236" t="str">
        <f t="shared" si="0"/>
        <v>6.</v>
      </c>
      <c r="D24" s="1236" t="str">
        <f t="shared" si="1"/>
        <v>6.1.  Consolidarea capacităților pentru managementul eficient al PNCT</v>
      </c>
      <c r="L24" s="811" t="str">
        <f t="shared" si="2"/>
        <v>6.</v>
      </c>
      <c r="M24" s="439" t="s">
        <v>392</v>
      </c>
    </row>
    <row r="25" spans="2:13" ht="32">
      <c r="B25" s="1235">
        <v>1</v>
      </c>
      <c r="C25" s="1236" t="str">
        <f t="shared" si="0"/>
        <v>6.</v>
      </c>
      <c r="D25" s="1236" t="str">
        <f t="shared" si="1"/>
        <v>6.2.  Consolidarea sistemelor de sănătate prin mecanisme de finanțare bine aliniate pentru TB</v>
      </c>
      <c r="L25" s="811" t="str">
        <f t="shared" si="2"/>
        <v>6.</v>
      </c>
      <c r="M25" s="439" t="s">
        <v>1853</v>
      </c>
    </row>
    <row r="26" spans="2:13" ht="16">
      <c r="B26" s="1235">
        <v>1</v>
      </c>
      <c r="C26" s="1236" t="str">
        <f t="shared" si="0"/>
        <v>6.</v>
      </c>
      <c r="D26" s="1236" t="str">
        <f t="shared" si="1"/>
        <v>6.3.  Consolidarea capacităților resurselor umane implicate în controlul TB</v>
      </c>
      <c r="L26" s="811" t="str">
        <f t="shared" si="2"/>
        <v>6.</v>
      </c>
      <c r="M26" s="439" t="s">
        <v>342</v>
      </c>
    </row>
    <row r="27" spans="2:13" ht="48">
      <c r="B27" s="1235">
        <v>1</v>
      </c>
      <c r="C27" s="1236" t="str">
        <f t="shared" si="0"/>
        <v>6.</v>
      </c>
      <c r="D27" s="1236" t="str">
        <f t="shared" si="1"/>
        <v>6.4.  Elaborarea actelor normative pentru supravegherea bazată pe date individuale,  îmbunătățind calitatea înregistrării actelor de stare civilă, calitatea și utilizarea rațională a medicamentelor și farmacovigilența</v>
      </c>
      <c r="L27" s="811" t="str">
        <f t="shared" si="2"/>
        <v>6.</v>
      </c>
      <c r="M27" s="439" t="s">
        <v>343</v>
      </c>
    </row>
    <row r="28" spans="2:13" ht="32">
      <c r="B28" s="1235">
        <v>1</v>
      </c>
      <c r="C28" s="1236" t="str">
        <f t="shared" si="0"/>
        <v>6.</v>
      </c>
      <c r="D28" s="1236" t="str">
        <f t="shared" si="1"/>
        <v>6.5.  Fortificarea implicării comunității și OSC în controlul TB prin abordare centrată pe persoană</v>
      </c>
      <c r="L28" s="811" t="str">
        <f t="shared" si="2"/>
        <v>6.</v>
      </c>
      <c r="M28" s="439" t="s">
        <v>393</v>
      </c>
    </row>
    <row r="29" spans="2:13" ht="32">
      <c r="B29" s="1235">
        <v>1</v>
      </c>
      <c r="C29" s="1236" t="str">
        <f t="shared" si="0"/>
        <v>6.</v>
      </c>
      <c r="D29" s="1236" t="str">
        <f t="shared" si="1"/>
        <v xml:space="preserve">6.6.  Protecția socială, reducerea sărăciei și acțiuni asupra altor factori determinanți ai TB, inclusiv printre migranți si deținuți </v>
      </c>
      <c r="L29" s="811" t="str">
        <f t="shared" si="2"/>
        <v>6.</v>
      </c>
      <c r="M29" s="439" t="s">
        <v>1854</v>
      </c>
    </row>
    <row r="30" spans="2:13" ht="32">
      <c r="B30" s="1235">
        <v>1</v>
      </c>
      <c r="C30" s="1236" t="str">
        <f t="shared" si="0"/>
        <v>6.</v>
      </c>
      <c r="D30" s="1236" t="str">
        <f t="shared" si="1"/>
        <v>6.7.  Realizarea Strategiei de pledoarie, comunicare și mobilizare socială în controlul TB, inclusiv prin reducerea stigmei și discriminării, cu alocarea resurselor necesare</v>
      </c>
      <c r="L30" s="811" t="str">
        <f t="shared" si="2"/>
        <v>6.</v>
      </c>
      <c r="M30" s="439" t="s">
        <v>394</v>
      </c>
    </row>
    <row r="31" spans="2:13" ht="16">
      <c r="B31" s="1235">
        <v>1</v>
      </c>
      <c r="C31" s="1236" t="str">
        <f t="shared" si="0"/>
        <v>7.</v>
      </c>
      <c r="D31" s="1236" t="str">
        <f t="shared" si="1"/>
        <v>7.1.  Efectuarea cercetărilor științifice aplicative</v>
      </c>
      <c r="L31" s="811" t="str">
        <f t="shared" si="2"/>
        <v>7.</v>
      </c>
      <c r="M31" s="439" t="s">
        <v>1855</v>
      </c>
    </row>
    <row r="32" spans="2:13" ht="16">
      <c r="B32" s="1235">
        <v>1</v>
      </c>
      <c r="C32" s="1236" t="str">
        <f t="shared" si="0"/>
        <v>7.</v>
      </c>
      <c r="D32" s="1236" t="str">
        <f t="shared" si="1"/>
        <v>7.2.  Realizarea studiilor operaționale</v>
      </c>
      <c r="L32" s="811" t="str">
        <f t="shared" si="2"/>
        <v>7.</v>
      </c>
      <c r="M32" s="439" t="s">
        <v>1856</v>
      </c>
    </row>
    <row r="33" spans="1:12" ht="16">
      <c r="A33">
        <v>1</v>
      </c>
      <c r="B33" s="1235">
        <v>2</v>
      </c>
      <c r="C33" s="1236" t="str">
        <f>VLOOKUP(A33,Nom_activ_2!E:H,3,0)</f>
        <v>1.1.  Depistarea activă a TB în grupurile cu risc și vigilență sporită pentru TB</v>
      </c>
      <c r="D33" s="1236" t="str">
        <f>VLOOKUP(A33,Nom_activ_2!E:H,4,0)</f>
        <v xml:space="preserve">1.1.1. Asigurarea examinării persoanelor din grupurile cu risc sporit TB </v>
      </c>
      <c r="L33"/>
    </row>
    <row r="34" spans="1:12" ht="16">
      <c r="A34">
        <v>2</v>
      </c>
      <c r="B34" s="1235">
        <v>2</v>
      </c>
      <c r="C34" s="1236" t="str">
        <f>VLOOKUP(A34,Nom_activ_2!E:H,3,0)</f>
        <v>1.1.  Depistarea activă a TB în grupurile cu risc și vigilență sporită pentru TB</v>
      </c>
      <c r="D34" s="1236" t="str">
        <f>VLOOKUP(A34,Nom_activ_2!E:H,4,0)</f>
        <v xml:space="preserve">1.1.2. Asigurarea examinării persoanelor din contact cu bolnavii TB </v>
      </c>
      <c r="L34"/>
    </row>
    <row r="35" spans="1:12" ht="16">
      <c r="A35">
        <v>3</v>
      </c>
      <c r="B35" s="1235">
        <v>2</v>
      </c>
      <c r="C35" s="1236" t="str">
        <f>VLOOKUP(A35,Nom_activ_2!E:H,3,0)</f>
        <v>1.1.  Depistarea activă a TB în grupurile cu risc și vigilență sporită pentru TB</v>
      </c>
      <c r="D35" s="1236" t="str">
        <f>VLOOKUP(A35,Nom_activ_2!E:H,4,0)</f>
        <v xml:space="preserve">1.1.3. Asigurarea examinării persoanelor din grupurile cu vigilență sporită pentru TB </v>
      </c>
      <c r="L35"/>
    </row>
    <row r="36" spans="1:12" ht="48">
      <c r="A36">
        <v>4</v>
      </c>
      <c r="B36" s="1235">
        <v>2</v>
      </c>
      <c r="C36" s="1236" t="str">
        <f>VLOOKUP(A36,Nom_activ_2!E:H,3,0)</f>
        <v>1.1.  Depistarea activă a TB în grupurile cu risc și vigilență sporită pentru TB</v>
      </c>
      <c r="D36" s="1236" t="str">
        <f>VLOOKUP(A36,Nom_activ_2!E:H,4,0)</f>
        <v>1.1.4. Asigurarea examinării persoanelor din grupurile cu risc și vigilență sporită pentru TB în localități, utilizând instalațiile radiologice mobile cu introducerea inteligenței artificiale medicale</v>
      </c>
      <c r="L36"/>
    </row>
    <row r="37" spans="1:12" ht="48">
      <c r="A37">
        <v>5</v>
      </c>
      <c r="B37" s="1235">
        <v>2</v>
      </c>
      <c r="C37" s="1236" t="str">
        <f>VLOOKUP(A37,Nom_activ_2!E:H,3,0)</f>
        <v>1.1.  Depistarea activă a TB în grupurile cu risc și vigilență sporită pentru TB</v>
      </c>
      <c r="D37" s="1236" t="str">
        <f>VLOOKUP(A37,Nom_activ_2!E:H,4,0)</f>
        <v>1.1.5. Asigurarea depistării persoanelor din populațiile-cheie - PTHIV, PAFA, consumatori de droguri și alte grupuri vulnerabile, cu acces redus la AMP, cu suportul OSC la nivel de comunitate</v>
      </c>
      <c r="L37"/>
    </row>
    <row r="38" spans="1:12" ht="32">
      <c r="A38">
        <v>6</v>
      </c>
      <c r="B38" s="1235">
        <v>2</v>
      </c>
      <c r="C38" s="1236" t="str">
        <f>VLOOKUP(A38,Nom_activ_2!E:H,3,0)</f>
        <v xml:space="preserve">2.1.  Asigurarea depistării TB prin aplicarea constantă și extinderea metodelor microbiologice rapide de diagnostic </v>
      </c>
      <c r="D38" s="1236" t="str">
        <f>VLOOKUP(A38,Nom_activ_2!E:H,4,0)</f>
        <v>2.1.1. Aplicarea metodelor molecular genetice pentru diagnosticul rapid al TB și RR/MDR TB</v>
      </c>
    </row>
    <row r="39" spans="1:12" ht="48">
      <c r="A39">
        <v>7</v>
      </c>
      <c r="B39" s="1235">
        <v>2</v>
      </c>
      <c r="C39" s="1236" t="str">
        <f>VLOOKUP(A39,Nom_activ_2!E:H,3,0)</f>
        <v>2.2.  Fortificarea rețelei de laborator prin asigurarea controlului calității și biosecurității în conformitate cu standardele naționale și internaționale în cadrul rețelei naționale de laboratoare implicate în diagnosticul microbiologic al TB</v>
      </c>
      <c r="D39" s="1236" t="str">
        <f>VLOOKUP(A39,Nom_activ_2!E:H,4,0)</f>
        <v xml:space="preserve">2.2.1. Realizarea managementului calității în cadrul rețelei de laboratoare implicate în diagnosticul microbiologic al TB </v>
      </c>
    </row>
    <row r="40" spans="1:12" ht="48">
      <c r="A40">
        <v>8</v>
      </c>
      <c r="B40" s="1235">
        <v>2</v>
      </c>
      <c r="C40" s="1236" t="str">
        <f>VLOOKUP(A40,Nom_activ_2!E:H,3,0)</f>
        <v>2.2.  Fortificarea rețelei de laborator prin asigurarea controlului calității și biosecurității în conformitate cu standardele naționale și internaționale în cadrul rețelei naționale de laboratoare implicate în diagnosticul microbiologic al TB</v>
      </c>
      <c r="D40" s="1236" t="str">
        <f>VLOOKUP(A40,Nom_activ_2!E:H,4,0)</f>
        <v>2.2.2. Participarea în Controlul Calității Extern (CCE) al Laboratorului Național și Laboratoarelor de Referință în microbiologia TB</v>
      </c>
    </row>
    <row r="41" spans="1:12" ht="48">
      <c r="A41">
        <v>9</v>
      </c>
      <c r="B41" s="1235">
        <v>2</v>
      </c>
      <c r="C41" s="1236" t="str">
        <f>VLOOKUP(A41,Nom_activ_2!E:H,3,0)</f>
        <v>2.2.  Fortificarea rețelei de laborator prin asigurarea controlului calității și biosecurității în conformitate cu standardele naționale și internaționale în cadrul rețelei naționale de laboratoare implicate în diagnosticul microbiologic al TB</v>
      </c>
      <c r="D41" s="1236" t="str">
        <f>VLOOKUP(A41,Nom_activ_2!E:H,4,0)</f>
        <v xml:space="preserve">2.2.3. Implementarea Standardelor de biosecuritate (BSC) în laboratoarele microbiologice TB </v>
      </c>
    </row>
    <row r="42" spans="1:12" ht="48">
      <c r="A42">
        <v>10</v>
      </c>
      <c r="B42" s="1235">
        <v>2</v>
      </c>
      <c r="C42" s="1236" t="str">
        <f>VLOOKUP(A42,Nom_activ_2!E:H,3,0)</f>
        <v>2.3.  Asigurarea monitorizării tratamentului pacienților cu TB și TB MDR cu supravegherea rezistenței M. tuberculosis către medicamente</v>
      </c>
      <c r="D42" s="1236" t="str">
        <f>VLOOKUP(A42,Nom_activ_2!E:H,4,0)</f>
        <v>2.3.1. Aplicarea metodelor fenotipice și genotipice de testare rezistenței a M.tuberculosis către preparatele și supravegherea rezistenței M.tuberculosis către medicamente la nivel național</v>
      </c>
    </row>
    <row r="43" spans="1:12" ht="48">
      <c r="A43">
        <v>11</v>
      </c>
      <c r="B43" s="1235">
        <v>2</v>
      </c>
      <c r="C43" s="1236" t="str">
        <f>VLOOKUP(A43,Nom_activ_2!E:H,3,0)</f>
        <v>2.3.  Asigurarea monitorizării tratamentului pacienților cu TB și TB MDR cu supravegherea rezistenței M. tuberculosis către medicamente</v>
      </c>
      <c r="D43" s="1236" t="str">
        <f>VLOOKUP(A43,Nom_activ_2!E:H,4,0)</f>
        <v>2.3.2. Implementarea metodelor fenotipice și genotipice de testare rezistenței a M.tuberculosis către preparatele noi (BQ, DLD), inclusiv prin  secvențiere a genomului micobacterian</v>
      </c>
    </row>
    <row r="44" spans="1:12" ht="32">
      <c r="A44">
        <v>12</v>
      </c>
      <c r="B44" s="1235">
        <v>2</v>
      </c>
      <c r="C44" s="1236" t="str">
        <f>VLOOKUP(A44,Nom_activ_2!E:H,3,0)</f>
        <v>2.3.  Asigurarea monitorizării tratamentului pacienților cu TB și TB MDR cu supravegherea rezistenței M. tuberculosis către medicamente</v>
      </c>
      <c r="D44" s="1236" t="str">
        <f>VLOOKUP(A44,Nom_activ_2!E:H,4,0)</f>
        <v>2.3.3. Menținerea și consolidarea sistemului de curierat pentru transportarea sputei către LR</v>
      </c>
    </row>
    <row r="45" spans="1:12" ht="43.25" customHeight="1">
      <c r="A45">
        <v>13</v>
      </c>
      <c r="B45" s="1235">
        <v>2</v>
      </c>
      <c r="C45" s="1236" t="str">
        <f>VLOOKUP(A45,Nom_activ_2!E:H,3,0)</f>
        <v>3.1.  Asigurarea continuă cu medicamente TB</v>
      </c>
      <c r="D45" s="1236" t="str">
        <f>VLOOKUP(A45,Nom_activ_2!E:H,4,0)</f>
        <v xml:space="preserve">3.1.1. Asigurarea continuă cu medicamente pentru tratamentul TB sensibile </v>
      </c>
    </row>
    <row r="46" spans="1:12" ht="16">
      <c r="A46">
        <v>14</v>
      </c>
      <c r="B46" s="1235">
        <v>2</v>
      </c>
      <c r="C46" s="1236" t="str">
        <f>VLOOKUP(A46,Nom_activ_2!E:H,3,0)</f>
        <v>3.1.  Asigurarea continuă cu medicamente TB</v>
      </c>
      <c r="D46" s="1236" t="str">
        <f>VLOOKUP(A46,Nom_activ_2!E:H,4,0)</f>
        <v xml:space="preserve">3.1.2. Asigurarea continuă cu medicamente pentru tratamentul TB RR/MDR/XDR </v>
      </c>
    </row>
    <row r="47" spans="1:12" ht="16">
      <c r="A47">
        <v>15</v>
      </c>
      <c r="B47" s="1235">
        <v>2</v>
      </c>
      <c r="C47" s="1236" t="str">
        <f>VLOOKUP(A47,Nom_activ_2!E:H,3,0)</f>
        <v>3.1.  Asigurarea continuă cu medicamente TB</v>
      </c>
      <c r="D47" s="1236" t="str">
        <f>VLOOKUP(A47,Nom_activ_2!E:H,4,0)</f>
        <v>3.1.3. Asigurarea continuă cu medicamente, forme pediatrice TB</v>
      </c>
    </row>
    <row r="48" spans="1:12" ht="16">
      <c r="A48">
        <v>16</v>
      </c>
      <c r="B48" s="1235">
        <v>2</v>
      </c>
      <c r="C48" s="1236" t="str">
        <f>VLOOKUP(A48,Nom_activ_2!E:H,3,0)</f>
        <v>3.1.  Asigurarea continuă cu medicamente TB</v>
      </c>
      <c r="D48" s="1236" t="str">
        <f>VLOOKUP(A48,Nom_activ_2!E:H,4,0)</f>
        <v>3.1.4. Asigurarea distribuirii medicamentelor TB în teritorii</v>
      </c>
    </row>
    <row r="49" spans="1:4" ht="48">
      <c r="A49">
        <v>17</v>
      </c>
      <c r="B49" s="1235">
        <v>2</v>
      </c>
      <c r="C49" s="1236" t="str">
        <f>VLOOKUP(A49,Nom_activ_2!E:H,3,0)</f>
        <v>3.1.  Asigurarea continuă cu medicamente TB</v>
      </c>
      <c r="D49" s="1236" t="str">
        <f>VLOOKUP(A49,Nom_activ_2!E:H,4,0)</f>
        <v>3.1.5. Trecerea la noile regimuri de tratament per orale scurte modificate (mSTR)  cu asigurarea condițiilor pentru cercetare operațională urmată de o tranziție la practica de rutină</v>
      </c>
    </row>
    <row r="50" spans="1:4" ht="32">
      <c r="A50">
        <v>18</v>
      </c>
      <c r="B50" s="1235">
        <v>2</v>
      </c>
      <c r="C50" s="1236" t="str">
        <f>VLOOKUP(A50,Nom_activ_2!E:H,3,0)</f>
        <v>3.2.  Asigurarea monitorizării tratamentului, managementului și prevenirii reacțiilor adverse la medicamente TB</v>
      </c>
      <c r="D50" s="1236" t="str">
        <f>VLOOKUP(A50,Nom_activ_2!E:H,4,0)</f>
        <v>3.2.1. Elaborarea mecanismului de asigurarea accesului la medicamente pentru prevenirea și tratamentul reacțiilor adverse la preparatele TB</v>
      </c>
    </row>
    <row r="51" spans="1:4" ht="32">
      <c r="A51">
        <v>19</v>
      </c>
      <c r="B51" s="1235">
        <v>2</v>
      </c>
      <c r="C51" s="1236" t="str">
        <f>VLOOKUP(A51,Nom_activ_2!E:H,3,0)</f>
        <v>3.2.  Asigurarea monitorizării tratamentului, managementului și prevenirii reacțiilor adverse la medicamente TB</v>
      </c>
      <c r="D51" s="1236" t="str">
        <f>VLOOKUP(A51,Nom_activ_2!E:H,4,0)</f>
        <v>3.2.2. Asigurarea actualizării Regulamentului privind managementul medicamentelor TB și sistemului de farmacovigilență în tratamentul pacienților cu TB</v>
      </c>
    </row>
    <row r="52" spans="1:4" ht="32">
      <c r="A52">
        <v>20</v>
      </c>
      <c r="B52" s="1235">
        <v>2</v>
      </c>
      <c r="C52" s="1236" t="str">
        <f>VLOOKUP(A52,Nom_activ_2!E:H,3,0)</f>
        <v>3.2.  Asigurarea monitorizării tratamentului, managementului și prevenirii reacțiilor adverse la medicamente TB</v>
      </c>
      <c r="D52" s="1236" t="str">
        <f>VLOOKUP(A52,Nom_activ_2!E:H,4,0)</f>
        <v xml:space="preserve">3.2.3. Asigurarea farmacovigilenței active cu elaborarea și implementarea PSO pentru aDSM </v>
      </c>
    </row>
    <row r="53" spans="1:4" ht="48">
      <c r="A53">
        <v>21</v>
      </c>
      <c r="B53" s="1235">
        <v>2</v>
      </c>
      <c r="C53" s="1236" t="str">
        <f>VLOOKUP(A53,Nom_activ_2!E:H,3,0)</f>
        <v>3.3.  Asigurarea aderenței la tratament, inclusiv prin utilizarea metodelor inovative, centrate pe persoană</v>
      </c>
      <c r="D53" s="1236" t="str">
        <f>VLOOKUP(A53,Nom_activ_2!E:H,4,0)</f>
        <v>3.3.1. Asigurarea abordării multidisciplinare, inclusiv evaluarea necesitaților si gestionarea cazului pentru fiecare persoana afectata de TB si a familiei si acordarea suportului psihosocial pentru asigurarea aderenței la tratament.</v>
      </c>
    </row>
    <row r="54" spans="1:4" ht="32">
      <c r="A54">
        <v>22</v>
      </c>
      <c r="B54" s="1235">
        <v>2</v>
      </c>
      <c r="C54" s="1236" t="str">
        <f>VLOOKUP(A54,Nom_activ_2!E:H,3,0)</f>
        <v>3.3.  Asigurarea aderenței la tratament, inclusiv prin utilizarea metodelor inovative, centrate pe persoană</v>
      </c>
      <c r="D54" s="1236" t="str">
        <f>VLOOKUP(A54,Nom_activ_2!E:H,4,0)</f>
        <v>3.3.2. Asigurarea suportului motivațional lunar (stimulente)</v>
      </c>
    </row>
    <row r="55" spans="1:4" ht="32">
      <c r="A55">
        <v>23</v>
      </c>
      <c r="B55" s="1235">
        <v>2</v>
      </c>
      <c r="C55" s="1236" t="str">
        <f>VLOOKUP(A55,Nom_activ_2!E:H,3,0)</f>
        <v>3.3.  Asigurarea aderenței la tratament, inclusiv prin utilizarea metodelor inovative, centrate pe persoană</v>
      </c>
      <c r="D55" s="1236" t="str">
        <f>VLOOKUP(A55,Nom_activ_2!E:H,4,0)</f>
        <v>3.3.3. Extinderea utilizării VOT la nivel național</v>
      </c>
    </row>
    <row r="56" spans="1:4" ht="32">
      <c r="A56">
        <v>24</v>
      </c>
      <c r="B56" s="1235">
        <v>2</v>
      </c>
      <c r="C56" s="1236" t="str">
        <f>VLOOKUP(A56,Nom_activ_2!E:H,3,0)</f>
        <v>3.3.  Asigurarea aderenței la tratament, inclusiv prin utilizarea metodelor inovative, centrate pe persoană</v>
      </c>
      <c r="D56" s="1236" t="str">
        <f>VLOOKUP(A56,Nom_activ_2!E:H,4,0)</f>
        <v>3.3.4. Asigurarea suportului de la egal la egal persoanelor cu TB de către prestatori  OSC</v>
      </c>
    </row>
    <row r="57" spans="1:4" ht="32">
      <c r="A57">
        <v>25</v>
      </c>
      <c r="B57" s="1235">
        <v>2</v>
      </c>
      <c r="C57" s="1236" t="str">
        <f>VLOOKUP(A57,Nom_activ_2!E:H,3,0)</f>
        <v>4.1.  Consolidarea capacităților pentru realizarea unui control eficient al co-infecţiei TB/HIV</v>
      </c>
      <c r="D57" s="1236" t="str">
        <f>VLOOKUP(A57,Nom_activ_2!E:H,4,0)</f>
        <v>4.1.1. Asigurarea unui mecanism  multisectorial de coordonare a PNCT cu celelalte ministere, instituții publice</v>
      </c>
    </row>
    <row r="58" spans="1:4" ht="32">
      <c r="A58">
        <v>26</v>
      </c>
      <c r="B58" s="1235">
        <v>2</v>
      </c>
      <c r="C58" s="1236" t="str">
        <f>VLOOKUP(A58,Nom_activ_2!E:H,3,0)</f>
        <v>4.1.  Consolidarea capacităților pentru realizarea unui control eficient al co-infecţiei TB/HIV</v>
      </c>
      <c r="D58" s="1236" t="str">
        <f>VLOOKUP(A58,Nom_activ_2!E:H,4,0)</f>
        <v>4.1.2. Dezvoltarea parteneriatelor colaborative la nivel de comunități prin implicarea OSC și APL</v>
      </c>
    </row>
    <row r="59" spans="1:4" ht="32">
      <c r="A59">
        <v>27</v>
      </c>
      <c r="B59" s="1235">
        <v>2</v>
      </c>
      <c r="C59" s="1236" t="str">
        <f>VLOOKUP(A59,Nom_activ_2!E:H,3,0)</f>
        <v>4.1.  Consolidarea capacităților pentru realizarea unui control eficient al co-infecţiei TB/HIV</v>
      </c>
      <c r="D59" s="1236" t="str">
        <f>VLOOKUP(A59,Nom_activ_2!E:H,4,0)</f>
        <v>4.1.3. Asigurarea screening-ului la TB activă și infecția TB latentă printre persoanele care trăiesc cu HIV</v>
      </c>
    </row>
    <row r="60" spans="1:4" ht="32">
      <c r="A60">
        <v>28</v>
      </c>
      <c r="B60" s="1235">
        <v>2</v>
      </c>
      <c r="C60" s="1236" t="str">
        <f>VLOOKUP(A60,Nom_activ_2!E:H,3,0)</f>
        <v>4.1.  Consolidarea capacităților pentru realizarea unui control eficient al co-infecţiei TB/HIV</v>
      </c>
      <c r="D60" s="1236" t="str">
        <f>VLOOKUP(A60,Nom_activ_2!E:H,4,0)</f>
        <v>4.1.4. Asigurarea diagnosticului TB, inclusiv prin metode rapide, în rândul persoanelor care trăiesc cu HIV</v>
      </c>
    </row>
    <row r="61" spans="1:4" ht="32">
      <c r="A61">
        <v>29</v>
      </c>
      <c r="B61" s="1235">
        <v>2</v>
      </c>
      <c r="C61" s="1236" t="str">
        <f>VLOOKUP(A61,Nom_activ_2!E:H,3,0)</f>
        <v>4.1.  Consolidarea capacităților pentru realizarea unui control eficient al co-infecţiei TB/HIV</v>
      </c>
      <c r="D61" s="1236" t="str">
        <f>VLOOKUP(A61,Nom_activ_2!E:H,4,0)</f>
        <v>4.1.5. Asigurarea diagnosticului HIV/SIDA printre pacienții cu TB</v>
      </c>
    </row>
    <row r="62" spans="1:4" ht="32">
      <c r="A62">
        <v>30</v>
      </c>
      <c r="B62" s="1235">
        <v>2</v>
      </c>
      <c r="C62" s="1236" t="str">
        <f>VLOOKUP(A62,Nom_activ_2!E:H,3,0)</f>
        <v>4.1.  Consolidarea capacităților pentru realizarea unui control eficient al co-infecţiei TB/HIV</v>
      </c>
      <c r="D62" s="1236" t="str">
        <f>VLOOKUP(A62,Nom_activ_2!E:H,4,0)</f>
        <v>4.1.6. Asigurarea tratamentului preventiv cu co-trimoxazol la pacienții cu TB/HIV</v>
      </c>
    </row>
    <row r="63" spans="1:4" ht="32">
      <c r="A63">
        <v>31</v>
      </c>
      <c r="B63" s="1235">
        <v>2</v>
      </c>
      <c r="C63" s="1236" t="str">
        <f>VLOOKUP(A63,Nom_activ_2!E:H,3,0)</f>
        <v>4.1.  Consolidarea capacităților pentru realizarea unui control eficient al co-infecţiei TB/HIV</v>
      </c>
      <c r="D63" s="1236" t="str">
        <f>VLOOKUP(A63,Nom_activ_2!E:H,4,0)</f>
        <v>4.1.7. Asigurarea tratamentului ARV la pacienții cu TB/HIV</v>
      </c>
    </row>
    <row r="64" spans="1:4" ht="32">
      <c r="A64">
        <v>32</v>
      </c>
      <c r="B64" s="1235">
        <v>2</v>
      </c>
      <c r="C64" s="1236" t="str">
        <f>VLOOKUP(A64,Nom_activ_2!E:H,3,0)</f>
        <v>4.1.  Consolidarea capacităților pentru realizarea unui control eficient al co-infecţiei TB/HIV</v>
      </c>
      <c r="D64" s="1236" t="str">
        <f>VLOOKUP(A64,Nom_activ_2!E:H,4,0)</f>
        <v>4.1.8. Asigurarea tratamentului TB la pacienții cu TB/HIV</v>
      </c>
    </row>
    <row r="65" spans="1:4" ht="32">
      <c r="A65">
        <v>33</v>
      </c>
      <c r="B65" s="1235">
        <v>2</v>
      </c>
      <c r="C65" s="1236" t="str">
        <f>VLOOKUP(A65,Nom_activ_2!E:H,3,0)</f>
        <v>4.2.  Consolidarea acțiunilor colaborative în controlul TB cu alte programe naționale</v>
      </c>
      <c r="D65" s="1236" t="str">
        <f>VLOOKUP(A65,Nom_activ_2!E:H,4,0)</f>
        <v>4.2.1. Elaborarea regulamentului de servicii integrate la nivel teritorial in corespundere cu necesitatile persoanei cu co-morbiditati.</v>
      </c>
    </row>
    <row r="66" spans="1:4" ht="48">
      <c r="A66">
        <v>34</v>
      </c>
      <c r="B66" s="1235">
        <v>2</v>
      </c>
      <c r="C66" s="1236" t="str">
        <f>VLOOKUP(A66,Nom_activ_2!E:H,3,0)</f>
        <v>4.2.  Consolidarea acțiunilor colaborative în controlul TB cu alte programe naționale</v>
      </c>
      <c r="D66" s="1236" t="str">
        <f>VLOOKUP(A66,Nom_activ_2!E:H,4,0)</f>
        <v>4.2.2. Fortificarea acțiunilor colaborative  pentru depistarea, diagnosticul, tratamentul și prevenirea TB în rândul persoanelor cu patologie combinată: TB_HV, TB_boală mintală, TB_DZ, etc., inclusiv în rândul grupurilor vulnerabile</v>
      </c>
    </row>
    <row r="67" spans="1:4" ht="32">
      <c r="A67">
        <v>35</v>
      </c>
      <c r="B67" s="1235">
        <v>2</v>
      </c>
      <c r="C67" s="1236" t="str">
        <f>VLOOKUP(A67,Nom_activ_2!E:H,3,0)</f>
        <v>4.2.  Consolidarea acțiunilor colaborative în controlul TB cu alte programe naționale</v>
      </c>
      <c r="D67" s="1236" t="str">
        <f>VLOOKUP(A67,Nom_activ_2!E:H,4,0)</f>
        <v>4.2.3. Asigurarea platformelor de servicii integrate de prevenire si suport pentru persoanele afectate de TB cu alte co-morbiditați la nivel de OSC și comunitar</v>
      </c>
    </row>
    <row r="68" spans="1:4" ht="16">
      <c r="A68">
        <v>36</v>
      </c>
      <c r="B68" s="1235">
        <v>2</v>
      </c>
      <c r="C68" s="1236" t="str">
        <f>VLOOKUP(A68,Nom_activ_2!E:H,3,0)</f>
        <v>5.1.  Asigurarea măsurilor de profilaxie specifică</v>
      </c>
      <c r="D68" s="1236" t="str">
        <f>VLOOKUP(A68,Nom_activ_2!E:H,4,0)</f>
        <v>5.1.1. Asigurarea vaccinării Bacillus Calmette-Guérin în conformitate cu PNI</v>
      </c>
    </row>
    <row r="69" spans="1:4" ht="32">
      <c r="A69">
        <v>37</v>
      </c>
      <c r="B69" s="1235">
        <v>2</v>
      </c>
      <c r="C69" s="1236" t="str">
        <f>VLOOKUP(A69,Nom_activ_2!E:H,3,0)</f>
        <v>5.1.  Asigurarea măsurilor de profilaxie specifică</v>
      </c>
      <c r="D69" s="1236" t="str">
        <f>VLOOKUP(A69,Nom_activ_2!E:H,4,0)</f>
        <v>5.1.2. Actualizarea PCN privind diagnosticul și tratamentul ITBL, în conformitate cu recomandările OMS</v>
      </c>
    </row>
    <row r="70" spans="1:4" ht="32">
      <c r="A70">
        <v>38</v>
      </c>
      <c r="B70" s="1235">
        <v>2</v>
      </c>
      <c r="C70" s="1236" t="str">
        <f>VLOOKUP(A70,Nom_activ_2!E:H,3,0)</f>
        <v>5.1.  Asigurarea măsurilor de profilaxie specifică</v>
      </c>
      <c r="D70" s="1236" t="str">
        <f>VLOOKUP(A70,Nom_activ_2!E:H,4,0)</f>
        <v>5.1.3. Asigurarea examinării privind diagnosticul ITBL utilizând testul cutanat cu tuberculină</v>
      </c>
    </row>
    <row r="71" spans="1:4" ht="16">
      <c r="A71">
        <v>39</v>
      </c>
      <c r="B71" s="1235">
        <v>2</v>
      </c>
      <c r="C71" s="1236" t="str">
        <f>VLOOKUP(A71,Nom_activ_2!E:H,3,0)</f>
        <v>5.1.  Asigurarea măsurilor de profilaxie specifică</v>
      </c>
      <c r="D71" s="1236" t="str">
        <f>VLOOKUP(A71,Nom_activ_2!E:H,4,0)</f>
        <v>5.1.4. Asigurarea examinării privind diagnosticul ITBL utilizând IGRA</v>
      </c>
    </row>
    <row r="72" spans="1:4" ht="16">
      <c r="A72">
        <v>40</v>
      </c>
      <c r="B72" s="1235">
        <v>2</v>
      </c>
      <c r="C72" s="1236" t="str">
        <f>VLOOKUP(A72,Nom_activ_2!E:H,3,0)</f>
        <v>5.1.  Asigurarea măsurilor de profilaxie specifică</v>
      </c>
      <c r="D72" s="1236" t="str">
        <f>VLOOKUP(A72,Nom_activ_2!E:H,4,0)</f>
        <v>5.1.5. Asigurarea tratamentului profilactic TB în rândul persoanelor care trăiesc cu HIV</v>
      </c>
    </row>
    <row r="73" spans="1:4" ht="16">
      <c r="A73">
        <v>41</v>
      </c>
      <c r="B73" s="1235">
        <v>2</v>
      </c>
      <c r="C73" s="1236" t="str">
        <f>VLOOKUP(A73,Nom_activ_2!E:H,3,0)</f>
        <v>5.1.  Asigurarea măsurilor de profilaxie specifică</v>
      </c>
      <c r="D73" s="1236" t="str">
        <f>VLOOKUP(A73,Nom_activ_2!E:H,4,0)</f>
        <v>5.1.6. Realizarea tratamentului ITBL în rândul contacților</v>
      </c>
    </row>
    <row r="74" spans="1:4" ht="32">
      <c r="A74">
        <v>42</v>
      </c>
      <c r="B74" s="1235">
        <v>2</v>
      </c>
      <c r="C74" s="1236" t="str">
        <f>VLOOKUP(A74,Nom_activ_2!E:H,3,0)</f>
        <v>5.2.  Asigurarea informării privind respectarea măsurilor de control al infecției  pentru reducerea riscului de transmitere a TB în societate</v>
      </c>
      <c r="D74" s="1236" t="str">
        <f>VLOOKUP(A74,Nom_activ_2!E:H,4,0)</f>
        <v>5.2.1. Desfășurarea activităților de informare și schimbare a atitudinilor  și comportamentelor la nivel național si local</v>
      </c>
    </row>
    <row r="75" spans="1:4" ht="32">
      <c r="A75">
        <v>43</v>
      </c>
      <c r="B75" s="1235">
        <v>2</v>
      </c>
      <c r="C75" s="1236" t="str">
        <f>VLOOKUP(A75,Nom_activ_2!E:H,3,0)</f>
        <v>5.2.  Asigurarea informării privind respectarea măsurilor de control al infecției  pentru reducerea riscului de transmitere a TB în societate</v>
      </c>
      <c r="D75" s="1236" t="str">
        <f>VLOOKUP(A75,Nom_activ_2!E:H,4,0)</f>
        <v>5.2.2. Elaborarea și editarea materialelor educaționale și informative despre TB pentru grupurile cheie</v>
      </c>
    </row>
    <row r="76" spans="1:4" ht="32">
      <c r="A76">
        <v>44</v>
      </c>
      <c r="B76" s="1235">
        <v>2</v>
      </c>
      <c r="C76" s="1236" t="str">
        <f>VLOOKUP(A76,Nom_activ_2!E:H,3,0)</f>
        <v>5.2.  Asigurarea informării privind respectarea măsurilor de control al infecției  pentru reducerea riscului de transmitere a TB în societate</v>
      </c>
      <c r="D76" s="1236" t="str">
        <f>VLOOKUP(A76,Nom_activ_2!E:H,4,0)</f>
        <v>5.2.3. Realizarea intervențiilor pentru educare și informare (materiale IEC, intervenții mass media, etc.)</v>
      </c>
    </row>
    <row r="77" spans="1:4" ht="16">
      <c r="A77">
        <v>45</v>
      </c>
      <c r="B77" s="1235">
        <v>2</v>
      </c>
      <c r="C77" s="1236" t="str">
        <f>VLOOKUP(A77,Nom_activ_2!E:H,3,0)</f>
        <v>5.3.  Asigurarea controlului infecției în IMSP și alte AP cu rețele sanitare proprii</v>
      </c>
      <c r="D77" s="1236" t="str">
        <f>VLOOKUP(A77,Nom_activ_2!E:H,4,0)</f>
        <v>5.3.1. Implementarea și respectarea PN, PT și la nivel de IMSP în controlul infecției TB</v>
      </c>
    </row>
    <row r="78" spans="1:4" ht="32">
      <c r="A78">
        <v>46</v>
      </c>
      <c r="B78" s="1235">
        <v>2</v>
      </c>
      <c r="C78" s="1236" t="str">
        <f>VLOOKUP(A78,Nom_activ_2!E:H,3,0)</f>
        <v>6.1.  Consolidarea capacităților pentru managementul eficient al PNCT</v>
      </c>
      <c r="D78" s="1236" t="str">
        <f>VLOOKUP(A78,Nom_activ_2!E:H,4,0)</f>
        <v>6.1.1. Elaborarea PSO pentru Monitorizare si Evaluare PNCT de către Departamentul de coordonare PNCT, inclusiv cu implicarea OSC</v>
      </c>
    </row>
    <row r="79" spans="1:4" ht="32">
      <c r="A79">
        <v>47</v>
      </c>
      <c r="B79" s="1235">
        <v>2</v>
      </c>
      <c r="C79" s="1236" t="str">
        <f>VLOOKUP(A79,Nom_activ_2!E:H,3,0)</f>
        <v>6.1.  Consolidarea capacităților pentru managementul eficient al PNCT</v>
      </c>
      <c r="D79" s="1236" t="str">
        <f>VLOOKUP(A79,Nom_activ_2!E:H,4,0)</f>
        <v xml:space="preserve">6.1.2. Actualizarea, integrarea, menținerea și ajustarea continuă a sistemului informațional de colectare a datelor, inclusiv a sistemului informațional de M&amp;E </v>
      </c>
    </row>
    <row r="80" spans="1:4" ht="32">
      <c r="A80">
        <v>48</v>
      </c>
      <c r="B80" s="1235">
        <v>2</v>
      </c>
      <c r="C80" s="1236" t="str">
        <f>VLOOKUP(A80,Nom_activ_2!E:H,3,0)</f>
        <v>6.1.  Consolidarea capacităților pentru managementul eficient al PNCT</v>
      </c>
      <c r="D80" s="1236" t="str">
        <f>VLOOKUP(A80,Nom_activ_2!E:H,4,0)</f>
        <v>6.1.3. Asigurarea vizitelor complexe de M&amp;E, inclusiv și în cadrul OSC și alte autorități publice cu rețele sanitare proprii și private</v>
      </c>
    </row>
    <row r="81" spans="1:4" ht="16">
      <c r="A81">
        <v>49</v>
      </c>
      <c r="B81" s="1235">
        <v>2</v>
      </c>
      <c r="C81" s="1236" t="str">
        <f>VLOOKUP(A81,Nom_activ_2!E:H,3,0)</f>
        <v>6.1.  Consolidarea capacităților pentru managementul eficient al PNCT</v>
      </c>
      <c r="D81" s="1236" t="str">
        <f>VLOOKUP(A81,Nom_activ_2!E:H,4,0)</f>
        <v>6.1.4. Instruirea periodică a personalului din cadrul Unității de Coordonare a PNCT</v>
      </c>
    </row>
    <row r="82" spans="1:4" ht="32">
      <c r="A82">
        <v>50</v>
      </c>
      <c r="B82" s="1235">
        <v>2</v>
      </c>
      <c r="C82" s="1236" t="str">
        <f>VLOOKUP(A82,Nom_activ_2!E:H,3,0)</f>
        <v>6.2.  Consolidarea sistemelor de sănătate prin mecanisme de finanțare bine aliniate pentru TB</v>
      </c>
      <c r="D82" s="1236" t="str">
        <f>VLOOKUP(A82,Nom_activ_2!E:H,4,0)</f>
        <v xml:space="preserve">6.2.1. Optimizarea serviciului spitalicesc de profil ftiziopneumologic </v>
      </c>
    </row>
    <row r="83" spans="1:4" ht="32">
      <c r="A83">
        <v>51</v>
      </c>
      <c r="B83" s="1235">
        <v>2</v>
      </c>
      <c r="C83" s="1236" t="str">
        <f>VLOOKUP(A83,Nom_activ_2!E:H,3,0)</f>
        <v>6.2.  Consolidarea sistemelor de sănătate prin mecanisme de finanțare bine aliniate pentru TB</v>
      </c>
      <c r="D83" s="1236" t="str">
        <f>VLOOKUP(A83,Nom_activ_2!E:H,4,0)</f>
        <v>6.2.2. Fortificarea si extinderea rolului serviciului ftiziopneumologic teritorial in managementul clinic al cazurilor TB care nu necesită spitalizare</v>
      </c>
    </row>
    <row r="84" spans="1:4" ht="32">
      <c r="A84">
        <v>52</v>
      </c>
      <c r="B84" s="1235">
        <v>2</v>
      </c>
      <c r="C84" s="1236" t="str">
        <f>VLOOKUP(A84,Nom_activ_2!E:H,3,0)</f>
        <v>6.2.  Consolidarea sistemelor de sănătate prin mecanisme de finanțare bine aliniate pentru TB</v>
      </c>
      <c r="D84" s="1236" t="str">
        <f>VLOOKUP(A84,Nom_activ_2!E:H,4,0)</f>
        <v>6.2.3. Revizuirea mecanismelor de contractare a prestatorilor și modalităților de finanțare a serviciilor TB la fiecare nivel - AMP, AMSA, AMS.</v>
      </c>
    </row>
    <row r="85" spans="1:4" ht="32">
      <c r="A85">
        <v>53</v>
      </c>
      <c r="B85" s="1235">
        <v>2</v>
      </c>
      <c r="C85" s="1236" t="str">
        <f>VLOOKUP(A85,Nom_activ_2!E:H,3,0)</f>
        <v>6.2.  Consolidarea sistemelor de sănătate prin mecanisme de finanțare bine aliniate pentru TB</v>
      </c>
      <c r="D85" s="1236" t="str">
        <f>VLOOKUP(A85,Nom_activ_2!E:H,4,0)</f>
        <v>6.2.4. Asigurarea mentenanței staționarelor și subdiviziunilor de profil</v>
      </c>
    </row>
    <row r="86" spans="1:4" ht="32">
      <c r="A86">
        <v>54</v>
      </c>
      <c r="B86" s="1235">
        <v>2</v>
      </c>
      <c r="C86" s="1236" t="str">
        <f>VLOOKUP(A86,Nom_activ_2!E:H,3,0)</f>
        <v>6.2.  Consolidarea sistemelor de sănătate prin mecanisme de finanțare bine aliniate pentru TB</v>
      </c>
      <c r="D86" s="1236" t="str">
        <f>VLOOKUP(A86,Nom_activ_2!E:H,4,0)</f>
        <v xml:space="preserve">6.2.5. Asigurarea mentenanței echipamentelor din cadrul staționarelor și subdiviziunilor de profil </v>
      </c>
    </row>
    <row r="87" spans="1:4" ht="32">
      <c r="A87">
        <v>55</v>
      </c>
      <c r="B87" s="1235">
        <v>2</v>
      </c>
      <c r="C87" s="1236" t="str">
        <f>VLOOKUP(A87,Nom_activ_2!E:H,3,0)</f>
        <v>6.2.  Consolidarea sistemelor de sănătate prin mecanisme de finanțare bine aliniate pentru TB</v>
      </c>
      <c r="D87" s="1236" t="str">
        <f>VLOOKUP(A87,Nom_activ_2!E:H,4,0)</f>
        <v>6.2.6. Elaborarea mecanismului de raportare a cheltuielilor faptice pentru realizarea activităților PNCT la fiecare nivel din sistemul de sănătate</v>
      </c>
    </row>
    <row r="88" spans="1:4" ht="32">
      <c r="A88">
        <v>56</v>
      </c>
      <c r="B88" s="1235">
        <v>2</v>
      </c>
      <c r="C88" s="1236" t="str">
        <f>VLOOKUP(A88,Nom_activ_2!E:H,3,0)</f>
        <v>6.2.  Consolidarea sistemelor de sănătate prin mecanisme de finanțare bine aliniate pentru TB</v>
      </c>
      <c r="D88" s="1236" t="str">
        <f>VLOOKUP(A88,Nom_activ_2!E:H,4,0)</f>
        <v>6.2.7. Asigurarea mentenanței unităților de stocare a medicamentelor și dispozitivelor medicale la nivel central</v>
      </c>
    </row>
    <row r="89" spans="1:4" ht="32">
      <c r="A89">
        <v>57</v>
      </c>
      <c r="B89" s="1235">
        <v>2</v>
      </c>
      <c r="C89" s="1236" t="str">
        <f>VLOOKUP(A89,Nom_activ_2!E:H,3,0)</f>
        <v>6.3.  Consolidarea capacităților resurselor umane implicate în controlul TB</v>
      </c>
      <c r="D89" s="1236" t="str">
        <f>VLOOKUP(A89,Nom_activ_2!E:H,4,0)</f>
        <v>6.3.1. Instruirea continuă a personalului din diferite servicii implicate in controlul TB, inclusiv și instruirea la distanță pe platforme digitale cu obținerea certificării</v>
      </c>
    </row>
    <row r="90" spans="1:4" ht="16">
      <c r="A90">
        <v>58</v>
      </c>
      <c r="B90" s="1235">
        <v>2</v>
      </c>
      <c r="C90" s="1236" t="str">
        <f>VLOOKUP(A90,Nom_activ_2!E:H,3,0)</f>
        <v>6.3.  Consolidarea capacităților resurselor umane implicate în controlul TB</v>
      </c>
      <c r="D90" s="1236" t="str">
        <f>VLOOKUP(A90,Nom_activ_2!E:H,4,0)</f>
        <v>6.3.2. Instruirea prin rezidenţiat a specialiștilor în ftiziopneumologie</v>
      </c>
    </row>
    <row r="91" spans="1:4" ht="32">
      <c r="A91">
        <v>59</v>
      </c>
      <c r="B91" s="1235">
        <v>2</v>
      </c>
      <c r="C91" s="1236" t="str">
        <f>VLOOKUP(A91,Nom_activ_2!E:H,3,0)</f>
        <v>6.3.  Consolidarea capacităților resurselor umane implicate în controlul TB</v>
      </c>
      <c r="D91" s="1236" t="str">
        <f>VLOOKUP(A91,Nom_activ_2!E:H,4,0)</f>
        <v xml:space="preserve">6.3.3. Organizarea întrunirilor/instruirilor la nivel central și teritorial cu participarea părților implicate în controlul TB </v>
      </c>
    </row>
    <row r="92" spans="1:4" ht="16">
      <c r="A92">
        <v>60</v>
      </c>
      <c r="B92" s="1235">
        <v>2</v>
      </c>
      <c r="C92" s="1236" t="str">
        <f>VLOOKUP(A92,Nom_activ_2!E:H,3,0)</f>
        <v>6.3.  Consolidarea capacităților resurselor umane implicate în controlul TB</v>
      </c>
      <c r="D92" s="1236" t="str">
        <f>VLOOKUP(A92,Nom_activ_2!E:H,4,0)</f>
        <v>6.3.4. Dezvoltarea parteneriatelor cu prestatorii privați de servicii medicale</v>
      </c>
    </row>
    <row r="93" spans="1:4" ht="75" customHeight="1">
      <c r="A93">
        <v>61</v>
      </c>
      <c r="B93" s="1235">
        <v>2</v>
      </c>
      <c r="C93" s="1236" t="str">
        <f>VLOOKUP(A93,Nom_activ_2!E:H,3,0)</f>
        <v>6.3.  Consolidarea capacităților resurselor umane implicate în controlul TB</v>
      </c>
      <c r="D93" s="1236" t="str">
        <f>VLOOKUP(A93,Nom_activ_2!E:H,4,0)</f>
        <v>6.3.5. Instruirea în activități de control TB a personalului, care prestează servicii nemedicale  - OSC, outreach și de la egal la egal, psihologii si managerii de caz, suporterii</v>
      </c>
    </row>
    <row r="94" spans="1:4" ht="16">
      <c r="A94">
        <v>62</v>
      </c>
      <c r="B94" s="1235">
        <v>2</v>
      </c>
      <c r="C94" s="1236" t="str">
        <f>VLOOKUP(A94,Nom_activ_2!E:H,3,0)</f>
        <v>6.3.  Consolidarea capacităților resurselor umane implicate în controlul TB</v>
      </c>
      <c r="D94" s="1236" t="str">
        <f>VLOOKUP(A94,Nom_activ_2!E:H,4,0)</f>
        <v>6.3.6. Planificarea resurselor umane termen mediu și lung în baza abordării pe necesități</v>
      </c>
    </row>
    <row r="95" spans="1:4" ht="48">
      <c r="A95">
        <v>63</v>
      </c>
      <c r="B95" s="1235">
        <v>2</v>
      </c>
      <c r="C95" s="1236" t="str">
        <f>VLOOKUP(A95,Nom_activ_2!E:H,3,0)</f>
        <v>6.4.  Elaborarea actelor normative pentru supravegherea bazată pe date individuale,  îmbunătățind calitatea înregistrării actelor de stare civilă, calitatea și utilizarea rațională a medicamentelor și farmacovigilența</v>
      </c>
      <c r="D95" s="1236" t="str">
        <f>VLOOKUP(A95,Nom_activ_2!E:H,4,0)</f>
        <v>6.4.1. Elaborarea Instrucțiunilor metodice privind implementarea PNCT</v>
      </c>
    </row>
    <row r="96" spans="1:4" ht="48">
      <c r="A96">
        <v>64</v>
      </c>
      <c r="B96" s="1235">
        <v>2</v>
      </c>
      <c r="C96" s="1236" t="str">
        <f>VLOOKUP(A96,Nom_activ_2!E:H,3,0)</f>
        <v>6.4.  Elaborarea actelor normative pentru supravegherea bazată pe date individuale,  îmbunătățind calitatea înregistrării actelor de stare civilă, calitatea și utilizarea rațională a medicamentelor și farmacovigilența</v>
      </c>
      <c r="D96" s="1236" t="str">
        <f>VLOOKUP(A96,Nom_activ_2!E:H,4,0)</f>
        <v>6.4.2. Revizuirea PCN „Tuberculoza la copil” și „Tuberculoza la adult” la necesitate</v>
      </c>
    </row>
    <row r="97" spans="1:4" ht="48">
      <c r="A97">
        <v>65</v>
      </c>
      <c r="B97" s="1235">
        <v>2</v>
      </c>
      <c r="C97" s="1236" t="str">
        <f>VLOOKUP(A97,Nom_activ_2!E:H,3,0)</f>
        <v>6.4.  Elaborarea actelor normative pentru supravegherea bazată pe date individuale,  îmbunătățind calitatea înregistrării actelor de stare civilă, calitatea și utilizarea rațională a medicamentelor și farmacovigilența</v>
      </c>
      <c r="D97" s="1236" t="str">
        <f>VLOOKUP(A97,Nom_activ_2!E:H,4,0)</f>
        <v>6.4.3. Consolidarea continuă a capacității în planificarea și gestionarea aprovizionării și furnizării medicamentelor TB la toate nivelurile sistemului medical, în conformitate cu recomandările OMS</v>
      </c>
    </row>
    <row r="98" spans="1:4" ht="48">
      <c r="A98">
        <v>66</v>
      </c>
      <c r="B98" s="1235">
        <v>2</v>
      </c>
      <c r="C98" s="1236" t="str">
        <f>VLOOKUP(A98,Nom_activ_2!E:H,3,0)</f>
        <v>6.5.  Fortificarea implicării comunității și OSC în controlul TB prin abordare centrată pe persoană</v>
      </c>
      <c r="D98" s="1236" t="str">
        <f>VLOOKUP(A98,Nom_activ_2!E:H,4,0)</f>
        <v>6.5.1. Elaborarea și implementarea mecanismelor de contractare în cadrul fondurilor de stat sau a altor mecanisme de finanțare relevante pentru OSC-uri pentru asigurarea oferirii suportului psihosocial și serviciilor de depistarea activă a TB</v>
      </c>
    </row>
    <row r="99" spans="1:4" ht="48">
      <c r="A99">
        <v>67</v>
      </c>
      <c r="B99" s="1235">
        <v>2</v>
      </c>
      <c r="C99" s="1236" t="str">
        <f>VLOOKUP(A99,Nom_activ_2!E:H,3,0)</f>
        <v>6.5.  Fortificarea implicării comunității și OSC în controlul TB prin abordare centrată pe persoană</v>
      </c>
      <c r="D99" s="1236" t="str">
        <f>VLOOKUP(A99,Nom_activ_2!E:H,4,0)</f>
        <v>6.5.2. Realizarea activităților prin granturi mici pentru educare, informare, intervenții pentru creșterea aderenței la tratament, acompanierea și suportul persoanelor care au finalizat tratamentul pentru prevenirea recidivelor.</v>
      </c>
    </row>
    <row r="100" spans="1:4" ht="32">
      <c r="A100">
        <v>68</v>
      </c>
      <c r="B100" s="1235">
        <v>2</v>
      </c>
      <c r="C100" s="1236" t="str">
        <f>VLOOKUP(A100,Nom_activ_2!E:H,3,0)</f>
        <v>6.5.  Fortificarea implicării comunității și OSC în controlul TB prin abordare centrată pe persoană</v>
      </c>
      <c r="D100" s="1236" t="str">
        <f>VLOOKUP(A100,Nom_activ_2!E:H,4,0)</f>
        <v>6.5.3. Documentarea barierelor de acces (financiare, stigma, DO, gen) și estimarea mărimii populațiilor cheie</v>
      </c>
    </row>
    <row r="101" spans="1:4" ht="32">
      <c r="A101">
        <v>69</v>
      </c>
      <c r="B101" s="1235">
        <v>2</v>
      </c>
      <c r="C101" s="1236" t="str">
        <f>VLOOKUP(A101,Nom_activ_2!E:H,3,0)</f>
        <v>6.5.  Fortificarea implicării comunității și OSC în controlul TB prin abordare centrată pe persoană</v>
      </c>
      <c r="D101" s="1236" t="str">
        <f>VLOOKUP(A101,Nom_activ_2!E:H,4,0)</f>
        <v>6.5.4. Implicarea OSC în reducerea barierelor și asigurarea accesului grupurilor cheie la servicii TB</v>
      </c>
    </row>
    <row r="102" spans="1:4" ht="48">
      <c r="A102">
        <v>70</v>
      </c>
      <c r="B102" s="1235">
        <v>2</v>
      </c>
      <c r="C102" s="1236" t="str">
        <f>VLOOKUP(A102,Nom_activ_2!E:H,3,0)</f>
        <v xml:space="preserve">6.6.  Protecția socială, reducerea sărăciei și acțiuni asupra altor factori determinanți ai TB, inclusiv printre migranți si deținuți </v>
      </c>
      <c r="D102" s="1236" t="str">
        <f>VLOOKUP(A102,Nom_activ_2!E:H,4,0)</f>
        <v xml:space="preserve">6.6.1. Fortificarea controlului TB în penitenciare, acompanierea și suportul persoanelor eliberate din detenție în asigurarea continuității tratamentului, inclusiv prin implicarea OSC </v>
      </c>
    </row>
    <row r="103" spans="1:4" ht="32">
      <c r="A103">
        <v>71</v>
      </c>
      <c r="B103" s="1235">
        <v>2</v>
      </c>
      <c r="C103" s="1236" t="str">
        <f>VLOOKUP(A103,Nom_activ_2!E:H,3,0)</f>
        <v xml:space="preserve">6.6.  Protecția socială, reducerea sărăciei și acțiuni asupra altor factori determinanți ai TB, inclusiv printre migranți si deținuți </v>
      </c>
      <c r="D103" s="1236" t="str">
        <f>VLOOKUP(A103,Nom_activ_2!E:H,4,0)</f>
        <v>6.6.2. Fortificarea controlului TB în rândul migranților</v>
      </c>
    </row>
    <row r="104" spans="1:4" ht="32">
      <c r="A104">
        <v>72</v>
      </c>
      <c r="B104" s="1235">
        <v>2</v>
      </c>
      <c r="C104" s="1236" t="str">
        <f>VLOOKUP(A104,Nom_activ_2!E:H,3,0)</f>
        <v xml:space="preserve">6.6.  Protecția socială, reducerea sărăciei și acțiuni asupra altor factori determinanți ai TB, inclusiv printre migranți si deținuți </v>
      </c>
      <c r="D104" s="1236" t="str">
        <f>VLOOKUP(A104,Nom_activ_2!E:H,4,0)</f>
        <v>6.6.3. Elaborarea PSO pentru conduita cazului de TB la solicitanții de azil, inclusiv de transfer transfrontalier a cazului TB</v>
      </c>
    </row>
    <row r="105" spans="1:4" ht="32">
      <c r="A105">
        <v>73</v>
      </c>
      <c r="B105" s="1235">
        <v>2</v>
      </c>
      <c r="C105" s="1236" t="str">
        <f>VLOOKUP(A105,Nom_activ_2!E:H,3,0)</f>
        <v xml:space="preserve">6.6.  Protecția socială, reducerea sărăciei și acțiuni asupra altor factori determinanți ai TB, inclusiv printre migranți si deținuți </v>
      </c>
      <c r="D105" s="1236" t="str">
        <f>VLOOKUP(A105,Nom_activ_2!E:H,4,0)</f>
        <v>6.6.4. Optimizarea centrelor ftiziopneumologice de reabilitare pentru copii și elaborarea mecanismelor comunitare de conduită a cazului copilului afectat de TB</v>
      </c>
    </row>
    <row r="106" spans="1:4" ht="32">
      <c r="A106">
        <v>74</v>
      </c>
      <c r="B106" s="1235">
        <v>2</v>
      </c>
      <c r="C106" s="1236" t="str">
        <f>VLOOKUP(A106,Nom_activ_2!E:H,3,0)</f>
        <v>6.7.  Realizarea Strategiei de pledoarie, comunicare și mobilizare socială în controlul TB, inclusiv prin reducerea stigmei și discriminării, cu alocarea resurselor necesare</v>
      </c>
      <c r="D106" s="1236" t="str">
        <f>VLOOKUP(A106,Nom_activ_2!E:H,4,0)</f>
        <v>6.7.1. Realizarea activităților de educare a pacienților cu TB privind Carta pacientului TB și Declarația Drepturilor Persoanelor cu TB</v>
      </c>
    </row>
    <row r="107" spans="1:4" ht="32">
      <c r="A107">
        <v>75</v>
      </c>
      <c r="B107" s="1235">
        <v>2</v>
      </c>
      <c r="C107" s="1236" t="str">
        <f>VLOOKUP(A107,Nom_activ_2!E:H,3,0)</f>
        <v>6.7.  Realizarea Strategiei de pledoarie, comunicare și mobilizare socială în controlul TB, inclusiv prin reducerea stigmei și discriminării, cu alocarea resurselor necesare</v>
      </c>
      <c r="D107" s="1236" t="str">
        <f>VLOOKUP(A107,Nom_activ_2!E:H,4,0)</f>
        <v xml:space="preserve">6.7.2. Dezvoltarea instrumentelor inovative de comunicare prin utilizarea tehnologiilor informaționale </v>
      </c>
    </row>
    <row r="108" spans="1:4" ht="32">
      <c r="A108">
        <v>76</v>
      </c>
      <c r="B108" s="1235">
        <v>2</v>
      </c>
      <c r="C108" s="1236" t="str">
        <f>VLOOKUP(A108,Nom_activ_2!E:H,3,0)</f>
        <v>6.7.  Realizarea Strategiei de pledoarie, comunicare și mobilizare socială în controlul TB, inclusiv prin reducerea stigmei și discriminării, cu alocarea resurselor necesare</v>
      </c>
      <c r="D108" s="1236" t="str">
        <f>VLOOKUP(A108,Nom_activ_2!E:H,4,0)</f>
        <v xml:space="preserve">6.7.3. Dezvoltarea și implementarea mecanismelor de monitorizare a calității serviciilor TB în raport cu respectarea drepturilor pacientului </v>
      </c>
    </row>
    <row r="109" spans="1:4" ht="48">
      <c r="A109">
        <v>77</v>
      </c>
      <c r="B109" s="1235">
        <v>2</v>
      </c>
      <c r="C109" s="1236" t="str">
        <f>VLOOKUP(A109,Nom_activ_2!E:H,3,0)</f>
        <v>7.1.  Efectuarea cercetărilor științifice aplicative</v>
      </c>
      <c r="D109" s="1236" t="str">
        <f>VLOOKUP(A109,Nom_activ_2!E:H,4,0)</f>
        <v>7.1.1. Dezvoltarea planului național cu identificarea priorităților pentru cercetare și dezvoltare, prin asigurarea unui proces consultativ, inclusiv cu participarea societății civile și realizarea cercetărilor conform agendei stabilite</v>
      </c>
    </row>
    <row r="110" spans="1:4" ht="16">
      <c r="A110">
        <v>78</v>
      </c>
      <c r="B110" s="1235">
        <v>2</v>
      </c>
      <c r="C110" s="1236" t="str">
        <f>VLOOKUP(A110,Nom_activ_2!E:H,3,0)</f>
        <v>7.1.  Efectuarea cercetărilor științifice aplicative</v>
      </c>
      <c r="D110" s="1236" t="str">
        <f>VLOOKUP(A110,Nom_activ_2!E:H,4,0)</f>
        <v>7.1.2. Realizarea cercetărilor conform agendei stabilite, cu revizuirea agendei la necesitate</v>
      </c>
    </row>
    <row r="111" spans="1:4" ht="32">
      <c r="A111">
        <v>79</v>
      </c>
      <c r="B111" s="1235">
        <v>2</v>
      </c>
      <c r="C111" s="1236" t="str">
        <f>VLOOKUP(A111,Nom_activ_2!E:H,3,0)</f>
        <v>7.1.  Efectuarea cercetărilor științifice aplicative</v>
      </c>
      <c r="D111" s="1236" t="str">
        <f>VLOOKUP(A111,Nom_activ_2!E:H,4,0)</f>
        <v>7.1.3. Participarea OSC în cercetări științifice aplicative, inclusiv în realizarea la nivel de comunitate</v>
      </c>
    </row>
    <row r="112" spans="1:4" ht="16">
      <c r="A112">
        <v>80</v>
      </c>
      <c r="B112" s="1235">
        <v>2</v>
      </c>
      <c r="C112" s="1236" t="str">
        <f>VLOOKUP(A112,Nom_activ_2!E:H,3,0)</f>
        <v>7.2.  Realizarea studiilor operaționale</v>
      </c>
      <c r="D112" s="1236" t="str">
        <f>VLOOKUP(A112,Nom_activ_2!E:H,4,0)</f>
        <v>7.2.1. Dezvoltarea planului privind realizarea studiilor operaționale</v>
      </c>
    </row>
    <row r="113" spans="1:4" ht="16">
      <c r="A113">
        <v>81</v>
      </c>
      <c r="B113" s="1235">
        <v>2</v>
      </c>
      <c r="C113" s="1236" t="str">
        <f>VLOOKUP(A113,Nom_activ_2!E:H,3,0)</f>
        <v>7.2.  Realizarea studiilor operaționale</v>
      </c>
      <c r="D113" s="1236" t="str">
        <f>VLOOKUP(A113,Nom_activ_2!E:H,4,0)</f>
        <v>7.2.2. Realizarea studiilor conform planului stabilit, cu revizuirea planului la necesitate</v>
      </c>
    </row>
    <row r="114" spans="1:4" ht="32">
      <c r="A114">
        <v>82</v>
      </c>
      <c r="B114" s="1235">
        <v>2</v>
      </c>
      <c r="C114" s="1236" t="str">
        <f>VLOOKUP(A114,Nom_activ_2!E:H,3,0)</f>
        <v>7.2.  Realizarea studiilor operaționale</v>
      </c>
      <c r="D114" s="1236" t="str">
        <f>VLOOKUP(A114,Nom_activ_2!E:H,4,0)</f>
        <v>7.2.3. Participarea OSC în  realizarea studiilor operaționale, inclusiv în realizarea acestora la nivel de comunitate</v>
      </c>
    </row>
    <row r="115" spans="1:4">
      <c r="A115">
        <v>83</v>
      </c>
      <c r="B115" s="1235">
        <v>2</v>
      </c>
      <c r="C115" s="1236" t="e">
        <f>VLOOKUP(A115,Nom_activ_2!E:H,3,0)</f>
        <v>#N/A</v>
      </c>
      <c r="D115" s="1236" t="e">
        <f>VLOOKUP(A115,Nom_activ_2!E:H,4,0)</f>
        <v>#N/A</v>
      </c>
    </row>
    <row r="116" spans="1:4">
      <c r="A116">
        <v>84</v>
      </c>
      <c r="B116" s="1235">
        <v>2</v>
      </c>
      <c r="C116" s="1236" t="e">
        <f>VLOOKUP(A116,Nom_activ_2!E:H,3,0)</f>
        <v>#N/A</v>
      </c>
      <c r="D116" s="1236" t="e">
        <f>VLOOKUP(A116,Nom_activ_2!E:H,4,0)</f>
        <v>#N/A</v>
      </c>
    </row>
    <row r="117" spans="1:4">
      <c r="A117">
        <v>85</v>
      </c>
      <c r="B117" s="1235">
        <v>2</v>
      </c>
      <c r="C117" s="1236" t="e">
        <f>VLOOKUP(A117,Nom_activ_2!E:H,3,0)</f>
        <v>#N/A</v>
      </c>
      <c r="D117" s="1236" t="e">
        <f>VLOOKUP(A117,Nom_activ_2!E:H,4,0)</f>
        <v>#N/A</v>
      </c>
    </row>
    <row r="118" spans="1:4">
      <c r="A118">
        <v>86</v>
      </c>
      <c r="B118" s="1235">
        <v>2</v>
      </c>
      <c r="C118" s="1236" t="e">
        <f>VLOOKUP(A118,Nom_activ_2!E:H,3,0)</f>
        <v>#N/A</v>
      </c>
      <c r="D118" s="1236" t="e">
        <f>VLOOKUP(A118,Nom_activ_2!E:H,4,0)</f>
        <v>#N/A</v>
      </c>
    </row>
    <row r="119" spans="1:4">
      <c r="A119">
        <v>87</v>
      </c>
      <c r="B119" s="1235">
        <v>2</v>
      </c>
      <c r="C119" s="1236" t="e">
        <f>VLOOKUP(A119,Nom_activ_2!E:H,3,0)</f>
        <v>#N/A</v>
      </c>
      <c r="D119" s="1236" t="e">
        <f>VLOOKUP(A119,Nom_activ_2!E:H,4,0)</f>
        <v>#N/A</v>
      </c>
    </row>
    <row r="120" spans="1:4">
      <c r="A120">
        <v>88</v>
      </c>
      <c r="B120" s="1235">
        <v>2</v>
      </c>
      <c r="C120" s="1236" t="e">
        <f>VLOOKUP(A120,Nom_activ_2!E:H,3,0)</f>
        <v>#N/A</v>
      </c>
      <c r="D120" s="1236" t="e">
        <f>VLOOKUP(A120,Nom_activ_2!E:H,4,0)</f>
        <v>#N/A</v>
      </c>
    </row>
    <row r="121" spans="1:4">
      <c r="A121">
        <v>89</v>
      </c>
      <c r="B121" s="1235">
        <v>2</v>
      </c>
      <c r="C121" s="1236" t="e">
        <f>VLOOKUP(A121,Nom_activ_2!E:H,3,0)</f>
        <v>#N/A</v>
      </c>
      <c r="D121" s="1236" t="e">
        <f>VLOOKUP(A121,Nom_activ_2!E:H,4,0)</f>
        <v>#N/A</v>
      </c>
    </row>
    <row r="122" spans="1:4">
      <c r="A122">
        <v>90</v>
      </c>
      <c r="B122" s="1235">
        <v>2</v>
      </c>
      <c r="C122" s="1236" t="e">
        <f>VLOOKUP(A122,Nom_activ_2!E:H,3,0)</f>
        <v>#N/A</v>
      </c>
      <c r="D122" s="1236" t="e">
        <f>VLOOKUP(A122,Nom_activ_2!E:H,4,0)</f>
        <v>#N/A</v>
      </c>
    </row>
  </sheetData>
  <phoneticPr fontId="66" type="noConversion"/>
  <conditionalFormatting sqref="B12:D122 B5:C11">
    <cfRule type="expression" dxfId="3" priority="4">
      <formula>ISODD($B5)</formula>
    </cfRule>
  </conditionalFormatting>
  <dataValidations count="1">
    <dataValidation type="list" allowBlank="1" showInputMessage="1" showErrorMessage="1" sqref="C33:C122" xr:uid="{00000000-0002-0000-2100-000000000000}">
      <formula1>$M$12:$M$32</formula1>
    </dataValidation>
  </dataValidations>
  <pageMargins left="0.7" right="0.7" top="0.75" bottom="0.75" header="0.3" footer="0.3"/>
</worksheet>
</file>

<file path=xl/worksheets/sheet3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0"/>
  <dimension ref="C1:K89"/>
  <sheetViews>
    <sheetView zoomScale="40" zoomScaleNormal="40" workbookViewId="0">
      <selection activeCell="H1" sqref="H1:H1048576"/>
    </sheetView>
  </sheetViews>
  <sheetFormatPr baseColWidth="10" defaultColWidth="8.83203125" defaultRowHeight="19"/>
  <cols>
    <col min="4" max="4" width="22.5" bestFit="1" customWidth="1"/>
    <col min="5" max="5" width="8.83203125" style="1232"/>
    <col min="6" max="6" width="81.83203125" style="414" customWidth="1"/>
    <col min="7" max="7" width="61.6640625" customWidth="1"/>
    <col min="8" max="8" width="217.1640625" bestFit="1" customWidth="1"/>
    <col min="11" max="11" width="14.33203125" customWidth="1"/>
  </cols>
  <sheetData>
    <row r="1" spans="3:11" ht="20" thickBot="1">
      <c r="C1" t="s">
        <v>2232</v>
      </c>
      <c r="D1" t="s">
        <v>2230</v>
      </c>
      <c r="E1" s="1232" t="s">
        <v>2231</v>
      </c>
      <c r="F1" s="855" t="s">
        <v>1888</v>
      </c>
      <c r="G1" s="856" t="s">
        <v>336</v>
      </c>
      <c r="H1" s="856" t="s">
        <v>337</v>
      </c>
      <c r="K1" s="1835" t="s">
        <v>356</v>
      </c>
    </row>
    <row r="2" spans="3:11" ht="49">
      <c r="C2" t="str">
        <f>LEFT(F2,2)</f>
        <v>1.</v>
      </c>
      <c r="D2" t="str">
        <f>LEFT(G2,4)</f>
        <v>1.1.</v>
      </c>
      <c r="E2" s="1232">
        <v>1</v>
      </c>
      <c r="F2" s="851" t="s">
        <v>3139</v>
      </c>
      <c r="G2" s="844" t="s">
        <v>389</v>
      </c>
      <c r="H2" t="s">
        <v>2923</v>
      </c>
    </row>
    <row r="3" spans="3:11" ht="49">
      <c r="C3" t="str">
        <f t="shared" ref="C3:C66" si="0">LEFT(F3,2)</f>
        <v>1.</v>
      </c>
      <c r="D3" t="str">
        <f t="shared" ref="D3:D66" si="1">LEFT(G3,4)</f>
        <v>1.1.</v>
      </c>
      <c r="E3" s="1232">
        <v>2</v>
      </c>
      <c r="F3" s="851" t="s">
        <v>3139</v>
      </c>
      <c r="G3" s="844" t="s">
        <v>389</v>
      </c>
      <c r="H3" t="s">
        <v>2992</v>
      </c>
    </row>
    <row r="4" spans="3:11" ht="49">
      <c r="C4" t="str">
        <f t="shared" si="0"/>
        <v>1.</v>
      </c>
      <c r="D4" t="str">
        <f t="shared" si="1"/>
        <v>1.1.</v>
      </c>
      <c r="E4" s="1232">
        <v>3</v>
      </c>
      <c r="F4" s="851" t="s">
        <v>3139</v>
      </c>
      <c r="G4" s="844" t="s">
        <v>389</v>
      </c>
      <c r="H4" t="s">
        <v>2924</v>
      </c>
    </row>
    <row r="5" spans="3:11" ht="49">
      <c r="C5" t="str">
        <f t="shared" si="0"/>
        <v>1.</v>
      </c>
      <c r="D5" t="str">
        <f t="shared" si="1"/>
        <v>1.1.</v>
      </c>
      <c r="E5" s="1232">
        <v>4</v>
      </c>
      <c r="F5" s="851" t="s">
        <v>3139</v>
      </c>
      <c r="G5" s="844" t="s">
        <v>389</v>
      </c>
      <c r="H5" t="s">
        <v>2925</v>
      </c>
    </row>
    <row r="6" spans="3:11" ht="49">
      <c r="C6" t="str">
        <f t="shared" si="0"/>
        <v>1.</v>
      </c>
      <c r="D6" t="str">
        <f t="shared" si="1"/>
        <v>1.1.</v>
      </c>
      <c r="E6" s="1232">
        <v>5</v>
      </c>
      <c r="F6" s="851" t="s">
        <v>3139</v>
      </c>
      <c r="G6" s="844" t="s">
        <v>389</v>
      </c>
      <c r="H6" t="s">
        <v>2926</v>
      </c>
    </row>
    <row r="7" spans="3:11" ht="65">
      <c r="C7" t="str">
        <f t="shared" si="0"/>
        <v>2.</v>
      </c>
      <c r="D7" t="str">
        <f t="shared" si="1"/>
        <v>2.1.</v>
      </c>
      <c r="E7" s="1232">
        <v>6</v>
      </c>
      <c r="F7" s="851" t="s">
        <v>3140</v>
      </c>
      <c r="G7" s="844" t="s">
        <v>1849</v>
      </c>
      <c r="H7" t="s">
        <v>2927</v>
      </c>
    </row>
    <row r="8" spans="3:11" ht="65">
      <c r="C8" t="str">
        <f t="shared" si="0"/>
        <v>2.</v>
      </c>
      <c r="D8" t="str">
        <f t="shared" si="1"/>
        <v>2.2.</v>
      </c>
      <c r="E8" s="1232">
        <v>7</v>
      </c>
      <c r="F8" s="851" t="s">
        <v>3140</v>
      </c>
      <c r="G8" s="844" t="s">
        <v>2220</v>
      </c>
      <c r="H8" t="s">
        <v>2928</v>
      </c>
    </row>
    <row r="9" spans="3:11" ht="65">
      <c r="C9" t="str">
        <f t="shared" si="0"/>
        <v>2.</v>
      </c>
      <c r="D9" t="str">
        <f t="shared" si="1"/>
        <v>2.2.</v>
      </c>
      <c r="E9" s="1232">
        <v>8</v>
      </c>
      <c r="F9" s="851" t="s">
        <v>3140</v>
      </c>
      <c r="G9" s="844" t="s">
        <v>2220</v>
      </c>
      <c r="H9" t="s">
        <v>2929</v>
      </c>
    </row>
    <row r="10" spans="3:11" ht="65">
      <c r="C10" t="str">
        <f t="shared" si="0"/>
        <v>2.</v>
      </c>
      <c r="D10" t="str">
        <f t="shared" si="1"/>
        <v>2.2.</v>
      </c>
      <c r="E10" s="1232">
        <v>9</v>
      </c>
      <c r="F10" s="851" t="s">
        <v>3140</v>
      </c>
      <c r="G10" s="844" t="s">
        <v>2220</v>
      </c>
      <c r="H10" t="s">
        <v>2930</v>
      </c>
    </row>
    <row r="11" spans="3:11" ht="65">
      <c r="C11" t="str">
        <f t="shared" si="0"/>
        <v>2.</v>
      </c>
      <c r="D11" t="str">
        <f t="shared" si="1"/>
        <v>2.3.</v>
      </c>
      <c r="E11" s="1232">
        <v>10</v>
      </c>
      <c r="F11" s="851" t="s">
        <v>3140</v>
      </c>
      <c r="G11" s="844" t="s">
        <v>3141</v>
      </c>
      <c r="H11" t="s">
        <v>2931</v>
      </c>
    </row>
    <row r="12" spans="3:11" ht="65">
      <c r="C12" t="str">
        <f t="shared" si="0"/>
        <v>2.</v>
      </c>
      <c r="D12" t="str">
        <f t="shared" si="1"/>
        <v>2.3.</v>
      </c>
      <c r="E12" s="1232">
        <v>11</v>
      </c>
      <c r="F12" s="851" t="s">
        <v>3140</v>
      </c>
      <c r="G12" s="844" t="s">
        <v>3141</v>
      </c>
      <c r="H12" t="s">
        <v>2932</v>
      </c>
    </row>
    <row r="13" spans="3:11" ht="65">
      <c r="C13" t="str">
        <f t="shared" si="0"/>
        <v>2.</v>
      </c>
      <c r="D13" t="str">
        <f t="shared" si="1"/>
        <v>2.3.</v>
      </c>
      <c r="E13" s="1232">
        <v>12</v>
      </c>
      <c r="F13" s="851" t="s">
        <v>3140</v>
      </c>
      <c r="G13" s="844" t="s">
        <v>3141</v>
      </c>
      <c r="H13" t="s">
        <v>2933</v>
      </c>
    </row>
    <row r="14" spans="3:11" ht="81">
      <c r="C14" t="str">
        <f t="shared" si="0"/>
        <v>3.</v>
      </c>
      <c r="D14" t="str">
        <f t="shared" si="1"/>
        <v>3.1.</v>
      </c>
      <c r="E14" s="1232">
        <v>13</v>
      </c>
      <c r="F14" s="851" t="s">
        <v>3142</v>
      </c>
      <c r="G14" s="844" t="s">
        <v>1850</v>
      </c>
      <c r="H14" t="s">
        <v>2934</v>
      </c>
    </row>
    <row r="15" spans="3:11" ht="81">
      <c r="C15" t="str">
        <f t="shared" si="0"/>
        <v>3.</v>
      </c>
      <c r="D15" t="str">
        <f t="shared" si="1"/>
        <v>3.1.</v>
      </c>
      <c r="E15" s="1232">
        <v>14</v>
      </c>
      <c r="F15" s="851" t="s">
        <v>3142</v>
      </c>
      <c r="G15" s="844" t="s">
        <v>1850</v>
      </c>
      <c r="H15" t="s">
        <v>2935</v>
      </c>
    </row>
    <row r="16" spans="3:11" ht="81">
      <c r="C16" t="str">
        <f t="shared" si="0"/>
        <v>3.</v>
      </c>
      <c r="D16" t="str">
        <f t="shared" si="1"/>
        <v>3.1.</v>
      </c>
      <c r="E16" s="1232">
        <v>15</v>
      </c>
      <c r="F16" s="851" t="s">
        <v>3142</v>
      </c>
      <c r="G16" s="844" t="s">
        <v>1850</v>
      </c>
      <c r="H16" t="s">
        <v>2936</v>
      </c>
    </row>
    <row r="17" spans="3:8" ht="81">
      <c r="C17" t="str">
        <f t="shared" si="0"/>
        <v>3.</v>
      </c>
      <c r="D17" t="str">
        <f t="shared" si="1"/>
        <v>3.1.</v>
      </c>
      <c r="E17" s="1232">
        <v>16</v>
      </c>
      <c r="F17" s="851" t="s">
        <v>3142</v>
      </c>
      <c r="G17" s="844" t="s">
        <v>1850</v>
      </c>
      <c r="H17" t="s">
        <v>2937</v>
      </c>
    </row>
    <row r="18" spans="3:8" ht="81">
      <c r="C18" t="str">
        <f t="shared" si="0"/>
        <v>3.</v>
      </c>
      <c r="D18" t="str">
        <f t="shared" si="1"/>
        <v>3.1.</v>
      </c>
      <c r="E18" s="1232">
        <v>17</v>
      </c>
      <c r="F18" s="851" t="s">
        <v>3142</v>
      </c>
      <c r="G18" s="844" t="s">
        <v>1850</v>
      </c>
      <c r="H18" t="s">
        <v>2938</v>
      </c>
    </row>
    <row r="19" spans="3:8" ht="81">
      <c r="C19" t="str">
        <f t="shared" si="0"/>
        <v>3.</v>
      </c>
      <c r="D19" t="str">
        <f t="shared" si="1"/>
        <v>3.2.</v>
      </c>
      <c r="E19" s="1232">
        <v>18</v>
      </c>
      <c r="F19" s="851" t="s">
        <v>3142</v>
      </c>
      <c r="G19" s="844" t="s">
        <v>1851</v>
      </c>
      <c r="H19" t="s">
        <v>3127</v>
      </c>
    </row>
    <row r="20" spans="3:8" ht="81">
      <c r="C20" t="str">
        <f t="shared" si="0"/>
        <v>3.</v>
      </c>
      <c r="D20" t="str">
        <f t="shared" si="1"/>
        <v>3.2.</v>
      </c>
      <c r="E20" s="1232">
        <v>19</v>
      </c>
      <c r="F20" s="851" t="s">
        <v>3142</v>
      </c>
      <c r="G20" s="844" t="s">
        <v>1851</v>
      </c>
      <c r="H20" t="s">
        <v>2939</v>
      </c>
    </row>
    <row r="21" spans="3:8" ht="81">
      <c r="C21" t="str">
        <f t="shared" si="0"/>
        <v>3.</v>
      </c>
      <c r="D21" t="str">
        <f t="shared" si="1"/>
        <v>3.2.</v>
      </c>
      <c r="E21" s="1232">
        <v>20</v>
      </c>
      <c r="F21" s="851" t="s">
        <v>3142</v>
      </c>
      <c r="G21" s="844" t="s">
        <v>1851</v>
      </c>
      <c r="H21" t="s">
        <v>2940</v>
      </c>
    </row>
    <row r="22" spans="3:8" ht="81">
      <c r="C22" t="str">
        <f t="shared" si="0"/>
        <v>3.</v>
      </c>
      <c r="D22" t="str">
        <f t="shared" si="1"/>
        <v>3.3.</v>
      </c>
      <c r="E22" s="1232">
        <v>21</v>
      </c>
      <c r="F22" s="851" t="s">
        <v>3142</v>
      </c>
      <c r="G22" s="844" t="s">
        <v>339</v>
      </c>
      <c r="H22" t="s">
        <v>2941</v>
      </c>
    </row>
    <row r="23" spans="3:8" ht="81">
      <c r="C23" t="str">
        <f t="shared" si="0"/>
        <v>3.</v>
      </c>
      <c r="D23" t="str">
        <f t="shared" si="1"/>
        <v>3.3.</v>
      </c>
      <c r="E23" s="1232">
        <v>22</v>
      </c>
      <c r="F23" s="851" t="s">
        <v>3142</v>
      </c>
      <c r="G23" s="844" t="s">
        <v>339</v>
      </c>
      <c r="H23" t="s">
        <v>2942</v>
      </c>
    </row>
    <row r="24" spans="3:8" ht="81">
      <c r="C24" t="str">
        <f t="shared" si="0"/>
        <v>3.</v>
      </c>
      <c r="D24" t="str">
        <f t="shared" si="1"/>
        <v>3.3.</v>
      </c>
      <c r="E24" s="1232">
        <v>23</v>
      </c>
      <c r="F24" s="851" t="s">
        <v>3142</v>
      </c>
      <c r="G24" s="844" t="s">
        <v>339</v>
      </c>
      <c r="H24" t="s">
        <v>2943</v>
      </c>
    </row>
    <row r="25" spans="3:8" ht="81">
      <c r="C25" t="str">
        <f t="shared" si="0"/>
        <v>3.</v>
      </c>
      <c r="D25" t="str">
        <f t="shared" si="1"/>
        <v>3.3.</v>
      </c>
      <c r="E25" s="1232">
        <v>24</v>
      </c>
      <c r="F25" s="851" t="s">
        <v>3142</v>
      </c>
      <c r="G25" s="844" t="s">
        <v>339</v>
      </c>
      <c r="H25" t="s">
        <v>2944</v>
      </c>
    </row>
    <row r="26" spans="3:8" ht="65">
      <c r="C26" t="str">
        <f t="shared" si="0"/>
        <v>4.</v>
      </c>
      <c r="D26" t="str">
        <f t="shared" si="1"/>
        <v>4.1.</v>
      </c>
      <c r="E26" s="1232">
        <v>25</v>
      </c>
      <c r="F26" s="851" t="s">
        <v>3143</v>
      </c>
      <c r="G26" s="844" t="s">
        <v>340</v>
      </c>
      <c r="H26" t="s">
        <v>2945</v>
      </c>
    </row>
    <row r="27" spans="3:8" ht="65">
      <c r="C27" t="str">
        <f t="shared" si="0"/>
        <v>4.</v>
      </c>
      <c r="D27" t="str">
        <f t="shared" si="1"/>
        <v>4.1.</v>
      </c>
      <c r="E27" s="1232">
        <v>26</v>
      </c>
      <c r="F27" s="851" t="s">
        <v>3143</v>
      </c>
      <c r="G27" s="844" t="s">
        <v>340</v>
      </c>
      <c r="H27" t="s">
        <v>2946</v>
      </c>
    </row>
    <row r="28" spans="3:8" ht="65">
      <c r="C28" t="str">
        <f t="shared" si="0"/>
        <v>4.</v>
      </c>
      <c r="D28" t="str">
        <f t="shared" si="1"/>
        <v>4.1.</v>
      </c>
      <c r="E28" s="1232">
        <v>27</v>
      </c>
      <c r="F28" s="851" t="s">
        <v>3143</v>
      </c>
      <c r="G28" s="844" t="s">
        <v>340</v>
      </c>
      <c r="H28" t="s">
        <v>2947</v>
      </c>
    </row>
    <row r="29" spans="3:8" ht="65">
      <c r="C29" t="str">
        <f t="shared" si="0"/>
        <v>4.</v>
      </c>
      <c r="D29" t="str">
        <f t="shared" si="1"/>
        <v>4.1.</v>
      </c>
      <c r="E29" s="1232">
        <v>28</v>
      </c>
      <c r="F29" s="851" t="s">
        <v>3143</v>
      </c>
      <c r="G29" s="844" t="s">
        <v>340</v>
      </c>
      <c r="H29" t="s">
        <v>2948</v>
      </c>
    </row>
    <row r="30" spans="3:8" ht="65">
      <c r="C30" t="str">
        <f t="shared" si="0"/>
        <v>4.</v>
      </c>
      <c r="D30" t="str">
        <f t="shared" si="1"/>
        <v>4.1.</v>
      </c>
      <c r="E30" s="1232">
        <v>29</v>
      </c>
      <c r="F30" s="851" t="s">
        <v>3143</v>
      </c>
      <c r="G30" s="844" t="s">
        <v>340</v>
      </c>
      <c r="H30" t="s">
        <v>2949</v>
      </c>
    </row>
    <row r="31" spans="3:8" ht="65">
      <c r="C31" t="str">
        <f t="shared" si="0"/>
        <v>4.</v>
      </c>
      <c r="D31" t="str">
        <f t="shared" si="1"/>
        <v>4.1.</v>
      </c>
      <c r="E31" s="1232">
        <v>30</v>
      </c>
      <c r="F31" s="851" t="s">
        <v>3143</v>
      </c>
      <c r="G31" s="844" t="s">
        <v>340</v>
      </c>
      <c r="H31" t="s">
        <v>2950</v>
      </c>
    </row>
    <row r="32" spans="3:8" ht="65">
      <c r="C32" t="str">
        <f t="shared" si="0"/>
        <v>4.</v>
      </c>
      <c r="D32" t="str">
        <f t="shared" si="1"/>
        <v>4.1.</v>
      </c>
      <c r="E32" s="1232">
        <v>31</v>
      </c>
      <c r="F32" s="851" t="s">
        <v>3143</v>
      </c>
      <c r="G32" s="844" t="s">
        <v>340</v>
      </c>
      <c r="H32" t="s">
        <v>2951</v>
      </c>
    </row>
    <row r="33" spans="3:8" ht="65">
      <c r="C33" t="str">
        <f t="shared" si="0"/>
        <v>4.</v>
      </c>
      <c r="D33" t="str">
        <f t="shared" si="1"/>
        <v>4.1.</v>
      </c>
      <c r="E33" s="1232">
        <v>32</v>
      </c>
      <c r="F33" s="851" t="s">
        <v>3143</v>
      </c>
      <c r="G33" s="844" t="s">
        <v>340</v>
      </c>
      <c r="H33" t="s">
        <v>2952</v>
      </c>
    </row>
    <row r="34" spans="3:8" ht="65">
      <c r="C34" t="str">
        <f t="shared" si="0"/>
        <v>4.</v>
      </c>
      <c r="D34" t="str">
        <f t="shared" si="1"/>
        <v>4.2.</v>
      </c>
      <c r="E34" s="1232">
        <v>33</v>
      </c>
      <c r="F34" s="851" t="s">
        <v>3143</v>
      </c>
      <c r="G34" s="844" t="s">
        <v>390</v>
      </c>
      <c r="H34" t="s">
        <v>2953</v>
      </c>
    </row>
    <row r="35" spans="3:8" ht="65">
      <c r="C35" t="str">
        <f t="shared" si="0"/>
        <v>4.</v>
      </c>
      <c r="D35" t="str">
        <f t="shared" si="1"/>
        <v>4.2.</v>
      </c>
      <c r="E35" s="1232">
        <v>34</v>
      </c>
      <c r="F35" s="851" t="s">
        <v>3143</v>
      </c>
      <c r="G35" s="844" t="s">
        <v>390</v>
      </c>
      <c r="H35" s="1270" t="s">
        <v>3372</v>
      </c>
    </row>
    <row r="36" spans="3:8" ht="65">
      <c r="C36" t="str">
        <f t="shared" si="0"/>
        <v>4.</v>
      </c>
      <c r="D36" t="str">
        <f t="shared" si="1"/>
        <v>4.2.</v>
      </c>
      <c r="E36" s="1232">
        <v>35</v>
      </c>
      <c r="F36" s="851" t="s">
        <v>3143</v>
      </c>
      <c r="G36" s="844" t="s">
        <v>390</v>
      </c>
      <c r="H36" t="s">
        <v>2955</v>
      </c>
    </row>
    <row r="37" spans="3:8" ht="33">
      <c r="C37" t="str">
        <f t="shared" si="0"/>
        <v>5.</v>
      </c>
      <c r="D37" t="str">
        <f t="shared" si="1"/>
        <v>5.1.</v>
      </c>
      <c r="E37" s="1232">
        <v>36</v>
      </c>
      <c r="F37" s="851" t="s">
        <v>3144</v>
      </c>
      <c r="G37" s="844" t="s">
        <v>341</v>
      </c>
      <c r="H37" t="s">
        <v>2956</v>
      </c>
    </row>
    <row r="38" spans="3:8" ht="33">
      <c r="C38" t="str">
        <f t="shared" si="0"/>
        <v>5.</v>
      </c>
      <c r="D38" t="str">
        <f t="shared" si="1"/>
        <v>5.1.</v>
      </c>
      <c r="E38" s="1232">
        <v>37</v>
      </c>
      <c r="F38" s="851" t="s">
        <v>3144</v>
      </c>
      <c r="G38" s="844" t="s">
        <v>341</v>
      </c>
      <c r="H38" t="s">
        <v>2957</v>
      </c>
    </row>
    <row r="39" spans="3:8" ht="33">
      <c r="C39" t="str">
        <f t="shared" si="0"/>
        <v>5.</v>
      </c>
      <c r="D39" t="str">
        <f t="shared" si="1"/>
        <v>5.1.</v>
      </c>
      <c r="E39" s="1232">
        <v>38</v>
      </c>
      <c r="F39" s="851" t="s">
        <v>3144</v>
      </c>
      <c r="G39" s="844" t="s">
        <v>341</v>
      </c>
      <c r="H39" t="s">
        <v>2958</v>
      </c>
    </row>
    <row r="40" spans="3:8" ht="33">
      <c r="C40" t="str">
        <f t="shared" si="0"/>
        <v>5.</v>
      </c>
      <c r="D40" t="str">
        <f t="shared" si="1"/>
        <v>5.1.</v>
      </c>
      <c r="E40" s="1232">
        <v>39</v>
      </c>
      <c r="F40" s="851" t="s">
        <v>3144</v>
      </c>
      <c r="G40" s="844" t="s">
        <v>341</v>
      </c>
      <c r="H40" t="s">
        <v>2959</v>
      </c>
    </row>
    <row r="41" spans="3:8" ht="33">
      <c r="C41" t="str">
        <f t="shared" si="0"/>
        <v>5.</v>
      </c>
      <c r="D41" t="str">
        <f t="shared" si="1"/>
        <v>5.1.</v>
      </c>
      <c r="E41" s="1232">
        <v>40</v>
      </c>
      <c r="F41" s="851" t="s">
        <v>3144</v>
      </c>
      <c r="G41" s="844" t="s">
        <v>341</v>
      </c>
      <c r="H41" t="s">
        <v>2960</v>
      </c>
    </row>
    <row r="42" spans="3:8" ht="33">
      <c r="C42" t="str">
        <f t="shared" si="0"/>
        <v>5.</v>
      </c>
      <c r="D42" t="str">
        <f t="shared" si="1"/>
        <v>5.1.</v>
      </c>
      <c r="E42" s="1232">
        <v>41</v>
      </c>
      <c r="F42" s="851" t="s">
        <v>3144</v>
      </c>
      <c r="G42" s="844" t="s">
        <v>341</v>
      </c>
      <c r="H42" t="s">
        <v>2961</v>
      </c>
    </row>
    <row r="43" spans="3:8" ht="33">
      <c r="C43" t="str">
        <f t="shared" si="0"/>
        <v>5.</v>
      </c>
      <c r="D43" t="str">
        <f t="shared" si="1"/>
        <v>5.2.</v>
      </c>
      <c r="E43" s="1232">
        <v>42</v>
      </c>
      <c r="F43" s="851" t="s">
        <v>3144</v>
      </c>
      <c r="G43" s="844" t="s">
        <v>1852</v>
      </c>
      <c r="H43" t="s">
        <v>2962</v>
      </c>
    </row>
    <row r="44" spans="3:8" ht="33">
      <c r="C44" t="str">
        <f t="shared" si="0"/>
        <v>5.</v>
      </c>
      <c r="D44" t="str">
        <f t="shared" si="1"/>
        <v>5.2.</v>
      </c>
      <c r="E44" s="1232">
        <v>43</v>
      </c>
      <c r="F44" s="851" t="s">
        <v>3144</v>
      </c>
      <c r="G44" s="844" t="s">
        <v>1852</v>
      </c>
      <c r="H44" t="s">
        <v>2963</v>
      </c>
    </row>
    <row r="45" spans="3:8" ht="33">
      <c r="C45" t="str">
        <f t="shared" si="0"/>
        <v>5.</v>
      </c>
      <c r="D45" t="str">
        <f t="shared" si="1"/>
        <v>5.2.</v>
      </c>
      <c r="E45" s="1232">
        <v>44</v>
      </c>
      <c r="F45" s="851" t="s">
        <v>3144</v>
      </c>
      <c r="G45" s="844" t="s">
        <v>1852</v>
      </c>
      <c r="H45" t="s">
        <v>2964</v>
      </c>
    </row>
    <row r="46" spans="3:8" ht="33">
      <c r="C46" t="str">
        <f t="shared" si="0"/>
        <v>5.</v>
      </c>
      <c r="D46" t="str">
        <f t="shared" si="1"/>
        <v>5.3.</v>
      </c>
      <c r="E46" s="1232">
        <v>45</v>
      </c>
      <c r="F46" s="851" t="s">
        <v>3144</v>
      </c>
      <c r="G46" s="844" t="s">
        <v>391</v>
      </c>
      <c r="H46" t="s">
        <v>2965</v>
      </c>
    </row>
    <row r="47" spans="3:8" ht="65">
      <c r="C47" t="str">
        <f t="shared" si="0"/>
        <v>6.</v>
      </c>
      <c r="D47" t="str">
        <f t="shared" si="1"/>
        <v>6.1.</v>
      </c>
      <c r="E47" s="1232">
        <v>46</v>
      </c>
      <c r="F47" s="851" t="s">
        <v>3145</v>
      </c>
      <c r="G47" s="844" t="s">
        <v>392</v>
      </c>
      <c r="H47" t="s">
        <v>2966</v>
      </c>
    </row>
    <row r="48" spans="3:8" ht="65">
      <c r="C48" t="str">
        <f t="shared" si="0"/>
        <v>6.</v>
      </c>
      <c r="D48" t="str">
        <f t="shared" si="1"/>
        <v>6.1.</v>
      </c>
      <c r="E48" s="1232">
        <v>47</v>
      </c>
      <c r="F48" s="851" t="s">
        <v>3145</v>
      </c>
      <c r="G48" s="844" t="s">
        <v>392</v>
      </c>
      <c r="H48" t="s">
        <v>3128</v>
      </c>
    </row>
    <row r="49" spans="3:8" ht="65">
      <c r="C49" t="str">
        <f t="shared" si="0"/>
        <v>6.</v>
      </c>
      <c r="D49" t="str">
        <f t="shared" si="1"/>
        <v>6.1.</v>
      </c>
      <c r="E49" s="1232">
        <v>48</v>
      </c>
      <c r="F49" s="851" t="s">
        <v>3145</v>
      </c>
      <c r="G49" s="844" t="s">
        <v>392</v>
      </c>
      <c r="H49" t="s">
        <v>3129</v>
      </c>
    </row>
    <row r="50" spans="3:8" ht="65">
      <c r="C50" t="str">
        <f t="shared" si="0"/>
        <v>6.</v>
      </c>
      <c r="D50" t="str">
        <f t="shared" si="1"/>
        <v>6.1.</v>
      </c>
      <c r="E50" s="1232">
        <v>49</v>
      </c>
      <c r="F50" s="851" t="s">
        <v>3145</v>
      </c>
      <c r="G50" s="844" t="s">
        <v>392</v>
      </c>
      <c r="H50" t="s">
        <v>3130</v>
      </c>
    </row>
    <row r="51" spans="3:8" ht="65">
      <c r="C51" t="str">
        <f t="shared" si="0"/>
        <v>6.</v>
      </c>
      <c r="D51" t="str">
        <f t="shared" si="1"/>
        <v>6.2.</v>
      </c>
      <c r="E51" s="1232">
        <v>50</v>
      </c>
      <c r="F51" s="851" t="s">
        <v>3145</v>
      </c>
      <c r="G51" s="844" t="s">
        <v>1853</v>
      </c>
      <c r="H51" t="s">
        <v>2967</v>
      </c>
    </row>
    <row r="52" spans="3:8" ht="65">
      <c r="C52" t="str">
        <f t="shared" si="0"/>
        <v>6.</v>
      </c>
      <c r="D52" t="str">
        <f t="shared" si="1"/>
        <v>6.2.</v>
      </c>
      <c r="E52" s="1232">
        <v>51</v>
      </c>
      <c r="F52" s="851" t="s">
        <v>3145</v>
      </c>
      <c r="G52" s="844" t="s">
        <v>1853</v>
      </c>
      <c r="H52" t="s">
        <v>2968</v>
      </c>
    </row>
    <row r="53" spans="3:8" ht="65">
      <c r="C53" t="str">
        <f t="shared" si="0"/>
        <v>6.</v>
      </c>
      <c r="D53" t="str">
        <f t="shared" si="1"/>
        <v>6.2.</v>
      </c>
      <c r="E53" s="1232">
        <v>52</v>
      </c>
      <c r="F53" s="851" t="s">
        <v>3145</v>
      </c>
      <c r="G53" s="844" t="s">
        <v>1853</v>
      </c>
      <c r="H53" t="s">
        <v>2969</v>
      </c>
    </row>
    <row r="54" spans="3:8" ht="65">
      <c r="C54" t="str">
        <f t="shared" si="0"/>
        <v>6.</v>
      </c>
      <c r="D54" t="str">
        <f t="shared" si="1"/>
        <v>6.2.</v>
      </c>
      <c r="E54" s="1232">
        <v>53</v>
      </c>
      <c r="F54" s="851" t="s">
        <v>3145</v>
      </c>
      <c r="G54" s="844" t="s">
        <v>1853</v>
      </c>
      <c r="H54" t="s">
        <v>2970</v>
      </c>
    </row>
    <row r="55" spans="3:8" ht="65">
      <c r="C55" t="str">
        <f t="shared" si="0"/>
        <v>6.</v>
      </c>
      <c r="D55" t="str">
        <f t="shared" si="1"/>
        <v>6.2.</v>
      </c>
      <c r="E55" s="1232">
        <v>54</v>
      </c>
      <c r="F55" s="851" t="s">
        <v>3145</v>
      </c>
      <c r="G55" s="844" t="s">
        <v>1853</v>
      </c>
      <c r="H55" t="s">
        <v>2971</v>
      </c>
    </row>
    <row r="56" spans="3:8" ht="65">
      <c r="C56" t="str">
        <f t="shared" si="0"/>
        <v>6.</v>
      </c>
      <c r="D56" t="str">
        <f t="shared" si="1"/>
        <v>6.2.</v>
      </c>
      <c r="E56" s="1232">
        <v>55</v>
      </c>
      <c r="F56" s="851" t="s">
        <v>3145</v>
      </c>
      <c r="G56" s="844" t="s">
        <v>1853</v>
      </c>
      <c r="H56" t="s">
        <v>2972</v>
      </c>
    </row>
    <row r="57" spans="3:8" ht="65">
      <c r="C57" t="str">
        <f t="shared" si="0"/>
        <v>6.</v>
      </c>
      <c r="D57" t="str">
        <f t="shared" si="1"/>
        <v>6.2.</v>
      </c>
      <c r="E57" s="1232">
        <v>56</v>
      </c>
      <c r="F57" s="851" t="s">
        <v>3145</v>
      </c>
      <c r="G57" s="844" t="s">
        <v>1853</v>
      </c>
      <c r="H57" t="s">
        <v>2973</v>
      </c>
    </row>
    <row r="58" spans="3:8" ht="65">
      <c r="C58" t="str">
        <f t="shared" si="0"/>
        <v>6.</v>
      </c>
      <c r="D58" t="str">
        <f t="shared" si="1"/>
        <v>6.3.</v>
      </c>
      <c r="E58" s="1232">
        <v>57</v>
      </c>
      <c r="F58" s="851" t="s">
        <v>3145</v>
      </c>
      <c r="G58" s="844" t="s">
        <v>342</v>
      </c>
      <c r="H58" t="s">
        <v>3131</v>
      </c>
    </row>
    <row r="59" spans="3:8" ht="65">
      <c r="C59" t="str">
        <f t="shared" si="0"/>
        <v>6.</v>
      </c>
      <c r="D59" t="str">
        <f t="shared" si="1"/>
        <v>6.3.</v>
      </c>
      <c r="E59" s="1232">
        <v>58</v>
      </c>
      <c r="F59" s="851" t="s">
        <v>3145</v>
      </c>
      <c r="G59" s="844" t="s">
        <v>342</v>
      </c>
      <c r="H59" t="s">
        <v>3132</v>
      </c>
    </row>
    <row r="60" spans="3:8" ht="65">
      <c r="C60" t="str">
        <f t="shared" si="0"/>
        <v>6.</v>
      </c>
      <c r="D60" t="str">
        <f t="shared" si="1"/>
        <v>6.3.</v>
      </c>
      <c r="E60" s="1232">
        <v>59</v>
      </c>
      <c r="F60" s="851" t="s">
        <v>3145</v>
      </c>
      <c r="G60" s="844" t="s">
        <v>342</v>
      </c>
      <c r="H60" t="s">
        <v>3133</v>
      </c>
    </row>
    <row r="61" spans="3:8" ht="65">
      <c r="C61" t="str">
        <f t="shared" si="0"/>
        <v>6.</v>
      </c>
      <c r="D61" t="str">
        <f t="shared" si="1"/>
        <v>6.3.</v>
      </c>
      <c r="E61" s="1232">
        <v>60</v>
      </c>
      <c r="F61" s="851" t="s">
        <v>3145</v>
      </c>
      <c r="G61" s="844" t="s">
        <v>342</v>
      </c>
      <c r="H61" t="s">
        <v>3134</v>
      </c>
    </row>
    <row r="62" spans="3:8" ht="65">
      <c r="C62" t="str">
        <f t="shared" si="0"/>
        <v>6.</v>
      </c>
      <c r="D62" t="str">
        <f t="shared" si="1"/>
        <v>6.3.</v>
      </c>
      <c r="E62" s="1232">
        <v>61</v>
      </c>
      <c r="F62" s="851" t="s">
        <v>3145</v>
      </c>
      <c r="G62" s="844" t="s">
        <v>342</v>
      </c>
      <c r="H62" s="1270" t="s">
        <v>3490</v>
      </c>
    </row>
    <row r="63" spans="3:8" ht="65">
      <c r="C63" t="str">
        <f t="shared" si="0"/>
        <v>6.</v>
      </c>
      <c r="D63" t="str">
        <f t="shared" si="1"/>
        <v>6.3.</v>
      </c>
      <c r="E63" s="1232">
        <v>62</v>
      </c>
      <c r="F63" s="851" t="s">
        <v>3145</v>
      </c>
      <c r="G63" s="844" t="s">
        <v>342</v>
      </c>
      <c r="H63" t="s">
        <v>3136</v>
      </c>
    </row>
    <row r="64" spans="3:8" ht="65">
      <c r="C64" t="str">
        <f t="shared" si="0"/>
        <v>6.</v>
      </c>
      <c r="D64" t="str">
        <f t="shared" si="1"/>
        <v>6.4.</v>
      </c>
      <c r="E64" s="1232">
        <v>63</v>
      </c>
      <c r="F64" s="851" t="s">
        <v>3145</v>
      </c>
      <c r="G64" s="844" t="s">
        <v>343</v>
      </c>
      <c r="H64" t="s">
        <v>2974</v>
      </c>
    </row>
    <row r="65" spans="3:8" ht="65">
      <c r="C65" t="str">
        <f t="shared" si="0"/>
        <v>6.</v>
      </c>
      <c r="D65" t="str">
        <f t="shared" si="1"/>
        <v>6.4.</v>
      </c>
      <c r="E65" s="1232">
        <v>64</v>
      </c>
      <c r="F65" s="851" t="s">
        <v>3145</v>
      </c>
      <c r="G65" s="844" t="s">
        <v>343</v>
      </c>
      <c r="H65" t="s">
        <v>3137</v>
      </c>
    </row>
    <row r="66" spans="3:8" ht="65">
      <c r="C66" t="str">
        <f t="shared" si="0"/>
        <v>6.</v>
      </c>
      <c r="D66" t="str">
        <f t="shared" si="1"/>
        <v>6.4.</v>
      </c>
      <c r="E66" s="1232">
        <v>65</v>
      </c>
      <c r="F66" s="851" t="s">
        <v>3145</v>
      </c>
      <c r="G66" s="844" t="s">
        <v>343</v>
      </c>
      <c r="H66" t="s">
        <v>3138</v>
      </c>
    </row>
    <row r="67" spans="3:8" ht="65">
      <c r="C67" t="str">
        <f t="shared" ref="C67:C83" si="2">LEFT(F67,2)</f>
        <v>6.</v>
      </c>
      <c r="D67" t="str">
        <f t="shared" ref="D67:D83" si="3">LEFT(G67,4)</f>
        <v>6.5.</v>
      </c>
      <c r="E67" s="1232">
        <v>66</v>
      </c>
      <c r="F67" s="851" t="s">
        <v>3145</v>
      </c>
      <c r="G67" s="844" t="s">
        <v>393</v>
      </c>
      <c r="H67" t="s">
        <v>2975</v>
      </c>
    </row>
    <row r="68" spans="3:8" ht="65">
      <c r="C68" t="str">
        <f t="shared" si="2"/>
        <v>6.</v>
      </c>
      <c r="D68" t="str">
        <f t="shared" si="3"/>
        <v>6.5.</v>
      </c>
      <c r="E68" s="1232">
        <v>67</v>
      </c>
      <c r="F68" s="851" t="s">
        <v>3145</v>
      </c>
      <c r="G68" s="844" t="s">
        <v>393</v>
      </c>
      <c r="H68" t="s">
        <v>2976</v>
      </c>
    </row>
    <row r="69" spans="3:8" ht="65">
      <c r="C69" t="str">
        <f t="shared" si="2"/>
        <v>6.</v>
      </c>
      <c r="D69" t="str">
        <f t="shared" si="3"/>
        <v>6.5.</v>
      </c>
      <c r="E69" s="1232">
        <v>68</v>
      </c>
      <c r="F69" s="851" t="s">
        <v>3145</v>
      </c>
      <c r="G69" s="844" t="s">
        <v>393</v>
      </c>
      <c r="H69" t="s">
        <v>2977</v>
      </c>
    </row>
    <row r="70" spans="3:8" ht="65">
      <c r="C70" t="str">
        <f t="shared" si="2"/>
        <v>6.</v>
      </c>
      <c r="D70" t="str">
        <f t="shared" si="3"/>
        <v>6.5.</v>
      </c>
      <c r="E70" s="1232">
        <v>69</v>
      </c>
      <c r="F70" s="851" t="s">
        <v>3145</v>
      </c>
      <c r="G70" s="844" t="s">
        <v>393</v>
      </c>
      <c r="H70" t="s">
        <v>2978</v>
      </c>
    </row>
    <row r="71" spans="3:8" ht="65">
      <c r="C71" t="str">
        <f t="shared" si="2"/>
        <v>6.</v>
      </c>
      <c r="D71" t="str">
        <f t="shared" si="3"/>
        <v>6.6.</v>
      </c>
      <c r="E71" s="1232">
        <v>70</v>
      </c>
      <c r="F71" s="851" t="s">
        <v>3145</v>
      </c>
      <c r="G71" s="844" t="s">
        <v>1854</v>
      </c>
      <c r="H71" t="s">
        <v>2979</v>
      </c>
    </row>
    <row r="72" spans="3:8" ht="65">
      <c r="C72" t="str">
        <f t="shared" si="2"/>
        <v>6.</v>
      </c>
      <c r="D72" t="str">
        <f t="shared" si="3"/>
        <v>6.6.</v>
      </c>
      <c r="E72" s="1232">
        <v>71</v>
      </c>
      <c r="F72" s="851" t="s">
        <v>3145</v>
      </c>
      <c r="G72" s="844" t="s">
        <v>1854</v>
      </c>
      <c r="H72" t="s">
        <v>2980</v>
      </c>
    </row>
    <row r="73" spans="3:8" ht="65">
      <c r="C73" t="str">
        <f t="shared" si="2"/>
        <v>6.</v>
      </c>
      <c r="D73" t="str">
        <f t="shared" si="3"/>
        <v>6.6.</v>
      </c>
      <c r="E73" s="1232">
        <v>72</v>
      </c>
      <c r="F73" s="851" t="s">
        <v>3145</v>
      </c>
      <c r="G73" s="844" t="s">
        <v>1854</v>
      </c>
      <c r="H73" t="s">
        <v>2981</v>
      </c>
    </row>
    <row r="74" spans="3:8" ht="65">
      <c r="C74" t="str">
        <f t="shared" si="2"/>
        <v>6.</v>
      </c>
      <c r="D74" t="str">
        <f t="shared" si="3"/>
        <v>6.6.</v>
      </c>
      <c r="E74" s="1232">
        <v>73</v>
      </c>
      <c r="F74" s="851" t="s">
        <v>3145</v>
      </c>
      <c r="G74" s="844" t="s">
        <v>1854</v>
      </c>
      <c r="H74" t="s">
        <v>2982</v>
      </c>
    </row>
    <row r="75" spans="3:8" ht="65">
      <c r="C75" t="str">
        <f t="shared" si="2"/>
        <v>6.</v>
      </c>
      <c r="D75" t="str">
        <f t="shared" si="3"/>
        <v>6.7.</v>
      </c>
      <c r="E75" s="1232">
        <v>74</v>
      </c>
      <c r="F75" s="851" t="s">
        <v>3145</v>
      </c>
      <c r="G75" s="844" t="s">
        <v>394</v>
      </c>
      <c r="H75" t="s">
        <v>2983</v>
      </c>
    </row>
    <row r="76" spans="3:8" ht="65">
      <c r="C76" t="str">
        <f t="shared" si="2"/>
        <v>6.</v>
      </c>
      <c r="D76" t="str">
        <f t="shared" si="3"/>
        <v>6.7.</v>
      </c>
      <c r="E76" s="1232">
        <v>75</v>
      </c>
      <c r="F76" s="851" t="s">
        <v>3145</v>
      </c>
      <c r="G76" s="844" t="s">
        <v>394</v>
      </c>
      <c r="H76" t="s">
        <v>2984</v>
      </c>
    </row>
    <row r="77" spans="3:8" ht="65">
      <c r="C77" t="str">
        <f t="shared" si="2"/>
        <v>6.</v>
      </c>
      <c r="D77" t="str">
        <f t="shared" si="3"/>
        <v>6.7.</v>
      </c>
      <c r="E77" s="1232">
        <v>76</v>
      </c>
      <c r="F77" s="851" t="s">
        <v>3145</v>
      </c>
      <c r="G77" s="844" t="s">
        <v>394</v>
      </c>
      <c r="H77" t="s">
        <v>2985</v>
      </c>
    </row>
    <row r="78" spans="3:8" ht="49">
      <c r="C78" t="str">
        <f t="shared" si="2"/>
        <v>7.</v>
      </c>
      <c r="D78" t="str">
        <f t="shared" si="3"/>
        <v>7.1.</v>
      </c>
      <c r="E78" s="1232">
        <v>77</v>
      </c>
      <c r="F78" s="851" t="s">
        <v>3146</v>
      </c>
      <c r="G78" s="844" t="s">
        <v>1855</v>
      </c>
      <c r="H78" t="s">
        <v>2986</v>
      </c>
    </row>
    <row r="79" spans="3:8" ht="49">
      <c r="C79" t="str">
        <f t="shared" si="2"/>
        <v>7.</v>
      </c>
      <c r="D79" t="str">
        <f t="shared" si="3"/>
        <v>7.1.</v>
      </c>
      <c r="E79" s="1232">
        <v>78</v>
      </c>
      <c r="F79" s="851" t="s">
        <v>3146</v>
      </c>
      <c r="G79" s="844" t="s">
        <v>1855</v>
      </c>
      <c r="H79" t="s">
        <v>2987</v>
      </c>
    </row>
    <row r="80" spans="3:8" ht="49">
      <c r="C80" t="str">
        <f t="shared" si="2"/>
        <v>7.</v>
      </c>
      <c r="D80" t="str">
        <f t="shared" si="3"/>
        <v>7.1.</v>
      </c>
      <c r="E80" s="1232">
        <v>79</v>
      </c>
      <c r="F80" s="851" t="s">
        <v>3146</v>
      </c>
      <c r="G80" s="844" t="s">
        <v>1855</v>
      </c>
      <c r="H80" t="s">
        <v>2988</v>
      </c>
    </row>
    <row r="81" spans="3:8" ht="49">
      <c r="C81" t="str">
        <f t="shared" si="2"/>
        <v>7.</v>
      </c>
      <c r="D81" t="str">
        <f t="shared" si="3"/>
        <v>7.2.</v>
      </c>
      <c r="E81" s="1232">
        <v>80</v>
      </c>
      <c r="F81" s="851" t="s">
        <v>3146</v>
      </c>
      <c r="G81" s="844" t="s">
        <v>1856</v>
      </c>
      <c r="H81" t="s">
        <v>2989</v>
      </c>
    </row>
    <row r="82" spans="3:8" ht="49">
      <c r="C82" t="str">
        <f t="shared" si="2"/>
        <v>7.</v>
      </c>
      <c r="D82" t="str">
        <f t="shared" si="3"/>
        <v>7.2.</v>
      </c>
      <c r="E82" s="1232">
        <v>81</v>
      </c>
      <c r="F82" s="851" t="s">
        <v>3146</v>
      </c>
      <c r="G82" s="844" t="s">
        <v>1856</v>
      </c>
      <c r="H82" t="s">
        <v>2990</v>
      </c>
    </row>
    <row r="83" spans="3:8" ht="49">
      <c r="C83" t="str">
        <f t="shared" si="2"/>
        <v>7.</v>
      </c>
      <c r="D83" t="str">
        <f t="shared" si="3"/>
        <v>7.2.</v>
      </c>
      <c r="E83" s="1232">
        <v>82</v>
      </c>
      <c r="F83" s="851" t="s">
        <v>3146</v>
      </c>
      <c r="G83" s="844" t="s">
        <v>1856</v>
      </c>
      <c r="H83" t="s">
        <v>2991</v>
      </c>
    </row>
    <row r="84" spans="3:8" ht="15">
      <c r="E84"/>
      <c r="F84"/>
    </row>
    <row r="85" spans="3:8" ht="15">
      <c r="E85"/>
      <c r="F85"/>
    </row>
    <row r="86" spans="3:8" ht="15">
      <c r="E86"/>
      <c r="F86"/>
    </row>
    <row r="87" spans="3:8" ht="15">
      <c r="E87"/>
      <c r="F87"/>
    </row>
    <row r="88" spans="3:8" ht="15">
      <c r="E88"/>
      <c r="F88"/>
    </row>
    <row r="89" spans="3:8" ht="15">
      <c r="E89"/>
      <c r="F89"/>
    </row>
  </sheetData>
  <autoFilter ref="C1:H89" xr:uid="{00000000-0009-0000-0000-000022000000}"/>
  <phoneticPr fontId="66" type="noConversion"/>
  <conditionalFormatting sqref="G2:H61 G63:H83 G62">
    <cfRule type="expression" dxfId="2" priority="2">
      <formula>ISODD($B2)</formula>
    </cfRule>
  </conditionalFormatting>
  <dataValidations count="1">
    <dataValidation type="list" allowBlank="1" showInputMessage="1" showErrorMessage="1" sqref="G2:G83" xr:uid="{00000000-0002-0000-2200-000000000000}">
      <formula1>$M$12:$M$36</formula1>
    </dataValidation>
  </dataValidations>
  <hyperlinks>
    <hyperlink ref="K1" location="SUMAR!A1" display="CUPRINS" xr:uid="{00000000-0004-0000-2200-000000000000}"/>
  </hyperlinks>
  <pageMargins left="0.7" right="0.7" top="0.75" bottom="0.75" header="0.3" footer="0.3"/>
</worksheet>
</file>

<file path=xl/worksheets/sheet3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dimension ref="A1:J30"/>
  <sheetViews>
    <sheetView workbookViewId="0">
      <selection activeCell="A20" sqref="A20"/>
    </sheetView>
  </sheetViews>
  <sheetFormatPr baseColWidth="10" defaultColWidth="8.83203125" defaultRowHeight="15"/>
  <cols>
    <col min="1" max="1" width="24.33203125" customWidth="1"/>
    <col min="2" max="2" width="27.33203125" customWidth="1"/>
    <col min="9" max="9" width="24.33203125" customWidth="1"/>
  </cols>
  <sheetData>
    <row r="1" spans="1:10">
      <c r="A1" s="1231" t="s">
        <v>426</v>
      </c>
      <c r="J1" s="998"/>
    </row>
    <row r="2" spans="1:10">
      <c r="A2" s="1966" t="s">
        <v>422</v>
      </c>
      <c r="J2" s="998"/>
    </row>
    <row r="3" spans="1:10">
      <c r="A3" s="1966" t="s">
        <v>2035</v>
      </c>
      <c r="J3" s="998"/>
    </row>
    <row r="4" spans="1:10">
      <c r="A4" s="1966" t="s">
        <v>2378</v>
      </c>
    </row>
    <row r="5" spans="1:10">
      <c r="A5" s="1966" t="s">
        <v>387</v>
      </c>
    </row>
    <row r="6" spans="1:10">
      <c r="A6" s="1966" t="s">
        <v>423</v>
      </c>
    </row>
    <row r="7" spans="1:10">
      <c r="A7" s="1966" t="s">
        <v>424</v>
      </c>
    </row>
    <row r="8" spans="1:10">
      <c r="A8" s="1966" t="s">
        <v>425</v>
      </c>
    </row>
    <row r="9" spans="1:10">
      <c r="A9" s="416" t="s">
        <v>1848</v>
      </c>
    </row>
    <row r="10" spans="1:10">
      <c r="A10" s="416" t="s">
        <v>2014</v>
      </c>
    </row>
    <row r="11" spans="1:10">
      <c r="A11" s="416" t="s">
        <v>2013</v>
      </c>
    </row>
    <row r="12" spans="1:10">
      <c r="A12" s="416" t="s">
        <v>3088</v>
      </c>
    </row>
    <row r="13" spans="1:10">
      <c r="A13" s="416" t="s">
        <v>3386</v>
      </c>
    </row>
    <row r="14" spans="1:10">
      <c r="A14" s="416" t="s">
        <v>3124</v>
      </c>
    </row>
    <row r="15" spans="1:10">
      <c r="A15" s="416" t="s">
        <v>3147</v>
      </c>
    </row>
    <row r="16" spans="1:10">
      <c r="A16" s="416" t="s">
        <v>3225</v>
      </c>
    </row>
    <row r="17" spans="1:1">
      <c r="A17" s="416" t="s">
        <v>3310</v>
      </c>
    </row>
    <row r="18" spans="1:1">
      <c r="A18" s="416" t="s">
        <v>3315</v>
      </c>
    </row>
    <row r="19" spans="1:1">
      <c r="A19" s="416" t="s">
        <v>3468</v>
      </c>
    </row>
    <row r="20" spans="1:1">
      <c r="A20" s="416" t="s">
        <v>3628</v>
      </c>
    </row>
    <row r="21" spans="1:1">
      <c r="A21" s="416"/>
    </row>
    <row r="22" spans="1:1">
      <c r="A22" s="416"/>
    </row>
    <row r="23" spans="1:1">
      <c r="A23" s="416"/>
    </row>
    <row r="24" spans="1:1">
      <c r="A24" s="416"/>
    </row>
    <row r="25" spans="1:1">
      <c r="A25" s="416"/>
    </row>
    <row r="26" spans="1:1">
      <c r="A26" s="416"/>
    </row>
    <row r="27" spans="1:1">
      <c r="A27" s="416"/>
    </row>
    <row r="28" spans="1:1">
      <c r="A28" s="416"/>
    </row>
    <row r="29" spans="1:1">
      <c r="A29" s="416"/>
    </row>
    <row r="30" spans="1:1">
      <c r="A30" s="416"/>
    </row>
  </sheetData>
  <pageMargins left="0.7" right="0.7" top="0.75" bottom="0.75" header="0.3" footer="0.3"/>
  <pageSetup paperSize="9" orientation="portrait" r:id="rId1"/>
</worksheet>
</file>

<file path=xl/worksheets/sheet3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T285"/>
  <sheetViews>
    <sheetView topLeftCell="A181" zoomScale="55" zoomScaleNormal="55" workbookViewId="0">
      <selection activeCell="AN18" sqref="AN18"/>
    </sheetView>
  </sheetViews>
  <sheetFormatPr baseColWidth="10" defaultColWidth="8.83203125" defaultRowHeight="15"/>
  <cols>
    <col min="1" max="1" width="20.6640625" customWidth="1"/>
    <col min="2" max="2" width="4.33203125" bestFit="1" customWidth="1"/>
    <col min="3" max="3" width="6" bestFit="1" customWidth="1"/>
    <col min="4" max="4" width="6" customWidth="1"/>
    <col min="5" max="20" width="6" bestFit="1" customWidth="1"/>
    <col min="21" max="21" width="6" style="1808" customWidth="1"/>
    <col min="22" max="22" width="8.6640625" customWidth="1"/>
    <col min="23" max="36" width="2.1640625" bestFit="1" customWidth="1"/>
    <col min="40" max="40" width="27.6640625" bestFit="1" customWidth="1"/>
    <col min="41" max="41" width="16.1640625" bestFit="1" customWidth="1"/>
    <col min="42" max="42" width="13.1640625" bestFit="1" customWidth="1"/>
    <col min="43" max="43" width="5" bestFit="1" customWidth="1"/>
    <col min="45" max="45" width="32.5" customWidth="1"/>
    <col min="46" max="46" width="15.1640625" customWidth="1"/>
  </cols>
  <sheetData>
    <row r="1" spans="1:46" ht="138" customHeight="1">
      <c r="A1" s="1836" t="s">
        <v>356</v>
      </c>
      <c r="C1" s="2060" t="s">
        <v>422</v>
      </c>
      <c r="D1" s="2060" t="s">
        <v>2035</v>
      </c>
      <c r="E1" s="2060" t="s">
        <v>2378</v>
      </c>
      <c r="F1" s="2060" t="s">
        <v>387</v>
      </c>
      <c r="G1" s="2060" t="s">
        <v>423</v>
      </c>
      <c r="H1" s="2060" t="s">
        <v>424</v>
      </c>
      <c r="I1" s="2060" t="s">
        <v>425</v>
      </c>
      <c r="J1" s="2061" t="s">
        <v>1848</v>
      </c>
      <c r="K1" s="2061" t="s">
        <v>2014</v>
      </c>
      <c r="L1" s="2061" t="s">
        <v>2013</v>
      </c>
      <c r="M1" s="2061" t="s">
        <v>3088</v>
      </c>
      <c r="N1" s="2061" t="s">
        <v>3386</v>
      </c>
      <c r="O1" s="2061" t="s">
        <v>3124</v>
      </c>
      <c r="P1" s="2061" t="s">
        <v>3147</v>
      </c>
      <c r="Q1" s="2061" t="s">
        <v>3225</v>
      </c>
      <c r="R1" s="2061" t="s">
        <v>3310</v>
      </c>
      <c r="S1" s="2061" t="s">
        <v>3315</v>
      </c>
      <c r="T1" s="2061" t="s">
        <v>3468</v>
      </c>
      <c r="U1" s="2061" t="s">
        <v>3628</v>
      </c>
      <c r="V1" s="2062" t="s">
        <v>2228</v>
      </c>
      <c r="AN1" s="958" t="s">
        <v>3107</v>
      </c>
      <c r="AO1" s="1068">
        <f ca="1">SUM(CUPRINS!C:C)</f>
        <v>2678977047.2733545</v>
      </c>
      <c r="AP1" s="958" t="s">
        <v>443</v>
      </c>
      <c r="AS1">
        <v>1342438214.1978445</v>
      </c>
      <c r="AT1" s="836">
        <f ca="1">AO1-AS1</f>
        <v>1336538833.07551</v>
      </c>
    </row>
    <row r="2" spans="1:46">
      <c r="B2">
        <v>1</v>
      </c>
      <c r="C2" t="str">
        <f ca="1">IFERROR(VLOOKUP($B2,INDIRECT(C$1&amp;"!"&amp;"A:A"),1,0),"")</f>
        <v/>
      </c>
      <c r="D2" s="1808" t="str">
        <f t="shared" ref="D2:T17" ca="1" si="0">IFERROR(VLOOKUP($B2,INDIRECT(D$1&amp;"!"&amp;"A:A"),1,0),"")</f>
        <v/>
      </c>
      <c r="E2" s="1808" t="str">
        <f t="shared" ca="1" si="0"/>
        <v/>
      </c>
      <c r="F2" s="1808" t="str">
        <f t="shared" ca="1" si="0"/>
        <v/>
      </c>
      <c r="G2" s="1808" t="str">
        <f t="shared" ca="1" si="0"/>
        <v/>
      </c>
      <c r="H2" s="1808" t="str">
        <f t="shared" ca="1" si="0"/>
        <v/>
      </c>
      <c r="I2" s="1808" t="str">
        <f t="shared" ca="1" si="0"/>
        <v/>
      </c>
      <c r="J2" s="1808" t="str">
        <f t="shared" ca="1" si="0"/>
        <v/>
      </c>
      <c r="K2" s="1808" t="str">
        <f t="shared" ca="1" si="0"/>
        <v/>
      </c>
      <c r="L2" s="1808">
        <f t="shared" ca="1" si="0"/>
        <v>1</v>
      </c>
      <c r="M2" s="1808" t="str">
        <f t="shared" ca="1" si="0"/>
        <v/>
      </c>
      <c r="N2" s="1808" t="str">
        <f t="shared" ca="1" si="0"/>
        <v/>
      </c>
      <c r="O2" s="1808" t="str">
        <f t="shared" ca="1" si="0"/>
        <v/>
      </c>
      <c r="P2" s="1808" t="str">
        <f t="shared" ca="1" si="0"/>
        <v/>
      </c>
      <c r="Q2" s="1808" t="str">
        <f t="shared" ca="1" si="0"/>
        <v/>
      </c>
      <c r="R2" s="1808" t="str">
        <f t="shared" ca="1" si="0"/>
        <v/>
      </c>
      <c r="S2" s="1808" t="str">
        <f t="shared" ca="1" si="0"/>
        <v/>
      </c>
      <c r="T2" s="1808" t="str">
        <f t="shared" ca="1" si="0"/>
        <v/>
      </c>
      <c r="U2" s="1808" t="str">
        <f t="shared" ref="U2:U65" ca="1" si="1">IFERROR(VLOOKUP($B2,INDIRECT(U$1&amp;"!"&amp;"A:A"),1,0),"")</f>
        <v/>
      </c>
      <c r="V2">
        <f ca="1">COUNTIF(C2:U2,"&gt;0")</f>
        <v>1</v>
      </c>
      <c r="AN2" s="958" t="s">
        <v>3108</v>
      </c>
      <c r="AO2" s="1068">
        <f ca="1">Buget_sumar_MDL!AM16</f>
        <v>1337042974.6366773</v>
      </c>
      <c r="AP2" s="958" t="s">
        <v>443</v>
      </c>
    </row>
    <row r="3" spans="1:46">
      <c r="B3">
        <v>2</v>
      </c>
      <c r="C3" s="1808" t="str">
        <f t="shared" ref="C3:M66" ca="1" si="2">IFERROR(VLOOKUP($B3,INDIRECT(C$1&amp;"!"&amp;"A:A"),1,0),"")</f>
        <v/>
      </c>
      <c r="D3" s="1808" t="str">
        <f t="shared" ca="1" si="2"/>
        <v/>
      </c>
      <c r="E3" s="1808" t="str">
        <f t="shared" ca="1" si="2"/>
        <v/>
      </c>
      <c r="F3" s="1808" t="str">
        <f t="shared" ca="1" si="2"/>
        <v/>
      </c>
      <c r="G3" s="1808" t="str">
        <f t="shared" ca="1" si="2"/>
        <v/>
      </c>
      <c r="H3" s="1808" t="str">
        <f t="shared" ca="1" si="2"/>
        <v/>
      </c>
      <c r="I3" s="1808" t="str">
        <f t="shared" ca="1" si="2"/>
        <v/>
      </c>
      <c r="J3" s="1808" t="str">
        <f t="shared" ca="1" si="2"/>
        <v/>
      </c>
      <c r="K3" s="1808" t="str">
        <f t="shared" ca="1" si="2"/>
        <v/>
      </c>
      <c r="L3" s="1808">
        <f t="shared" ca="1" si="2"/>
        <v>2</v>
      </c>
      <c r="M3" s="1808" t="str">
        <f t="shared" ca="1" si="2"/>
        <v/>
      </c>
      <c r="N3" s="1808" t="str">
        <f t="shared" ca="1" si="0"/>
        <v/>
      </c>
      <c r="O3" s="1808" t="str">
        <f t="shared" ca="1" si="0"/>
        <v/>
      </c>
      <c r="P3" s="1808" t="str">
        <f t="shared" ca="1" si="0"/>
        <v/>
      </c>
      <c r="Q3" s="1808" t="str">
        <f t="shared" ca="1" si="0"/>
        <v/>
      </c>
      <c r="R3" s="1808" t="str">
        <f t="shared" ca="1" si="0"/>
        <v/>
      </c>
      <c r="S3" s="1808" t="str">
        <f t="shared" ca="1" si="0"/>
        <v/>
      </c>
      <c r="T3" s="1808" t="str">
        <f t="shared" ca="1" si="0"/>
        <v/>
      </c>
      <c r="U3" s="1808" t="str">
        <f t="shared" ca="1" si="1"/>
        <v/>
      </c>
      <c r="V3" s="1808">
        <f t="shared" ref="V3:V66" ca="1" si="3">COUNTIF(C3:U3,"&gt;0")</f>
        <v>1</v>
      </c>
      <c r="AN3" s="958"/>
      <c r="AO3" s="1068"/>
      <c r="AP3" s="958"/>
      <c r="AT3">
        <f ca="1">AT1/EUR</f>
        <v>68104920.266844809</v>
      </c>
    </row>
    <row r="4" spans="1:46">
      <c r="B4">
        <v>3</v>
      </c>
      <c r="C4" s="1808" t="str">
        <f t="shared" ca="1" si="2"/>
        <v/>
      </c>
      <c r="D4" s="1808" t="str">
        <f t="shared" ca="1" si="2"/>
        <v/>
      </c>
      <c r="E4" s="1808" t="str">
        <f t="shared" ca="1" si="2"/>
        <v/>
      </c>
      <c r="F4" s="1808" t="str">
        <f t="shared" ca="1" si="2"/>
        <v/>
      </c>
      <c r="G4" s="1808" t="str">
        <f t="shared" ca="1" si="2"/>
        <v/>
      </c>
      <c r="H4" s="1808" t="str">
        <f t="shared" ca="1" si="2"/>
        <v/>
      </c>
      <c r="I4" s="1808" t="str">
        <f t="shared" ca="1" si="2"/>
        <v/>
      </c>
      <c r="J4" s="1808" t="str">
        <f t="shared" ca="1" si="2"/>
        <v/>
      </c>
      <c r="K4" s="1808" t="str">
        <f t="shared" ca="1" si="2"/>
        <v/>
      </c>
      <c r="L4" s="1808">
        <f t="shared" ca="1" si="2"/>
        <v>3</v>
      </c>
      <c r="M4" s="1808" t="str">
        <f t="shared" ca="1" si="2"/>
        <v/>
      </c>
      <c r="N4" s="1808" t="str">
        <f t="shared" ca="1" si="0"/>
        <v/>
      </c>
      <c r="O4" s="1808" t="str">
        <f t="shared" ca="1" si="0"/>
        <v/>
      </c>
      <c r="P4" s="1808" t="str">
        <f t="shared" ca="1" si="0"/>
        <v/>
      </c>
      <c r="Q4" s="1808" t="str">
        <f t="shared" ca="1" si="0"/>
        <v/>
      </c>
      <c r="R4" s="1808" t="str">
        <f t="shared" ca="1" si="0"/>
        <v/>
      </c>
      <c r="S4" s="1808" t="str">
        <f t="shared" ca="1" si="0"/>
        <v/>
      </c>
      <c r="T4" s="1808" t="str">
        <f t="shared" ca="1" si="0"/>
        <v/>
      </c>
      <c r="U4" s="1808" t="str">
        <f t="shared" ca="1" si="1"/>
        <v/>
      </c>
      <c r="V4" s="1808">
        <f t="shared" ca="1" si="3"/>
        <v>1</v>
      </c>
      <c r="AN4" s="958"/>
      <c r="AO4" s="2089"/>
      <c r="AP4" s="2090"/>
    </row>
    <row r="5" spans="1:46">
      <c r="B5">
        <v>4</v>
      </c>
      <c r="C5" s="1808" t="str">
        <f t="shared" ca="1" si="2"/>
        <v/>
      </c>
      <c r="D5" s="1808" t="str">
        <f t="shared" ca="1" si="2"/>
        <v/>
      </c>
      <c r="E5" s="1808" t="str">
        <f t="shared" ca="1" si="2"/>
        <v/>
      </c>
      <c r="F5" s="1808" t="str">
        <f t="shared" ca="1" si="2"/>
        <v/>
      </c>
      <c r="G5" s="1808" t="str">
        <f t="shared" ca="1" si="2"/>
        <v/>
      </c>
      <c r="H5" s="1808" t="str">
        <f t="shared" ca="1" si="2"/>
        <v/>
      </c>
      <c r="I5" s="1808" t="str">
        <f t="shared" ca="1" si="2"/>
        <v/>
      </c>
      <c r="J5" s="1808" t="str">
        <f t="shared" ca="1" si="2"/>
        <v/>
      </c>
      <c r="K5" s="1808" t="str">
        <f t="shared" ca="1" si="2"/>
        <v/>
      </c>
      <c r="L5" s="1808">
        <f t="shared" ca="1" si="2"/>
        <v>4</v>
      </c>
      <c r="M5" s="1808" t="str">
        <f t="shared" ca="1" si="2"/>
        <v/>
      </c>
      <c r="N5" s="1808" t="str">
        <f t="shared" ca="1" si="0"/>
        <v/>
      </c>
      <c r="O5" s="1808" t="str">
        <f t="shared" ca="1" si="0"/>
        <v/>
      </c>
      <c r="P5" s="1808" t="str">
        <f t="shared" ca="1" si="0"/>
        <v/>
      </c>
      <c r="Q5" s="1808" t="str">
        <f t="shared" ca="1" si="0"/>
        <v/>
      </c>
      <c r="R5" s="1808" t="str">
        <f t="shared" ca="1" si="0"/>
        <v/>
      </c>
      <c r="S5" s="1808" t="str">
        <f t="shared" ca="1" si="0"/>
        <v/>
      </c>
      <c r="T5" s="1808" t="str">
        <f t="shared" ca="1" si="0"/>
        <v/>
      </c>
      <c r="U5" s="1808" t="str">
        <f t="shared" ca="1" si="1"/>
        <v/>
      </c>
      <c r="V5" s="1808">
        <f t="shared" ca="1" si="3"/>
        <v>1</v>
      </c>
      <c r="AN5" s="958"/>
      <c r="AO5" s="958"/>
      <c r="AP5" s="958"/>
    </row>
    <row r="6" spans="1:46">
      <c r="B6">
        <v>5</v>
      </c>
      <c r="C6" s="1808" t="str">
        <f t="shared" ca="1" si="2"/>
        <v/>
      </c>
      <c r="D6" s="1808" t="str">
        <f t="shared" ca="1" si="2"/>
        <v/>
      </c>
      <c r="E6" s="1808" t="str">
        <f t="shared" ca="1" si="2"/>
        <v/>
      </c>
      <c r="F6" s="1808" t="str">
        <f t="shared" ca="1" si="2"/>
        <v/>
      </c>
      <c r="G6" s="1808" t="str">
        <f t="shared" ca="1" si="2"/>
        <v/>
      </c>
      <c r="H6" s="1808" t="str">
        <f t="shared" ca="1" si="2"/>
        <v/>
      </c>
      <c r="I6" s="1808" t="str">
        <f t="shared" ca="1" si="2"/>
        <v/>
      </c>
      <c r="J6" s="1808" t="str">
        <f t="shared" ca="1" si="2"/>
        <v/>
      </c>
      <c r="K6" s="1808" t="str">
        <f t="shared" ca="1" si="2"/>
        <v/>
      </c>
      <c r="L6" s="1808">
        <f t="shared" ca="1" si="2"/>
        <v>5</v>
      </c>
      <c r="M6" s="1808" t="str">
        <f t="shared" ca="1" si="2"/>
        <v/>
      </c>
      <c r="N6" s="1808" t="str">
        <f t="shared" ca="1" si="0"/>
        <v/>
      </c>
      <c r="O6" s="1808" t="str">
        <f t="shared" ca="1" si="0"/>
        <v/>
      </c>
      <c r="P6" s="1808" t="str">
        <f t="shared" ca="1" si="0"/>
        <v/>
      </c>
      <c r="Q6" s="1808" t="str">
        <f t="shared" ca="1" si="0"/>
        <v/>
      </c>
      <c r="R6" s="1808" t="str">
        <f t="shared" ca="1" si="0"/>
        <v/>
      </c>
      <c r="S6" s="1808" t="str">
        <f t="shared" ca="1" si="0"/>
        <v/>
      </c>
      <c r="T6" s="1808" t="str">
        <f t="shared" ca="1" si="0"/>
        <v/>
      </c>
      <c r="U6" s="1808" t="str">
        <f t="shared" ca="1" si="1"/>
        <v/>
      </c>
      <c r="V6" s="1808">
        <f t="shared" ca="1" si="3"/>
        <v>1</v>
      </c>
      <c r="AN6" s="958" t="s">
        <v>3592</v>
      </c>
      <c r="AO6" s="958"/>
      <c r="AP6" s="1068">
        <f ca="1">AO2-AO3</f>
        <v>1337042974.6366773</v>
      </c>
    </row>
    <row r="7" spans="1:46">
      <c r="B7">
        <v>6</v>
      </c>
      <c r="C7" s="1808" t="str">
        <f t="shared" ca="1" si="2"/>
        <v/>
      </c>
      <c r="D7" s="1808" t="str">
        <f t="shared" ca="1" si="2"/>
        <v/>
      </c>
      <c r="E7" s="1808" t="str">
        <f t="shared" ca="1" si="2"/>
        <v/>
      </c>
      <c r="F7" s="1808" t="str">
        <f t="shared" ca="1" si="2"/>
        <v/>
      </c>
      <c r="G7" s="1808" t="str">
        <f t="shared" ca="1" si="2"/>
        <v/>
      </c>
      <c r="H7" s="1808" t="str">
        <f t="shared" ca="1" si="2"/>
        <v/>
      </c>
      <c r="I7" s="1808" t="str">
        <f t="shared" ca="1" si="2"/>
        <v/>
      </c>
      <c r="J7" s="1808" t="str">
        <f t="shared" ca="1" si="2"/>
        <v/>
      </c>
      <c r="K7" s="1808" t="str">
        <f t="shared" ca="1" si="2"/>
        <v/>
      </c>
      <c r="L7" s="1808">
        <f t="shared" ca="1" si="2"/>
        <v>6</v>
      </c>
      <c r="M7" s="1808" t="str">
        <f t="shared" ca="1" si="2"/>
        <v/>
      </c>
      <c r="N7" s="1808" t="str">
        <f t="shared" ca="1" si="0"/>
        <v/>
      </c>
      <c r="O7" s="1808" t="str">
        <f t="shared" ca="1" si="0"/>
        <v/>
      </c>
      <c r="P7" s="1808" t="str">
        <f t="shared" ca="1" si="0"/>
        <v/>
      </c>
      <c r="Q7" s="1808" t="str">
        <f t="shared" ca="1" si="0"/>
        <v/>
      </c>
      <c r="R7" s="1808" t="str">
        <f t="shared" ca="1" si="0"/>
        <v/>
      </c>
      <c r="S7" s="1808" t="str">
        <f t="shared" ca="1" si="0"/>
        <v/>
      </c>
      <c r="T7" s="1808" t="str">
        <f t="shared" ca="1" si="0"/>
        <v/>
      </c>
      <c r="U7" s="1808" t="str">
        <f t="shared" ca="1" si="1"/>
        <v/>
      </c>
      <c r="V7" s="1808">
        <f t="shared" ca="1" si="3"/>
        <v>1</v>
      </c>
    </row>
    <row r="8" spans="1:46">
      <c r="B8">
        <v>7</v>
      </c>
      <c r="C8" s="1808" t="str">
        <f t="shared" ca="1" si="2"/>
        <v/>
      </c>
      <c r="D8" s="1808" t="str">
        <f t="shared" ca="1" si="2"/>
        <v/>
      </c>
      <c r="E8" s="1808" t="str">
        <f t="shared" ca="1" si="2"/>
        <v/>
      </c>
      <c r="F8" s="1808" t="str">
        <f t="shared" ca="1" si="2"/>
        <v/>
      </c>
      <c r="G8" s="1808" t="str">
        <f t="shared" ca="1" si="2"/>
        <v/>
      </c>
      <c r="H8" s="1808" t="str">
        <f t="shared" ca="1" si="2"/>
        <v/>
      </c>
      <c r="I8" s="1808" t="str">
        <f t="shared" ca="1" si="2"/>
        <v/>
      </c>
      <c r="J8" s="1808" t="str">
        <f t="shared" ca="1" si="2"/>
        <v/>
      </c>
      <c r="K8" s="1808" t="str">
        <f t="shared" ca="1" si="2"/>
        <v/>
      </c>
      <c r="L8" s="1808">
        <f t="shared" ca="1" si="2"/>
        <v>7</v>
      </c>
      <c r="M8" s="1808" t="str">
        <f t="shared" ca="1" si="2"/>
        <v/>
      </c>
      <c r="N8" s="1808" t="str">
        <f t="shared" ca="1" si="0"/>
        <v/>
      </c>
      <c r="O8" s="1808" t="str">
        <f t="shared" ca="1" si="0"/>
        <v/>
      </c>
      <c r="P8" s="1808" t="str">
        <f t="shared" ca="1" si="0"/>
        <v/>
      </c>
      <c r="Q8" s="1808" t="str">
        <f t="shared" ca="1" si="0"/>
        <v/>
      </c>
      <c r="R8" s="1808" t="str">
        <f t="shared" ca="1" si="0"/>
        <v/>
      </c>
      <c r="S8" s="1808" t="str">
        <f t="shared" ca="1" si="0"/>
        <v/>
      </c>
      <c r="T8" s="1808" t="str">
        <f t="shared" ca="1" si="0"/>
        <v/>
      </c>
      <c r="U8" s="1808" t="str">
        <f t="shared" ca="1" si="1"/>
        <v/>
      </c>
      <c r="V8" s="1808">
        <f t="shared" ca="1" si="3"/>
        <v>1</v>
      </c>
    </row>
    <row r="9" spans="1:46">
      <c r="B9">
        <v>8</v>
      </c>
      <c r="C9" s="1808" t="str">
        <f t="shared" ca="1" si="2"/>
        <v/>
      </c>
      <c r="D9" s="1808" t="str">
        <f t="shared" ca="1" si="2"/>
        <v/>
      </c>
      <c r="E9" s="1808" t="str">
        <f t="shared" ca="1" si="2"/>
        <v/>
      </c>
      <c r="F9" s="1808" t="str">
        <f t="shared" ca="1" si="2"/>
        <v/>
      </c>
      <c r="G9" s="1808" t="str">
        <f t="shared" ca="1" si="2"/>
        <v/>
      </c>
      <c r="H9" s="1808" t="str">
        <f t="shared" ca="1" si="2"/>
        <v/>
      </c>
      <c r="I9" s="1808" t="str">
        <f t="shared" ca="1" si="2"/>
        <v/>
      </c>
      <c r="J9" s="1808" t="str">
        <f t="shared" ca="1" si="2"/>
        <v/>
      </c>
      <c r="K9" s="1808" t="str">
        <f t="shared" ca="1" si="2"/>
        <v/>
      </c>
      <c r="L9" s="1808" t="str">
        <f t="shared" ca="1" si="2"/>
        <v/>
      </c>
      <c r="M9" s="1808" t="str">
        <f t="shared" ca="1" si="2"/>
        <v/>
      </c>
      <c r="N9" s="1808" t="str">
        <f t="shared" ca="1" si="0"/>
        <v/>
      </c>
      <c r="O9" s="1808" t="str">
        <f t="shared" ca="1" si="0"/>
        <v/>
      </c>
      <c r="P9" s="1808" t="str">
        <f t="shared" ca="1" si="0"/>
        <v/>
      </c>
      <c r="Q9" s="1808" t="str">
        <f t="shared" ca="1" si="0"/>
        <v/>
      </c>
      <c r="R9" s="1808" t="str">
        <f t="shared" ca="1" si="0"/>
        <v/>
      </c>
      <c r="S9" s="1808" t="str">
        <f t="shared" ca="1" si="0"/>
        <v/>
      </c>
      <c r="T9" s="1808" t="str">
        <f t="shared" ca="1" si="0"/>
        <v/>
      </c>
      <c r="U9" s="1808">
        <f t="shared" ca="1" si="1"/>
        <v>8</v>
      </c>
      <c r="V9" s="1808">
        <f t="shared" ca="1" si="3"/>
        <v>1</v>
      </c>
    </row>
    <row r="10" spans="1:46">
      <c r="B10">
        <v>9</v>
      </c>
      <c r="C10" s="1808" t="str">
        <f t="shared" ca="1" si="2"/>
        <v/>
      </c>
      <c r="D10" s="1808" t="str">
        <f t="shared" ca="1" si="2"/>
        <v/>
      </c>
      <c r="E10" s="1808" t="str">
        <f t="shared" ca="1" si="2"/>
        <v/>
      </c>
      <c r="F10" s="1808" t="str">
        <f t="shared" ca="1" si="2"/>
        <v/>
      </c>
      <c r="G10" s="1808" t="str">
        <f t="shared" ca="1" si="2"/>
        <v/>
      </c>
      <c r="H10" s="1808" t="str">
        <f t="shared" ca="1" si="2"/>
        <v/>
      </c>
      <c r="I10" s="1808" t="str">
        <f t="shared" ca="1" si="2"/>
        <v/>
      </c>
      <c r="J10" s="1808" t="str">
        <f t="shared" ca="1" si="2"/>
        <v/>
      </c>
      <c r="K10" s="1808" t="str">
        <f t="shared" ca="1" si="2"/>
        <v/>
      </c>
      <c r="L10" s="1808" t="str">
        <f t="shared" ca="1" si="2"/>
        <v/>
      </c>
      <c r="M10" s="1808" t="str">
        <f t="shared" ca="1" si="2"/>
        <v/>
      </c>
      <c r="N10" s="1808" t="str">
        <f t="shared" ca="1" si="0"/>
        <v/>
      </c>
      <c r="O10" s="1808" t="str">
        <f t="shared" ca="1" si="0"/>
        <v/>
      </c>
      <c r="P10" s="1808" t="str">
        <f t="shared" ca="1" si="0"/>
        <v/>
      </c>
      <c r="Q10" s="1808" t="str">
        <f t="shared" ca="1" si="0"/>
        <v/>
      </c>
      <c r="R10" s="1808" t="str">
        <f t="shared" ca="1" si="0"/>
        <v/>
      </c>
      <c r="S10" s="1808" t="str">
        <f t="shared" ca="1" si="0"/>
        <v/>
      </c>
      <c r="T10" s="1808" t="str">
        <f t="shared" ca="1" si="0"/>
        <v/>
      </c>
      <c r="U10" s="1808">
        <f t="shared" ca="1" si="1"/>
        <v>9</v>
      </c>
      <c r="V10" s="1808">
        <f t="shared" ca="1" si="3"/>
        <v>1</v>
      </c>
    </row>
    <row r="11" spans="1:46">
      <c r="B11">
        <v>10</v>
      </c>
      <c r="C11" s="1808">
        <f t="shared" ca="1" si="2"/>
        <v>10</v>
      </c>
      <c r="D11" s="1808" t="str">
        <f t="shared" ca="1" si="2"/>
        <v/>
      </c>
      <c r="E11" s="1808" t="str">
        <f t="shared" ca="1" si="2"/>
        <v/>
      </c>
      <c r="F11" s="1808" t="str">
        <f t="shared" ca="1" si="2"/>
        <v/>
      </c>
      <c r="G11" s="1808" t="str">
        <f t="shared" ca="1" si="2"/>
        <v/>
      </c>
      <c r="H11" s="1808" t="str">
        <f t="shared" ca="1" si="2"/>
        <v/>
      </c>
      <c r="I11" s="1808" t="str">
        <f t="shared" ca="1" si="2"/>
        <v/>
      </c>
      <c r="J11" s="1808" t="str">
        <f t="shared" ca="1" si="2"/>
        <v/>
      </c>
      <c r="K11" s="1808" t="str">
        <f t="shared" ca="1" si="2"/>
        <v/>
      </c>
      <c r="L11" s="1808" t="str">
        <f t="shared" ca="1" si="2"/>
        <v/>
      </c>
      <c r="M11" s="1808" t="str">
        <f t="shared" ca="1" si="2"/>
        <v/>
      </c>
      <c r="N11" s="1808" t="str">
        <f t="shared" ca="1" si="0"/>
        <v/>
      </c>
      <c r="O11" s="1808" t="str">
        <f t="shared" ca="1" si="0"/>
        <v/>
      </c>
      <c r="P11" s="1808" t="str">
        <f t="shared" ca="1" si="0"/>
        <v/>
      </c>
      <c r="Q11" s="1808" t="str">
        <f t="shared" ca="1" si="0"/>
        <v/>
      </c>
      <c r="R11" s="1808" t="str">
        <f t="shared" ca="1" si="0"/>
        <v/>
      </c>
      <c r="S11" s="1808" t="str">
        <f t="shared" ca="1" si="0"/>
        <v/>
      </c>
      <c r="T11" s="1808" t="str">
        <f t="shared" ca="1" si="0"/>
        <v/>
      </c>
      <c r="U11" s="1808" t="str">
        <f t="shared" ca="1" si="1"/>
        <v/>
      </c>
      <c r="V11" s="1808">
        <f t="shared" ca="1" si="3"/>
        <v>1</v>
      </c>
    </row>
    <row r="12" spans="1:46">
      <c r="B12">
        <v>11</v>
      </c>
      <c r="C12" s="1808">
        <f t="shared" ca="1" si="2"/>
        <v>11</v>
      </c>
      <c r="D12" s="1808" t="str">
        <f t="shared" ca="1" si="2"/>
        <v/>
      </c>
      <c r="E12" s="1808" t="str">
        <f t="shared" ca="1" si="2"/>
        <v/>
      </c>
      <c r="F12" s="1808" t="str">
        <f t="shared" ca="1" si="2"/>
        <v/>
      </c>
      <c r="G12" s="1808" t="str">
        <f t="shared" ca="1" si="2"/>
        <v/>
      </c>
      <c r="H12" s="1808" t="str">
        <f t="shared" ca="1" si="2"/>
        <v/>
      </c>
      <c r="I12" s="1808" t="str">
        <f t="shared" ca="1" si="2"/>
        <v/>
      </c>
      <c r="J12" s="1808" t="str">
        <f t="shared" ca="1" si="2"/>
        <v/>
      </c>
      <c r="K12" s="1808" t="str">
        <f t="shared" ca="1" si="2"/>
        <v/>
      </c>
      <c r="L12" s="1808" t="str">
        <f t="shared" ca="1" si="2"/>
        <v/>
      </c>
      <c r="M12" s="1808" t="str">
        <f t="shared" ca="1" si="2"/>
        <v/>
      </c>
      <c r="N12" s="1808" t="str">
        <f t="shared" ca="1" si="0"/>
        <v/>
      </c>
      <c r="O12" s="1808" t="str">
        <f t="shared" ca="1" si="0"/>
        <v/>
      </c>
      <c r="P12" s="1808" t="str">
        <f t="shared" ca="1" si="0"/>
        <v/>
      </c>
      <c r="Q12" s="1808" t="str">
        <f t="shared" ca="1" si="0"/>
        <v/>
      </c>
      <c r="R12" s="1808" t="str">
        <f t="shared" ca="1" si="0"/>
        <v/>
      </c>
      <c r="S12" s="1808" t="str">
        <f t="shared" ca="1" si="0"/>
        <v/>
      </c>
      <c r="T12" s="1808" t="str">
        <f t="shared" ca="1" si="0"/>
        <v/>
      </c>
      <c r="U12" s="1808" t="str">
        <f t="shared" ca="1" si="1"/>
        <v/>
      </c>
      <c r="V12" s="1808">
        <f t="shared" ca="1" si="3"/>
        <v>1</v>
      </c>
    </row>
    <row r="13" spans="1:46">
      <c r="B13">
        <v>12</v>
      </c>
      <c r="C13" s="1808">
        <f t="shared" ca="1" si="2"/>
        <v>12</v>
      </c>
      <c r="D13" s="1808" t="str">
        <f t="shared" ca="1" si="2"/>
        <v/>
      </c>
      <c r="E13" s="1808" t="str">
        <f t="shared" ca="1" si="2"/>
        <v/>
      </c>
      <c r="F13" s="1808" t="str">
        <f t="shared" ca="1" si="2"/>
        <v/>
      </c>
      <c r="G13" s="1808" t="str">
        <f t="shared" ca="1" si="2"/>
        <v/>
      </c>
      <c r="H13" s="1808" t="str">
        <f t="shared" ca="1" si="2"/>
        <v/>
      </c>
      <c r="I13" s="1808" t="str">
        <f t="shared" ca="1" si="2"/>
        <v/>
      </c>
      <c r="J13" s="1808" t="str">
        <f t="shared" ca="1" si="2"/>
        <v/>
      </c>
      <c r="K13" s="1808" t="str">
        <f t="shared" ca="1" si="2"/>
        <v/>
      </c>
      <c r="L13" s="1808" t="str">
        <f t="shared" ca="1" si="2"/>
        <v/>
      </c>
      <c r="M13" s="1808" t="str">
        <f t="shared" ca="1" si="2"/>
        <v/>
      </c>
      <c r="N13" s="1808" t="str">
        <f t="shared" ca="1" si="0"/>
        <v/>
      </c>
      <c r="O13" s="1808" t="str">
        <f t="shared" ca="1" si="0"/>
        <v/>
      </c>
      <c r="P13" s="1808" t="str">
        <f t="shared" ca="1" si="0"/>
        <v/>
      </c>
      <c r="Q13" s="1808" t="str">
        <f t="shared" ca="1" si="0"/>
        <v/>
      </c>
      <c r="R13" s="1808" t="str">
        <f t="shared" ca="1" si="0"/>
        <v/>
      </c>
      <c r="S13" s="1808" t="str">
        <f t="shared" ca="1" si="0"/>
        <v/>
      </c>
      <c r="T13" s="1808" t="str">
        <f t="shared" ca="1" si="0"/>
        <v/>
      </c>
      <c r="U13" s="1808" t="str">
        <f t="shared" ca="1" si="1"/>
        <v/>
      </c>
      <c r="V13" s="1808">
        <f t="shared" ca="1" si="3"/>
        <v>1</v>
      </c>
    </row>
    <row r="14" spans="1:46">
      <c r="B14">
        <v>13</v>
      </c>
      <c r="C14" s="1808">
        <f t="shared" ca="1" si="2"/>
        <v>13</v>
      </c>
      <c r="D14" s="1808" t="str">
        <f t="shared" ca="1" si="2"/>
        <v/>
      </c>
      <c r="E14" s="1808" t="str">
        <f t="shared" ca="1" si="2"/>
        <v/>
      </c>
      <c r="F14" s="1808" t="str">
        <f t="shared" ca="1" si="2"/>
        <v/>
      </c>
      <c r="G14" s="1808" t="str">
        <f t="shared" ca="1" si="2"/>
        <v/>
      </c>
      <c r="H14" s="1808" t="str">
        <f t="shared" ca="1" si="2"/>
        <v/>
      </c>
      <c r="I14" s="1808" t="str">
        <f t="shared" ca="1" si="2"/>
        <v/>
      </c>
      <c r="J14" s="1808" t="str">
        <f t="shared" ca="1" si="2"/>
        <v/>
      </c>
      <c r="K14" s="1808" t="str">
        <f t="shared" ca="1" si="2"/>
        <v/>
      </c>
      <c r="L14" s="1808" t="str">
        <f t="shared" ca="1" si="2"/>
        <v/>
      </c>
      <c r="M14" s="1808" t="str">
        <f t="shared" ca="1" si="2"/>
        <v/>
      </c>
      <c r="N14" s="1808" t="str">
        <f t="shared" ca="1" si="0"/>
        <v/>
      </c>
      <c r="O14" s="1808" t="str">
        <f t="shared" ca="1" si="0"/>
        <v/>
      </c>
      <c r="P14" s="1808" t="str">
        <f t="shared" ca="1" si="0"/>
        <v/>
      </c>
      <c r="Q14" s="1808" t="str">
        <f t="shared" ca="1" si="0"/>
        <v/>
      </c>
      <c r="R14" s="1808" t="str">
        <f t="shared" ca="1" si="0"/>
        <v/>
      </c>
      <c r="S14" s="1808" t="str">
        <f t="shared" ca="1" si="0"/>
        <v/>
      </c>
      <c r="T14" s="1808" t="str">
        <f t="shared" ca="1" si="0"/>
        <v/>
      </c>
      <c r="U14" s="1808" t="str">
        <f t="shared" ca="1" si="1"/>
        <v/>
      </c>
      <c r="V14" s="1808">
        <f t="shared" ca="1" si="3"/>
        <v>1</v>
      </c>
    </row>
    <row r="15" spans="1:46">
      <c r="B15">
        <v>14</v>
      </c>
      <c r="C15" s="1808">
        <f t="shared" ca="1" si="2"/>
        <v>14</v>
      </c>
      <c r="D15" s="1808" t="str">
        <f t="shared" ca="1" si="2"/>
        <v/>
      </c>
      <c r="E15" s="1808" t="str">
        <f t="shared" ca="1" si="2"/>
        <v/>
      </c>
      <c r="F15" s="1808" t="str">
        <f t="shared" ca="1" si="2"/>
        <v/>
      </c>
      <c r="G15" s="1808" t="str">
        <f t="shared" ca="1" si="2"/>
        <v/>
      </c>
      <c r="H15" s="1808" t="str">
        <f t="shared" ca="1" si="2"/>
        <v/>
      </c>
      <c r="I15" s="1808" t="str">
        <f t="shared" ca="1" si="2"/>
        <v/>
      </c>
      <c r="J15" s="1808" t="str">
        <f t="shared" ca="1" si="2"/>
        <v/>
      </c>
      <c r="K15" s="1808" t="str">
        <f t="shared" ca="1" si="2"/>
        <v/>
      </c>
      <c r="L15" s="1808" t="str">
        <f t="shared" ca="1" si="2"/>
        <v/>
      </c>
      <c r="M15" s="1808" t="str">
        <f t="shared" ca="1" si="2"/>
        <v/>
      </c>
      <c r="N15" s="1808" t="str">
        <f t="shared" ca="1" si="0"/>
        <v/>
      </c>
      <c r="O15" s="1808" t="str">
        <f t="shared" ca="1" si="0"/>
        <v/>
      </c>
      <c r="P15" s="1808" t="str">
        <f t="shared" ca="1" si="0"/>
        <v/>
      </c>
      <c r="Q15" s="1808" t="str">
        <f t="shared" ca="1" si="0"/>
        <v/>
      </c>
      <c r="R15" s="1808" t="str">
        <f t="shared" ca="1" si="0"/>
        <v/>
      </c>
      <c r="S15" s="1808" t="str">
        <f t="shared" ca="1" si="0"/>
        <v/>
      </c>
      <c r="T15" s="1808" t="str">
        <f t="shared" ca="1" si="0"/>
        <v/>
      </c>
      <c r="U15" s="1808" t="str">
        <f t="shared" ca="1" si="1"/>
        <v/>
      </c>
      <c r="V15" s="1808">
        <f t="shared" ca="1" si="3"/>
        <v>1</v>
      </c>
    </row>
    <row r="16" spans="1:46">
      <c r="B16">
        <v>15</v>
      </c>
      <c r="C16" s="1808">
        <f t="shared" ca="1" si="2"/>
        <v>15</v>
      </c>
      <c r="D16" s="1808" t="str">
        <f t="shared" ca="1" si="2"/>
        <v/>
      </c>
      <c r="E16" s="1808" t="str">
        <f t="shared" ca="1" si="2"/>
        <v/>
      </c>
      <c r="F16" s="1808" t="str">
        <f t="shared" ca="1" si="2"/>
        <v/>
      </c>
      <c r="G16" s="1808" t="str">
        <f t="shared" ca="1" si="2"/>
        <v/>
      </c>
      <c r="H16" s="1808" t="str">
        <f t="shared" ca="1" si="2"/>
        <v/>
      </c>
      <c r="I16" s="1808" t="str">
        <f t="shared" ca="1" si="2"/>
        <v/>
      </c>
      <c r="J16" s="1808" t="str">
        <f t="shared" ca="1" si="2"/>
        <v/>
      </c>
      <c r="K16" s="1808" t="str">
        <f t="shared" ca="1" si="2"/>
        <v/>
      </c>
      <c r="L16" s="1808" t="str">
        <f t="shared" ca="1" si="2"/>
        <v/>
      </c>
      <c r="M16" s="1808" t="str">
        <f t="shared" ca="1" si="2"/>
        <v/>
      </c>
      <c r="N16" s="1808" t="str">
        <f t="shared" ca="1" si="0"/>
        <v/>
      </c>
      <c r="O16" s="1808" t="str">
        <f t="shared" ca="1" si="0"/>
        <v/>
      </c>
      <c r="P16" s="1808" t="str">
        <f t="shared" ca="1" si="0"/>
        <v/>
      </c>
      <c r="Q16" s="1808" t="str">
        <f t="shared" ca="1" si="0"/>
        <v/>
      </c>
      <c r="R16" s="1808" t="str">
        <f t="shared" ca="1" si="0"/>
        <v/>
      </c>
      <c r="S16" s="1808" t="str">
        <f t="shared" ca="1" si="0"/>
        <v/>
      </c>
      <c r="T16" s="1808" t="str">
        <f t="shared" ca="1" si="0"/>
        <v/>
      </c>
      <c r="U16" s="1808" t="str">
        <f t="shared" ca="1" si="1"/>
        <v/>
      </c>
      <c r="V16" s="1808">
        <f t="shared" ca="1" si="3"/>
        <v>1</v>
      </c>
    </row>
    <row r="17" spans="2:22">
      <c r="B17">
        <v>16</v>
      </c>
      <c r="C17" s="1808">
        <f t="shared" ca="1" si="2"/>
        <v>16</v>
      </c>
      <c r="D17" s="1808" t="str">
        <f t="shared" ca="1" si="2"/>
        <v/>
      </c>
      <c r="E17" s="1808" t="str">
        <f t="shared" ca="1" si="2"/>
        <v/>
      </c>
      <c r="F17" s="1808" t="str">
        <f t="shared" ca="1" si="2"/>
        <v/>
      </c>
      <c r="G17" s="1808" t="str">
        <f t="shared" ca="1" si="2"/>
        <v/>
      </c>
      <c r="H17" s="1808" t="str">
        <f t="shared" ca="1" si="2"/>
        <v/>
      </c>
      <c r="I17" s="1808" t="str">
        <f t="shared" ca="1" si="2"/>
        <v/>
      </c>
      <c r="J17" s="1808" t="str">
        <f t="shared" ca="1" si="2"/>
        <v/>
      </c>
      <c r="K17" s="1808" t="str">
        <f t="shared" ca="1" si="2"/>
        <v/>
      </c>
      <c r="L17" s="1808" t="str">
        <f t="shared" ca="1" si="2"/>
        <v/>
      </c>
      <c r="M17" s="1808" t="str">
        <f t="shared" ref="D17:S32" ca="1" si="4">IFERROR(VLOOKUP($B17,INDIRECT(M$1&amp;"!"&amp;"A:A"),1,0),"")</f>
        <v/>
      </c>
      <c r="N17" s="1808" t="str">
        <f t="shared" ca="1" si="0"/>
        <v/>
      </c>
      <c r="O17" s="1808" t="str">
        <f t="shared" ca="1" si="0"/>
        <v/>
      </c>
      <c r="P17" s="1808" t="str">
        <f t="shared" ca="1" si="0"/>
        <v/>
      </c>
      <c r="Q17" s="1808" t="str">
        <f t="shared" ca="1" si="0"/>
        <v/>
      </c>
      <c r="R17" s="1808" t="str">
        <f t="shared" ca="1" si="0"/>
        <v/>
      </c>
      <c r="S17" s="1808" t="str">
        <f t="shared" ca="1" si="0"/>
        <v/>
      </c>
      <c r="T17" s="1808" t="str">
        <f t="shared" ca="1" si="0"/>
        <v/>
      </c>
      <c r="U17" s="1808" t="str">
        <f t="shared" ca="1" si="1"/>
        <v/>
      </c>
      <c r="V17" s="1808">
        <f t="shared" ca="1" si="3"/>
        <v>1</v>
      </c>
    </row>
    <row r="18" spans="2:22">
      <c r="B18">
        <v>17</v>
      </c>
      <c r="C18" s="1808">
        <f t="shared" ca="1" si="2"/>
        <v>17</v>
      </c>
      <c r="D18" s="1808" t="str">
        <f t="shared" ca="1" si="4"/>
        <v/>
      </c>
      <c r="E18" s="1808" t="str">
        <f t="shared" ca="1" si="4"/>
        <v/>
      </c>
      <c r="F18" s="1808" t="str">
        <f t="shared" ca="1" si="4"/>
        <v/>
      </c>
      <c r="G18" s="1808" t="str">
        <f t="shared" ca="1" si="4"/>
        <v/>
      </c>
      <c r="H18" s="1808" t="str">
        <f t="shared" ca="1" si="4"/>
        <v/>
      </c>
      <c r="I18" s="1808" t="str">
        <f t="shared" ca="1" si="4"/>
        <v/>
      </c>
      <c r="J18" s="1808" t="str">
        <f t="shared" ca="1" si="4"/>
        <v/>
      </c>
      <c r="K18" s="1808" t="str">
        <f t="shared" ca="1" si="4"/>
        <v/>
      </c>
      <c r="L18" s="1808" t="str">
        <f t="shared" ca="1" si="4"/>
        <v/>
      </c>
      <c r="M18" s="1808" t="str">
        <f t="shared" ca="1" si="4"/>
        <v/>
      </c>
      <c r="N18" s="1808" t="str">
        <f t="shared" ca="1" si="4"/>
        <v/>
      </c>
      <c r="O18" s="1808" t="str">
        <f t="shared" ca="1" si="4"/>
        <v/>
      </c>
      <c r="P18" s="1808" t="str">
        <f t="shared" ca="1" si="4"/>
        <v/>
      </c>
      <c r="Q18" s="1808" t="str">
        <f t="shared" ca="1" si="4"/>
        <v/>
      </c>
      <c r="R18" s="1808" t="str">
        <f t="shared" ca="1" si="4"/>
        <v/>
      </c>
      <c r="S18" s="1808" t="str">
        <f t="shared" ca="1" si="4"/>
        <v/>
      </c>
      <c r="T18" s="1808" t="str">
        <f t="shared" ref="R18:U81" ca="1" si="5">IFERROR(VLOOKUP($B18,INDIRECT(T$1&amp;"!"&amp;"A:A"),1,0),"")</f>
        <v/>
      </c>
      <c r="U18" s="1808" t="str">
        <f t="shared" ca="1" si="1"/>
        <v/>
      </c>
      <c r="V18" s="1808">
        <f t="shared" ca="1" si="3"/>
        <v>1</v>
      </c>
    </row>
    <row r="19" spans="2:22">
      <c r="B19">
        <v>18</v>
      </c>
      <c r="C19" s="1808">
        <f t="shared" ca="1" si="2"/>
        <v>18</v>
      </c>
      <c r="D19" s="1808" t="str">
        <f t="shared" ca="1" si="4"/>
        <v/>
      </c>
      <c r="E19" s="1808" t="str">
        <f t="shared" ca="1" si="4"/>
        <v/>
      </c>
      <c r="F19" s="1808" t="str">
        <f t="shared" ca="1" si="4"/>
        <v/>
      </c>
      <c r="G19" s="1808" t="str">
        <f t="shared" ca="1" si="4"/>
        <v/>
      </c>
      <c r="H19" s="1808" t="str">
        <f t="shared" ca="1" si="4"/>
        <v/>
      </c>
      <c r="I19" s="1808" t="str">
        <f t="shared" ca="1" si="4"/>
        <v/>
      </c>
      <c r="J19" s="1808" t="str">
        <f t="shared" ca="1" si="4"/>
        <v/>
      </c>
      <c r="K19" s="1808" t="str">
        <f t="shared" ca="1" si="4"/>
        <v/>
      </c>
      <c r="L19" s="1808" t="str">
        <f t="shared" ca="1" si="4"/>
        <v/>
      </c>
      <c r="M19" s="1808" t="str">
        <f t="shared" ca="1" si="4"/>
        <v/>
      </c>
      <c r="N19" s="1808" t="str">
        <f t="shared" ref="N19:Q32" ca="1" si="6">IFERROR(VLOOKUP($B19,INDIRECT(N$1&amp;"!"&amp;"A:A"),1,0),"")</f>
        <v/>
      </c>
      <c r="O19" s="1808" t="str">
        <f t="shared" ca="1" si="6"/>
        <v/>
      </c>
      <c r="P19" s="1808" t="str">
        <f t="shared" ca="1" si="6"/>
        <v/>
      </c>
      <c r="Q19" s="1808" t="str">
        <f t="shared" ca="1" si="6"/>
        <v/>
      </c>
      <c r="R19" s="1808" t="str">
        <f t="shared" ca="1" si="5"/>
        <v/>
      </c>
      <c r="S19" s="1808" t="str">
        <f t="shared" ca="1" si="5"/>
        <v/>
      </c>
      <c r="T19" s="1808" t="str">
        <f t="shared" ca="1" si="5"/>
        <v/>
      </c>
      <c r="U19" s="1808" t="str">
        <f t="shared" ca="1" si="1"/>
        <v/>
      </c>
      <c r="V19" s="1808">
        <f t="shared" ca="1" si="3"/>
        <v>1</v>
      </c>
    </row>
    <row r="20" spans="2:22">
      <c r="B20">
        <v>19</v>
      </c>
      <c r="C20" s="1808">
        <f t="shared" ca="1" si="2"/>
        <v>19</v>
      </c>
      <c r="D20" s="1808" t="str">
        <f t="shared" ca="1" si="4"/>
        <v/>
      </c>
      <c r="E20" s="1808" t="str">
        <f t="shared" ca="1" si="4"/>
        <v/>
      </c>
      <c r="F20" s="1808" t="str">
        <f t="shared" ca="1" si="4"/>
        <v/>
      </c>
      <c r="G20" s="1808" t="str">
        <f t="shared" ca="1" si="4"/>
        <v/>
      </c>
      <c r="H20" s="1808" t="str">
        <f t="shared" ca="1" si="4"/>
        <v/>
      </c>
      <c r="I20" s="1808" t="str">
        <f t="shared" ca="1" si="4"/>
        <v/>
      </c>
      <c r="J20" s="1808" t="str">
        <f t="shared" ca="1" si="4"/>
        <v/>
      </c>
      <c r="K20" s="1808" t="str">
        <f t="shared" ca="1" si="4"/>
        <v/>
      </c>
      <c r="L20" s="1808" t="str">
        <f t="shared" ca="1" si="4"/>
        <v/>
      </c>
      <c r="M20" s="1808" t="str">
        <f t="shared" ca="1" si="4"/>
        <v/>
      </c>
      <c r="N20" s="1808" t="str">
        <f t="shared" ca="1" si="6"/>
        <v/>
      </c>
      <c r="O20" s="1808" t="str">
        <f t="shared" ca="1" si="6"/>
        <v/>
      </c>
      <c r="P20" s="1808" t="str">
        <f t="shared" ca="1" si="6"/>
        <v/>
      </c>
      <c r="Q20" s="1808" t="str">
        <f t="shared" ca="1" si="6"/>
        <v/>
      </c>
      <c r="R20" s="1808" t="str">
        <f t="shared" ca="1" si="5"/>
        <v/>
      </c>
      <c r="S20" s="1808" t="str">
        <f t="shared" ca="1" si="5"/>
        <v/>
      </c>
      <c r="T20" s="1808" t="str">
        <f t="shared" ca="1" si="5"/>
        <v/>
      </c>
      <c r="U20" s="1808" t="str">
        <f t="shared" ca="1" si="1"/>
        <v/>
      </c>
      <c r="V20" s="1808">
        <f t="shared" ca="1" si="3"/>
        <v>1</v>
      </c>
    </row>
    <row r="21" spans="2:22">
      <c r="B21">
        <v>20</v>
      </c>
      <c r="C21" s="1808">
        <f t="shared" ca="1" si="2"/>
        <v>20</v>
      </c>
      <c r="D21" s="1808" t="str">
        <f t="shared" ca="1" si="4"/>
        <v/>
      </c>
      <c r="E21" s="1808" t="str">
        <f t="shared" ca="1" si="4"/>
        <v/>
      </c>
      <c r="F21" s="1808" t="str">
        <f t="shared" ca="1" si="4"/>
        <v/>
      </c>
      <c r="G21" s="1808" t="str">
        <f t="shared" ca="1" si="4"/>
        <v/>
      </c>
      <c r="H21" s="1808" t="str">
        <f t="shared" ca="1" si="4"/>
        <v/>
      </c>
      <c r="I21" s="1808" t="str">
        <f t="shared" ca="1" si="4"/>
        <v/>
      </c>
      <c r="J21" s="1808" t="str">
        <f t="shared" ca="1" si="4"/>
        <v/>
      </c>
      <c r="K21" s="1808" t="str">
        <f t="shared" ca="1" si="4"/>
        <v/>
      </c>
      <c r="L21" s="1808" t="str">
        <f t="shared" ca="1" si="4"/>
        <v/>
      </c>
      <c r="M21" s="1808" t="str">
        <f t="shared" ca="1" si="4"/>
        <v/>
      </c>
      <c r="N21" s="1808" t="str">
        <f t="shared" ca="1" si="6"/>
        <v/>
      </c>
      <c r="O21" s="1808" t="str">
        <f t="shared" ca="1" si="6"/>
        <v/>
      </c>
      <c r="P21" s="1808" t="str">
        <f t="shared" ca="1" si="6"/>
        <v/>
      </c>
      <c r="Q21" s="1808" t="str">
        <f t="shared" ca="1" si="6"/>
        <v/>
      </c>
      <c r="R21" s="1808" t="str">
        <f t="shared" ca="1" si="5"/>
        <v/>
      </c>
      <c r="S21" s="1808" t="str">
        <f t="shared" ca="1" si="5"/>
        <v/>
      </c>
      <c r="T21" s="1808" t="str">
        <f t="shared" ca="1" si="5"/>
        <v/>
      </c>
      <c r="U21" s="1808" t="str">
        <f t="shared" ca="1" si="1"/>
        <v/>
      </c>
      <c r="V21" s="1808">
        <f t="shared" ca="1" si="3"/>
        <v>1</v>
      </c>
    </row>
    <row r="22" spans="2:22">
      <c r="B22">
        <v>21</v>
      </c>
      <c r="C22" s="1808">
        <f t="shared" ca="1" si="2"/>
        <v>21</v>
      </c>
      <c r="D22" s="1808" t="str">
        <f t="shared" ca="1" si="4"/>
        <v/>
      </c>
      <c r="E22" s="1808" t="str">
        <f t="shared" ca="1" si="4"/>
        <v/>
      </c>
      <c r="F22" s="1808" t="str">
        <f t="shared" ca="1" si="4"/>
        <v/>
      </c>
      <c r="G22" s="1808" t="str">
        <f t="shared" ca="1" si="4"/>
        <v/>
      </c>
      <c r="H22" s="1808" t="str">
        <f t="shared" ca="1" si="4"/>
        <v/>
      </c>
      <c r="I22" s="1808" t="str">
        <f t="shared" ca="1" si="4"/>
        <v/>
      </c>
      <c r="J22" s="1808" t="str">
        <f t="shared" ca="1" si="4"/>
        <v/>
      </c>
      <c r="K22" s="1808" t="str">
        <f t="shared" ca="1" si="4"/>
        <v/>
      </c>
      <c r="L22" s="1808" t="str">
        <f t="shared" ca="1" si="4"/>
        <v/>
      </c>
      <c r="M22" s="1808" t="str">
        <f t="shared" ca="1" si="4"/>
        <v/>
      </c>
      <c r="N22" s="1808" t="str">
        <f t="shared" ca="1" si="6"/>
        <v/>
      </c>
      <c r="O22" s="1808" t="str">
        <f t="shared" ca="1" si="6"/>
        <v/>
      </c>
      <c r="P22" s="1808" t="str">
        <f t="shared" ca="1" si="6"/>
        <v/>
      </c>
      <c r="Q22" s="1808" t="str">
        <f t="shared" ca="1" si="6"/>
        <v/>
      </c>
      <c r="R22" s="1808" t="str">
        <f t="shared" ca="1" si="5"/>
        <v/>
      </c>
      <c r="S22" s="1808" t="str">
        <f t="shared" ca="1" si="5"/>
        <v/>
      </c>
      <c r="T22" s="1808" t="str">
        <f t="shared" ca="1" si="5"/>
        <v/>
      </c>
      <c r="U22" s="1808" t="str">
        <f t="shared" ca="1" si="1"/>
        <v/>
      </c>
      <c r="V22" s="1808">
        <f t="shared" ca="1" si="3"/>
        <v>1</v>
      </c>
    </row>
    <row r="23" spans="2:22">
      <c r="B23">
        <v>22</v>
      </c>
      <c r="C23" s="1808">
        <f t="shared" ca="1" si="2"/>
        <v>22</v>
      </c>
      <c r="D23" s="1808" t="str">
        <f t="shared" ca="1" si="4"/>
        <v/>
      </c>
      <c r="E23" s="1808" t="str">
        <f t="shared" ca="1" si="4"/>
        <v/>
      </c>
      <c r="F23" s="1808" t="str">
        <f t="shared" ca="1" si="4"/>
        <v/>
      </c>
      <c r="G23" s="1808" t="str">
        <f t="shared" ca="1" si="4"/>
        <v/>
      </c>
      <c r="H23" s="1808" t="str">
        <f t="shared" ca="1" si="4"/>
        <v/>
      </c>
      <c r="I23" s="1808" t="str">
        <f t="shared" ca="1" si="4"/>
        <v/>
      </c>
      <c r="J23" s="1808" t="str">
        <f t="shared" ca="1" si="4"/>
        <v/>
      </c>
      <c r="K23" s="1808" t="str">
        <f t="shared" ca="1" si="4"/>
        <v/>
      </c>
      <c r="L23" s="1808" t="str">
        <f t="shared" ca="1" si="4"/>
        <v/>
      </c>
      <c r="M23" s="1808" t="str">
        <f t="shared" ca="1" si="4"/>
        <v/>
      </c>
      <c r="N23" s="1808" t="str">
        <f t="shared" ca="1" si="6"/>
        <v/>
      </c>
      <c r="O23" s="1808" t="str">
        <f t="shared" ca="1" si="6"/>
        <v/>
      </c>
      <c r="P23" s="1808" t="str">
        <f t="shared" ca="1" si="6"/>
        <v/>
      </c>
      <c r="Q23" s="1808" t="str">
        <f t="shared" ca="1" si="6"/>
        <v/>
      </c>
      <c r="R23" s="1808" t="str">
        <f t="shared" ca="1" si="5"/>
        <v/>
      </c>
      <c r="S23" s="1808" t="str">
        <f t="shared" ca="1" si="5"/>
        <v/>
      </c>
      <c r="T23" s="1808" t="str">
        <f t="shared" ca="1" si="5"/>
        <v/>
      </c>
      <c r="U23" s="1808" t="str">
        <f t="shared" ca="1" si="1"/>
        <v/>
      </c>
      <c r="V23" s="1808">
        <f t="shared" ca="1" si="3"/>
        <v>1</v>
      </c>
    </row>
    <row r="24" spans="2:22">
      <c r="B24">
        <v>23</v>
      </c>
      <c r="C24" s="1808">
        <f t="shared" ca="1" si="2"/>
        <v>23</v>
      </c>
      <c r="D24" s="1808" t="str">
        <f t="shared" ca="1" si="4"/>
        <v/>
      </c>
      <c r="E24" s="1808" t="str">
        <f t="shared" ca="1" si="4"/>
        <v/>
      </c>
      <c r="F24" s="1808" t="str">
        <f t="shared" ca="1" si="4"/>
        <v/>
      </c>
      <c r="G24" s="1808" t="str">
        <f t="shared" ca="1" si="4"/>
        <v/>
      </c>
      <c r="H24" s="1808" t="str">
        <f t="shared" ca="1" si="4"/>
        <v/>
      </c>
      <c r="I24" s="1808" t="str">
        <f t="shared" ca="1" si="4"/>
        <v/>
      </c>
      <c r="J24" s="1808" t="str">
        <f t="shared" ca="1" si="4"/>
        <v/>
      </c>
      <c r="K24" s="1808" t="str">
        <f t="shared" ca="1" si="4"/>
        <v/>
      </c>
      <c r="L24" s="1808" t="str">
        <f t="shared" ca="1" si="4"/>
        <v/>
      </c>
      <c r="M24" s="1808" t="str">
        <f t="shared" ca="1" si="4"/>
        <v/>
      </c>
      <c r="N24" s="1808" t="str">
        <f t="shared" ca="1" si="6"/>
        <v/>
      </c>
      <c r="O24" s="1808" t="str">
        <f t="shared" ca="1" si="6"/>
        <v/>
      </c>
      <c r="P24" s="1808" t="str">
        <f t="shared" ca="1" si="6"/>
        <v/>
      </c>
      <c r="Q24" s="1808" t="str">
        <f t="shared" ca="1" si="6"/>
        <v/>
      </c>
      <c r="R24" s="1808" t="str">
        <f t="shared" ca="1" si="5"/>
        <v/>
      </c>
      <c r="S24" s="1808" t="str">
        <f t="shared" ca="1" si="5"/>
        <v/>
      </c>
      <c r="T24" s="1808" t="str">
        <f t="shared" ca="1" si="5"/>
        <v/>
      </c>
      <c r="U24" s="1808" t="str">
        <f t="shared" ca="1" si="1"/>
        <v/>
      </c>
      <c r="V24" s="1808">
        <f t="shared" ca="1" si="3"/>
        <v>1</v>
      </c>
    </row>
    <row r="25" spans="2:22">
      <c r="B25">
        <v>24</v>
      </c>
      <c r="C25" s="1808">
        <f t="shared" ca="1" si="2"/>
        <v>24</v>
      </c>
      <c r="D25" s="1808" t="str">
        <f t="shared" ca="1" si="4"/>
        <v/>
      </c>
      <c r="E25" s="1808" t="str">
        <f t="shared" ca="1" si="4"/>
        <v/>
      </c>
      <c r="F25" s="1808" t="str">
        <f t="shared" ca="1" si="4"/>
        <v/>
      </c>
      <c r="G25" s="1808" t="str">
        <f t="shared" ca="1" si="4"/>
        <v/>
      </c>
      <c r="H25" s="1808" t="str">
        <f t="shared" ca="1" si="4"/>
        <v/>
      </c>
      <c r="I25" s="1808" t="str">
        <f t="shared" ca="1" si="4"/>
        <v/>
      </c>
      <c r="J25" s="1808" t="str">
        <f t="shared" ca="1" si="4"/>
        <v/>
      </c>
      <c r="K25" s="1808" t="str">
        <f t="shared" ca="1" si="4"/>
        <v/>
      </c>
      <c r="L25" s="1808" t="str">
        <f t="shared" ca="1" si="4"/>
        <v/>
      </c>
      <c r="M25" s="1808" t="str">
        <f t="shared" ca="1" si="4"/>
        <v/>
      </c>
      <c r="N25" s="1808" t="str">
        <f t="shared" ca="1" si="6"/>
        <v/>
      </c>
      <c r="O25" s="1808" t="str">
        <f t="shared" ca="1" si="6"/>
        <v/>
      </c>
      <c r="P25" s="1808" t="str">
        <f t="shared" ca="1" si="6"/>
        <v/>
      </c>
      <c r="Q25" s="1808" t="str">
        <f t="shared" ca="1" si="6"/>
        <v/>
      </c>
      <c r="R25" s="1808" t="str">
        <f t="shared" ca="1" si="5"/>
        <v/>
      </c>
      <c r="S25" s="1808" t="str">
        <f t="shared" ca="1" si="5"/>
        <v/>
      </c>
      <c r="T25" s="1808" t="str">
        <f t="shared" ca="1" si="5"/>
        <v/>
      </c>
      <c r="U25" s="1808" t="str">
        <f t="shared" ca="1" si="1"/>
        <v/>
      </c>
      <c r="V25" s="1808">
        <f t="shared" ca="1" si="3"/>
        <v>1</v>
      </c>
    </row>
    <row r="26" spans="2:22">
      <c r="B26">
        <v>25</v>
      </c>
      <c r="C26" s="1808">
        <f t="shared" ca="1" si="2"/>
        <v>25</v>
      </c>
      <c r="D26" s="1808" t="str">
        <f t="shared" ca="1" si="4"/>
        <v/>
      </c>
      <c r="E26" s="1808" t="str">
        <f t="shared" ca="1" si="4"/>
        <v/>
      </c>
      <c r="F26" s="1808" t="str">
        <f t="shared" ca="1" si="4"/>
        <v/>
      </c>
      <c r="G26" s="1808" t="str">
        <f t="shared" ca="1" si="4"/>
        <v/>
      </c>
      <c r="H26" s="1808" t="str">
        <f t="shared" ca="1" si="4"/>
        <v/>
      </c>
      <c r="I26" s="1808" t="str">
        <f t="shared" ca="1" si="4"/>
        <v/>
      </c>
      <c r="J26" s="1808" t="str">
        <f t="shared" ca="1" si="4"/>
        <v/>
      </c>
      <c r="K26" s="1808" t="str">
        <f t="shared" ca="1" si="4"/>
        <v/>
      </c>
      <c r="L26" s="1808" t="str">
        <f t="shared" ca="1" si="4"/>
        <v/>
      </c>
      <c r="M26" s="1808" t="str">
        <f t="shared" ca="1" si="4"/>
        <v/>
      </c>
      <c r="N26" s="1808" t="str">
        <f t="shared" ca="1" si="6"/>
        <v/>
      </c>
      <c r="O26" s="1808" t="str">
        <f t="shared" ca="1" si="6"/>
        <v/>
      </c>
      <c r="P26" s="1808" t="str">
        <f t="shared" ca="1" si="6"/>
        <v/>
      </c>
      <c r="Q26" s="1808" t="str">
        <f t="shared" ca="1" si="6"/>
        <v/>
      </c>
      <c r="R26" s="1808" t="str">
        <f t="shared" ca="1" si="5"/>
        <v/>
      </c>
      <c r="S26" s="1808" t="str">
        <f t="shared" ca="1" si="5"/>
        <v/>
      </c>
      <c r="T26" s="1808" t="str">
        <f t="shared" ca="1" si="5"/>
        <v/>
      </c>
      <c r="U26" s="1808" t="str">
        <f t="shared" ca="1" si="1"/>
        <v/>
      </c>
      <c r="V26" s="1808">
        <f t="shared" ca="1" si="3"/>
        <v>1</v>
      </c>
    </row>
    <row r="27" spans="2:22">
      <c r="B27">
        <v>26</v>
      </c>
      <c r="C27" s="1808">
        <f t="shared" ca="1" si="2"/>
        <v>26</v>
      </c>
      <c r="D27" s="1808" t="str">
        <f t="shared" ca="1" si="4"/>
        <v/>
      </c>
      <c r="E27" s="1808" t="str">
        <f t="shared" ca="1" si="4"/>
        <v/>
      </c>
      <c r="F27" s="1808" t="str">
        <f t="shared" ca="1" si="4"/>
        <v/>
      </c>
      <c r="G27" s="1808" t="str">
        <f t="shared" ca="1" si="4"/>
        <v/>
      </c>
      <c r="H27" s="1808" t="str">
        <f t="shared" ca="1" si="4"/>
        <v/>
      </c>
      <c r="I27" s="1808" t="str">
        <f t="shared" ca="1" si="4"/>
        <v/>
      </c>
      <c r="J27" s="1808" t="str">
        <f t="shared" ca="1" si="4"/>
        <v/>
      </c>
      <c r="K27" s="1808" t="str">
        <f t="shared" ca="1" si="4"/>
        <v/>
      </c>
      <c r="L27" s="1808" t="str">
        <f t="shared" ca="1" si="4"/>
        <v/>
      </c>
      <c r="M27" s="1808" t="str">
        <f t="shared" ca="1" si="4"/>
        <v/>
      </c>
      <c r="N27" s="1808" t="str">
        <f t="shared" ca="1" si="6"/>
        <v/>
      </c>
      <c r="O27" s="1808" t="str">
        <f t="shared" ca="1" si="6"/>
        <v/>
      </c>
      <c r="P27" s="1808" t="str">
        <f t="shared" ca="1" si="6"/>
        <v/>
      </c>
      <c r="Q27" s="1808" t="str">
        <f t="shared" ca="1" si="6"/>
        <v/>
      </c>
      <c r="R27" s="1808" t="str">
        <f t="shared" ca="1" si="5"/>
        <v/>
      </c>
      <c r="S27" s="1808" t="str">
        <f t="shared" ca="1" si="5"/>
        <v/>
      </c>
      <c r="T27" s="1808" t="str">
        <f t="shared" ca="1" si="5"/>
        <v/>
      </c>
      <c r="U27" s="1808" t="str">
        <f t="shared" ca="1" si="1"/>
        <v/>
      </c>
      <c r="V27" s="1808">
        <f t="shared" ca="1" si="3"/>
        <v>1</v>
      </c>
    </row>
    <row r="28" spans="2:22">
      <c r="B28">
        <v>27</v>
      </c>
      <c r="C28" s="1808">
        <f t="shared" ca="1" si="2"/>
        <v>27</v>
      </c>
      <c r="D28" s="1808" t="str">
        <f t="shared" ca="1" si="4"/>
        <v/>
      </c>
      <c r="E28" s="1808" t="str">
        <f t="shared" ca="1" si="4"/>
        <v/>
      </c>
      <c r="F28" s="1808" t="str">
        <f t="shared" ca="1" si="4"/>
        <v/>
      </c>
      <c r="G28" s="1808" t="str">
        <f t="shared" ca="1" si="4"/>
        <v/>
      </c>
      <c r="H28" s="1808" t="str">
        <f t="shared" ca="1" si="4"/>
        <v/>
      </c>
      <c r="I28" s="1808" t="str">
        <f t="shared" ca="1" si="4"/>
        <v/>
      </c>
      <c r="J28" s="1808" t="str">
        <f t="shared" ca="1" si="4"/>
        <v/>
      </c>
      <c r="K28" s="1808" t="str">
        <f t="shared" ca="1" si="4"/>
        <v/>
      </c>
      <c r="L28" s="1808" t="str">
        <f t="shared" ca="1" si="4"/>
        <v/>
      </c>
      <c r="M28" s="1808" t="str">
        <f t="shared" ca="1" si="4"/>
        <v/>
      </c>
      <c r="N28" s="1808" t="str">
        <f t="shared" ca="1" si="6"/>
        <v/>
      </c>
      <c r="O28" s="1808" t="str">
        <f t="shared" ca="1" si="6"/>
        <v/>
      </c>
      <c r="P28" s="1808" t="str">
        <f t="shared" ca="1" si="6"/>
        <v/>
      </c>
      <c r="Q28" s="1808" t="str">
        <f t="shared" ca="1" si="6"/>
        <v/>
      </c>
      <c r="R28" s="1808" t="str">
        <f t="shared" ca="1" si="5"/>
        <v/>
      </c>
      <c r="S28" s="1808" t="str">
        <f t="shared" ca="1" si="5"/>
        <v/>
      </c>
      <c r="T28" s="1808" t="str">
        <f t="shared" ca="1" si="5"/>
        <v/>
      </c>
      <c r="U28" s="1808" t="str">
        <f t="shared" ca="1" si="1"/>
        <v/>
      </c>
      <c r="V28" s="1808">
        <f t="shared" ca="1" si="3"/>
        <v>1</v>
      </c>
    </row>
    <row r="29" spans="2:22">
      <c r="B29">
        <v>28</v>
      </c>
      <c r="C29" s="1808">
        <f t="shared" ca="1" si="2"/>
        <v>28</v>
      </c>
      <c r="D29" s="1808" t="str">
        <f t="shared" ca="1" si="4"/>
        <v/>
      </c>
      <c r="E29" s="1808" t="str">
        <f t="shared" ca="1" si="4"/>
        <v/>
      </c>
      <c r="F29" s="1808" t="str">
        <f t="shared" ca="1" si="4"/>
        <v/>
      </c>
      <c r="G29" s="1808" t="str">
        <f t="shared" ca="1" si="4"/>
        <v/>
      </c>
      <c r="H29" s="1808" t="str">
        <f t="shared" ca="1" si="4"/>
        <v/>
      </c>
      <c r="I29" s="1808" t="str">
        <f t="shared" ca="1" si="4"/>
        <v/>
      </c>
      <c r="J29" s="1808" t="str">
        <f t="shared" ca="1" si="4"/>
        <v/>
      </c>
      <c r="K29" s="1808" t="str">
        <f t="shared" ca="1" si="4"/>
        <v/>
      </c>
      <c r="L29" s="1808" t="str">
        <f t="shared" ca="1" si="4"/>
        <v/>
      </c>
      <c r="M29" s="1808" t="str">
        <f t="shared" ca="1" si="4"/>
        <v/>
      </c>
      <c r="N29" s="1808" t="str">
        <f t="shared" ca="1" si="6"/>
        <v/>
      </c>
      <c r="O29" s="1808" t="str">
        <f t="shared" ca="1" si="6"/>
        <v/>
      </c>
      <c r="P29" s="1808" t="str">
        <f t="shared" ca="1" si="6"/>
        <v/>
      </c>
      <c r="Q29" s="1808" t="str">
        <f t="shared" ca="1" si="6"/>
        <v/>
      </c>
      <c r="R29" s="1808" t="str">
        <f t="shared" ca="1" si="5"/>
        <v/>
      </c>
      <c r="S29" s="1808" t="str">
        <f t="shared" ca="1" si="5"/>
        <v/>
      </c>
      <c r="T29" s="1808" t="str">
        <f t="shared" ca="1" si="5"/>
        <v/>
      </c>
      <c r="U29" s="1808" t="str">
        <f t="shared" ca="1" si="1"/>
        <v/>
      </c>
      <c r="V29" s="1808">
        <f t="shared" ca="1" si="3"/>
        <v>1</v>
      </c>
    </row>
    <row r="30" spans="2:22">
      <c r="B30">
        <v>29</v>
      </c>
      <c r="C30" s="1808">
        <f t="shared" ca="1" si="2"/>
        <v>29</v>
      </c>
      <c r="D30" s="1808" t="str">
        <f t="shared" ca="1" si="4"/>
        <v/>
      </c>
      <c r="E30" s="1808" t="str">
        <f t="shared" ca="1" si="4"/>
        <v/>
      </c>
      <c r="F30" s="1808" t="str">
        <f t="shared" ca="1" si="4"/>
        <v/>
      </c>
      <c r="G30" s="1808" t="str">
        <f t="shared" ca="1" si="4"/>
        <v/>
      </c>
      <c r="H30" s="1808" t="str">
        <f t="shared" ca="1" si="4"/>
        <v/>
      </c>
      <c r="I30" s="1808" t="str">
        <f t="shared" ca="1" si="4"/>
        <v/>
      </c>
      <c r="J30" s="1808" t="str">
        <f t="shared" ca="1" si="4"/>
        <v/>
      </c>
      <c r="K30" s="1808" t="str">
        <f t="shared" ca="1" si="4"/>
        <v/>
      </c>
      <c r="L30" s="1808" t="str">
        <f t="shared" ca="1" si="4"/>
        <v/>
      </c>
      <c r="M30" s="1808" t="str">
        <f t="shared" ca="1" si="4"/>
        <v/>
      </c>
      <c r="N30" s="1808" t="str">
        <f t="shared" ca="1" si="6"/>
        <v/>
      </c>
      <c r="O30" s="1808" t="str">
        <f t="shared" ca="1" si="6"/>
        <v/>
      </c>
      <c r="P30" s="1808" t="str">
        <f t="shared" ca="1" si="6"/>
        <v/>
      </c>
      <c r="Q30" s="1808" t="str">
        <f t="shared" ca="1" si="6"/>
        <v/>
      </c>
      <c r="R30" s="1808" t="str">
        <f t="shared" ca="1" si="5"/>
        <v/>
      </c>
      <c r="S30" s="1808" t="str">
        <f t="shared" ca="1" si="5"/>
        <v/>
      </c>
      <c r="T30" s="1808" t="str">
        <f t="shared" ca="1" si="5"/>
        <v/>
      </c>
      <c r="U30" s="1808" t="str">
        <f t="shared" ca="1" si="1"/>
        <v/>
      </c>
      <c r="V30" s="1808">
        <f t="shared" ca="1" si="3"/>
        <v>1</v>
      </c>
    </row>
    <row r="31" spans="2:22">
      <c r="B31">
        <v>30</v>
      </c>
      <c r="C31" s="1808">
        <f t="shared" ca="1" si="2"/>
        <v>30</v>
      </c>
      <c r="D31" s="1808" t="str">
        <f t="shared" ca="1" si="4"/>
        <v/>
      </c>
      <c r="E31" s="1808" t="str">
        <f t="shared" ca="1" si="4"/>
        <v/>
      </c>
      <c r="F31" s="1808" t="str">
        <f t="shared" ca="1" si="4"/>
        <v/>
      </c>
      <c r="G31" s="1808" t="str">
        <f t="shared" ca="1" si="4"/>
        <v/>
      </c>
      <c r="H31" s="1808" t="str">
        <f t="shared" ca="1" si="4"/>
        <v/>
      </c>
      <c r="I31" s="1808" t="str">
        <f t="shared" ca="1" si="4"/>
        <v/>
      </c>
      <c r="J31" s="1808" t="str">
        <f t="shared" ca="1" si="4"/>
        <v/>
      </c>
      <c r="K31" s="1808" t="str">
        <f t="shared" ca="1" si="4"/>
        <v/>
      </c>
      <c r="L31" s="1808" t="str">
        <f t="shared" ca="1" si="4"/>
        <v/>
      </c>
      <c r="M31" s="1808" t="str">
        <f t="shared" ca="1" si="4"/>
        <v/>
      </c>
      <c r="N31" s="1808" t="str">
        <f t="shared" ca="1" si="6"/>
        <v/>
      </c>
      <c r="O31" s="1808" t="str">
        <f t="shared" ca="1" si="6"/>
        <v/>
      </c>
      <c r="P31" s="1808" t="str">
        <f t="shared" ca="1" si="6"/>
        <v/>
      </c>
      <c r="Q31" s="1808" t="str">
        <f t="shared" ca="1" si="6"/>
        <v/>
      </c>
      <c r="R31" s="1808" t="str">
        <f t="shared" ca="1" si="5"/>
        <v/>
      </c>
      <c r="S31" s="1808" t="str">
        <f t="shared" ca="1" si="5"/>
        <v/>
      </c>
      <c r="T31" s="1808" t="str">
        <f t="shared" ca="1" si="5"/>
        <v/>
      </c>
      <c r="U31" s="1808" t="str">
        <f t="shared" ca="1" si="1"/>
        <v/>
      </c>
      <c r="V31" s="1808">
        <f t="shared" ca="1" si="3"/>
        <v>1</v>
      </c>
    </row>
    <row r="32" spans="2:22">
      <c r="B32">
        <v>31</v>
      </c>
      <c r="C32" s="1808">
        <f t="shared" ca="1" si="2"/>
        <v>31</v>
      </c>
      <c r="D32" s="1808" t="str">
        <f t="shared" ca="1" si="4"/>
        <v/>
      </c>
      <c r="E32" s="1808" t="str">
        <f t="shared" ca="1" si="4"/>
        <v/>
      </c>
      <c r="F32" s="1808" t="str">
        <f t="shared" ca="1" si="4"/>
        <v/>
      </c>
      <c r="G32" s="1808" t="str">
        <f t="shared" ca="1" si="4"/>
        <v/>
      </c>
      <c r="H32" s="1808" t="str">
        <f t="shared" ca="1" si="4"/>
        <v/>
      </c>
      <c r="I32" s="1808" t="str">
        <f t="shared" ca="1" si="4"/>
        <v/>
      </c>
      <c r="J32" s="1808" t="str">
        <f t="shared" ca="1" si="4"/>
        <v/>
      </c>
      <c r="K32" s="1808" t="str">
        <f t="shared" ca="1" si="4"/>
        <v/>
      </c>
      <c r="L32" s="1808" t="str">
        <f t="shared" ca="1" si="4"/>
        <v/>
      </c>
      <c r="M32" s="1808" t="str">
        <f t="shared" ca="1" si="4"/>
        <v/>
      </c>
      <c r="N32" s="1808" t="str">
        <f t="shared" ca="1" si="6"/>
        <v/>
      </c>
      <c r="O32" s="1808" t="str">
        <f t="shared" ca="1" si="6"/>
        <v/>
      </c>
      <c r="P32" s="1808" t="str">
        <f t="shared" ca="1" si="6"/>
        <v/>
      </c>
      <c r="Q32" s="1808" t="str">
        <f t="shared" ca="1" si="6"/>
        <v/>
      </c>
      <c r="R32" s="1808" t="str">
        <f t="shared" ca="1" si="5"/>
        <v/>
      </c>
      <c r="S32" s="1808" t="str">
        <f t="shared" ca="1" si="5"/>
        <v/>
      </c>
      <c r="T32" s="1808" t="str">
        <f t="shared" ca="1" si="5"/>
        <v/>
      </c>
      <c r="U32" s="1808" t="str">
        <f t="shared" ca="1" si="1"/>
        <v/>
      </c>
      <c r="V32" s="1808">
        <f t="shared" ca="1" si="3"/>
        <v>1</v>
      </c>
    </row>
    <row r="33" spans="2:22">
      <c r="B33">
        <v>32</v>
      </c>
      <c r="C33" s="1808">
        <f t="shared" ca="1" si="2"/>
        <v>32</v>
      </c>
      <c r="D33" s="1808" t="str">
        <f t="shared" ref="D33:Q48" ca="1" si="7">IFERROR(VLOOKUP($B33,INDIRECT(D$1&amp;"!"&amp;"A:A"),1,0),"")</f>
        <v/>
      </c>
      <c r="E33" s="1808" t="str">
        <f t="shared" ca="1" si="7"/>
        <v/>
      </c>
      <c r="F33" s="1808" t="str">
        <f t="shared" ca="1" si="7"/>
        <v/>
      </c>
      <c r="G33" s="1808" t="str">
        <f t="shared" ca="1" si="7"/>
        <v/>
      </c>
      <c r="H33" s="1808" t="str">
        <f t="shared" ca="1" si="7"/>
        <v/>
      </c>
      <c r="I33" s="1808" t="str">
        <f t="shared" ca="1" si="7"/>
        <v/>
      </c>
      <c r="J33" s="1808" t="str">
        <f t="shared" ca="1" si="7"/>
        <v/>
      </c>
      <c r="K33" s="1808" t="str">
        <f t="shared" ca="1" si="7"/>
        <v/>
      </c>
      <c r="L33" s="1808" t="str">
        <f t="shared" ca="1" si="7"/>
        <v/>
      </c>
      <c r="M33" s="1808" t="str">
        <f t="shared" ca="1" si="7"/>
        <v/>
      </c>
      <c r="N33" s="1808" t="str">
        <f t="shared" ca="1" si="7"/>
        <v/>
      </c>
      <c r="O33" s="1808" t="str">
        <f t="shared" ca="1" si="7"/>
        <v/>
      </c>
      <c r="P33" s="1808" t="str">
        <f t="shared" ca="1" si="7"/>
        <v/>
      </c>
      <c r="Q33" s="1808" t="str">
        <f t="shared" ca="1" si="7"/>
        <v/>
      </c>
      <c r="R33" s="1808" t="str">
        <f t="shared" ca="1" si="5"/>
        <v/>
      </c>
      <c r="S33" s="1808" t="str">
        <f t="shared" ca="1" si="5"/>
        <v/>
      </c>
      <c r="T33" s="1808" t="str">
        <f t="shared" ca="1" si="5"/>
        <v/>
      </c>
      <c r="U33" s="1808" t="str">
        <f t="shared" ca="1" si="1"/>
        <v/>
      </c>
      <c r="V33" s="1808">
        <f t="shared" ca="1" si="3"/>
        <v>1</v>
      </c>
    </row>
    <row r="34" spans="2:22">
      <c r="B34">
        <v>33</v>
      </c>
      <c r="C34" s="1808">
        <f t="shared" ca="1" si="2"/>
        <v>33</v>
      </c>
      <c r="D34" s="1808" t="str">
        <f t="shared" ca="1" si="7"/>
        <v/>
      </c>
      <c r="E34" s="1808" t="str">
        <f t="shared" ca="1" si="7"/>
        <v/>
      </c>
      <c r="F34" s="1808" t="str">
        <f t="shared" ca="1" si="7"/>
        <v/>
      </c>
      <c r="G34" s="1808" t="str">
        <f t="shared" ca="1" si="7"/>
        <v/>
      </c>
      <c r="H34" s="1808" t="str">
        <f t="shared" ca="1" si="7"/>
        <v/>
      </c>
      <c r="I34" s="1808" t="str">
        <f t="shared" ca="1" si="7"/>
        <v/>
      </c>
      <c r="J34" s="1808" t="str">
        <f t="shared" ca="1" si="7"/>
        <v/>
      </c>
      <c r="K34" s="1808" t="str">
        <f t="shared" ca="1" si="7"/>
        <v/>
      </c>
      <c r="L34" s="1808" t="str">
        <f t="shared" ca="1" si="7"/>
        <v/>
      </c>
      <c r="M34" s="1808" t="str">
        <f t="shared" ca="1" si="7"/>
        <v/>
      </c>
      <c r="N34" s="1808" t="str">
        <f t="shared" ref="N34:Q48" ca="1" si="8">IFERROR(VLOOKUP($B34,INDIRECT(N$1&amp;"!"&amp;"A:A"),1,0),"")</f>
        <v/>
      </c>
      <c r="O34" s="1808" t="str">
        <f t="shared" ca="1" si="8"/>
        <v/>
      </c>
      <c r="P34" s="1808" t="str">
        <f t="shared" ca="1" si="8"/>
        <v/>
      </c>
      <c r="Q34" s="1808" t="str">
        <f t="shared" ca="1" si="8"/>
        <v/>
      </c>
      <c r="R34" s="1808" t="str">
        <f t="shared" ca="1" si="5"/>
        <v/>
      </c>
      <c r="S34" s="1808" t="str">
        <f t="shared" ca="1" si="5"/>
        <v/>
      </c>
      <c r="T34" s="1808" t="str">
        <f t="shared" ca="1" si="5"/>
        <v/>
      </c>
      <c r="U34" s="1808" t="str">
        <f t="shared" ca="1" si="1"/>
        <v/>
      </c>
      <c r="V34" s="1808">
        <f t="shared" ca="1" si="3"/>
        <v>1</v>
      </c>
    </row>
    <row r="35" spans="2:22">
      <c r="B35">
        <v>34</v>
      </c>
      <c r="C35" s="1808">
        <f t="shared" ca="1" si="2"/>
        <v>34</v>
      </c>
      <c r="D35" s="1808" t="str">
        <f t="shared" ca="1" si="7"/>
        <v/>
      </c>
      <c r="E35" s="1808" t="str">
        <f t="shared" ca="1" si="7"/>
        <v/>
      </c>
      <c r="F35" s="1808" t="str">
        <f t="shared" ca="1" si="7"/>
        <v/>
      </c>
      <c r="G35" s="1808" t="str">
        <f t="shared" ca="1" si="7"/>
        <v/>
      </c>
      <c r="H35" s="1808" t="str">
        <f t="shared" ca="1" si="7"/>
        <v/>
      </c>
      <c r="I35" s="1808" t="str">
        <f t="shared" ca="1" si="7"/>
        <v/>
      </c>
      <c r="J35" s="1808" t="str">
        <f t="shared" ca="1" si="7"/>
        <v/>
      </c>
      <c r="K35" s="1808" t="str">
        <f t="shared" ca="1" si="7"/>
        <v/>
      </c>
      <c r="L35" s="1808" t="str">
        <f t="shared" ca="1" si="7"/>
        <v/>
      </c>
      <c r="M35" s="1808" t="str">
        <f t="shared" ca="1" si="7"/>
        <v/>
      </c>
      <c r="N35" s="1808" t="str">
        <f t="shared" ca="1" si="8"/>
        <v/>
      </c>
      <c r="O35" s="1808" t="str">
        <f t="shared" ca="1" si="8"/>
        <v/>
      </c>
      <c r="P35" s="1808" t="str">
        <f t="shared" ca="1" si="8"/>
        <v/>
      </c>
      <c r="Q35" s="1808" t="str">
        <f t="shared" ca="1" si="8"/>
        <v/>
      </c>
      <c r="R35" s="1808" t="str">
        <f t="shared" ca="1" si="5"/>
        <v/>
      </c>
      <c r="S35" s="1808" t="str">
        <f t="shared" ca="1" si="5"/>
        <v/>
      </c>
      <c r="T35" s="1808" t="str">
        <f t="shared" ca="1" si="5"/>
        <v/>
      </c>
      <c r="U35" s="1808" t="str">
        <f t="shared" ca="1" si="1"/>
        <v/>
      </c>
      <c r="V35" s="1808">
        <f t="shared" ca="1" si="3"/>
        <v>1</v>
      </c>
    </row>
    <row r="36" spans="2:22">
      <c r="B36">
        <v>35</v>
      </c>
      <c r="C36" s="1808" t="str">
        <f t="shared" ca="1" si="2"/>
        <v/>
      </c>
      <c r="D36" s="1808">
        <f t="shared" ca="1" si="7"/>
        <v>35</v>
      </c>
      <c r="E36" s="1808" t="str">
        <f t="shared" ca="1" si="7"/>
        <v/>
      </c>
      <c r="F36" s="1808" t="str">
        <f t="shared" ca="1" si="7"/>
        <v/>
      </c>
      <c r="G36" s="1808" t="str">
        <f t="shared" ca="1" si="7"/>
        <v/>
      </c>
      <c r="H36" s="1808" t="str">
        <f t="shared" ca="1" si="7"/>
        <v/>
      </c>
      <c r="I36" s="1808" t="str">
        <f t="shared" ca="1" si="7"/>
        <v/>
      </c>
      <c r="J36" s="1808" t="str">
        <f t="shared" ca="1" si="7"/>
        <v/>
      </c>
      <c r="K36" s="1808" t="str">
        <f t="shared" ca="1" si="7"/>
        <v/>
      </c>
      <c r="L36" s="1808" t="str">
        <f t="shared" ca="1" si="7"/>
        <v/>
      </c>
      <c r="M36" s="1808" t="str">
        <f t="shared" ca="1" si="7"/>
        <v/>
      </c>
      <c r="N36" s="1808" t="str">
        <f t="shared" ca="1" si="8"/>
        <v/>
      </c>
      <c r="O36" s="1808" t="str">
        <f t="shared" ca="1" si="8"/>
        <v/>
      </c>
      <c r="P36" s="1808" t="str">
        <f t="shared" ca="1" si="8"/>
        <v/>
      </c>
      <c r="Q36" s="1808" t="str">
        <f t="shared" ca="1" si="8"/>
        <v/>
      </c>
      <c r="R36" s="1808" t="str">
        <f t="shared" ca="1" si="5"/>
        <v/>
      </c>
      <c r="S36" s="1808" t="str">
        <f t="shared" ca="1" si="5"/>
        <v/>
      </c>
      <c r="T36" s="1808" t="str">
        <f t="shared" ca="1" si="5"/>
        <v/>
      </c>
      <c r="U36" s="1808" t="str">
        <f t="shared" ca="1" si="1"/>
        <v/>
      </c>
      <c r="V36" s="1808">
        <f t="shared" ca="1" si="3"/>
        <v>1</v>
      </c>
    </row>
    <row r="37" spans="2:22">
      <c r="B37">
        <v>36</v>
      </c>
      <c r="C37" s="1808" t="str">
        <f t="shared" ca="1" si="2"/>
        <v/>
      </c>
      <c r="D37" s="1808">
        <f t="shared" ca="1" si="7"/>
        <v>36</v>
      </c>
      <c r="E37" s="1808" t="str">
        <f t="shared" ca="1" si="7"/>
        <v/>
      </c>
      <c r="F37" s="1808" t="str">
        <f t="shared" ca="1" si="7"/>
        <v/>
      </c>
      <c r="G37" s="1808" t="str">
        <f t="shared" ca="1" si="7"/>
        <v/>
      </c>
      <c r="H37" s="1808" t="str">
        <f t="shared" ca="1" si="7"/>
        <v/>
      </c>
      <c r="I37" s="1808" t="str">
        <f t="shared" ca="1" si="7"/>
        <v/>
      </c>
      <c r="J37" s="1808" t="str">
        <f t="shared" ca="1" si="7"/>
        <v/>
      </c>
      <c r="K37" s="1808" t="str">
        <f t="shared" ca="1" si="7"/>
        <v/>
      </c>
      <c r="L37" s="1808" t="str">
        <f t="shared" ca="1" si="7"/>
        <v/>
      </c>
      <c r="M37" s="1808" t="str">
        <f t="shared" ca="1" si="7"/>
        <v/>
      </c>
      <c r="N37" s="1808" t="str">
        <f t="shared" ca="1" si="8"/>
        <v/>
      </c>
      <c r="O37" s="1808" t="str">
        <f t="shared" ca="1" si="8"/>
        <v/>
      </c>
      <c r="P37" s="1808" t="str">
        <f t="shared" ca="1" si="8"/>
        <v/>
      </c>
      <c r="Q37" s="1808" t="str">
        <f t="shared" ca="1" si="8"/>
        <v/>
      </c>
      <c r="R37" s="1808" t="str">
        <f t="shared" ca="1" si="5"/>
        <v/>
      </c>
      <c r="S37" s="1808" t="str">
        <f t="shared" ca="1" si="5"/>
        <v/>
      </c>
      <c r="T37" s="1808" t="str">
        <f t="shared" ca="1" si="5"/>
        <v/>
      </c>
      <c r="U37" s="1808" t="str">
        <f t="shared" ca="1" si="1"/>
        <v/>
      </c>
      <c r="V37" s="1808">
        <f t="shared" ca="1" si="3"/>
        <v>1</v>
      </c>
    </row>
    <row r="38" spans="2:22">
      <c r="B38">
        <v>37</v>
      </c>
      <c r="C38" s="1808" t="str">
        <f t="shared" ca="1" si="2"/>
        <v/>
      </c>
      <c r="D38" s="1808">
        <f t="shared" ca="1" si="7"/>
        <v>37</v>
      </c>
      <c r="E38" s="1808" t="str">
        <f t="shared" ca="1" si="7"/>
        <v/>
      </c>
      <c r="F38" s="1808" t="str">
        <f t="shared" ca="1" si="7"/>
        <v/>
      </c>
      <c r="G38" s="1808" t="str">
        <f t="shared" ca="1" si="7"/>
        <v/>
      </c>
      <c r="H38" s="1808" t="str">
        <f t="shared" ca="1" si="7"/>
        <v/>
      </c>
      <c r="I38" s="1808" t="str">
        <f t="shared" ca="1" si="7"/>
        <v/>
      </c>
      <c r="J38" s="1808" t="str">
        <f t="shared" ca="1" si="7"/>
        <v/>
      </c>
      <c r="K38" s="1808" t="str">
        <f t="shared" ca="1" si="7"/>
        <v/>
      </c>
      <c r="L38" s="1808" t="str">
        <f t="shared" ca="1" si="7"/>
        <v/>
      </c>
      <c r="M38" s="1808" t="str">
        <f t="shared" ca="1" si="7"/>
        <v/>
      </c>
      <c r="N38" s="1808" t="str">
        <f t="shared" ca="1" si="8"/>
        <v/>
      </c>
      <c r="O38" s="1808" t="str">
        <f t="shared" ca="1" si="8"/>
        <v/>
      </c>
      <c r="P38" s="1808" t="str">
        <f t="shared" ca="1" si="8"/>
        <v/>
      </c>
      <c r="Q38" s="1808" t="str">
        <f t="shared" ca="1" si="8"/>
        <v/>
      </c>
      <c r="R38" s="1808" t="str">
        <f t="shared" ca="1" si="5"/>
        <v/>
      </c>
      <c r="S38" s="1808" t="str">
        <f t="shared" ca="1" si="5"/>
        <v/>
      </c>
      <c r="T38" s="1808" t="str">
        <f t="shared" ca="1" si="5"/>
        <v/>
      </c>
      <c r="U38" s="1808" t="str">
        <f t="shared" ca="1" si="1"/>
        <v/>
      </c>
      <c r="V38" s="1808">
        <f t="shared" ca="1" si="3"/>
        <v>1</v>
      </c>
    </row>
    <row r="39" spans="2:22">
      <c r="B39">
        <v>38</v>
      </c>
      <c r="C39" s="1808" t="str">
        <f t="shared" ca="1" si="2"/>
        <v/>
      </c>
      <c r="D39" s="1808">
        <f t="shared" ca="1" si="7"/>
        <v>38</v>
      </c>
      <c r="E39" s="1808" t="str">
        <f t="shared" ca="1" si="7"/>
        <v/>
      </c>
      <c r="F39" s="1808" t="str">
        <f t="shared" ca="1" si="7"/>
        <v/>
      </c>
      <c r="G39" s="1808" t="str">
        <f t="shared" ca="1" si="7"/>
        <v/>
      </c>
      <c r="H39" s="1808" t="str">
        <f t="shared" ca="1" si="7"/>
        <v/>
      </c>
      <c r="I39" s="1808" t="str">
        <f t="shared" ca="1" si="7"/>
        <v/>
      </c>
      <c r="J39" s="1808" t="str">
        <f t="shared" ca="1" si="7"/>
        <v/>
      </c>
      <c r="K39" s="1808" t="str">
        <f t="shared" ca="1" si="7"/>
        <v/>
      </c>
      <c r="L39" s="1808" t="str">
        <f t="shared" ca="1" si="7"/>
        <v/>
      </c>
      <c r="M39" s="1808" t="str">
        <f t="shared" ca="1" si="7"/>
        <v/>
      </c>
      <c r="N39" s="1808" t="str">
        <f t="shared" ca="1" si="8"/>
        <v/>
      </c>
      <c r="O39" s="1808" t="str">
        <f t="shared" ca="1" si="8"/>
        <v/>
      </c>
      <c r="P39" s="1808" t="str">
        <f t="shared" ca="1" si="8"/>
        <v/>
      </c>
      <c r="Q39" s="1808" t="str">
        <f t="shared" ca="1" si="8"/>
        <v/>
      </c>
      <c r="R39" s="1808" t="str">
        <f t="shared" ca="1" si="5"/>
        <v/>
      </c>
      <c r="S39" s="1808" t="str">
        <f t="shared" ca="1" si="5"/>
        <v/>
      </c>
      <c r="T39" s="1808" t="str">
        <f t="shared" ca="1" si="5"/>
        <v/>
      </c>
      <c r="U39" s="1808" t="str">
        <f t="shared" ca="1" si="1"/>
        <v/>
      </c>
      <c r="V39" s="1808">
        <f t="shared" ca="1" si="3"/>
        <v>1</v>
      </c>
    </row>
    <row r="40" spans="2:22">
      <c r="B40">
        <v>39</v>
      </c>
      <c r="C40" s="1808" t="str">
        <f t="shared" ca="1" si="2"/>
        <v/>
      </c>
      <c r="D40" s="1808">
        <f t="shared" ca="1" si="7"/>
        <v>39</v>
      </c>
      <c r="E40" s="1808" t="str">
        <f t="shared" ca="1" si="7"/>
        <v/>
      </c>
      <c r="F40" s="1808" t="str">
        <f t="shared" ca="1" si="7"/>
        <v/>
      </c>
      <c r="G40" s="1808" t="str">
        <f t="shared" ca="1" si="7"/>
        <v/>
      </c>
      <c r="H40" s="1808" t="str">
        <f t="shared" ca="1" si="7"/>
        <v/>
      </c>
      <c r="I40" s="1808" t="str">
        <f t="shared" ca="1" si="7"/>
        <v/>
      </c>
      <c r="J40" s="1808" t="str">
        <f t="shared" ca="1" si="7"/>
        <v/>
      </c>
      <c r="K40" s="1808" t="str">
        <f t="shared" ca="1" si="7"/>
        <v/>
      </c>
      <c r="L40" s="1808" t="str">
        <f t="shared" ca="1" si="7"/>
        <v/>
      </c>
      <c r="M40" s="1808" t="str">
        <f t="shared" ca="1" si="7"/>
        <v/>
      </c>
      <c r="N40" s="1808" t="str">
        <f t="shared" ca="1" si="8"/>
        <v/>
      </c>
      <c r="O40" s="1808" t="str">
        <f t="shared" ca="1" si="8"/>
        <v/>
      </c>
      <c r="P40" s="1808" t="str">
        <f t="shared" ca="1" si="8"/>
        <v/>
      </c>
      <c r="Q40" s="1808" t="str">
        <f t="shared" ca="1" si="8"/>
        <v/>
      </c>
      <c r="R40" s="1808" t="str">
        <f t="shared" ca="1" si="5"/>
        <v/>
      </c>
      <c r="S40" s="1808" t="str">
        <f t="shared" ca="1" si="5"/>
        <v/>
      </c>
      <c r="T40" s="1808" t="str">
        <f t="shared" ca="1" si="5"/>
        <v/>
      </c>
      <c r="U40" s="1808" t="str">
        <f t="shared" ca="1" si="1"/>
        <v/>
      </c>
      <c r="V40" s="1808">
        <f t="shared" ca="1" si="3"/>
        <v>1</v>
      </c>
    </row>
    <row r="41" spans="2:22">
      <c r="B41">
        <v>40</v>
      </c>
      <c r="C41" s="1808" t="str">
        <f t="shared" ca="1" si="2"/>
        <v/>
      </c>
      <c r="D41" s="1808">
        <f t="shared" ca="1" si="7"/>
        <v>40</v>
      </c>
      <c r="E41" s="1808" t="str">
        <f t="shared" ca="1" si="7"/>
        <v/>
      </c>
      <c r="F41" s="1808" t="str">
        <f t="shared" ca="1" si="7"/>
        <v/>
      </c>
      <c r="G41" s="1808" t="str">
        <f t="shared" ca="1" si="7"/>
        <v/>
      </c>
      <c r="H41" s="1808" t="str">
        <f t="shared" ca="1" si="7"/>
        <v/>
      </c>
      <c r="I41" s="1808" t="str">
        <f t="shared" ca="1" si="7"/>
        <v/>
      </c>
      <c r="J41" s="1808" t="str">
        <f t="shared" ca="1" si="7"/>
        <v/>
      </c>
      <c r="K41" s="1808" t="str">
        <f t="shared" ca="1" si="7"/>
        <v/>
      </c>
      <c r="L41" s="1808" t="str">
        <f t="shared" ca="1" si="7"/>
        <v/>
      </c>
      <c r="M41" s="1808" t="str">
        <f t="shared" ca="1" si="7"/>
        <v/>
      </c>
      <c r="N41" s="1808" t="str">
        <f t="shared" ca="1" si="8"/>
        <v/>
      </c>
      <c r="O41" s="1808" t="str">
        <f t="shared" ca="1" si="8"/>
        <v/>
      </c>
      <c r="P41" s="1808" t="str">
        <f t="shared" ca="1" si="8"/>
        <v/>
      </c>
      <c r="Q41" s="1808" t="str">
        <f t="shared" ca="1" si="8"/>
        <v/>
      </c>
      <c r="R41" s="1808" t="str">
        <f t="shared" ca="1" si="5"/>
        <v/>
      </c>
      <c r="S41" s="1808" t="str">
        <f t="shared" ca="1" si="5"/>
        <v/>
      </c>
      <c r="T41" s="1808" t="str">
        <f t="shared" ca="1" si="5"/>
        <v/>
      </c>
      <c r="U41" s="1808" t="str">
        <f t="shared" ca="1" si="1"/>
        <v/>
      </c>
      <c r="V41" s="1808">
        <f t="shared" ca="1" si="3"/>
        <v>1</v>
      </c>
    </row>
    <row r="42" spans="2:22">
      <c r="B42">
        <v>41</v>
      </c>
      <c r="C42" s="1808" t="str">
        <f t="shared" ca="1" si="2"/>
        <v/>
      </c>
      <c r="D42" s="1808">
        <f t="shared" ca="1" si="7"/>
        <v>41</v>
      </c>
      <c r="E42" s="1808" t="str">
        <f t="shared" ca="1" si="7"/>
        <v/>
      </c>
      <c r="F42" s="1808" t="str">
        <f t="shared" ca="1" si="7"/>
        <v/>
      </c>
      <c r="G42" s="1808" t="str">
        <f t="shared" ca="1" si="7"/>
        <v/>
      </c>
      <c r="H42" s="1808" t="str">
        <f t="shared" ca="1" si="7"/>
        <v/>
      </c>
      <c r="I42" s="1808" t="str">
        <f t="shared" ca="1" si="7"/>
        <v/>
      </c>
      <c r="J42" s="1808" t="str">
        <f t="shared" ca="1" si="7"/>
        <v/>
      </c>
      <c r="K42" s="1808" t="str">
        <f t="shared" ca="1" si="7"/>
        <v/>
      </c>
      <c r="L42" s="1808" t="str">
        <f t="shared" ca="1" si="7"/>
        <v/>
      </c>
      <c r="M42" s="1808" t="str">
        <f t="shared" ca="1" si="7"/>
        <v/>
      </c>
      <c r="N42" s="1808" t="str">
        <f t="shared" ca="1" si="8"/>
        <v/>
      </c>
      <c r="O42" s="1808" t="str">
        <f t="shared" ca="1" si="8"/>
        <v/>
      </c>
      <c r="P42" s="1808" t="str">
        <f t="shared" ca="1" si="8"/>
        <v/>
      </c>
      <c r="Q42" s="1808" t="str">
        <f t="shared" ca="1" si="8"/>
        <v/>
      </c>
      <c r="R42" s="1808" t="str">
        <f t="shared" ca="1" si="5"/>
        <v/>
      </c>
      <c r="S42" s="1808" t="str">
        <f t="shared" ca="1" si="5"/>
        <v/>
      </c>
      <c r="T42" s="1808" t="str">
        <f t="shared" ca="1" si="5"/>
        <v/>
      </c>
      <c r="U42" s="1808" t="str">
        <f t="shared" ca="1" si="1"/>
        <v/>
      </c>
      <c r="V42" s="1808">
        <f t="shared" ca="1" si="3"/>
        <v>1</v>
      </c>
    </row>
    <row r="43" spans="2:22">
      <c r="B43">
        <v>42</v>
      </c>
      <c r="C43" s="1808" t="str">
        <f t="shared" ca="1" si="2"/>
        <v/>
      </c>
      <c r="D43" s="1808">
        <f t="shared" ca="1" si="7"/>
        <v>42</v>
      </c>
      <c r="E43" s="1808" t="str">
        <f t="shared" ca="1" si="7"/>
        <v/>
      </c>
      <c r="F43" s="1808" t="str">
        <f t="shared" ca="1" si="7"/>
        <v/>
      </c>
      <c r="G43" s="1808" t="str">
        <f t="shared" ca="1" si="7"/>
        <v/>
      </c>
      <c r="H43" s="1808" t="str">
        <f t="shared" ca="1" si="7"/>
        <v/>
      </c>
      <c r="I43" s="1808" t="str">
        <f t="shared" ca="1" si="7"/>
        <v/>
      </c>
      <c r="J43" s="1808" t="str">
        <f t="shared" ca="1" si="7"/>
        <v/>
      </c>
      <c r="K43" s="1808" t="str">
        <f t="shared" ca="1" si="7"/>
        <v/>
      </c>
      <c r="L43" s="1808" t="str">
        <f t="shared" ca="1" si="7"/>
        <v/>
      </c>
      <c r="M43" s="1808" t="str">
        <f t="shared" ca="1" si="7"/>
        <v/>
      </c>
      <c r="N43" s="1808" t="str">
        <f t="shared" ca="1" si="8"/>
        <v/>
      </c>
      <c r="O43" s="1808" t="str">
        <f t="shared" ca="1" si="8"/>
        <v/>
      </c>
      <c r="P43" s="1808" t="str">
        <f t="shared" ca="1" si="8"/>
        <v/>
      </c>
      <c r="Q43" s="1808" t="str">
        <f t="shared" ca="1" si="8"/>
        <v/>
      </c>
      <c r="R43" s="1808" t="str">
        <f t="shared" ca="1" si="5"/>
        <v/>
      </c>
      <c r="S43" s="1808" t="str">
        <f t="shared" ca="1" si="5"/>
        <v/>
      </c>
      <c r="T43" s="1808" t="str">
        <f t="shared" ca="1" si="5"/>
        <v/>
      </c>
      <c r="U43" s="1808" t="str">
        <f t="shared" ca="1" si="1"/>
        <v/>
      </c>
      <c r="V43" s="1808">
        <f t="shared" ca="1" si="3"/>
        <v>1</v>
      </c>
    </row>
    <row r="44" spans="2:22">
      <c r="B44">
        <v>43</v>
      </c>
      <c r="C44" s="1808" t="str">
        <f t="shared" ca="1" si="2"/>
        <v/>
      </c>
      <c r="D44" s="1808">
        <f t="shared" ca="1" si="7"/>
        <v>43</v>
      </c>
      <c r="E44" s="1808" t="str">
        <f t="shared" ca="1" si="7"/>
        <v/>
      </c>
      <c r="F44" s="1808" t="str">
        <f t="shared" ca="1" si="7"/>
        <v/>
      </c>
      <c r="G44" s="1808" t="str">
        <f t="shared" ca="1" si="7"/>
        <v/>
      </c>
      <c r="H44" s="1808" t="str">
        <f t="shared" ca="1" si="7"/>
        <v/>
      </c>
      <c r="I44" s="1808" t="str">
        <f t="shared" ca="1" si="7"/>
        <v/>
      </c>
      <c r="J44" s="1808" t="str">
        <f t="shared" ca="1" si="7"/>
        <v/>
      </c>
      <c r="K44" s="1808" t="str">
        <f t="shared" ca="1" si="7"/>
        <v/>
      </c>
      <c r="L44" s="1808" t="str">
        <f t="shared" ca="1" si="7"/>
        <v/>
      </c>
      <c r="M44" s="1808" t="str">
        <f t="shared" ca="1" si="7"/>
        <v/>
      </c>
      <c r="N44" s="1808" t="str">
        <f t="shared" ca="1" si="8"/>
        <v/>
      </c>
      <c r="O44" s="1808" t="str">
        <f t="shared" ca="1" si="8"/>
        <v/>
      </c>
      <c r="P44" s="1808" t="str">
        <f t="shared" ca="1" si="8"/>
        <v/>
      </c>
      <c r="Q44" s="1808" t="str">
        <f t="shared" ca="1" si="8"/>
        <v/>
      </c>
      <c r="R44" s="1808" t="str">
        <f t="shared" ca="1" si="5"/>
        <v/>
      </c>
      <c r="S44" s="1808" t="str">
        <f t="shared" ca="1" si="5"/>
        <v/>
      </c>
      <c r="T44" s="1808" t="str">
        <f t="shared" ca="1" si="5"/>
        <v/>
      </c>
      <c r="U44" s="1808" t="str">
        <f t="shared" ca="1" si="1"/>
        <v/>
      </c>
      <c r="V44" s="1808">
        <f t="shared" ca="1" si="3"/>
        <v>1</v>
      </c>
    </row>
    <row r="45" spans="2:22">
      <c r="B45">
        <v>44</v>
      </c>
      <c r="C45" s="1808" t="str">
        <f t="shared" ca="1" si="2"/>
        <v/>
      </c>
      <c r="D45" s="1808">
        <f t="shared" ca="1" si="7"/>
        <v>44</v>
      </c>
      <c r="E45" s="1808" t="str">
        <f t="shared" ca="1" si="7"/>
        <v/>
      </c>
      <c r="F45" s="1808" t="str">
        <f t="shared" ca="1" si="7"/>
        <v/>
      </c>
      <c r="G45" s="1808" t="str">
        <f t="shared" ca="1" si="7"/>
        <v/>
      </c>
      <c r="H45" s="1808" t="str">
        <f t="shared" ca="1" si="7"/>
        <v/>
      </c>
      <c r="I45" s="1808" t="str">
        <f t="shared" ca="1" si="7"/>
        <v/>
      </c>
      <c r="J45" s="1808" t="str">
        <f t="shared" ca="1" si="7"/>
        <v/>
      </c>
      <c r="K45" s="1808" t="str">
        <f t="shared" ca="1" si="7"/>
        <v/>
      </c>
      <c r="L45" s="1808" t="str">
        <f t="shared" ca="1" si="7"/>
        <v/>
      </c>
      <c r="M45" s="1808" t="str">
        <f t="shared" ca="1" si="7"/>
        <v/>
      </c>
      <c r="N45" s="1808" t="str">
        <f t="shared" ca="1" si="8"/>
        <v/>
      </c>
      <c r="O45" s="1808" t="str">
        <f t="shared" ca="1" si="8"/>
        <v/>
      </c>
      <c r="P45" s="1808" t="str">
        <f t="shared" ca="1" si="8"/>
        <v/>
      </c>
      <c r="Q45" s="1808" t="str">
        <f t="shared" ca="1" si="8"/>
        <v/>
      </c>
      <c r="R45" s="1808" t="str">
        <f t="shared" ca="1" si="5"/>
        <v/>
      </c>
      <c r="S45" s="1808" t="str">
        <f t="shared" ca="1" si="5"/>
        <v/>
      </c>
      <c r="T45" s="1808" t="str">
        <f t="shared" ca="1" si="5"/>
        <v/>
      </c>
      <c r="U45" s="1808" t="str">
        <f t="shared" ca="1" si="1"/>
        <v/>
      </c>
      <c r="V45" s="1808">
        <f t="shared" ca="1" si="3"/>
        <v>1</v>
      </c>
    </row>
    <row r="46" spans="2:22">
      <c r="B46">
        <v>45</v>
      </c>
      <c r="C46" s="1808" t="str">
        <f t="shared" ca="1" si="2"/>
        <v/>
      </c>
      <c r="D46" s="1808">
        <f t="shared" ca="1" si="7"/>
        <v>45</v>
      </c>
      <c r="E46" s="1808" t="str">
        <f t="shared" ca="1" si="7"/>
        <v/>
      </c>
      <c r="F46" s="1808" t="str">
        <f t="shared" ca="1" si="7"/>
        <v/>
      </c>
      <c r="G46" s="1808" t="str">
        <f t="shared" ca="1" si="7"/>
        <v/>
      </c>
      <c r="H46" s="1808" t="str">
        <f t="shared" ca="1" si="7"/>
        <v/>
      </c>
      <c r="I46" s="1808" t="str">
        <f t="shared" ca="1" si="7"/>
        <v/>
      </c>
      <c r="J46" s="1808" t="str">
        <f t="shared" ca="1" si="7"/>
        <v/>
      </c>
      <c r="K46" s="1808" t="str">
        <f t="shared" ca="1" si="7"/>
        <v/>
      </c>
      <c r="L46" s="1808" t="str">
        <f t="shared" ca="1" si="7"/>
        <v/>
      </c>
      <c r="M46" s="1808" t="str">
        <f t="shared" ca="1" si="7"/>
        <v/>
      </c>
      <c r="N46" s="1808" t="str">
        <f t="shared" ca="1" si="8"/>
        <v/>
      </c>
      <c r="O46" s="1808" t="str">
        <f t="shared" ca="1" si="8"/>
        <v/>
      </c>
      <c r="P46" s="1808" t="str">
        <f t="shared" ca="1" si="8"/>
        <v/>
      </c>
      <c r="Q46" s="1808" t="str">
        <f t="shared" ca="1" si="8"/>
        <v/>
      </c>
      <c r="R46" s="1808" t="str">
        <f t="shared" ca="1" si="5"/>
        <v/>
      </c>
      <c r="S46" s="1808" t="str">
        <f t="shared" ca="1" si="5"/>
        <v/>
      </c>
      <c r="T46" s="1808" t="str">
        <f t="shared" ca="1" si="5"/>
        <v/>
      </c>
      <c r="U46" s="1808" t="str">
        <f t="shared" ca="1" si="1"/>
        <v/>
      </c>
      <c r="V46" s="1808">
        <f t="shared" ca="1" si="3"/>
        <v>1</v>
      </c>
    </row>
    <row r="47" spans="2:22">
      <c r="B47">
        <v>46</v>
      </c>
      <c r="C47" s="1808" t="str">
        <f t="shared" ca="1" si="2"/>
        <v/>
      </c>
      <c r="D47" s="1808">
        <f t="shared" ca="1" si="7"/>
        <v>46</v>
      </c>
      <c r="E47" s="1808" t="str">
        <f t="shared" ca="1" si="7"/>
        <v/>
      </c>
      <c r="F47" s="1808" t="str">
        <f t="shared" ca="1" si="7"/>
        <v/>
      </c>
      <c r="G47" s="1808" t="str">
        <f t="shared" ca="1" si="7"/>
        <v/>
      </c>
      <c r="H47" s="1808" t="str">
        <f t="shared" ca="1" si="7"/>
        <v/>
      </c>
      <c r="I47" s="1808" t="str">
        <f t="shared" ca="1" si="7"/>
        <v/>
      </c>
      <c r="J47" s="1808" t="str">
        <f t="shared" ca="1" si="7"/>
        <v/>
      </c>
      <c r="K47" s="1808" t="str">
        <f t="shared" ca="1" si="7"/>
        <v/>
      </c>
      <c r="L47" s="1808" t="str">
        <f t="shared" ca="1" si="7"/>
        <v/>
      </c>
      <c r="M47" s="1808" t="str">
        <f t="shared" ca="1" si="7"/>
        <v/>
      </c>
      <c r="N47" s="1808" t="str">
        <f t="shared" ca="1" si="8"/>
        <v/>
      </c>
      <c r="O47" s="1808" t="str">
        <f t="shared" ca="1" si="8"/>
        <v/>
      </c>
      <c r="P47" s="1808" t="str">
        <f t="shared" ca="1" si="8"/>
        <v/>
      </c>
      <c r="Q47" s="1808" t="str">
        <f t="shared" ca="1" si="8"/>
        <v/>
      </c>
      <c r="R47" s="1808" t="str">
        <f t="shared" ca="1" si="5"/>
        <v/>
      </c>
      <c r="S47" s="1808" t="str">
        <f t="shared" ca="1" si="5"/>
        <v/>
      </c>
      <c r="T47" s="1808" t="str">
        <f t="shared" ca="1" si="5"/>
        <v/>
      </c>
      <c r="U47" s="1808" t="str">
        <f t="shared" ca="1" si="1"/>
        <v/>
      </c>
      <c r="V47" s="1808">
        <f t="shared" ca="1" si="3"/>
        <v>1</v>
      </c>
    </row>
    <row r="48" spans="2:22">
      <c r="B48">
        <v>47</v>
      </c>
      <c r="C48" s="1808" t="str">
        <f t="shared" ca="1" si="2"/>
        <v/>
      </c>
      <c r="D48" s="1808">
        <f t="shared" ca="1" si="7"/>
        <v>47</v>
      </c>
      <c r="E48" s="1808" t="str">
        <f t="shared" ca="1" si="7"/>
        <v/>
      </c>
      <c r="F48" s="1808" t="str">
        <f t="shared" ca="1" si="7"/>
        <v/>
      </c>
      <c r="G48" s="1808" t="str">
        <f t="shared" ca="1" si="7"/>
        <v/>
      </c>
      <c r="H48" s="1808" t="str">
        <f t="shared" ca="1" si="7"/>
        <v/>
      </c>
      <c r="I48" s="1808" t="str">
        <f t="shared" ca="1" si="7"/>
        <v/>
      </c>
      <c r="J48" s="1808" t="str">
        <f t="shared" ca="1" si="7"/>
        <v/>
      </c>
      <c r="K48" s="1808" t="str">
        <f t="shared" ca="1" si="7"/>
        <v/>
      </c>
      <c r="L48" s="1808" t="str">
        <f t="shared" ca="1" si="7"/>
        <v/>
      </c>
      <c r="M48" s="1808" t="str">
        <f t="shared" ca="1" si="7"/>
        <v/>
      </c>
      <c r="N48" s="1808" t="str">
        <f t="shared" ca="1" si="8"/>
        <v/>
      </c>
      <c r="O48" s="1808" t="str">
        <f t="shared" ca="1" si="8"/>
        <v/>
      </c>
      <c r="P48" s="1808" t="str">
        <f t="shared" ca="1" si="8"/>
        <v/>
      </c>
      <c r="Q48" s="1808" t="str">
        <f t="shared" ca="1" si="8"/>
        <v/>
      </c>
      <c r="R48" s="1808" t="str">
        <f t="shared" ca="1" si="5"/>
        <v/>
      </c>
      <c r="S48" s="1808" t="str">
        <f t="shared" ca="1" si="5"/>
        <v/>
      </c>
      <c r="T48" s="1808" t="str">
        <f t="shared" ca="1" si="5"/>
        <v/>
      </c>
      <c r="U48" s="1808" t="str">
        <f t="shared" ca="1" si="1"/>
        <v/>
      </c>
      <c r="V48" s="1808">
        <f t="shared" ca="1" si="3"/>
        <v>1</v>
      </c>
    </row>
    <row r="49" spans="2:22">
      <c r="B49">
        <v>48</v>
      </c>
      <c r="C49" s="1808" t="str">
        <f t="shared" ca="1" si="2"/>
        <v/>
      </c>
      <c r="D49" s="1808" t="str">
        <f t="shared" ref="D49:Q64" ca="1" si="9">IFERROR(VLOOKUP($B49,INDIRECT(D$1&amp;"!"&amp;"A:A"),1,0),"")</f>
        <v/>
      </c>
      <c r="E49" s="1808" t="str">
        <f t="shared" ca="1" si="9"/>
        <v/>
      </c>
      <c r="F49" s="1808" t="str">
        <f t="shared" ca="1" si="9"/>
        <v/>
      </c>
      <c r="G49" s="1808" t="str">
        <f t="shared" ca="1" si="9"/>
        <v/>
      </c>
      <c r="H49" s="1808" t="str">
        <f t="shared" ca="1" si="9"/>
        <v/>
      </c>
      <c r="I49" s="1808" t="str">
        <f t="shared" ca="1" si="9"/>
        <v/>
      </c>
      <c r="J49" s="1808" t="str">
        <f t="shared" ca="1" si="9"/>
        <v/>
      </c>
      <c r="K49" s="1808" t="str">
        <f t="shared" ca="1" si="9"/>
        <v/>
      </c>
      <c r="L49" s="1808" t="str">
        <f t="shared" ca="1" si="9"/>
        <v/>
      </c>
      <c r="M49" s="1808">
        <f t="shared" ca="1" si="9"/>
        <v>48</v>
      </c>
      <c r="N49" s="1808" t="str">
        <f t="shared" ca="1" si="9"/>
        <v/>
      </c>
      <c r="O49" s="1808" t="str">
        <f t="shared" ca="1" si="9"/>
        <v/>
      </c>
      <c r="P49" s="1808" t="str">
        <f t="shared" ca="1" si="9"/>
        <v/>
      </c>
      <c r="Q49" s="1808" t="str">
        <f t="shared" ca="1" si="9"/>
        <v/>
      </c>
      <c r="R49" s="1808" t="str">
        <f t="shared" ca="1" si="5"/>
        <v/>
      </c>
      <c r="S49" s="1808" t="str">
        <f t="shared" ca="1" si="5"/>
        <v/>
      </c>
      <c r="T49" s="1808" t="str">
        <f t="shared" ca="1" si="5"/>
        <v/>
      </c>
      <c r="U49" s="1808" t="str">
        <f t="shared" ca="1" si="1"/>
        <v/>
      </c>
      <c r="V49" s="1808">
        <f t="shared" ca="1" si="3"/>
        <v>1</v>
      </c>
    </row>
    <row r="50" spans="2:22">
      <c r="B50">
        <v>49</v>
      </c>
      <c r="C50" s="1808" t="str">
        <f t="shared" ca="1" si="2"/>
        <v/>
      </c>
      <c r="D50" s="1808" t="str">
        <f t="shared" ca="1" si="9"/>
        <v/>
      </c>
      <c r="E50" s="1808" t="str">
        <f t="shared" ca="1" si="9"/>
        <v/>
      </c>
      <c r="F50" s="1808" t="str">
        <f t="shared" ca="1" si="9"/>
        <v/>
      </c>
      <c r="G50" s="1808" t="str">
        <f t="shared" ca="1" si="9"/>
        <v/>
      </c>
      <c r="H50" s="1808" t="str">
        <f t="shared" ca="1" si="9"/>
        <v/>
      </c>
      <c r="I50" s="1808" t="str">
        <f t="shared" ca="1" si="9"/>
        <v/>
      </c>
      <c r="J50" s="1808" t="str">
        <f t="shared" ca="1" si="9"/>
        <v/>
      </c>
      <c r="K50" s="1808" t="str">
        <f t="shared" ca="1" si="9"/>
        <v/>
      </c>
      <c r="L50" s="1808" t="str">
        <f t="shared" ca="1" si="9"/>
        <v/>
      </c>
      <c r="M50" s="1808">
        <f t="shared" ca="1" si="9"/>
        <v>49</v>
      </c>
      <c r="N50" s="1808" t="str">
        <f t="shared" ref="N50:Q64" ca="1" si="10">IFERROR(VLOOKUP($B50,INDIRECT(N$1&amp;"!"&amp;"A:A"),1,0),"")</f>
        <v/>
      </c>
      <c r="O50" s="1808" t="str">
        <f t="shared" ca="1" si="10"/>
        <v/>
      </c>
      <c r="P50" s="1808" t="str">
        <f t="shared" ca="1" si="10"/>
        <v/>
      </c>
      <c r="Q50" s="1808" t="str">
        <f t="shared" ca="1" si="10"/>
        <v/>
      </c>
      <c r="R50" s="1808" t="str">
        <f t="shared" ca="1" si="5"/>
        <v/>
      </c>
      <c r="S50" s="1808" t="str">
        <f t="shared" ca="1" si="5"/>
        <v/>
      </c>
      <c r="T50" s="1808" t="str">
        <f t="shared" ca="1" si="5"/>
        <v/>
      </c>
      <c r="U50" s="1808" t="str">
        <f t="shared" ca="1" si="1"/>
        <v/>
      </c>
      <c r="V50" s="1808">
        <f t="shared" ca="1" si="3"/>
        <v>1</v>
      </c>
    </row>
    <row r="51" spans="2:22">
      <c r="B51">
        <v>50</v>
      </c>
      <c r="C51" s="1808" t="str">
        <f t="shared" ca="1" si="2"/>
        <v/>
      </c>
      <c r="D51" s="1808" t="str">
        <f t="shared" ca="1" si="9"/>
        <v/>
      </c>
      <c r="E51" s="1808" t="str">
        <f t="shared" ca="1" si="9"/>
        <v/>
      </c>
      <c r="F51" s="1808" t="str">
        <f t="shared" ca="1" si="9"/>
        <v/>
      </c>
      <c r="G51" s="1808" t="str">
        <f t="shared" ca="1" si="9"/>
        <v/>
      </c>
      <c r="H51" s="1808" t="str">
        <f t="shared" ca="1" si="9"/>
        <v/>
      </c>
      <c r="I51" s="1808" t="str">
        <f t="shared" ca="1" si="9"/>
        <v/>
      </c>
      <c r="J51" s="1808" t="str">
        <f t="shared" ca="1" si="9"/>
        <v/>
      </c>
      <c r="K51" s="1808" t="str">
        <f t="shared" ca="1" si="9"/>
        <v/>
      </c>
      <c r="L51" s="1808" t="str">
        <f t="shared" ca="1" si="9"/>
        <v/>
      </c>
      <c r="M51" s="1808">
        <f t="shared" ca="1" si="9"/>
        <v>50</v>
      </c>
      <c r="N51" s="1808" t="str">
        <f t="shared" ca="1" si="10"/>
        <v/>
      </c>
      <c r="O51" s="1808" t="str">
        <f t="shared" ca="1" si="10"/>
        <v/>
      </c>
      <c r="P51" s="1808" t="str">
        <f t="shared" ca="1" si="10"/>
        <v/>
      </c>
      <c r="Q51" s="1808" t="str">
        <f t="shared" ca="1" si="10"/>
        <v/>
      </c>
      <c r="R51" s="1808" t="str">
        <f t="shared" ca="1" si="5"/>
        <v/>
      </c>
      <c r="S51" s="1808" t="str">
        <f t="shared" ca="1" si="5"/>
        <v/>
      </c>
      <c r="T51" s="1808" t="str">
        <f t="shared" ca="1" si="5"/>
        <v/>
      </c>
      <c r="U51" s="1808" t="str">
        <f t="shared" ca="1" si="1"/>
        <v/>
      </c>
      <c r="V51" s="1808">
        <f t="shared" ca="1" si="3"/>
        <v>1</v>
      </c>
    </row>
    <row r="52" spans="2:22">
      <c r="B52">
        <v>51</v>
      </c>
      <c r="C52" s="1808" t="str">
        <f t="shared" ca="1" si="2"/>
        <v/>
      </c>
      <c r="D52" s="1808" t="str">
        <f t="shared" ca="1" si="9"/>
        <v/>
      </c>
      <c r="E52" s="1808" t="str">
        <f t="shared" ca="1" si="9"/>
        <v/>
      </c>
      <c r="F52" s="1808" t="str">
        <f t="shared" ca="1" si="9"/>
        <v/>
      </c>
      <c r="G52" s="1808" t="str">
        <f t="shared" ca="1" si="9"/>
        <v/>
      </c>
      <c r="H52" s="1808" t="str">
        <f t="shared" ca="1" si="9"/>
        <v/>
      </c>
      <c r="I52" s="1808" t="str">
        <f t="shared" ca="1" si="9"/>
        <v/>
      </c>
      <c r="J52" s="1808" t="str">
        <f t="shared" ca="1" si="9"/>
        <v/>
      </c>
      <c r="K52" s="1808">
        <f t="shared" ca="1" si="9"/>
        <v>51</v>
      </c>
      <c r="L52" s="1808" t="str">
        <f t="shared" ca="1" si="9"/>
        <v/>
      </c>
      <c r="M52" s="1808" t="str">
        <f t="shared" ca="1" si="9"/>
        <v/>
      </c>
      <c r="N52" s="1808" t="str">
        <f t="shared" ca="1" si="10"/>
        <v/>
      </c>
      <c r="O52" s="1808" t="str">
        <f t="shared" ca="1" si="10"/>
        <v/>
      </c>
      <c r="P52" s="1808" t="str">
        <f t="shared" ca="1" si="10"/>
        <v/>
      </c>
      <c r="Q52" s="1808" t="str">
        <f t="shared" ca="1" si="10"/>
        <v/>
      </c>
      <c r="R52" s="1808" t="str">
        <f t="shared" ca="1" si="5"/>
        <v/>
      </c>
      <c r="S52" s="1808" t="str">
        <f t="shared" ca="1" si="5"/>
        <v/>
      </c>
      <c r="T52" s="1808" t="str">
        <f t="shared" ca="1" si="5"/>
        <v/>
      </c>
      <c r="U52" s="1808" t="str">
        <f t="shared" ca="1" si="1"/>
        <v/>
      </c>
      <c r="V52" s="1808">
        <f t="shared" ca="1" si="3"/>
        <v>1</v>
      </c>
    </row>
    <row r="53" spans="2:22">
      <c r="B53">
        <v>52</v>
      </c>
      <c r="C53" s="1808" t="str">
        <f t="shared" ca="1" si="2"/>
        <v/>
      </c>
      <c r="D53" s="1808" t="str">
        <f t="shared" ca="1" si="9"/>
        <v/>
      </c>
      <c r="E53" s="1808" t="str">
        <f t="shared" ca="1" si="9"/>
        <v/>
      </c>
      <c r="F53" s="1808" t="str">
        <f t="shared" ca="1" si="9"/>
        <v/>
      </c>
      <c r="G53" s="1808" t="str">
        <f t="shared" ca="1" si="9"/>
        <v/>
      </c>
      <c r="H53" s="1808" t="str">
        <f t="shared" ca="1" si="9"/>
        <v/>
      </c>
      <c r="I53" s="1808" t="str">
        <f t="shared" ca="1" si="9"/>
        <v/>
      </c>
      <c r="J53" s="1808" t="str">
        <f t="shared" ca="1" si="9"/>
        <v/>
      </c>
      <c r="K53" s="1808">
        <f t="shared" ca="1" si="9"/>
        <v>52</v>
      </c>
      <c r="L53" s="1808" t="str">
        <f t="shared" ca="1" si="9"/>
        <v/>
      </c>
      <c r="M53" s="1808" t="str">
        <f t="shared" ca="1" si="9"/>
        <v/>
      </c>
      <c r="N53" s="1808" t="str">
        <f t="shared" ca="1" si="10"/>
        <v/>
      </c>
      <c r="O53" s="1808" t="str">
        <f t="shared" ca="1" si="10"/>
        <v/>
      </c>
      <c r="P53" s="1808" t="str">
        <f t="shared" ca="1" si="10"/>
        <v/>
      </c>
      <c r="Q53" s="1808" t="str">
        <f t="shared" ca="1" si="10"/>
        <v/>
      </c>
      <c r="R53" s="1808" t="str">
        <f t="shared" ca="1" si="5"/>
        <v/>
      </c>
      <c r="S53" s="1808" t="str">
        <f t="shared" ca="1" si="5"/>
        <v/>
      </c>
      <c r="T53" s="1808" t="str">
        <f t="shared" ca="1" si="5"/>
        <v/>
      </c>
      <c r="U53" s="1808" t="str">
        <f t="shared" ca="1" si="1"/>
        <v/>
      </c>
      <c r="V53" s="1808">
        <f t="shared" ca="1" si="3"/>
        <v>1</v>
      </c>
    </row>
    <row r="54" spans="2:22">
      <c r="B54">
        <v>53</v>
      </c>
      <c r="C54" s="1808" t="str">
        <f t="shared" ca="1" si="2"/>
        <v/>
      </c>
      <c r="D54" s="1808" t="str">
        <f t="shared" ca="1" si="9"/>
        <v/>
      </c>
      <c r="E54" s="1808" t="str">
        <f t="shared" ca="1" si="9"/>
        <v/>
      </c>
      <c r="F54" s="1808" t="str">
        <f t="shared" ca="1" si="9"/>
        <v/>
      </c>
      <c r="G54" s="1808" t="str">
        <f t="shared" ca="1" si="9"/>
        <v/>
      </c>
      <c r="H54" s="1808" t="str">
        <f t="shared" ca="1" si="9"/>
        <v/>
      </c>
      <c r="I54" s="1808" t="str">
        <f t="shared" ca="1" si="9"/>
        <v/>
      </c>
      <c r="J54" s="1808" t="str">
        <f t="shared" ca="1" si="9"/>
        <v/>
      </c>
      <c r="K54" s="1808">
        <f t="shared" ca="1" si="9"/>
        <v>53</v>
      </c>
      <c r="L54" s="1808" t="str">
        <f t="shared" ca="1" si="9"/>
        <v/>
      </c>
      <c r="M54" s="1808" t="str">
        <f t="shared" ca="1" si="9"/>
        <v/>
      </c>
      <c r="N54" s="1808" t="str">
        <f t="shared" ca="1" si="10"/>
        <v/>
      </c>
      <c r="O54" s="1808" t="str">
        <f t="shared" ca="1" si="10"/>
        <v/>
      </c>
      <c r="P54" s="1808" t="str">
        <f t="shared" ca="1" si="10"/>
        <v/>
      </c>
      <c r="Q54" s="1808" t="str">
        <f t="shared" ca="1" si="10"/>
        <v/>
      </c>
      <c r="R54" s="1808" t="str">
        <f t="shared" ca="1" si="5"/>
        <v/>
      </c>
      <c r="S54" s="1808" t="str">
        <f t="shared" ca="1" si="5"/>
        <v/>
      </c>
      <c r="T54" s="1808" t="str">
        <f t="shared" ca="1" si="5"/>
        <v/>
      </c>
      <c r="U54" s="1808" t="str">
        <f t="shared" ca="1" si="1"/>
        <v/>
      </c>
      <c r="V54" s="1808">
        <f t="shared" ca="1" si="3"/>
        <v>1</v>
      </c>
    </row>
    <row r="55" spans="2:22">
      <c r="B55">
        <v>54</v>
      </c>
      <c r="C55" s="1808" t="str">
        <f t="shared" ca="1" si="2"/>
        <v/>
      </c>
      <c r="D55" s="1808" t="str">
        <f t="shared" ca="1" si="9"/>
        <v/>
      </c>
      <c r="E55" s="1808" t="str">
        <f t="shared" ca="1" si="9"/>
        <v/>
      </c>
      <c r="F55" s="1808" t="str">
        <f t="shared" ca="1" si="9"/>
        <v/>
      </c>
      <c r="G55" s="1808" t="str">
        <f t="shared" ca="1" si="9"/>
        <v/>
      </c>
      <c r="H55" s="1808" t="str">
        <f t="shared" ca="1" si="9"/>
        <v/>
      </c>
      <c r="I55" s="1808" t="str">
        <f t="shared" ca="1" si="9"/>
        <v/>
      </c>
      <c r="J55" s="1808" t="str">
        <f t="shared" ca="1" si="9"/>
        <v/>
      </c>
      <c r="K55" s="1808">
        <f t="shared" ca="1" si="9"/>
        <v>54</v>
      </c>
      <c r="L55" s="1808" t="str">
        <f t="shared" ca="1" si="9"/>
        <v/>
      </c>
      <c r="M55" s="1808" t="str">
        <f t="shared" ca="1" si="9"/>
        <v/>
      </c>
      <c r="N55" s="1808" t="str">
        <f t="shared" ca="1" si="10"/>
        <v/>
      </c>
      <c r="O55" s="1808" t="str">
        <f t="shared" ca="1" si="10"/>
        <v/>
      </c>
      <c r="P55" s="1808" t="str">
        <f t="shared" ca="1" si="10"/>
        <v/>
      </c>
      <c r="Q55" s="1808" t="str">
        <f t="shared" ca="1" si="10"/>
        <v/>
      </c>
      <c r="R55" s="1808" t="str">
        <f t="shared" ca="1" si="5"/>
        <v/>
      </c>
      <c r="S55" s="1808" t="str">
        <f t="shared" ca="1" si="5"/>
        <v/>
      </c>
      <c r="T55" s="1808" t="str">
        <f t="shared" ca="1" si="5"/>
        <v/>
      </c>
      <c r="U55" s="1808" t="str">
        <f t="shared" ca="1" si="1"/>
        <v/>
      </c>
      <c r="V55" s="1808">
        <f t="shared" ca="1" si="3"/>
        <v>1</v>
      </c>
    </row>
    <row r="56" spans="2:22">
      <c r="B56">
        <v>55</v>
      </c>
      <c r="C56" s="1808" t="str">
        <f t="shared" ca="1" si="2"/>
        <v/>
      </c>
      <c r="D56" s="1808" t="str">
        <f t="shared" ca="1" si="9"/>
        <v/>
      </c>
      <c r="E56" s="1808" t="str">
        <f t="shared" ca="1" si="9"/>
        <v/>
      </c>
      <c r="F56" s="1808" t="str">
        <f t="shared" ca="1" si="9"/>
        <v/>
      </c>
      <c r="G56" s="1808" t="str">
        <f t="shared" ca="1" si="9"/>
        <v/>
      </c>
      <c r="H56" s="1808" t="str">
        <f t="shared" ca="1" si="9"/>
        <v/>
      </c>
      <c r="I56" s="1808" t="str">
        <f t="shared" ca="1" si="9"/>
        <v/>
      </c>
      <c r="J56" s="1808" t="str">
        <f t="shared" ca="1" si="9"/>
        <v/>
      </c>
      <c r="K56" s="1808">
        <f t="shared" ca="1" si="9"/>
        <v>55</v>
      </c>
      <c r="L56" s="1808" t="str">
        <f t="shared" ca="1" si="9"/>
        <v/>
      </c>
      <c r="M56" s="1808" t="str">
        <f t="shared" ca="1" si="9"/>
        <v/>
      </c>
      <c r="N56" s="1808" t="str">
        <f t="shared" ca="1" si="10"/>
        <v/>
      </c>
      <c r="O56" s="1808" t="str">
        <f t="shared" ca="1" si="10"/>
        <v/>
      </c>
      <c r="P56" s="1808" t="str">
        <f t="shared" ca="1" si="10"/>
        <v/>
      </c>
      <c r="Q56" s="1808" t="str">
        <f t="shared" ca="1" si="10"/>
        <v/>
      </c>
      <c r="R56" s="1808" t="str">
        <f t="shared" ca="1" si="5"/>
        <v/>
      </c>
      <c r="S56" s="1808" t="str">
        <f t="shared" ca="1" si="5"/>
        <v/>
      </c>
      <c r="T56" s="1808" t="str">
        <f t="shared" ca="1" si="5"/>
        <v/>
      </c>
      <c r="U56" s="1808" t="str">
        <f t="shared" ca="1" si="1"/>
        <v/>
      </c>
      <c r="V56" s="1808">
        <f t="shared" ca="1" si="3"/>
        <v>1</v>
      </c>
    </row>
    <row r="57" spans="2:22">
      <c r="B57">
        <v>56</v>
      </c>
      <c r="C57" s="1808" t="str">
        <f t="shared" ca="1" si="2"/>
        <v/>
      </c>
      <c r="D57" s="1808" t="str">
        <f t="shared" ca="1" si="9"/>
        <v/>
      </c>
      <c r="E57" s="1808" t="str">
        <f t="shared" ca="1" si="9"/>
        <v/>
      </c>
      <c r="F57" s="1808" t="str">
        <f t="shared" ca="1" si="9"/>
        <v/>
      </c>
      <c r="G57" s="1808" t="str">
        <f t="shared" ca="1" si="9"/>
        <v/>
      </c>
      <c r="H57" s="1808" t="str">
        <f t="shared" ca="1" si="9"/>
        <v/>
      </c>
      <c r="I57" s="1808" t="str">
        <f t="shared" ca="1" si="9"/>
        <v/>
      </c>
      <c r="J57" s="1808" t="str">
        <f t="shared" ca="1" si="9"/>
        <v/>
      </c>
      <c r="K57" s="1808">
        <f t="shared" ca="1" si="9"/>
        <v>56</v>
      </c>
      <c r="L57" s="1808" t="str">
        <f t="shared" ca="1" si="9"/>
        <v/>
      </c>
      <c r="M57" s="1808" t="str">
        <f t="shared" ca="1" si="9"/>
        <v/>
      </c>
      <c r="N57" s="1808" t="str">
        <f t="shared" ca="1" si="10"/>
        <v/>
      </c>
      <c r="O57" s="1808" t="str">
        <f t="shared" ca="1" si="10"/>
        <v/>
      </c>
      <c r="P57" s="1808" t="str">
        <f t="shared" ca="1" si="10"/>
        <v/>
      </c>
      <c r="Q57" s="1808" t="str">
        <f t="shared" ca="1" si="10"/>
        <v/>
      </c>
      <c r="R57" s="1808" t="str">
        <f t="shared" ca="1" si="5"/>
        <v/>
      </c>
      <c r="S57" s="1808" t="str">
        <f t="shared" ca="1" si="5"/>
        <v/>
      </c>
      <c r="T57" s="1808" t="str">
        <f t="shared" ca="1" si="5"/>
        <v/>
      </c>
      <c r="U57" s="1808" t="str">
        <f t="shared" ca="1" si="1"/>
        <v/>
      </c>
      <c r="V57" s="1808">
        <f t="shared" ca="1" si="3"/>
        <v>1</v>
      </c>
    </row>
    <row r="58" spans="2:22">
      <c r="B58">
        <v>57</v>
      </c>
      <c r="C58" s="1808" t="str">
        <f t="shared" ca="1" si="2"/>
        <v/>
      </c>
      <c r="D58" s="1808" t="str">
        <f t="shared" ca="1" si="9"/>
        <v/>
      </c>
      <c r="E58" s="1808" t="str">
        <f t="shared" ca="1" si="9"/>
        <v/>
      </c>
      <c r="F58" s="1808" t="str">
        <f t="shared" ca="1" si="9"/>
        <v/>
      </c>
      <c r="G58" s="1808" t="str">
        <f t="shared" ca="1" si="9"/>
        <v/>
      </c>
      <c r="H58" s="1808" t="str">
        <f t="shared" ca="1" si="9"/>
        <v/>
      </c>
      <c r="I58" s="1808" t="str">
        <f t="shared" ca="1" si="9"/>
        <v/>
      </c>
      <c r="J58" s="1808" t="str">
        <f t="shared" ca="1" si="9"/>
        <v/>
      </c>
      <c r="K58" s="1808">
        <f t="shared" ca="1" si="9"/>
        <v>57</v>
      </c>
      <c r="L58" s="1808" t="str">
        <f t="shared" ca="1" si="9"/>
        <v/>
      </c>
      <c r="M58" s="1808" t="str">
        <f t="shared" ca="1" si="9"/>
        <v/>
      </c>
      <c r="N58" s="1808" t="str">
        <f t="shared" ca="1" si="10"/>
        <v/>
      </c>
      <c r="O58" s="1808" t="str">
        <f t="shared" ca="1" si="10"/>
        <v/>
      </c>
      <c r="P58" s="1808" t="str">
        <f t="shared" ca="1" si="10"/>
        <v/>
      </c>
      <c r="Q58" s="1808" t="str">
        <f t="shared" ca="1" si="10"/>
        <v/>
      </c>
      <c r="R58" s="1808" t="str">
        <f t="shared" ca="1" si="5"/>
        <v/>
      </c>
      <c r="S58" s="1808" t="str">
        <f t="shared" ca="1" si="5"/>
        <v/>
      </c>
      <c r="T58" s="1808" t="str">
        <f t="shared" ca="1" si="5"/>
        <v/>
      </c>
      <c r="U58" s="1808" t="str">
        <f t="shared" ca="1" si="1"/>
        <v/>
      </c>
      <c r="V58" s="1808">
        <f t="shared" ca="1" si="3"/>
        <v>1</v>
      </c>
    </row>
    <row r="59" spans="2:22">
      <c r="B59">
        <v>58</v>
      </c>
      <c r="C59" s="1808" t="str">
        <f t="shared" ca="1" si="2"/>
        <v/>
      </c>
      <c r="D59" s="1808" t="str">
        <f t="shared" ca="1" si="9"/>
        <v/>
      </c>
      <c r="E59" s="1808" t="str">
        <f t="shared" ca="1" si="9"/>
        <v/>
      </c>
      <c r="F59" s="1808" t="str">
        <f t="shared" ca="1" si="9"/>
        <v/>
      </c>
      <c r="G59" s="1808" t="str">
        <f t="shared" ca="1" si="9"/>
        <v/>
      </c>
      <c r="H59" s="1808" t="str">
        <f t="shared" ca="1" si="9"/>
        <v/>
      </c>
      <c r="I59" s="1808" t="str">
        <f t="shared" ca="1" si="9"/>
        <v/>
      </c>
      <c r="J59" s="1808" t="str">
        <f t="shared" ca="1" si="9"/>
        <v/>
      </c>
      <c r="K59" s="1808">
        <f t="shared" ca="1" si="9"/>
        <v>58</v>
      </c>
      <c r="L59" s="1808" t="str">
        <f t="shared" ca="1" si="9"/>
        <v/>
      </c>
      <c r="M59" s="1808" t="str">
        <f t="shared" ca="1" si="9"/>
        <v/>
      </c>
      <c r="N59" s="1808" t="str">
        <f t="shared" ca="1" si="10"/>
        <v/>
      </c>
      <c r="O59" s="1808" t="str">
        <f t="shared" ca="1" si="10"/>
        <v/>
      </c>
      <c r="P59" s="1808" t="str">
        <f t="shared" ca="1" si="10"/>
        <v/>
      </c>
      <c r="Q59" s="1808" t="str">
        <f t="shared" ca="1" si="10"/>
        <v/>
      </c>
      <c r="R59" s="1808" t="str">
        <f t="shared" ca="1" si="5"/>
        <v/>
      </c>
      <c r="S59" s="1808" t="str">
        <f t="shared" ca="1" si="5"/>
        <v/>
      </c>
      <c r="T59" s="1808" t="str">
        <f t="shared" ca="1" si="5"/>
        <v/>
      </c>
      <c r="U59" s="1808" t="str">
        <f t="shared" ca="1" si="1"/>
        <v/>
      </c>
      <c r="V59" s="1808">
        <f t="shared" ca="1" si="3"/>
        <v>1</v>
      </c>
    </row>
    <row r="60" spans="2:22">
      <c r="B60">
        <v>59</v>
      </c>
      <c r="C60" s="1808" t="str">
        <f t="shared" ca="1" si="2"/>
        <v/>
      </c>
      <c r="D60" s="1808" t="str">
        <f t="shared" ca="1" si="9"/>
        <v/>
      </c>
      <c r="E60" s="1808" t="str">
        <f t="shared" ca="1" si="9"/>
        <v/>
      </c>
      <c r="F60" s="1808" t="str">
        <f t="shared" ca="1" si="9"/>
        <v/>
      </c>
      <c r="G60" s="1808" t="str">
        <f t="shared" ca="1" si="9"/>
        <v/>
      </c>
      <c r="H60" s="1808" t="str">
        <f t="shared" ca="1" si="9"/>
        <v/>
      </c>
      <c r="I60" s="1808" t="str">
        <f t="shared" ca="1" si="9"/>
        <v/>
      </c>
      <c r="J60" s="1808" t="str">
        <f t="shared" ca="1" si="9"/>
        <v/>
      </c>
      <c r="K60" s="1808">
        <f t="shared" ca="1" si="9"/>
        <v>59</v>
      </c>
      <c r="L60" s="1808" t="str">
        <f t="shared" ca="1" si="9"/>
        <v/>
      </c>
      <c r="M60" s="1808" t="str">
        <f t="shared" ca="1" si="9"/>
        <v/>
      </c>
      <c r="N60" s="1808" t="str">
        <f t="shared" ca="1" si="10"/>
        <v/>
      </c>
      <c r="O60" s="1808" t="str">
        <f t="shared" ca="1" si="10"/>
        <v/>
      </c>
      <c r="P60" s="1808" t="str">
        <f t="shared" ca="1" si="10"/>
        <v/>
      </c>
      <c r="Q60" s="1808" t="str">
        <f t="shared" ca="1" si="10"/>
        <v/>
      </c>
      <c r="R60" s="1808" t="str">
        <f t="shared" ca="1" si="5"/>
        <v/>
      </c>
      <c r="S60" s="1808" t="str">
        <f t="shared" ca="1" si="5"/>
        <v/>
      </c>
      <c r="T60" s="1808" t="str">
        <f t="shared" ca="1" si="5"/>
        <v/>
      </c>
      <c r="U60" s="1808" t="str">
        <f t="shared" ca="1" si="1"/>
        <v/>
      </c>
      <c r="V60" s="1808">
        <f t="shared" ca="1" si="3"/>
        <v>1</v>
      </c>
    </row>
    <row r="61" spans="2:22">
      <c r="B61">
        <v>60</v>
      </c>
      <c r="C61" s="1808" t="str">
        <f t="shared" ca="1" si="2"/>
        <v/>
      </c>
      <c r="D61" s="1808" t="str">
        <f t="shared" ca="1" si="9"/>
        <v/>
      </c>
      <c r="E61" s="1808" t="str">
        <f t="shared" ca="1" si="9"/>
        <v/>
      </c>
      <c r="F61" s="1808" t="str">
        <f t="shared" ca="1" si="9"/>
        <v/>
      </c>
      <c r="G61" s="1808" t="str">
        <f t="shared" ca="1" si="9"/>
        <v/>
      </c>
      <c r="H61" s="1808" t="str">
        <f t="shared" ca="1" si="9"/>
        <v/>
      </c>
      <c r="I61" s="1808" t="str">
        <f t="shared" ca="1" si="9"/>
        <v/>
      </c>
      <c r="J61" s="1808" t="str">
        <f t="shared" ca="1" si="9"/>
        <v/>
      </c>
      <c r="K61" s="1808">
        <f t="shared" ca="1" si="9"/>
        <v>60</v>
      </c>
      <c r="L61" s="1808" t="str">
        <f t="shared" ca="1" si="9"/>
        <v/>
      </c>
      <c r="M61" s="1808" t="str">
        <f t="shared" ca="1" si="9"/>
        <v/>
      </c>
      <c r="N61" s="1808" t="str">
        <f t="shared" ca="1" si="10"/>
        <v/>
      </c>
      <c r="O61" s="1808" t="str">
        <f t="shared" ca="1" si="10"/>
        <v/>
      </c>
      <c r="P61" s="1808" t="str">
        <f t="shared" ca="1" si="10"/>
        <v/>
      </c>
      <c r="Q61" s="1808" t="str">
        <f t="shared" ca="1" si="10"/>
        <v/>
      </c>
      <c r="R61" s="1808" t="str">
        <f t="shared" ca="1" si="5"/>
        <v/>
      </c>
      <c r="S61" s="1808" t="str">
        <f t="shared" ca="1" si="5"/>
        <v/>
      </c>
      <c r="T61" s="1808" t="str">
        <f t="shared" ca="1" si="5"/>
        <v/>
      </c>
      <c r="U61" s="1808" t="str">
        <f t="shared" ca="1" si="1"/>
        <v/>
      </c>
      <c r="V61" s="1808">
        <f t="shared" ca="1" si="3"/>
        <v>1</v>
      </c>
    </row>
    <row r="62" spans="2:22">
      <c r="B62">
        <v>61</v>
      </c>
      <c r="C62" s="1808" t="str">
        <f t="shared" ca="1" si="2"/>
        <v/>
      </c>
      <c r="D62" s="1808" t="str">
        <f t="shared" ca="1" si="9"/>
        <v/>
      </c>
      <c r="E62" s="1808" t="str">
        <f t="shared" ca="1" si="9"/>
        <v/>
      </c>
      <c r="F62" s="1808" t="str">
        <f t="shared" ca="1" si="9"/>
        <v/>
      </c>
      <c r="G62" s="1808" t="str">
        <f t="shared" ca="1" si="9"/>
        <v/>
      </c>
      <c r="H62" s="1808" t="str">
        <f t="shared" ca="1" si="9"/>
        <v/>
      </c>
      <c r="I62" s="1808" t="str">
        <f t="shared" ca="1" si="9"/>
        <v/>
      </c>
      <c r="J62" s="1808" t="str">
        <f t="shared" ca="1" si="9"/>
        <v/>
      </c>
      <c r="K62" s="1808">
        <f t="shared" ca="1" si="9"/>
        <v>61</v>
      </c>
      <c r="L62" s="1808" t="str">
        <f t="shared" ca="1" si="9"/>
        <v/>
      </c>
      <c r="M62" s="1808" t="str">
        <f t="shared" ca="1" si="9"/>
        <v/>
      </c>
      <c r="N62" s="1808" t="str">
        <f t="shared" ca="1" si="10"/>
        <v/>
      </c>
      <c r="O62" s="1808" t="str">
        <f t="shared" ca="1" si="10"/>
        <v/>
      </c>
      <c r="P62" s="1808" t="str">
        <f t="shared" ca="1" si="10"/>
        <v/>
      </c>
      <c r="Q62" s="1808" t="str">
        <f t="shared" ca="1" si="10"/>
        <v/>
      </c>
      <c r="R62" s="1808" t="str">
        <f t="shared" ca="1" si="5"/>
        <v/>
      </c>
      <c r="S62" s="1808" t="str">
        <f t="shared" ca="1" si="5"/>
        <v/>
      </c>
      <c r="T62" s="1808" t="str">
        <f t="shared" ca="1" si="5"/>
        <v/>
      </c>
      <c r="U62" s="1808" t="str">
        <f t="shared" ca="1" si="1"/>
        <v/>
      </c>
      <c r="V62" s="1808">
        <f t="shared" ca="1" si="3"/>
        <v>1</v>
      </c>
    </row>
    <row r="63" spans="2:22">
      <c r="B63">
        <v>62</v>
      </c>
      <c r="C63" s="1808" t="str">
        <f t="shared" ca="1" si="2"/>
        <v/>
      </c>
      <c r="D63" s="1808" t="str">
        <f t="shared" ca="1" si="9"/>
        <v/>
      </c>
      <c r="E63" s="1808" t="str">
        <f t="shared" ca="1" si="9"/>
        <v/>
      </c>
      <c r="F63" s="1808" t="str">
        <f t="shared" ca="1" si="9"/>
        <v/>
      </c>
      <c r="G63" s="1808" t="str">
        <f t="shared" ca="1" si="9"/>
        <v/>
      </c>
      <c r="H63" s="1808" t="str">
        <f t="shared" ca="1" si="9"/>
        <v/>
      </c>
      <c r="I63" s="1808" t="str">
        <f t="shared" ca="1" si="9"/>
        <v/>
      </c>
      <c r="J63" s="1808" t="str">
        <f t="shared" ca="1" si="9"/>
        <v/>
      </c>
      <c r="K63" s="1808">
        <f t="shared" ca="1" si="9"/>
        <v>62</v>
      </c>
      <c r="L63" s="1808" t="str">
        <f t="shared" ca="1" si="9"/>
        <v/>
      </c>
      <c r="M63" s="1808" t="str">
        <f t="shared" ca="1" si="9"/>
        <v/>
      </c>
      <c r="N63" s="1808" t="str">
        <f t="shared" ca="1" si="10"/>
        <v/>
      </c>
      <c r="O63" s="1808" t="str">
        <f t="shared" ca="1" si="10"/>
        <v/>
      </c>
      <c r="P63" s="1808" t="str">
        <f t="shared" ca="1" si="10"/>
        <v/>
      </c>
      <c r="Q63" s="1808" t="str">
        <f t="shared" ca="1" si="10"/>
        <v/>
      </c>
      <c r="R63" s="1808" t="str">
        <f t="shared" ca="1" si="5"/>
        <v/>
      </c>
      <c r="S63" s="1808" t="str">
        <f t="shared" ca="1" si="5"/>
        <v/>
      </c>
      <c r="T63" s="1808" t="str">
        <f t="shared" ca="1" si="5"/>
        <v/>
      </c>
      <c r="U63" s="1808" t="str">
        <f t="shared" ca="1" si="1"/>
        <v/>
      </c>
      <c r="V63" s="1808">
        <f t="shared" ca="1" si="3"/>
        <v>1</v>
      </c>
    </row>
    <row r="64" spans="2:22">
      <c r="B64">
        <v>63</v>
      </c>
      <c r="C64" s="1808" t="str">
        <f t="shared" ca="1" si="2"/>
        <v/>
      </c>
      <c r="D64" s="1808" t="str">
        <f t="shared" ca="1" si="9"/>
        <v/>
      </c>
      <c r="E64" s="1808" t="str">
        <f t="shared" ca="1" si="9"/>
        <v/>
      </c>
      <c r="F64" s="1808" t="str">
        <f t="shared" ca="1" si="9"/>
        <v/>
      </c>
      <c r="G64" s="1808" t="str">
        <f t="shared" ca="1" si="9"/>
        <v/>
      </c>
      <c r="H64" s="1808" t="str">
        <f t="shared" ca="1" si="9"/>
        <v/>
      </c>
      <c r="I64" s="1808" t="str">
        <f t="shared" ca="1" si="9"/>
        <v/>
      </c>
      <c r="J64" s="1808" t="str">
        <f t="shared" ca="1" si="9"/>
        <v/>
      </c>
      <c r="K64" s="1808">
        <f t="shared" ca="1" si="9"/>
        <v>63</v>
      </c>
      <c r="L64" s="1808" t="str">
        <f t="shared" ca="1" si="9"/>
        <v/>
      </c>
      <c r="M64" s="1808" t="str">
        <f t="shared" ca="1" si="9"/>
        <v/>
      </c>
      <c r="N64" s="1808" t="str">
        <f t="shared" ca="1" si="10"/>
        <v/>
      </c>
      <c r="O64" s="1808" t="str">
        <f t="shared" ca="1" si="10"/>
        <v/>
      </c>
      <c r="P64" s="1808" t="str">
        <f t="shared" ca="1" si="10"/>
        <v/>
      </c>
      <c r="Q64" s="1808" t="str">
        <f t="shared" ca="1" si="10"/>
        <v/>
      </c>
      <c r="R64" s="1808" t="str">
        <f t="shared" ca="1" si="5"/>
        <v/>
      </c>
      <c r="S64" s="1808" t="str">
        <f t="shared" ca="1" si="5"/>
        <v/>
      </c>
      <c r="T64" s="1808" t="str">
        <f t="shared" ca="1" si="5"/>
        <v/>
      </c>
      <c r="U64" s="1808" t="str">
        <f t="shared" ca="1" si="1"/>
        <v/>
      </c>
      <c r="V64" s="1808">
        <f t="shared" ca="1" si="3"/>
        <v>1</v>
      </c>
    </row>
    <row r="65" spans="2:22">
      <c r="B65">
        <v>64</v>
      </c>
      <c r="C65" s="1808" t="str">
        <f t="shared" ca="1" si="2"/>
        <v/>
      </c>
      <c r="D65" s="1808" t="str">
        <f t="shared" ref="D65:Q66" ca="1" si="11">IFERROR(VLOOKUP($B65,INDIRECT(D$1&amp;"!"&amp;"A:A"),1,0),"")</f>
        <v/>
      </c>
      <c r="E65" s="1808" t="str">
        <f t="shared" ca="1" si="11"/>
        <v/>
      </c>
      <c r="F65" s="1808" t="str">
        <f t="shared" ca="1" si="11"/>
        <v/>
      </c>
      <c r="G65" s="1808" t="str">
        <f t="shared" ca="1" si="11"/>
        <v/>
      </c>
      <c r="H65" s="1808" t="str">
        <f t="shared" ca="1" si="11"/>
        <v/>
      </c>
      <c r="I65" s="1808" t="str">
        <f t="shared" ca="1" si="11"/>
        <v/>
      </c>
      <c r="J65" s="1808" t="str">
        <f t="shared" ca="1" si="11"/>
        <v/>
      </c>
      <c r="K65" s="1808">
        <f t="shared" ca="1" si="11"/>
        <v>64</v>
      </c>
      <c r="L65" s="1808" t="str">
        <f t="shared" ca="1" si="11"/>
        <v/>
      </c>
      <c r="M65" s="1808" t="str">
        <f t="shared" ca="1" si="11"/>
        <v/>
      </c>
      <c r="N65" s="1808" t="str">
        <f t="shared" ca="1" si="11"/>
        <v/>
      </c>
      <c r="O65" s="1808" t="str">
        <f t="shared" ca="1" si="11"/>
        <v/>
      </c>
      <c r="P65" s="1808" t="str">
        <f t="shared" ca="1" si="11"/>
        <v/>
      </c>
      <c r="Q65" s="1808" t="str">
        <f t="shared" ca="1" si="11"/>
        <v/>
      </c>
      <c r="R65" s="1808" t="str">
        <f t="shared" ca="1" si="5"/>
        <v/>
      </c>
      <c r="S65" s="1808" t="str">
        <f t="shared" ca="1" si="5"/>
        <v/>
      </c>
      <c r="T65" s="1808" t="str">
        <f t="shared" ca="1" si="5"/>
        <v/>
      </c>
      <c r="U65" s="1808" t="str">
        <f t="shared" ca="1" si="1"/>
        <v/>
      </c>
      <c r="V65" s="1808">
        <f t="shared" ca="1" si="3"/>
        <v>1</v>
      </c>
    </row>
    <row r="66" spans="2:22">
      <c r="B66">
        <v>65</v>
      </c>
      <c r="C66" s="1808" t="str">
        <f t="shared" ca="1" si="2"/>
        <v/>
      </c>
      <c r="D66" s="1808" t="str">
        <f t="shared" ca="1" si="11"/>
        <v/>
      </c>
      <c r="E66" s="1808" t="str">
        <f t="shared" ca="1" si="11"/>
        <v/>
      </c>
      <c r="F66" s="1808" t="str">
        <f t="shared" ca="1" si="11"/>
        <v/>
      </c>
      <c r="G66" s="1808" t="str">
        <f t="shared" ca="1" si="11"/>
        <v/>
      </c>
      <c r="H66" s="1808" t="str">
        <f t="shared" ca="1" si="11"/>
        <v/>
      </c>
      <c r="I66" s="1808" t="str">
        <f t="shared" ca="1" si="11"/>
        <v/>
      </c>
      <c r="J66" s="1808" t="str">
        <f t="shared" ca="1" si="11"/>
        <v/>
      </c>
      <c r="K66" s="1808">
        <f t="shared" ca="1" si="11"/>
        <v>65</v>
      </c>
      <c r="L66" s="1808" t="str">
        <f t="shared" ca="1" si="11"/>
        <v/>
      </c>
      <c r="M66" s="1808" t="str">
        <f t="shared" ca="1" si="11"/>
        <v/>
      </c>
      <c r="N66" s="1808" t="str">
        <f t="shared" ref="N66:Q81" ca="1" si="12">IFERROR(VLOOKUP($B66,INDIRECT(N$1&amp;"!"&amp;"A:A"),1,0),"")</f>
        <v/>
      </c>
      <c r="O66" s="1808" t="str">
        <f t="shared" ca="1" si="12"/>
        <v/>
      </c>
      <c r="P66" s="1808" t="str">
        <f t="shared" ca="1" si="12"/>
        <v/>
      </c>
      <c r="Q66" s="1808" t="str">
        <f t="shared" ca="1" si="12"/>
        <v/>
      </c>
      <c r="R66" s="1808" t="str">
        <f t="shared" ca="1" si="5"/>
        <v/>
      </c>
      <c r="S66" s="1808" t="str">
        <f t="shared" ca="1" si="5"/>
        <v/>
      </c>
      <c r="T66" s="1808" t="str">
        <f t="shared" ca="1" si="5"/>
        <v/>
      </c>
      <c r="U66" s="1808" t="str">
        <f t="shared" ca="1" si="5"/>
        <v/>
      </c>
      <c r="V66" s="1808">
        <f t="shared" ca="1" si="3"/>
        <v>1</v>
      </c>
    </row>
    <row r="67" spans="2:22">
      <c r="B67">
        <v>66</v>
      </c>
      <c r="C67" s="1808" t="str">
        <f t="shared" ref="C67:M130" ca="1" si="13">IFERROR(VLOOKUP($B67,INDIRECT(C$1&amp;"!"&amp;"A:A"),1,0),"")</f>
        <v/>
      </c>
      <c r="D67" s="1808" t="str">
        <f t="shared" ca="1" si="13"/>
        <v/>
      </c>
      <c r="E67" s="1808" t="str">
        <f t="shared" ca="1" si="13"/>
        <v/>
      </c>
      <c r="F67" s="1808" t="str">
        <f t="shared" ca="1" si="13"/>
        <v/>
      </c>
      <c r="G67" s="1808" t="str">
        <f t="shared" ca="1" si="13"/>
        <v/>
      </c>
      <c r="H67" s="1808" t="str">
        <f t="shared" ca="1" si="13"/>
        <v/>
      </c>
      <c r="I67" s="1808" t="str">
        <f t="shared" ca="1" si="13"/>
        <v/>
      </c>
      <c r="J67" s="1808" t="str">
        <f t="shared" ca="1" si="13"/>
        <v/>
      </c>
      <c r="K67" s="1808">
        <f t="shared" ca="1" si="13"/>
        <v>66</v>
      </c>
      <c r="L67" s="1808" t="str">
        <f t="shared" ca="1" si="13"/>
        <v/>
      </c>
      <c r="M67" s="1808" t="str">
        <f t="shared" ca="1" si="13"/>
        <v/>
      </c>
      <c r="N67" s="1808" t="str">
        <f t="shared" ca="1" si="12"/>
        <v/>
      </c>
      <c r="O67" s="1808" t="str">
        <f t="shared" ca="1" si="12"/>
        <v/>
      </c>
      <c r="P67" s="1808" t="str">
        <f t="shared" ca="1" si="12"/>
        <v/>
      </c>
      <c r="Q67" s="1808" t="str">
        <f t="shared" ca="1" si="12"/>
        <v/>
      </c>
      <c r="R67" s="1808" t="str">
        <f t="shared" ca="1" si="5"/>
        <v/>
      </c>
      <c r="S67" s="1808" t="str">
        <f t="shared" ca="1" si="5"/>
        <v/>
      </c>
      <c r="T67" s="1808" t="str">
        <f t="shared" ca="1" si="5"/>
        <v/>
      </c>
      <c r="U67" s="1808" t="str">
        <f t="shared" ca="1" si="5"/>
        <v/>
      </c>
      <c r="V67" s="1808">
        <f t="shared" ref="V67:V130" ca="1" si="14">COUNTIF(C67:U67,"&gt;0")</f>
        <v>1</v>
      </c>
    </row>
    <row r="68" spans="2:22">
      <c r="B68">
        <v>67</v>
      </c>
      <c r="C68" s="1808" t="str">
        <f t="shared" ca="1" si="13"/>
        <v/>
      </c>
      <c r="D68" s="1808" t="str">
        <f t="shared" ca="1" si="13"/>
        <v/>
      </c>
      <c r="E68" s="1808" t="str">
        <f t="shared" ca="1" si="13"/>
        <v/>
      </c>
      <c r="F68" s="1808" t="str">
        <f t="shared" ca="1" si="13"/>
        <v/>
      </c>
      <c r="G68" s="1808" t="str">
        <f t="shared" ca="1" si="13"/>
        <v/>
      </c>
      <c r="H68" s="1808" t="str">
        <f t="shared" ca="1" si="13"/>
        <v/>
      </c>
      <c r="I68" s="1808" t="str">
        <f t="shared" ca="1" si="13"/>
        <v/>
      </c>
      <c r="J68" s="1808" t="str">
        <f t="shared" ca="1" si="13"/>
        <v/>
      </c>
      <c r="K68" s="1808">
        <f t="shared" ca="1" si="13"/>
        <v>67</v>
      </c>
      <c r="L68" s="1808" t="str">
        <f t="shared" ca="1" si="13"/>
        <v/>
      </c>
      <c r="M68" s="1808" t="str">
        <f t="shared" ca="1" si="13"/>
        <v/>
      </c>
      <c r="N68" s="1808" t="str">
        <f t="shared" ca="1" si="12"/>
        <v/>
      </c>
      <c r="O68" s="1808" t="str">
        <f t="shared" ca="1" si="12"/>
        <v/>
      </c>
      <c r="P68" s="1808" t="str">
        <f t="shared" ca="1" si="12"/>
        <v/>
      </c>
      <c r="Q68" s="1808" t="str">
        <f t="shared" ca="1" si="12"/>
        <v/>
      </c>
      <c r="R68" s="1808" t="str">
        <f t="shared" ca="1" si="5"/>
        <v/>
      </c>
      <c r="S68" s="1808" t="str">
        <f t="shared" ca="1" si="5"/>
        <v/>
      </c>
      <c r="T68" s="1808" t="str">
        <f t="shared" ca="1" si="5"/>
        <v/>
      </c>
      <c r="U68" s="1808" t="str">
        <f t="shared" ca="1" si="5"/>
        <v/>
      </c>
      <c r="V68" s="1808">
        <f t="shared" ca="1" si="14"/>
        <v>1</v>
      </c>
    </row>
    <row r="69" spans="2:22">
      <c r="B69">
        <v>68</v>
      </c>
      <c r="C69" s="1808" t="str">
        <f t="shared" ca="1" si="13"/>
        <v/>
      </c>
      <c r="D69" s="1808" t="str">
        <f t="shared" ca="1" si="13"/>
        <v/>
      </c>
      <c r="E69" s="1808" t="str">
        <f t="shared" ca="1" si="13"/>
        <v/>
      </c>
      <c r="F69" s="1808" t="str">
        <f t="shared" ca="1" si="13"/>
        <v/>
      </c>
      <c r="G69" s="1808" t="str">
        <f t="shared" ca="1" si="13"/>
        <v/>
      </c>
      <c r="H69" s="1808" t="str">
        <f t="shared" ca="1" si="13"/>
        <v/>
      </c>
      <c r="I69" s="1808" t="str">
        <f t="shared" ca="1" si="13"/>
        <v/>
      </c>
      <c r="J69" s="1808" t="str">
        <f t="shared" ca="1" si="13"/>
        <v/>
      </c>
      <c r="K69" s="1808">
        <f t="shared" ca="1" si="13"/>
        <v>68</v>
      </c>
      <c r="L69" s="1808" t="str">
        <f t="shared" ca="1" si="13"/>
        <v/>
      </c>
      <c r="M69" s="1808" t="str">
        <f t="shared" ca="1" si="13"/>
        <v/>
      </c>
      <c r="N69" s="1808" t="str">
        <f t="shared" ca="1" si="12"/>
        <v/>
      </c>
      <c r="O69" s="1808" t="str">
        <f t="shared" ca="1" si="12"/>
        <v/>
      </c>
      <c r="P69" s="1808" t="str">
        <f t="shared" ca="1" si="12"/>
        <v/>
      </c>
      <c r="Q69" s="1808" t="str">
        <f t="shared" ca="1" si="12"/>
        <v/>
      </c>
      <c r="R69" s="1808" t="str">
        <f t="shared" ca="1" si="5"/>
        <v/>
      </c>
      <c r="S69" s="1808" t="str">
        <f t="shared" ca="1" si="5"/>
        <v/>
      </c>
      <c r="T69" s="1808" t="str">
        <f t="shared" ca="1" si="5"/>
        <v/>
      </c>
      <c r="U69" s="1808" t="str">
        <f t="shared" ca="1" si="5"/>
        <v/>
      </c>
      <c r="V69" s="1808">
        <f t="shared" ca="1" si="14"/>
        <v>1</v>
      </c>
    </row>
    <row r="70" spans="2:22">
      <c r="B70">
        <v>69</v>
      </c>
      <c r="C70" s="1808" t="str">
        <f t="shared" ca="1" si="13"/>
        <v/>
      </c>
      <c r="D70" s="1808" t="str">
        <f t="shared" ca="1" si="13"/>
        <v/>
      </c>
      <c r="E70" s="1808" t="str">
        <f t="shared" ca="1" si="13"/>
        <v/>
      </c>
      <c r="F70" s="1808" t="str">
        <f t="shared" ca="1" si="13"/>
        <v/>
      </c>
      <c r="G70" s="1808" t="str">
        <f t="shared" ca="1" si="13"/>
        <v/>
      </c>
      <c r="H70" s="1808" t="str">
        <f t="shared" ca="1" si="13"/>
        <v/>
      </c>
      <c r="I70" s="1808" t="str">
        <f t="shared" ca="1" si="13"/>
        <v/>
      </c>
      <c r="J70" s="1808" t="str">
        <f t="shared" ca="1" si="13"/>
        <v/>
      </c>
      <c r="K70" s="1808">
        <f t="shared" ca="1" si="13"/>
        <v>69</v>
      </c>
      <c r="L70" s="1808" t="str">
        <f t="shared" ca="1" si="13"/>
        <v/>
      </c>
      <c r="M70" s="1808" t="str">
        <f t="shared" ca="1" si="13"/>
        <v/>
      </c>
      <c r="N70" s="1808" t="str">
        <f t="shared" ca="1" si="12"/>
        <v/>
      </c>
      <c r="O70" s="1808" t="str">
        <f t="shared" ca="1" si="12"/>
        <v/>
      </c>
      <c r="P70" s="1808" t="str">
        <f t="shared" ca="1" si="12"/>
        <v/>
      </c>
      <c r="Q70" s="1808" t="str">
        <f t="shared" ca="1" si="12"/>
        <v/>
      </c>
      <c r="R70" s="1808" t="str">
        <f t="shared" ca="1" si="5"/>
        <v/>
      </c>
      <c r="S70" s="1808" t="str">
        <f t="shared" ca="1" si="5"/>
        <v/>
      </c>
      <c r="T70" s="1808" t="str">
        <f t="shared" ca="1" si="5"/>
        <v/>
      </c>
      <c r="U70" s="1808" t="str">
        <f t="shared" ca="1" si="5"/>
        <v/>
      </c>
      <c r="V70" s="1808">
        <f t="shared" ca="1" si="14"/>
        <v>1</v>
      </c>
    </row>
    <row r="71" spans="2:22">
      <c r="B71">
        <v>70</v>
      </c>
      <c r="C71" s="1808" t="str">
        <f t="shared" ca="1" si="13"/>
        <v/>
      </c>
      <c r="D71" s="1808" t="str">
        <f t="shared" ca="1" si="13"/>
        <v/>
      </c>
      <c r="E71" s="1808" t="str">
        <f t="shared" ca="1" si="13"/>
        <v/>
      </c>
      <c r="F71" s="1808" t="str">
        <f t="shared" ca="1" si="13"/>
        <v/>
      </c>
      <c r="G71" s="1808" t="str">
        <f t="shared" ca="1" si="13"/>
        <v/>
      </c>
      <c r="H71" s="1808" t="str">
        <f t="shared" ca="1" si="13"/>
        <v/>
      </c>
      <c r="I71" s="1808" t="str">
        <f t="shared" ca="1" si="13"/>
        <v/>
      </c>
      <c r="J71" s="1808" t="str">
        <f t="shared" ca="1" si="13"/>
        <v/>
      </c>
      <c r="K71" s="1808">
        <f t="shared" ca="1" si="13"/>
        <v>70</v>
      </c>
      <c r="L71" s="1808" t="str">
        <f t="shared" ca="1" si="13"/>
        <v/>
      </c>
      <c r="M71" s="1808" t="str">
        <f t="shared" ca="1" si="13"/>
        <v/>
      </c>
      <c r="N71" s="1808" t="str">
        <f t="shared" ca="1" si="12"/>
        <v/>
      </c>
      <c r="O71" s="1808" t="str">
        <f t="shared" ca="1" si="12"/>
        <v/>
      </c>
      <c r="P71" s="1808" t="str">
        <f t="shared" ca="1" si="12"/>
        <v/>
      </c>
      <c r="Q71" s="1808" t="str">
        <f t="shared" ca="1" si="12"/>
        <v/>
      </c>
      <c r="R71" s="1808" t="str">
        <f t="shared" ca="1" si="5"/>
        <v/>
      </c>
      <c r="S71" s="1808" t="str">
        <f t="shared" ca="1" si="5"/>
        <v/>
      </c>
      <c r="T71" s="1808" t="str">
        <f t="shared" ca="1" si="5"/>
        <v/>
      </c>
      <c r="U71" s="1808" t="str">
        <f t="shared" ca="1" si="5"/>
        <v/>
      </c>
      <c r="V71" s="1808">
        <f t="shared" ca="1" si="14"/>
        <v>1</v>
      </c>
    </row>
    <row r="72" spans="2:22">
      <c r="B72">
        <v>71</v>
      </c>
      <c r="C72" s="1808" t="str">
        <f t="shared" ca="1" si="13"/>
        <v/>
      </c>
      <c r="D72" s="1808" t="str">
        <f t="shared" ca="1" si="13"/>
        <v/>
      </c>
      <c r="E72" s="1808" t="str">
        <f t="shared" ca="1" si="13"/>
        <v/>
      </c>
      <c r="F72" s="1808" t="str">
        <f t="shared" ca="1" si="13"/>
        <v/>
      </c>
      <c r="G72" s="1808" t="str">
        <f t="shared" ca="1" si="13"/>
        <v/>
      </c>
      <c r="H72" s="1808" t="str">
        <f t="shared" ca="1" si="13"/>
        <v/>
      </c>
      <c r="I72" s="1808" t="str">
        <f t="shared" ca="1" si="13"/>
        <v/>
      </c>
      <c r="J72" s="1808" t="str">
        <f t="shared" ca="1" si="13"/>
        <v/>
      </c>
      <c r="K72" s="1808">
        <f t="shared" ca="1" si="13"/>
        <v>71</v>
      </c>
      <c r="L72" s="1808" t="str">
        <f t="shared" ca="1" si="13"/>
        <v/>
      </c>
      <c r="M72" s="1808" t="str">
        <f t="shared" ca="1" si="13"/>
        <v/>
      </c>
      <c r="N72" s="1808" t="str">
        <f t="shared" ca="1" si="12"/>
        <v/>
      </c>
      <c r="O72" s="1808" t="str">
        <f t="shared" ca="1" si="12"/>
        <v/>
      </c>
      <c r="P72" s="1808" t="str">
        <f t="shared" ca="1" si="12"/>
        <v/>
      </c>
      <c r="Q72" s="1808" t="str">
        <f t="shared" ca="1" si="12"/>
        <v/>
      </c>
      <c r="R72" s="1808" t="str">
        <f t="shared" ca="1" si="5"/>
        <v/>
      </c>
      <c r="S72" s="1808" t="str">
        <f t="shared" ca="1" si="5"/>
        <v/>
      </c>
      <c r="T72" s="1808" t="str">
        <f t="shared" ca="1" si="5"/>
        <v/>
      </c>
      <c r="U72" s="1808" t="str">
        <f t="shared" ca="1" si="5"/>
        <v/>
      </c>
      <c r="V72" s="1808">
        <f t="shared" ca="1" si="14"/>
        <v>1</v>
      </c>
    </row>
    <row r="73" spans="2:22">
      <c r="B73">
        <v>72</v>
      </c>
      <c r="C73" s="1808" t="str">
        <f t="shared" ca="1" si="13"/>
        <v/>
      </c>
      <c r="D73" s="1808" t="str">
        <f t="shared" ca="1" si="13"/>
        <v/>
      </c>
      <c r="E73" s="1808" t="str">
        <f t="shared" ca="1" si="13"/>
        <v/>
      </c>
      <c r="F73" s="1808" t="str">
        <f t="shared" ca="1" si="13"/>
        <v/>
      </c>
      <c r="G73" s="1808" t="str">
        <f t="shared" ca="1" si="13"/>
        <v/>
      </c>
      <c r="H73" s="1808" t="str">
        <f t="shared" ca="1" si="13"/>
        <v/>
      </c>
      <c r="I73" s="1808" t="str">
        <f t="shared" ca="1" si="13"/>
        <v/>
      </c>
      <c r="J73" s="1808" t="str">
        <f t="shared" ca="1" si="13"/>
        <v/>
      </c>
      <c r="K73" s="1808">
        <f t="shared" ca="1" si="13"/>
        <v>72</v>
      </c>
      <c r="L73" s="1808" t="str">
        <f t="shared" ca="1" si="13"/>
        <v/>
      </c>
      <c r="M73" s="1808" t="str">
        <f t="shared" ca="1" si="13"/>
        <v/>
      </c>
      <c r="N73" s="1808" t="str">
        <f t="shared" ca="1" si="12"/>
        <v/>
      </c>
      <c r="O73" s="1808" t="str">
        <f t="shared" ca="1" si="12"/>
        <v/>
      </c>
      <c r="P73" s="1808" t="str">
        <f t="shared" ca="1" si="12"/>
        <v/>
      </c>
      <c r="Q73" s="1808" t="str">
        <f t="shared" ca="1" si="12"/>
        <v/>
      </c>
      <c r="R73" s="1808" t="str">
        <f t="shared" ca="1" si="5"/>
        <v/>
      </c>
      <c r="S73" s="1808" t="str">
        <f t="shared" ca="1" si="5"/>
        <v/>
      </c>
      <c r="T73" s="1808" t="str">
        <f t="shared" ca="1" si="5"/>
        <v/>
      </c>
      <c r="U73" s="1808" t="str">
        <f t="shared" ca="1" si="5"/>
        <v/>
      </c>
      <c r="V73" s="1808">
        <f t="shared" ca="1" si="14"/>
        <v>1</v>
      </c>
    </row>
    <row r="74" spans="2:22">
      <c r="B74">
        <v>73</v>
      </c>
      <c r="C74" s="1808" t="str">
        <f t="shared" ca="1" si="13"/>
        <v/>
      </c>
      <c r="D74" s="1808" t="str">
        <f t="shared" ca="1" si="13"/>
        <v/>
      </c>
      <c r="E74" s="1808" t="str">
        <f t="shared" ca="1" si="13"/>
        <v/>
      </c>
      <c r="F74" s="1808" t="str">
        <f t="shared" ca="1" si="13"/>
        <v/>
      </c>
      <c r="G74" s="1808" t="str">
        <f t="shared" ca="1" si="13"/>
        <v/>
      </c>
      <c r="H74" s="1808" t="str">
        <f t="shared" ca="1" si="13"/>
        <v/>
      </c>
      <c r="I74" s="1808" t="str">
        <f t="shared" ca="1" si="13"/>
        <v/>
      </c>
      <c r="J74" s="1808" t="str">
        <f t="shared" ca="1" si="13"/>
        <v/>
      </c>
      <c r="K74" s="1808">
        <f t="shared" ca="1" si="13"/>
        <v>73</v>
      </c>
      <c r="L74" s="1808" t="str">
        <f t="shared" ca="1" si="13"/>
        <v/>
      </c>
      <c r="M74" s="1808" t="str">
        <f t="shared" ca="1" si="13"/>
        <v/>
      </c>
      <c r="N74" s="1808" t="str">
        <f t="shared" ca="1" si="12"/>
        <v/>
      </c>
      <c r="O74" s="1808" t="str">
        <f t="shared" ca="1" si="12"/>
        <v/>
      </c>
      <c r="P74" s="1808" t="str">
        <f t="shared" ca="1" si="12"/>
        <v/>
      </c>
      <c r="Q74" s="1808" t="str">
        <f t="shared" ca="1" si="12"/>
        <v/>
      </c>
      <c r="R74" s="1808" t="str">
        <f t="shared" ca="1" si="5"/>
        <v/>
      </c>
      <c r="S74" s="1808" t="str">
        <f t="shared" ca="1" si="5"/>
        <v/>
      </c>
      <c r="T74" s="1808" t="str">
        <f t="shared" ca="1" si="5"/>
        <v/>
      </c>
      <c r="U74" s="1808" t="str">
        <f t="shared" ca="1" si="5"/>
        <v/>
      </c>
      <c r="V74" s="1808">
        <f t="shared" ca="1" si="14"/>
        <v>1</v>
      </c>
    </row>
    <row r="75" spans="2:22">
      <c r="B75">
        <v>74</v>
      </c>
      <c r="C75" s="1808" t="str">
        <f t="shared" ca="1" si="13"/>
        <v/>
      </c>
      <c r="D75" s="1808" t="str">
        <f t="shared" ca="1" si="13"/>
        <v/>
      </c>
      <c r="E75" s="1808" t="str">
        <f t="shared" ca="1" si="13"/>
        <v/>
      </c>
      <c r="F75" s="1808" t="str">
        <f t="shared" ca="1" si="13"/>
        <v/>
      </c>
      <c r="G75" s="1808" t="str">
        <f t="shared" ca="1" si="13"/>
        <v/>
      </c>
      <c r="H75" s="1808" t="str">
        <f t="shared" ca="1" si="13"/>
        <v/>
      </c>
      <c r="I75" s="1808" t="str">
        <f t="shared" ca="1" si="13"/>
        <v/>
      </c>
      <c r="J75" s="1808" t="str">
        <f t="shared" ca="1" si="13"/>
        <v/>
      </c>
      <c r="K75" s="1808">
        <f t="shared" ca="1" si="13"/>
        <v>74</v>
      </c>
      <c r="L75" s="1808" t="str">
        <f t="shared" ca="1" si="13"/>
        <v/>
      </c>
      <c r="M75" s="1808" t="str">
        <f t="shared" ca="1" si="13"/>
        <v/>
      </c>
      <c r="N75" s="1808" t="str">
        <f t="shared" ca="1" si="12"/>
        <v/>
      </c>
      <c r="O75" s="1808" t="str">
        <f t="shared" ca="1" si="12"/>
        <v/>
      </c>
      <c r="P75" s="1808" t="str">
        <f t="shared" ca="1" si="12"/>
        <v/>
      </c>
      <c r="Q75" s="1808" t="str">
        <f t="shared" ca="1" si="12"/>
        <v/>
      </c>
      <c r="R75" s="1808" t="str">
        <f t="shared" ca="1" si="5"/>
        <v/>
      </c>
      <c r="S75" s="1808" t="str">
        <f t="shared" ca="1" si="5"/>
        <v/>
      </c>
      <c r="T75" s="1808" t="str">
        <f t="shared" ca="1" si="5"/>
        <v/>
      </c>
      <c r="U75" s="1808" t="str">
        <f t="shared" ca="1" si="5"/>
        <v/>
      </c>
      <c r="V75" s="1808">
        <f t="shared" ca="1" si="14"/>
        <v>1</v>
      </c>
    </row>
    <row r="76" spans="2:22">
      <c r="B76">
        <v>75</v>
      </c>
      <c r="C76" s="1808" t="str">
        <f t="shared" ca="1" si="13"/>
        <v/>
      </c>
      <c r="D76" s="1808" t="str">
        <f t="shared" ca="1" si="13"/>
        <v/>
      </c>
      <c r="E76" s="1808" t="str">
        <f t="shared" ca="1" si="13"/>
        <v/>
      </c>
      <c r="F76" s="1808" t="str">
        <f t="shared" ca="1" si="13"/>
        <v/>
      </c>
      <c r="G76" s="1808" t="str">
        <f t="shared" ca="1" si="13"/>
        <v/>
      </c>
      <c r="H76" s="1808" t="str">
        <f t="shared" ca="1" si="13"/>
        <v/>
      </c>
      <c r="I76" s="1808" t="str">
        <f t="shared" ca="1" si="13"/>
        <v/>
      </c>
      <c r="J76" s="1808" t="str">
        <f t="shared" ca="1" si="13"/>
        <v/>
      </c>
      <c r="K76" s="1808">
        <f t="shared" ca="1" si="13"/>
        <v>75</v>
      </c>
      <c r="L76" s="1808" t="str">
        <f t="shared" ca="1" si="13"/>
        <v/>
      </c>
      <c r="M76" s="1808" t="str">
        <f t="shared" ca="1" si="13"/>
        <v/>
      </c>
      <c r="N76" s="1808" t="str">
        <f t="shared" ca="1" si="12"/>
        <v/>
      </c>
      <c r="O76" s="1808" t="str">
        <f t="shared" ca="1" si="12"/>
        <v/>
      </c>
      <c r="P76" s="1808" t="str">
        <f t="shared" ca="1" si="12"/>
        <v/>
      </c>
      <c r="Q76" s="1808" t="str">
        <f t="shared" ca="1" si="12"/>
        <v/>
      </c>
      <c r="R76" s="1808" t="str">
        <f t="shared" ca="1" si="5"/>
        <v/>
      </c>
      <c r="S76" s="1808" t="str">
        <f t="shared" ca="1" si="5"/>
        <v/>
      </c>
      <c r="T76" s="1808" t="str">
        <f t="shared" ca="1" si="5"/>
        <v/>
      </c>
      <c r="U76" s="1808" t="str">
        <f t="shared" ca="1" si="5"/>
        <v/>
      </c>
      <c r="V76" s="1808">
        <f t="shared" ca="1" si="14"/>
        <v>1</v>
      </c>
    </row>
    <row r="77" spans="2:22">
      <c r="B77">
        <v>76</v>
      </c>
      <c r="C77" s="1808" t="str">
        <f t="shared" ca="1" si="13"/>
        <v/>
      </c>
      <c r="D77" s="1808" t="str">
        <f t="shared" ca="1" si="13"/>
        <v/>
      </c>
      <c r="E77" s="1808" t="str">
        <f t="shared" ca="1" si="13"/>
        <v/>
      </c>
      <c r="F77" s="1808" t="str">
        <f t="shared" ca="1" si="13"/>
        <v/>
      </c>
      <c r="G77" s="1808" t="str">
        <f t="shared" ca="1" si="13"/>
        <v/>
      </c>
      <c r="H77" s="1808" t="str">
        <f t="shared" ca="1" si="13"/>
        <v/>
      </c>
      <c r="I77" s="1808" t="str">
        <f t="shared" ca="1" si="13"/>
        <v/>
      </c>
      <c r="J77" s="1808" t="str">
        <f t="shared" ca="1" si="13"/>
        <v/>
      </c>
      <c r="K77" s="1808">
        <f t="shared" ca="1" si="13"/>
        <v>76</v>
      </c>
      <c r="L77" s="1808" t="str">
        <f t="shared" ca="1" si="13"/>
        <v/>
      </c>
      <c r="M77" s="1808" t="str">
        <f t="shared" ca="1" si="13"/>
        <v/>
      </c>
      <c r="N77" s="1808" t="str">
        <f t="shared" ca="1" si="12"/>
        <v/>
      </c>
      <c r="O77" s="1808" t="str">
        <f t="shared" ca="1" si="12"/>
        <v/>
      </c>
      <c r="P77" s="1808" t="str">
        <f t="shared" ca="1" si="12"/>
        <v/>
      </c>
      <c r="Q77" s="1808" t="str">
        <f t="shared" ca="1" si="12"/>
        <v/>
      </c>
      <c r="R77" s="1808" t="str">
        <f t="shared" ca="1" si="5"/>
        <v/>
      </c>
      <c r="S77" s="1808" t="str">
        <f t="shared" ca="1" si="5"/>
        <v/>
      </c>
      <c r="T77" s="1808" t="str">
        <f t="shared" ca="1" si="5"/>
        <v/>
      </c>
      <c r="U77" s="1808" t="str">
        <f t="shared" ca="1" si="5"/>
        <v/>
      </c>
      <c r="V77" s="1808">
        <f t="shared" ca="1" si="14"/>
        <v>1</v>
      </c>
    </row>
    <row r="78" spans="2:22">
      <c r="B78">
        <v>77</v>
      </c>
      <c r="C78" s="1808" t="str">
        <f t="shared" ca="1" si="13"/>
        <v/>
      </c>
      <c r="D78" s="1808" t="str">
        <f t="shared" ca="1" si="13"/>
        <v/>
      </c>
      <c r="E78" s="1808" t="str">
        <f t="shared" ca="1" si="13"/>
        <v/>
      </c>
      <c r="F78" s="1808" t="str">
        <f t="shared" ca="1" si="13"/>
        <v/>
      </c>
      <c r="G78" s="1808" t="str">
        <f t="shared" ca="1" si="13"/>
        <v/>
      </c>
      <c r="H78" s="1808" t="str">
        <f t="shared" ca="1" si="13"/>
        <v/>
      </c>
      <c r="I78" s="1808" t="str">
        <f t="shared" ca="1" si="13"/>
        <v/>
      </c>
      <c r="J78" s="1808">
        <f t="shared" ca="1" si="13"/>
        <v>77</v>
      </c>
      <c r="K78" s="1808" t="str">
        <f t="shared" ca="1" si="13"/>
        <v/>
      </c>
      <c r="L78" s="1808" t="str">
        <f t="shared" ca="1" si="13"/>
        <v/>
      </c>
      <c r="M78" s="1808" t="str">
        <f t="shared" ca="1" si="13"/>
        <v/>
      </c>
      <c r="N78" s="1808" t="str">
        <f t="shared" ca="1" si="12"/>
        <v/>
      </c>
      <c r="O78" s="1808" t="str">
        <f t="shared" ca="1" si="12"/>
        <v/>
      </c>
      <c r="P78" s="1808" t="str">
        <f t="shared" ca="1" si="12"/>
        <v/>
      </c>
      <c r="Q78" s="1808" t="str">
        <f t="shared" ca="1" si="12"/>
        <v/>
      </c>
      <c r="R78" s="1808" t="str">
        <f t="shared" ca="1" si="5"/>
        <v/>
      </c>
      <c r="S78" s="1808" t="str">
        <f t="shared" ca="1" si="5"/>
        <v/>
      </c>
      <c r="T78" s="1808" t="str">
        <f t="shared" ca="1" si="5"/>
        <v/>
      </c>
      <c r="U78" s="1808" t="str">
        <f t="shared" ca="1" si="5"/>
        <v/>
      </c>
      <c r="V78" s="1808">
        <f t="shared" ca="1" si="14"/>
        <v>1</v>
      </c>
    </row>
    <row r="79" spans="2:22">
      <c r="B79">
        <v>78</v>
      </c>
      <c r="C79" s="1808" t="str">
        <f t="shared" ca="1" si="13"/>
        <v/>
      </c>
      <c r="D79" s="1808" t="str">
        <f t="shared" ca="1" si="13"/>
        <v/>
      </c>
      <c r="E79" s="1808" t="str">
        <f t="shared" ca="1" si="13"/>
        <v/>
      </c>
      <c r="F79" s="1808" t="str">
        <f t="shared" ca="1" si="13"/>
        <v/>
      </c>
      <c r="G79" s="1808" t="str">
        <f t="shared" ca="1" si="13"/>
        <v/>
      </c>
      <c r="H79" s="1808" t="str">
        <f t="shared" ca="1" si="13"/>
        <v/>
      </c>
      <c r="I79" s="1808" t="str">
        <f t="shared" ca="1" si="13"/>
        <v/>
      </c>
      <c r="J79" s="1808">
        <f t="shared" ca="1" si="13"/>
        <v>78</v>
      </c>
      <c r="K79" s="1808" t="str">
        <f t="shared" ca="1" si="13"/>
        <v/>
      </c>
      <c r="L79" s="1808" t="str">
        <f t="shared" ca="1" si="13"/>
        <v/>
      </c>
      <c r="M79" s="1808" t="str">
        <f t="shared" ca="1" si="13"/>
        <v/>
      </c>
      <c r="N79" s="1808" t="str">
        <f t="shared" ca="1" si="12"/>
        <v/>
      </c>
      <c r="O79" s="1808" t="str">
        <f t="shared" ca="1" si="12"/>
        <v/>
      </c>
      <c r="P79" s="1808" t="str">
        <f t="shared" ca="1" si="12"/>
        <v/>
      </c>
      <c r="Q79" s="1808" t="str">
        <f t="shared" ca="1" si="12"/>
        <v/>
      </c>
      <c r="R79" s="1808" t="str">
        <f t="shared" ca="1" si="5"/>
        <v/>
      </c>
      <c r="S79" s="1808" t="str">
        <f t="shared" ca="1" si="5"/>
        <v/>
      </c>
      <c r="T79" s="1808" t="str">
        <f t="shared" ca="1" si="5"/>
        <v/>
      </c>
      <c r="U79" s="1808" t="str">
        <f t="shared" ca="1" si="5"/>
        <v/>
      </c>
      <c r="V79" s="1808">
        <f t="shared" ca="1" si="14"/>
        <v>1</v>
      </c>
    </row>
    <row r="80" spans="2:22">
      <c r="B80">
        <v>79</v>
      </c>
      <c r="C80" s="1808" t="str">
        <f t="shared" ca="1" si="13"/>
        <v/>
      </c>
      <c r="D80" s="1808" t="str">
        <f t="shared" ca="1" si="13"/>
        <v/>
      </c>
      <c r="E80" s="1808" t="str">
        <f t="shared" ca="1" si="13"/>
        <v/>
      </c>
      <c r="F80" s="1808" t="str">
        <f t="shared" ca="1" si="13"/>
        <v/>
      </c>
      <c r="G80" s="1808" t="str">
        <f t="shared" ca="1" si="13"/>
        <v/>
      </c>
      <c r="H80" s="1808" t="str">
        <f t="shared" ca="1" si="13"/>
        <v/>
      </c>
      <c r="I80" s="1808" t="str">
        <f t="shared" ca="1" si="13"/>
        <v/>
      </c>
      <c r="J80" s="1808">
        <f t="shared" ca="1" si="13"/>
        <v>79</v>
      </c>
      <c r="K80" s="1808" t="str">
        <f t="shared" ca="1" si="13"/>
        <v/>
      </c>
      <c r="L80" s="1808" t="str">
        <f t="shared" ca="1" si="13"/>
        <v/>
      </c>
      <c r="M80" s="1808" t="str">
        <f t="shared" ca="1" si="13"/>
        <v/>
      </c>
      <c r="N80" s="1808" t="str">
        <f t="shared" ca="1" si="12"/>
        <v/>
      </c>
      <c r="O80" s="1808" t="str">
        <f t="shared" ca="1" si="12"/>
        <v/>
      </c>
      <c r="P80" s="1808" t="str">
        <f t="shared" ca="1" si="12"/>
        <v/>
      </c>
      <c r="Q80" s="1808" t="str">
        <f t="shared" ca="1" si="12"/>
        <v/>
      </c>
      <c r="R80" s="1808" t="str">
        <f t="shared" ca="1" si="5"/>
        <v/>
      </c>
      <c r="S80" s="1808" t="str">
        <f t="shared" ca="1" si="5"/>
        <v/>
      </c>
      <c r="T80" s="1808" t="str">
        <f t="shared" ca="1" si="5"/>
        <v/>
      </c>
      <c r="U80" s="1808" t="str">
        <f t="shared" ca="1" si="5"/>
        <v/>
      </c>
      <c r="V80" s="1808">
        <f t="shared" ca="1" si="14"/>
        <v>1</v>
      </c>
    </row>
    <row r="81" spans="2:22">
      <c r="B81">
        <v>80</v>
      </c>
      <c r="C81" s="1808" t="str">
        <f t="shared" ca="1" si="13"/>
        <v/>
      </c>
      <c r="D81" s="1808" t="str">
        <f t="shared" ca="1" si="13"/>
        <v/>
      </c>
      <c r="E81" s="1808" t="str">
        <f t="shared" ca="1" si="13"/>
        <v/>
      </c>
      <c r="F81" s="1808" t="str">
        <f t="shared" ca="1" si="13"/>
        <v/>
      </c>
      <c r="G81" s="1808" t="str">
        <f t="shared" ca="1" si="13"/>
        <v/>
      </c>
      <c r="H81" s="1808" t="str">
        <f t="shared" ca="1" si="13"/>
        <v/>
      </c>
      <c r="I81" s="1808" t="str">
        <f t="shared" ca="1" si="13"/>
        <v/>
      </c>
      <c r="J81" s="1808">
        <f t="shared" ca="1" si="13"/>
        <v>80</v>
      </c>
      <c r="K81" s="1808" t="str">
        <f t="shared" ca="1" si="13"/>
        <v/>
      </c>
      <c r="L81" s="1808" t="str">
        <f t="shared" ca="1" si="13"/>
        <v/>
      </c>
      <c r="M81" s="1808" t="str">
        <f t="shared" ref="D81:S96" ca="1" si="15">IFERROR(VLOOKUP($B81,INDIRECT(M$1&amp;"!"&amp;"A:A"),1,0),"")</f>
        <v/>
      </c>
      <c r="N81" s="1808" t="str">
        <f t="shared" ca="1" si="12"/>
        <v/>
      </c>
      <c r="O81" s="1808" t="str">
        <f t="shared" ca="1" si="12"/>
        <v/>
      </c>
      <c r="P81" s="1808" t="str">
        <f t="shared" ca="1" si="12"/>
        <v/>
      </c>
      <c r="Q81" s="1808" t="str">
        <f t="shared" ca="1" si="12"/>
        <v/>
      </c>
      <c r="R81" s="1808" t="str">
        <f t="shared" ca="1" si="5"/>
        <v/>
      </c>
      <c r="S81" s="1808" t="str">
        <f t="shared" ca="1" si="5"/>
        <v/>
      </c>
      <c r="T81" s="1808" t="str">
        <f t="shared" ca="1" si="5"/>
        <v/>
      </c>
      <c r="U81" s="1808" t="str">
        <f t="shared" ca="1" si="5"/>
        <v/>
      </c>
      <c r="V81" s="1808">
        <f t="shared" ca="1" si="14"/>
        <v>1</v>
      </c>
    </row>
    <row r="82" spans="2:22">
      <c r="B82">
        <v>81</v>
      </c>
      <c r="C82" s="1808" t="str">
        <f t="shared" ca="1" si="13"/>
        <v/>
      </c>
      <c r="D82" s="1808" t="str">
        <f t="shared" ca="1" si="15"/>
        <v/>
      </c>
      <c r="E82" s="1808" t="str">
        <f t="shared" ca="1" si="15"/>
        <v/>
      </c>
      <c r="F82" s="1808" t="str">
        <f t="shared" ca="1" si="15"/>
        <v/>
      </c>
      <c r="G82" s="1808" t="str">
        <f t="shared" ca="1" si="15"/>
        <v/>
      </c>
      <c r="H82" s="1808" t="str">
        <f t="shared" ca="1" si="15"/>
        <v/>
      </c>
      <c r="I82" s="1808" t="str">
        <f t="shared" ca="1" si="15"/>
        <v/>
      </c>
      <c r="J82" s="1808">
        <f t="shared" ca="1" si="15"/>
        <v>81</v>
      </c>
      <c r="K82" s="1808" t="str">
        <f t="shared" ca="1" si="15"/>
        <v/>
      </c>
      <c r="L82" s="1808" t="str">
        <f t="shared" ca="1" si="15"/>
        <v/>
      </c>
      <c r="M82" s="1808" t="str">
        <f t="shared" ca="1" si="15"/>
        <v/>
      </c>
      <c r="N82" s="1808" t="str">
        <f t="shared" ca="1" si="15"/>
        <v/>
      </c>
      <c r="O82" s="1808" t="str">
        <f t="shared" ca="1" si="15"/>
        <v/>
      </c>
      <c r="P82" s="1808" t="str">
        <f t="shared" ca="1" si="15"/>
        <v/>
      </c>
      <c r="Q82" s="1808" t="str">
        <f t="shared" ca="1" si="15"/>
        <v/>
      </c>
      <c r="R82" s="1808" t="str">
        <f t="shared" ca="1" si="15"/>
        <v/>
      </c>
      <c r="S82" s="1808" t="str">
        <f t="shared" ca="1" si="15"/>
        <v/>
      </c>
      <c r="T82" s="1808" t="str">
        <f t="shared" ref="R82:U145" ca="1" si="16">IFERROR(VLOOKUP($B82,INDIRECT(T$1&amp;"!"&amp;"A:A"),1,0),"")</f>
        <v/>
      </c>
      <c r="U82" s="1808" t="str">
        <f t="shared" ca="1" si="16"/>
        <v/>
      </c>
      <c r="V82" s="1808">
        <f t="shared" ca="1" si="14"/>
        <v>1</v>
      </c>
    </row>
    <row r="83" spans="2:22">
      <c r="B83">
        <v>82</v>
      </c>
      <c r="C83" s="1808" t="str">
        <f t="shared" ca="1" si="13"/>
        <v/>
      </c>
      <c r="D83" s="1808" t="str">
        <f t="shared" ca="1" si="15"/>
        <v/>
      </c>
      <c r="E83" s="1808" t="str">
        <f t="shared" ca="1" si="15"/>
        <v/>
      </c>
      <c r="F83" s="1808" t="str">
        <f t="shared" ca="1" si="15"/>
        <v/>
      </c>
      <c r="G83" s="1808" t="str">
        <f t="shared" ca="1" si="15"/>
        <v/>
      </c>
      <c r="H83" s="1808" t="str">
        <f t="shared" ca="1" si="15"/>
        <v/>
      </c>
      <c r="I83" s="1808" t="str">
        <f t="shared" ca="1" si="15"/>
        <v/>
      </c>
      <c r="J83" s="1808">
        <f t="shared" ca="1" si="15"/>
        <v>82</v>
      </c>
      <c r="K83" s="1808" t="str">
        <f t="shared" ca="1" si="15"/>
        <v/>
      </c>
      <c r="L83" s="1808" t="str">
        <f t="shared" ca="1" si="15"/>
        <v/>
      </c>
      <c r="M83" s="1808" t="str">
        <f t="shared" ca="1" si="15"/>
        <v/>
      </c>
      <c r="N83" s="1808" t="str">
        <f t="shared" ref="N83:Q96" ca="1" si="17">IFERROR(VLOOKUP($B83,INDIRECT(N$1&amp;"!"&amp;"A:A"),1,0),"")</f>
        <v/>
      </c>
      <c r="O83" s="1808" t="str">
        <f t="shared" ca="1" si="17"/>
        <v/>
      </c>
      <c r="P83" s="1808" t="str">
        <f t="shared" ca="1" si="17"/>
        <v/>
      </c>
      <c r="Q83" s="1808" t="str">
        <f t="shared" ca="1" si="17"/>
        <v/>
      </c>
      <c r="R83" s="1808" t="str">
        <f t="shared" ca="1" si="16"/>
        <v/>
      </c>
      <c r="S83" s="1808" t="str">
        <f t="shared" ca="1" si="16"/>
        <v/>
      </c>
      <c r="T83" s="1808" t="str">
        <f t="shared" ca="1" si="16"/>
        <v/>
      </c>
      <c r="U83" s="1808" t="str">
        <f t="shared" ca="1" si="16"/>
        <v/>
      </c>
      <c r="V83" s="1808">
        <f t="shared" ca="1" si="14"/>
        <v>1</v>
      </c>
    </row>
    <row r="84" spans="2:22">
      <c r="B84">
        <v>83</v>
      </c>
      <c r="C84" s="1808" t="str">
        <f t="shared" ca="1" si="13"/>
        <v/>
      </c>
      <c r="D84" s="1808" t="str">
        <f t="shared" ca="1" si="15"/>
        <v/>
      </c>
      <c r="E84" s="1808" t="str">
        <f t="shared" ca="1" si="15"/>
        <v/>
      </c>
      <c r="F84" s="1808" t="str">
        <f t="shared" ca="1" si="15"/>
        <v/>
      </c>
      <c r="G84" s="1808" t="str">
        <f t="shared" ca="1" si="15"/>
        <v/>
      </c>
      <c r="H84" s="1808" t="str">
        <f t="shared" ca="1" si="15"/>
        <v/>
      </c>
      <c r="I84" s="1808" t="str">
        <f t="shared" ca="1" si="15"/>
        <v/>
      </c>
      <c r="J84" s="1808">
        <f t="shared" ca="1" si="15"/>
        <v>83</v>
      </c>
      <c r="K84" s="1808" t="str">
        <f t="shared" ca="1" si="15"/>
        <v/>
      </c>
      <c r="L84" s="1808" t="str">
        <f t="shared" ca="1" si="15"/>
        <v/>
      </c>
      <c r="M84" s="1808" t="str">
        <f t="shared" ca="1" si="15"/>
        <v/>
      </c>
      <c r="N84" s="1808" t="str">
        <f t="shared" ca="1" si="17"/>
        <v/>
      </c>
      <c r="O84" s="1808" t="str">
        <f t="shared" ca="1" si="17"/>
        <v/>
      </c>
      <c r="P84" s="1808" t="str">
        <f t="shared" ca="1" si="17"/>
        <v/>
      </c>
      <c r="Q84" s="1808" t="str">
        <f t="shared" ca="1" si="17"/>
        <v/>
      </c>
      <c r="R84" s="1808" t="str">
        <f t="shared" ca="1" si="16"/>
        <v/>
      </c>
      <c r="S84" s="1808" t="str">
        <f t="shared" ca="1" si="16"/>
        <v/>
      </c>
      <c r="T84" s="1808" t="str">
        <f t="shared" ca="1" si="16"/>
        <v/>
      </c>
      <c r="U84" s="1808" t="str">
        <f t="shared" ca="1" si="16"/>
        <v/>
      </c>
      <c r="V84" s="1808">
        <f t="shared" ca="1" si="14"/>
        <v>1</v>
      </c>
    </row>
    <row r="85" spans="2:22">
      <c r="B85">
        <v>84</v>
      </c>
      <c r="C85" s="1808" t="str">
        <f t="shared" ca="1" si="13"/>
        <v/>
      </c>
      <c r="D85" s="1808" t="str">
        <f t="shared" ca="1" si="15"/>
        <v/>
      </c>
      <c r="E85" s="1808" t="str">
        <f t="shared" ca="1" si="15"/>
        <v/>
      </c>
      <c r="F85" s="1808" t="str">
        <f t="shared" ca="1" si="15"/>
        <v/>
      </c>
      <c r="G85" s="1808" t="str">
        <f t="shared" ca="1" si="15"/>
        <v/>
      </c>
      <c r="H85" s="1808" t="str">
        <f t="shared" ca="1" si="15"/>
        <v/>
      </c>
      <c r="I85" s="1808" t="str">
        <f t="shared" ca="1" si="15"/>
        <v/>
      </c>
      <c r="J85" s="1808">
        <f t="shared" ca="1" si="15"/>
        <v>84</v>
      </c>
      <c r="K85" s="1808" t="str">
        <f t="shared" ca="1" si="15"/>
        <v/>
      </c>
      <c r="L85" s="1808" t="str">
        <f t="shared" ca="1" si="15"/>
        <v/>
      </c>
      <c r="M85" s="1808" t="str">
        <f t="shared" ca="1" si="15"/>
        <v/>
      </c>
      <c r="N85" s="1808" t="str">
        <f t="shared" ca="1" si="17"/>
        <v/>
      </c>
      <c r="O85" s="1808" t="str">
        <f t="shared" ca="1" si="17"/>
        <v/>
      </c>
      <c r="P85" s="1808" t="str">
        <f t="shared" ca="1" si="17"/>
        <v/>
      </c>
      <c r="Q85" s="1808" t="str">
        <f t="shared" ca="1" si="17"/>
        <v/>
      </c>
      <c r="R85" s="1808" t="str">
        <f t="shared" ca="1" si="16"/>
        <v/>
      </c>
      <c r="S85" s="1808" t="str">
        <f t="shared" ca="1" si="16"/>
        <v/>
      </c>
      <c r="T85" s="1808" t="str">
        <f t="shared" ca="1" si="16"/>
        <v/>
      </c>
      <c r="U85" s="1808" t="str">
        <f t="shared" ca="1" si="16"/>
        <v/>
      </c>
      <c r="V85" s="1808">
        <f t="shared" ca="1" si="14"/>
        <v>1</v>
      </c>
    </row>
    <row r="86" spans="2:22">
      <c r="B86">
        <v>85</v>
      </c>
      <c r="C86" s="1808" t="str">
        <f t="shared" ca="1" si="13"/>
        <v/>
      </c>
      <c r="D86" s="1808" t="str">
        <f t="shared" ca="1" si="15"/>
        <v/>
      </c>
      <c r="E86" s="1808" t="str">
        <f t="shared" ca="1" si="15"/>
        <v/>
      </c>
      <c r="F86" s="1808" t="str">
        <f t="shared" ca="1" si="15"/>
        <v/>
      </c>
      <c r="G86" s="1808" t="str">
        <f t="shared" ca="1" si="15"/>
        <v/>
      </c>
      <c r="H86" s="1808" t="str">
        <f t="shared" ca="1" si="15"/>
        <v/>
      </c>
      <c r="I86" s="1808" t="str">
        <f t="shared" ca="1" si="15"/>
        <v/>
      </c>
      <c r="J86" s="1808">
        <f t="shared" ca="1" si="15"/>
        <v>85</v>
      </c>
      <c r="K86" s="1808" t="str">
        <f t="shared" ca="1" si="15"/>
        <v/>
      </c>
      <c r="L86" s="1808" t="str">
        <f t="shared" ca="1" si="15"/>
        <v/>
      </c>
      <c r="M86" s="1808" t="str">
        <f t="shared" ca="1" si="15"/>
        <v/>
      </c>
      <c r="N86" s="1808" t="str">
        <f t="shared" ca="1" si="17"/>
        <v/>
      </c>
      <c r="O86" s="1808" t="str">
        <f t="shared" ca="1" si="17"/>
        <v/>
      </c>
      <c r="P86" s="1808" t="str">
        <f t="shared" ca="1" si="17"/>
        <v/>
      </c>
      <c r="Q86" s="1808" t="str">
        <f t="shared" ca="1" si="17"/>
        <v/>
      </c>
      <c r="R86" s="1808" t="str">
        <f t="shared" ca="1" si="16"/>
        <v/>
      </c>
      <c r="S86" s="1808" t="str">
        <f t="shared" ca="1" si="16"/>
        <v/>
      </c>
      <c r="T86" s="1808" t="str">
        <f t="shared" ca="1" si="16"/>
        <v/>
      </c>
      <c r="U86" s="1808" t="str">
        <f t="shared" ca="1" si="16"/>
        <v/>
      </c>
      <c r="V86" s="1808">
        <f t="shared" ca="1" si="14"/>
        <v>1</v>
      </c>
    </row>
    <row r="87" spans="2:22">
      <c r="B87">
        <v>86</v>
      </c>
      <c r="C87" s="1808" t="str">
        <f t="shared" ca="1" si="13"/>
        <v/>
      </c>
      <c r="D87" s="1808" t="str">
        <f t="shared" ca="1" si="15"/>
        <v/>
      </c>
      <c r="E87" s="1808" t="str">
        <f t="shared" ca="1" si="15"/>
        <v/>
      </c>
      <c r="F87" s="1808" t="str">
        <f t="shared" ca="1" si="15"/>
        <v/>
      </c>
      <c r="G87" s="1808" t="str">
        <f t="shared" ca="1" si="15"/>
        <v/>
      </c>
      <c r="H87" s="1808" t="str">
        <f t="shared" ca="1" si="15"/>
        <v/>
      </c>
      <c r="I87" s="1808" t="str">
        <f t="shared" ca="1" si="15"/>
        <v/>
      </c>
      <c r="J87" s="1808">
        <f t="shared" ca="1" si="15"/>
        <v>86</v>
      </c>
      <c r="K87" s="1808" t="str">
        <f t="shared" ca="1" si="15"/>
        <v/>
      </c>
      <c r="L87" s="1808" t="str">
        <f t="shared" ca="1" si="15"/>
        <v/>
      </c>
      <c r="M87" s="1808" t="str">
        <f t="shared" ca="1" si="15"/>
        <v/>
      </c>
      <c r="N87" s="1808" t="str">
        <f t="shared" ca="1" si="17"/>
        <v/>
      </c>
      <c r="O87" s="1808" t="str">
        <f t="shared" ca="1" si="17"/>
        <v/>
      </c>
      <c r="P87" s="1808" t="str">
        <f t="shared" ca="1" si="17"/>
        <v/>
      </c>
      <c r="Q87" s="1808" t="str">
        <f t="shared" ca="1" si="17"/>
        <v/>
      </c>
      <c r="R87" s="1808" t="str">
        <f t="shared" ca="1" si="16"/>
        <v/>
      </c>
      <c r="S87" s="1808" t="str">
        <f t="shared" ca="1" si="16"/>
        <v/>
      </c>
      <c r="T87" s="1808" t="str">
        <f t="shared" ca="1" si="16"/>
        <v/>
      </c>
      <c r="U87" s="1808" t="str">
        <f t="shared" ca="1" si="16"/>
        <v/>
      </c>
      <c r="V87" s="1808">
        <f t="shared" ca="1" si="14"/>
        <v>1</v>
      </c>
    </row>
    <row r="88" spans="2:22">
      <c r="B88">
        <v>87</v>
      </c>
      <c r="C88" s="1808" t="str">
        <f t="shared" ca="1" si="13"/>
        <v/>
      </c>
      <c r="D88" s="1808" t="str">
        <f t="shared" ca="1" si="15"/>
        <v/>
      </c>
      <c r="E88" s="1808" t="str">
        <f t="shared" ca="1" si="15"/>
        <v/>
      </c>
      <c r="F88" s="1808" t="str">
        <f t="shared" ca="1" si="15"/>
        <v/>
      </c>
      <c r="G88" s="1808" t="str">
        <f t="shared" ca="1" si="15"/>
        <v/>
      </c>
      <c r="H88" s="1808" t="str">
        <f t="shared" ca="1" si="15"/>
        <v/>
      </c>
      <c r="I88" s="1808" t="str">
        <f t="shared" ca="1" si="15"/>
        <v/>
      </c>
      <c r="J88" s="1808">
        <f t="shared" ca="1" si="15"/>
        <v>87</v>
      </c>
      <c r="K88" s="1808" t="str">
        <f t="shared" ca="1" si="15"/>
        <v/>
      </c>
      <c r="L88" s="1808" t="str">
        <f t="shared" ca="1" si="15"/>
        <v/>
      </c>
      <c r="M88" s="1808" t="str">
        <f t="shared" ca="1" si="15"/>
        <v/>
      </c>
      <c r="N88" s="1808" t="str">
        <f t="shared" ca="1" si="17"/>
        <v/>
      </c>
      <c r="O88" s="1808" t="str">
        <f t="shared" ca="1" si="17"/>
        <v/>
      </c>
      <c r="P88" s="1808" t="str">
        <f t="shared" ca="1" si="17"/>
        <v/>
      </c>
      <c r="Q88" s="1808" t="str">
        <f t="shared" ca="1" si="17"/>
        <v/>
      </c>
      <c r="R88" s="1808" t="str">
        <f t="shared" ca="1" si="16"/>
        <v/>
      </c>
      <c r="S88" s="1808" t="str">
        <f t="shared" ca="1" si="16"/>
        <v/>
      </c>
      <c r="T88" s="1808" t="str">
        <f t="shared" ca="1" si="16"/>
        <v/>
      </c>
      <c r="U88" s="1808" t="str">
        <f t="shared" ca="1" si="16"/>
        <v/>
      </c>
      <c r="V88" s="1808">
        <f t="shared" ca="1" si="14"/>
        <v>1</v>
      </c>
    </row>
    <row r="89" spans="2:22">
      <c r="B89">
        <v>88</v>
      </c>
      <c r="C89" s="1808" t="str">
        <f t="shared" ca="1" si="13"/>
        <v/>
      </c>
      <c r="D89" s="1808" t="str">
        <f t="shared" ca="1" si="15"/>
        <v/>
      </c>
      <c r="E89" s="1808" t="str">
        <f t="shared" ca="1" si="15"/>
        <v/>
      </c>
      <c r="F89" s="1808" t="str">
        <f t="shared" ca="1" si="15"/>
        <v/>
      </c>
      <c r="G89" s="1808" t="str">
        <f t="shared" ca="1" si="15"/>
        <v/>
      </c>
      <c r="H89" s="1808" t="str">
        <f t="shared" ca="1" si="15"/>
        <v/>
      </c>
      <c r="I89" s="1808" t="str">
        <f t="shared" ca="1" si="15"/>
        <v/>
      </c>
      <c r="J89" s="1808">
        <f t="shared" ca="1" si="15"/>
        <v>88</v>
      </c>
      <c r="K89" s="1808" t="str">
        <f t="shared" ca="1" si="15"/>
        <v/>
      </c>
      <c r="L89" s="1808" t="str">
        <f t="shared" ca="1" si="15"/>
        <v/>
      </c>
      <c r="M89" s="1808" t="str">
        <f t="shared" ca="1" si="15"/>
        <v/>
      </c>
      <c r="N89" s="1808" t="str">
        <f t="shared" ca="1" si="17"/>
        <v/>
      </c>
      <c r="O89" s="1808" t="str">
        <f t="shared" ca="1" si="17"/>
        <v/>
      </c>
      <c r="P89" s="1808" t="str">
        <f t="shared" ca="1" si="17"/>
        <v/>
      </c>
      <c r="Q89" s="1808" t="str">
        <f t="shared" ca="1" si="17"/>
        <v/>
      </c>
      <c r="R89" s="1808" t="str">
        <f t="shared" ca="1" si="16"/>
        <v/>
      </c>
      <c r="S89" s="1808" t="str">
        <f t="shared" ca="1" si="16"/>
        <v/>
      </c>
      <c r="T89" s="1808" t="str">
        <f t="shared" ca="1" si="16"/>
        <v/>
      </c>
      <c r="U89" s="1808" t="str">
        <f t="shared" ca="1" si="16"/>
        <v/>
      </c>
      <c r="V89" s="1808">
        <f t="shared" ca="1" si="14"/>
        <v>1</v>
      </c>
    </row>
    <row r="90" spans="2:22">
      <c r="B90">
        <v>89</v>
      </c>
      <c r="C90" s="1808" t="str">
        <f t="shared" ca="1" si="13"/>
        <v/>
      </c>
      <c r="D90" s="1808" t="str">
        <f t="shared" ca="1" si="15"/>
        <v/>
      </c>
      <c r="E90" s="1808" t="str">
        <f t="shared" ca="1" si="15"/>
        <v/>
      </c>
      <c r="F90" s="1808" t="str">
        <f t="shared" ca="1" si="15"/>
        <v/>
      </c>
      <c r="G90" s="1808" t="str">
        <f t="shared" ca="1" si="15"/>
        <v/>
      </c>
      <c r="H90" s="1808" t="str">
        <f t="shared" ca="1" si="15"/>
        <v/>
      </c>
      <c r="I90" s="1808" t="str">
        <f t="shared" ca="1" si="15"/>
        <v/>
      </c>
      <c r="J90" s="1808">
        <f t="shared" ca="1" si="15"/>
        <v>89</v>
      </c>
      <c r="K90" s="1808" t="str">
        <f t="shared" ca="1" si="15"/>
        <v/>
      </c>
      <c r="L90" s="1808" t="str">
        <f t="shared" ca="1" si="15"/>
        <v/>
      </c>
      <c r="M90" s="1808" t="str">
        <f t="shared" ca="1" si="15"/>
        <v/>
      </c>
      <c r="N90" s="1808" t="str">
        <f t="shared" ca="1" si="17"/>
        <v/>
      </c>
      <c r="O90" s="1808" t="str">
        <f t="shared" ca="1" si="17"/>
        <v/>
      </c>
      <c r="P90" s="1808" t="str">
        <f t="shared" ca="1" si="17"/>
        <v/>
      </c>
      <c r="Q90" s="1808" t="str">
        <f t="shared" ca="1" si="17"/>
        <v/>
      </c>
      <c r="R90" s="1808" t="str">
        <f t="shared" ca="1" si="16"/>
        <v/>
      </c>
      <c r="S90" s="1808" t="str">
        <f t="shared" ca="1" si="16"/>
        <v/>
      </c>
      <c r="T90" s="1808" t="str">
        <f t="shared" ca="1" si="16"/>
        <v/>
      </c>
      <c r="U90" s="1808" t="str">
        <f t="shared" ca="1" si="16"/>
        <v/>
      </c>
      <c r="V90" s="1808">
        <f t="shared" ca="1" si="14"/>
        <v>1</v>
      </c>
    </row>
    <row r="91" spans="2:22">
      <c r="B91">
        <v>90</v>
      </c>
      <c r="C91" s="1808" t="str">
        <f t="shared" ca="1" si="13"/>
        <v/>
      </c>
      <c r="D91" s="1808" t="str">
        <f t="shared" ca="1" si="15"/>
        <v/>
      </c>
      <c r="E91" s="1808" t="str">
        <f t="shared" ca="1" si="15"/>
        <v/>
      </c>
      <c r="F91" s="1808" t="str">
        <f t="shared" ca="1" si="15"/>
        <v/>
      </c>
      <c r="G91" s="1808" t="str">
        <f t="shared" ca="1" si="15"/>
        <v/>
      </c>
      <c r="H91" s="1808" t="str">
        <f t="shared" ca="1" si="15"/>
        <v/>
      </c>
      <c r="I91" s="1808" t="str">
        <f t="shared" ca="1" si="15"/>
        <v/>
      </c>
      <c r="J91" s="1808">
        <f t="shared" ca="1" si="15"/>
        <v>90</v>
      </c>
      <c r="K91" s="1808" t="str">
        <f t="shared" ca="1" si="15"/>
        <v/>
      </c>
      <c r="L91" s="1808" t="str">
        <f t="shared" ca="1" si="15"/>
        <v/>
      </c>
      <c r="M91" s="1808" t="str">
        <f t="shared" ca="1" si="15"/>
        <v/>
      </c>
      <c r="N91" s="1808" t="str">
        <f t="shared" ca="1" si="17"/>
        <v/>
      </c>
      <c r="O91" s="1808" t="str">
        <f t="shared" ca="1" si="17"/>
        <v/>
      </c>
      <c r="P91" s="1808" t="str">
        <f t="shared" ca="1" si="17"/>
        <v/>
      </c>
      <c r="Q91" s="1808" t="str">
        <f t="shared" ca="1" si="17"/>
        <v/>
      </c>
      <c r="R91" s="1808" t="str">
        <f t="shared" ca="1" si="16"/>
        <v/>
      </c>
      <c r="S91" s="1808" t="str">
        <f t="shared" ca="1" si="16"/>
        <v/>
      </c>
      <c r="T91" s="1808" t="str">
        <f t="shared" ca="1" si="16"/>
        <v/>
      </c>
      <c r="U91" s="1808" t="str">
        <f t="shared" ca="1" si="16"/>
        <v/>
      </c>
      <c r="V91" s="1808">
        <f t="shared" ca="1" si="14"/>
        <v>1</v>
      </c>
    </row>
    <row r="92" spans="2:22">
      <c r="B92">
        <v>91</v>
      </c>
      <c r="C92" s="1808" t="str">
        <f t="shared" ca="1" si="13"/>
        <v/>
      </c>
      <c r="D92" s="1808" t="str">
        <f t="shared" ca="1" si="15"/>
        <v/>
      </c>
      <c r="E92" s="1808" t="str">
        <f t="shared" ca="1" si="15"/>
        <v/>
      </c>
      <c r="F92" s="1808" t="str">
        <f t="shared" ca="1" si="15"/>
        <v/>
      </c>
      <c r="G92" s="1808" t="str">
        <f t="shared" ca="1" si="15"/>
        <v/>
      </c>
      <c r="H92" s="1808" t="str">
        <f t="shared" ca="1" si="15"/>
        <v/>
      </c>
      <c r="I92" s="1808" t="str">
        <f t="shared" ca="1" si="15"/>
        <v/>
      </c>
      <c r="J92" s="1808">
        <f t="shared" ca="1" si="15"/>
        <v>91</v>
      </c>
      <c r="K92" s="1808" t="str">
        <f t="shared" ca="1" si="15"/>
        <v/>
      </c>
      <c r="L92" s="1808" t="str">
        <f t="shared" ca="1" si="15"/>
        <v/>
      </c>
      <c r="M92" s="1808" t="str">
        <f t="shared" ca="1" si="15"/>
        <v/>
      </c>
      <c r="N92" s="1808" t="str">
        <f t="shared" ca="1" si="17"/>
        <v/>
      </c>
      <c r="O92" s="1808" t="str">
        <f t="shared" ca="1" si="17"/>
        <v/>
      </c>
      <c r="P92" s="1808" t="str">
        <f t="shared" ca="1" si="17"/>
        <v/>
      </c>
      <c r="Q92" s="1808" t="str">
        <f t="shared" ca="1" si="17"/>
        <v/>
      </c>
      <c r="R92" s="1808" t="str">
        <f t="shared" ca="1" si="16"/>
        <v/>
      </c>
      <c r="S92" s="1808" t="str">
        <f t="shared" ca="1" si="16"/>
        <v/>
      </c>
      <c r="T92" s="1808" t="str">
        <f t="shared" ca="1" si="16"/>
        <v/>
      </c>
      <c r="U92" s="1808" t="str">
        <f t="shared" ca="1" si="16"/>
        <v/>
      </c>
      <c r="V92" s="1808">
        <f t="shared" ca="1" si="14"/>
        <v>1</v>
      </c>
    </row>
    <row r="93" spans="2:22">
      <c r="B93">
        <v>92</v>
      </c>
      <c r="C93" s="1808" t="str">
        <f t="shared" ca="1" si="13"/>
        <v/>
      </c>
      <c r="D93" s="1808" t="str">
        <f t="shared" ca="1" si="15"/>
        <v/>
      </c>
      <c r="E93" s="1808" t="str">
        <f t="shared" ca="1" si="15"/>
        <v/>
      </c>
      <c r="F93" s="1808" t="str">
        <f t="shared" ca="1" si="15"/>
        <v/>
      </c>
      <c r="G93" s="1808" t="str">
        <f t="shared" ca="1" si="15"/>
        <v/>
      </c>
      <c r="H93" s="1808" t="str">
        <f t="shared" ca="1" si="15"/>
        <v/>
      </c>
      <c r="I93" s="1808" t="str">
        <f t="shared" ca="1" si="15"/>
        <v/>
      </c>
      <c r="J93" s="1808">
        <f t="shared" ca="1" si="15"/>
        <v>92</v>
      </c>
      <c r="K93" s="1808" t="str">
        <f t="shared" ca="1" si="15"/>
        <v/>
      </c>
      <c r="L93" s="1808" t="str">
        <f t="shared" ca="1" si="15"/>
        <v/>
      </c>
      <c r="M93" s="1808" t="str">
        <f t="shared" ca="1" si="15"/>
        <v/>
      </c>
      <c r="N93" s="1808" t="str">
        <f t="shared" ca="1" si="17"/>
        <v/>
      </c>
      <c r="O93" s="1808" t="str">
        <f t="shared" ca="1" si="17"/>
        <v/>
      </c>
      <c r="P93" s="1808" t="str">
        <f t="shared" ca="1" si="17"/>
        <v/>
      </c>
      <c r="Q93" s="1808" t="str">
        <f t="shared" ca="1" si="17"/>
        <v/>
      </c>
      <c r="R93" s="1808" t="str">
        <f t="shared" ca="1" si="16"/>
        <v/>
      </c>
      <c r="S93" s="1808" t="str">
        <f t="shared" ca="1" si="16"/>
        <v/>
      </c>
      <c r="T93" s="1808" t="str">
        <f t="shared" ca="1" si="16"/>
        <v/>
      </c>
      <c r="U93" s="1808" t="str">
        <f t="shared" ca="1" si="16"/>
        <v/>
      </c>
      <c r="V93" s="1808">
        <f t="shared" ca="1" si="14"/>
        <v>1</v>
      </c>
    </row>
    <row r="94" spans="2:22">
      <c r="B94">
        <v>93</v>
      </c>
      <c r="C94" s="1808" t="str">
        <f t="shared" ca="1" si="13"/>
        <v/>
      </c>
      <c r="D94" s="1808" t="str">
        <f t="shared" ca="1" si="15"/>
        <v/>
      </c>
      <c r="E94" s="1808">
        <f t="shared" ca="1" si="15"/>
        <v>93</v>
      </c>
      <c r="F94" s="1808" t="str">
        <f t="shared" ca="1" si="15"/>
        <v/>
      </c>
      <c r="G94" s="1808" t="str">
        <f t="shared" ca="1" si="15"/>
        <v/>
      </c>
      <c r="H94" s="1808" t="str">
        <f t="shared" ca="1" si="15"/>
        <v/>
      </c>
      <c r="I94" s="1808" t="str">
        <f t="shared" ca="1" si="15"/>
        <v/>
      </c>
      <c r="J94" s="1808" t="str">
        <f t="shared" ca="1" si="15"/>
        <v/>
      </c>
      <c r="K94" s="1808" t="str">
        <f t="shared" ca="1" si="15"/>
        <v/>
      </c>
      <c r="L94" s="1808" t="str">
        <f t="shared" ca="1" si="15"/>
        <v/>
      </c>
      <c r="M94" s="1808" t="str">
        <f t="shared" ca="1" si="15"/>
        <v/>
      </c>
      <c r="N94" s="1808" t="str">
        <f t="shared" ca="1" si="17"/>
        <v/>
      </c>
      <c r="O94" s="1808" t="str">
        <f t="shared" ca="1" si="17"/>
        <v/>
      </c>
      <c r="P94" s="1808" t="str">
        <f t="shared" ca="1" si="17"/>
        <v/>
      </c>
      <c r="Q94" s="1808" t="str">
        <f t="shared" ca="1" si="17"/>
        <v/>
      </c>
      <c r="R94" s="1808" t="str">
        <f t="shared" ca="1" si="16"/>
        <v/>
      </c>
      <c r="S94" s="1808" t="str">
        <f t="shared" ca="1" si="16"/>
        <v/>
      </c>
      <c r="T94" s="1808" t="str">
        <f t="shared" ca="1" si="16"/>
        <v/>
      </c>
      <c r="U94" s="1808" t="str">
        <f t="shared" ca="1" si="16"/>
        <v/>
      </c>
      <c r="V94" s="1808">
        <f t="shared" ca="1" si="14"/>
        <v>1</v>
      </c>
    </row>
    <row r="95" spans="2:22">
      <c r="B95">
        <v>94</v>
      </c>
      <c r="C95" s="1808" t="str">
        <f t="shared" ca="1" si="13"/>
        <v/>
      </c>
      <c r="D95" s="1808" t="str">
        <f t="shared" ca="1" si="15"/>
        <v/>
      </c>
      <c r="E95" s="1808" t="str">
        <f t="shared" ca="1" si="15"/>
        <v/>
      </c>
      <c r="F95" s="1808" t="str">
        <f t="shared" ca="1" si="15"/>
        <v/>
      </c>
      <c r="G95" s="1808" t="str">
        <f t="shared" ca="1" si="15"/>
        <v/>
      </c>
      <c r="H95" s="1808" t="str">
        <f t="shared" ca="1" si="15"/>
        <v/>
      </c>
      <c r="I95" s="1808" t="str">
        <f t="shared" ca="1" si="15"/>
        <v/>
      </c>
      <c r="J95" s="1808" t="str">
        <f t="shared" ca="1" si="15"/>
        <v/>
      </c>
      <c r="K95" s="1808" t="str">
        <f t="shared" ca="1" si="15"/>
        <v/>
      </c>
      <c r="L95" s="1808" t="str">
        <f t="shared" ca="1" si="15"/>
        <v/>
      </c>
      <c r="M95" s="1808" t="str">
        <f t="shared" ca="1" si="15"/>
        <v/>
      </c>
      <c r="N95" s="1808" t="str">
        <f t="shared" ca="1" si="17"/>
        <v/>
      </c>
      <c r="O95" s="1808" t="str">
        <f t="shared" ca="1" si="17"/>
        <v/>
      </c>
      <c r="P95" s="1808">
        <f t="shared" ca="1" si="17"/>
        <v>94</v>
      </c>
      <c r="Q95" s="1808" t="str">
        <f t="shared" ca="1" si="17"/>
        <v/>
      </c>
      <c r="R95" s="1808" t="str">
        <f t="shared" ca="1" si="16"/>
        <v/>
      </c>
      <c r="S95" s="1808" t="str">
        <f t="shared" ca="1" si="16"/>
        <v/>
      </c>
      <c r="T95" s="1808" t="str">
        <f t="shared" ca="1" si="16"/>
        <v/>
      </c>
      <c r="U95" s="1808" t="str">
        <f t="shared" ca="1" si="16"/>
        <v/>
      </c>
      <c r="V95" s="1808">
        <f t="shared" ca="1" si="14"/>
        <v>1</v>
      </c>
    </row>
    <row r="96" spans="2:22">
      <c r="B96">
        <v>95</v>
      </c>
      <c r="C96" s="1808" t="str">
        <f t="shared" ca="1" si="13"/>
        <v/>
      </c>
      <c r="D96" s="1808" t="str">
        <f t="shared" ca="1" si="15"/>
        <v/>
      </c>
      <c r="E96" s="1808" t="str">
        <f t="shared" ca="1" si="15"/>
        <v/>
      </c>
      <c r="F96" s="1808" t="str">
        <f t="shared" ca="1" si="15"/>
        <v/>
      </c>
      <c r="G96" s="1808" t="str">
        <f t="shared" ca="1" si="15"/>
        <v/>
      </c>
      <c r="H96" s="1808" t="str">
        <f t="shared" ca="1" si="15"/>
        <v/>
      </c>
      <c r="I96" s="1808" t="str">
        <f t="shared" ca="1" si="15"/>
        <v/>
      </c>
      <c r="J96" s="1808" t="str">
        <f t="shared" ca="1" si="15"/>
        <v/>
      </c>
      <c r="K96" s="1808" t="str">
        <f t="shared" ca="1" si="15"/>
        <v/>
      </c>
      <c r="L96" s="1808" t="str">
        <f t="shared" ca="1" si="15"/>
        <v/>
      </c>
      <c r="M96" s="1808" t="str">
        <f t="shared" ca="1" si="15"/>
        <v/>
      </c>
      <c r="N96" s="1808" t="str">
        <f t="shared" ca="1" si="17"/>
        <v/>
      </c>
      <c r="O96" s="1808" t="str">
        <f t="shared" ca="1" si="17"/>
        <v/>
      </c>
      <c r="P96" s="1808">
        <f t="shared" ca="1" si="17"/>
        <v>95</v>
      </c>
      <c r="Q96" s="1808" t="str">
        <f t="shared" ca="1" si="17"/>
        <v/>
      </c>
      <c r="R96" s="1808" t="str">
        <f t="shared" ca="1" si="16"/>
        <v/>
      </c>
      <c r="S96" s="1808" t="str">
        <f t="shared" ca="1" si="16"/>
        <v/>
      </c>
      <c r="T96" s="1808" t="str">
        <f t="shared" ca="1" si="16"/>
        <v/>
      </c>
      <c r="U96" s="1808" t="str">
        <f t="shared" ca="1" si="16"/>
        <v/>
      </c>
      <c r="V96" s="1808">
        <f t="shared" ca="1" si="14"/>
        <v>1</v>
      </c>
    </row>
    <row r="97" spans="2:22">
      <c r="B97">
        <v>96</v>
      </c>
      <c r="C97" s="1808" t="str">
        <f t="shared" ca="1" si="13"/>
        <v/>
      </c>
      <c r="D97" s="1808" t="str">
        <f t="shared" ref="D97:Q112" ca="1" si="18">IFERROR(VLOOKUP($B97,INDIRECT(D$1&amp;"!"&amp;"A:A"),1,0),"")</f>
        <v/>
      </c>
      <c r="E97" s="1808">
        <f t="shared" ca="1" si="18"/>
        <v>96</v>
      </c>
      <c r="F97" s="1808" t="str">
        <f t="shared" ca="1" si="18"/>
        <v/>
      </c>
      <c r="G97" s="1808" t="str">
        <f t="shared" ca="1" si="18"/>
        <v/>
      </c>
      <c r="H97" s="1808" t="str">
        <f t="shared" ca="1" si="18"/>
        <v/>
      </c>
      <c r="I97" s="1808" t="str">
        <f t="shared" ca="1" si="18"/>
        <v/>
      </c>
      <c r="J97" s="1808" t="str">
        <f t="shared" ca="1" si="18"/>
        <v/>
      </c>
      <c r="K97" s="1808" t="str">
        <f t="shared" ca="1" si="18"/>
        <v/>
      </c>
      <c r="L97" s="1808" t="str">
        <f t="shared" ca="1" si="18"/>
        <v/>
      </c>
      <c r="M97" s="1808" t="str">
        <f t="shared" ca="1" si="18"/>
        <v/>
      </c>
      <c r="N97" s="1808" t="str">
        <f t="shared" ca="1" si="18"/>
        <v/>
      </c>
      <c r="O97" s="1808" t="str">
        <f t="shared" ca="1" si="18"/>
        <v/>
      </c>
      <c r="P97" s="1808" t="str">
        <f t="shared" ca="1" si="18"/>
        <v/>
      </c>
      <c r="Q97" s="1808" t="str">
        <f t="shared" ca="1" si="18"/>
        <v/>
      </c>
      <c r="R97" s="1808" t="str">
        <f t="shared" ca="1" si="16"/>
        <v/>
      </c>
      <c r="S97" s="1808" t="str">
        <f t="shared" ca="1" si="16"/>
        <v/>
      </c>
      <c r="T97" s="1808" t="str">
        <f t="shared" ca="1" si="16"/>
        <v/>
      </c>
      <c r="U97" s="1808" t="str">
        <f t="shared" ca="1" si="16"/>
        <v/>
      </c>
      <c r="V97" s="1808">
        <f t="shared" ca="1" si="14"/>
        <v>1</v>
      </c>
    </row>
    <row r="98" spans="2:22">
      <c r="B98">
        <v>97</v>
      </c>
      <c r="C98" s="1808" t="str">
        <f t="shared" ca="1" si="13"/>
        <v/>
      </c>
      <c r="D98" s="1808" t="str">
        <f t="shared" ca="1" si="18"/>
        <v/>
      </c>
      <c r="E98" s="1808">
        <f t="shared" ca="1" si="18"/>
        <v>97</v>
      </c>
      <c r="F98" s="1808" t="str">
        <f t="shared" ca="1" si="18"/>
        <v/>
      </c>
      <c r="G98" s="1808" t="str">
        <f t="shared" ca="1" si="18"/>
        <v/>
      </c>
      <c r="H98" s="1808" t="str">
        <f t="shared" ca="1" si="18"/>
        <v/>
      </c>
      <c r="I98" s="1808" t="str">
        <f t="shared" ca="1" si="18"/>
        <v/>
      </c>
      <c r="J98" s="1808" t="str">
        <f t="shared" ca="1" si="18"/>
        <v/>
      </c>
      <c r="K98" s="1808" t="str">
        <f t="shared" ca="1" si="18"/>
        <v/>
      </c>
      <c r="L98" s="1808" t="str">
        <f t="shared" ca="1" si="18"/>
        <v/>
      </c>
      <c r="M98" s="1808" t="str">
        <f t="shared" ca="1" si="18"/>
        <v/>
      </c>
      <c r="N98" s="1808" t="str">
        <f t="shared" ref="N98:Q112" ca="1" si="19">IFERROR(VLOOKUP($B98,INDIRECT(N$1&amp;"!"&amp;"A:A"),1,0),"")</f>
        <v/>
      </c>
      <c r="O98" s="1808" t="str">
        <f t="shared" ca="1" si="19"/>
        <v/>
      </c>
      <c r="P98" s="1808" t="str">
        <f t="shared" ca="1" si="19"/>
        <v/>
      </c>
      <c r="Q98" s="1808" t="str">
        <f t="shared" ca="1" si="19"/>
        <v/>
      </c>
      <c r="R98" s="1808" t="str">
        <f t="shared" ca="1" si="16"/>
        <v/>
      </c>
      <c r="S98" s="1808" t="str">
        <f t="shared" ca="1" si="16"/>
        <v/>
      </c>
      <c r="T98" s="1808" t="str">
        <f t="shared" ca="1" si="16"/>
        <v/>
      </c>
      <c r="U98" s="1808" t="str">
        <f t="shared" ca="1" si="16"/>
        <v/>
      </c>
      <c r="V98" s="1808">
        <f t="shared" ca="1" si="14"/>
        <v>1</v>
      </c>
    </row>
    <row r="99" spans="2:22">
      <c r="B99">
        <v>98</v>
      </c>
      <c r="C99" s="1808" t="str">
        <f t="shared" ca="1" si="13"/>
        <v/>
      </c>
      <c r="D99" s="1808" t="str">
        <f t="shared" ca="1" si="18"/>
        <v/>
      </c>
      <c r="E99" s="1808">
        <f t="shared" ca="1" si="18"/>
        <v>98</v>
      </c>
      <c r="F99" s="1808" t="str">
        <f t="shared" ca="1" si="18"/>
        <v/>
      </c>
      <c r="G99" s="1808" t="str">
        <f t="shared" ca="1" si="18"/>
        <v/>
      </c>
      <c r="H99" s="1808" t="str">
        <f t="shared" ca="1" si="18"/>
        <v/>
      </c>
      <c r="I99" s="1808" t="str">
        <f t="shared" ca="1" si="18"/>
        <v/>
      </c>
      <c r="J99" s="1808" t="str">
        <f t="shared" ca="1" si="18"/>
        <v/>
      </c>
      <c r="K99" s="1808" t="str">
        <f t="shared" ca="1" si="18"/>
        <v/>
      </c>
      <c r="L99" s="1808" t="str">
        <f t="shared" ca="1" si="18"/>
        <v/>
      </c>
      <c r="M99" s="1808" t="str">
        <f t="shared" ca="1" si="18"/>
        <v/>
      </c>
      <c r="N99" s="1808" t="str">
        <f t="shared" ca="1" si="19"/>
        <v/>
      </c>
      <c r="O99" s="1808" t="str">
        <f t="shared" ca="1" si="19"/>
        <v/>
      </c>
      <c r="P99" s="1808" t="str">
        <f t="shared" ca="1" si="19"/>
        <v/>
      </c>
      <c r="Q99" s="1808" t="str">
        <f t="shared" ca="1" si="19"/>
        <v/>
      </c>
      <c r="R99" s="1808" t="str">
        <f t="shared" ca="1" si="16"/>
        <v/>
      </c>
      <c r="S99" s="1808" t="str">
        <f t="shared" ca="1" si="16"/>
        <v/>
      </c>
      <c r="T99" s="1808" t="str">
        <f t="shared" ca="1" si="16"/>
        <v/>
      </c>
      <c r="U99" s="1808" t="str">
        <f t="shared" ca="1" si="16"/>
        <v/>
      </c>
      <c r="V99" s="1808">
        <f t="shared" ca="1" si="14"/>
        <v>1</v>
      </c>
    </row>
    <row r="100" spans="2:22">
      <c r="B100">
        <v>99</v>
      </c>
      <c r="C100" s="1808" t="str">
        <f t="shared" ca="1" si="13"/>
        <v/>
      </c>
      <c r="D100" s="1808" t="str">
        <f t="shared" ca="1" si="18"/>
        <v/>
      </c>
      <c r="E100" s="1808">
        <f t="shared" ca="1" si="18"/>
        <v>99</v>
      </c>
      <c r="F100" s="1808" t="str">
        <f t="shared" ca="1" si="18"/>
        <v/>
      </c>
      <c r="G100" s="1808" t="str">
        <f t="shared" ca="1" si="18"/>
        <v/>
      </c>
      <c r="H100" s="1808" t="str">
        <f t="shared" ca="1" si="18"/>
        <v/>
      </c>
      <c r="I100" s="1808" t="str">
        <f t="shared" ca="1" si="18"/>
        <v/>
      </c>
      <c r="J100" s="1808" t="str">
        <f t="shared" ca="1" si="18"/>
        <v/>
      </c>
      <c r="K100" s="1808" t="str">
        <f t="shared" ca="1" si="18"/>
        <v/>
      </c>
      <c r="L100" s="1808" t="str">
        <f t="shared" ca="1" si="18"/>
        <v/>
      </c>
      <c r="M100" s="1808" t="str">
        <f t="shared" ca="1" si="18"/>
        <v/>
      </c>
      <c r="N100" s="1808" t="str">
        <f t="shared" ca="1" si="19"/>
        <v/>
      </c>
      <c r="O100" s="1808" t="str">
        <f t="shared" ca="1" si="19"/>
        <v/>
      </c>
      <c r="P100" s="1808" t="str">
        <f t="shared" ca="1" si="19"/>
        <v/>
      </c>
      <c r="Q100" s="1808" t="str">
        <f t="shared" ca="1" si="19"/>
        <v/>
      </c>
      <c r="R100" s="1808" t="str">
        <f t="shared" ca="1" si="16"/>
        <v/>
      </c>
      <c r="S100" s="1808" t="str">
        <f t="shared" ca="1" si="16"/>
        <v/>
      </c>
      <c r="T100" s="1808" t="str">
        <f t="shared" ca="1" si="16"/>
        <v/>
      </c>
      <c r="U100" s="1808" t="str">
        <f t="shared" ca="1" si="16"/>
        <v/>
      </c>
      <c r="V100" s="1808">
        <f t="shared" ca="1" si="14"/>
        <v>1</v>
      </c>
    </row>
    <row r="101" spans="2:22">
      <c r="B101">
        <v>100</v>
      </c>
      <c r="C101" s="1808" t="str">
        <f t="shared" ca="1" si="13"/>
        <v/>
      </c>
      <c r="D101" s="1808" t="str">
        <f t="shared" ca="1" si="18"/>
        <v/>
      </c>
      <c r="E101" s="1808">
        <f t="shared" ca="1" si="18"/>
        <v>100</v>
      </c>
      <c r="F101" s="1808" t="str">
        <f t="shared" ca="1" si="18"/>
        <v/>
      </c>
      <c r="G101" s="1808" t="str">
        <f t="shared" ca="1" si="18"/>
        <v/>
      </c>
      <c r="H101" s="1808" t="str">
        <f t="shared" ca="1" si="18"/>
        <v/>
      </c>
      <c r="I101" s="1808" t="str">
        <f t="shared" ca="1" si="18"/>
        <v/>
      </c>
      <c r="J101" s="1808" t="str">
        <f t="shared" ca="1" si="18"/>
        <v/>
      </c>
      <c r="K101" s="1808" t="str">
        <f t="shared" ca="1" si="18"/>
        <v/>
      </c>
      <c r="L101" s="1808" t="str">
        <f t="shared" ca="1" si="18"/>
        <v/>
      </c>
      <c r="M101" s="1808" t="str">
        <f t="shared" ca="1" si="18"/>
        <v/>
      </c>
      <c r="N101" s="1808" t="str">
        <f t="shared" ca="1" si="19"/>
        <v/>
      </c>
      <c r="O101" s="1808" t="str">
        <f t="shared" ca="1" si="19"/>
        <v/>
      </c>
      <c r="P101" s="1808" t="str">
        <f t="shared" ca="1" si="19"/>
        <v/>
      </c>
      <c r="Q101" s="1808" t="str">
        <f t="shared" ca="1" si="19"/>
        <v/>
      </c>
      <c r="R101" s="1808" t="str">
        <f t="shared" ca="1" si="16"/>
        <v/>
      </c>
      <c r="S101" s="1808" t="str">
        <f t="shared" ca="1" si="16"/>
        <v/>
      </c>
      <c r="T101" s="1808" t="str">
        <f t="shared" ca="1" si="16"/>
        <v/>
      </c>
      <c r="U101" s="1808" t="str">
        <f t="shared" ca="1" si="16"/>
        <v/>
      </c>
      <c r="V101" s="1808">
        <f t="shared" ca="1" si="14"/>
        <v>1</v>
      </c>
    </row>
    <row r="102" spans="2:22">
      <c r="B102">
        <v>101</v>
      </c>
      <c r="C102" s="1808" t="str">
        <f t="shared" ca="1" si="13"/>
        <v/>
      </c>
      <c r="D102" s="1808" t="str">
        <f t="shared" ca="1" si="18"/>
        <v/>
      </c>
      <c r="E102" s="1808" t="str">
        <f t="shared" ca="1" si="18"/>
        <v/>
      </c>
      <c r="F102" s="1808" t="str">
        <f t="shared" ca="1" si="18"/>
        <v/>
      </c>
      <c r="G102" s="1808" t="str">
        <f t="shared" ca="1" si="18"/>
        <v/>
      </c>
      <c r="H102" s="1808" t="str">
        <f t="shared" ca="1" si="18"/>
        <v/>
      </c>
      <c r="I102" s="1808" t="str">
        <f t="shared" ca="1" si="18"/>
        <v/>
      </c>
      <c r="J102" s="1808" t="str">
        <f t="shared" ca="1" si="18"/>
        <v/>
      </c>
      <c r="K102" s="1808" t="str">
        <f t="shared" ca="1" si="18"/>
        <v/>
      </c>
      <c r="L102" s="1808" t="str">
        <f t="shared" ca="1" si="18"/>
        <v/>
      </c>
      <c r="M102" s="1808">
        <f t="shared" ca="1" si="18"/>
        <v>101</v>
      </c>
      <c r="N102" s="1808" t="str">
        <f t="shared" ca="1" si="19"/>
        <v/>
      </c>
      <c r="O102" s="1808" t="str">
        <f t="shared" ca="1" si="19"/>
        <v/>
      </c>
      <c r="P102" s="1808" t="str">
        <f t="shared" ca="1" si="19"/>
        <v/>
      </c>
      <c r="Q102" s="1808" t="str">
        <f t="shared" ca="1" si="19"/>
        <v/>
      </c>
      <c r="R102" s="1808" t="str">
        <f t="shared" ca="1" si="16"/>
        <v/>
      </c>
      <c r="S102" s="1808" t="str">
        <f t="shared" ca="1" si="16"/>
        <v/>
      </c>
      <c r="T102" s="1808" t="str">
        <f t="shared" ca="1" si="16"/>
        <v/>
      </c>
      <c r="U102" s="1808" t="str">
        <f t="shared" ca="1" si="16"/>
        <v/>
      </c>
      <c r="V102" s="1808">
        <f t="shared" ca="1" si="14"/>
        <v>1</v>
      </c>
    </row>
    <row r="103" spans="2:22">
      <c r="B103">
        <v>102</v>
      </c>
      <c r="C103" s="1808" t="str">
        <f t="shared" ca="1" si="13"/>
        <v/>
      </c>
      <c r="D103" s="1808" t="str">
        <f t="shared" ca="1" si="18"/>
        <v/>
      </c>
      <c r="E103" s="1808" t="str">
        <f t="shared" ca="1" si="18"/>
        <v/>
      </c>
      <c r="F103" s="1808" t="str">
        <f t="shared" ca="1" si="18"/>
        <v/>
      </c>
      <c r="G103" s="1808" t="str">
        <f t="shared" ca="1" si="18"/>
        <v/>
      </c>
      <c r="H103" s="1808" t="str">
        <f t="shared" ca="1" si="18"/>
        <v/>
      </c>
      <c r="I103" s="1808" t="str">
        <f t="shared" ca="1" si="18"/>
        <v/>
      </c>
      <c r="J103" s="1808" t="str">
        <f t="shared" ca="1" si="18"/>
        <v/>
      </c>
      <c r="K103" s="1808" t="str">
        <f t="shared" ca="1" si="18"/>
        <v/>
      </c>
      <c r="L103" s="1808" t="str">
        <f t="shared" ca="1" si="18"/>
        <v/>
      </c>
      <c r="M103" s="1808" t="str">
        <f t="shared" ca="1" si="18"/>
        <v/>
      </c>
      <c r="N103" s="1808" t="str">
        <f t="shared" ca="1" si="19"/>
        <v/>
      </c>
      <c r="O103" s="1808">
        <f t="shared" ca="1" si="19"/>
        <v>102</v>
      </c>
      <c r="P103" s="1808" t="str">
        <f t="shared" ca="1" si="19"/>
        <v/>
      </c>
      <c r="Q103" s="1808" t="str">
        <f t="shared" ca="1" si="19"/>
        <v/>
      </c>
      <c r="R103" s="1808" t="str">
        <f t="shared" ca="1" si="16"/>
        <v/>
      </c>
      <c r="S103" s="1808" t="str">
        <f t="shared" ca="1" si="16"/>
        <v/>
      </c>
      <c r="T103" s="1808" t="str">
        <f t="shared" ca="1" si="16"/>
        <v/>
      </c>
      <c r="U103" s="1808" t="str">
        <f t="shared" ca="1" si="16"/>
        <v/>
      </c>
      <c r="V103" s="1808">
        <f t="shared" ca="1" si="14"/>
        <v>1</v>
      </c>
    </row>
    <row r="104" spans="2:22">
      <c r="B104">
        <v>103</v>
      </c>
      <c r="C104" s="1808" t="str">
        <f t="shared" ca="1" si="13"/>
        <v/>
      </c>
      <c r="D104" s="1808" t="str">
        <f t="shared" ca="1" si="18"/>
        <v/>
      </c>
      <c r="E104" s="1808" t="str">
        <f t="shared" ca="1" si="18"/>
        <v/>
      </c>
      <c r="F104" s="1808" t="str">
        <f t="shared" ca="1" si="18"/>
        <v/>
      </c>
      <c r="G104" s="1808" t="str">
        <f t="shared" ca="1" si="18"/>
        <v/>
      </c>
      <c r="H104" s="1808" t="str">
        <f t="shared" ca="1" si="18"/>
        <v/>
      </c>
      <c r="I104" s="1808" t="str">
        <f t="shared" ca="1" si="18"/>
        <v/>
      </c>
      <c r="J104" s="1808" t="str">
        <f t="shared" ca="1" si="18"/>
        <v/>
      </c>
      <c r="K104" s="1808" t="str">
        <f t="shared" ca="1" si="18"/>
        <v/>
      </c>
      <c r="L104" s="1808" t="str">
        <f t="shared" ca="1" si="18"/>
        <v/>
      </c>
      <c r="M104" s="1808" t="str">
        <f t="shared" ca="1" si="18"/>
        <v/>
      </c>
      <c r="N104" s="1808" t="str">
        <f t="shared" ca="1" si="19"/>
        <v/>
      </c>
      <c r="O104" s="1808">
        <f t="shared" ca="1" si="19"/>
        <v>103</v>
      </c>
      <c r="P104" s="1808" t="str">
        <f t="shared" ca="1" si="19"/>
        <v/>
      </c>
      <c r="Q104" s="1808" t="str">
        <f t="shared" ca="1" si="19"/>
        <v/>
      </c>
      <c r="R104" s="1808" t="str">
        <f t="shared" ca="1" si="16"/>
        <v/>
      </c>
      <c r="S104" s="1808" t="str">
        <f t="shared" ca="1" si="16"/>
        <v/>
      </c>
      <c r="T104" s="1808" t="str">
        <f t="shared" ca="1" si="16"/>
        <v/>
      </c>
      <c r="U104" s="1808" t="str">
        <f t="shared" ca="1" si="16"/>
        <v/>
      </c>
      <c r="V104" s="1808">
        <f t="shared" ca="1" si="14"/>
        <v>1</v>
      </c>
    </row>
    <row r="105" spans="2:22">
      <c r="B105">
        <v>104</v>
      </c>
      <c r="C105" s="1808" t="str">
        <f t="shared" ca="1" si="13"/>
        <v/>
      </c>
      <c r="D105" s="1808" t="str">
        <f t="shared" ca="1" si="18"/>
        <v/>
      </c>
      <c r="E105" s="1808" t="str">
        <f t="shared" ca="1" si="18"/>
        <v/>
      </c>
      <c r="F105" s="1808" t="str">
        <f t="shared" ca="1" si="18"/>
        <v/>
      </c>
      <c r="G105" s="1808" t="str">
        <f t="shared" ca="1" si="18"/>
        <v/>
      </c>
      <c r="H105" s="1808" t="str">
        <f t="shared" ca="1" si="18"/>
        <v/>
      </c>
      <c r="I105" s="1808" t="str">
        <f t="shared" ca="1" si="18"/>
        <v/>
      </c>
      <c r="J105" s="1808" t="str">
        <f t="shared" ca="1" si="18"/>
        <v/>
      </c>
      <c r="K105" s="1808" t="str">
        <f t="shared" ca="1" si="18"/>
        <v/>
      </c>
      <c r="L105" s="1808" t="str">
        <f t="shared" ca="1" si="18"/>
        <v/>
      </c>
      <c r="M105" s="1808" t="str">
        <f t="shared" ca="1" si="18"/>
        <v/>
      </c>
      <c r="N105" s="1808" t="str">
        <f t="shared" ca="1" si="19"/>
        <v/>
      </c>
      <c r="O105" s="1808">
        <f t="shared" ca="1" si="19"/>
        <v>104</v>
      </c>
      <c r="P105" s="1808" t="str">
        <f t="shared" ca="1" si="19"/>
        <v/>
      </c>
      <c r="Q105" s="1808" t="str">
        <f t="shared" ca="1" si="19"/>
        <v/>
      </c>
      <c r="R105" s="1808" t="str">
        <f t="shared" ca="1" si="16"/>
        <v/>
      </c>
      <c r="S105" s="1808" t="str">
        <f t="shared" ca="1" si="16"/>
        <v/>
      </c>
      <c r="T105" s="1808" t="str">
        <f t="shared" ca="1" si="16"/>
        <v/>
      </c>
      <c r="U105" s="1808" t="str">
        <f t="shared" ca="1" si="16"/>
        <v/>
      </c>
      <c r="V105" s="1808">
        <f t="shared" ca="1" si="14"/>
        <v>1</v>
      </c>
    </row>
    <row r="106" spans="2:22">
      <c r="B106">
        <v>105</v>
      </c>
      <c r="C106" s="1808" t="str">
        <f t="shared" ca="1" si="13"/>
        <v/>
      </c>
      <c r="D106" s="1808" t="str">
        <f t="shared" ca="1" si="18"/>
        <v/>
      </c>
      <c r="E106" s="1808" t="str">
        <f t="shared" ca="1" si="18"/>
        <v/>
      </c>
      <c r="F106" s="1808" t="str">
        <f t="shared" ca="1" si="18"/>
        <v/>
      </c>
      <c r="G106" s="1808" t="str">
        <f t="shared" ca="1" si="18"/>
        <v/>
      </c>
      <c r="H106" s="1808" t="str">
        <f t="shared" ca="1" si="18"/>
        <v/>
      </c>
      <c r="I106" s="1808" t="str">
        <f t="shared" ca="1" si="18"/>
        <v/>
      </c>
      <c r="J106" s="1808" t="str">
        <f t="shared" ca="1" si="18"/>
        <v/>
      </c>
      <c r="K106" s="1808" t="str">
        <f t="shared" ca="1" si="18"/>
        <v/>
      </c>
      <c r="L106" s="1808" t="str">
        <f t="shared" ca="1" si="18"/>
        <v/>
      </c>
      <c r="M106" s="1808" t="str">
        <f t="shared" ca="1" si="18"/>
        <v/>
      </c>
      <c r="N106" s="1808" t="str">
        <f t="shared" ca="1" si="19"/>
        <v/>
      </c>
      <c r="O106" s="1808">
        <f t="shared" ca="1" si="19"/>
        <v>105</v>
      </c>
      <c r="P106" s="1808" t="str">
        <f t="shared" ca="1" si="19"/>
        <v/>
      </c>
      <c r="Q106" s="1808" t="str">
        <f t="shared" ca="1" si="19"/>
        <v/>
      </c>
      <c r="R106" s="1808" t="str">
        <f t="shared" ca="1" si="16"/>
        <v/>
      </c>
      <c r="S106" s="1808" t="str">
        <f t="shared" ca="1" si="16"/>
        <v/>
      </c>
      <c r="T106" s="1808" t="str">
        <f t="shared" ca="1" si="16"/>
        <v/>
      </c>
      <c r="U106" s="1808" t="str">
        <f t="shared" ca="1" si="16"/>
        <v/>
      </c>
      <c r="V106" s="1808">
        <f t="shared" ca="1" si="14"/>
        <v>1</v>
      </c>
    </row>
    <row r="107" spans="2:22">
      <c r="B107">
        <v>106</v>
      </c>
      <c r="C107" s="1808" t="str">
        <f t="shared" ca="1" si="13"/>
        <v/>
      </c>
      <c r="D107" s="1808" t="str">
        <f t="shared" ca="1" si="18"/>
        <v/>
      </c>
      <c r="E107" s="1808">
        <f t="shared" ca="1" si="18"/>
        <v>106</v>
      </c>
      <c r="F107" s="1808" t="str">
        <f t="shared" ca="1" si="18"/>
        <v/>
      </c>
      <c r="G107" s="1808" t="str">
        <f t="shared" ca="1" si="18"/>
        <v/>
      </c>
      <c r="H107" s="1808" t="str">
        <f t="shared" ca="1" si="18"/>
        <v/>
      </c>
      <c r="I107" s="1808" t="str">
        <f t="shared" ca="1" si="18"/>
        <v/>
      </c>
      <c r="J107" s="1808" t="str">
        <f t="shared" ca="1" si="18"/>
        <v/>
      </c>
      <c r="K107" s="1808" t="str">
        <f t="shared" ca="1" si="18"/>
        <v/>
      </c>
      <c r="L107" s="1808" t="str">
        <f t="shared" ca="1" si="18"/>
        <v/>
      </c>
      <c r="M107" s="1808" t="str">
        <f t="shared" ca="1" si="18"/>
        <v/>
      </c>
      <c r="N107" s="1808" t="str">
        <f t="shared" ca="1" si="19"/>
        <v/>
      </c>
      <c r="O107" s="1808" t="str">
        <f t="shared" ca="1" si="19"/>
        <v/>
      </c>
      <c r="P107" s="1808" t="str">
        <f t="shared" ca="1" si="19"/>
        <v/>
      </c>
      <c r="Q107" s="1808" t="str">
        <f t="shared" ca="1" si="19"/>
        <v/>
      </c>
      <c r="R107" s="1808" t="str">
        <f t="shared" ca="1" si="16"/>
        <v/>
      </c>
      <c r="S107" s="1808" t="str">
        <f t="shared" ca="1" si="16"/>
        <v/>
      </c>
      <c r="T107" s="1808" t="str">
        <f t="shared" ca="1" si="16"/>
        <v/>
      </c>
      <c r="U107" s="1808" t="str">
        <f t="shared" ca="1" si="16"/>
        <v/>
      </c>
      <c r="V107" s="1808">
        <f t="shared" ca="1" si="14"/>
        <v>1</v>
      </c>
    </row>
    <row r="108" spans="2:22">
      <c r="B108">
        <v>107</v>
      </c>
      <c r="C108" s="1808" t="str">
        <f t="shared" ca="1" si="13"/>
        <v/>
      </c>
      <c r="D108" s="1808" t="str">
        <f t="shared" ca="1" si="18"/>
        <v/>
      </c>
      <c r="E108" s="1808" t="str">
        <f t="shared" ca="1" si="18"/>
        <v/>
      </c>
      <c r="F108" s="1808" t="str">
        <f t="shared" ca="1" si="18"/>
        <v/>
      </c>
      <c r="G108" s="1808" t="str">
        <f t="shared" ca="1" si="18"/>
        <v/>
      </c>
      <c r="H108" s="1808" t="str">
        <f t="shared" ca="1" si="18"/>
        <v/>
      </c>
      <c r="I108" s="1808" t="str">
        <f t="shared" ca="1" si="18"/>
        <v/>
      </c>
      <c r="J108" s="1808" t="str">
        <f t="shared" ca="1" si="18"/>
        <v/>
      </c>
      <c r="K108" s="1808" t="str">
        <f t="shared" ca="1" si="18"/>
        <v/>
      </c>
      <c r="L108" s="1808" t="str">
        <f t="shared" ca="1" si="18"/>
        <v/>
      </c>
      <c r="M108" s="1808" t="str">
        <f t="shared" ca="1" si="18"/>
        <v/>
      </c>
      <c r="N108" s="1808" t="str">
        <f t="shared" ca="1" si="19"/>
        <v/>
      </c>
      <c r="O108" s="1808" t="str">
        <f t="shared" ca="1" si="19"/>
        <v/>
      </c>
      <c r="P108" s="1808" t="str">
        <f t="shared" ca="1" si="19"/>
        <v/>
      </c>
      <c r="Q108" s="1808">
        <f t="shared" ca="1" si="19"/>
        <v>107</v>
      </c>
      <c r="R108" s="1808" t="str">
        <f t="shared" ca="1" si="16"/>
        <v/>
      </c>
      <c r="S108" s="1808" t="str">
        <f t="shared" ca="1" si="16"/>
        <v/>
      </c>
      <c r="T108" s="1808" t="str">
        <f t="shared" ca="1" si="16"/>
        <v/>
      </c>
      <c r="U108" s="1808" t="str">
        <f t="shared" ca="1" si="16"/>
        <v/>
      </c>
      <c r="V108" s="1808">
        <f t="shared" ca="1" si="14"/>
        <v>1</v>
      </c>
    </row>
    <row r="109" spans="2:22">
      <c r="B109">
        <v>108</v>
      </c>
      <c r="C109" s="1808" t="str">
        <f t="shared" ca="1" si="13"/>
        <v/>
      </c>
      <c r="D109" s="1808" t="str">
        <f t="shared" ca="1" si="18"/>
        <v/>
      </c>
      <c r="E109" s="1808" t="str">
        <f t="shared" ca="1" si="18"/>
        <v/>
      </c>
      <c r="F109" s="1808" t="str">
        <f t="shared" ca="1" si="18"/>
        <v/>
      </c>
      <c r="G109" s="1808" t="str">
        <f t="shared" ca="1" si="18"/>
        <v/>
      </c>
      <c r="H109" s="1808" t="str">
        <f t="shared" ca="1" si="18"/>
        <v/>
      </c>
      <c r="I109" s="1808" t="str">
        <f t="shared" ca="1" si="18"/>
        <v/>
      </c>
      <c r="J109" s="1808" t="str">
        <f t="shared" ca="1" si="18"/>
        <v/>
      </c>
      <c r="K109" s="1808" t="str">
        <f t="shared" ca="1" si="18"/>
        <v/>
      </c>
      <c r="L109" s="1808" t="str">
        <f t="shared" ca="1" si="18"/>
        <v/>
      </c>
      <c r="M109" s="1808" t="str">
        <f t="shared" ca="1" si="18"/>
        <v/>
      </c>
      <c r="N109" s="1808" t="str">
        <f t="shared" ca="1" si="19"/>
        <v/>
      </c>
      <c r="O109" s="1808" t="str">
        <f t="shared" ca="1" si="19"/>
        <v/>
      </c>
      <c r="P109" s="1808" t="str">
        <f t="shared" ca="1" si="19"/>
        <v/>
      </c>
      <c r="Q109" s="1808">
        <f t="shared" ca="1" si="19"/>
        <v>108</v>
      </c>
      <c r="R109" s="1808" t="str">
        <f t="shared" ca="1" si="16"/>
        <v/>
      </c>
      <c r="S109" s="1808" t="str">
        <f t="shared" ca="1" si="16"/>
        <v/>
      </c>
      <c r="T109" s="1808" t="str">
        <f t="shared" ca="1" si="16"/>
        <v/>
      </c>
      <c r="U109" s="1808" t="str">
        <f t="shared" ca="1" si="16"/>
        <v/>
      </c>
      <c r="V109" s="1808">
        <f t="shared" ca="1" si="14"/>
        <v>1</v>
      </c>
    </row>
    <row r="110" spans="2:22">
      <c r="B110">
        <v>109</v>
      </c>
      <c r="C110" s="1808" t="str">
        <f t="shared" ca="1" si="13"/>
        <v/>
      </c>
      <c r="D110" s="1808" t="str">
        <f t="shared" ca="1" si="18"/>
        <v/>
      </c>
      <c r="E110" s="1808" t="str">
        <f t="shared" ca="1" si="18"/>
        <v/>
      </c>
      <c r="F110" s="1808" t="str">
        <f t="shared" ca="1" si="18"/>
        <v/>
      </c>
      <c r="G110" s="1808" t="str">
        <f t="shared" ca="1" si="18"/>
        <v/>
      </c>
      <c r="H110" s="1808" t="str">
        <f t="shared" ca="1" si="18"/>
        <v/>
      </c>
      <c r="I110" s="1808" t="str">
        <f t="shared" ca="1" si="18"/>
        <v/>
      </c>
      <c r="J110" s="1808" t="str">
        <f t="shared" ca="1" si="18"/>
        <v/>
      </c>
      <c r="K110" s="1808" t="str">
        <f t="shared" ca="1" si="18"/>
        <v/>
      </c>
      <c r="L110" s="1808" t="str">
        <f t="shared" ca="1" si="18"/>
        <v/>
      </c>
      <c r="M110" s="1808" t="str">
        <f t="shared" ca="1" si="18"/>
        <v/>
      </c>
      <c r="N110" s="1808" t="str">
        <f t="shared" ca="1" si="19"/>
        <v/>
      </c>
      <c r="O110" s="1808" t="str">
        <f t="shared" ca="1" si="19"/>
        <v/>
      </c>
      <c r="P110" s="1808" t="str">
        <f t="shared" ca="1" si="19"/>
        <v/>
      </c>
      <c r="Q110" s="1808">
        <f t="shared" ca="1" si="19"/>
        <v>109</v>
      </c>
      <c r="R110" s="1808" t="str">
        <f t="shared" ca="1" si="16"/>
        <v/>
      </c>
      <c r="S110" s="1808" t="str">
        <f t="shared" ca="1" si="16"/>
        <v/>
      </c>
      <c r="T110" s="1808" t="str">
        <f t="shared" ca="1" si="16"/>
        <v/>
      </c>
      <c r="U110" s="1808" t="str">
        <f t="shared" ca="1" si="16"/>
        <v/>
      </c>
      <c r="V110" s="1808">
        <f t="shared" ca="1" si="14"/>
        <v>1</v>
      </c>
    </row>
    <row r="111" spans="2:22">
      <c r="B111">
        <v>110</v>
      </c>
      <c r="C111" s="1808" t="str">
        <f t="shared" ca="1" si="13"/>
        <v/>
      </c>
      <c r="D111" s="1808" t="str">
        <f t="shared" ca="1" si="18"/>
        <v/>
      </c>
      <c r="E111" s="1808" t="str">
        <f t="shared" ca="1" si="18"/>
        <v/>
      </c>
      <c r="F111" s="1808" t="str">
        <f t="shared" ca="1" si="18"/>
        <v/>
      </c>
      <c r="G111" s="1808" t="str">
        <f t="shared" ca="1" si="18"/>
        <v/>
      </c>
      <c r="H111" s="1808" t="str">
        <f t="shared" ca="1" si="18"/>
        <v/>
      </c>
      <c r="I111" s="1808" t="str">
        <f t="shared" ca="1" si="18"/>
        <v/>
      </c>
      <c r="J111" s="1808" t="str">
        <f t="shared" ca="1" si="18"/>
        <v/>
      </c>
      <c r="K111" s="1808" t="str">
        <f t="shared" ca="1" si="18"/>
        <v/>
      </c>
      <c r="L111" s="1808" t="str">
        <f t="shared" ca="1" si="18"/>
        <v/>
      </c>
      <c r="M111" s="1808" t="str">
        <f t="shared" ca="1" si="18"/>
        <v/>
      </c>
      <c r="N111" s="1808" t="str">
        <f t="shared" ca="1" si="19"/>
        <v/>
      </c>
      <c r="O111" s="1808" t="str">
        <f t="shared" ca="1" si="19"/>
        <v/>
      </c>
      <c r="P111" s="1808" t="str">
        <f t="shared" ca="1" si="19"/>
        <v/>
      </c>
      <c r="Q111" s="1808">
        <f t="shared" ca="1" si="19"/>
        <v>110</v>
      </c>
      <c r="R111" s="1808" t="str">
        <f t="shared" ca="1" si="16"/>
        <v/>
      </c>
      <c r="S111" s="1808" t="str">
        <f t="shared" ca="1" si="16"/>
        <v/>
      </c>
      <c r="T111" s="1808" t="str">
        <f t="shared" ca="1" si="16"/>
        <v/>
      </c>
      <c r="U111" s="1808" t="str">
        <f t="shared" ca="1" si="16"/>
        <v/>
      </c>
      <c r="V111" s="1808">
        <f t="shared" ca="1" si="14"/>
        <v>1</v>
      </c>
    </row>
    <row r="112" spans="2:22">
      <c r="B112">
        <v>111</v>
      </c>
      <c r="C112" s="1808" t="str">
        <f t="shared" ca="1" si="13"/>
        <v/>
      </c>
      <c r="D112" s="1808" t="str">
        <f t="shared" ca="1" si="18"/>
        <v/>
      </c>
      <c r="E112" s="1808" t="str">
        <f t="shared" ca="1" si="18"/>
        <v/>
      </c>
      <c r="F112" s="1808" t="str">
        <f t="shared" ca="1" si="18"/>
        <v/>
      </c>
      <c r="G112" s="1808" t="str">
        <f t="shared" ca="1" si="18"/>
        <v/>
      </c>
      <c r="H112" s="1808" t="str">
        <f t="shared" ca="1" si="18"/>
        <v/>
      </c>
      <c r="I112" s="1808" t="str">
        <f t="shared" ca="1" si="18"/>
        <v/>
      </c>
      <c r="J112" s="1808" t="str">
        <f t="shared" ca="1" si="18"/>
        <v/>
      </c>
      <c r="K112" s="1808" t="str">
        <f t="shared" ca="1" si="18"/>
        <v/>
      </c>
      <c r="L112" s="1808" t="str">
        <f t="shared" ca="1" si="18"/>
        <v/>
      </c>
      <c r="M112" s="1808" t="str">
        <f t="shared" ca="1" si="18"/>
        <v/>
      </c>
      <c r="N112" s="1808" t="str">
        <f t="shared" ca="1" si="19"/>
        <v/>
      </c>
      <c r="O112" s="1808" t="str">
        <f t="shared" ca="1" si="19"/>
        <v/>
      </c>
      <c r="P112" s="1808" t="str">
        <f t="shared" ca="1" si="19"/>
        <v/>
      </c>
      <c r="Q112" s="1808">
        <f t="shared" ca="1" si="19"/>
        <v>111</v>
      </c>
      <c r="R112" s="1808" t="str">
        <f t="shared" ca="1" si="16"/>
        <v/>
      </c>
      <c r="S112" s="1808" t="str">
        <f t="shared" ca="1" si="16"/>
        <v/>
      </c>
      <c r="T112" s="1808" t="str">
        <f t="shared" ca="1" si="16"/>
        <v/>
      </c>
      <c r="U112" s="1808" t="str">
        <f t="shared" ca="1" si="16"/>
        <v/>
      </c>
      <c r="V112" s="1808">
        <f t="shared" ca="1" si="14"/>
        <v>1</v>
      </c>
    </row>
    <row r="113" spans="2:22">
      <c r="B113">
        <v>112</v>
      </c>
      <c r="C113" s="1808" t="str">
        <f t="shared" ca="1" si="13"/>
        <v/>
      </c>
      <c r="D113" s="1808" t="str">
        <f t="shared" ref="D113:Q128" ca="1" si="20">IFERROR(VLOOKUP($B113,INDIRECT(D$1&amp;"!"&amp;"A:A"),1,0),"")</f>
        <v/>
      </c>
      <c r="E113" s="1808" t="str">
        <f t="shared" ca="1" si="20"/>
        <v/>
      </c>
      <c r="F113" s="1808" t="str">
        <f t="shared" ca="1" si="20"/>
        <v/>
      </c>
      <c r="G113" s="1808" t="str">
        <f t="shared" ca="1" si="20"/>
        <v/>
      </c>
      <c r="H113" s="1808" t="str">
        <f t="shared" ca="1" si="20"/>
        <v/>
      </c>
      <c r="I113" s="1808" t="str">
        <f t="shared" ca="1" si="20"/>
        <v/>
      </c>
      <c r="J113" s="1808" t="str">
        <f t="shared" ca="1" si="20"/>
        <v/>
      </c>
      <c r="K113" s="1808" t="str">
        <f t="shared" ca="1" si="20"/>
        <v/>
      </c>
      <c r="L113" s="1808" t="str">
        <f t="shared" ca="1" si="20"/>
        <v/>
      </c>
      <c r="M113" s="1808" t="str">
        <f t="shared" ca="1" si="20"/>
        <v/>
      </c>
      <c r="N113" s="1808" t="str">
        <f t="shared" ca="1" si="20"/>
        <v/>
      </c>
      <c r="O113" s="1808" t="str">
        <f t="shared" ca="1" si="20"/>
        <v/>
      </c>
      <c r="P113" s="1808" t="str">
        <f t="shared" ca="1" si="20"/>
        <v/>
      </c>
      <c r="Q113" s="1808">
        <f t="shared" ca="1" si="20"/>
        <v>112</v>
      </c>
      <c r="R113" s="1808" t="str">
        <f t="shared" ca="1" si="16"/>
        <v/>
      </c>
      <c r="S113" s="1808" t="str">
        <f t="shared" ca="1" si="16"/>
        <v/>
      </c>
      <c r="T113" s="1808" t="str">
        <f t="shared" ca="1" si="16"/>
        <v/>
      </c>
      <c r="U113" s="1808" t="str">
        <f t="shared" ca="1" si="16"/>
        <v/>
      </c>
      <c r="V113" s="1808">
        <f t="shared" ca="1" si="14"/>
        <v>1</v>
      </c>
    </row>
    <row r="114" spans="2:22">
      <c r="B114">
        <v>113</v>
      </c>
      <c r="C114" s="1808" t="str">
        <f t="shared" ca="1" si="13"/>
        <v/>
      </c>
      <c r="D114" s="1808" t="str">
        <f t="shared" ca="1" si="20"/>
        <v/>
      </c>
      <c r="E114" s="1808" t="str">
        <f t="shared" ca="1" si="20"/>
        <v/>
      </c>
      <c r="F114" s="1808" t="str">
        <f t="shared" ca="1" si="20"/>
        <v/>
      </c>
      <c r="G114" s="1808" t="str">
        <f t="shared" ca="1" si="20"/>
        <v/>
      </c>
      <c r="H114" s="1808" t="str">
        <f t="shared" ca="1" si="20"/>
        <v/>
      </c>
      <c r="I114" s="1808" t="str">
        <f t="shared" ca="1" si="20"/>
        <v/>
      </c>
      <c r="J114" s="1808" t="str">
        <f t="shared" ca="1" si="20"/>
        <v/>
      </c>
      <c r="K114" s="1808" t="str">
        <f t="shared" ca="1" si="20"/>
        <v/>
      </c>
      <c r="L114" s="1808" t="str">
        <f t="shared" ca="1" si="20"/>
        <v/>
      </c>
      <c r="M114" s="1808" t="str">
        <f t="shared" ca="1" si="20"/>
        <v/>
      </c>
      <c r="N114" s="1808" t="str">
        <f t="shared" ref="N114:Q128" ca="1" si="21">IFERROR(VLOOKUP($B114,INDIRECT(N$1&amp;"!"&amp;"A:A"),1,0),"")</f>
        <v/>
      </c>
      <c r="O114" s="1808" t="str">
        <f t="shared" ca="1" si="21"/>
        <v/>
      </c>
      <c r="P114" s="1808" t="str">
        <f t="shared" ca="1" si="21"/>
        <v/>
      </c>
      <c r="Q114" s="1808">
        <f t="shared" ca="1" si="21"/>
        <v>113</v>
      </c>
      <c r="R114" s="1808" t="str">
        <f t="shared" ca="1" si="16"/>
        <v/>
      </c>
      <c r="S114" s="1808" t="str">
        <f t="shared" ca="1" si="16"/>
        <v/>
      </c>
      <c r="T114" s="1808" t="str">
        <f t="shared" ca="1" si="16"/>
        <v/>
      </c>
      <c r="U114" s="1808" t="str">
        <f t="shared" ca="1" si="16"/>
        <v/>
      </c>
      <c r="V114" s="1808">
        <f t="shared" ca="1" si="14"/>
        <v>1</v>
      </c>
    </row>
    <row r="115" spans="2:22">
      <c r="B115">
        <v>114</v>
      </c>
      <c r="C115" s="1808" t="str">
        <f t="shared" ca="1" si="13"/>
        <v/>
      </c>
      <c r="D115" s="1808" t="str">
        <f t="shared" ca="1" si="20"/>
        <v/>
      </c>
      <c r="E115" s="1808" t="str">
        <f t="shared" ca="1" si="20"/>
        <v/>
      </c>
      <c r="F115" s="1808" t="str">
        <f t="shared" ca="1" si="20"/>
        <v/>
      </c>
      <c r="G115" s="1808" t="str">
        <f t="shared" ca="1" si="20"/>
        <v/>
      </c>
      <c r="H115" s="1808" t="str">
        <f t="shared" ca="1" si="20"/>
        <v/>
      </c>
      <c r="I115" s="1808" t="str">
        <f t="shared" ca="1" si="20"/>
        <v/>
      </c>
      <c r="J115" s="1808" t="str">
        <f t="shared" ca="1" si="20"/>
        <v/>
      </c>
      <c r="K115" s="1808" t="str">
        <f t="shared" ca="1" si="20"/>
        <v/>
      </c>
      <c r="L115" s="1808" t="str">
        <f t="shared" ca="1" si="20"/>
        <v/>
      </c>
      <c r="M115" s="1808" t="str">
        <f t="shared" ca="1" si="20"/>
        <v/>
      </c>
      <c r="N115" s="1808" t="str">
        <f t="shared" ca="1" si="21"/>
        <v/>
      </c>
      <c r="O115" s="1808" t="str">
        <f t="shared" ca="1" si="21"/>
        <v/>
      </c>
      <c r="P115" s="1808" t="str">
        <f t="shared" ca="1" si="21"/>
        <v/>
      </c>
      <c r="Q115" s="1808">
        <f t="shared" ca="1" si="21"/>
        <v>114</v>
      </c>
      <c r="R115" s="1808" t="str">
        <f t="shared" ca="1" si="16"/>
        <v/>
      </c>
      <c r="S115" s="1808" t="str">
        <f t="shared" ca="1" si="16"/>
        <v/>
      </c>
      <c r="T115" s="1808" t="str">
        <f t="shared" ca="1" si="16"/>
        <v/>
      </c>
      <c r="U115" s="1808" t="str">
        <f t="shared" ca="1" si="16"/>
        <v/>
      </c>
      <c r="V115" s="1808">
        <f t="shared" ca="1" si="14"/>
        <v>1</v>
      </c>
    </row>
    <row r="116" spans="2:22">
      <c r="B116">
        <v>115</v>
      </c>
      <c r="C116" s="1808" t="str">
        <f t="shared" ca="1" si="13"/>
        <v/>
      </c>
      <c r="D116" s="1808" t="str">
        <f t="shared" ca="1" si="20"/>
        <v/>
      </c>
      <c r="E116" s="1808" t="str">
        <f t="shared" ca="1" si="20"/>
        <v/>
      </c>
      <c r="F116" s="1808" t="str">
        <f t="shared" ca="1" si="20"/>
        <v/>
      </c>
      <c r="G116" s="1808" t="str">
        <f t="shared" ca="1" si="20"/>
        <v/>
      </c>
      <c r="H116" s="1808" t="str">
        <f t="shared" ca="1" si="20"/>
        <v/>
      </c>
      <c r="I116" s="1808" t="str">
        <f t="shared" ca="1" si="20"/>
        <v/>
      </c>
      <c r="J116" s="1808" t="str">
        <f t="shared" ca="1" si="20"/>
        <v/>
      </c>
      <c r="K116" s="1808" t="str">
        <f t="shared" ca="1" si="20"/>
        <v/>
      </c>
      <c r="L116" s="1808" t="str">
        <f t="shared" ca="1" si="20"/>
        <v/>
      </c>
      <c r="M116" s="1808" t="str">
        <f t="shared" ca="1" si="20"/>
        <v/>
      </c>
      <c r="N116" s="1808" t="str">
        <f t="shared" ca="1" si="21"/>
        <v/>
      </c>
      <c r="O116" s="1808" t="str">
        <f t="shared" ca="1" si="21"/>
        <v/>
      </c>
      <c r="P116" s="1808" t="str">
        <f t="shared" ca="1" si="21"/>
        <v/>
      </c>
      <c r="Q116" s="1808" t="str">
        <f t="shared" ca="1" si="21"/>
        <v/>
      </c>
      <c r="R116" s="1808" t="str">
        <f t="shared" ca="1" si="16"/>
        <v/>
      </c>
      <c r="S116" s="1808" t="str">
        <f t="shared" ca="1" si="16"/>
        <v/>
      </c>
      <c r="T116" s="1808">
        <f t="shared" ca="1" si="16"/>
        <v>115</v>
      </c>
      <c r="U116" s="1808" t="str">
        <f t="shared" ca="1" si="16"/>
        <v/>
      </c>
      <c r="V116" s="1808">
        <f t="shared" ca="1" si="14"/>
        <v>1</v>
      </c>
    </row>
    <row r="117" spans="2:22">
      <c r="B117">
        <v>116</v>
      </c>
      <c r="C117" s="1808" t="str">
        <f t="shared" ca="1" si="13"/>
        <v/>
      </c>
      <c r="D117" s="1808" t="str">
        <f t="shared" ca="1" si="20"/>
        <v/>
      </c>
      <c r="E117" s="1808" t="str">
        <f t="shared" ca="1" si="20"/>
        <v/>
      </c>
      <c r="F117" s="1808" t="str">
        <f t="shared" ca="1" si="20"/>
        <v/>
      </c>
      <c r="G117" s="1808" t="str">
        <f t="shared" ca="1" si="20"/>
        <v/>
      </c>
      <c r="H117" s="1808" t="str">
        <f t="shared" ca="1" si="20"/>
        <v/>
      </c>
      <c r="I117" s="1808" t="str">
        <f t="shared" ca="1" si="20"/>
        <v/>
      </c>
      <c r="J117" s="1808" t="str">
        <f t="shared" ca="1" si="20"/>
        <v/>
      </c>
      <c r="K117" s="1808" t="str">
        <f t="shared" ca="1" si="20"/>
        <v/>
      </c>
      <c r="L117" s="1808" t="str">
        <f t="shared" ca="1" si="20"/>
        <v/>
      </c>
      <c r="M117" s="1808" t="str">
        <f t="shared" ca="1" si="20"/>
        <v/>
      </c>
      <c r="N117" s="1808" t="str">
        <f t="shared" ca="1" si="21"/>
        <v/>
      </c>
      <c r="O117" s="1808" t="str">
        <f t="shared" ca="1" si="21"/>
        <v/>
      </c>
      <c r="P117" s="1808" t="str">
        <f t="shared" ca="1" si="21"/>
        <v/>
      </c>
      <c r="Q117" s="1808" t="str">
        <f t="shared" ca="1" si="21"/>
        <v/>
      </c>
      <c r="R117" s="1808" t="str">
        <f t="shared" ca="1" si="16"/>
        <v/>
      </c>
      <c r="S117" s="1808" t="str">
        <f t="shared" ca="1" si="16"/>
        <v/>
      </c>
      <c r="T117" s="1808">
        <f t="shared" ca="1" si="16"/>
        <v>116</v>
      </c>
      <c r="U117" s="1808" t="str">
        <f t="shared" ca="1" si="16"/>
        <v/>
      </c>
      <c r="V117" s="1808">
        <f t="shared" ca="1" si="14"/>
        <v>1</v>
      </c>
    </row>
    <row r="118" spans="2:22">
      <c r="B118">
        <v>117</v>
      </c>
      <c r="C118" s="1808" t="str">
        <f t="shared" ca="1" si="13"/>
        <v/>
      </c>
      <c r="D118" s="1808" t="str">
        <f t="shared" ca="1" si="20"/>
        <v/>
      </c>
      <c r="E118" s="1808" t="str">
        <f t="shared" ca="1" si="20"/>
        <v/>
      </c>
      <c r="F118" s="1808" t="str">
        <f t="shared" ca="1" si="20"/>
        <v/>
      </c>
      <c r="G118" s="1808" t="str">
        <f t="shared" ca="1" si="20"/>
        <v/>
      </c>
      <c r="H118" s="1808" t="str">
        <f t="shared" ca="1" si="20"/>
        <v/>
      </c>
      <c r="I118" s="1808" t="str">
        <f t="shared" ca="1" si="20"/>
        <v/>
      </c>
      <c r="J118" s="1808" t="str">
        <f t="shared" ca="1" si="20"/>
        <v/>
      </c>
      <c r="K118" s="1808" t="str">
        <f t="shared" ca="1" si="20"/>
        <v/>
      </c>
      <c r="L118" s="1808" t="str">
        <f t="shared" ca="1" si="20"/>
        <v/>
      </c>
      <c r="M118" s="1808" t="str">
        <f t="shared" ca="1" si="20"/>
        <v/>
      </c>
      <c r="N118" s="1808" t="str">
        <f t="shared" ca="1" si="21"/>
        <v/>
      </c>
      <c r="O118" s="1808" t="str">
        <f t="shared" ca="1" si="21"/>
        <v/>
      </c>
      <c r="P118" s="1808" t="str">
        <f t="shared" ca="1" si="21"/>
        <v/>
      </c>
      <c r="Q118" s="1808" t="str">
        <f t="shared" ca="1" si="21"/>
        <v/>
      </c>
      <c r="R118" s="1808" t="str">
        <f t="shared" ca="1" si="16"/>
        <v/>
      </c>
      <c r="S118" s="1808" t="str">
        <f t="shared" ca="1" si="16"/>
        <v/>
      </c>
      <c r="T118" s="1808">
        <f t="shared" ca="1" si="16"/>
        <v>117</v>
      </c>
      <c r="U118" s="1808" t="str">
        <f t="shared" ca="1" si="16"/>
        <v/>
      </c>
      <c r="V118" s="1808">
        <f t="shared" ca="1" si="14"/>
        <v>1</v>
      </c>
    </row>
    <row r="119" spans="2:22">
      <c r="B119">
        <v>118</v>
      </c>
      <c r="C119" s="1808" t="str">
        <f t="shared" ca="1" si="13"/>
        <v/>
      </c>
      <c r="D119" s="1808" t="str">
        <f t="shared" ca="1" si="20"/>
        <v/>
      </c>
      <c r="E119" s="1808" t="str">
        <f t="shared" ca="1" si="20"/>
        <v/>
      </c>
      <c r="F119" s="1808" t="str">
        <f t="shared" ca="1" si="20"/>
        <v/>
      </c>
      <c r="G119" s="1808" t="str">
        <f t="shared" ca="1" si="20"/>
        <v/>
      </c>
      <c r="H119" s="1808" t="str">
        <f t="shared" ca="1" si="20"/>
        <v/>
      </c>
      <c r="I119" s="1808" t="str">
        <f t="shared" ca="1" si="20"/>
        <v/>
      </c>
      <c r="J119" s="1808" t="str">
        <f t="shared" ca="1" si="20"/>
        <v/>
      </c>
      <c r="K119" s="1808" t="str">
        <f t="shared" ca="1" si="20"/>
        <v/>
      </c>
      <c r="L119" s="1808" t="str">
        <f t="shared" ca="1" si="20"/>
        <v/>
      </c>
      <c r="M119" s="1808" t="str">
        <f t="shared" ca="1" si="20"/>
        <v/>
      </c>
      <c r="N119" s="1808" t="str">
        <f t="shared" ca="1" si="21"/>
        <v/>
      </c>
      <c r="O119" s="1808" t="str">
        <f t="shared" ca="1" si="21"/>
        <v/>
      </c>
      <c r="P119" s="1808" t="str">
        <f t="shared" ca="1" si="21"/>
        <v/>
      </c>
      <c r="Q119" s="1808" t="str">
        <f t="shared" ca="1" si="21"/>
        <v/>
      </c>
      <c r="R119" s="1808" t="str">
        <f t="shared" ca="1" si="16"/>
        <v/>
      </c>
      <c r="S119" s="1808" t="str">
        <f t="shared" ca="1" si="16"/>
        <v/>
      </c>
      <c r="T119" s="1808">
        <f t="shared" ca="1" si="16"/>
        <v>118</v>
      </c>
      <c r="U119" s="1808" t="str">
        <f t="shared" ca="1" si="16"/>
        <v/>
      </c>
      <c r="V119" s="1808">
        <f t="shared" ca="1" si="14"/>
        <v>1</v>
      </c>
    </row>
    <row r="120" spans="2:22">
      <c r="B120">
        <v>119</v>
      </c>
      <c r="C120" s="1808" t="str">
        <f t="shared" ca="1" si="13"/>
        <v/>
      </c>
      <c r="D120" s="1808" t="str">
        <f t="shared" ca="1" si="20"/>
        <v/>
      </c>
      <c r="E120" s="1808" t="str">
        <f t="shared" ca="1" si="20"/>
        <v/>
      </c>
      <c r="F120" s="1808" t="str">
        <f t="shared" ca="1" si="20"/>
        <v/>
      </c>
      <c r="G120" s="1808" t="str">
        <f t="shared" ca="1" si="20"/>
        <v/>
      </c>
      <c r="H120" s="1808" t="str">
        <f t="shared" ca="1" si="20"/>
        <v/>
      </c>
      <c r="I120" s="1808" t="str">
        <f t="shared" ca="1" si="20"/>
        <v/>
      </c>
      <c r="J120" s="1808" t="str">
        <f t="shared" ca="1" si="20"/>
        <v/>
      </c>
      <c r="K120" s="1808" t="str">
        <f t="shared" ca="1" si="20"/>
        <v/>
      </c>
      <c r="L120" s="1808" t="str">
        <f t="shared" ca="1" si="20"/>
        <v/>
      </c>
      <c r="M120" s="1808" t="str">
        <f t="shared" ca="1" si="20"/>
        <v/>
      </c>
      <c r="N120" s="1808" t="str">
        <f t="shared" ca="1" si="21"/>
        <v/>
      </c>
      <c r="O120" s="1808" t="str">
        <f t="shared" ca="1" si="21"/>
        <v/>
      </c>
      <c r="P120" s="1808" t="str">
        <f t="shared" ca="1" si="21"/>
        <v/>
      </c>
      <c r="Q120" s="1808" t="str">
        <f t="shared" ca="1" si="21"/>
        <v/>
      </c>
      <c r="R120" s="1808" t="str">
        <f t="shared" ca="1" si="16"/>
        <v/>
      </c>
      <c r="S120" s="1808" t="str">
        <f t="shared" ca="1" si="16"/>
        <v/>
      </c>
      <c r="T120" s="1808">
        <f t="shared" ca="1" si="16"/>
        <v>119</v>
      </c>
      <c r="U120" s="1808" t="str">
        <f t="shared" ca="1" si="16"/>
        <v/>
      </c>
      <c r="V120" s="1808">
        <f t="shared" ca="1" si="14"/>
        <v>1</v>
      </c>
    </row>
    <row r="121" spans="2:22">
      <c r="B121">
        <v>120</v>
      </c>
      <c r="C121" s="1808" t="str">
        <f t="shared" ca="1" si="13"/>
        <v/>
      </c>
      <c r="D121" s="1808" t="str">
        <f t="shared" ca="1" si="20"/>
        <v/>
      </c>
      <c r="E121" s="1808" t="str">
        <f t="shared" ca="1" si="20"/>
        <v/>
      </c>
      <c r="F121" s="1808" t="str">
        <f t="shared" ca="1" si="20"/>
        <v/>
      </c>
      <c r="G121" s="1808" t="str">
        <f t="shared" ca="1" si="20"/>
        <v/>
      </c>
      <c r="H121" s="1808" t="str">
        <f t="shared" ca="1" si="20"/>
        <v/>
      </c>
      <c r="I121" s="1808" t="str">
        <f t="shared" ca="1" si="20"/>
        <v/>
      </c>
      <c r="J121" s="1808" t="str">
        <f t="shared" ca="1" si="20"/>
        <v/>
      </c>
      <c r="K121" s="1808" t="str">
        <f t="shared" ca="1" si="20"/>
        <v/>
      </c>
      <c r="L121" s="1808" t="str">
        <f t="shared" ca="1" si="20"/>
        <v/>
      </c>
      <c r="M121" s="1808" t="str">
        <f t="shared" ca="1" si="20"/>
        <v/>
      </c>
      <c r="N121" s="1808" t="str">
        <f t="shared" ca="1" si="21"/>
        <v/>
      </c>
      <c r="O121" s="1808" t="str">
        <f t="shared" ca="1" si="21"/>
        <v/>
      </c>
      <c r="P121" s="1808" t="str">
        <f t="shared" ca="1" si="21"/>
        <v/>
      </c>
      <c r="Q121" s="1808" t="str">
        <f t="shared" ca="1" si="21"/>
        <v/>
      </c>
      <c r="R121" s="1808" t="str">
        <f t="shared" ca="1" si="16"/>
        <v/>
      </c>
      <c r="S121" s="1808" t="str">
        <f t="shared" ca="1" si="16"/>
        <v/>
      </c>
      <c r="T121" s="1808">
        <f t="shared" ca="1" si="16"/>
        <v>120</v>
      </c>
      <c r="U121" s="1808" t="str">
        <f t="shared" ca="1" si="16"/>
        <v/>
      </c>
      <c r="V121" s="1808">
        <f t="shared" ca="1" si="14"/>
        <v>1</v>
      </c>
    </row>
    <row r="122" spans="2:22">
      <c r="B122">
        <v>121</v>
      </c>
      <c r="C122" s="1808" t="str">
        <f t="shared" ca="1" si="13"/>
        <v/>
      </c>
      <c r="D122" s="1808" t="str">
        <f t="shared" ca="1" si="20"/>
        <v/>
      </c>
      <c r="E122" s="1808" t="str">
        <f t="shared" ca="1" si="20"/>
        <v/>
      </c>
      <c r="F122" s="1808" t="str">
        <f t="shared" ca="1" si="20"/>
        <v/>
      </c>
      <c r="G122" s="1808" t="str">
        <f t="shared" ca="1" si="20"/>
        <v/>
      </c>
      <c r="H122" s="1808" t="str">
        <f t="shared" ca="1" si="20"/>
        <v/>
      </c>
      <c r="I122" s="1808" t="str">
        <f t="shared" ca="1" si="20"/>
        <v/>
      </c>
      <c r="J122" s="1808" t="str">
        <f t="shared" ca="1" si="20"/>
        <v/>
      </c>
      <c r="K122" s="1808" t="str">
        <f t="shared" ca="1" si="20"/>
        <v/>
      </c>
      <c r="L122" s="1808" t="str">
        <f t="shared" ca="1" si="20"/>
        <v/>
      </c>
      <c r="M122" s="1808" t="str">
        <f t="shared" ca="1" si="20"/>
        <v/>
      </c>
      <c r="N122" s="1808" t="str">
        <f t="shared" ca="1" si="21"/>
        <v/>
      </c>
      <c r="O122" s="1808" t="str">
        <f t="shared" ca="1" si="21"/>
        <v/>
      </c>
      <c r="P122" s="1808" t="str">
        <f t="shared" ca="1" si="21"/>
        <v/>
      </c>
      <c r="Q122" s="1808" t="str">
        <f t="shared" ca="1" si="21"/>
        <v/>
      </c>
      <c r="R122" s="1808" t="str">
        <f t="shared" ca="1" si="16"/>
        <v/>
      </c>
      <c r="S122" s="1808" t="str">
        <f t="shared" ca="1" si="16"/>
        <v/>
      </c>
      <c r="T122" s="1808">
        <f t="shared" ca="1" si="16"/>
        <v>121</v>
      </c>
      <c r="U122" s="1808" t="str">
        <f t="shared" ca="1" si="16"/>
        <v/>
      </c>
      <c r="V122" s="1808">
        <f t="shared" ca="1" si="14"/>
        <v>1</v>
      </c>
    </row>
    <row r="123" spans="2:22">
      <c r="B123">
        <v>122</v>
      </c>
      <c r="C123" s="1808" t="str">
        <f t="shared" ca="1" si="13"/>
        <v/>
      </c>
      <c r="D123" s="1808" t="str">
        <f t="shared" ca="1" si="20"/>
        <v/>
      </c>
      <c r="E123" s="1808" t="str">
        <f t="shared" ca="1" si="20"/>
        <v/>
      </c>
      <c r="F123" s="1808" t="str">
        <f t="shared" ca="1" si="20"/>
        <v/>
      </c>
      <c r="G123" s="1808" t="str">
        <f t="shared" ca="1" si="20"/>
        <v/>
      </c>
      <c r="H123" s="1808" t="str">
        <f t="shared" ca="1" si="20"/>
        <v/>
      </c>
      <c r="I123" s="1808" t="str">
        <f t="shared" ca="1" si="20"/>
        <v/>
      </c>
      <c r="J123" s="1808" t="str">
        <f t="shared" ca="1" si="20"/>
        <v/>
      </c>
      <c r="K123" s="1808" t="str">
        <f t="shared" ca="1" si="20"/>
        <v/>
      </c>
      <c r="L123" s="1808" t="str">
        <f t="shared" ca="1" si="20"/>
        <v/>
      </c>
      <c r="M123" s="1808" t="str">
        <f t="shared" ca="1" si="20"/>
        <v/>
      </c>
      <c r="N123" s="1808" t="str">
        <f t="shared" ca="1" si="21"/>
        <v/>
      </c>
      <c r="O123" s="1808" t="str">
        <f t="shared" ca="1" si="21"/>
        <v/>
      </c>
      <c r="P123" s="1808" t="str">
        <f t="shared" ca="1" si="21"/>
        <v/>
      </c>
      <c r="Q123" s="1808" t="str">
        <f t="shared" ca="1" si="21"/>
        <v/>
      </c>
      <c r="R123" s="1808" t="str">
        <f t="shared" ca="1" si="16"/>
        <v/>
      </c>
      <c r="S123" s="1808" t="str">
        <f t="shared" ca="1" si="16"/>
        <v/>
      </c>
      <c r="T123" s="1808">
        <f t="shared" ca="1" si="16"/>
        <v>122</v>
      </c>
      <c r="U123" s="1808" t="str">
        <f t="shared" ca="1" si="16"/>
        <v/>
      </c>
      <c r="V123" s="1808">
        <f t="shared" ca="1" si="14"/>
        <v>1</v>
      </c>
    </row>
    <row r="124" spans="2:22">
      <c r="B124">
        <v>123</v>
      </c>
      <c r="C124" s="1808" t="str">
        <f t="shared" ca="1" si="13"/>
        <v/>
      </c>
      <c r="D124" s="1808" t="str">
        <f t="shared" ca="1" si="20"/>
        <v/>
      </c>
      <c r="E124" s="1808" t="str">
        <f t="shared" ca="1" si="20"/>
        <v/>
      </c>
      <c r="F124" s="1808" t="str">
        <f t="shared" ca="1" si="20"/>
        <v/>
      </c>
      <c r="G124" s="1808" t="str">
        <f t="shared" ca="1" si="20"/>
        <v/>
      </c>
      <c r="H124" s="1808" t="str">
        <f t="shared" ca="1" si="20"/>
        <v/>
      </c>
      <c r="I124" s="1808" t="str">
        <f t="shared" ca="1" si="20"/>
        <v/>
      </c>
      <c r="J124" s="1808" t="str">
        <f t="shared" ca="1" si="20"/>
        <v/>
      </c>
      <c r="K124" s="1808" t="str">
        <f t="shared" ca="1" si="20"/>
        <v/>
      </c>
      <c r="L124" s="1808" t="str">
        <f t="shared" ca="1" si="20"/>
        <v/>
      </c>
      <c r="M124" s="1808" t="str">
        <f t="shared" ca="1" si="20"/>
        <v/>
      </c>
      <c r="N124" s="1808" t="str">
        <f t="shared" ca="1" si="21"/>
        <v/>
      </c>
      <c r="O124" s="1808" t="str">
        <f t="shared" ca="1" si="21"/>
        <v/>
      </c>
      <c r="P124" s="1808" t="str">
        <f t="shared" ca="1" si="21"/>
        <v/>
      </c>
      <c r="Q124" s="1808" t="str">
        <f t="shared" ca="1" si="21"/>
        <v/>
      </c>
      <c r="R124" s="1808" t="str">
        <f t="shared" ca="1" si="16"/>
        <v/>
      </c>
      <c r="S124" s="1808" t="str">
        <f t="shared" ca="1" si="16"/>
        <v/>
      </c>
      <c r="T124" s="1808">
        <f t="shared" ca="1" si="16"/>
        <v>123</v>
      </c>
      <c r="U124" s="1808" t="str">
        <f t="shared" ca="1" si="16"/>
        <v/>
      </c>
      <c r="V124" s="1808">
        <f t="shared" ca="1" si="14"/>
        <v>1</v>
      </c>
    </row>
    <row r="125" spans="2:22">
      <c r="B125">
        <v>124</v>
      </c>
      <c r="C125" s="1808" t="str">
        <f t="shared" ca="1" si="13"/>
        <v/>
      </c>
      <c r="D125" s="1808" t="str">
        <f t="shared" ca="1" si="20"/>
        <v/>
      </c>
      <c r="E125" s="1808" t="str">
        <f t="shared" ca="1" si="20"/>
        <v/>
      </c>
      <c r="F125" s="1808" t="str">
        <f t="shared" ca="1" si="20"/>
        <v/>
      </c>
      <c r="G125" s="1808" t="str">
        <f t="shared" ca="1" si="20"/>
        <v/>
      </c>
      <c r="H125" s="1808" t="str">
        <f t="shared" ca="1" si="20"/>
        <v/>
      </c>
      <c r="I125" s="1808" t="str">
        <f t="shared" ca="1" si="20"/>
        <v/>
      </c>
      <c r="J125" s="1808" t="str">
        <f t="shared" ca="1" si="20"/>
        <v/>
      </c>
      <c r="K125" s="1808" t="str">
        <f t="shared" ca="1" si="20"/>
        <v/>
      </c>
      <c r="L125" s="1808" t="str">
        <f t="shared" ca="1" si="20"/>
        <v/>
      </c>
      <c r="M125" s="1808" t="str">
        <f t="shared" ca="1" si="20"/>
        <v/>
      </c>
      <c r="N125" s="1808" t="str">
        <f t="shared" ca="1" si="21"/>
        <v/>
      </c>
      <c r="O125" s="1808" t="str">
        <f t="shared" ca="1" si="21"/>
        <v/>
      </c>
      <c r="P125" s="1808" t="str">
        <f t="shared" ca="1" si="21"/>
        <v/>
      </c>
      <c r="Q125" s="1808" t="str">
        <f t="shared" ca="1" si="21"/>
        <v/>
      </c>
      <c r="R125" s="1808" t="str">
        <f t="shared" ca="1" si="16"/>
        <v/>
      </c>
      <c r="S125" s="1808" t="str">
        <f t="shared" ca="1" si="16"/>
        <v/>
      </c>
      <c r="T125" s="1808">
        <f t="shared" ca="1" si="16"/>
        <v>124</v>
      </c>
      <c r="U125" s="1808" t="str">
        <f t="shared" ca="1" si="16"/>
        <v/>
      </c>
      <c r="V125" s="1808">
        <f t="shared" ca="1" si="14"/>
        <v>1</v>
      </c>
    </row>
    <row r="126" spans="2:22">
      <c r="B126">
        <v>125</v>
      </c>
      <c r="C126" s="1808" t="str">
        <f t="shared" ca="1" si="13"/>
        <v/>
      </c>
      <c r="D126" s="1808" t="str">
        <f t="shared" ca="1" si="20"/>
        <v/>
      </c>
      <c r="E126" s="1808" t="str">
        <f t="shared" ca="1" si="20"/>
        <v/>
      </c>
      <c r="F126" s="1808" t="str">
        <f t="shared" ca="1" si="20"/>
        <v/>
      </c>
      <c r="G126" s="1808" t="str">
        <f t="shared" ca="1" si="20"/>
        <v/>
      </c>
      <c r="H126" s="1808" t="str">
        <f t="shared" ca="1" si="20"/>
        <v/>
      </c>
      <c r="I126" s="1808" t="str">
        <f t="shared" ca="1" si="20"/>
        <v/>
      </c>
      <c r="J126" s="1808" t="str">
        <f t="shared" ca="1" si="20"/>
        <v/>
      </c>
      <c r="K126" s="1808" t="str">
        <f t="shared" ca="1" si="20"/>
        <v/>
      </c>
      <c r="L126" s="1808" t="str">
        <f t="shared" ca="1" si="20"/>
        <v/>
      </c>
      <c r="M126" s="1808" t="str">
        <f t="shared" ca="1" si="20"/>
        <v/>
      </c>
      <c r="N126" s="1808" t="str">
        <f t="shared" ca="1" si="21"/>
        <v/>
      </c>
      <c r="O126" s="1808" t="str">
        <f t="shared" ca="1" si="21"/>
        <v/>
      </c>
      <c r="P126" s="1808" t="str">
        <f t="shared" ca="1" si="21"/>
        <v/>
      </c>
      <c r="Q126" s="1808" t="str">
        <f t="shared" ca="1" si="21"/>
        <v/>
      </c>
      <c r="R126" s="1808" t="str">
        <f t="shared" ca="1" si="16"/>
        <v/>
      </c>
      <c r="S126" s="1808" t="str">
        <f t="shared" ca="1" si="16"/>
        <v/>
      </c>
      <c r="T126" s="1808">
        <f t="shared" ca="1" si="16"/>
        <v>125</v>
      </c>
      <c r="U126" s="1808" t="str">
        <f t="shared" ca="1" si="16"/>
        <v/>
      </c>
      <c r="V126" s="1808">
        <f t="shared" ca="1" si="14"/>
        <v>1</v>
      </c>
    </row>
    <row r="127" spans="2:22">
      <c r="B127">
        <v>126</v>
      </c>
      <c r="C127" s="1808" t="str">
        <f t="shared" ca="1" si="13"/>
        <v/>
      </c>
      <c r="D127" s="1808" t="str">
        <f t="shared" ca="1" si="20"/>
        <v/>
      </c>
      <c r="E127" s="1808" t="str">
        <f t="shared" ca="1" si="20"/>
        <v/>
      </c>
      <c r="F127" s="1808" t="str">
        <f t="shared" ca="1" si="20"/>
        <v/>
      </c>
      <c r="G127" s="1808" t="str">
        <f t="shared" ca="1" si="20"/>
        <v/>
      </c>
      <c r="H127" s="1808" t="str">
        <f t="shared" ca="1" si="20"/>
        <v/>
      </c>
      <c r="I127" s="1808" t="str">
        <f t="shared" ca="1" si="20"/>
        <v/>
      </c>
      <c r="J127" s="1808" t="str">
        <f t="shared" ca="1" si="20"/>
        <v/>
      </c>
      <c r="K127" s="1808" t="str">
        <f t="shared" ca="1" si="20"/>
        <v/>
      </c>
      <c r="L127" s="1808" t="str">
        <f t="shared" ca="1" si="20"/>
        <v/>
      </c>
      <c r="M127" s="1808" t="str">
        <f t="shared" ca="1" si="20"/>
        <v/>
      </c>
      <c r="N127" s="1808" t="str">
        <f t="shared" ca="1" si="21"/>
        <v/>
      </c>
      <c r="O127" s="1808" t="str">
        <f t="shared" ca="1" si="21"/>
        <v/>
      </c>
      <c r="P127" s="1808" t="str">
        <f t="shared" ca="1" si="21"/>
        <v/>
      </c>
      <c r="Q127" s="1808" t="str">
        <f t="shared" ca="1" si="21"/>
        <v/>
      </c>
      <c r="R127" s="1808" t="str">
        <f t="shared" ca="1" si="16"/>
        <v/>
      </c>
      <c r="S127" s="1808" t="str">
        <f t="shared" ca="1" si="16"/>
        <v/>
      </c>
      <c r="T127" s="1808">
        <f t="shared" ca="1" si="16"/>
        <v>126</v>
      </c>
      <c r="U127" s="1808" t="str">
        <f t="shared" ca="1" si="16"/>
        <v/>
      </c>
      <c r="V127" s="1808">
        <f t="shared" ca="1" si="14"/>
        <v>1</v>
      </c>
    </row>
    <row r="128" spans="2:22">
      <c r="B128">
        <v>127</v>
      </c>
      <c r="C128" s="1808" t="str">
        <f t="shared" ca="1" si="13"/>
        <v/>
      </c>
      <c r="D128" s="1808" t="str">
        <f t="shared" ca="1" si="20"/>
        <v/>
      </c>
      <c r="E128" s="1808" t="str">
        <f t="shared" ca="1" si="20"/>
        <v/>
      </c>
      <c r="F128" s="1808" t="str">
        <f t="shared" ca="1" si="20"/>
        <v/>
      </c>
      <c r="G128" s="1808" t="str">
        <f t="shared" ca="1" si="20"/>
        <v/>
      </c>
      <c r="H128" s="1808" t="str">
        <f t="shared" ca="1" si="20"/>
        <v/>
      </c>
      <c r="I128" s="1808" t="str">
        <f t="shared" ca="1" si="20"/>
        <v/>
      </c>
      <c r="J128" s="1808" t="str">
        <f t="shared" ca="1" si="20"/>
        <v/>
      </c>
      <c r="K128" s="1808" t="str">
        <f t="shared" ca="1" si="20"/>
        <v/>
      </c>
      <c r="L128" s="1808" t="str">
        <f t="shared" ca="1" si="20"/>
        <v/>
      </c>
      <c r="M128" s="1808" t="str">
        <f t="shared" ca="1" si="20"/>
        <v/>
      </c>
      <c r="N128" s="1808" t="str">
        <f t="shared" ca="1" si="21"/>
        <v/>
      </c>
      <c r="O128" s="1808" t="str">
        <f t="shared" ca="1" si="21"/>
        <v/>
      </c>
      <c r="P128" s="1808" t="str">
        <f t="shared" ca="1" si="21"/>
        <v/>
      </c>
      <c r="Q128" s="1808" t="str">
        <f t="shared" ca="1" si="21"/>
        <v/>
      </c>
      <c r="R128" s="1808" t="str">
        <f t="shared" ca="1" si="16"/>
        <v/>
      </c>
      <c r="S128" s="1808" t="str">
        <f t="shared" ca="1" si="16"/>
        <v/>
      </c>
      <c r="T128" s="1808">
        <f t="shared" ca="1" si="16"/>
        <v>127</v>
      </c>
      <c r="U128" s="1808" t="str">
        <f t="shared" ca="1" si="16"/>
        <v/>
      </c>
      <c r="V128" s="1808">
        <f t="shared" ca="1" si="14"/>
        <v>1</v>
      </c>
    </row>
    <row r="129" spans="2:22">
      <c r="B129">
        <v>128</v>
      </c>
      <c r="C129" s="1808" t="str">
        <f t="shared" ca="1" si="13"/>
        <v/>
      </c>
      <c r="D129" s="1808" t="str">
        <f t="shared" ref="D129:Q130" ca="1" si="22">IFERROR(VLOOKUP($B129,INDIRECT(D$1&amp;"!"&amp;"A:A"),1,0),"")</f>
        <v/>
      </c>
      <c r="E129" s="1808" t="str">
        <f t="shared" ca="1" si="22"/>
        <v/>
      </c>
      <c r="F129" s="1808" t="str">
        <f t="shared" ca="1" si="22"/>
        <v/>
      </c>
      <c r="G129" s="1808" t="str">
        <f t="shared" ca="1" si="22"/>
        <v/>
      </c>
      <c r="H129" s="1808" t="str">
        <f t="shared" ca="1" si="22"/>
        <v/>
      </c>
      <c r="I129" s="1808" t="str">
        <f t="shared" ca="1" si="22"/>
        <v/>
      </c>
      <c r="J129" s="1808" t="str">
        <f t="shared" ca="1" si="22"/>
        <v/>
      </c>
      <c r="K129" s="1808" t="str">
        <f t="shared" ca="1" si="22"/>
        <v/>
      </c>
      <c r="L129" s="1808" t="str">
        <f t="shared" ca="1" si="22"/>
        <v/>
      </c>
      <c r="M129" s="1808" t="str">
        <f t="shared" ca="1" si="22"/>
        <v/>
      </c>
      <c r="N129" s="1808" t="str">
        <f t="shared" ca="1" si="22"/>
        <v/>
      </c>
      <c r="O129" s="1808" t="str">
        <f t="shared" ca="1" si="22"/>
        <v/>
      </c>
      <c r="P129" s="1808" t="str">
        <f t="shared" ca="1" si="22"/>
        <v/>
      </c>
      <c r="Q129" s="1808" t="str">
        <f t="shared" ca="1" si="22"/>
        <v/>
      </c>
      <c r="R129" s="1808" t="str">
        <f t="shared" ca="1" si="16"/>
        <v/>
      </c>
      <c r="S129" s="1808" t="str">
        <f t="shared" ca="1" si="16"/>
        <v/>
      </c>
      <c r="T129" s="1808">
        <f t="shared" ca="1" si="16"/>
        <v>128</v>
      </c>
      <c r="U129" s="1808" t="str">
        <f t="shared" ca="1" si="16"/>
        <v/>
      </c>
      <c r="V129" s="1808">
        <f t="shared" ca="1" si="14"/>
        <v>1</v>
      </c>
    </row>
    <row r="130" spans="2:22">
      <c r="B130">
        <v>129</v>
      </c>
      <c r="C130" s="1808" t="str">
        <f t="shared" ca="1" si="13"/>
        <v/>
      </c>
      <c r="D130" s="1808" t="str">
        <f t="shared" ca="1" si="22"/>
        <v/>
      </c>
      <c r="E130" s="1808" t="str">
        <f t="shared" ca="1" si="22"/>
        <v/>
      </c>
      <c r="F130" s="1808" t="str">
        <f t="shared" ca="1" si="22"/>
        <v/>
      </c>
      <c r="G130" s="1808" t="str">
        <f t="shared" ca="1" si="22"/>
        <v/>
      </c>
      <c r="H130" s="1808" t="str">
        <f t="shared" ca="1" si="22"/>
        <v/>
      </c>
      <c r="I130" s="1808" t="str">
        <f t="shared" ca="1" si="22"/>
        <v/>
      </c>
      <c r="J130" s="1808" t="str">
        <f t="shared" ca="1" si="22"/>
        <v/>
      </c>
      <c r="K130" s="1808" t="str">
        <f t="shared" ca="1" si="22"/>
        <v/>
      </c>
      <c r="L130" s="1808" t="str">
        <f t="shared" ca="1" si="22"/>
        <v/>
      </c>
      <c r="M130" s="1808" t="str">
        <f t="shared" ca="1" si="22"/>
        <v/>
      </c>
      <c r="N130" s="1808" t="str">
        <f t="shared" ref="N130:Q145" ca="1" si="23">IFERROR(VLOOKUP($B130,INDIRECT(N$1&amp;"!"&amp;"A:A"),1,0),"")</f>
        <v/>
      </c>
      <c r="O130" s="1808" t="str">
        <f t="shared" ca="1" si="23"/>
        <v/>
      </c>
      <c r="P130" s="1808" t="str">
        <f t="shared" ca="1" si="23"/>
        <v/>
      </c>
      <c r="Q130" s="1808" t="str">
        <f t="shared" ca="1" si="23"/>
        <v/>
      </c>
      <c r="R130" s="1808" t="str">
        <f t="shared" ca="1" si="16"/>
        <v/>
      </c>
      <c r="S130" s="1808" t="str">
        <f t="shared" ca="1" si="16"/>
        <v/>
      </c>
      <c r="T130" s="1808">
        <f t="shared" ca="1" si="16"/>
        <v>129</v>
      </c>
      <c r="U130" s="1808" t="str">
        <f t="shared" ca="1" si="16"/>
        <v/>
      </c>
      <c r="V130" s="1808">
        <f t="shared" ca="1" si="14"/>
        <v>1</v>
      </c>
    </row>
    <row r="131" spans="2:22">
      <c r="B131">
        <v>130</v>
      </c>
      <c r="C131" s="1808" t="str">
        <f t="shared" ref="C131:M194" ca="1" si="24">IFERROR(VLOOKUP($B131,INDIRECT(C$1&amp;"!"&amp;"A:A"),1,0),"")</f>
        <v/>
      </c>
      <c r="D131" s="1808" t="str">
        <f t="shared" ca="1" si="24"/>
        <v/>
      </c>
      <c r="E131" s="1808" t="str">
        <f t="shared" ca="1" si="24"/>
        <v/>
      </c>
      <c r="F131" s="1808" t="str">
        <f t="shared" ca="1" si="24"/>
        <v/>
      </c>
      <c r="G131" s="1808" t="str">
        <f t="shared" ca="1" si="24"/>
        <v/>
      </c>
      <c r="H131" s="1808" t="str">
        <f t="shared" ca="1" si="24"/>
        <v/>
      </c>
      <c r="I131" s="1808" t="str">
        <f t="shared" ca="1" si="24"/>
        <v/>
      </c>
      <c r="J131" s="1808" t="str">
        <f t="shared" ca="1" si="24"/>
        <v/>
      </c>
      <c r="K131" s="1808" t="str">
        <f t="shared" ca="1" si="24"/>
        <v/>
      </c>
      <c r="L131" s="1808" t="str">
        <f t="shared" ca="1" si="24"/>
        <v/>
      </c>
      <c r="M131" s="1808" t="str">
        <f t="shared" ca="1" si="24"/>
        <v/>
      </c>
      <c r="N131" s="1808" t="str">
        <f t="shared" ca="1" si="23"/>
        <v/>
      </c>
      <c r="O131" s="1808" t="str">
        <f t="shared" ca="1" si="23"/>
        <v/>
      </c>
      <c r="P131" s="1808" t="str">
        <f t="shared" ca="1" si="23"/>
        <v/>
      </c>
      <c r="Q131" s="1808" t="str">
        <f t="shared" ca="1" si="23"/>
        <v/>
      </c>
      <c r="R131" s="1808" t="str">
        <f t="shared" ca="1" si="16"/>
        <v/>
      </c>
      <c r="S131" s="1808" t="str">
        <f t="shared" ca="1" si="16"/>
        <v/>
      </c>
      <c r="T131" s="1808">
        <f t="shared" ca="1" si="16"/>
        <v>130</v>
      </c>
      <c r="U131" s="1808" t="str">
        <f t="shared" ca="1" si="16"/>
        <v/>
      </c>
      <c r="V131" s="1808">
        <f t="shared" ref="V131:V194" ca="1" si="25">COUNTIF(C131:U131,"&gt;0")</f>
        <v>1</v>
      </c>
    </row>
    <row r="132" spans="2:22">
      <c r="B132">
        <v>131</v>
      </c>
      <c r="C132" s="1808" t="str">
        <f t="shared" ca="1" si="24"/>
        <v/>
      </c>
      <c r="D132" s="1808" t="str">
        <f t="shared" ca="1" si="24"/>
        <v/>
      </c>
      <c r="E132" s="1808" t="str">
        <f t="shared" ca="1" si="24"/>
        <v/>
      </c>
      <c r="F132" s="1808" t="str">
        <f t="shared" ca="1" si="24"/>
        <v/>
      </c>
      <c r="G132" s="1808" t="str">
        <f t="shared" ca="1" si="24"/>
        <v/>
      </c>
      <c r="H132" s="1808" t="str">
        <f t="shared" ca="1" si="24"/>
        <v/>
      </c>
      <c r="I132" s="1808" t="str">
        <f t="shared" ca="1" si="24"/>
        <v/>
      </c>
      <c r="J132" s="1808" t="str">
        <f t="shared" ca="1" si="24"/>
        <v/>
      </c>
      <c r="K132" s="1808" t="str">
        <f t="shared" ca="1" si="24"/>
        <v/>
      </c>
      <c r="L132" s="1808" t="str">
        <f t="shared" ca="1" si="24"/>
        <v/>
      </c>
      <c r="M132" s="1808" t="str">
        <f t="shared" ca="1" si="24"/>
        <v/>
      </c>
      <c r="N132" s="1808" t="str">
        <f t="shared" ca="1" si="23"/>
        <v/>
      </c>
      <c r="O132" s="1808" t="str">
        <f t="shared" ca="1" si="23"/>
        <v/>
      </c>
      <c r="P132" s="1808" t="str">
        <f t="shared" ca="1" si="23"/>
        <v/>
      </c>
      <c r="Q132" s="1808" t="str">
        <f t="shared" ca="1" si="23"/>
        <v/>
      </c>
      <c r="R132" s="1808" t="str">
        <f t="shared" ca="1" si="16"/>
        <v/>
      </c>
      <c r="S132" s="1808" t="str">
        <f t="shared" ca="1" si="16"/>
        <v/>
      </c>
      <c r="T132" s="1808">
        <f t="shared" ca="1" si="16"/>
        <v>131</v>
      </c>
      <c r="U132" s="1808" t="str">
        <f t="shared" ca="1" si="16"/>
        <v/>
      </c>
      <c r="V132" s="1808">
        <f t="shared" ca="1" si="25"/>
        <v>1</v>
      </c>
    </row>
    <row r="133" spans="2:22">
      <c r="B133">
        <v>132</v>
      </c>
      <c r="C133" s="1808" t="str">
        <f t="shared" ca="1" si="24"/>
        <v/>
      </c>
      <c r="D133" s="1808" t="str">
        <f t="shared" ca="1" si="24"/>
        <v/>
      </c>
      <c r="E133" s="1808" t="str">
        <f t="shared" ca="1" si="24"/>
        <v/>
      </c>
      <c r="F133" s="1808" t="str">
        <f t="shared" ca="1" si="24"/>
        <v/>
      </c>
      <c r="G133" s="1808" t="str">
        <f t="shared" ca="1" si="24"/>
        <v/>
      </c>
      <c r="H133" s="1808" t="str">
        <f t="shared" ca="1" si="24"/>
        <v/>
      </c>
      <c r="I133" s="1808" t="str">
        <f t="shared" ca="1" si="24"/>
        <v/>
      </c>
      <c r="J133" s="1808" t="str">
        <f t="shared" ca="1" si="24"/>
        <v/>
      </c>
      <c r="K133" s="1808" t="str">
        <f t="shared" ca="1" si="24"/>
        <v/>
      </c>
      <c r="L133" s="1808" t="str">
        <f t="shared" ca="1" si="24"/>
        <v/>
      </c>
      <c r="M133" s="1808" t="str">
        <f t="shared" ca="1" si="24"/>
        <v/>
      </c>
      <c r="N133" s="1808" t="str">
        <f t="shared" ca="1" si="23"/>
        <v/>
      </c>
      <c r="O133" s="1808" t="str">
        <f t="shared" ca="1" si="23"/>
        <v/>
      </c>
      <c r="P133" s="1808" t="str">
        <f t="shared" ca="1" si="23"/>
        <v/>
      </c>
      <c r="Q133" s="1808" t="str">
        <f t="shared" ca="1" si="23"/>
        <v/>
      </c>
      <c r="R133" s="1808" t="str">
        <f t="shared" ca="1" si="16"/>
        <v/>
      </c>
      <c r="S133" s="1808" t="str">
        <f t="shared" ca="1" si="16"/>
        <v/>
      </c>
      <c r="T133" s="1808">
        <f t="shared" ca="1" si="16"/>
        <v>132</v>
      </c>
      <c r="U133" s="1808" t="str">
        <f t="shared" ca="1" si="16"/>
        <v/>
      </c>
      <c r="V133" s="1808">
        <f t="shared" ca="1" si="25"/>
        <v>1</v>
      </c>
    </row>
    <row r="134" spans="2:22">
      <c r="B134">
        <v>133</v>
      </c>
      <c r="C134" s="1808" t="str">
        <f t="shared" ca="1" si="24"/>
        <v/>
      </c>
      <c r="D134" s="1808" t="str">
        <f t="shared" ca="1" si="24"/>
        <v/>
      </c>
      <c r="E134" s="1808" t="str">
        <f t="shared" ca="1" si="24"/>
        <v/>
      </c>
      <c r="F134" s="1808" t="str">
        <f t="shared" ca="1" si="24"/>
        <v/>
      </c>
      <c r="G134" s="1808" t="str">
        <f t="shared" ca="1" si="24"/>
        <v/>
      </c>
      <c r="H134" s="1808" t="str">
        <f t="shared" ca="1" si="24"/>
        <v/>
      </c>
      <c r="I134" s="1808" t="str">
        <f t="shared" ca="1" si="24"/>
        <v/>
      </c>
      <c r="J134" s="1808" t="str">
        <f t="shared" ca="1" si="24"/>
        <v/>
      </c>
      <c r="K134" s="1808" t="str">
        <f t="shared" ca="1" si="24"/>
        <v/>
      </c>
      <c r="L134" s="1808" t="str">
        <f t="shared" ca="1" si="24"/>
        <v/>
      </c>
      <c r="M134" s="1808" t="str">
        <f t="shared" ca="1" si="24"/>
        <v/>
      </c>
      <c r="N134" s="1808" t="str">
        <f t="shared" ca="1" si="23"/>
        <v/>
      </c>
      <c r="O134" s="1808" t="str">
        <f t="shared" ca="1" si="23"/>
        <v/>
      </c>
      <c r="P134" s="1808" t="str">
        <f t="shared" ca="1" si="23"/>
        <v/>
      </c>
      <c r="Q134" s="1808" t="str">
        <f t="shared" ca="1" si="23"/>
        <v/>
      </c>
      <c r="R134" s="1808">
        <f t="shared" ca="1" si="16"/>
        <v>133</v>
      </c>
      <c r="S134" s="1808" t="str">
        <f t="shared" ca="1" si="16"/>
        <v/>
      </c>
      <c r="T134" s="1808" t="str">
        <f t="shared" ca="1" si="16"/>
        <v/>
      </c>
      <c r="U134" s="1808" t="str">
        <f t="shared" ca="1" si="16"/>
        <v/>
      </c>
      <c r="V134" s="1808">
        <f t="shared" ca="1" si="25"/>
        <v>1</v>
      </c>
    </row>
    <row r="135" spans="2:22">
      <c r="B135">
        <v>134</v>
      </c>
      <c r="C135" s="1808" t="str">
        <f t="shared" ca="1" si="24"/>
        <v/>
      </c>
      <c r="D135" s="1808" t="str">
        <f t="shared" ca="1" si="24"/>
        <v/>
      </c>
      <c r="E135" s="1808" t="str">
        <f t="shared" ca="1" si="24"/>
        <v/>
      </c>
      <c r="F135" s="1808" t="str">
        <f t="shared" ca="1" si="24"/>
        <v/>
      </c>
      <c r="G135" s="1808" t="str">
        <f t="shared" ca="1" si="24"/>
        <v/>
      </c>
      <c r="H135" s="1808" t="str">
        <f t="shared" ca="1" si="24"/>
        <v/>
      </c>
      <c r="I135" s="1808" t="str">
        <f t="shared" ca="1" si="24"/>
        <v/>
      </c>
      <c r="J135" s="1808" t="str">
        <f t="shared" ca="1" si="24"/>
        <v/>
      </c>
      <c r="K135" s="1808" t="str">
        <f t="shared" ca="1" si="24"/>
        <v/>
      </c>
      <c r="L135" s="1808" t="str">
        <f t="shared" ca="1" si="24"/>
        <v/>
      </c>
      <c r="M135" s="1808" t="str">
        <f t="shared" ca="1" si="24"/>
        <v/>
      </c>
      <c r="N135" s="1808" t="str">
        <f t="shared" ca="1" si="23"/>
        <v/>
      </c>
      <c r="O135" s="1808" t="str">
        <f t="shared" ca="1" si="23"/>
        <v/>
      </c>
      <c r="P135" s="1808" t="str">
        <f t="shared" ca="1" si="23"/>
        <v/>
      </c>
      <c r="Q135" s="1808" t="str">
        <f t="shared" ca="1" si="23"/>
        <v/>
      </c>
      <c r="R135" s="1808">
        <f t="shared" ca="1" si="16"/>
        <v>134</v>
      </c>
      <c r="S135" s="1808" t="str">
        <f t="shared" ca="1" si="16"/>
        <v/>
      </c>
      <c r="T135" s="1808" t="str">
        <f t="shared" ca="1" si="16"/>
        <v/>
      </c>
      <c r="U135" s="1808" t="str">
        <f t="shared" ca="1" si="16"/>
        <v/>
      </c>
      <c r="V135" s="1808">
        <f t="shared" ca="1" si="25"/>
        <v>1</v>
      </c>
    </row>
    <row r="136" spans="2:22">
      <c r="B136">
        <v>135</v>
      </c>
      <c r="C136" s="1808" t="str">
        <f t="shared" ca="1" si="24"/>
        <v/>
      </c>
      <c r="D136" s="1808" t="str">
        <f t="shared" ca="1" si="24"/>
        <v/>
      </c>
      <c r="E136" s="1808" t="str">
        <f t="shared" ca="1" si="24"/>
        <v/>
      </c>
      <c r="F136" s="1808" t="str">
        <f t="shared" ca="1" si="24"/>
        <v/>
      </c>
      <c r="G136" s="1808" t="str">
        <f t="shared" ca="1" si="24"/>
        <v/>
      </c>
      <c r="H136" s="1808" t="str">
        <f t="shared" ca="1" si="24"/>
        <v/>
      </c>
      <c r="I136" s="1808" t="str">
        <f t="shared" ca="1" si="24"/>
        <v/>
      </c>
      <c r="J136" s="1808" t="str">
        <f t="shared" ca="1" si="24"/>
        <v/>
      </c>
      <c r="K136" s="1808" t="str">
        <f t="shared" ca="1" si="24"/>
        <v/>
      </c>
      <c r="L136" s="1808" t="str">
        <f t="shared" ca="1" si="24"/>
        <v/>
      </c>
      <c r="M136" s="1808" t="str">
        <f t="shared" ca="1" si="24"/>
        <v/>
      </c>
      <c r="N136" s="1808" t="str">
        <f t="shared" ca="1" si="23"/>
        <v/>
      </c>
      <c r="O136" s="1808" t="str">
        <f t="shared" ca="1" si="23"/>
        <v/>
      </c>
      <c r="P136" s="1808" t="str">
        <f t="shared" ca="1" si="23"/>
        <v/>
      </c>
      <c r="Q136" s="1808" t="str">
        <f t="shared" ca="1" si="23"/>
        <v/>
      </c>
      <c r="R136" s="1808">
        <f t="shared" ca="1" si="16"/>
        <v>135</v>
      </c>
      <c r="S136" s="1808" t="str">
        <f t="shared" ca="1" si="16"/>
        <v/>
      </c>
      <c r="T136" s="1808" t="str">
        <f t="shared" ca="1" si="16"/>
        <v/>
      </c>
      <c r="U136" s="1808" t="str">
        <f t="shared" ca="1" si="16"/>
        <v/>
      </c>
      <c r="V136" s="1808">
        <f t="shared" ca="1" si="25"/>
        <v>1</v>
      </c>
    </row>
    <row r="137" spans="2:22">
      <c r="B137">
        <v>136</v>
      </c>
      <c r="C137" s="1808" t="str">
        <f t="shared" ca="1" si="24"/>
        <v/>
      </c>
      <c r="D137" s="1808" t="str">
        <f t="shared" ca="1" si="24"/>
        <v/>
      </c>
      <c r="E137" s="1808" t="str">
        <f t="shared" ca="1" si="24"/>
        <v/>
      </c>
      <c r="F137" s="1808" t="str">
        <f t="shared" ca="1" si="24"/>
        <v/>
      </c>
      <c r="G137" s="1808" t="str">
        <f t="shared" ca="1" si="24"/>
        <v/>
      </c>
      <c r="H137" s="1808" t="str">
        <f t="shared" ca="1" si="24"/>
        <v/>
      </c>
      <c r="I137" s="1808" t="str">
        <f t="shared" ca="1" si="24"/>
        <v/>
      </c>
      <c r="J137" s="1808" t="str">
        <f t="shared" ca="1" si="24"/>
        <v/>
      </c>
      <c r="K137" s="1808" t="str">
        <f t="shared" ca="1" si="24"/>
        <v/>
      </c>
      <c r="L137" s="1808" t="str">
        <f t="shared" ca="1" si="24"/>
        <v/>
      </c>
      <c r="M137" s="1808" t="str">
        <f t="shared" ca="1" si="24"/>
        <v/>
      </c>
      <c r="N137" s="1808" t="str">
        <f t="shared" ca="1" si="23"/>
        <v/>
      </c>
      <c r="O137" s="1808" t="str">
        <f t="shared" ca="1" si="23"/>
        <v/>
      </c>
      <c r="P137" s="1808" t="str">
        <f t="shared" ca="1" si="23"/>
        <v/>
      </c>
      <c r="Q137" s="1808" t="str">
        <f t="shared" ca="1" si="23"/>
        <v/>
      </c>
      <c r="R137" s="1808" t="str">
        <f t="shared" ca="1" si="16"/>
        <v/>
      </c>
      <c r="S137" s="1808" t="str">
        <f t="shared" ca="1" si="16"/>
        <v/>
      </c>
      <c r="T137" s="1808" t="str">
        <f t="shared" ca="1" si="16"/>
        <v/>
      </c>
      <c r="U137" s="1808">
        <f t="shared" ca="1" si="16"/>
        <v>136</v>
      </c>
      <c r="V137" s="1808">
        <f t="shared" ca="1" si="25"/>
        <v>1</v>
      </c>
    </row>
    <row r="138" spans="2:22">
      <c r="B138">
        <v>137</v>
      </c>
      <c r="C138" s="1808" t="str">
        <f t="shared" ca="1" si="24"/>
        <v/>
      </c>
      <c r="D138" s="1808" t="str">
        <f t="shared" ca="1" si="24"/>
        <v/>
      </c>
      <c r="E138" s="1808" t="str">
        <f t="shared" ca="1" si="24"/>
        <v/>
      </c>
      <c r="F138" s="1808" t="str">
        <f t="shared" ca="1" si="24"/>
        <v/>
      </c>
      <c r="G138" s="1808" t="str">
        <f t="shared" ca="1" si="24"/>
        <v/>
      </c>
      <c r="H138" s="1808" t="str">
        <f t="shared" ca="1" si="24"/>
        <v/>
      </c>
      <c r="I138" s="1808" t="str">
        <f t="shared" ca="1" si="24"/>
        <v/>
      </c>
      <c r="J138" s="1808" t="str">
        <f t="shared" ca="1" si="24"/>
        <v/>
      </c>
      <c r="K138" s="1808" t="str">
        <f t="shared" ca="1" si="24"/>
        <v/>
      </c>
      <c r="L138" s="1808" t="str">
        <f t="shared" ca="1" si="24"/>
        <v/>
      </c>
      <c r="M138" s="1808" t="str">
        <f t="shared" ca="1" si="24"/>
        <v/>
      </c>
      <c r="N138" s="1808" t="str">
        <f t="shared" ca="1" si="23"/>
        <v/>
      </c>
      <c r="O138" s="1808" t="str">
        <f t="shared" ca="1" si="23"/>
        <v/>
      </c>
      <c r="P138" s="1808" t="str">
        <f t="shared" ca="1" si="23"/>
        <v/>
      </c>
      <c r="Q138" s="1808" t="str">
        <f t="shared" ca="1" si="23"/>
        <v/>
      </c>
      <c r="R138" s="1808">
        <f t="shared" ca="1" si="16"/>
        <v>137</v>
      </c>
      <c r="S138" s="1808" t="str">
        <f t="shared" ca="1" si="16"/>
        <v/>
      </c>
      <c r="T138" s="1808" t="str">
        <f t="shared" ca="1" si="16"/>
        <v/>
      </c>
      <c r="U138" s="1808" t="str">
        <f t="shared" ca="1" si="16"/>
        <v/>
      </c>
      <c r="V138" s="1808">
        <f t="shared" ca="1" si="25"/>
        <v>1</v>
      </c>
    </row>
    <row r="139" spans="2:22">
      <c r="B139">
        <v>138</v>
      </c>
      <c r="C139" s="1808" t="str">
        <f t="shared" ca="1" si="24"/>
        <v/>
      </c>
      <c r="D139" s="1808" t="str">
        <f t="shared" ca="1" si="24"/>
        <v/>
      </c>
      <c r="E139" s="1808" t="str">
        <f t="shared" ca="1" si="24"/>
        <v/>
      </c>
      <c r="F139" s="1808" t="str">
        <f t="shared" ca="1" si="24"/>
        <v/>
      </c>
      <c r="G139" s="1808" t="str">
        <f t="shared" ca="1" si="24"/>
        <v/>
      </c>
      <c r="H139" s="1808" t="str">
        <f t="shared" ca="1" si="24"/>
        <v/>
      </c>
      <c r="I139" s="1808" t="str">
        <f t="shared" ca="1" si="24"/>
        <v/>
      </c>
      <c r="J139" s="1808" t="str">
        <f t="shared" ca="1" si="24"/>
        <v/>
      </c>
      <c r="K139" s="1808" t="str">
        <f t="shared" ca="1" si="24"/>
        <v/>
      </c>
      <c r="L139" s="1808" t="str">
        <f t="shared" ca="1" si="24"/>
        <v/>
      </c>
      <c r="M139" s="1808" t="str">
        <f t="shared" ca="1" si="24"/>
        <v/>
      </c>
      <c r="N139" s="1808" t="str">
        <f t="shared" ca="1" si="23"/>
        <v/>
      </c>
      <c r="O139" s="1808" t="str">
        <f t="shared" ca="1" si="23"/>
        <v/>
      </c>
      <c r="P139" s="1808" t="str">
        <f t="shared" ca="1" si="23"/>
        <v/>
      </c>
      <c r="Q139" s="1808" t="str">
        <f t="shared" ca="1" si="23"/>
        <v/>
      </c>
      <c r="R139" s="1808">
        <f t="shared" ca="1" si="16"/>
        <v>138</v>
      </c>
      <c r="S139" s="1808" t="str">
        <f t="shared" ca="1" si="16"/>
        <v/>
      </c>
      <c r="T139" s="1808" t="str">
        <f t="shared" ca="1" si="16"/>
        <v/>
      </c>
      <c r="U139" s="1808" t="str">
        <f t="shared" ca="1" si="16"/>
        <v/>
      </c>
      <c r="V139" s="1808">
        <f t="shared" ca="1" si="25"/>
        <v>1</v>
      </c>
    </row>
    <row r="140" spans="2:22">
      <c r="B140">
        <v>139</v>
      </c>
      <c r="C140" s="1808" t="str">
        <f t="shared" ca="1" si="24"/>
        <v/>
      </c>
      <c r="D140" s="1808" t="str">
        <f t="shared" ca="1" si="24"/>
        <v/>
      </c>
      <c r="E140" s="1808" t="str">
        <f t="shared" ca="1" si="24"/>
        <v/>
      </c>
      <c r="F140" s="1808" t="str">
        <f t="shared" ca="1" si="24"/>
        <v/>
      </c>
      <c r="G140" s="1808" t="str">
        <f t="shared" ca="1" si="24"/>
        <v/>
      </c>
      <c r="H140" s="1808" t="str">
        <f t="shared" ca="1" si="24"/>
        <v/>
      </c>
      <c r="I140" s="1808" t="str">
        <f t="shared" ca="1" si="24"/>
        <v/>
      </c>
      <c r="J140" s="1808" t="str">
        <f t="shared" ca="1" si="24"/>
        <v/>
      </c>
      <c r="K140" s="1808" t="str">
        <f t="shared" ca="1" si="24"/>
        <v/>
      </c>
      <c r="L140" s="1808" t="str">
        <f t="shared" ca="1" si="24"/>
        <v/>
      </c>
      <c r="M140" s="1808" t="str">
        <f t="shared" ca="1" si="24"/>
        <v/>
      </c>
      <c r="N140" s="1808" t="str">
        <f t="shared" ca="1" si="23"/>
        <v/>
      </c>
      <c r="O140" s="1808" t="str">
        <f t="shared" ca="1" si="23"/>
        <v/>
      </c>
      <c r="P140" s="1808" t="str">
        <f t="shared" ca="1" si="23"/>
        <v/>
      </c>
      <c r="Q140" s="1808" t="str">
        <f t="shared" ca="1" si="23"/>
        <v/>
      </c>
      <c r="R140" s="1808">
        <f t="shared" ca="1" si="16"/>
        <v>139</v>
      </c>
      <c r="S140" s="1808" t="str">
        <f t="shared" ca="1" si="16"/>
        <v/>
      </c>
      <c r="T140" s="1808" t="str">
        <f t="shared" ca="1" si="16"/>
        <v/>
      </c>
      <c r="U140" s="1808" t="str">
        <f t="shared" ca="1" si="16"/>
        <v/>
      </c>
      <c r="V140" s="1808">
        <f t="shared" ca="1" si="25"/>
        <v>1</v>
      </c>
    </row>
    <row r="141" spans="2:22">
      <c r="B141">
        <v>140</v>
      </c>
      <c r="C141" s="1808" t="str">
        <f t="shared" ca="1" si="24"/>
        <v/>
      </c>
      <c r="D141" s="1808" t="str">
        <f t="shared" ca="1" si="24"/>
        <v/>
      </c>
      <c r="E141" s="1808" t="str">
        <f t="shared" ca="1" si="24"/>
        <v/>
      </c>
      <c r="F141" s="1808" t="str">
        <f t="shared" ca="1" si="24"/>
        <v/>
      </c>
      <c r="G141" s="1808" t="str">
        <f t="shared" ca="1" si="24"/>
        <v/>
      </c>
      <c r="H141" s="1808" t="str">
        <f t="shared" ca="1" si="24"/>
        <v/>
      </c>
      <c r="I141" s="1808" t="str">
        <f t="shared" ca="1" si="24"/>
        <v/>
      </c>
      <c r="J141" s="1808" t="str">
        <f t="shared" ca="1" si="24"/>
        <v/>
      </c>
      <c r="K141" s="1808" t="str">
        <f t="shared" ca="1" si="24"/>
        <v/>
      </c>
      <c r="L141" s="1808" t="str">
        <f t="shared" ca="1" si="24"/>
        <v/>
      </c>
      <c r="M141" s="1808" t="str">
        <f t="shared" ca="1" si="24"/>
        <v/>
      </c>
      <c r="N141" s="1808" t="str">
        <f t="shared" ca="1" si="23"/>
        <v/>
      </c>
      <c r="O141" s="1808" t="str">
        <f t="shared" ca="1" si="23"/>
        <v/>
      </c>
      <c r="P141" s="1808" t="str">
        <f t="shared" ca="1" si="23"/>
        <v/>
      </c>
      <c r="Q141" s="1808" t="str">
        <f t="shared" ca="1" si="23"/>
        <v/>
      </c>
      <c r="R141" s="1808">
        <f t="shared" ca="1" si="16"/>
        <v>140</v>
      </c>
      <c r="S141" s="1808" t="str">
        <f t="shared" ca="1" si="16"/>
        <v/>
      </c>
      <c r="T141" s="1808" t="str">
        <f t="shared" ca="1" si="16"/>
        <v/>
      </c>
      <c r="U141" s="1808" t="str">
        <f t="shared" ca="1" si="16"/>
        <v/>
      </c>
      <c r="V141" s="1808">
        <f t="shared" ca="1" si="25"/>
        <v>1</v>
      </c>
    </row>
    <row r="142" spans="2:22">
      <c r="B142">
        <v>141</v>
      </c>
      <c r="C142" s="1808" t="str">
        <f t="shared" ca="1" si="24"/>
        <v/>
      </c>
      <c r="D142" s="1808" t="str">
        <f t="shared" ca="1" si="24"/>
        <v/>
      </c>
      <c r="E142" s="1808" t="str">
        <f t="shared" ca="1" si="24"/>
        <v/>
      </c>
      <c r="F142" s="1808" t="str">
        <f t="shared" ca="1" si="24"/>
        <v/>
      </c>
      <c r="G142" s="1808" t="str">
        <f t="shared" ca="1" si="24"/>
        <v/>
      </c>
      <c r="H142" s="1808" t="str">
        <f t="shared" ca="1" si="24"/>
        <v/>
      </c>
      <c r="I142" s="1808" t="str">
        <f t="shared" ca="1" si="24"/>
        <v/>
      </c>
      <c r="J142" s="1808" t="str">
        <f t="shared" ca="1" si="24"/>
        <v/>
      </c>
      <c r="K142" s="1808" t="str">
        <f t="shared" ca="1" si="24"/>
        <v/>
      </c>
      <c r="L142" s="1808" t="str">
        <f t="shared" ca="1" si="24"/>
        <v/>
      </c>
      <c r="M142" s="1808" t="str">
        <f t="shared" ca="1" si="24"/>
        <v/>
      </c>
      <c r="N142" s="1808" t="str">
        <f t="shared" ca="1" si="23"/>
        <v/>
      </c>
      <c r="O142" s="1808" t="str">
        <f t="shared" ca="1" si="23"/>
        <v/>
      </c>
      <c r="P142" s="1808" t="str">
        <f t="shared" ca="1" si="23"/>
        <v/>
      </c>
      <c r="Q142" s="1808" t="str">
        <f t="shared" ca="1" si="23"/>
        <v/>
      </c>
      <c r="R142" s="1808">
        <f t="shared" ca="1" si="16"/>
        <v>141</v>
      </c>
      <c r="S142" s="1808" t="str">
        <f t="shared" ca="1" si="16"/>
        <v/>
      </c>
      <c r="T142" s="1808" t="str">
        <f t="shared" ca="1" si="16"/>
        <v/>
      </c>
      <c r="U142" s="1808" t="str">
        <f t="shared" ca="1" si="16"/>
        <v/>
      </c>
      <c r="V142" s="1808">
        <f t="shared" ca="1" si="25"/>
        <v>1</v>
      </c>
    </row>
    <row r="143" spans="2:22">
      <c r="B143">
        <v>142</v>
      </c>
      <c r="C143" s="1808" t="str">
        <f t="shared" ca="1" si="24"/>
        <v/>
      </c>
      <c r="D143" s="1808" t="str">
        <f t="shared" ca="1" si="24"/>
        <v/>
      </c>
      <c r="E143" s="1808" t="str">
        <f t="shared" ca="1" si="24"/>
        <v/>
      </c>
      <c r="F143" s="1808" t="str">
        <f t="shared" ca="1" si="24"/>
        <v/>
      </c>
      <c r="G143" s="1808" t="str">
        <f t="shared" ca="1" si="24"/>
        <v/>
      </c>
      <c r="H143" s="1808" t="str">
        <f t="shared" ca="1" si="24"/>
        <v/>
      </c>
      <c r="I143" s="1808" t="str">
        <f t="shared" ca="1" si="24"/>
        <v/>
      </c>
      <c r="J143" s="1808" t="str">
        <f t="shared" ca="1" si="24"/>
        <v/>
      </c>
      <c r="K143" s="1808" t="str">
        <f t="shared" ca="1" si="24"/>
        <v/>
      </c>
      <c r="L143" s="1808" t="str">
        <f t="shared" ca="1" si="24"/>
        <v/>
      </c>
      <c r="M143" s="1808" t="str">
        <f t="shared" ca="1" si="24"/>
        <v/>
      </c>
      <c r="N143" s="1808" t="str">
        <f t="shared" ca="1" si="23"/>
        <v/>
      </c>
      <c r="O143" s="1808" t="str">
        <f t="shared" ca="1" si="23"/>
        <v/>
      </c>
      <c r="P143" s="1808" t="str">
        <f t="shared" ca="1" si="23"/>
        <v/>
      </c>
      <c r="Q143" s="1808" t="str">
        <f t="shared" ca="1" si="23"/>
        <v/>
      </c>
      <c r="R143" s="1808">
        <f t="shared" ca="1" si="16"/>
        <v>142</v>
      </c>
      <c r="S143" s="1808" t="str">
        <f t="shared" ca="1" si="16"/>
        <v/>
      </c>
      <c r="T143" s="1808" t="str">
        <f t="shared" ca="1" si="16"/>
        <v/>
      </c>
      <c r="U143" s="1808" t="str">
        <f t="shared" ca="1" si="16"/>
        <v/>
      </c>
      <c r="V143" s="1808">
        <f t="shared" ca="1" si="25"/>
        <v>1</v>
      </c>
    </row>
    <row r="144" spans="2:22">
      <c r="B144">
        <v>143</v>
      </c>
      <c r="C144" s="1808" t="str">
        <f t="shared" ca="1" si="24"/>
        <v/>
      </c>
      <c r="D144" s="1808" t="str">
        <f t="shared" ca="1" si="24"/>
        <v/>
      </c>
      <c r="E144" s="1808" t="str">
        <f t="shared" ca="1" si="24"/>
        <v/>
      </c>
      <c r="F144" s="1808" t="str">
        <f t="shared" ca="1" si="24"/>
        <v/>
      </c>
      <c r="G144" s="1808" t="str">
        <f t="shared" ca="1" si="24"/>
        <v/>
      </c>
      <c r="H144" s="1808" t="str">
        <f t="shared" ca="1" si="24"/>
        <v/>
      </c>
      <c r="I144" s="1808" t="str">
        <f t="shared" ca="1" si="24"/>
        <v/>
      </c>
      <c r="J144" s="1808" t="str">
        <f t="shared" ca="1" si="24"/>
        <v/>
      </c>
      <c r="K144" s="1808" t="str">
        <f t="shared" ca="1" si="24"/>
        <v/>
      </c>
      <c r="L144" s="1808" t="str">
        <f t="shared" ca="1" si="24"/>
        <v/>
      </c>
      <c r="M144" s="1808" t="str">
        <f t="shared" ca="1" si="24"/>
        <v/>
      </c>
      <c r="N144" s="1808">
        <f t="shared" ca="1" si="23"/>
        <v>143</v>
      </c>
      <c r="O144" s="1808" t="str">
        <f t="shared" ca="1" si="23"/>
        <v/>
      </c>
      <c r="P144" s="1808" t="str">
        <f t="shared" ca="1" si="23"/>
        <v/>
      </c>
      <c r="Q144" s="1808" t="str">
        <f t="shared" ca="1" si="23"/>
        <v/>
      </c>
      <c r="R144" s="1808" t="str">
        <f t="shared" ca="1" si="16"/>
        <v/>
      </c>
      <c r="S144" s="1808" t="str">
        <f t="shared" ca="1" si="16"/>
        <v/>
      </c>
      <c r="T144" s="1808" t="str">
        <f t="shared" ca="1" si="16"/>
        <v/>
      </c>
      <c r="U144" s="1808" t="str">
        <f t="shared" ca="1" si="16"/>
        <v/>
      </c>
      <c r="V144" s="1808">
        <f t="shared" ca="1" si="25"/>
        <v>1</v>
      </c>
    </row>
    <row r="145" spans="2:22">
      <c r="B145">
        <v>144</v>
      </c>
      <c r="C145" s="1808" t="str">
        <f t="shared" ca="1" si="24"/>
        <v/>
      </c>
      <c r="D145" s="1808" t="str">
        <f t="shared" ca="1" si="24"/>
        <v/>
      </c>
      <c r="E145" s="1808" t="str">
        <f t="shared" ca="1" si="24"/>
        <v/>
      </c>
      <c r="F145" s="1808" t="str">
        <f t="shared" ca="1" si="24"/>
        <v/>
      </c>
      <c r="G145" s="1808" t="str">
        <f t="shared" ca="1" si="24"/>
        <v/>
      </c>
      <c r="H145" s="1808" t="str">
        <f t="shared" ca="1" si="24"/>
        <v/>
      </c>
      <c r="I145" s="1808" t="str">
        <f t="shared" ca="1" si="24"/>
        <v/>
      </c>
      <c r="J145" s="1808" t="str">
        <f t="shared" ca="1" si="24"/>
        <v/>
      </c>
      <c r="K145" s="1808" t="str">
        <f t="shared" ca="1" si="24"/>
        <v/>
      </c>
      <c r="L145" s="1808" t="str">
        <f t="shared" ca="1" si="24"/>
        <v/>
      </c>
      <c r="M145" s="1808" t="str">
        <f t="shared" ref="D145:S160" ca="1" si="26">IFERROR(VLOOKUP($B145,INDIRECT(M$1&amp;"!"&amp;"A:A"),1,0),"")</f>
        <v/>
      </c>
      <c r="N145" s="1808" t="str">
        <f t="shared" ca="1" si="23"/>
        <v/>
      </c>
      <c r="O145" s="1808" t="str">
        <f t="shared" ca="1" si="23"/>
        <v/>
      </c>
      <c r="P145" s="1808" t="str">
        <f t="shared" ca="1" si="23"/>
        <v/>
      </c>
      <c r="Q145" s="1808" t="str">
        <f t="shared" ca="1" si="23"/>
        <v/>
      </c>
      <c r="R145" s="1808">
        <f t="shared" ca="1" si="16"/>
        <v>144</v>
      </c>
      <c r="S145" s="1808" t="str">
        <f t="shared" ca="1" si="16"/>
        <v/>
      </c>
      <c r="T145" s="1808" t="str">
        <f t="shared" ca="1" si="16"/>
        <v/>
      </c>
      <c r="U145" s="1808" t="str">
        <f t="shared" ca="1" si="16"/>
        <v/>
      </c>
      <c r="V145" s="1808">
        <f t="shared" ca="1" si="25"/>
        <v>1</v>
      </c>
    </row>
    <row r="146" spans="2:22">
      <c r="B146">
        <v>145</v>
      </c>
      <c r="C146" s="1808" t="str">
        <f t="shared" ca="1" si="24"/>
        <v/>
      </c>
      <c r="D146" s="1808" t="str">
        <f t="shared" ca="1" si="26"/>
        <v/>
      </c>
      <c r="E146" s="1808" t="str">
        <f t="shared" ca="1" si="26"/>
        <v/>
      </c>
      <c r="F146" s="1808" t="str">
        <f t="shared" ca="1" si="26"/>
        <v/>
      </c>
      <c r="G146" s="1808" t="str">
        <f t="shared" ca="1" si="26"/>
        <v/>
      </c>
      <c r="H146" s="1808" t="str">
        <f t="shared" ca="1" si="26"/>
        <v/>
      </c>
      <c r="I146" s="1808" t="str">
        <f t="shared" ca="1" si="26"/>
        <v/>
      </c>
      <c r="J146" s="1808" t="str">
        <f t="shared" ca="1" si="26"/>
        <v/>
      </c>
      <c r="K146" s="1808" t="str">
        <f t="shared" ca="1" si="26"/>
        <v/>
      </c>
      <c r="L146" s="1808" t="str">
        <f t="shared" ca="1" si="26"/>
        <v/>
      </c>
      <c r="M146" s="1808" t="str">
        <f t="shared" ca="1" si="26"/>
        <v/>
      </c>
      <c r="N146" s="1808" t="str">
        <f t="shared" ca="1" si="26"/>
        <v/>
      </c>
      <c r="O146" s="1808" t="str">
        <f t="shared" ca="1" si="26"/>
        <v/>
      </c>
      <c r="P146" s="1808" t="str">
        <f t="shared" ca="1" si="26"/>
        <v/>
      </c>
      <c r="Q146" s="1808" t="str">
        <f t="shared" ca="1" si="26"/>
        <v/>
      </c>
      <c r="R146" s="1808" t="str">
        <f t="shared" ca="1" si="26"/>
        <v/>
      </c>
      <c r="S146" s="1808" t="str">
        <f t="shared" ca="1" si="26"/>
        <v/>
      </c>
      <c r="T146" s="1808" t="str">
        <f t="shared" ref="R146:U209" ca="1" si="27">IFERROR(VLOOKUP($B146,INDIRECT(T$1&amp;"!"&amp;"A:A"),1,0),"")</f>
        <v/>
      </c>
      <c r="U146" s="1808">
        <f t="shared" ca="1" si="27"/>
        <v>145</v>
      </c>
      <c r="V146" s="1808">
        <f t="shared" ca="1" si="25"/>
        <v>1</v>
      </c>
    </row>
    <row r="147" spans="2:22">
      <c r="B147">
        <v>146</v>
      </c>
      <c r="C147" s="1808" t="str">
        <f t="shared" ca="1" si="24"/>
        <v/>
      </c>
      <c r="D147" s="1808" t="str">
        <f t="shared" ca="1" si="26"/>
        <v/>
      </c>
      <c r="E147" s="1808" t="str">
        <f t="shared" ca="1" si="26"/>
        <v/>
      </c>
      <c r="F147" s="1808" t="str">
        <f t="shared" ca="1" si="26"/>
        <v/>
      </c>
      <c r="G147" s="1808" t="str">
        <f t="shared" ca="1" si="26"/>
        <v/>
      </c>
      <c r="H147" s="1808" t="str">
        <f t="shared" ca="1" si="26"/>
        <v/>
      </c>
      <c r="I147" s="1808" t="str">
        <f t="shared" ca="1" si="26"/>
        <v/>
      </c>
      <c r="J147" s="1808" t="str">
        <f t="shared" ca="1" si="26"/>
        <v/>
      </c>
      <c r="K147" s="1808" t="str">
        <f t="shared" ca="1" si="26"/>
        <v/>
      </c>
      <c r="L147" s="1808" t="str">
        <f t="shared" ca="1" si="26"/>
        <v/>
      </c>
      <c r="M147" s="1808" t="str">
        <f t="shared" ca="1" si="26"/>
        <v/>
      </c>
      <c r="N147" s="1808" t="str">
        <f t="shared" ref="N147:Q160" ca="1" si="28">IFERROR(VLOOKUP($B147,INDIRECT(N$1&amp;"!"&amp;"A:A"),1,0),"")</f>
        <v/>
      </c>
      <c r="O147" s="1808" t="str">
        <f t="shared" ca="1" si="28"/>
        <v/>
      </c>
      <c r="P147" s="1808" t="str">
        <f t="shared" ca="1" si="28"/>
        <v/>
      </c>
      <c r="Q147" s="1808" t="str">
        <f t="shared" ca="1" si="28"/>
        <v/>
      </c>
      <c r="R147" s="1808" t="str">
        <f t="shared" ca="1" si="27"/>
        <v/>
      </c>
      <c r="S147" s="1808" t="str">
        <f t="shared" ca="1" si="27"/>
        <v/>
      </c>
      <c r="T147" s="1808" t="str">
        <f t="shared" ca="1" si="27"/>
        <v/>
      </c>
      <c r="U147" s="1808">
        <f t="shared" ca="1" si="27"/>
        <v>146</v>
      </c>
      <c r="V147" s="1808">
        <f t="shared" ca="1" si="25"/>
        <v>1</v>
      </c>
    </row>
    <row r="148" spans="2:22">
      <c r="B148">
        <v>147</v>
      </c>
      <c r="C148" s="1808" t="str">
        <f t="shared" ca="1" si="24"/>
        <v/>
      </c>
      <c r="D148" s="1808" t="str">
        <f t="shared" ca="1" si="26"/>
        <v/>
      </c>
      <c r="E148" s="1808" t="str">
        <f t="shared" ca="1" si="26"/>
        <v/>
      </c>
      <c r="F148" s="1808" t="str">
        <f t="shared" ca="1" si="26"/>
        <v/>
      </c>
      <c r="G148" s="1808" t="str">
        <f t="shared" ca="1" si="26"/>
        <v/>
      </c>
      <c r="H148" s="1808" t="str">
        <f t="shared" ca="1" si="26"/>
        <v/>
      </c>
      <c r="I148" s="1808" t="str">
        <f t="shared" ca="1" si="26"/>
        <v/>
      </c>
      <c r="J148" s="1808" t="str">
        <f t="shared" ca="1" si="26"/>
        <v/>
      </c>
      <c r="K148" s="1808" t="str">
        <f t="shared" ca="1" si="26"/>
        <v/>
      </c>
      <c r="L148" s="1808" t="str">
        <f t="shared" ca="1" si="26"/>
        <v/>
      </c>
      <c r="M148" s="1808" t="str">
        <f t="shared" ca="1" si="26"/>
        <v/>
      </c>
      <c r="N148" s="1808" t="str">
        <f t="shared" ca="1" si="28"/>
        <v/>
      </c>
      <c r="O148" s="1808" t="str">
        <f t="shared" ca="1" si="28"/>
        <v/>
      </c>
      <c r="P148" s="1808" t="str">
        <f t="shared" ca="1" si="28"/>
        <v/>
      </c>
      <c r="Q148" s="1808" t="str">
        <f t="shared" ca="1" si="28"/>
        <v/>
      </c>
      <c r="R148" s="1808" t="str">
        <f t="shared" ca="1" si="27"/>
        <v/>
      </c>
      <c r="S148" s="1808" t="str">
        <f t="shared" ca="1" si="27"/>
        <v/>
      </c>
      <c r="T148" s="1808" t="str">
        <f t="shared" ca="1" si="27"/>
        <v/>
      </c>
      <c r="U148" s="1808">
        <f t="shared" ca="1" si="27"/>
        <v>147</v>
      </c>
      <c r="V148" s="1808">
        <f t="shared" ca="1" si="25"/>
        <v>1</v>
      </c>
    </row>
    <row r="149" spans="2:22">
      <c r="B149">
        <v>148</v>
      </c>
      <c r="C149" s="1808" t="str">
        <f t="shared" ca="1" si="24"/>
        <v/>
      </c>
      <c r="D149" s="1808" t="str">
        <f t="shared" ca="1" si="26"/>
        <v/>
      </c>
      <c r="E149" s="1808" t="str">
        <f t="shared" ca="1" si="26"/>
        <v/>
      </c>
      <c r="F149" s="1808" t="str">
        <f t="shared" ca="1" si="26"/>
        <v/>
      </c>
      <c r="G149" s="1808" t="str">
        <f t="shared" ca="1" si="26"/>
        <v/>
      </c>
      <c r="H149" s="1808" t="str">
        <f t="shared" ca="1" si="26"/>
        <v/>
      </c>
      <c r="I149" s="1808" t="str">
        <f t="shared" ca="1" si="26"/>
        <v/>
      </c>
      <c r="J149" s="1808" t="str">
        <f t="shared" ca="1" si="26"/>
        <v/>
      </c>
      <c r="K149" s="1808" t="str">
        <f t="shared" ca="1" si="26"/>
        <v/>
      </c>
      <c r="L149" s="1808" t="str">
        <f t="shared" ca="1" si="26"/>
        <v/>
      </c>
      <c r="M149" s="1808" t="str">
        <f t="shared" ca="1" si="26"/>
        <v/>
      </c>
      <c r="N149" s="1808" t="str">
        <f t="shared" ca="1" si="28"/>
        <v/>
      </c>
      <c r="O149" s="1808" t="str">
        <f t="shared" ca="1" si="28"/>
        <v/>
      </c>
      <c r="P149" s="1808" t="str">
        <f t="shared" ca="1" si="28"/>
        <v/>
      </c>
      <c r="Q149" s="1808" t="str">
        <f t="shared" ca="1" si="28"/>
        <v/>
      </c>
      <c r="R149" s="1808" t="str">
        <f t="shared" ca="1" si="27"/>
        <v/>
      </c>
      <c r="S149" s="1808">
        <f t="shared" ca="1" si="27"/>
        <v>148</v>
      </c>
      <c r="T149" s="1808" t="str">
        <f t="shared" ca="1" si="27"/>
        <v/>
      </c>
      <c r="U149" s="1808" t="str">
        <f t="shared" ca="1" si="27"/>
        <v/>
      </c>
      <c r="V149" s="1808">
        <f t="shared" ca="1" si="25"/>
        <v>1</v>
      </c>
    </row>
    <row r="150" spans="2:22">
      <c r="B150">
        <v>149</v>
      </c>
      <c r="C150" s="1808" t="str">
        <f t="shared" ca="1" si="24"/>
        <v/>
      </c>
      <c r="D150" s="1808" t="str">
        <f t="shared" ca="1" si="26"/>
        <v/>
      </c>
      <c r="E150" s="1808" t="str">
        <f t="shared" ca="1" si="26"/>
        <v/>
      </c>
      <c r="F150" s="1808" t="str">
        <f t="shared" ca="1" si="26"/>
        <v/>
      </c>
      <c r="G150" s="1808" t="str">
        <f t="shared" ca="1" si="26"/>
        <v/>
      </c>
      <c r="H150" s="1808" t="str">
        <f t="shared" ca="1" si="26"/>
        <v/>
      </c>
      <c r="I150" s="1808" t="str">
        <f t="shared" ca="1" si="26"/>
        <v/>
      </c>
      <c r="J150" s="1808" t="str">
        <f t="shared" ca="1" si="26"/>
        <v/>
      </c>
      <c r="K150" s="1808" t="str">
        <f t="shared" ca="1" si="26"/>
        <v/>
      </c>
      <c r="L150" s="1808" t="str">
        <f t="shared" ca="1" si="26"/>
        <v/>
      </c>
      <c r="M150" s="1808" t="str">
        <f t="shared" ca="1" si="26"/>
        <v/>
      </c>
      <c r="N150" s="1808" t="str">
        <f t="shared" ca="1" si="28"/>
        <v/>
      </c>
      <c r="O150" s="1808" t="str">
        <f t="shared" ca="1" si="28"/>
        <v/>
      </c>
      <c r="P150" s="1808" t="str">
        <f t="shared" ca="1" si="28"/>
        <v/>
      </c>
      <c r="Q150" s="1808" t="str">
        <f t="shared" ca="1" si="28"/>
        <v/>
      </c>
      <c r="R150" s="1808" t="str">
        <f t="shared" ca="1" si="27"/>
        <v/>
      </c>
      <c r="S150" s="1808">
        <f t="shared" ca="1" si="27"/>
        <v>149</v>
      </c>
      <c r="T150" s="1808" t="str">
        <f t="shared" ca="1" si="27"/>
        <v/>
      </c>
      <c r="U150" s="1808" t="str">
        <f t="shared" ca="1" si="27"/>
        <v/>
      </c>
      <c r="V150" s="1808">
        <f t="shared" ca="1" si="25"/>
        <v>1</v>
      </c>
    </row>
    <row r="151" spans="2:22">
      <c r="B151">
        <v>150</v>
      </c>
      <c r="C151" s="1808" t="str">
        <f t="shared" ca="1" si="24"/>
        <v/>
      </c>
      <c r="D151" s="1808" t="str">
        <f t="shared" ca="1" si="26"/>
        <v/>
      </c>
      <c r="E151" s="1808" t="str">
        <f t="shared" ca="1" si="26"/>
        <v/>
      </c>
      <c r="F151" s="1808" t="str">
        <f t="shared" ca="1" si="26"/>
        <v/>
      </c>
      <c r="G151" s="1808" t="str">
        <f t="shared" ca="1" si="26"/>
        <v/>
      </c>
      <c r="H151" s="1808" t="str">
        <f t="shared" ca="1" si="26"/>
        <v/>
      </c>
      <c r="I151" s="1808" t="str">
        <f t="shared" ca="1" si="26"/>
        <v/>
      </c>
      <c r="J151" s="1808" t="str">
        <f t="shared" ca="1" si="26"/>
        <v/>
      </c>
      <c r="K151" s="1808" t="str">
        <f t="shared" ca="1" si="26"/>
        <v/>
      </c>
      <c r="L151" s="1808" t="str">
        <f t="shared" ca="1" si="26"/>
        <v/>
      </c>
      <c r="M151" s="1808" t="str">
        <f t="shared" ca="1" si="26"/>
        <v/>
      </c>
      <c r="N151" s="1808" t="str">
        <f t="shared" ca="1" si="28"/>
        <v/>
      </c>
      <c r="O151" s="1808" t="str">
        <f t="shared" ca="1" si="28"/>
        <v/>
      </c>
      <c r="P151" s="1808" t="str">
        <f t="shared" ca="1" si="28"/>
        <v/>
      </c>
      <c r="Q151" s="1808" t="str">
        <f t="shared" ca="1" si="28"/>
        <v/>
      </c>
      <c r="R151" s="1808" t="str">
        <f t="shared" ca="1" si="27"/>
        <v/>
      </c>
      <c r="S151" s="1808">
        <f t="shared" ca="1" si="27"/>
        <v>150</v>
      </c>
      <c r="T151" s="1808" t="str">
        <f t="shared" ca="1" si="27"/>
        <v/>
      </c>
      <c r="U151" s="1808" t="str">
        <f t="shared" ca="1" si="27"/>
        <v/>
      </c>
      <c r="V151" s="1808">
        <f t="shared" ca="1" si="25"/>
        <v>1</v>
      </c>
    </row>
    <row r="152" spans="2:22">
      <c r="B152">
        <v>151</v>
      </c>
      <c r="C152" s="1808" t="str">
        <f t="shared" ca="1" si="24"/>
        <v/>
      </c>
      <c r="D152" s="1808" t="str">
        <f t="shared" ca="1" si="26"/>
        <v/>
      </c>
      <c r="E152" s="1808" t="str">
        <f t="shared" ca="1" si="26"/>
        <v/>
      </c>
      <c r="F152" s="1808" t="str">
        <f t="shared" ca="1" si="26"/>
        <v/>
      </c>
      <c r="G152" s="1808" t="str">
        <f t="shared" ca="1" si="26"/>
        <v/>
      </c>
      <c r="H152" s="1808" t="str">
        <f t="shared" ca="1" si="26"/>
        <v/>
      </c>
      <c r="I152" s="1808" t="str">
        <f t="shared" ca="1" si="26"/>
        <v/>
      </c>
      <c r="J152" s="1808" t="str">
        <f t="shared" ca="1" si="26"/>
        <v/>
      </c>
      <c r="K152" s="1808" t="str">
        <f t="shared" ca="1" si="26"/>
        <v/>
      </c>
      <c r="L152" s="1808" t="str">
        <f t="shared" ca="1" si="26"/>
        <v/>
      </c>
      <c r="M152" s="1808" t="str">
        <f t="shared" ca="1" si="26"/>
        <v/>
      </c>
      <c r="N152" s="1808" t="str">
        <f t="shared" ca="1" si="28"/>
        <v/>
      </c>
      <c r="O152" s="1808" t="str">
        <f t="shared" ca="1" si="28"/>
        <v/>
      </c>
      <c r="P152" s="1808" t="str">
        <f t="shared" ca="1" si="28"/>
        <v/>
      </c>
      <c r="Q152" s="1808" t="str">
        <f t="shared" ca="1" si="28"/>
        <v/>
      </c>
      <c r="R152" s="1808" t="str">
        <f t="shared" ca="1" si="27"/>
        <v/>
      </c>
      <c r="S152" s="1808">
        <f t="shared" ca="1" si="27"/>
        <v>151</v>
      </c>
      <c r="T152" s="1808" t="str">
        <f t="shared" ca="1" si="27"/>
        <v/>
      </c>
      <c r="U152" s="1808" t="str">
        <f t="shared" ca="1" si="27"/>
        <v/>
      </c>
      <c r="V152" s="1808">
        <f t="shared" ca="1" si="25"/>
        <v>1</v>
      </c>
    </row>
    <row r="153" spans="2:22">
      <c r="B153">
        <v>152</v>
      </c>
      <c r="C153" s="1808" t="str">
        <f t="shared" ca="1" si="24"/>
        <v/>
      </c>
      <c r="D153" s="1808" t="str">
        <f t="shared" ca="1" si="26"/>
        <v/>
      </c>
      <c r="E153" s="1808" t="str">
        <f t="shared" ca="1" si="26"/>
        <v/>
      </c>
      <c r="F153" s="1808" t="str">
        <f t="shared" ca="1" si="26"/>
        <v/>
      </c>
      <c r="G153" s="1808" t="str">
        <f t="shared" ca="1" si="26"/>
        <v/>
      </c>
      <c r="H153" s="1808" t="str">
        <f t="shared" ca="1" si="26"/>
        <v/>
      </c>
      <c r="I153" s="1808" t="str">
        <f t="shared" ca="1" si="26"/>
        <v/>
      </c>
      <c r="J153" s="1808" t="str">
        <f t="shared" ca="1" si="26"/>
        <v/>
      </c>
      <c r="K153" s="1808" t="str">
        <f t="shared" ca="1" si="26"/>
        <v/>
      </c>
      <c r="L153" s="1808" t="str">
        <f t="shared" ca="1" si="26"/>
        <v/>
      </c>
      <c r="M153" s="1808" t="str">
        <f t="shared" ca="1" si="26"/>
        <v/>
      </c>
      <c r="N153" s="1808" t="str">
        <f t="shared" ca="1" si="28"/>
        <v/>
      </c>
      <c r="O153" s="1808" t="str">
        <f t="shared" ca="1" si="28"/>
        <v/>
      </c>
      <c r="P153" s="1808" t="str">
        <f t="shared" ca="1" si="28"/>
        <v/>
      </c>
      <c r="Q153" s="1808" t="str">
        <f t="shared" ca="1" si="28"/>
        <v/>
      </c>
      <c r="R153" s="1808" t="str">
        <f t="shared" ca="1" si="27"/>
        <v/>
      </c>
      <c r="S153" s="1808">
        <f t="shared" ca="1" si="27"/>
        <v>152</v>
      </c>
      <c r="T153" s="1808" t="str">
        <f t="shared" ca="1" si="27"/>
        <v/>
      </c>
      <c r="U153" s="1808" t="str">
        <f t="shared" ca="1" si="27"/>
        <v/>
      </c>
      <c r="V153" s="1808">
        <f t="shared" ca="1" si="25"/>
        <v>1</v>
      </c>
    </row>
    <row r="154" spans="2:22">
      <c r="B154">
        <v>153</v>
      </c>
      <c r="C154" s="1808" t="str">
        <f t="shared" ca="1" si="24"/>
        <v/>
      </c>
      <c r="D154" s="1808" t="str">
        <f t="shared" ca="1" si="26"/>
        <v/>
      </c>
      <c r="E154" s="1808" t="str">
        <f t="shared" ca="1" si="26"/>
        <v/>
      </c>
      <c r="F154" s="1808" t="str">
        <f t="shared" ca="1" si="26"/>
        <v/>
      </c>
      <c r="G154" s="1808" t="str">
        <f t="shared" ca="1" si="26"/>
        <v/>
      </c>
      <c r="H154" s="1808" t="str">
        <f t="shared" ca="1" si="26"/>
        <v/>
      </c>
      <c r="I154" s="1808" t="str">
        <f t="shared" ca="1" si="26"/>
        <v/>
      </c>
      <c r="J154" s="1808" t="str">
        <f t="shared" ca="1" si="26"/>
        <v/>
      </c>
      <c r="K154" s="1808" t="str">
        <f t="shared" ca="1" si="26"/>
        <v/>
      </c>
      <c r="L154" s="1808" t="str">
        <f t="shared" ca="1" si="26"/>
        <v/>
      </c>
      <c r="M154" s="1808" t="str">
        <f t="shared" ca="1" si="26"/>
        <v/>
      </c>
      <c r="N154" s="1808" t="str">
        <f t="shared" ca="1" si="28"/>
        <v/>
      </c>
      <c r="O154" s="1808" t="str">
        <f t="shared" ca="1" si="28"/>
        <v/>
      </c>
      <c r="P154" s="1808" t="str">
        <f t="shared" ca="1" si="28"/>
        <v/>
      </c>
      <c r="Q154" s="1808" t="str">
        <f t="shared" ca="1" si="28"/>
        <v/>
      </c>
      <c r="R154" s="1808" t="str">
        <f t="shared" ca="1" si="27"/>
        <v/>
      </c>
      <c r="S154" s="1808">
        <f t="shared" ca="1" si="27"/>
        <v>153</v>
      </c>
      <c r="T154" s="1808" t="str">
        <f t="shared" ca="1" si="27"/>
        <v/>
      </c>
      <c r="U154" s="1808" t="str">
        <f t="shared" ca="1" si="27"/>
        <v/>
      </c>
      <c r="V154" s="1808">
        <f t="shared" ca="1" si="25"/>
        <v>1</v>
      </c>
    </row>
    <row r="155" spans="2:22">
      <c r="B155">
        <v>154</v>
      </c>
      <c r="C155" s="1808" t="str">
        <f t="shared" ca="1" si="24"/>
        <v/>
      </c>
      <c r="D155" s="1808" t="str">
        <f t="shared" ca="1" si="26"/>
        <v/>
      </c>
      <c r="E155" s="1808" t="str">
        <f t="shared" ca="1" si="26"/>
        <v/>
      </c>
      <c r="F155" s="1808" t="str">
        <f t="shared" ca="1" si="26"/>
        <v/>
      </c>
      <c r="G155" s="1808" t="str">
        <f t="shared" ca="1" si="26"/>
        <v/>
      </c>
      <c r="H155" s="1808" t="str">
        <f t="shared" ca="1" si="26"/>
        <v/>
      </c>
      <c r="I155" s="1808" t="str">
        <f t="shared" ca="1" si="26"/>
        <v/>
      </c>
      <c r="J155" s="1808" t="str">
        <f t="shared" ca="1" si="26"/>
        <v/>
      </c>
      <c r="K155" s="1808" t="str">
        <f t="shared" ca="1" si="26"/>
        <v/>
      </c>
      <c r="L155" s="1808" t="str">
        <f t="shared" ca="1" si="26"/>
        <v/>
      </c>
      <c r="M155" s="1808" t="str">
        <f t="shared" ca="1" si="26"/>
        <v/>
      </c>
      <c r="N155" s="1808" t="str">
        <f t="shared" ca="1" si="28"/>
        <v/>
      </c>
      <c r="O155" s="1808" t="str">
        <f t="shared" ca="1" si="28"/>
        <v/>
      </c>
      <c r="P155" s="1808" t="str">
        <f t="shared" ca="1" si="28"/>
        <v/>
      </c>
      <c r="Q155" s="1808" t="str">
        <f t="shared" ca="1" si="28"/>
        <v/>
      </c>
      <c r="R155" s="1808" t="str">
        <f t="shared" ca="1" si="27"/>
        <v/>
      </c>
      <c r="S155" s="1808">
        <f t="shared" ca="1" si="27"/>
        <v>154</v>
      </c>
      <c r="T155" s="1808" t="str">
        <f t="shared" ca="1" si="27"/>
        <v/>
      </c>
      <c r="U155" s="1808" t="str">
        <f t="shared" ca="1" si="27"/>
        <v/>
      </c>
      <c r="V155" s="1808">
        <f t="shared" ca="1" si="25"/>
        <v>1</v>
      </c>
    </row>
    <row r="156" spans="2:22">
      <c r="B156">
        <v>155</v>
      </c>
      <c r="C156" s="1808" t="str">
        <f t="shared" ca="1" si="24"/>
        <v/>
      </c>
      <c r="D156" s="1808" t="str">
        <f t="shared" ca="1" si="26"/>
        <v/>
      </c>
      <c r="E156" s="1808" t="str">
        <f t="shared" ca="1" si="26"/>
        <v/>
      </c>
      <c r="F156" s="1808" t="str">
        <f t="shared" ca="1" si="26"/>
        <v/>
      </c>
      <c r="G156" s="1808" t="str">
        <f t="shared" ca="1" si="26"/>
        <v/>
      </c>
      <c r="H156" s="1808" t="str">
        <f t="shared" ca="1" si="26"/>
        <v/>
      </c>
      <c r="I156" s="1808" t="str">
        <f t="shared" ca="1" si="26"/>
        <v/>
      </c>
      <c r="J156" s="1808" t="str">
        <f t="shared" ca="1" si="26"/>
        <v/>
      </c>
      <c r="K156" s="1808" t="str">
        <f t="shared" ca="1" si="26"/>
        <v/>
      </c>
      <c r="L156" s="1808" t="str">
        <f t="shared" ca="1" si="26"/>
        <v/>
      </c>
      <c r="M156" s="1808" t="str">
        <f t="shared" ca="1" si="26"/>
        <v/>
      </c>
      <c r="N156" s="1808" t="str">
        <f t="shared" ca="1" si="28"/>
        <v/>
      </c>
      <c r="O156" s="1808" t="str">
        <f t="shared" ca="1" si="28"/>
        <v/>
      </c>
      <c r="P156" s="1808" t="str">
        <f t="shared" ca="1" si="28"/>
        <v/>
      </c>
      <c r="Q156" s="1808" t="str">
        <f t="shared" ca="1" si="28"/>
        <v/>
      </c>
      <c r="R156" s="1808" t="str">
        <f t="shared" ca="1" si="27"/>
        <v/>
      </c>
      <c r="S156" s="1808">
        <f t="shared" ca="1" si="27"/>
        <v>155</v>
      </c>
      <c r="T156" s="1808" t="str">
        <f t="shared" ca="1" si="27"/>
        <v/>
      </c>
      <c r="U156" s="1808" t="str">
        <f t="shared" ca="1" si="27"/>
        <v/>
      </c>
      <c r="V156" s="1808">
        <f t="shared" ca="1" si="25"/>
        <v>1</v>
      </c>
    </row>
    <row r="157" spans="2:22">
      <c r="B157">
        <v>156</v>
      </c>
      <c r="C157" s="1808" t="str">
        <f t="shared" ca="1" si="24"/>
        <v/>
      </c>
      <c r="D157" s="1808" t="str">
        <f t="shared" ca="1" si="26"/>
        <v/>
      </c>
      <c r="E157" s="1808" t="str">
        <f t="shared" ca="1" si="26"/>
        <v/>
      </c>
      <c r="F157" s="1808" t="str">
        <f t="shared" ca="1" si="26"/>
        <v/>
      </c>
      <c r="G157" s="1808" t="str">
        <f t="shared" ca="1" si="26"/>
        <v/>
      </c>
      <c r="H157" s="1808" t="str">
        <f t="shared" ca="1" si="26"/>
        <v/>
      </c>
      <c r="I157" s="1808" t="str">
        <f t="shared" ca="1" si="26"/>
        <v/>
      </c>
      <c r="J157" s="1808" t="str">
        <f t="shared" ca="1" si="26"/>
        <v/>
      </c>
      <c r="K157" s="1808" t="str">
        <f t="shared" ca="1" si="26"/>
        <v/>
      </c>
      <c r="L157" s="1808" t="str">
        <f t="shared" ca="1" si="26"/>
        <v/>
      </c>
      <c r="M157" s="1808" t="str">
        <f t="shared" ca="1" si="26"/>
        <v/>
      </c>
      <c r="N157" s="1808" t="str">
        <f t="shared" ca="1" si="28"/>
        <v/>
      </c>
      <c r="O157" s="1808" t="str">
        <f t="shared" ca="1" si="28"/>
        <v/>
      </c>
      <c r="P157" s="1808" t="str">
        <f t="shared" ca="1" si="28"/>
        <v/>
      </c>
      <c r="Q157" s="1808" t="str">
        <f t="shared" ca="1" si="28"/>
        <v/>
      </c>
      <c r="R157" s="1808" t="str">
        <f t="shared" ca="1" si="27"/>
        <v/>
      </c>
      <c r="S157" s="1808">
        <f t="shared" ca="1" si="27"/>
        <v>156</v>
      </c>
      <c r="T157" s="1808" t="str">
        <f t="shared" ca="1" si="27"/>
        <v/>
      </c>
      <c r="U157" s="1808" t="str">
        <f t="shared" ca="1" si="27"/>
        <v/>
      </c>
      <c r="V157" s="1808">
        <f t="shared" ca="1" si="25"/>
        <v>1</v>
      </c>
    </row>
    <row r="158" spans="2:22">
      <c r="B158">
        <v>157</v>
      </c>
      <c r="C158" s="1808" t="str">
        <f t="shared" ca="1" si="24"/>
        <v/>
      </c>
      <c r="D158" s="1808" t="str">
        <f t="shared" ca="1" si="26"/>
        <v/>
      </c>
      <c r="E158" s="1808" t="str">
        <f t="shared" ca="1" si="26"/>
        <v/>
      </c>
      <c r="F158" s="1808" t="str">
        <f t="shared" ca="1" si="26"/>
        <v/>
      </c>
      <c r="G158" s="1808" t="str">
        <f t="shared" ca="1" si="26"/>
        <v/>
      </c>
      <c r="H158" s="1808" t="str">
        <f t="shared" ca="1" si="26"/>
        <v/>
      </c>
      <c r="I158" s="1808" t="str">
        <f t="shared" ca="1" si="26"/>
        <v/>
      </c>
      <c r="J158" s="1808" t="str">
        <f t="shared" ca="1" si="26"/>
        <v/>
      </c>
      <c r="K158" s="1808" t="str">
        <f t="shared" ca="1" si="26"/>
        <v/>
      </c>
      <c r="L158" s="1808" t="str">
        <f t="shared" ca="1" si="26"/>
        <v/>
      </c>
      <c r="M158" s="1808" t="str">
        <f t="shared" ca="1" si="26"/>
        <v/>
      </c>
      <c r="N158" s="1808" t="str">
        <f t="shared" ca="1" si="28"/>
        <v/>
      </c>
      <c r="O158" s="1808" t="str">
        <f t="shared" ca="1" si="28"/>
        <v/>
      </c>
      <c r="P158" s="1808" t="str">
        <f t="shared" ca="1" si="28"/>
        <v/>
      </c>
      <c r="Q158" s="1808" t="str">
        <f t="shared" ca="1" si="28"/>
        <v/>
      </c>
      <c r="R158" s="1808" t="str">
        <f t="shared" ca="1" si="27"/>
        <v/>
      </c>
      <c r="S158" s="1808">
        <f t="shared" ca="1" si="27"/>
        <v>157</v>
      </c>
      <c r="T158" s="1808" t="str">
        <f t="shared" ca="1" si="27"/>
        <v/>
      </c>
      <c r="U158" s="1808" t="str">
        <f t="shared" ca="1" si="27"/>
        <v/>
      </c>
      <c r="V158" s="1808">
        <f t="shared" ca="1" si="25"/>
        <v>1</v>
      </c>
    </row>
    <row r="159" spans="2:22">
      <c r="B159">
        <v>158</v>
      </c>
      <c r="C159" s="1808" t="str">
        <f t="shared" ca="1" si="24"/>
        <v/>
      </c>
      <c r="D159" s="1808" t="str">
        <f t="shared" ca="1" si="26"/>
        <v/>
      </c>
      <c r="E159" s="1808" t="str">
        <f t="shared" ca="1" si="26"/>
        <v/>
      </c>
      <c r="F159" s="1808" t="str">
        <f t="shared" ca="1" si="26"/>
        <v/>
      </c>
      <c r="G159" s="1808" t="str">
        <f t="shared" ca="1" si="26"/>
        <v/>
      </c>
      <c r="H159" s="1808" t="str">
        <f t="shared" ca="1" si="26"/>
        <v/>
      </c>
      <c r="I159" s="1808" t="str">
        <f t="shared" ca="1" si="26"/>
        <v/>
      </c>
      <c r="J159" s="1808" t="str">
        <f t="shared" ca="1" si="26"/>
        <v/>
      </c>
      <c r="K159" s="1808" t="str">
        <f t="shared" ca="1" si="26"/>
        <v/>
      </c>
      <c r="L159" s="1808" t="str">
        <f t="shared" ca="1" si="26"/>
        <v/>
      </c>
      <c r="M159" s="1808" t="str">
        <f t="shared" ca="1" si="26"/>
        <v/>
      </c>
      <c r="N159" s="1808" t="str">
        <f t="shared" ca="1" si="28"/>
        <v/>
      </c>
      <c r="O159" s="1808" t="str">
        <f t="shared" ca="1" si="28"/>
        <v/>
      </c>
      <c r="P159" s="1808" t="str">
        <f t="shared" ca="1" si="28"/>
        <v/>
      </c>
      <c r="Q159" s="1808" t="str">
        <f t="shared" ca="1" si="28"/>
        <v/>
      </c>
      <c r="R159" s="1808" t="str">
        <f t="shared" ca="1" si="27"/>
        <v/>
      </c>
      <c r="S159" s="1808">
        <f t="shared" ca="1" si="27"/>
        <v>158</v>
      </c>
      <c r="T159" s="1808" t="str">
        <f t="shared" ca="1" si="27"/>
        <v/>
      </c>
      <c r="U159" s="1808" t="str">
        <f t="shared" ca="1" si="27"/>
        <v/>
      </c>
      <c r="V159" s="1808">
        <f t="shared" ca="1" si="25"/>
        <v>1</v>
      </c>
    </row>
    <row r="160" spans="2:22">
      <c r="B160">
        <v>159</v>
      </c>
      <c r="C160" s="1808" t="str">
        <f t="shared" ca="1" si="24"/>
        <v/>
      </c>
      <c r="D160" s="1808" t="str">
        <f t="shared" ca="1" si="26"/>
        <v/>
      </c>
      <c r="E160" s="1808" t="str">
        <f t="shared" ca="1" si="26"/>
        <v/>
      </c>
      <c r="F160" s="1808" t="str">
        <f t="shared" ca="1" si="26"/>
        <v/>
      </c>
      <c r="G160" s="1808" t="str">
        <f t="shared" ca="1" si="26"/>
        <v/>
      </c>
      <c r="H160" s="1808" t="str">
        <f t="shared" ca="1" si="26"/>
        <v/>
      </c>
      <c r="I160" s="1808" t="str">
        <f t="shared" ca="1" si="26"/>
        <v/>
      </c>
      <c r="J160" s="1808" t="str">
        <f t="shared" ca="1" si="26"/>
        <v/>
      </c>
      <c r="K160" s="1808" t="str">
        <f t="shared" ca="1" si="26"/>
        <v/>
      </c>
      <c r="L160" s="1808" t="str">
        <f t="shared" ca="1" si="26"/>
        <v/>
      </c>
      <c r="M160" s="1808" t="str">
        <f t="shared" ca="1" si="26"/>
        <v/>
      </c>
      <c r="N160" s="1808">
        <f t="shared" ca="1" si="28"/>
        <v>159</v>
      </c>
      <c r="O160" s="1808" t="str">
        <f t="shared" ca="1" si="28"/>
        <v/>
      </c>
      <c r="P160" s="1808" t="str">
        <f t="shared" ca="1" si="28"/>
        <v/>
      </c>
      <c r="Q160" s="1808" t="str">
        <f t="shared" ca="1" si="28"/>
        <v/>
      </c>
      <c r="R160" s="1808" t="str">
        <f t="shared" ca="1" si="27"/>
        <v/>
      </c>
      <c r="S160" s="1808" t="str">
        <f t="shared" ca="1" si="27"/>
        <v/>
      </c>
      <c r="T160" s="1808" t="str">
        <f t="shared" ca="1" si="27"/>
        <v/>
      </c>
      <c r="U160" s="1808" t="str">
        <f t="shared" ca="1" si="27"/>
        <v/>
      </c>
      <c r="V160" s="1808">
        <f t="shared" ca="1" si="25"/>
        <v>1</v>
      </c>
    </row>
    <row r="161" spans="2:22">
      <c r="B161">
        <v>160</v>
      </c>
      <c r="C161" s="1808" t="str">
        <f t="shared" ca="1" si="24"/>
        <v/>
      </c>
      <c r="D161" s="1808" t="str">
        <f t="shared" ref="D161:Q176" ca="1" si="29">IFERROR(VLOOKUP($B161,INDIRECT(D$1&amp;"!"&amp;"A:A"),1,0),"")</f>
        <v/>
      </c>
      <c r="E161" s="1808" t="str">
        <f t="shared" ca="1" si="29"/>
        <v/>
      </c>
      <c r="F161" s="1808" t="str">
        <f t="shared" ca="1" si="29"/>
        <v/>
      </c>
      <c r="G161" s="1808" t="str">
        <f t="shared" ca="1" si="29"/>
        <v/>
      </c>
      <c r="H161" s="1808" t="str">
        <f t="shared" ca="1" si="29"/>
        <v/>
      </c>
      <c r="I161" s="1808" t="str">
        <f t="shared" ca="1" si="29"/>
        <v/>
      </c>
      <c r="J161" s="1808" t="str">
        <f t="shared" ca="1" si="29"/>
        <v/>
      </c>
      <c r="K161" s="1808" t="str">
        <f t="shared" ca="1" si="29"/>
        <v/>
      </c>
      <c r="L161" s="1808" t="str">
        <f t="shared" ca="1" si="29"/>
        <v/>
      </c>
      <c r="M161" s="1808" t="str">
        <f t="shared" ca="1" si="29"/>
        <v/>
      </c>
      <c r="N161" s="1808">
        <f t="shared" ca="1" si="29"/>
        <v>160</v>
      </c>
      <c r="O161" s="1808" t="str">
        <f t="shared" ca="1" si="29"/>
        <v/>
      </c>
      <c r="P161" s="1808" t="str">
        <f t="shared" ca="1" si="29"/>
        <v/>
      </c>
      <c r="Q161" s="1808" t="str">
        <f t="shared" ca="1" si="29"/>
        <v/>
      </c>
      <c r="R161" s="1808" t="str">
        <f t="shared" ca="1" si="27"/>
        <v/>
      </c>
      <c r="S161" s="1808" t="str">
        <f t="shared" ca="1" si="27"/>
        <v/>
      </c>
      <c r="T161" s="1808" t="str">
        <f t="shared" ca="1" si="27"/>
        <v/>
      </c>
      <c r="U161" s="1808" t="str">
        <f t="shared" ca="1" si="27"/>
        <v/>
      </c>
      <c r="V161" s="1808">
        <f t="shared" ca="1" si="25"/>
        <v>1</v>
      </c>
    </row>
    <row r="162" spans="2:22">
      <c r="B162">
        <v>161</v>
      </c>
      <c r="C162" s="1808" t="str">
        <f t="shared" ca="1" si="24"/>
        <v/>
      </c>
      <c r="D162" s="1808" t="str">
        <f t="shared" ca="1" si="29"/>
        <v/>
      </c>
      <c r="E162" s="1808" t="str">
        <f t="shared" ca="1" si="29"/>
        <v/>
      </c>
      <c r="F162" s="1808" t="str">
        <f t="shared" ca="1" si="29"/>
        <v/>
      </c>
      <c r="G162" s="1808" t="str">
        <f t="shared" ca="1" si="29"/>
        <v/>
      </c>
      <c r="H162" s="1808" t="str">
        <f t="shared" ca="1" si="29"/>
        <v/>
      </c>
      <c r="I162" s="1808" t="str">
        <f t="shared" ca="1" si="29"/>
        <v/>
      </c>
      <c r="J162" s="1808" t="str">
        <f t="shared" ca="1" si="29"/>
        <v/>
      </c>
      <c r="K162" s="1808" t="str">
        <f t="shared" ca="1" si="29"/>
        <v/>
      </c>
      <c r="L162" s="1808" t="str">
        <f t="shared" ca="1" si="29"/>
        <v/>
      </c>
      <c r="M162" s="1808" t="str">
        <f t="shared" ca="1" si="29"/>
        <v/>
      </c>
      <c r="N162" s="1808">
        <f t="shared" ref="N162:Q176" ca="1" si="30">IFERROR(VLOOKUP($B162,INDIRECT(N$1&amp;"!"&amp;"A:A"),1,0),"")</f>
        <v>161</v>
      </c>
      <c r="O162" s="1808" t="str">
        <f t="shared" ca="1" si="30"/>
        <v/>
      </c>
      <c r="P162" s="1808" t="str">
        <f t="shared" ca="1" si="30"/>
        <v/>
      </c>
      <c r="Q162" s="1808" t="str">
        <f t="shared" ca="1" si="30"/>
        <v/>
      </c>
      <c r="R162" s="1808" t="str">
        <f t="shared" ca="1" si="27"/>
        <v/>
      </c>
      <c r="S162" s="1808" t="str">
        <f t="shared" ca="1" si="27"/>
        <v/>
      </c>
      <c r="T162" s="1808" t="str">
        <f t="shared" ca="1" si="27"/>
        <v/>
      </c>
      <c r="U162" s="1808" t="str">
        <f t="shared" ca="1" si="27"/>
        <v/>
      </c>
      <c r="V162" s="1808">
        <f t="shared" ca="1" si="25"/>
        <v>1</v>
      </c>
    </row>
    <row r="163" spans="2:22">
      <c r="B163">
        <v>162</v>
      </c>
      <c r="C163" s="1808" t="str">
        <f t="shared" ca="1" si="24"/>
        <v/>
      </c>
      <c r="D163" s="1808" t="str">
        <f t="shared" ca="1" si="29"/>
        <v/>
      </c>
      <c r="E163" s="1808" t="str">
        <f t="shared" ca="1" si="29"/>
        <v/>
      </c>
      <c r="F163" s="1808" t="str">
        <f t="shared" ca="1" si="29"/>
        <v/>
      </c>
      <c r="G163" s="1808" t="str">
        <f t="shared" ca="1" si="29"/>
        <v/>
      </c>
      <c r="H163" s="1808" t="str">
        <f t="shared" ca="1" si="29"/>
        <v/>
      </c>
      <c r="I163" s="1808" t="str">
        <f t="shared" ca="1" si="29"/>
        <v/>
      </c>
      <c r="J163" s="1808" t="str">
        <f t="shared" ca="1" si="29"/>
        <v/>
      </c>
      <c r="K163" s="1808" t="str">
        <f t="shared" ca="1" si="29"/>
        <v/>
      </c>
      <c r="L163" s="1808" t="str">
        <f t="shared" ca="1" si="29"/>
        <v/>
      </c>
      <c r="M163" s="1808" t="str">
        <f t="shared" ca="1" si="29"/>
        <v/>
      </c>
      <c r="N163" s="1808">
        <f t="shared" ca="1" si="30"/>
        <v>162</v>
      </c>
      <c r="O163" s="1808" t="str">
        <f t="shared" ca="1" si="30"/>
        <v/>
      </c>
      <c r="P163" s="1808" t="str">
        <f t="shared" ca="1" si="30"/>
        <v/>
      </c>
      <c r="Q163" s="1808" t="str">
        <f t="shared" ca="1" si="30"/>
        <v/>
      </c>
      <c r="R163" s="1808" t="str">
        <f t="shared" ca="1" si="27"/>
        <v/>
      </c>
      <c r="S163" s="1808" t="str">
        <f t="shared" ca="1" si="27"/>
        <v/>
      </c>
      <c r="T163" s="1808" t="str">
        <f t="shared" ca="1" si="27"/>
        <v/>
      </c>
      <c r="U163" s="1808" t="str">
        <f t="shared" ca="1" si="27"/>
        <v/>
      </c>
      <c r="V163" s="1808">
        <f t="shared" ca="1" si="25"/>
        <v>1</v>
      </c>
    </row>
    <row r="164" spans="2:22">
      <c r="B164">
        <v>163</v>
      </c>
      <c r="C164" s="1808" t="str">
        <f t="shared" ca="1" si="24"/>
        <v/>
      </c>
      <c r="D164" s="1808" t="str">
        <f t="shared" ca="1" si="29"/>
        <v/>
      </c>
      <c r="E164" s="1808" t="str">
        <f t="shared" ca="1" si="29"/>
        <v/>
      </c>
      <c r="F164" s="1808" t="str">
        <f t="shared" ca="1" si="29"/>
        <v/>
      </c>
      <c r="G164" s="1808" t="str">
        <f t="shared" ca="1" si="29"/>
        <v/>
      </c>
      <c r="H164" s="1808" t="str">
        <f t="shared" ca="1" si="29"/>
        <v/>
      </c>
      <c r="I164" s="1808" t="str">
        <f t="shared" ca="1" si="29"/>
        <v/>
      </c>
      <c r="J164" s="1808" t="str">
        <f t="shared" ca="1" si="29"/>
        <v/>
      </c>
      <c r="K164" s="1808" t="str">
        <f t="shared" ca="1" si="29"/>
        <v/>
      </c>
      <c r="L164" s="1808" t="str">
        <f t="shared" ca="1" si="29"/>
        <v/>
      </c>
      <c r="M164" s="1808" t="str">
        <f t="shared" ca="1" si="29"/>
        <v/>
      </c>
      <c r="N164" s="1808">
        <f t="shared" ca="1" si="30"/>
        <v>163</v>
      </c>
      <c r="O164" s="1808" t="str">
        <f t="shared" ca="1" si="30"/>
        <v/>
      </c>
      <c r="P164" s="1808" t="str">
        <f t="shared" ca="1" si="30"/>
        <v/>
      </c>
      <c r="Q164" s="1808" t="str">
        <f t="shared" ca="1" si="30"/>
        <v/>
      </c>
      <c r="R164" s="1808" t="str">
        <f t="shared" ca="1" si="27"/>
        <v/>
      </c>
      <c r="S164" s="1808" t="str">
        <f t="shared" ca="1" si="27"/>
        <v/>
      </c>
      <c r="T164" s="1808" t="str">
        <f t="shared" ca="1" si="27"/>
        <v/>
      </c>
      <c r="U164" s="1808" t="str">
        <f t="shared" ca="1" si="27"/>
        <v/>
      </c>
      <c r="V164" s="1808">
        <f t="shared" ca="1" si="25"/>
        <v>1</v>
      </c>
    </row>
    <row r="165" spans="2:22">
      <c r="B165">
        <v>164</v>
      </c>
      <c r="C165" s="1808" t="str">
        <f t="shared" ca="1" si="24"/>
        <v/>
      </c>
      <c r="D165" s="1808" t="str">
        <f t="shared" ca="1" si="29"/>
        <v/>
      </c>
      <c r="E165" s="1808" t="str">
        <f t="shared" ca="1" si="29"/>
        <v/>
      </c>
      <c r="F165" s="1808" t="str">
        <f t="shared" ca="1" si="29"/>
        <v/>
      </c>
      <c r="G165" s="1808" t="str">
        <f t="shared" ca="1" si="29"/>
        <v/>
      </c>
      <c r="H165" s="1808" t="str">
        <f t="shared" ca="1" si="29"/>
        <v/>
      </c>
      <c r="I165" s="1808" t="str">
        <f t="shared" ca="1" si="29"/>
        <v/>
      </c>
      <c r="J165" s="1808" t="str">
        <f t="shared" ca="1" si="29"/>
        <v/>
      </c>
      <c r="K165" s="1808" t="str">
        <f t="shared" ca="1" si="29"/>
        <v/>
      </c>
      <c r="L165" s="1808" t="str">
        <f t="shared" ca="1" si="29"/>
        <v/>
      </c>
      <c r="M165" s="1808" t="str">
        <f t="shared" ca="1" si="29"/>
        <v/>
      </c>
      <c r="N165" s="1808" t="str">
        <f t="shared" ca="1" si="30"/>
        <v/>
      </c>
      <c r="O165" s="1808" t="str">
        <f t="shared" ca="1" si="30"/>
        <v/>
      </c>
      <c r="P165" s="1808">
        <f t="shared" ca="1" si="30"/>
        <v>164</v>
      </c>
      <c r="Q165" s="1808" t="str">
        <f t="shared" ca="1" si="30"/>
        <v/>
      </c>
      <c r="R165" s="1808" t="str">
        <f t="shared" ca="1" si="27"/>
        <v/>
      </c>
      <c r="S165" s="1808" t="str">
        <f t="shared" ca="1" si="27"/>
        <v/>
      </c>
      <c r="T165" s="1808" t="str">
        <f t="shared" ca="1" si="27"/>
        <v/>
      </c>
      <c r="U165" s="1808" t="str">
        <f t="shared" ca="1" si="27"/>
        <v/>
      </c>
      <c r="V165" s="1808">
        <f t="shared" ca="1" si="25"/>
        <v>1</v>
      </c>
    </row>
    <row r="166" spans="2:22">
      <c r="B166">
        <v>165</v>
      </c>
      <c r="C166" s="1808" t="str">
        <f t="shared" ca="1" si="24"/>
        <v/>
      </c>
      <c r="D166" s="1808" t="str">
        <f t="shared" ca="1" si="29"/>
        <v/>
      </c>
      <c r="E166" s="1808" t="str">
        <f t="shared" ca="1" si="29"/>
        <v/>
      </c>
      <c r="F166" s="1808" t="str">
        <f t="shared" ca="1" si="29"/>
        <v/>
      </c>
      <c r="G166" s="1808" t="str">
        <f t="shared" ca="1" si="29"/>
        <v/>
      </c>
      <c r="H166" s="1808" t="str">
        <f t="shared" ca="1" si="29"/>
        <v/>
      </c>
      <c r="I166" s="1808" t="str">
        <f t="shared" ca="1" si="29"/>
        <v/>
      </c>
      <c r="J166" s="1808" t="str">
        <f t="shared" ca="1" si="29"/>
        <v/>
      </c>
      <c r="K166" s="1808" t="str">
        <f t="shared" ca="1" si="29"/>
        <v/>
      </c>
      <c r="L166" s="1808" t="str">
        <f t="shared" ca="1" si="29"/>
        <v/>
      </c>
      <c r="M166" s="1808" t="str">
        <f t="shared" ca="1" si="29"/>
        <v/>
      </c>
      <c r="N166" s="1808">
        <f t="shared" ca="1" si="30"/>
        <v>165</v>
      </c>
      <c r="O166" s="1808" t="str">
        <f t="shared" ca="1" si="30"/>
        <v/>
      </c>
      <c r="P166" s="1808" t="str">
        <f t="shared" ca="1" si="30"/>
        <v/>
      </c>
      <c r="Q166" s="1808" t="str">
        <f t="shared" ca="1" si="30"/>
        <v/>
      </c>
      <c r="R166" s="1808" t="str">
        <f t="shared" ca="1" si="27"/>
        <v/>
      </c>
      <c r="S166" s="1808" t="str">
        <f t="shared" ca="1" si="27"/>
        <v/>
      </c>
      <c r="T166" s="1808" t="str">
        <f t="shared" ca="1" si="27"/>
        <v/>
      </c>
      <c r="U166" s="1808" t="str">
        <f t="shared" ca="1" si="27"/>
        <v/>
      </c>
      <c r="V166" s="1808">
        <f t="shared" ca="1" si="25"/>
        <v>1</v>
      </c>
    </row>
    <row r="167" spans="2:22">
      <c r="B167">
        <v>166</v>
      </c>
      <c r="C167" s="1808" t="str">
        <f t="shared" ca="1" si="24"/>
        <v/>
      </c>
      <c r="D167" s="1808" t="str">
        <f t="shared" ca="1" si="29"/>
        <v/>
      </c>
      <c r="E167" s="1808">
        <f t="shared" ca="1" si="29"/>
        <v>166</v>
      </c>
      <c r="F167" s="1808" t="str">
        <f t="shared" ca="1" si="29"/>
        <v/>
      </c>
      <c r="G167" s="1808" t="str">
        <f t="shared" ca="1" si="29"/>
        <v/>
      </c>
      <c r="H167" s="1808" t="str">
        <f t="shared" ca="1" si="29"/>
        <v/>
      </c>
      <c r="I167" s="1808" t="str">
        <f t="shared" ca="1" si="29"/>
        <v/>
      </c>
      <c r="J167" s="1808" t="str">
        <f t="shared" ca="1" si="29"/>
        <v/>
      </c>
      <c r="K167" s="1808" t="str">
        <f t="shared" ca="1" si="29"/>
        <v/>
      </c>
      <c r="L167" s="1808" t="str">
        <f t="shared" ca="1" si="29"/>
        <v/>
      </c>
      <c r="M167" s="1808" t="str">
        <f t="shared" ca="1" si="29"/>
        <v/>
      </c>
      <c r="N167" s="1808" t="str">
        <f t="shared" ca="1" si="30"/>
        <v/>
      </c>
      <c r="O167" s="1808" t="str">
        <f t="shared" ca="1" si="30"/>
        <v/>
      </c>
      <c r="P167" s="1808" t="str">
        <f t="shared" ca="1" si="30"/>
        <v/>
      </c>
      <c r="Q167" s="1808" t="str">
        <f t="shared" ca="1" si="30"/>
        <v/>
      </c>
      <c r="R167" s="1808" t="str">
        <f t="shared" ca="1" si="27"/>
        <v/>
      </c>
      <c r="S167" s="1808" t="str">
        <f t="shared" ca="1" si="27"/>
        <v/>
      </c>
      <c r="T167" s="1808" t="str">
        <f t="shared" ca="1" si="27"/>
        <v/>
      </c>
      <c r="U167" s="1808" t="str">
        <f t="shared" ca="1" si="27"/>
        <v/>
      </c>
      <c r="V167" s="1808">
        <f t="shared" ca="1" si="25"/>
        <v>1</v>
      </c>
    </row>
    <row r="168" spans="2:22">
      <c r="B168">
        <v>167</v>
      </c>
      <c r="C168" s="1808" t="str">
        <f t="shared" ca="1" si="24"/>
        <v/>
      </c>
      <c r="D168" s="1808" t="str">
        <f t="shared" ca="1" si="29"/>
        <v/>
      </c>
      <c r="E168" s="1808">
        <f t="shared" ca="1" si="29"/>
        <v>167</v>
      </c>
      <c r="F168" s="1808" t="str">
        <f t="shared" ca="1" si="29"/>
        <v/>
      </c>
      <c r="G168" s="1808" t="str">
        <f t="shared" ca="1" si="29"/>
        <v/>
      </c>
      <c r="H168" s="1808" t="str">
        <f t="shared" ca="1" si="29"/>
        <v/>
      </c>
      <c r="I168" s="1808" t="str">
        <f t="shared" ca="1" si="29"/>
        <v/>
      </c>
      <c r="J168" s="1808" t="str">
        <f t="shared" ca="1" si="29"/>
        <v/>
      </c>
      <c r="K168" s="1808" t="str">
        <f t="shared" ca="1" si="29"/>
        <v/>
      </c>
      <c r="L168" s="1808" t="str">
        <f t="shared" ca="1" si="29"/>
        <v/>
      </c>
      <c r="M168" s="1808" t="str">
        <f t="shared" ca="1" si="29"/>
        <v/>
      </c>
      <c r="N168" s="1808" t="str">
        <f t="shared" ca="1" si="30"/>
        <v/>
      </c>
      <c r="O168" s="1808" t="str">
        <f t="shared" ca="1" si="30"/>
        <v/>
      </c>
      <c r="P168" s="1808" t="str">
        <f t="shared" ca="1" si="30"/>
        <v/>
      </c>
      <c r="Q168" s="1808" t="str">
        <f t="shared" ca="1" si="30"/>
        <v/>
      </c>
      <c r="R168" s="1808" t="str">
        <f t="shared" ca="1" si="27"/>
        <v/>
      </c>
      <c r="S168" s="1808" t="str">
        <f t="shared" ca="1" si="27"/>
        <v/>
      </c>
      <c r="T168" s="1808" t="str">
        <f t="shared" ca="1" si="27"/>
        <v/>
      </c>
      <c r="U168" s="1808" t="str">
        <f t="shared" ca="1" si="27"/>
        <v/>
      </c>
      <c r="V168" s="1808">
        <f t="shared" ca="1" si="25"/>
        <v>1</v>
      </c>
    </row>
    <row r="169" spans="2:22">
      <c r="B169">
        <v>168</v>
      </c>
      <c r="C169" s="1808" t="str">
        <f t="shared" ca="1" si="24"/>
        <v/>
      </c>
      <c r="D169" s="1808" t="str">
        <f t="shared" ca="1" si="29"/>
        <v/>
      </c>
      <c r="E169" s="1808" t="str">
        <f t="shared" ca="1" si="29"/>
        <v/>
      </c>
      <c r="F169" s="1808" t="str">
        <f t="shared" ca="1" si="29"/>
        <v/>
      </c>
      <c r="G169" s="1808" t="str">
        <f t="shared" ca="1" si="29"/>
        <v/>
      </c>
      <c r="H169" s="1808" t="str">
        <f t="shared" ca="1" si="29"/>
        <v/>
      </c>
      <c r="I169" s="1808" t="str">
        <f t="shared" ca="1" si="29"/>
        <v/>
      </c>
      <c r="J169" s="1808" t="str">
        <f t="shared" ca="1" si="29"/>
        <v/>
      </c>
      <c r="K169" s="1808" t="str">
        <f t="shared" ca="1" si="29"/>
        <v/>
      </c>
      <c r="L169" s="1808" t="str">
        <f t="shared" ca="1" si="29"/>
        <v/>
      </c>
      <c r="M169" s="1808" t="str">
        <f t="shared" ca="1" si="29"/>
        <v/>
      </c>
      <c r="N169" s="1808">
        <f t="shared" ca="1" si="30"/>
        <v>168</v>
      </c>
      <c r="O169" s="1808" t="str">
        <f t="shared" ca="1" si="30"/>
        <v/>
      </c>
      <c r="P169" s="1808" t="str">
        <f t="shared" ca="1" si="30"/>
        <v/>
      </c>
      <c r="Q169" s="1808" t="str">
        <f t="shared" ca="1" si="30"/>
        <v/>
      </c>
      <c r="R169" s="1808" t="str">
        <f t="shared" ca="1" si="27"/>
        <v/>
      </c>
      <c r="S169" s="1808" t="str">
        <f t="shared" ca="1" si="27"/>
        <v/>
      </c>
      <c r="T169" s="1808" t="str">
        <f t="shared" ca="1" si="27"/>
        <v/>
      </c>
      <c r="U169" s="1808" t="str">
        <f t="shared" ca="1" si="27"/>
        <v/>
      </c>
      <c r="V169" s="1808">
        <f t="shared" ca="1" si="25"/>
        <v>1</v>
      </c>
    </row>
    <row r="170" spans="2:22">
      <c r="B170">
        <v>169</v>
      </c>
      <c r="C170" s="1808" t="str">
        <f t="shared" ca="1" si="24"/>
        <v/>
      </c>
      <c r="D170" s="1808" t="str">
        <f t="shared" ca="1" si="29"/>
        <v/>
      </c>
      <c r="E170" s="1808" t="str">
        <f t="shared" ca="1" si="29"/>
        <v/>
      </c>
      <c r="F170" s="1808" t="str">
        <f t="shared" ca="1" si="29"/>
        <v/>
      </c>
      <c r="G170" s="1808" t="str">
        <f t="shared" ca="1" si="29"/>
        <v/>
      </c>
      <c r="H170" s="1808" t="str">
        <f t="shared" ca="1" si="29"/>
        <v/>
      </c>
      <c r="I170" s="1808" t="str">
        <f t="shared" ca="1" si="29"/>
        <v/>
      </c>
      <c r="J170" s="1808" t="str">
        <f t="shared" ca="1" si="29"/>
        <v/>
      </c>
      <c r="K170" s="1808" t="str">
        <f t="shared" ca="1" si="29"/>
        <v/>
      </c>
      <c r="L170" s="1808" t="str">
        <f t="shared" ca="1" si="29"/>
        <v/>
      </c>
      <c r="M170" s="1808" t="str">
        <f t="shared" ca="1" si="29"/>
        <v/>
      </c>
      <c r="N170" s="1808">
        <f t="shared" ca="1" si="30"/>
        <v>169</v>
      </c>
      <c r="O170" s="1808" t="str">
        <f t="shared" ca="1" si="30"/>
        <v/>
      </c>
      <c r="P170" s="1808" t="str">
        <f t="shared" ca="1" si="30"/>
        <v/>
      </c>
      <c r="Q170" s="1808" t="str">
        <f t="shared" ca="1" si="30"/>
        <v/>
      </c>
      <c r="R170" s="1808" t="str">
        <f t="shared" ca="1" si="27"/>
        <v/>
      </c>
      <c r="S170" s="1808" t="str">
        <f t="shared" ca="1" si="27"/>
        <v/>
      </c>
      <c r="T170" s="1808" t="str">
        <f t="shared" ca="1" si="27"/>
        <v/>
      </c>
      <c r="U170" s="1808" t="str">
        <f t="shared" ca="1" si="27"/>
        <v/>
      </c>
      <c r="V170" s="1808">
        <f t="shared" ca="1" si="25"/>
        <v>1</v>
      </c>
    </row>
    <row r="171" spans="2:22">
      <c r="B171">
        <v>170</v>
      </c>
      <c r="C171" s="1808" t="str">
        <f t="shared" ca="1" si="24"/>
        <v/>
      </c>
      <c r="D171" s="1808" t="str">
        <f t="shared" ca="1" si="29"/>
        <v/>
      </c>
      <c r="E171" s="1808" t="str">
        <f t="shared" ca="1" si="29"/>
        <v/>
      </c>
      <c r="F171" s="1808" t="str">
        <f t="shared" ca="1" si="29"/>
        <v/>
      </c>
      <c r="G171" s="1808" t="str">
        <f t="shared" ca="1" si="29"/>
        <v/>
      </c>
      <c r="H171" s="1808" t="str">
        <f t="shared" ca="1" si="29"/>
        <v/>
      </c>
      <c r="I171" s="1808" t="str">
        <f t="shared" ca="1" si="29"/>
        <v/>
      </c>
      <c r="J171" s="1808" t="str">
        <f t="shared" ca="1" si="29"/>
        <v/>
      </c>
      <c r="K171" s="1808" t="str">
        <f t="shared" ca="1" si="29"/>
        <v/>
      </c>
      <c r="L171" s="1808" t="str">
        <f t="shared" ca="1" si="29"/>
        <v/>
      </c>
      <c r="M171" s="1808" t="str">
        <f t="shared" ca="1" si="29"/>
        <v/>
      </c>
      <c r="N171" s="1808" t="str">
        <f t="shared" ca="1" si="30"/>
        <v/>
      </c>
      <c r="O171" s="1808" t="str">
        <f t="shared" ca="1" si="30"/>
        <v/>
      </c>
      <c r="P171" s="1808" t="str">
        <f t="shared" ca="1" si="30"/>
        <v/>
      </c>
      <c r="Q171" s="1808" t="str">
        <f t="shared" ca="1" si="30"/>
        <v/>
      </c>
      <c r="R171" s="1808" t="str">
        <f t="shared" ca="1" si="27"/>
        <v/>
      </c>
      <c r="S171" s="1808" t="str">
        <f t="shared" ca="1" si="27"/>
        <v/>
      </c>
      <c r="T171" s="1808" t="str">
        <f t="shared" ca="1" si="27"/>
        <v/>
      </c>
      <c r="U171" s="1808">
        <f t="shared" ca="1" si="27"/>
        <v>170</v>
      </c>
      <c r="V171" s="1808">
        <f t="shared" ca="1" si="25"/>
        <v>1</v>
      </c>
    </row>
    <row r="172" spans="2:22">
      <c r="B172">
        <v>171</v>
      </c>
      <c r="C172" s="1808" t="str">
        <f t="shared" ca="1" si="24"/>
        <v/>
      </c>
      <c r="D172" s="1808" t="str">
        <f t="shared" ca="1" si="29"/>
        <v/>
      </c>
      <c r="E172" s="1808" t="str">
        <f t="shared" ca="1" si="29"/>
        <v/>
      </c>
      <c r="F172" s="1808" t="str">
        <f t="shared" ca="1" si="29"/>
        <v/>
      </c>
      <c r="G172" s="1808" t="str">
        <f t="shared" ca="1" si="29"/>
        <v/>
      </c>
      <c r="H172" s="1808" t="str">
        <f t="shared" ca="1" si="29"/>
        <v/>
      </c>
      <c r="I172" s="1808" t="str">
        <f t="shared" ca="1" si="29"/>
        <v/>
      </c>
      <c r="J172" s="1808" t="str">
        <f t="shared" ca="1" si="29"/>
        <v/>
      </c>
      <c r="K172" s="1808" t="str">
        <f t="shared" ca="1" si="29"/>
        <v/>
      </c>
      <c r="L172" s="1808" t="str">
        <f t="shared" ca="1" si="29"/>
        <v/>
      </c>
      <c r="M172" s="1808" t="str">
        <f t="shared" ca="1" si="29"/>
        <v/>
      </c>
      <c r="N172" s="1808" t="str">
        <f t="shared" ca="1" si="30"/>
        <v/>
      </c>
      <c r="O172" s="1808" t="str">
        <f t="shared" ca="1" si="30"/>
        <v/>
      </c>
      <c r="P172" s="1808" t="str">
        <f t="shared" ca="1" si="30"/>
        <v/>
      </c>
      <c r="Q172" s="1808" t="str">
        <f t="shared" ca="1" si="30"/>
        <v/>
      </c>
      <c r="R172" s="1808" t="str">
        <f t="shared" ca="1" si="27"/>
        <v/>
      </c>
      <c r="S172" s="1808" t="str">
        <f t="shared" ca="1" si="27"/>
        <v/>
      </c>
      <c r="T172" s="1808" t="str">
        <f t="shared" ca="1" si="27"/>
        <v/>
      </c>
      <c r="U172" s="1808">
        <f t="shared" ca="1" si="27"/>
        <v>171</v>
      </c>
      <c r="V172" s="1808">
        <f t="shared" ca="1" si="25"/>
        <v>1</v>
      </c>
    </row>
    <row r="173" spans="2:22">
      <c r="B173">
        <v>172</v>
      </c>
      <c r="C173" s="1808" t="str">
        <f t="shared" ca="1" si="24"/>
        <v/>
      </c>
      <c r="D173" s="1808" t="str">
        <f t="shared" ca="1" si="29"/>
        <v/>
      </c>
      <c r="E173" s="1808" t="str">
        <f t="shared" ca="1" si="29"/>
        <v/>
      </c>
      <c r="F173" s="1808" t="str">
        <f t="shared" ca="1" si="29"/>
        <v/>
      </c>
      <c r="G173" s="1808" t="str">
        <f t="shared" ca="1" si="29"/>
        <v/>
      </c>
      <c r="H173" s="1808" t="str">
        <f t="shared" ca="1" si="29"/>
        <v/>
      </c>
      <c r="I173" s="1808" t="str">
        <f t="shared" ca="1" si="29"/>
        <v/>
      </c>
      <c r="J173" s="1808" t="str">
        <f t="shared" ca="1" si="29"/>
        <v/>
      </c>
      <c r="K173" s="1808" t="str">
        <f t="shared" ca="1" si="29"/>
        <v/>
      </c>
      <c r="L173" s="1808" t="str">
        <f t="shared" ca="1" si="29"/>
        <v/>
      </c>
      <c r="M173" s="1808" t="str">
        <f t="shared" ca="1" si="29"/>
        <v/>
      </c>
      <c r="N173" s="1808">
        <f t="shared" ca="1" si="30"/>
        <v>172</v>
      </c>
      <c r="O173" s="1808" t="str">
        <f t="shared" ca="1" si="30"/>
        <v/>
      </c>
      <c r="P173" s="1808" t="str">
        <f t="shared" ca="1" si="30"/>
        <v/>
      </c>
      <c r="Q173" s="1808" t="str">
        <f t="shared" ca="1" si="30"/>
        <v/>
      </c>
      <c r="R173" s="1808" t="str">
        <f t="shared" ca="1" si="27"/>
        <v/>
      </c>
      <c r="S173" s="1808" t="str">
        <f t="shared" ca="1" si="27"/>
        <v/>
      </c>
      <c r="T173" s="1808" t="str">
        <f t="shared" ca="1" si="27"/>
        <v/>
      </c>
      <c r="U173" s="1808" t="str">
        <f t="shared" ca="1" si="27"/>
        <v/>
      </c>
      <c r="V173" s="1808">
        <f t="shared" ca="1" si="25"/>
        <v>1</v>
      </c>
    </row>
    <row r="174" spans="2:22">
      <c r="B174">
        <v>173</v>
      </c>
      <c r="C174" s="1808" t="str">
        <f t="shared" ca="1" si="24"/>
        <v/>
      </c>
      <c r="D174" s="1808" t="str">
        <f t="shared" ca="1" si="29"/>
        <v/>
      </c>
      <c r="E174" s="1808" t="str">
        <f t="shared" ca="1" si="29"/>
        <v/>
      </c>
      <c r="F174" s="1808" t="str">
        <f t="shared" ca="1" si="29"/>
        <v/>
      </c>
      <c r="G174" s="1808" t="str">
        <f t="shared" ca="1" si="29"/>
        <v/>
      </c>
      <c r="H174" s="1808" t="str">
        <f t="shared" ca="1" si="29"/>
        <v/>
      </c>
      <c r="I174" s="1808" t="str">
        <f t="shared" ca="1" si="29"/>
        <v/>
      </c>
      <c r="J174" s="1808" t="str">
        <f t="shared" ca="1" si="29"/>
        <v/>
      </c>
      <c r="K174" s="1808" t="str">
        <f t="shared" ca="1" si="29"/>
        <v/>
      </c>
      <c r="L174" s="1808" t="str">
        <f t="shared" ca="1" si="29"/>
        <v/>
      </c>
      <c r="M174" s="1808" t="str">
        <f t="shared" ca="1" si="29"/>
        <v/>
      </c>
      <c r="N174" s="1808" t="str">
        <f t="shared" ca="1" si="30"/>
        <v/>
      </c>
      <c r="O174" s="1808" t="str">
        <f t="shared" ca="1" si="30"/>
        <v/>
      </c>
      <c r="P174" s="1808" t="str">
        <f t="shared" ca="1" si="30"/>
        <v/>
      </c>
      <c r="Q174" s="1808" t="str">
        <f t="shared" ca="1" si="30"/>
        <v/>
      </c>
      <c r="R174" s="1808" t="str">
        <f t="shared" ca="1" si="27"/>
        <v/>
      </c>
      <c r="S174" s="1808" t="str">
        <f t="shared" ca="1" si="27"/>
        <v/>
      </c>
      <c r="T174" s="1808">
        <f t="shared" ca="1" si="27"/>
        <v>173</v>
      </c>
      <c r="U174" s="1808" t="str">
        <f t="shared" ca="1" si="27"/>
        <v/>
      </c>
      <c r="V174" s="1808">
        <f t="shared" ca="1" si="25"/>
        <v>1</v>
      </c>
    </row>
    <row r="175" spans="2:22">
      <c r="B175">
        <v>174</v>
      </c>
      <c r="C175" s="1808" t="str">
        <f t="shared" ca="1" si="24"/>
        <v/>
      </c>
      <c r="D175" s="1808" t="str">
        <f t="shared" ca="1" si="29"/>
        <v/>
      </c>
      <c r="E175" s="1808" t="str">
        <f t="shared" ca="1" si="29"/>
        <v/>
      </c>
      <c r="F175" s="1808" t="str">
        <f t="shared" ca="1" si="29"/>
        <v/>
      </c>
      <c r="G175" s="1808" t="str">
        <f t="shared" ca="1" si="29"/>
        <v/>
      </c>
      <c r="H175" s="1808" t="str">
        <f t="shared" ca="1" si="29"/>
        <v/>
      </c>
      <c r="I175" s="1808" t="str">
        <f t="shared" ca="1" si="29"/>
        <v/>
      </c>
      <c r="J175" s="1808" t="str">
        <f t="shared" ca="1" si="29"/>
        <v/>
      </c>
      <c r="K175" s="1808" t="str">
        <f t="shared" ca="1" si="29"/>
        <v/>
      </c>
      <c r="L175" s="1808" t="str">
        <f t="shared" ca="1" si="29"/>
        <v/>
      </c>
      <c r="M175" s="1808" t="str">
        <f t="shared" ca="1" si="29"/>
        <v/>
      </c>
      <c r="N175" s="1808" t="str">
        <f t="shared" ca="1" si="30"/>
        <v/>
      </c>
      <c r="O175" s="1808" t="str">
        <f t="shared" ca="1" si="30"/>
        <v/>
      </c>
      <c r="P175" s="1808" t="str">
        <f t="shared" ca="1" si="30"/>
        <v/>
      </c>
      <c r="Q175" s="1808" t="str">
        <f t="shared" ca="1" si="30"/>
        <v/>
      </c>
      <c r="R175" s="1808" t="str">
        <f t="shared" ca="1" si="27"/>
        <v/>
      </c>
      <c r="S175" s="1808" t="str">
        <f t="shared" ca="1" si="27"/>
        <v/>
      </c>
      <c r="T175" s="1808">
        <f t="shared" ca="1" si="27"/>
        <v>174</v>
      </c>
      <c r="U175" s="1808" t="str">
        <f t="shared" ca="1" si="27"/>
        <v/>
      </c>
      <c r="V175" s="1808">
        <f t="shared" ca="1" si="25"/>
        <v>1</v>
      </c>
    </row>
    <row r="176" spans="2:22">
      <c r="B176">
        <v>175</v>
      </c>
      <c r="C176" s="1808" t="str">
        <f t="shared" ca="1" si="24"/>
        <v/>
      </c>
      <c r="D176" s="1808" t="str">
        <f t="shared" ca="1" si="29"/>
        <v/>
      </c>
      <c r="E176" s="1808" t="str">
        <f t="shared" ca="1" si="29"/>
        <v/>
      </c>
      <c r="F176" s="1808" t="str">
        <f t="shared" ca="1" si="29"/>
        <v/>
      </c>
      <c r="G176" s="1808" t="str">
        <f t="shared" ca="1" si="29"/>
        <v/>
      </c>
      <c r="H176" s="1808" t="str">
        <f t="shared" ca="1" si="29"/>
        <v/>
      </c>
      <c r="I176" s="1808" t="str">
        <f t="shared" ca="1" si="29"/>
        <v/>
      </c>
      <c r="J176" s="1808" t="str">
        <f t="shared" ca="1" si="29"/>
        <v/>
      </c>
      <c r="K176" s="1808" t="str">
        <f t="shared" ca="1" si="29"/>
        <v/>
      </c>
      <c r="L176" s="1808" t="str">
        <f t="shared" ca="1" si="29"/>
        <v/>
      </c>
      <c r="M176" s="1808" t="str">
        <f t="shared" ca="1" si="29"/>
        <v/>
      </c>
      <c r="N176" s="1808" t="str">
        <f t="shared" ca="1" si="30"/>
        <v/>
      </c>
      <c r="O176" s="1808" t="str">
        <f t="shared" ca="1" si="30"/>
        <v/>
      </c>
      <c r="P176" s="1808" t="str">
        <f t="shared" ca="1" si="30"/>
        <v/>
      </c>
      <c r="Q176" s="1808" t="str">
        <f t="shared" ca="1" si="30"/>
        <v/>
      </c>
      <c r="R176" s="1808" t="str">
        <f t="shared" ca="1" si="27"/>
        <v/>
      </c>
      <c r="S176" s="1808" t="str">
        <f t="shared" ca="1" si="27"/>
        <v/>
      </c>
      <c r="T176" s="1808">
        <f t="shared" ca="1" si="27"/>
        <v>175</v>
      </c>
      <c r="U176" s="1808" t="str">
        <f t="shared" ca="1" si="27"/>
        <v/>
      </c>
      <c r="V176" s="1808">
        <f t="shared" ca="1" si="25"/>
        <v>1</v>
      </c>
    </row>
    <row r="177" spans="2:22">
      <c r="B177">
        <v>176</v>
      </c>
      <c r="C177" s="1808" t="str">
        <f t="shared" ca="1" si="24"/>
        <v/>
      </c>
      <c r="D177" s="1808" t="str">
        <f t="shared" ref="D177:Q192" ca="1" si="31">IFERROR(VLOOKUP($B177,INDIRECT(D$1&amp;"!"&amp;"A:A"),1,0),"")</f>
        <v/>
      </c>
      <c r="E177" s="1808" t="str">
        <f t="shared" ca="1" si="31"/>
        <v/>
      </c>
      <c r="F177" s="1808" t="str">
        <f t="shared" ca="1" si="31"/>
        <v/>
      </c>
      <c r="G177" s="1808" t="str">
        <f t="shared" ca="1" si="31"/>
        <v/>
      </c>
      <c r="H177" s="1808" t="str">
        <f t="shared" ca="1" si="31"/>
        <v/>
      </c>
      <c r="I177" s="1808" t="str">
        <f t="shared" ca="1" si="31"/>
        <v/>
      </c>
      <c r="J177" s="1808" t="str">
        <f t="shared" ca="1" si="31"/>
        <v/>
      </c>
      <c r="K177" s="1808" t="str">
        <f t="shared" ca="1" si="31"/>
        <v/>
      </c>
      <c r="L177" s="1808" t="str">
        <f t="shared" ca="1" si="31"/>
        <v/>
      </c>
      <c r="M177" s="1808" t="str">
        <f t="shared" ca="1" si="31"/>
        <v/>
      </c>
      <c r="N177" s="1808" t="str">
        <f t="shared" ca="1" si="31"/>
        <v/>
      </c>
      <c r="O177" s="1808" t="str">
        <f t="shared" ca="1" si="31"/>
        <v/>
      </c>
      <c r="P177" s="1808" t="str">
        <f t="shared" ca="1" si="31"/>
        <v/>
      </c>
      <c r="Q177" s="1808" t="str">
        <f t="shared" ca="1" si="31"/>
        <v/>
      </c>
      <c r="R177" s="1808" t="str">
        <f t="shared" ca="1" si="27"/>
        <v/>
      </c>
      <c r="S177" s="1808" t="str">
        <f t="shared" ca="1" si="27"/>
        <v/>
      </c>
      <c r="T177" s="1808">
        <f t="shared" ca="1" si="27"/>
        <v>176</v>
      </c>
      <c r="U177" s="1808" t="str">
        <f t="shared" ca="1" si="27"/>
        <v/>
      </c>
      <c r="V177" s="1808">
        <f t="shared" ca="1" si="25"/>
        <v>1</v>
      </c>
    </row>
    <row r="178" spans="2:22">
      <c r="B178">
        <v>177</v>
      </c>
      <c r="C178" s="1808" t="str">
        <f t="shared" ca="1" si="24"/>
        <v/>
      </c>
      <c r="D178" s="1808" t="str">
        <f t="shared" ca="1" si="31"/>
        <v/>
      </c>
      <c r="E178" s="1808" t="str">
        <f t="shared" ca="1" si="31"/>
        <v/>
      </c>
      <c r="F178" s="1808" t="str">
        <f t="shared" ca="1" si="31"/>
        <v/>
      </c>
      <c r="G178" s="1808" t="str">
        <f t="shared" ca="1" si="31"/>
        <v/>
      </c>
      <c r="H178" s="1808" t="str">
        <f t="shared" ca="1" si="31"/>
        <v/>
      </c>
      <c r="I178" s="1808" t="str">
        <f t="shared" ca="1" si="31"/>
        <v/>
      </c>
      <c r="J178" s="1808" t="str">
        <f t="shared" ca="1" si="31"/>
        <v/>
      </c>
      <c r="K178" s="1808" t="str">
        <f t="shared" ca="1" si="31"/>
        <v/>
      </c>
      <c r="L178" s="1808" t="str">
        <f t="shared" ca="1" si="31"/>
        <v/>
      </c>
      <c r="M178" s="1808" t="str">
        <f t="shared" ca="1" si="31"/>
        <v/>
      </c>
      <c r="N178" s="1808" t="str">
        <f t="shared" ref="N178:Q192" ca="1" si="32">IFERROR(VLOOKUP($B178,INDIRECT(N$1&amp;"!"&amp;"A:A"),1,0),"")</f>
        <v/>
      </c>
      <c r="O178" s="1808" t="str">
        <f t="shared" ca="1" si="32"/>
        <v/>
      </c>
      <c r="P178" s="1808" t="str">
        <f t="shared" ca="1" si="32"/>
        <v/>
      </c>
      <c r="Q178" s="1808" t="str">
        <f t="shared" ca="1" si="32"/>
        <v/>
      </c>
      <c r="R178" s="1808" t="str">
        <f t="shared" ca="1" si="27"/>
        <v/>
      </c>
      <c r="S178" s="1808" t="str">
        <f t="shared" ca="1" si="27"/>
        <v/>
      </c>
      <c r="T178" s="1808">
        <f t="shared" ca="1" si="27"/>
        <v>177</v>
      </c>
      <c r="U178" s="1808" t="str">
        <f t="shared" ca="1" si="27"/>
        <v/>
      </c>
      <c r="V178" s="1808">
        <f t="shared" ca="1" si="25"/>
        <v>1</v>
      </c>
    </row>
    <row r="179" spans="2:22">
      <c r="B179">
        <v>178</v>
      </c>
      <c r="C179" s="1808" t="str">
        <f t="shared" ca="1" si="24"/>
        <v/>
      </c>
      <c r="D179" s="1808" t="str">
        <f t="shared" ca="1" si="31"/>
        <v/>
      </c>
      <c r="E179" s="1808" t="str">
        <f t="shared" ca="1" si="31"/>
        <v/>
      </c>
      <c r="F179" s="1808" t="str">
        <f t="shared" ca="1" si="31"/>
        <v/>
      </c>
      <c r="G179" s="1808" t="str">
        <f t="shared" ca="1" si="31"/>
        <v/>
      </c>
      <c r="H179" s="1808" t="str">
        <f t="shared" ca="1" si="31"/>
        <v/>
      </c>
      <c r="I179" s="1808" t="str">
        <f t="shared" ca="1" si="31"/>
        <v/>
      </c>
      <c r="J179" s="1808" t="str">
        <f t="shared" ca="1" si="31"/>
        <v/>
      </c>
      <c r="K179" s="1808" t="str">
        <f t="shared" ca="1" si="31"/>
        <v/>
      </c>
      <c r="L179" s="1808" t="str">
        <f t="shared" ca="1" si="31"/>
        <v/>
      </c>
      <c r="M179" s="1808" t="str">
        <f t="shared" ca="1" si="31"/>
        <v/>
      </c>
      <c r="N179" s="1808" t="str">
        <f t="shared" ca="1" si="32"/>
        <v/>
      </c>
      <c r="O179" s="1808" t="str">
        <f t="shared" ca="1" si="32"/>
        <v/>
      </c>
      <c r="P179" s="1808" t="str">
        <f t="shared" ca="1" si="32"/>
        <v/>
      </c>
      <c r="Q179" s="1808" t="str">
        <f t="shared" ca="1" si="32"/>
        <v/>
      </c>
      <c r="R179" s="1808" t="str">
        <f t="shared" ca="1" si="27"/>
        <v/>
      </c>
      <c r="S179" s="1808" t="str">
        <f t="shared" ca="1" si="27"/>
        <v/>
      </c>
      <c r="T179" s="1808">
        <f t="shared" ca="1" si="27"/>
        <v>178</v>
      </c>
      <c r="U179" s="1808" t="str">
        <f t="shared" ca="1" si="27"/>
        <v/>
      </c>
      <c r="V179" s="1808">
        <f t="shared" ca="1" si="25"/>
        <v>1</v>
      </c>
    </row>
    <row r="180" spans="2:22">
      <c r="B180">
        <v>179</v>
      </c>
      <c r="C180" s="1808" t="str">
        <f t="shared" ca="1" si="24"/>
        <v/>
      </c>
      <c r="D180" s="1808" t="str">
        <f t="shared" ca="1" si="31"/>
        <v/>
      </c>
      <c r="E180" s="1808" t="str">
        <f t="shared" ca="1" si="31"/>
        <v/>
      </c>
      <c r="F180" s="1808" t="str">
        <f t="shared" ca="1" si="31"/>
        <v/>
      </c>
      <c r="G180" s="1808" t="str">
        <f t="shared" ca="1" si="31"/>
        <v/>
      </c>
      <c r="H180" s="1808" t="str">
        <f t="shared" ca="1" si="31"/>
        <v/>
      </c>
      <c r="I180" s="1808" t="str">
        <f t="shared" ca="1" si="31"/>
        <v/>
      </c>
      <c r="J180" s="1808" t="str">
        <f t="shared" ca="1" si="31"/>
        <v/>
      </c>
      <c r="K180" s="1808" t="str">
        <f t="shared" ca="1" si="31"/>
        <v/>
      </c>
      <c r="L180" s="1808" t="str">
        <f t="shared" ca="1" si="31"/>
        <v/>
      </c>
      <c r="M180" s="1808" t="str">
        <f t="shared" ca="1" si="31"/>
        <v/>
      </c>
      <c r="N180" s="1808" t="str">
        <f t="shared" ca="1" si="32"/>
        <v/>
      </c>
      <c r="O180" s="1808" t="str">
        <f t="shared" ca="1" si="32"/>
        <v/>
      </c>
      <c r="P180" s="1808" t="str">
        <f t="shared" ca="1" si="32"/>
        <v/>
      </c>
      <c r="Q180" s="1808" t="str">
        <f t="shared" ca="1" si="32"/>
        <v/>
      </c>
      <c r="R180" s="1808" t="str">
        <f t="shared" ca="1" si="27"/>
        <v/>
      </c>
      <c r="S180" s="1808" t="str">
        <f t="shared" ca="1" si="27"/>
        <v/>
      </c>
      <c r="T180" s="1808">
        <f t="shared" ca="1" si="27"/>
        <v>179</v>
      </c>
      <c r="U180" s="1808" t="str">
        <f t="shared" ca="1" si="27"/>
        <v/>
      </c>
      <c r="V180" s="1808">
        <f t="shared" ca="1" si="25"/>
        <v>1</v>
      </c>
    </row>
    <row r="181" spans="2:22">
      <c r="B181">
        <v>180</v>
      </c>
      <c r="C181" s="1808" t="str">
        <f t="shared" ca="1" si="24"/>
        <v/>
      </c>
      <c r="D181" s="1808" t="str">
        <f t="shared" ca="1" si="31"/>
        <v/>
      </c>
      <c r="E181" s="1808" t="str">
        <f t="shared" ca="1" si="31"/>
        <v/>
      </c>
      <c r="F181" s="1808" t="str">
        <f t="shared" ca="1" si="31"/>
        <v/>
      </c>
      <c r="G181" s="1808" t="str">
        <f t="shared" ca="1" si="31"/>
        <v/>
      </c>
      <c r="H181" s="1808" t="str">
        <f t="shared" ca="1" si="31"/>
        <v/>
      </c>
      <c r="I181" s="1808" t="str">
        <f t="shared" ca="1" si="31"/>
        <v/>
      </c>
      <c r="J181" s="1808" t="str">
        <f t="shared" ca="1" si="31"/>
        <v/>
      </c>
      <c r="K181" s="1808" t="str">
        <f t="shared" ca="1" si="31"/>
        <v/>
      </c>
      <c r="L181" s="1808" t="str">
        <f t="shared" ca="1" si="31"/>
        <v/>
      </c>
      <c r="M181" s="1808" t="str">
        <f t="shared" ca="1" si="31"/>
        <v/>
      </c>
      <c r="N181" s="1808" t="str">
        <f t="shared" ca="1" si="32"/>
        <v/>
      </c>
      <c r="O181" s="1808" t="str">
        <f t="shared" ca="1" si="32"/>
        <v/>
      </c>
      <c r="P181" s="1808" t="str">
        <f t="shared" ca="1" si="32"/>
        <v/>
      </c>
      <c r="Q181" s="1808" t="str">
        <f t="shared" ca="1" si="32"/>
        <v/>
      </c>
      <c r="R181" s="1808" t="str">
        <f t="shared" ca="1" si="27"/>
        <v/>
      </c>
      <c r="S181" s="1808" t="str">
        <f t="shared" ca="1" si="27"/>
        <v/>
      </c>
      <c r="T181" s="1808">
        <f t="shared" ca="1" si="27"/>
        <v>180</v>
      </c>
      <c r="U181" s="1808" t="str">
        <f t="shared" ca="1" si="27"/>
        <v/>
      </c>
      <c r="V181" s="1808">
        <f t="shared" ca="1" si="25"/>
        <v>1</v>
      </c>
    </row>
    <row r="182" spans="2:22">
      <c r="B182">
        <v>181</v>
      </c>
      <c r="C182" s="1808" t="str">
        <f t="shared" ca="1" si="24"/>
        <v/>
      </c>
      <c r="D182" s="1808" t="str">
        <f t="shared" ca="1" si="31"/>
        <v/>
      </c>
      <c r="E182" s="1808" t="str">
        <f t="shared" ca="1" si="31"/>
        <v/>
      </c>
      <c r="F182" s="1808" t="str">
        <f t="shared" ca="1" si="31"/>
        <v/>
      </c>
      <c r="G182" s="1808" t="str">
        <f t="shared" ca="1" si="31"/>
        <v/>
      </c>
      <c r="H182" s="1808" t="str">
        <f t="shared" ca="1" si="31"/>
        <v/>
      </c>
      <c r="I182" s="1808" t="str">
        <f t="shared" ca="1" si="31"/>
        <v/>
      </c>
      <c r="J182" s="1808" t="str">
        <f t="shared" ca="1" si="31"/>
        <v/>
      </c>
      <c r="K182" s="1808" t="str">
        <f t="shared" ca="1" si="31"/>
        <v/>
      </c>
      <c r="L182" s="1808" t="str">
        <f t="shared" ca="1" si="31"/>
        <v/>
      </c>
      <c r="M182" s="1808" t="str">
        <f t="shared" ca="1" si="31"/>
        <v/>
      </c>
      <c r="N182" s="1808" t="str">
        <f t="shared" ca="1" si="32"/>
        <v/>
      </c>
      <c r="O182" s="1808" t="str">
        <f t="shared" ca="1" si="32"/>
        <v/>
      </c>
      <c r="P182" s="1808" t="str">
        <f t="shared" ca="1" si="32"/>
        <v/>
      </c>
      <c r="Q182" s="1808" t="str">
        <f t="shared" ca="1" si="32"/>
        <v/>
      </c>
      <c r="R182" s="1808" t="str">
        <f t="shared" ca="1" si="27"/>
        <v/>
      </c>
      <c r="S182" s="1808" t="str">
        <f t="shared" ca="1" si="27"/>
        <v/>
      </c>
      <c r="T182" s="1808">
        <f t="shared" ca="1" si="27"/>
        <v>181</v>
      </c>
      <c r="U182" s="1808" t="str">
        <f t="shared" ca="1" si="27"/>
        <v/>
      </c>
      <c r="V182" s="1808">
        <f t="shared" ca="1" si="25"/>
        <v>1</v>
      </c>
    </row>
    <row r="183" spans="2:22">
      <c r="B183">
        <v>182</v>
      </c>
      <c r="C183" s="1808" t="str">
        <f t="shared" ca="1" si="24"/>
        <v/>
      </c>
      <c r="D183" s="1808" t="str">
        <f t="shared" ca="1" si="31"/>
        <v/>
      </c>
      <c r="E183" s="1808" t="str">
        <f t="shared" ca="1" si="31"/>
        <v/>
      </c>
      <c r="F183" s="1808" t="str">
        <f t="shared" ca="1" si="31"/>
        <v/>
      </c>
      <c r="G183" s="1808" t="str">
        <f t="shared" ca="1" si="31"/>
        <v/>
      </c>
      <c r="H183" s="1808" t="str">
        <f t="shared" ca="1" si="31"/>
        <v/>
      </c>
      <c r="I183" s="1808" t="str">
        <f t="shared" ca="1" si="31"/>
        <v/>
      </c>
      <c r="J183" s="1808" t="str">
        <f t="shared" ca="1" si="31"/>
        <v/>
      </c>
      <c r="K183" s="1808" t="str">
        <f t="shared" ca="1" si="31"/>
        <v/>
      </c>
      <c r="L183" s="1808" t="str">
        <f t="shared" ca="1" si="31"/>
        <v/>
      </c>
      <c r="M183" s="1808" t="str">
        <f t="shared" ca="1" si="31"/>
        <v/>
      </c>
      <c r="N183" s="1808" t="str">
        <f t="shared" ca="1" si="32"/>
        <v/>
      </c>
      <c r="O183" s="1808" t="str">
        <f t="shared" ca="1" si="32"/>
        <v/>
      </c>
      <c r="P183" s="1808" t="str">
        <f t="shared" ca="1" si="32"/>
        <v/>
      </c>
      <c r="Q183" s="1808" t="str">
        <f t="shared" ca="1" si="32"/>
        <v/>
      </c>
      <c r="R183" s="1808" t="str">
        <f t="shared" ca="1" si="27"/>
        <v/>
      </c>
      <c r="S183" s="1808" t="str">
        <f t="shared" ca="1" si="27"/>
        <v/>
      </c>
      <c r="T183" s="1808">
        <f t="shared" ca="1" si="27"/>
        <v>182</v>
      </c>
      <c r="U183" s="1808" t="str">
        <f t="shared" ca="1" si="27"/>
        <v/>
      </c>
      <c r="V183" s="1808">
        <f t="shared" ca="1" si="25"/>
        <v>1</v>
      </c>
    </row>
    <row r="184" spans="2:22">
      <c r="B184">
        <v>183</v>
      </c>
      <c r="C184" s="1808" t="str">
        <f t="shared" ca="1" si="24"/>
        <v/>
      </c>
      <c r="D184" s="1808" t="str">
        <f t="shared" ca="1" si="31"/>
        <v/>
      </c>
      <c r="E184" s="1808" t="str">
        <f t="shared" ca="1" si="31"/>
        <v/>
      </c>
      <c r="F184" s="1808" t="str">
        <f t="shared" ca="1" si="31"/>
        <v/>
      </c>
      <c r="G184" s="1808" t="str">
        <f t="shared" ca="1" si="31"/>
        <v/>
      </c>
      <c r="H184" s="1808" t="str">
        <f t="shared" ca="1" si="31"/>
        <v/>
      </c>
      <c r="I184" s="1808" t="str">
        <f t="shared" ca="1" si="31"/>
        <v/>
      </c>
      <c r="J184" s="1808" t="str">
        <f t="shared" ca="1" si="31"/>
        <v/>
      </c>
      <c r="K184" s="1808" t="str">
        <f t="shared" ca="1" si="31"/>
        <v/>
      </c>
      <c r="L184" s="1808" t="str">
        <f t="shared" ca="1" si="31"/>
        <v/>
      </c>
      <c r="M184" s="1808" t="str">
        <f t="shared" ca="1" si="31"/>
        <v/>
      </c>
      <c r="N184" s="1808" t="str">
        <f t="shared" ca="1" si="32"/>
        <v/>
      </c>
      <c r="O184" s="1808" t="str">
        <f t="shared" ca="1" si="32"/>
        <v/>
      </c>
      <c r="P184" s="1808" t="str">
        <f t="shared" ca="1" si="32"/>
        <v/>
      </c>
      <c r="Q184" s="1808" t="str">
        <f t="shared" ca="1" si="32"/>
        <v/>
      </c>
      <c r="R184" s="1808" t="str">
        <f t="shared" ca="1" si="27"/>
        <v/>
      </c>
      <c r="S184" s="1808" t="str">
        <f t="shared" ca="1" si="27"/>
        <v/>
      </c>
      <c r="T184" s="1808">
        <f t="shared" ca="1" si="27"/>
        <v>183</v>
      </c>
      <c r="U184" s="1808" t="str">
        <f t="shared" ca="1" si="27"/>
        <v/>
      </c>
      <c r="V184" s="1808">
        <f t="shared" ca="1" si="25"/>
        <v>1</v>
      </c>
    </row>
    <row r="185" spans="2:22">
      <c r="B185">
        <v>184</v>
      </c>
      <c r="C185" s="1808" t="str">
        <f t="shared" ca="1" si="24"/>
        <v/>
      </c>
      <c r="D185" s="1808" t="str">
        <f t="shared" ca="1" si="31"/>
        <v/>
      </c>
      <c r="E185" s="1808" t="str">
        <f t="shared" ca="1" si="31"/>
        <v/>
      </c>
      <c r="F185" s="1808" t="str">
        <f t="shared" ca="1" si="31"/>
        <v/>
      </c>
      <c r="G185" s="1808" t="str">
        <f t="shared" ca="1" si="31"/>
        <v/>
      </c>
      <c r="H185" s="1808" t="str">
        <f t="shared" ca="1" si="31"/>
        <v/>
      </c>
      <c r="I185" s="1808" t="str">
        <f t="shared" ca="1" si="31"/>
        <v/>
      </c>
      <c r="J185" s="1808" t="str">
        <f t="shared" ca="1" si="31"/>
        <v/>
      </c>
      <c r="K185" s="1808" t="str">
        <f t="shared" ca="1" si="31"/>
        <v/>
      </c>
      <c r="L185" s="1808" t="str">
        <f t="shared" ca="1" si="31"/>
        <v/>
      </c>
      <c r="M185" s="1808" t="str">
        <f t="shared" ca="1" si="31"/>
        <v/>
      </c>
      <c r="N185" s="1808" t="str">
        <f t="shared" ca="1" si="32"/>
        <v/>
      </c>
      <c r="O185" s="1808" t="str">
        <f t="shared" ca="1" si="32"/>
        <v/>
      </c>
      <c r="P185" s="1808" t="str">
        <f t="shared" ca="1" si="32"/>
        <v/>
      </c>
      <c r="Q185" s="1808" t="str">
        <f t="shared" ca="1" si="32"/>
        <v/>
      </c>
      <c r="R185" s="1808" t="str">
        <f t="shared" ca="1" si="27"/>
        <v/>
      </c>
      <c r="S185" s="1808" t="str">
        <f t="shared" ca="1" si="27"/>
        <v/>
      </c>
      <c r="T185" s="1808">
        <f t="shared" ca="1" si="27"/>
        <v>184</v>
      </c>
      <c r="U185" s="1808" t="str">
        <f t="shared" ca="1" si="27"/>
        <v/>
      </c>
      <c r="V185" s="1808">
        <f t="shared" ca="1" si="25"/>
        <v>1</v>
      </c>
    </row>
    <row r="186" spans="2:22">
      <c r="B186">
        <v>185</v>
      </c>
      <c r="C186" s="1808" t="str">
        <f t="shared" ca="1" si="24"/>
        <v/>
      </c>
      <c r="D186" s="1808" t="str">
        <f t="shared" ca="1" si="31"/>
        <v/>
      </c>
      <c r="E186" s="1808" t="str">
        <f t="shared" ca="1" si="31"/>
        <v/>
      </c>
      <c r="F186" s="1808" t="str">
        <f t="shared" ca="1" si="31"/>
        <v/>
      </c>
      <c r="G186" s="1808" t="str">
        <f t="shared" ca="1" si="31"/>
        <v/>
      </c>
      <c r="H186" s="1808" t="str">
        <f t="shared" ca="1" si="31"/>
        <v/>
      </c>
      <c r="I186" s="1808" t="str">
        <f t="shared" ca="1" si="31"/>
        <v/>
      </c>
      <c r="J186" s="1808" t="str">
        <f t="shared" ca="1" si="31"/>
        <v/>
      </c>
      <c r="K186" s="1808" t="str">
        <f t="shared" ca="1" si="31"/>
        <v/>
      </c>
      <c r="L186" s="1808" t="str">
        <f t="shared" ca="1" si="31"/>
        <v/>
      </c>
      <c r="M186" s="1808" t="str">
        <f t="shared" ca="1" si="31"/>
        <v/>
      </c>
      <c r="N186" s="1808" t="str">
        <f t="shared" ca="1" si="32"/>
        <v/>
      </c>
      <c r="O186" s="1808" t="str">
        <f t="shared" ca="1" si="32"/>
        <v/>
      </c>
      <c r="P186" s="1808" t="str">
        <f t="shared" ca="1" si="32"/>
        <v/>
      </c>
      <c r="Q186" s="1808" t="str">
        <f t="shared" ca="1" si="32"/>
        <v/>
      </c>
      <c r="R186" s="1808" t="str">
        <f t="shared" ca="1" si="27"/>
        <v/>
      </c>
      <c r="S186" s="1808" t="str">
        <f t="shared" ca="1" si="27"/>
        <v/>
      </c>
      <c r="T186" s="1808">
        <f t="shared" ca="1" si="27"/>
        <v>185</v>
      </c>
      <c r="U186" s="1808" t="str">
        <f t="shared" ca="1" si="27"/>
        <v/>
      </c>
      <c r="V186" s="1808">
        <f t="shared" ca="1" si="25"/>
        <v>1</v>
      </c>
    </row>
    <row r="187" spans="2:22">
      <c r="B187">
        <v>186</v>
      </c>
      <c r="C187" s="1808" t="str">
        <f t="shared" ca="1" si="24"/>
        <v/>
      </c>
      <c r="D187" s="1808" t="str">
        <f t="shared" ca="1" si="31"/>
        <v/>
      </c>
      <c r="E187" s="1808" t="str">
        <f t="shared" ca="1" si="31"/>
        <v/>
      </c>
      <c r="F187" s="1808" t="str">
        <f t="shared" ca="1" si="31"/>
        <v/>
      </c>
      <c r="G187" s="1808" t="str">
        <f t="shared" ca="1" si="31"/>
        <v/>
      </c>
      <c r="H187" s="1808" t="str">
        <f t="shared" ca="1" si="31"/>
        <v/>
      </c>
      <c r="I187" s="1808" t="str">
        <f t="shared" ca="1" si="31"/>
        <v/>
      </c>
      <c r="J187" s="1808" t="str">
        <f t="shared" ca="1" si="31"/>
        <v/>
      </c>
      <c r="K187" s="1808" t="str">
        <f t="shared" ca="1" si="31"/>
        <v/>
      </c>
      <c r="L187" s="1808" t="str">
        <f t="shared" ca="1" si="31"/>
        <v/>
      </c>
      <c r="M187" s="1808" t="str">
        <f t="shared" ca="1" si="31"/>
        <v/>
      </c>
      <c r="N187" s="1808" t="str">
        <f t="shared" ca="1" si="32"/>
        <v/>
      </c>
      <c r="O187" s="1808" t="str">
        <f t="shared" ca="1" si="32"/>
        <v/>
      </c>
      <c r="P187" s="1808" t="str">
        <f t="shared" ca="1" si="32"/>
        <v/>
      </c>
      <c r="Q187" s="1808" t="str">
        <f t="shared" ca="1" si="32"/>
        <v/>
      </c>
      <c r="R187" s="1808" t="str">
        <f t="shared" ca="1" si="27"/>
        <v/>
      </c>
      <c r="S187" s="1808" t="str">
        <f t="shared" ca="1" si="27"/>
        <v/>
      </c>
      <c r="T187" s="1808">
        <f t="shared" ca="1" si="27"/>
        <v>186</v>
      </c>
      <c r="U187" s="1808" t="str">
        <f t="shared" ca="1" si="27"/>
        <v/>
      </c>
      <c r="V187" s="1808">
        <f t="shared" ca="1" si="25"/>
        <v>1</v>
      </c>
    </row>
    <row r="188" spans="2:22">
      <c r="B188">
        <v>187</v>
      </c>
      <c r="C188" s="1808" t="str">
        <f t="shared" ca="1" si="24"/>
        <v/>
      </c>
      <c r="D188" s="1808" t="str">
        <f t="shared" ca="1" si="31"/>
        <v/>
      </c>
      <c r="E188" s="1808" t="str">
        <f t="shared" ca="1" si="31"/>
        <v/>
      </c>
      <c r="F188" s="1808" t="str">
        <f t="shared" ca="1" si="31"/>
        <v/>
      </c>
      <c r="G188" s="1808" t="str">
        <f t="shared" ca="1" si="31"/>
        <v/>
      </c>
      <c r="H188" s="1808" t="str">
        <f t="shared" ca="1" si="31"/>
        <v/>
      </c>
      <c r="I188" s="1808" t="str">
        <f t="shared" ca="1" si="31"/>
        <v/>
      </c>
      <c r="J188" s="1808" t="str">
        <f t="shared" ca="1" si="31"/>
        <v/>
      </c>
      <c r="K188" s="1808" t="str">
        <f t="shared" ca="1" si="31"/>
        <v/>
      </c>
      <c r="L188" s="1808" t="str">
        <f t="shared" ca="1" si="31"/>
        <v/>
      </c>
      <c r="M188" s="1808" t="str">
        <f t="shared" ca="1" si="31"/>
        <v/>
      </c>
      <c r="N188" s="1808" t="str">
        <f t="shared" ca="1" si="32"/>
        <v/>
      </c>
      <c r="O188" s="1808" t="str">
        <f t="shared" ca="1" si="32"/>
        <v/>
      </c>
      <c r="P188" s="1808" t="str">
        <f t="shared" ca="1" si="32"/>
        <v/>
      </c>
      <c r="Q188" s="1808" t="str">
        <f t="shared" ca="1" si="32"/>
        <v/>
      </c>
      <c r="R188" s="1808" t="str">
        <f t="shared" ca="1" si="27"/>
        <v/>
      </c>
      <c r="S188" s="1808" t="str">
        <f t="shared" ca="1" si="27"/>
        <v/>
      </c>
      <c r="T188" s="1808">
        <f t="shared" ca="1" si="27"/>
        <v>187</v>
      </c>
      <c r="U188" s="1808" t="str">
        <f t="shared" ca="1" si="27"/>
        <v/>
      </c>
      <c r="V188" s="1808">
        <f t="shared" ca="1" si="25"/>
        <v>1</v>
      </c>
    </row>
    <row r="189" spans="2:22">
      <c r="B189">
        <v>188</v>
      </c>
      <c r="C189" s="1808" t="str">
        <f t="shared" ca="1" si="24"/>
        <v/>
      </c>
      <c r="D189" s="1808" t="str">
        <f t="shared" ca="1" si="31"/>
        <v/>
      </c>
      <c r="E189" s="1808" t="str">
        <f t="shared" ca="1" si="31"/>
        <v/>
      </c>
      <c r="F189" s="1808" t="str">
        <f t="shared" ca="1" si="31"/>
        <v/>
      </c>
      <c r="G189" s="1808" t="str">
        <f t="shared" ca="1" si="31"/>
        <v/>
      </c>
      <c r="H189" s="1808" t="str">
        <f t="shared" ca="1" si="31"/>
        <v/>
      </c>
      <c r="I189" s="1808" t="str">
        <f t="shared" ca="1" si="31"/>
        <v/>
      </c>
      <c r="J189" s="1808" t="str">
        <f t="shared" ca="1" si="31"/>
        <v/>
      </c>
      <c r="K189" s="1808" t="str">
        <f t="shared" ca="1" si="31"/>
        <v/>
      </c>
      <c r="L189" s="1808" t="str">
        <f t="shared" ca="1" si="31"/>
        <v/>
      </c>
      <c r="M189" s="1808" t="str">
        <f t="shared" ca="1" si="31"/>
        <v/>
      </c>
      <c r="N189" s="1808" t="str">
        <f t="shared" ca="1" si="32"/>
        <v/>
      </c>
      <c r="O189" s="1808" t="str">
        <f t="shared" ca="1" si="32"/>
        <v/>
      </c>
      <c r="P189" s="1808" t="str">
        <f t="shared" ca="1" si="32"/>
        <v/>
      </c>
      <c r="Q189" s="1808" t="str">
        <f t="shared" ca="1" si="32"/>
        <v/>
      </c>
      <c r="R189" s="1808" t="str">
        <f t="shared" ca="1" si="27"/>
        <v/>
      </c>
      <c r="S189" s="1808" t="str">
        <f t="shared" ca="1" si="27"/>
        <v/>
      </c>
      <c r="T189" s="1808">
        <f t="shared" ca="1" si="27"/>
        <v>188</v>
      </c>
      <c r="U189" s="1808" t="str">
        <f t="shared" ca="1" si="27"/>
        <v/>
      </c>
      <c r="V189" s="1808">
        <f t="shared" ca="1" si="25"/>
        <v>1</v>
      </c>
    </row>
    <row r="190" spans="2:22">
      <c r="B190">
        <v>189</v>
      </c>
      <c r="C190" s="1808" t="str">
        <f t="shared" ca="1" si="24"/>
        <v/>
      </c>
      <c r="D190" s="1808" t="str">
        <f t="shared" ca="1" si="31"/>
        <v/>
      </c>
      <c r="E190" s="1808" t="str">
        <f t="shared" ca="1" si="31"/>
        <v/>
      </c>
      <c r="F190" s="1808" t="str">
        <f t="shared" ca="1" si="31"/>
        <v/>
      </c>
      <c r="G190" s="1808" t="str">
        <f t="shared" ca="1" si="31"/>
        <v/>
      </c>
      <c r="H190" s="1808" t="str">
        <f t="shared" ca="1" si="31"/>
        <v/>
      </c>
      <c r="I190" s="1808" t="str">
        <f t="shared" ca="1" si="31"/>
        <v/>
      </c>
      <c r="J190" s="1808" t="str">
        <f t="shared" ca="1" si="31"/>
        <v/>
      </c>
      <c r="K190" s="1808" t="str">
        <f t="shared" ca="1" si="31"/>
        <v/>
      </c>
      <c r="L190" s="1808" t="str">
        <f t="shared" ca="1" si="31"/>
        <v/>
      </c>
      <c r="M190" s="1808" t="str">
        <f t="shared" ca="1" si="31"/>
        <v/>
      </c>
      <c r="N190" s="1808" t="str">
        <f t="shared" ca="1" si="32"/>
        <v/>
      </c>
      <c r="O190" s="1808" t="str">
        <f t="shared" ca="1" si="32"/>
        <v/>
      </c>
      <c r="P190" s="1808" t="str">
        <f t="shared" ca="1" si="32"/>
        <v/>
      </c>
      <c r="Q190" s="1808" t="str">
        <f t="shared" ca="1" si="32"/>
        <v/>
      </c>
      <c r="R190" s="1808" t="str">
        <f t="shared" ca="1" si="27"/>
        <v/>
      </c>
      <c r="S190" s="1808" t="str">
        <f t="shared" ca="1" si="27"/>
        <v/>
      </c>
      <c r="T190" s="1808" t="str">
        <f t="shared" ca="1" si="27"/>
        <v/>
      </c>
      <c r="U190" s="1808">
        <f t="shared" ca="1" si="27"/>
        <v>189</v>
      </c>
      <c r="V190" s="1808">
        <f t="shared" ca="1" si="25"/>
        <v>1</v>
      </c>
    </row>
    <row r="191" spans="2:22">
      <c r="B191">
        <v>190</v>
      </c>
      <c r="C191" s="1808" t="str">
        <f t="shared" ca="1" si="24"/>
        <v/>
      </c>
      <c r="D191" s="1808" t="str">
        <f t="shared" ca="1" si="31"/>
        <v/>
      </c>
      <c r="E191" s="1808" t="str">
        <f t="shared" ca="1" si="31"/>
        <v/>
      </c>
      <c r="F191" s="1808" t="str">
        <f t="shared" ca="1" si="31"/>
        <v/>
      </c>
      <c r="G191" s="1808" t="str">
        <f t="shared" ca="1" si="31"/>
        <v/>
      </c>
      <c r="H191" s="1808" t="str">
        <f t="shared" ca="1" si="31"/>
        <v/>
      </c>
      <c r="I191" s="1808" t="str">
        <f t="shared" ca="1" si="31"/>
        <v/>
      </c>
      <c r="J191" s="1808" t="str">
        <f t="shared" ca="1" si="31"/>
        <v/>
      </c>
      <c r="K191" s="1808" t="str">
        <f t="shared" ca="1" si="31"/>
        <v/>
      </c>
      <c r="L191" s="1808" t="str">
        <f t="shared" ca="1" si="31"/>
        <v/>
      </c>
      <c r="M191" s="1808" t="str">
        <f t="shared" ca="1" si="31"/>
        <v/>
      </c>
      <c r="N191" s="1808" t="str">
        <f t="shared" ca="1" si="32"/>
        <v/>
      </c>
      <c r="O191" s="1808" t="str">
        <f t="shared" ca="1" si="32"/>
        <v/>
      </c>
      <c r="P191" s="1808" t="str">
        <f t="shared" ca="1" si="32"/>
        <v/>
      </c>
      <c r="Q191" s="1808" t="str">
        <f t="shared" ca="1" si="32"/>
        <v/>
      </c>
      <c r="R191" s="1808" t="str">
        <f t="shared" ca="1" si="27"/>
        <v/>
      </c>
      <c r="S191" s="1808" t="str">
        <f t="shared" ca="1" si="27"/>
        <v/>
      </c>
      <c r="T191" s="1808" t="str">
        <f t="shared" ca="1" si="27"/>
        <v/>
      </c>
      <c r="U191" s="1808">
        <f t="shared" ca="1" si="27"/>
        <v>190</v>
      </c>
      <c r="V191" s="1808">
        <f t="shared" ca="1" si="25"/>
        <v>1</v>
      </c>
    </row>
    <row r="192" spans="2:22">
      <c r="B192">
        <v>191</v>
      </c>
      <c r="C192" s="1808" t="str">
        <f t="shared" ca="1" si="24"/>
        <v/>
      </c>
      <c r="D192" s="1808" t="str">
        <f t="shared" ca="1" si="31"/>
        <v/>
      </c>
      <c r="E192" s="1808" t="str">
        <f t="shared" ca="1" si="31"/>
        <v/>
      </c>
      <c r="F192" s="1808" t="str">
        <f t="shared" ca="1" si="31"/>
        <v/>
      </c>
      <c r="G192" s="1808" t="str">
        <f t="shared" ca="1" si="31"/>
        <v/>
      </c>
      <c r="H192" s="1808" t="str">
        <f t="shared" ca="1" si="31"/>
        <v/>
      </c>
      <c r="I192" s="1808" t="str">
        <f t="shared" ca="1" si="31"/>
        <v/>
      </c>
      <c r="J192" s="1808" t="str">
        <f t="shared" ca="1" si="31"/>
        <v/>
      </c>
      <c r="K192" s="1808" t="str">
        <f t="shared" ca="1" si="31"/>
        <v/>
      </c>
      <c r="L192" s="1808" t="str">
        <f t="shared" ca="1" si="31"/>
        <v/>
      </c>
      <c r="M192" s="1808" t="str">
        <f t="shared" ca="1" si="31"/>
        <v/>
      </c>
      <c r="N192" s="1808" t="str">
        <f t="shared" ca="1" si="32"/>
        <v/>
      </c>
      <c r="O192" s="1808" t="str">
        <f t="shared" ca="1" si="32"/>
        <v/>
      </c>
      <c r="P192" s="1808" t="str">
        <f t="shared" ca="1" si="32"/>
        <v/>
      </c>
      <c r="Q192" s="1808" t="str">
        <f t="shared" ca="1" si="32"/>
        <v/>
      </c>
      <c r="R192" s="1808" t="str">
        <f t="shared" ca="1" si="27"/>
        <v/>
      </c>
      <c r="S192" s="1808" t="str">
        <f t="shared" ca="1" si="27"/>
        <v/>
      </c>
      <c r="T192" s="1808">
        <f t="shared" ca="1" si="27"/>
        <v>191</v>
      </c>
      <c r="U192" s="1808" t="str">
        <f t="shared" ca="1" si="27"/>
        <v/>
      </c>
      <c r="V192" s="1808">
        <f t="shared" ca="1" si="25"/>
        <v>1</v>
      </c>
    </row>
    <row r="193" spans="2:22">
      <c r="B193">
        <v>192</v>
      </c>
      <c r="C193" s="1808" t="str">
        <f t="shared" ca="1" si="24"/>
        <v/>
      </c>
      <c r="D193" s="1808" t="str">
        <f t="shared" ref="D193:Q194" ca="1" si="33">IFERROR(VLOOKUP($B193,INDIRECT(D$1&amp;"!"&amp;"A:A"),1,0),"")</f>
        <v/>
      </c>
      <c r="E193" s="1808" t="str">
        <f t="shared" ca="1" si="33"/>
        <v/>
      </c>
      <c r="F193" s="1808" t="str">
        <f t="shared" ca="1" si="33"/>
        <v/>
      </c>
      <c r="G193" s="1808" t="str">
        <f t="shared" ca="1" si="33"/>
        <v/>
      </c>
      <c r="H193" s="1808" t="str">
        <f t="shared" ca="1" si="33"/>
        <v/>
      </c>
      <c r="I193" s="1808" t="str">
        <f t="shared" ca="1" si="33"/>
        <v/>
      </c>
      <c r="J193" s="1808" t="str">
        <f t="shared" ca="1" si="33"/>
        <v/>
      </c>
      <c r="K193" s="1808" t="str">
        <f t="shared" ca="1" si="33"/>
        <v/>
      </c>
      <c r="L193" s="1808" t="str">
        <f t="shared" ca="1" si="33"/>
        <v/>
      </c>
      <c r="M193" s="1808" t="str">
        <f t="shared" ca="1" si="33"/>
        <v/>
      </c>
      <c r="N193" s="1808" t="str">
        <f t="shared" ca="1" si="33"/>
        <v/>
      </c>
      <c r="O193" s="1808" t="str">
        <f t="shared" ca="1" si="33"/>
        <v/>
      </c>
      <c r="P193" s="1808" t="str">
        <f t="shared" ca="1" si="33"/>
        <v/>
      </c>
      <c r="Q193" s="1808" t="str">
        <f t="shared" ca="1" si="33"/>
        <v/>
      </c>
      <c r="R193" s="1808" t="str">
        <f t="shared" ca="1" si="27"/>
        <v/>
      </c>
      <c r="S193" s="1808" t="str">
        <f t="shared" ca="1" si="27"/>
        <v/>
      </c>
      <c r="T193" s="1808">
        <f t="shared" ca="1" si="27"/>
        <v>192</v>
      </c>
      <c r="U193" s="1808" t="str">
        <f t="shared" ca="1" si="27"/>
        <v/>
      </c>
      <c r="V193" s="1808">
        <f t="shared" ca="1" si="25"/>
        <v>1</v>
      </c>
    </row>
    <row r="194" spans="2:22">
      <c r="B194">
        <v>193</v>
      </c>
      <c r="C194" s="1808" t="str">
        <f t="shared" ca="1" si="24"/>
        <v/>
      </c>
      <c r="D194" s="1808" t="str">
        <f t="shared" ca="1" si="33"/>
        <v/>
      </c>
      <c r="E194" s="1808" t="str">
        <f t="shared" ca="1" si="33"/>
        <v/>
      </c>
      <c r="F194" s="1808" t="str">
        <f t="shared" ca="1" si="33"/>
        <v/>
      </c>
      <c r="G194" s="1808" t="str">
        <f t="shared" ca="1" si="33"/>
        <v/>
      </c>
      <c r="H194" s="1808" t="str">
        <f t="shared" ca="1" si="33"/>
        <v/>
      </c>
      <c r="I194" s="1808" t="str">
        <f t="shared" ca="1" si="33"/>
        <v/>
      </c>
      <c r="J194" s="1808" t="str">
        <f t="shared" ca="1" si="33"/>
        <v/>
      </c>
      <c r="K194" s="1808" t="str">
        <f t="shared" ca="1" si="33"/>
        <v/>
      </c>
      <c r="L194" s="1808" t="str">
        <f t="shared" ca="1" si="33"/>
        <v/>
      </c>
      <c r="M194" s="1808" t="str">
        <f t="shared" ca="1" si="33"/>
        <v/>
      </c>
      <c r="N194" s="1808" t="str">
        <f t="shared" ref="N194:Q209" ca="1" si="34">IFERROR(VLOOKUP($B194,INDIRECT(N$1&amp;"!"&amp;"A:A"),1,0),"")</f>
        <v/>
      </c>
      <c r="O194" s="1808" t="str">
        <f t="shared" ca="1" si="34"/>
        <v/>
      </c>
      <c r="P194" s="1808" t="str">
        <f t="shared" ca="1" si="34"/>
        <v/>
      </c>
      <c r="Q194" s="1808" t="str">
        <f t="shared" ca="1" si="34"/>
        <v/>
      </c>
      <c r="R194" s="1808" t="str">
        <f t="shared" ca="1" si="27"/>
        <v/>
      </c>
      <c r="S194" s="1808" t="str">
        <f t="shared" ca="1" si="27"/>
        <v/>
      </c>
      <c r="T194" s="1808">
        <f t="shared" ca="1" si="27"/>
        <v>193</v>
      </c>
      <c r="U194" s="1808" t="str">
        <f t="shared" ca="1" si="27"/>
        <v/>
      </c>
      <c r="V194" s="1808">
        <f t="shared" ca="1" si="25"/>
        <v>1</v>
      </c>
    </row>
    <row r="195" spans="2:22">
      <c r="B195">
        <v>194</v>
      </c>
      <c r="C195" s="1808" t="str">
        <f t="shared" ref="C195:M258" ca="1" si="35">IFERROR(VLOOKUP($B195,INDIRECT(C$1&amp;"!"&amp;"A:A"),1,0),"")</f>
        <v/>
      </c>
      <c r="D195" s="1808" t="str">
        <f t="shared" ca="1" si="35"/>
        <v/>
      </c>
      <c r="E195" s="1808" t="str">
        <f t="shared" ca="1" si="35"/>
        <v/>
      </c>
      <c r="F195" s="1808" t="str">
        <f t="shared" ca="1" si="35"/>
        <v/>
      </c>
      <c r="G195" s="1808" t="str">
        <f t="shared" ca="1" si="35"/>
        <v/>
      </c>
      <c r="H195" s="1808" t="str">
        <f t="shared" ca="1" si="35"/>
        <v/>
      </c>
      <c r="I195" s="1808" t="str">
        <f t="shared" ca="1" si="35"/>
        <v/>
      </c>
      <c r="J195" s="1808" t="str">
        <f t="shared" ca="1" si="35"/>
        <v/>
      </c>
      <c r="K195" s="1808" t="str">
        <f t="shared" ca="1" si="35"/>
        <v/>
      </c>
      <c r="L195" s="1808" t="str">
        <f t="shared" ca="1" si="35"/>
        <v/>
      </c>
      <c r="M195" s="1808" t="str">
        <f t="shared" ca="1" si="35"/>
        <v/>
      </c>
      <c r="N195" s="1808" t="str">
        <f t="shared" ca="1" si="34"/>
        <v/>
      </c>
      <c r="O195" s="1808" t="str">
        <f t="shared" ca="1" si="34"/>
        <v/>
      </c>
      <c r="P195" s="1808" t="str">
        <f t="shared" ca="1" si="34"/>
        <v/>
      </c>
      <c r="Q195" s="1808" t="str">
        <f t="shared" ca="1" si="34"/>
        <v/>
      </c>
      <c r="R195" s="1808" t="str">
        <f t="shared" ca="1" si="27"/>
        <v/>
      </c>
      <c r="S195" s="1808" t="str">
        <f t="shared" ca="1" si="27"/>
        <v/>
      </c>
      <c r="T195" s="1808">
        <f t="shared" ca="1" si="27"/>
        <v>194</v>
      </c>
      <c r="U195" s="1808" t="str">
        <f t="shared" ca="1" si="27"/>
        <v/>
      </c>
      <c r="V195" s="1808">
        <f t="shared" ref="V195:V258" ca="1" si="36">COUNTIF(C195:U195,"&gt;0")</f>
        <v>1</v>
      </c>
    </row>
    <row r="196" spans="2:22">
      <c r="B196">
        <v>195</v>
      </c>
      <c r="C196" s="1808" t="str">
        <f t="shared" ca="1" si="35"/>
        <v/>
      </c>
      <c r="D196" s="1808" t="str">
        <f t="shared" ca="1" si="35"/>
        <v/>
      </c>
      <c r="E196" s="1808" t="str">
        <f t="shared" ca="1" si="35"/>
        <v/>
      </c>
      <c r="F196" s="1808" t="str">
        <f t="shared" ca="1" si="35"/>
        <v/>
      </c>
      <c r="G196" s="1808" t="str">
        <f t="shared" ca="1" si="35"/>
        <v/>
      </c>
      <c r="H196" s="1808" t="str">
        <f t="shared" ca="1" si="35"/>
        <v/>
      </c>
      <c r="I196" s="1808" t="str">
        <f t="shared" ca="1" si="35"/>
        <v/>
      </c>
      <c r="J196" s="1808" t="str">
        <f t="shared" ca="1" si="35"/>
        <v/>
      </c>
      <c r="K196" s="1808" t="str">
        <f t="shared" ca="1" si="35"/>
        <v/>
      </c>
      <c r="L196" s="1808" t="str">
        <f t="shared" ca="1" si="35"/>
        <v/>
      </c>
      <c r="M196" s="1808" t="str">
        <f t="shared" ca="1" si="35"/>
        <v/>
      </c>
      <c r="N196" s="1808" t="str">
        <f t="shared" ca="1" si="34"/>
        <v/>
      </c>
      <c r="O196" s="1808" t="str">
        <f t="shared" ca="1" si="34"/>
        <v/>
      </c>
      <c r="P196" s="1808" t="str">
        <f t="shared" ca="1" si="34"/>
        <v/>
      </c>
      <c r="Q196" s="1808" t="str">
        <f t="shared" ca="1" si="34"/>
        <v/>
      </c>
      <c r="R196" s="1808" t="str">
        <f t="shared" ca="1" si="27"/>
        <v/>
      </c>
      <c r="S196" s="1808" t="str">
        <f t="shared" ca="1" si="27"/>
        <v/>
      </c>
      <c r="T196" s="1808" t="str">
        <f t="shared" ca="1" si="27"/>
        <v/>
      </c>
      <c r="U196" s="1808">
        <f t="shared" ca="1" si="27"/>
        <v>195</v>
      </c>
      <c r="V196" s="1808">
        <f t="shared" ca="1" si="36"/>
        <v>1</v>
      </c>
    </row>
    <row r="197" spans="2:22">
      <c r="B197">
        <v>196</v>
      </c>
      <c r="C197" s="1808" t="str">
        <f t="shared" ca="1" si="35"/>
        <v/>
      </c>
      <c r="D197" s="1808" t="str">
        <f t="shared" ca="1" si="35"/>
        <v/>
      </c>
      <c r="E197" s="1808" t="str">
        <f t="shared" ca="1" si="35"/>
        <v/>
      </c>
      <c r="F197" s="1808" t="str">
        <f t="shared" ca="1" si="35"/>
        <v/>
      </c>
      <c r="G197" s="1808" t="str">
        <f t="shared" ca="1" si="35"/>
        <v/>
      </c>
      <c r="H197" s="1808" t="str">
        <f t="shared" ca="1" si="35"/>
        <v/>
      </c>
      <c r="I197" s="1808" t="str">
        <f t="shared" ca="1" si="35"/>
        <v/>
      </c>
      <c r="J197" s="1808" t="str">
        <f t="shared" ca="1" si="35"/>
        <v/>
      </c>
      <c r="K197" s="1808" t="str">
        <f t="shared" ca="1" si="35"/>
        <v/>
      </c>
      <c r="L197" s="1808" t="str">
        <f t="shared" ca="1" si="35"/>
        <v/>
      </c>
      <c r="M197" s="1808" t="str">
        <f t="shared" ca="1" si="35"/>
        <v/>
      </c>
      <c r="N197" s="1808" t="str">
        <f t="shared" ca="1" si="34"/>
        <v/>
      </c>
      <c r="O197" s="1808" t="str">
        <f t="shared" ca="1" si="34"/>
        <v/>
      </c>
      <c r="P197" s="1808" t="str">
        <f t="shared" ca="1" si="34"/>
        <v/>
      </c>
      <c r="Q197" s="1808" t="str">
        <f t="shared" ca="1" si="34"/>
        <v/>
      </c>
      <c r="R197" s="1808" t="str">
        <f t="shared" ca="1" si="27"/>
        <v/>
      </c>
      <c r="S197" s="1808" t="str">
        <f t="shared" ca="1" si="27"/>
        <v/>
      </c>
      <c r="T197" s="1808" t="str">
        <f t="shared" ca="1" si="27"/>
        <v/>
      </c>
      <c r="U197" s="1808">
        <f t="shared" ca="1" si="27"/>
        <v>196</v>
      </c>
      <c r="V197" s="1808">
        <f t="shared" ca="1" si="36"/>
        <v>1</v>
      </c>
    </row>
    <row r="198" spans="2:22">
      <c r="B198">
        <v>197</v>
      </c>
      <c r="C198" s="1808" t="str">
        <f t="shared" ca="1" si="35"/>
        <v/>
      </c>
      <c r="D198" s="1808" t="str">
        <f t="shared" ca="1" si="35"/>
        <v/>
      </c>
      <c r="E198" s="1808" t="str">
        <f t="shared" ca="1" si="35"/>
        <v/>
      </c>
      <c r="F198" s="1808" t="str">
        <f t="shared" ca="1" si="35"/>
        <v/>
      </c>
      <c r="G198" s="1808" t="str">
        <f t="shared" ca="1" si="35"/>
        <v/>
      </c>
      <c r="H198" s="1808" t="str">
        <f t="shared" ca="1" si="35"/>
        <v/>
      </c>
      <c r="I198" s="1808" t="str">
        <f t="shared" ca="1" si="35"/>
        <v/>
      </c>
      <c r="J198" s="1808" t="str">
        <f t="shared" ca="1" si="35"/>
        <v/>
      </c>
      <c r="K198" s="1808" t="str">
        <f t="shared" ca="1" si="35"/>
        <v/>
      </c>
      <c r="L198" s="1808" t="str">
        <f t="shared" ca="1" si="35"/>
        <v/>
      </c>
      <c r="M198" s="1808" t="str">
        <f t="shared" ca="1" si="35"/>
        <v/>
      </c>
      <c r="N198" s="1808" t="str">
        <f t="shared" ca="1" si="34"/>
        <v/>
      </c>
      <c r="O198" s="1808" t="str">
        <f t="shared" ca="1" si="34"/>
        <v/>
      </c>
      <c r="P198" s="1808" t="str">
        <f t="shared" ca="1" si="34"/>
        <v/>
      </c>
      <c r="Q198" s="1808" t="str">
        <f t="shared" ca="1" si="34"/>
        <v/>
      </c>
      <c r="R198" s="1808" t="str">
        <f t="shared" ca="1" si="27"/>
        <v/>
      </c>
      <c r="S198" s="1808" t="str">
        <f t="shared" ca="1" si="27"/>
        <v/>
      </c>
      <c r="T198" s="1808">
        <f t="shared" ca="1" si="27"/>
        <v>197</v>
      </c>
      <c r="U198" s="1808" t="str">
        <f t="shared" ca="1" si="27"/>
        <v/>
      </c>
      <c r="V198" s="1808">
        <f t="shared" ca="1" si="36"/>
        <v>1</v>
      </c>
    </row>
    <row r="199" spans="2:22">
      <c r="B199">
        <v>198</v>
      </c>
      <c r="C199" s="1808" t="str">
        <f t="shared" ca="1" si="35"/>
        <v/>
      </c>
      <c r="D199" s="1808" t="str">
        <f t="shared" ca="1" si="35"/>
        <v/>
      </c>
      <c r="E199" s="1808" t="str">
        <f t="shared" ca="1" si="35"/>
        <v/>
      </c>
      <c r="F199" s="1808" t="str">
        <f t="shared" ca="1" si="35"/>
        <v/>
      </c>
      <c r="G199" s="1808" t="str">
        <f t="shared" ca="1" si="35"/>
        <v/>
      </c>
      <c r="H199" s="1808" t="str">
        <f t="shared" ca="1" si="35"/>
        <v/>
      </c>
      <c r="I199" s="1808" t="str">
        <f t="shared" ca="1" si="35"/>
        <v/>
      </c>
      <c r="J199" s="1808" t="str">
        <f t="shared" ca="1" si="35"/>
        <v/>
      </c>
      <c r="K199" s="1808" t="str">
        <f t="shared" ca="1" si="35"/>
        <v/>
      </c>
      <c r="L199" s="1808" t="str">
        <f t="shared" ca="1" si="35"/>
        <v/>
      </c>
      <c r="M199" s="1808" t="str">
        <f t="shared" ca="1" si="35"/>
        <v/>
      </c>
      <c r="N199" s="1808" t="str">
        <f t="shared" ca="1" si="34"/>
        <v/>
      </c>
      <c r="O199" s="1808" t="str">
        <f t="shared" ca="1" si="34"/>
        <v/>
      </c>
      <c r="P199" s="1808" t="str">
        <f t="shared" ca="1" si="34"/>
        <v/>
      </c>
      <c r="Q199" s="1808" t="str">
        <f t="shared" ca="1" si="34"/>
        <v/>
      </c>
      <c r="R199" s="1808" t="str">
        <f t="shared" ca="1" si="27"/>
        <v/>
      </c>
      <c r="S199" s="1808" t="str">
        <f t="shared" ca="1" si="27"/>
        <v/>
      </c>
      <c r="T199" s="1808">
        <f t="shared" ca="1" si="27"/>
        <v>198</v>
      </c>
      <c r="U199" s="1808" t="str">
        <f t="shared" ca="1" si="27"/>
        <v/>
      </c>
      <c r="V199" s="1808">
        <f t="shared" ca="1" si="36"/>
        <v>1</v>
      </c>
    </row>
    <row r="200" spans="2:22">
      <c r="B200">
        <v>199</v>
      </c>
      <c r="C200" s="1808" t="str">
        <f t="shared" ca="1" si="35"/>
        <v/>
      </c>
      <c r="D200" s="1808" t="str">
        <f t="shared" ca="1" si="35"/>
        <v/>
      </c>
      <c r="E200" s="1808" t="str">
        <f t="shared" ca="1" si="35"/>
        <v/>
      </c>
      <c r="F200" s="1808" t="str">
        <f t="shared" ca="1" si="35"/>
        <v/>
      </c>
      <c r="G200" s="1808" t="str">
        <f t="shared" ca="1" si="35"/>
        <v/>
      </c>
      <c r="H200" s="1808" t="str">
        <f t="shared" ca="1" si="35"/>
        <v/>
      </c>
      <c r="I200" s="1808" t="str">
        <f t="shared" ca="1" si="35"/>
        <v/>
      </c>
      <c r="J200" s="1808" t="str">
        <f t="shared" ca="1" si="35"/>
        <v/>
      </c>
      <c r="K200" s="1808" t="str">
        <f t="shared" ca="1" si="35"/>
        <v/>
      </c>
      <c r="L200" s="1808" t="str">
        <f t="shared" ca="1" si="35"/>
        <v/>
      </c>
      <c r="M200" s="1808" t="str">
        <f t="shared" ca="1" si="35"/>
        <v/>
      </c>
      <c r="N200" s="1808" t="str">
        <f t="shared" ca="1" si="34"/>
        <v/>
      </c>
      <c r="O200" s="1808" t="str">
        <f t="shared" ca="1" si="34"/>
        <v/>
      </c>
      <c r="P200" s="1808" t="str">
        <f t="shared" ca="1" si="34"/>
        <v/>
      </c>
      <c r="Q200" s="1808" t="str">
        <f t="shared" ca="1" si="34"/>
        <v/>
      </c>
      <c r="R200" s="1808" t="str">
        <f t="shared" ca="1" si="27"/>
        <v/>
      </c>
      <c r="S200" s="1808" t="str">
        <f t="shared" ca="1" si="27"/>
        <v/>
      </c>
      <c r="T200" s="1808">
        <f t="shared" ca="1" si="27"/>
        <v>199</v>
      </c>
      <c r="U200" s="1808" t="str">
        <f t="shared" ca="1" si="27"/>
        <v/>
      </c>
      <c r="V200" s="1808">
        <f t="shared" ca="1" si="36"/>
        <v>1</v>
      </c>
    </row>
    <row r="201" spans="2:22">
      <c r="B201">
        <v>200</v>
      </c>
      <c r="C201" s="1808" t="str">
        <f t="shared" ca="1" si="35"/>
        <v/>
      </c>
      <c r="D201" s="1808" t="str">
        <f t="shared" ca="1" si="35"/>
        <v/>
      </c>
      <c r="E201" s="1808" t="str">
        <f t="shared" ca="1" si="35"/>
        <v/>
      </c>
      <c r="F201" s="1808" t="str">
        <f t="shared" ca="1" si="35"/>
        <v/>
      </c>
      <c r="G201" s="1808" t="str">
        <f t="shared" ca="1" si="35"/>
        <v/>
      </c>
      <c r="H201" s="1808" t="str">
        <f t="shared" ca="1" si="35"/>
        <v/>
      </c>
      <c r="I201" s="1808" t="str">
        <f t="shared" ca="1" si="35"/>
        <v/>
      </c>
      <c r="J201" s="1808" t="str">
        <f t="shared" ca="1" si="35"/>
        <v/>
      </c>
      <c r="K201" s="1808" t="str">
        <f t="shared" ca="1" si="35"/>
        <v/>
      </c>
      <c r="L201" s="1808" t="str">
        <f t="shared" ca="1" si="35"/>
        <v/>
      </c>
      <c r="M201" s="1808" t="str">
        <f t="shared" ca="1" si="35"/>
        <v/>
      </c>
      <c r="N201" s="1808" t="str">
        <f t="shared" ca="1" si="34"/>
        <v/>
      </c>
      <c r="O201" s="1808" t="str">
        <f t="shared" ca="1" si="34"/>
        <v/>
      </c>
      <c r="P201" s="1808" t="str">
        <f t="shared" ca="1" si="34"/>
        <v/>
      </c>
      <c r="Q201" s="1808" t="str">
        <f t="shared" ca="1" si="34"/>
        <v/>
      </c>
      <c r="R201" s="1808" t="str">
        <f t="shared" ca="1" si="27"/>
        <v/>
      </c>
      <c r="S201" s="1808" t="str">
        <f t="shared" ca="1" si="27"/>
        <v/>
      </c>
      <c r="T201" s="1808" t="str">
        <f t="shared" ca="1" si="27"/>
        <v/>
      </c>
      <c r="U201" s="1808">
        <f t="shared" ca="1" si="27"/>
        <v>200</v>
      </c>
      <c r="V201" s="1808">
        <f t="shared" ca="1" si="36"/>
        <v>1</v>
      </c>
    </row>
    <row r="202" spans="2:22">
      <c r="B202">
        <v>201</v>
      </c>
      <c r="C202" s="1808" t="str">
        <f t="shared" ca="1" si="35"/>
        <v/>
      </c>
      <c r="D202" s="1808" t="str">
        <f t="shared" ca="1" si="35"/>
        <v/>
      </c>
      <c r="E202" s="1808" t="str">
        <f t="shared" ca="1" si="35"/>
        <v/>
      </c>
      <c r="F202" s="1808" t="str">
        <f t="shared" ca="1" si="35"/>
        <v/>
      </c>
      <c r="G202" s="1808" t="str">
        <f t="shared" ca="1" si="35"/>
        <v/>
      </c>
      <c r="H202" s="1808" t="str">
        <f t="shared" ca="1" si="35"/>
        <v/>
      </c>
      <c r="I202" s="1808" t="str">
        <f t="shared" ca="1" si="35"/>
        <v/>
      </c>
      <c r="J202" s="1808" t="str">
        <f t="shared" ca="1" si="35"/>
        <v/>
      </c>
      <c r="K202" s="1808" t="str">
        <f t="shared" ca="1" si="35"/>
        <v/>
      </c>
      <c r="L202" s="1808" t="str">
        <f t="shared" ca="1" si="35"/>
        <v/>
      </c>
      <c r="M202" s="1808" t="str">
        <f t="shared" ca="1" si="35"/>
        <v/>
      </c>
      <c r="N202" s="1808" t="str">
        <f t="shared" ca="1" si="34"/>
        <v/>
      </c>
      <c r="O202" s="1808" t="str">
        <f t="shared" ca="1" si="34"/>
        <v/>
      </c>
      <c r="P202" s="1808" t="str">
        <f t="shared" ca="1" si="34"/>
        <v/>
      </c>
      <c r="Q202" s="1808" t="str">
        <f t="shared" ca="1" si="34"/>
        <v/>
      </c>
      <c r="R202" s="1808" t="str">
        <f t="shared" ca="1" si="27"/>
        <v/>
      </c>
      <c r="S202" s="1808" t="str">
        <f t="shared" ca="1" si="27"/>
        <v/>
      </c>
      <c r="T202" s="1808">
        <f t="shared" ca="1" si="27"/>
        <v>201</v>
      </c>
      <c r="U202" s="1808" t="str">
        <f t="shared" ca="1" si="27"/>
        <v/>
      </c>
      <c r="V202" s="1808">
        <f t="shared" ca="1" si="36"/>
        <v>1</v>
      </c>
    </row>
    <row r="203" spans="2:22">
      <c r="B203">
        <v>202</v>
      </c>
      <c r="C203" s="1808" t="str">
        <f t="shared" ca="1" si="35"/>
        <v/>
      </c>
      <c r="D203" s="1808" t="str">
        <f t="shared" ca="1" si="35"/>
        <v/>
      </c>
      <c r="E203" s="1808" t="str">
        <f t="shared" ca="1" si="35"/>
        <v/>
      </c>
      <c r="F203" s="1808" t="str">
        <f t="shared" ca="1" si="35"/>
        <v/>
      </c>
      <c r="G203" s="1808" t="str">
        <f t="shared" ca="1" si="35"/>
        <v/>
      </c>
      <c r="H203" s="1808" t="str">
        <f t="shared" ca="1" si="35"/>
        <v/>
      </c>
      <c r="I203" s="1808" t="str">
        <f t="shared" ca="1" si="35"/>
        <v/>
      </c>
      <c r="J203" s="1808" t="str">
        <f t="shared" ca="1" si="35"/>
        <v/>
      </c>
      <c r="K203" s="1808" t="str">
        <f t="shared" ca="1" si="35"/>
        <v/>
      </c>
      <c r="L203" s="1808" t="str">
        <f t="shared" ca="1" si="35"/>
        <v/>
      </c>
      <c r="M203" s="1808" t="str">
        <f t="shared" ca="1" si="35"/>
        <v/>
      </c>
      <c r="N203" s="1808" t="str">
        <f t="shared" ca="1" si="34"/>
        <v/>
      </c>
      <c r="O203" s="1808" t="str">
        <f t="shared" ca="1" si="34"/>
        <v/>
      </c>
      <c r="P203" s="1808" t="str">
        <f t="shared" ca="1" si="34"/>
        <v/>
      </c>
      <c r="Q203" s="1808" t="str">
        <f t="shared" ca="1" si="34"/>
        <v/>
      </c>
      <c r="R203" s="1808" t="str">
        <f t="shared" ca="1" si="27"/>
        <v/>
      </c>
      <c r="S203" s="1808" t="str">
        <f t="shared" ca="1" si="27"/>
        <v/>
      </c>
      <c r="T203" s="1808">
        <f t="shared" ca="1" si="27"/>
        <v>202</v>
      </c>
      <c r="U203" s="1808" t="str">
        <f t="shared" ca="1" si="27"/>
        <v/>
      </c>
      <c r="V203" s="1808">
        <f t="shared" ca="1" si="36"/>
        <v>1</v>
      </c>
    </row>
    <row r="204" spans="2:22">
      <c r="B204">
        <v>203</v>
      </c>
      <c r="C204" s="1808" t="str">
        <f t="shared" ca="1" si="35"/>
        <v/>
      </c>
      <c r="D204" s="1808" t="str">
        <f t="shared" ca="1" si="35"/>
        <v/>
      </c>
      <c r="E204" s="1808" t="str">
        <f t="shared" ca="1" si="35"/>
        <v/>
      </c>
      <c r="F204" s="1808" t="str">
        <f t="shared" ca="1" si="35"/>
        <v/>
      </c>
      <c r="G204" s="1808" t="str">
        <f t="shared" ca="1" si="35"/>
        <v/>
      </c>
      <c r="H204" s="1808" t="str">
        <f t="shared" ca="1" si="35"/>
        <v/>
      </c>
      <c r="I204" s="1808" t="str">
        <f t="shared" ca="1" si="35"/>
        <v/>
      </c>
      <c r="J204" s="1808" t="str">
        <f t="shared" ca="1" si="35"/>
        <v/>
      </c>
      <c r="K204" s="1808" t="str">
        <f t="shared" ca="1" si="35"/>
        <v/>
      </c>
      <c r="L204" s="1808" t="str">
        <f t="shared" ca="1" si="35"/>
        <v/>
      </c>
      <c r="M204" s="1808" t="str">
        <f t="shared" ca="1" si="35"/>
        <v/>
      </c>
      <c r="N204" s="1808" t="str">
        <f t="shared" ca="1" si="34"/>
        <v/>
      </c>
      <c r="O204" s="1808" t="str">
        <f t="shared" ca="1" si="34"/>
        <v/>
      </c>
      <c r="P204" s="1808" t="str">
        <f t="shared" ca="1" si="34"/>
        <v/>
      </c>
      <c r="Q204" s="1808" t="str">
        <f t="shared" ca="1" si="34"/>
        <v/>
      </c>
      <c r="R204" s="1808" t="str">
        <f t="shared" ca="1" si="27"/>
        <v/>
      </c>
      <c r="S204" s="1808" t="str">
        <f t="shared" ca="1" si="27"/>
        <v/>
      </c>
      <c r="T204" s="1808">
        <f t="shared" ca="1" si="27"/>
        <v>203</v>
      </c>
      <c r="U204" s="1808" t="str">
        <f t="shared" ca="1" si="27"/>
        <v/>
      </c>
      <c r="V204" s="1808">
        <f t="shared" ca="1" si="36"/>
        <v>1</v>
      </c>
    </row>
    <row r="205" spans="2:22">
      <c r="B205">
        <v>204</v>
      </c>
      <c r="C205" s="1808" t="str">
        <f t="shared" ca="1" si="35"/>
        <v/>
      </c>
      <c r="D205" s="1808" t="str">
        <f t="shared" ca="1" si="35"/>
        <v/>
      </c>
      <c r="E205" s="1808" t="str">
        <f t="shared" ca="1" si="35"/>
        <v/>
      </c>
      <c r="F205" s="1808" t="str">
        <f t="shared" ca="1" si="35"/>
        <v/>
      </c>
      <c r="G205" s="1808" t="str">
        <f t="shared" ca="1" si="35"/>
        <v/>
      </c>
      <c r="H205" s="1808" t="str">
        <f t="shared" ca="1" si="35"/>
        <v/>
      </c>
      <c r="I205" s="1808" t="str">
        <f t="shared" ca="1" si="35"/>
        <v/>
      </c>
      <c r="J205" s="1808" t="str">
        <f t="shared" ca="1" si="35"/>
        <v/>
      </c>
      <c r="K205" s="1808" t="str">
        <f t="shared" ca="1" si="35"/>
        <v/>
      </c>
      <c r="L205" s="1808" t="str">
        <f t="shared" ca="1" si="35"/>
        <v/>
      </c>
      <c r="M205" s="1808" t="str">
        <f t="shared" ca="1" si="35"/>
        <v/>
      </c>
      <c r="N205" s="1808" t="str">
        <f t="shared" ca="1" si="34"/>
        <v/>
      </c>
      <c r="O205" s="1808" t="str">
        <f t="shared" ca="1" si="34"/>
        <v/>
      </c>
      <c r="P205" s="1808" t="str">
        <f t="shared" ca="1" si="34"/>
        <v/>
      </c>
      <c r="Q205" s="1808" t="str">
        <f t="shared" ca="1" si="34"/>
        <v/>
      </c>
      <c r="R205" s="1808" t="str">
        <f t="shared" ca="1" si="27"/>
        <v/>
      </c>
      <c r="S205" s="1808" t="str">
        <f t="shared" ca="1" si="27"/>
        <v/>
      </c>
      <c r="T205" s="1808">
        <f t="shared" ca="1" si="27"/>
        <v>204</v>
      </c>
      <c r="U205" s="1808" t="str">
        <f t="shared" ca="1" si="27"/>
        <v/>
      </c>
      <c r="V205" s="1808">
        <f t="shared" ca="1" si="36"/>
        <v>1</v>
      </c>
    </row>
    <row r="206" spans="2:22">
      <c r="B206">
        <v>205</v>
      </c>
      <c r="C206" s="1808" t="str">
        <f t="shared" ca="1" si="35"/>
        <v/>
      </c>
      <c r="D206" s="1808" t="str">
        <f t="shared" ca="1" si="35"/>
        <v/>
      </c>
      <c r="E206" s="1808" t="str">
        <f t="shared" ca="1" si="35"/>
        <v/>
      </c>
      <c r="F206" s="1808" t="str">
        <f t="shared" ca="1" si="35"/>
        <v/>
      </c>
      <c r="G206" s="1808" t="str">
        <f t="shared" ca="1" si="35"/>
        <v/>
      </c>
      <c r="H206" s="1808" t="str">
        <f t="shared" ca="1" si="35"/>
        <v/>
      </c>
      <c r="I206" s="1808" t="str">
        <f t="shared" ca="1" si="35"/>
        <v/>
      </c>
      <c r="J206" s="1808" t="str">
        <f t="shared" ca="1" si="35"/>
        <v/>
      </c>
      <c r="K206" s="1808" t="str">
        <f t="shared" ca="1" si="35"/>
        <v/>
      </c>
      <c r="L206" s="1808" t="str">
        <f t="shared" ca="1" si="35"/>
        <v/>
      </c>
      <c r="M206" s="1808" t="str">
        <f t="shared" ca="1" si="35"/>
        <v/>
      </c>
      <c r="N206" s="1808" t="str">
        <f t="shared" ca="1" si="34"/>
        <v/>
      </c>
      <c r="O206" s="1808" t="str">
        <f t="shared" ca="1" si="34"/>
        <v/>
      </c>
      <c r="P206" s="1808" t="str">
        <f t="shared" ca="1" si="34"/>
        <v/>
      </c>
      <c r="Q206" s="1808" t="str">
        <f t="shared" ca="1" si="34"/>
        <v/>
      </c>
      <c r="R206" s="1808" t="str">
        <f t="shared" ca="1" si="27"/>
        <v/>
      </c>
      <c r="S206" s="1808" t="str">
        <f t="shared" ca="1" si="27"/>
        <v/>
      </c>
      <c r="T206" s="1808">
        <f t="shared" ca="1" si="27"/>
        <v>205</v>
      </c>
      <c r="U206" s="1808" t="str">
        <f t="shared" ca="1" si="27"/>
        <v/>
      </c>
      <c r="V206" s="1808">
        <f t="shared" ca="1" si="36"/>
        <v>1</v>
      </c>
    </row>
    <row r="207" spans="2:22">
      <c r="B207">
        <v>206</v>
      </c>
      <c r="C207" s="1808" t="str">
        <f t="shared" ca="1" si="35"/>
        <v/>
      </c>
      <c r="D207" s="1808" t="str">
        <f t="shared" ca="1" si="35"/>
        <v/>
      </c>
      <c r="E207" s="1808" t="str">
        <f t="shared" ca="1" si="35"/>
        <v/>
      </c>
      <c r="F207" s="1808" t="str">
        <f t="shared" ca="1" si="35"/>
        <v/>
      </c>
      <c r="G207" s="1808" t="str">
        <f t="shared" ca="1" si="35"/>
        <v/>
      </c>
      <c r="H207" s="1808" t="str">
        <f t="shared" ca="1" si="35"/>
        <v/>
      </c>
      <c r="I207" s="1808" t="str">
        <f t="shared" ca="1" si="35"/>
        <v/>
      </c>
      <c r="J207" s="1808" t="str">
        <f t="shared" ca="1" si="35"/>
        <v/>
      </c>
      <c r="K207" s="1808" t="str">
        <f t="shared" ca="1" si="35"/>
        <v/>
      </c>
      <c r="L207" s="1808" t="str">
        <f t="shared" ca="1" si="35"/>
        <v/>
      </c>
      <c r="M207" s="1808" t="str">
        <f t="shared" ca="1" si="35"/>
        <v/>
      </c>
      <c r="N207" s="1808" t="str">
        <f t="shared" ca="1" si="34"/>
        <v/>
      </c>
      <c r="O207" s="1808" t="str">
        <f t="shared" ca="1" si="34"/>
        <v/>
      </c>
      <c r="P207" s="1808" t="str">
        <f t="shared" ca="1" si="34"/>
        <v/>
      </c>
      <c r="Q207" s="1808" t="str">
        <f t="shared" ca="1" si="34"/>
        <v/>
      </c>
      <c r="R207" s="1808" t="str">
        <f t="shared" ca="1" si="27"/>
        <v/>
      </c>
      <c r="S207" s="1808" t="str">
        <f t="shared" ca="1" si="27"/>
        <v/>
      </c>
      <c r="T207" s="1808">
        <f t="shared" ca="1" si="27"/>
        <v>206</v>
      </c>
      <c r="U207" s="1808" t="str">
        <f t="shared" ca="1" si="27"/>
        <v/>
      </c>
      <c r="V207" s="1808">
        <f t="shared" ca="1" si="36"/>
        <v>1</v>
      </c>
    </row>
    <row r="208" spans="2:22">
      <c r="B208">
        <v>207</v>
      </c>
      <c r="C208" s="1808" t="str">
        <f t="shared" ca="1" si="35"/>
        <v/>
      </c>
      <c r="D208" s="1808" t="str">
        <f t="shared" ca="1" si="35"/>
        <v/>
      </c>
      <c r="E208" s="1808" t="str">
        <f t="shared" ca="1" si="35"/>
        <v/>
      </c>
      <c r="F208" s="1808" t="str">
        <f t="shared" ca="1" si="35"/>
        <v/>
      </c>
      <c r="G208" s="1808" t="str">
        <f t="shared" ca="1" si="35"/>
        <v/>
      </c>
      <c r="H208" s="1808" t="str">
        <f t="shared" ca="1" si="35"/>
        <v/>
      </c>
      <c r="I208" s="1808" t="str">
        <f t="shared" ca="1" si="35"/>
        <v/>
      </c>
      <c r="J208" s="1808" t="str">
        <f t="shared" ca="1" si="35"/>
        <v/>
      </c>
      <c r="K208" s="1808" t="str">
        <f t="shared" ca="1" si="35"/>
        <v/>
      </c>
      <c r="L208" s="1808" t="str">
        <f t="shared" ca="1" si="35"/>
        <v/>
      </c>
      <c r="M208" s="1808" t="str">
        <f t="shared" ca="1" si="35"/>
        <v/>
      </c>
      <c r="N208" s="1808" t="str">
        <f t="shared" ca="1" si="34"/>
        <v/>
      </c>
      <c r="O208" s="1808" t="str">
        <f t="shared" ca="1" si="34"/>
        <v/>
      </c>
      <c r="P208" s="1808" t="str">
        <f t="shared" ca="1" si="34"/>
        <v/>
      </c>
      <c r="Q208" s="1808" t="str">
        <f t="shared" ca="1" si="34"/>
        <v/>
      </c>
      <c r="R208" s="1808" t="str">
        <f t="shared" ca="1" si="27"/>
        <v/>
      </c>
      <c r="S208" s="1808" t="str">
        <f t="shared" ca="1" si="27"/>
        <v/>
      </c>
      <c r="T208" s="1808">
        <f t="shared" ca="1" si="27"/>
        <v>207</v>
      </c>
      <c r="U208" s="1808" t="str">
        <f t="shared" ca="1" si="27"/>
        <v/>
      </c>
      <c r="V208" s="1808">
        <f t="shared" ca="1" si="36"/>
        <v>1</v>
      </c>
    </row>
    <row r="209" spans="2:22">
      <c r="B209">
        <v>208</v>
      </c>
      <c r="C209" s="1808" t="str">
        <f t="shared" ca="1" si="35"/>
        <v/>
      </c>
      <c r="D209" s="1808" t="str">
        <f t="shared" ca="1" si="35"/>
        <v/>
      </c>
      <c r="E209" s="1808" t="str">
        <f t="shared" ca="1" si="35"/>
        <v/>
      </c>
      <c r="F209" s="1808" t="str">
        <f t="shared" ca="1" si="35"/>
        <v/>
      </c>
      <c r="G209" s="1808" t="str">
        <f t="shared" ca="1" si="35"/>
        <v/>
      </c>
      <c r="H209" s="1808" t="str">
        <f t="shared" ca="1" si="35"/>
        <v/>
      </c>
      <c r="I209" s="1808" t="str">
        <f t="shared" ca="1" si="35"/>
        <v/>
      </c>
      <c r="J209" s="1808" t="str">
        <f t="shared" ca="1" si="35"/>
        <v/>
      </c>
      <c r="K209" s="1808" t="str">
        <f t="shared" ca="1" si="35"/>
        <v/>
      </c>
      <c r="L209" s="1808" t="str">
        <f t="shared" ca="1" si="35"/>
        <v/>
      </c>
      <c r="M209" s="1808" t="str">
        <f t="shared" ref="D209:S224" ca="1" si="37">IFERROR(VLOOKUP($B209,INDIRECT(M$1&amp;"!"&amp;"A:A"),1,0),"")</f>
        <v/>
      </c>
      <c r="N209" s="1808" t="str">
        <f t="shared" ca="1" si="34"/>
        <v/>
      </c>
      <c r="O209" s="1808" t="str">
        <f t="shared" ca="1" si="34"/>
        <v/>
      </c>
      <c r="P209" s="1808" t="str">
        <f t="shared" ca="1" si="34"/>
        <v/>
      </c>
      <c r="Q209" s="1808" t="str">
        <f t="shared" ca="1" si="34"/>
        <v/>
      </c>
      <c r="R209" s="1808" t="str">
        <f t="shared" ca="1" si="27"/>
        <v/>
      </c>
      <c r="S209" s="1808" t="str">
        <f t="shared" ca="1" si="27"/>
        <v/>
      </c>
      <c r="T209" s="1808">
        <f t="shared" ca="1" si="27"/>
        <v>208</v>
      </c>
      <c r="U209" s="1808" t="str">
        <f t="shared" ca="1" si="27"/>
        <v/>
      </c>
      <c r="V209" s="1808">
        <f t="shared" ca="1" si="36"/>
        <v>1</v>
      </c>
    </row>
    <row r="210" spans="2:22">
      <c r="B210">
        <v>209</v>
      </c>
      <c r="C210" s="1808" t="str">
        <f t="shared" ca="1" si="35"/>
        <v/>
      </c>
      <c r="D210" s="1808" t="str">
        <f t="shared" ca="1" si="37"/>
        <v/>
      </c>
      <c r="E210" s="1808" t="str">
        <f t="shared" ca="1" si="37"/>
        <v/>
      </c>
      <c r="F210" s="1808" t="str">
        <f t="shared" ca="1" si="37"/>
        <v/>
      </c>
      <c r="G210" s="1808" t="str">
        <f t="shared" ca="1" si="37"/>
        <v/>
      </c>
      <c r="H210" s="1808" t="str">
        <f t="shared" ca="1" si="37"/>
        <v/>
      </c>
      <c r="I210" s="1808" t="str">
        <f t="shared" ca="1" si="37"/>
        <v/>
      </c>
      <c r="J210" s="1808" t="str">
        <f t="shared" ca="1" si="37"/>
        <v/>
      </c>
      <c r="K210" s="1808" t="str">
        <f t="shared" ca="1" si="37"/>
        <v/>
      </c>
      <c r="L210" s="1808" t="str">
        <f t="shared" ca="1" si="37"/>
        <v/>
      </c>
      <c r="M210" s="1808" t="str">
        <f t="shared" ca="1" si="37"/>
        <v/>
      </c>
      <c r="N210" s="1808" t="str">
        <f t="shared" ca="1" si="37"/>
        <v/>
      </c>
      <c r="O210" s="1808" t="str">
        <f t="shared" ca="1" si="37"/>
        <v/>
      </c>
      <c r="P210" s="1808" t="str">
        <f t="shared" ca="1" si="37"/>
        <v/>
      </c>
      <c r="Q210" s="1808" t="str">
        <f t="shared" ca="1" si="37"/>
        <v/>
      </c>
      <c r="R210" s="1808" t="str">
        <f t="shared" ca="1" si="37"/>
        <v/>
      </c>
      <c r="S210" s="1808" t="str">
        <f t="shared" ca="1" si="37"/>
        <v/>
      </c>
      <c r="T210" s="1808">
        <f t="shared" ref="R210:U273" ca="1" si="38">IFERROR(VLOOKUP($B210,INDIRECT(T$1&amp;"!"&amp;"A:A"),1,0),"")</f>
        <v>209</v>
      </c>
      <c r="U210" s="1808" t="str">
        <f t="shared" ca="1" si="38"/>
        <v/>
      </c>
      <c r="V210" s="1808">
        <f t="shared" ca="1" si="36"/>
        <v>1</v>
      </c>
    </row>
    <row r="211" spans="2:22">
      <c r="B211">
        <v>210</v>
      </c>
      <c r="C211" s="1808" t="str">
        <f t="shared" ca="1" si="35"/>
        <v/>
      </c>
      <c r="D211" s="1808" t="str">
        <f t="shared" ca="1" si="37"/>
        <v/>
      </c>
      <c r="E211" s="1808" t="str">
        <f t="shared" ca="1" si="37"/>
        <v/>
      </c>
      <c r="F211" s="1808" t="str">
        <f t="shared" ca="1" si="37"/>
        <v/>
      </c>
      <c r="G211" s="1808" t="str">
        <f t="shared" ca="1" si="37"/>
        <v/>
      </c>
      <c r="H211" s="1808" t="str">
        <f t="shared" ca="1" si="37"/>
        <v/>
      </c>
      <c r="I211" s="1808" t="str">
        <f t="shared" ca="1" si="37"/>
        <v/>
      </c>
      <c r="J211" s="1808" t="str">
        <f t="shared" ca="1" si="37"/>
        <v/>
      </c>
      <c r="K211" s="1808" t="str">
        <f t="shared" ca="1" si="37"/>
        <v/>
      </c>
      <c r="L211" s="1808" t="str">
        <f t="shared" ca="1" si="37"/>
        <v/>
      </c>
      <c r="M211" s="1808" t="str">
        <f t="shared" ca="1" si="37"/>
        <v/>
      </c>
      <c r="N211" s="1808" t="str">
        <f t="shared" ref="N211:Q224" ca="1" si="39">IFERROR(VLOOKUP($B211,INDIRECT(N$1&amp;"!"&amp;"A:A"),1,0),"")</f>
        <v/>
      </c>
      <c r="O211" s="1808" t="str">
        <f t="shared" ca="1" si="39"/>
        <v/>
      </c>
      <c r="P211" s="1808" t="str">
        <f t="shared" ca="1" si="39"/>
        <v/>
      </c>
      <c r="Q211" s="1808" t="str">
        <f t="shared" ca="1" si="39"/>
        <v/>
      </c>
      <c r="R211" s="1808" t="str">
        <f t="shared" ca="1" si="38"/>
        <v/>
      </c>
      <c r="S211" s="1808" t="str">
        <f t="shared" ca="1" si="38"/>
        <v/>
      </c>
      <c r="T211" s="1808">
        <f t="shared" ca="1" si="38"/>
        <v>210</v>
      </c>
      <c r="U211" s="1808" t="str">
        <f t="shared" ca="1" si="38"/>
        <v/>
      </c>
      <c r="V211" s="1808">
        <f t="shared" ca="1" si="36"/>
        <v>1</v>
      </c>
    </row>
    <row r="212" spans="2:22">
      <c r="B212">
        <v>211</v>
      </c>
      <c r="C212" s="1808" t="str">
        <f t="shared" ca="1" si="35"/>
        <v/>
      </c>
      <c r="D212" s="1808" t="str">
        <f t="shared" ca="1" si="37"/>
        <v/>
      </c>
      <c r="E212" s="1808" t="str">
        <f t="shared" ca="1" si="37"/>
        <v/>
      </c>
      <c r="F212" s="1808" t="str">
        <f t="shared" ca="1" si="37"/>
        <v/>
      </c>
      <c r="G212" s="1808" t="str">
        <f t="shared" ca="1" si="37"/>
        <v/>
      </c>
      <c r="H212" s="1808" t="str">
        <f t="shared" ca="1" si="37"/>
        <v/>
      </c>
      <c r="I212" s="1808" t="str">
        <f t="shared" ca="1" si="37"/>
        <v/>
      </c>
      <c r="J212" s="1808" t="str">
        <f t="shared" ca="1" si="37"/>
        <v/>
      </c>
      <c r="K212" s="1808" t="str">
        <f t="shared" ca="1" si="37"/>
        <v/>
      </c>
      <c r="L212" s="1808" t="str">
        <f t="shared" ca="1" si="37"/>
        <v/>
      </c>
      <c r="M212" s="1808" t="str">
        <f t="shared" ca="1" si="37"/>
        <v/>
      </c>
      <c r="N212" s="1808" t="str">
        <f t="shared" ca="1" si="39"/>
        <v/>
      </c>
      <c r="O212" s="1808" t="str">
        <f t="shared" ca="1" si="39"/>
        <v/>
      </c>
      <c r="P212" s="1808" t="str">
        <f t="shared" ca="1" si="39"/>
        <v/>
      </c>
      <c r="Q212" s="1808" t="str">
        <f t="shared" ca="1" si="39"/>
        <v/>
      </c>
      <c r="R212" s="1808" t="str">
        <f t="shared" ca="1" si="38"/>
        <v/>
      </c>
      <c r="S212" s="1808" t="str">
        <f t="shared" ca="1" si="38"/>
        <v/>
      </c>
      <c r="T212" s="1808">
        <f t="shared" ca="1" si="38"/>
        <v>211</v>
      </c>
      <c r="U212" s="1808" t="str">
        <f t="shared" ca="1" si="38"/>
        <v/>
      </c>
      <c r="V212" s="1808">
        <f t="shared" ca="1" si="36"/>
        <v>1</v>
      </c>
    </row>
    <row r="213" spans="2:22">
      <c r="B213">
        <v>212</v>
      </c>
      <c r="C213" s="1808" t="str">
        <f t="shared" ca="1" si="35"/>
        <v/>
      </c>
      <c r="D213" s="1808" t="str">
        <f t="shared" ca="1" si="37"/>
        <v/>
      </c>
      <c r="E213" s="1808" t="str">
        <f t="shared" ca="1" si="37"/>
        <v/>
      </c>
      <c r="F213" s="1808" t="str">
        <f t="shared" ca="1" si="37"/>
        <v/>
      </c>
      <c r="G213" s="1808" t="str">
        <f t="shared" ca="1" si="37"/>
        <v/>
      </c>
      <c r="H213" s="1808" t="str">
        <f t="shared" ca="1" si="37"/>
        <v/>
      </c>
      <c r="I213" s="1808" t="str">
        <f t="shared" ca="1" si="37"/>
        <v/>
      </c>
      <c r="J213" s="1808" t="str">
        <f t="shared" ca="1" si="37"/>
        <v/>
      </c>
      <c r="K213" s="1808" t="str">
        <f t="shared" ca="1" si="37"/>
        <v/>
      </c>
      <c r="L213" s="1808" t="str">
        <f t="shared" ca="1" si="37"/>
        <v/>
      </c>
      <c r="M213" s="1808" t="str">
        <f t="shared" ca="1" si="37"/>
        <v/>
      </c>
      <c r="N213" s="1808" t="str">
        <f t="shared" ca="1" si="39"/>
        <v/>
      </c>
      <c r="O213" s="1808" t="str">
        <f t="shared" ca="1" si="39"/>
        <v/>
      </c>
      <c r="P213" s="1808" t="str">
        <f t="shared" ca="1" si="39"/>
        <v/>
      </c>
      <c r="Q213" s="1808" t="str">
        <f t="shared" ca="1" si="39"/>
        <v/>
      </c>
      <c r="R213" s="1808" t="str">
        <f t="shared" ca="1" si="38"/>
        <v/>
      </c>
      <c r="S213" s="1808" t="str">
        <f t="shared" ca="1" si="38"/>
        <v/>
      </c>
      <c r="T213" s="1808">
        <f t="shared" ca="1" si="38"/>
        <v>212</v>
      </c>
      <c r="U213" s="1808" t="str">
        <f t="shared" ca="1" si="38"/>
        <v/>
      </c>
      <c r="V213" s="1808">
        <f t="shared" ca="1" si="36"/>
        <v>1</v>
      </c>
    </row>
    <row r="214" spans="2:22">
      <c r="B214">
        <v>213</v>
      </c>
      <c r="C214" s="1808" t="str">
        <f t="shared" ca="1" si="35"/>
        <v/>
      </c>
      <c r="D214" s="1808" t="str">
        <f t="shared" ca="1" si="37"/>
        <v/>
      </c>
      <c r="E214" s="1808" t="str">
        <f t="shared" ca="1" si="37"/>
        <v/>
      </c>
      <c r="F214" s="1808" t="str">
        <f t="shared" ca="1" si="37"/>
        <v/>
      </c>
      <c r="G214" s="1808" t="str">
        <f t="shared" ca="1" si="37"/>
        <v/>
      </c>
      <c r="H214" s="1808" t="str">
        <f t="shared" ca="1" si="37"/>
        <v/>
      </c>
      <c r="I214" s="1808" t="str">
        <f t="shared" ca="1" si="37"/>
        <v/>
      </c>
      <c r="J214" s="1808" t="str">
        <f t="shared" ca="1" si="37"/>
        <v/>
      </c>
      <c r="K214" s="1808" t="str">
        <f t="shared" ca="1" si="37"/>
        <v/>
      </c>
      <c r="L214" s="1808" t="str">
        <f t="shared" ca="1" si="37"/>
        <v/>
      </c>
      <c r="M214" s="1808" t="str">
        <f t="shared" ca="1" si="37"/>
        <v/>
      </c>
      <c r="N214" s="1808">
        <f t="shared" ca="1" si="39"/>
        <v>213</v>
      </c>
      <c r="O214" s="1808" t="str">
        <f t="shared" ca="1" si="39"/>
        <v/>
      </c>
      <c r="P214" s="1808" t="str">
        <f t="shared" ca="1" si="39"/>
        <v/>
      </c>
      <c r="Q214" s="1808" t="str">
        <f t="shared" ca="1" si="39"/>
        <v/>
      </c>
      <c r="R214" s="1808" t="str">
        <f t="shared" ca="1" si="38"/>
        <v/>
      </c>
      <c r="S214" s="1808" t="str">
        <f t="shared" ca="1" si="38"/>
        <v/>
      </c>
      <c r="T214" s="1808" t="str">
        <f t="shared" ca="1" si="38"/>
        <v/>
      </c>
      <c r="U214" s="1808" t="str">
        <f t="shared" ca="1" si="38"/>
        <v/>
      </c>
      <c r="V214" s="1808">
        <f t="shared" ca="1" si="36"/>
        <v>1</v>
      </c>
    </row>
    <row r="215" spans="2:22">
      <c r="B215">
        <v>214</v>
      </c>
      <c r="C215" s="1808" t="str">
        <f t="shared" ca="1" si="35"/>
        <v/>
      </c>
      <c r="D215" s="1808" t="str">
        <f t="shared" ca="1" si="37"/>
        <v/>
      </c>
      <c r="E215" s="1808" t="str">
        <f t="shared" ca="1" si="37"/>
        <v/>
      </c>
      <c r="F215" s="1808" t="str">
        <f t="shared" ca="1" si="37"/>
        <v/>
      </c>
      <c r="G215" s="1808" t="str">
        <f t="shared" ca="1" si="37"/>
        <v/>
      </c>
      <c r="H215" s="1808" t="str">
        <f t="shared" ca="1" si="37"/>
        <v/>
      </c>
      <c r="I215" s="1808" t="str">
        <f t="shared" ca="1" si="37"/>
        <v/>
      </c>
      <c r="J215" s="1808" t="str">
        <f t="shared" ca="1" si="37"/>
        <v/>
      </c>
      <c r="K215" s="1808" t="str">
        <f t="shared" ca="1" si="37"/>
        <v/>
      </c>
      <c r="L215" s="1808" t="str">
        <f t="shared" ca="1" si="37"/>
        <v/>
      </c>
      <c r="M215" s="1808" t="str">
        <f t="shared" ca="1" si="37"/>
        <v/>
      </c>
      <c r="N215" s="1808" t="str">
        <f t="shared" ca="1" si="39"/>
        <v/>
      </c>
      <c r="O215" s="1808" t="str">
        <f t="shared" ca="1" si="39"/>
        <v/>
      </c>
      <c r="P215" s="1808" t="str">
        <f t="shared" ca="1" si="39"/>
        <v/>
      </c>
      <c r="Q215" s="1808" t="str">
        <f t="shared" ca="1" si="39"/>
        <v/>
      </c>
      <c r="R215" s="1808" t="str">
        <f t="shared" ca="1" si="38"/>
        <v/>
      </c>
      <c r="S215" s="1808" t="str">
        <f t="shared" ca="1" si="38"/>
        <v/>
      </c>
      <c r="T215" s="1808">
        <f t="shared" ca="1" si="38"/>
        <v>214</v>
      </c>
      <c r="U215" s="1808" t="str">
        <f t="shared" ca="1" si="38"/>
        <v/>
      </c>
      <c r="V215" s="1808">
        <f t="shared" ca="1" si="36"/>
        <v>1</v>
      </c>
    </row>
    <row r="216" spans="2:22">
      <c r="B216">
        <v>215</v>
      </c>
      <c r="C216" s="1808" t="str">
        <f t="shared" ca="1" si="35"/>
        <v/>
      </c>
      <c r="D216" s="1808" t="str">
        <f t="shared" ca="1" si="37"/>
        <v/>
      </c>
      <c r="E216" s="1808" t="str">
        <f t="shared" ca="1" si="37"/>
        <v/>
      </c>
      <c r="F216" s="1808" t="str">
        <f t="shared" ca="1" si="37"/>
        <v/>
      </c>
      <c r="G216" s="1808" t="str">
        <f t="shared" ca="1" si="37"/>
        <v/>
      </c>
      <c r="H216" s="1808" t="str">
        <f t="shared" ca="1" si="37"/>
        <v/>
      </c>
      <c r="I216" s="1808" t="str">
        <f t="shared" ca="1" si="37"/>
        <v/>
      </c>
      <c r="J216" s="1808" t="str">
        <f t="shared" ca="1" si="37"/>
        <v/>
      </c>
      <c r="K216" s="1808" t="str">
        <f t="shared" ca="1" si="37"/>
        <v/>
      </c>
      <c r="L216" s="1808" t="str">
        <f t="shared" ca="1" si="37"/>
        <v/>
      </c>
      <c r="M216" s="1808" t="str">
        <f t="shared" ca="1" si="37"/>
        <v/>
      </c>
      <c r="N216" s="1808" t="str">
        <f t="shared" ca="1" si="39"/>
        <v/>
      </c>
      <c r="O216" s="1808" t="str">
        <f t="shared" ca="1" si="39"/>
        <v/>
      </c>
      <c r="P216" s="1808" t="str">
        <f t="shared" ca="1" si="39"/>
        <v/>
      </c>
      <c r="Q216" s="1808" t="str">
        <f t="shared" ca="1" si="39"/>
        <v/>
      </c>
      <c r="R216" s="1808">
        <f t="shared" ca="1" si="38"/>
        <v>215</v>
      </c>
      <c r="S216" s="1808" t="str">
        <f t="shared" ca="1" si="38"/>
        <v/>
      </c>
      <c r="T216" s="1808" t="str">
        <f t="shared" ca="1" si="38"/>
        <v/>
      </c>
      <c r="U216" s="1808" t="str">
        <f t="shared" ca="1" si="38"/>
        <v/>
      </c>
      <c r="V216" s="1808">
        <f t="shared" ca="1" si="36"/>
        <v>1</v>
      </c>
    </row>
    <row r="217" spans="2:22">
      <c r="B217">
        <v>216</v>
      </c>
      <c r="C217" s="1808" t="str">
        <f t="shared" ca="1" si="35"/>
        <v/>
      </c>
      <c r="D217" s="1808" t="str">
        <f t="shared" ca="1" si="37"/>
        <v/>
      </c>
      <c r="E217" s="1808" t="str">
        <f t="shared" ca="1" si="37"/>
        <v/>
      </c>
      <c r="F217" s="1808" t="str">
        <f t="shared" ca="1" si="37"/>
        <v/>
      </c>
      <c r="G217" s="1808" t="str">
        <f t="shared" ca="1" si="37"/>
        <v/>
      </c>
      <c r="H217" s="1808" t="str">
        <f t="shared" ca="1" si="37"/>
        <v/>
      </c>
      <c r="I217" s="1808" t="str">
        <f t="shared" ca="1" si="37"/>
        <v/>
      </c>
      <c r="J217" s="1808" t="str">
        <f t="shared" ca="1" si="37"/>
        <v/>
      </c>
      <c r="K217" s="1808" t="str">
        <f t="shared" ca="1" si="37"/>
        <v/>
      </c>
      <c r="L217" s="1808">
        <f t="shared" ca="1" si="37"/>
        <v>216</v>
      </c>
      <c r="M217" s="1808" t="str">
        <f t="shared" ca="1" si="37"/>
        <v/>
      </c>
      <c r="N217" s="1808" t="str">
        <f t="shared" ca="1" si="39"/>
        <v/>
      </c>
      <c r="O217" s="1808" t="str">
        <f t="shared" ca="1" si="39"/>
        <v/>
      </c>
      <c r="P217" s="1808" t="str">
        <f t="shared" ca="1" si="39"/>
        <v/>
      </c>
      <c r="Q217" s="1808" t="str">
        <f t="shared" ca="1" si="39"/>
        <v/>
      </c>
      <c r="R217" s="1808" t="str">
        <f t="shared" ca="1" si="38"/>
        <v/>
      </c>
      <c r="S217" s="1808" t="str">
        <f t="shared" ca="1" si="38"/>
        <v/>
      </c>
      <c r="T217" s="1808" t="str">
        <f t="shared" ca="1" si="38"/>
        <v/>
      </c>
      <c r="U217" s="1808" t="str">
        <f t="shared" ca="1" si="38"/>
        <v/>
      </c>
      <c r="V217" s="1808">
        <f t="shared" ca="1" si="36"/>
        <v>1</v>
      </c>
    </row>
    <row r="218" spans="2:22">
      <c r="B218">
        <v>217</v>
      </c>
      <c r="C218" s="1808" t="str">
        <f t="shared" ca="1" si="35"/>
        <v/>
      </c>
      <c r="D218" s="1808" t="str">
        <f t="shared" ca="1" si="37"/>
        <v/>
      </c>
      <c r="E218" s="1808" t="str">
        <f t="shared" ca="1" si="37"/>
        <v/>
      </c>
      <c r="F218" s="1808" t="str">
        <f t="shared" ca="1" si="37"/>
        <v/>
      </c>
      <c r="G218" s="1808" t="str">
        <f t="shared" ca="1" si="37"/>
        <v/>
      </c>
      <c r="H218" s="1808" t="str">
        <f t="shared" ca="1" si="37"/>
        <v/>
      </c>
      <c r="I218" s="1808" t="str">
        <f t="shared" ca="1" si="37"/>
        <v/>
      </c>
      <c r="J218" s="1808" t="str">
        <f t="shared" ca="1" si="37"/>
        <v/>
      </c>
      <c r="K218" s="1808" t="str">
        <f t="shared" ca="1" si="37"/>
        <v/>
      </c>
      <c r="L218" s="1808">
        <f t="shared" ca="1" si="37"/>
        <v>217</v>
      </c>
      <c r="M218" s="1808" t="str">
        <f t="shared" ca="1" si="37"/>
        <v/>
      </c>
      <c r="N218" s="1808" t="str">
        <f t="shared" ca="1" si="39"/>
        <v/>
      </c>
      <c r="O218" s="1808" t="str">
        <f t="shared" ca="1" si="39"/>
        <v/>
      </c>
      <c r="P218" s="1808" t="str">
        <f t="shared" ca="1" si="39"/>
        <v/>
      </c>
      <c r="Q218" s="1808" t="str">
        <f t="shared" ca="1" si="39"/>
        <v/>
      </c>
      <c r="R218" s="1808" t="str">
        <f t="shared" ca="1" si="38"/>
        <v/>
      </c>
      <c r="S218" s="1808" t="str">
        <f t="shared" ca="1" si="38"/>
        <v/>
      </c>
      <c r="T218" s="1808" t="str">
        <f t="shared" ca="1" si="38"/>
        <v/>
      </c>
      <c r="U218" s="1808" t="str">
        <f t="shared" ca="1" si="38"/>
        <v/>
      </c>
      <c r="V218" s="1808">
        <f t="shared" ca="1" si="36"/>
        <v>1</v>
      </c>
    </row>
    <row r="219" spans="2:22">
      <c r="B219">
        <v>218</v>
      </c>
      <c r="C219" s="1808" t="str">
        <f t="shared" ca="1" si="35"/>
        <v/>
      </c>
      <c r="D219" s="1808" t="str">
        <f t="shared" ca="1" si="37"/>
        <v/>
      </c>
      <c r="E219" s="1808" t="str">
        <f t="shared" ca="1" si="37"/>
        <v/>
      </c>
      <c r="F219" s="1808" t="str">
        <f t="shared" ca="1" si="37"/>
        <v/>
      </c>
      <c r="G219" s="1808" t="str">
        <f t="shared" ca="1" si="37"/>
        <v/>
      </c>
      <c r="H219" s="1808" t="str">
        <f t="shared" ca="1" si="37"/>
        <v/>
      </c>
      <c r="I219" s="1808" t="str">
        <f t="shared" ca="1" si="37"/>
        <v/>
      </c>
      <c r="J219" s="1808" t="str">
        <f t="shared" ca="1" si="37"/>
        <v/>
      </c>
      <c r="K219" s="1808" t="str">
        <f t="shared" ca="1" si="37"/>
        <v/>
      </c>
      <c r="L219" s="1808">
        <f t="shared" ca="1" si="37"/>
        <v>218</v>
      </c>
      <c r="M219" s="1808" t="str">
        <f t="shared" ca="1" si="37"/>
        <v/>
      </c>
      <c r="N219" s="1808" t="str">
        <f t="shared" ca="1" si="39"/>
        <v/>
      </c>
      <c r="O219" s="1808" t="str">
        <f t="shared" ca="1" si="39"/>
        <v/>
      </c>
      <c r="P219" s="1808" t="str">
        <f t="shared" ca="1" si="39"/>
        <v/>
      </c>
      <c r="Q219" s="1808" t="str">
        <f t="shared" ca="1" si="39"/>
        <v/>
      </c>
      <c r="R219" s="1808" t="str">
        <f t="shared" ca="1" si="38"/>
        <v/>
      </c>
      <c r="S219" s="1808" t="str">
        <f t="shared" ca="1" si="38"/>
        <v/>
      </c>
      <c r="T219" s="1808" t="str">
        <f t="shared" ca="1" si="38"/>
        <v/>
      </c>
      <c r="U219" s="1808" t="str">
        <f t="shared" ca="1" si="38"/>
        <v/>
      </c>
      <c r="V219" s="1808">
        <f t="shared" ca="1" si="36"/>
        <v>1</v>
      </c>
    </row>
    <row r="220" spans="2:22">
      <c r="B220">
        <v>219</v>
      </c>
      <c r="C220" s="1808" t="str">
        <f t="shared" ca="1" si="35"/>
        <v/>
      </c>
      <c r="D220" s="1808" t="str">
        <f t="shared" ca="1" si="37"/>
        <v/>
      </c>
      <c r="E220" s="1808" t="str">
        <f t="shared" ca="1" si="37"/>
        <v/>
      </c>
      <c r="F220" s="1808" t="str">
        <f t="shared" ca="1" si="37"/>
        <v/>
      </c>
      <c r="G220" s="1808" t="str">
        <f t="shared" ca="1" si="37"/>
        <v/>
      </c>
      <c r="H220" s="1808" t="str">
        <f t="shared" ca="1" si="37"/>
        <v/>
      </c>
      <c r="I220" s="1808" t="str">
        <f t="shared" ca="1" si="37"/>
        <v/>
      </c>
      <c r="J220" s="1808" t="str">
        <f t="shared" ca="1" si="37"/>
        <v/>
      </c>
      <c r="K220" s="1808" t="str">
        <f t="shared" ca="1" si="37"/>
        <v/>
      </c>
      <c r="L220" s="1808" t="str">
        <f t="shared" ca="1" si="37"/>
        <v/>
      </c>
      <c r="M220" s="1808" t="str">
        <f t="shared" ca="1" si="37"/>
        <v/>
      </c>
      <c r="N220" s="1808" t="str">
        <f t="shared" ca="1" si="39"/>
        <v/>
      </c>
      <c r="O220" s="1808">
        <f t="shared" ca="1" si="39"/>
        <v>219</v>
      </c>
      <c r="P220" s="1808" t="str">
        <f t="shared" ca="1" si="39"/>
        <v/>
      </c>
      <c r="Q220" s="1808" t="str">
        <f t="shared" ca="1" si="39"/>
        <v/>
      </c>
      <c r="R220" s="1808" t="str">
        <f t="shared" ca="1" si="38"/>
        <v/>
      </c>
      <c r="S220" s="1808" t="str">
        <f t="shared" ca="1" si="38"/>
        <v/>
      </c>
      <c r="T220" s="1808" t="str">
        <f t="shared" ca="1" si="38"/>
        <v/>
      </c>
      <c r="U220" s="1808" t="str">
        <f t="shared" ca="1" si="38"/>
        <v/>
      </c>
      <c r="V220" s="1808">
        <f t="shared" ca="1" si="36"/>
        <v>1</v>
      </c>
    </row>
    <row r="221" spans="2:22">
      <c r="B221">
        <v>220</v>
      </c>
      <c r="C221" s="1808" t="str">
        <f t="shared" ca="1" si="35"/>
        <v/>
      </c>
      <c r="D221" s="1808" t="str">
        <f t="shared" ca="1" si="37"/>
        <v/>
      </c>
      <c r="E221" s="1808" t="str">
        <f t="shared" ca="1" si="37"/>
        <v/>
      </c>
      <c r="F221" s="1808" t="str">
        <f t="shared" ca="1" si="37"/>
        <v/>
      </c>
      <c r="G221" s="1808" t="str">
        <f t="shared" ca="1" si="37"/>
        <v/>
      </c>
      <c r="H221" s="1808" t="str">
        <f t="shared" ca="1" si="37"/>
        <v/>
      </c>
      <c r="I221" s="1808" t="str">
        <f t="shared" ca="1" si="37"/>
        <v/>
      </c>
      <c r="J221" s="1808" t="str">
        <f t="shared" ca="1" si="37"/>
        <v/>
      </c>
      <c r="K221" s="1808" t="str">
        <f t="shared" ca="1" si="37"/>
        <v/>
      </c>
      <c r="L221" s="1808" t="str">
        <f t="shared" ca="1" si="37"/>
        <v/>
      </c>
      <c r="M221" s="1808" t="str">
        <f t="shared" ca="1" si="37"/>
        <v/>
      </c>
      <c r="N221" s="1808" t="str">
        <f t="shared" ca="1" si="39"/>
        <v/>
      </c>
      <c r="O221" s="1808" t="str">
        <f t="shared" ca="1" si="39"/>
        <v/>
      </c>
      <c r="P221" s="1808" t="str">
        <f t="shared" ca="1" si="39"/>
        <v/>
      </c>
      <c r="Q221" s="1808" t="str">
        <f t="shared" ca="1" si="39"/>
        <v/>
      </c>
      <c r="R221" s="1808" t="str">
        <f t="shared" ca="1" si="38"/>
        <v/>
      </c>
      <c r="S221" s="1808" t="str">
        <f t="shared" ca="1" si="38"/>
        <v/>
      </c>
      <c r="T221" s="1808">
        <f t="shared" ca="1" si="38"/>
        <v>220</v>
      </c>
      <c r="U221" s="1808" t="str">
        <f t="shared" ca="1" si="38"/>
        <v/>
      </c>
      <c r="V221" s="1808">
        <f t="shared" ca="1" si="36"/>
        <v>1</v>
      </c>
    </row>
    <row r="222" spans="2:22">
      <c r="B222">
        <v>221</v>
      </c>
      <c r="C222" s="1808" t="str">
        <f t="shared" ca="1" si="35"/>
        <v/>
      </c>
      <c r="D222" s="1808" t="str">
        <f t="shared" ca="1" si="37"/>
        <v/>
      </c>
      <c r="E222" s="1808" t="str">
        <f t="shared" ca="1" si="37"/>
        <v/>
      </c>
      <c r="F222" s="1808" t="str">
        <f t="shared" ca="1" si="37"/>
        <v/>
      </c>
      <c r="G222" s="1808" t="str">
        <f t="shared" ca="1" si="37"/>
        <v/>
      </c>
      <c r="H222" s="1808" t="str">
        <f t="shared" ca="1" si="37"/>
        <v/>
      </c>
      <c r="I222" s="1808" t="str">
        <f t="shared" ca="1" si="37"/>
        <v/>
      </c>
      <c r="J222" s="1808" t="str">
        <f t="shared" ca="1" si="37"/>
        <v/>
      </c>
      <c r="K222" s="1808" t="str">
        <f t="shared" ca="1" si="37"/>
        <v/>
      </c>
      <c r="L222" s="1808" t="str">
        <f t="shared" ca="1" si="37"/>
        <v/>
      </c>
      <c r="M222" s="1808" t="str">
        <f t="shared" ca="1" si="37"/>
        <v/>
      </c>
      <c r="N222" s="1808" t="str">
        <f t="shared" ca="1" si="39"/>
        <v/>
      </c>
      <c r="O222" s="1808" t="str">
        <f t="shared" ca="1" si="39"/>
        <v/>
      </c>
      <c r="P222" s="1808" t="str">
        <f t="shared" ca="1" si="39"/>
        <v/>
      </c>
      <c r="Q222" s="1808" t="str">
        <f t="shared" ca="1" si="39"/>
        <v/>
      </c>
      <c r="R222" s="1808" t="str">
        <f t="shared" ca="1" si="38"/>
        <v/>
      </c>
      <c r="S222" s="1808" t="str">
        <f t="shared" ca="1" si="38"/>
        <v/>
      </c>
      <c r="T222" s="1808" t="str">
        <f t="shared" ca="1" si="38"/>
        <v/>
      </c>
      <c r="U222" s="1808">
        <f t="shared" ca="1" si="38"/>
        <v>221</v>
      </c>
      <c r="V222" s="1808">
        <f t="shared" ca="1" si="36"/>
        <v>1</v>
      </c>
    </row>
    <row r="223" spans="2:22">
      <c r="B223">
        <v>222</v>
      </c>
      <c r="C223" s="1808" t="str">
        <f t="shared" ca="1" si="35"/>
        <v/>
      </c>
      <c r="D223" s="1808" t="str">
        <f t="shared" ca="1" si="37"/>
        <v/>
      </c>
      <c r="E223" s="1808" t="str">
        <f t="shared" ca="1" si="37"/>
        <v/>
      </c>
      <c r="F223" s="1808" t="str">
        <f t="shared" ca="1" si="37"/>
        <v/>
      </c>
      <c r="G223" s="1808" t="str">
        <f t="shared" ca="1" si="37"/>
        <v/>
      </c>
      <c r="H223" s="1808" t="str">
        <f t="shared" ca="1" si="37"/>
        <v/>
      </c>
      <c r="I223" s="1808" t="str">
        <f t="shared" ca="1" si="37"/>
        <v/>
      </c>
      <c r="J223" s="1808" t="str">
        <f t="shared" ca="1" si="37"/>
        <v/>
      </c>
      <c r="K223" s="1808" t="str">
        <f t="shared" ca="1" si="37"/>
        <v/>
      </c>
      <c r="L223" s="1808" t="str">
        <f t="shared" ca="1" si="37"/>
        <v/>
      </c>
      <c r="M223" s="1808">
        <f t="shared" ca="1" si="37"/>
        <v>222</v>
      </c>
      <c r="N223" s="1808" t="str">
        <f t="shared" ca="1" si="39"/>
        <v/>
      </c>
      <c r="O223" s="1808" t="str">
        <f t="shared" ca="1" si="39"/>
        <v/>
      </c>
      <c r="P223" s="1808" t="str">
        <f t="shared" ca="1" si="39"/>
        <v/>
      </c>
      <c r="Q223" s="1808" t="str">
        <f t="shared" ca="1" si="39"/>
        <v/>
      </c>
      <c r="R223" s="1808" t="str">
        <f t="shared" ca="1" si="38"/>
        <v/>
      </c>
      <c r="S223" s="1808" t="str">
        <f t="shared" ca="1" si="38"/>
        <v/>
      </c>
      <c r="T223" s="1808" t="str">
        <f t="shared" ca="1" si="38"/>
        <v/>
      </c>
      <c r="U223" s="1808" t="str">
        <f t="shared" ca="1" si="38"/>
        <v/>
      </c>
      <c r="V223" s="1808">
        <f t="shared" ca="1" si="36"/>
        <v>1</v>
      </c>
    </row>
    <row r="224" spans="2:22">
      <c r="B224">
        <v>223</v>
      </c>
      <c r="C224" s="1808" t="str">
        <f t="shared" ca="1" si="35"/>
        <v/>
      </c>
      <c r="D224" s="1808" t="str">
        <f t="shared" ca="1" si="37"/>
        <v/>
      </c>
      <c r="E224" s="1808" t="str">
        <f t="shared" ca="1" si="37"/>
        <v/>
      </c>
      <c r="F224" s="1808" t="str">
        <f t="shared" ca="1" si="37"/>
        <v/>
      </c>
      <c r="G224" s="1808" t="str">
        <f t="shared" ca="1" si="37"/>
        <v/>
      </c>
      <c r="H224" s="1808" t="str">
        <f t="shared" ca="1" si="37"/>
        <v/>
      </c>
      <c r="I224" s="1808" t="str">
        <f t="shared" ca="1" si="37"/>
        <v/>
      </c>
      <c r="J224" s="1808" t="str">
        <f t="shared" ca="1" si="37"/>
        <v/>
      </c>
      <c r="K224" s="1808" t="str">
        <f t="shared" ca="1" si="37"/>
        <v/>
      </c>
      <c r="L224" s="1808" t="str">
        <f t="shared" ca="1" si="37"/>
        <v/>
      </c>
      <c r="M224" s="1808" t="str">
        <f t="shared" ca="1" si="37"/>
        <v/>
      </c>
      <c r="N224" s="1808" t="str">
        <f t="shared" ca="1" si="39"/>
        <v/>
      </c>
      <c r="O224" s="1808" t="str">
        <f t="shared" ca="1" si="39"/>
        <v/>
      </c>
      <c r="P224" s="1808" t="str">
        <f t="shared" ca="1" si="39"/>
        <v/>
      </c>
      <c r="Q224" s="1808" t="str">
        <f t="shared" ca="1" si="39"/>
        <v/>
      </c>
      <c r="R224" s="1808" t="str">
        <f t="shared" ca="1" si="38"/>
        <v/>
      </c>
      <c r="S224" s="1808" t="str">
        <f t="shared" ca="1" si="38"/>
        <v/>
      </c>
      <c r="T224" s="1808">
        <f t="shared" ca="1" si="38"/>
        <v>223</v>
      </c>
      <c r="U224" s="1808" t="str">
        <f t="shared" ca="1" si="38"/>
        <v/>
      </c>
      <c r="V224" s="1808">
        <f t="shared" ca="1" si="36"/>
        <v>1</v>
      </c>
    </row>
    <row r="225" spans="2:22">
      <c r="B225">
        <v>224</v>
      </c>
      <c r="C225" s="1808" t="str">
        <f t="shared" ca="1" si="35"/>
        <v/>
      </c>
      <c r="D225" s="1808" t="str">
        <f t="shared" ref="D225:Q240" ca="1" si="40">IFERROR(VLOOKUP($B225,INDIRECT(D$1&amp;"!"&amp;"A:A"),1,0),"")</f>
        <v/>
      </c>
      <c r="E225" s="1808" t="str">
        <f t="shared" ca="1" si="40"/>
        <v/>
      </c>
      <c r="F225" s="1808" t="str">
        <f t="shared" ca="1" si="40"/>
        <v/>
      </c>
      <c r="G225" s="1808" t="str">
        <f t="shared" ca="1" si="40"/>
        <v/>
      </c>
      <c r="H225" s="1808" t="str">
        <f t="shared" ca="1" si="40"/>
        <v/>
      </c>
      <c r="I225" s="1808" t="str">
        <f t="shared" ca="1" si="40"/>
        <v/>
      </c>
      <c r="J225" s="1808" t="str">
        <f t="shared" ca="1" si="40"/>
        <v/>
      </c>
      <c r="K225" s="1808" t="str">
        <f t="shared" ca="1" si="40"/>
        <v/>
      </c>
      <c r="L225" s="1808" t="str">
        <f t="shared" ca="1" si="40"/>
        <v/>
      </c>
      <c r="M225" s="1808" t="str">
        <f t="shared" ca="1" si="40"/>
        <v/>
      </c>
      <c r="N225" s="1808" t="str">
        <f t="shared" ca="1" si="40"/>
        <v/>
      </c>
      <c r="O225" s="1808" t="str">
        <f t="shared" ca="1" si="40"/>
        <v/>
      </c>
      <c r="P225" s="1808" t="str">
        <f t="shared" ca="1" si="40"/>
        <v/>
      </c>
      <c r="Q225" s="1808" t="str">
        <f t="shared" ca="1" si="40"/>
        <v/>
      </c>
      <c r="R225" s="1808" t="str">
        <f t="shared" ca="1" si="38"/>
        <v/>
      </c>
      <c r="S225" s="1808" t="str">
        <f t="shared" ca="1" si="38"/>
        <v/>
      </c>
      <c r="T225" s="1808">
        <f t="shared" ca="1" si="38"/>
        <v>224</v>
      </c>
      <c r="U225" s="1808" t="str">
        <f t="shared" ca="1" si="38"/>
        <v/>
      </c>
      <c r="V225" s="1808">
        <f t="shared" ca="1" si="36"/>
        <v>1</v>
      </c>
    </row>
    <row r="226" spans="2:22">
      <c r="B226">
        <v>225</v>
      </c>
      <c r="C226" s="1808" t="str">
        <f t="shared" ca="1" si="35"/>
        <v/>
      </c>
      <c r="D226" s="1808" t="str">
        <f t="shared" ca="1" si="40"/>
        <v/>
      </c>
      <c r="E226" s="1808" t="str">
        <f t="shared" ca="1" si="40"/>
        <v/>
      </c>
      <c r="F226" s="1808" t="str">
        <f t="shared" ca="1" si="40"/>
        <v/>
      </c>
      <c r="G226" s="1808" t="str">
        <f t="shared" ca="1" si="40"/>
        <v/>
      </c>
      <c r="H226" s="1808" t="str">
        <f t="shared" ca="1" si="40"/>
        <v/>
      </c>
      <c r="I226" s="1808" t="str">
        <f t="shared" ca="1" si="40"/>
        <v/>
      </c>
      <c r="J226" s="1808" t="str">
        <f t="shared" ca="1" si="40"/>
        <v/>
      </c>
      <c r="K226" s="1808" t="str">
        <f t="shared" ca="1" si="40"/>
        <v/>
      </c>
      <c r="L226" s="1808" t="str">
        <f t="shared" ca="1" si="40"/>
        <v/>
      </c>
      <c r="M226" s="1808">
        <f t="shared" ca="1" si="40"/>
        <v>225</v>
      </c>
      <c r="N226" s="1808" t="str">
        <f t="shared" ref="N226:Q240" ca="1" si="41">IFERROR(VLOOKUP($B226,INDIRECT(N$1&amp;"!"&amp;"A:A"),1,0),"")</f>
        <v/>
      </c>
      <c r="O226" s="1808" t="str">
        <f t="shared" ca="1" si="41"/>
        <v/>
      </c>
      <c r="P226" s="1808" t="str">
        <f t="shared" ca="1" si="41"/>
        <v/>
      </c>
      <c r="Q226" s="1808" t="str">
        <f t="shared" ca="1" si="41"/>
        <v/>
      </c>
      <c r="R226" s="1808" t="str">
        <f t="shared" ca="1" si="38"/>
        <v/>
      </c>
      <c r="S226" s="1808" t="str">
        <f t="shared" ca="1" si="38"/>
        <v/>
      </c>
      <c r="T226" s="1808" t="str">
        <f t="shared" ca="1" si="38"/>
        <v/>
      </c>
      <c r="U226" s="1808" t="str">
        <f t="shared" ca="1" si="38"/>
        <v/>
      </c>
      <c r="V226" s="1808">
        <f t="shared" ca="1" si="36"/>
        <v>1</v>
      </c>
    </row>
    <row r="227" spans="2:22">
      <c r="B227">
        <v>226</v>
      </c>
      <c r="C227" s="1808" t="str">
        <f t="shared" ca="1" si="35"/>
        <v/>
      </c>
      <c r="D227" s="1808" t="str">
        <f t="shared" ca="1" si="40"/>
        <v/>
      </c>
      <c r="E227" s="1808" t="str">
        <f t="shared" ca="1" si="40"/>
        <v/>
      </c>
      <c r="F227" s="1808" t="str">
        <f t="shared" ca="1" si="40"/>
        <v/>
      </c>
      <c r="G227" s="1808" t="str">
        <f t="shared" ca="1" si="40"/>
        <v/>
      </c>
      <c r="H227" s="1808" t="str">
        <f t="shared" ca="1" si="40"/>
        <v/>
      </c>
      <c r="I227" s="1808" t="str">
        <f t="shared" ca="1" si="40"/>
        <v/>
      </c>
      <c r="J227" s="1808" t="str">
        <f t="shared" ca="1" si="40"/>
        <v/>
      </c>
      <c r="K227" s="1808" t="str">
        <f t="shared" ca="1" si="40"/>
        <v/>
      </c>
      <c r="L227" s="1808" t="str">
        <f t="shared" ca="1" si="40"/>
        <v/>
      </c>
      <c r="M227" s="1808" t="str">
        <f t="shared" ca="1" si="40"/>
        <v/>
      </c>
      <c r="N227" s="1808" t="str">
        <f t="shared" ca="1" si="41"/>
        <v/>
      </c>
      <c r="O227" s="1808" t="str">
        <f t="shared" ca="1" si="41"/>
        <v/>
      </c>
      <c r="P227" s="1808" t="str">
        <f t="shared" ca="1" si="41"/>
        <v/>
      </c>
      <c r="Q227" s="1808" t="str">
        <f t="shared" ca="1" si="41"/>
        <v/>
      </c>
      <c r="R227" s="1808">
        <f t="shared" ca="1" si="38"/>
        <v>226</v>
      </c>
      <c r="S227" s="1808" t="str">
        <f t="shared" ca="1" si="38"/>
        <v/>
      </c>
      <c r="T227" s="1808" t="str">
        <f t="shared" ca="1" si="38"/>
        <v/>
      </c>
      <c r="U227" s="1808" t="str">
        <f t="shared" ca="1" si="38"/>
        <v/>
      </c>
      <c r="V227" s="1808">
        <f t="shared" ca="1" si="36"/>
        <v>1</v>
      </c>
    </row>
    <row r="228" spans="2:22">
      <c r="B228" s="1808">
        <v>227</v>
      </c>
      <c r="C228" s="1808" t="str">
        <f t="shared" ca="1" si="35"/>
        <v/>
      </c>
      <c r="D228" s="1808" t="str">
        <f t="shared" ca="1" si="40"/>
        <v/>
      </c>
      <c r="E228" s="1808" t="str">
        <f t="shared" ca="1" si="40"/>
        <v/>
      </c>
      <c r="F228" s="1808" t="str">
        <f t="shared" ca="1" si="40"/>
        <v/>
      </c>
      <c r="G228" s="1808" t="str">
        <f t="shared" ca="1" si="40"/>
        <v/>
      </c>
      <c r="H228" s="1808" t="str">
        <f t="shared" ca="1" si="40"/>
        <v/>
      </c>
      <c r="I228" s="1808" t="str">
        <f t="shared" ca="1" si="40"/>
        <v/>
      </c>
      <c r="J228" s="1808" t="str">
        <f t="shared" ca="1" si="40"/>
        <v/>
      </c>
      <c r="K228" s="1808" t="str">
        <f t="shared" ca="1" si="40"/>
        <v/>
      </c>
      <c r="L228" s="1808" t="str">
        <f t="shared" ca="1" si="40"/>
        <v/>
      </c>
      <c r="M228" s="1808" t="str">
        <f t="shared" ca="1" si="40"/>
        <v/>
      </c>
      <c r="N228" s="1808" t="str">
        <f t="shared" ca="1" si="41"/>
        <v/>
      </c>
      <c r="O228" s="1808" t="str">
        <f t="shared" ca="1" si="41"/>
        <v/>
      </c>
      <c r="P228" s="1808" t="str">
        <f t="shared" ca="1" si="41"/>
        <v/>
      </c>
      <c r="Q228" s="1808" t="str">
        <f t="shared" ca="1" si="41"/>
        <v/>
      </c>
      <c r="R228" s="1808">
        <f t="shared" ca="1" si="38"/>
        <v>227</v>
      </c>
      <c r="S228" s="1808" t="str">
        <f t="shared" ca="1" si="38"/>
        <v/>
      </c>
      <c r="T228" s="1808" t="str">
        <f t="shared" ca="1" si="38"/>
        <v/>
      </c>
      <c r="U228" s="1808" t="str">
        <f t="shared" ca="1" si="38"/>
        <v/>
      </c>
      <c r="V228" s="1808">
        <f t="shared" ca="1" si="36"/>
        <v>1</v>
      </c>
    </row>
    <row r="229" spans="2:22">
      <c r="B229" s="1808">
        <v>228</v>
      </c>
      <c r="C229" s="1808" t="str">
        <f t="shared" ca="1" si="35"/>
        <v/>
      </c>
      <c r="D229" s="1808" t="str">
        <f t="shared" ca="1" si="40"/>
        <v/>
      </c>
      <c r="E229" s="1808" t="str">
        <f t="shared" ca="1" si="40"/>
        <v/>
      </c>
      <c r="F229" s="1808" t="str">
        <f t="shared" ca="1" si="40"/>
        <v/>
      </c>
      <c r="G229" s="1808" t="str">
        <f t="shared" ca="1" si="40"/>
        <v/>
      </c>
      <c r="H229" s="1808" t="str">
        <f t="shared" ca="1" si="40"/>
        <v/>
      </c>
      <c r="I229" s="1808" t="str">
        <f t="shared" ca="1" si="40"/>
        <v/>
      </c>
      <c r="J229" s="1808" t="str">
        <f t="shared" ca="1" si="40"/>
        <v/>
      </c>
      <c r="K229" s="1808" t="str">
        <f t="shared" ca="1" si="40"/>
        <v/>
      </c>
      <c r="L229" s="1808" t="str">
        <f t="shared" ca="1" si="40"/>
        <v/>
      </c>
      <c r="M229" s="1808" t="str">
        <f t="shared" ca="1" si="40"/>
        <v/>
      </c>
      <c r="N229" s="1808" t="str">
        <f t="shared" ca="1" si="41"/>
        <v/>
      </c>
      <c r="O229" s="1808" t="str">
        <f t="shared" ca="1" si="41"/>
        <v/>
      </c>
      <c r="P229" s="1808" t="str">
        <f t="shared" ca="1" si="41"/>
        <v/>
      </c>
      <c r="Q229" s="1808" t="str">
        <f t="shared" ca="1" si="41"/>
        <v/>
      </c>
      <c r="R229" s="1808">
        <f t="shared" ca="1" si="38"/>
        <v>228</v>
      </c>
      <c r="S229" s="1808" t="str">
        <f t="shared" ca="1" si="38"/>
        <v/>
      </c>
      <c r="T229" s="1808" t="str">
        <f t="shared" ca="1" si="38"/>
        <v/>
      </c>
      <c r="U229" s="1808" t="str">
        <f t="shared" ca="1" si="38"/>
        <v/>
      </c>
      <c r="V229" s="1808">
        <f t="shared" ca="1" si="36"/>
        <v>1</v>
      </c>
    </row>
    <row r="230" spans="2:22">
      <c r="B230" s="1808">
        <v>229</v>
      </c>
      <c r="C230" s="1808" t="str">
        <f t="shared" ca="1" si="35"/>
        <v/>
      </c>
      <c r="D230" s="1808">
        <f t="shared" ca="1" si="40"/>
        <v>229</v>
      </c>
      <c r="E230" s="1808" t="str">
        <f t="shared" ca="1" si="40"/>
        <v/>
      </c>
      <c r="F230" s="1808" t="str">
        <f t="shared" ca="1" si="40"/>
        <v/>
      </c>
      <c r="G230" s="1808" t="str">
        <f t="shared" ca="1" si="40"/>
        <v/>
      </c>
      <c r="H230" s="1808" t="str">
        <f t="shared" ca="1" si="40"/>
        <v/>
      </c>
      <c r="I230" s="1808" t="str">
        <f t="shared" ca="1" si="40"/>
        <v/>
      </c>
      <c r="J230" s="1808" t="str">
        <f t="shared" ca="1" si="40"/>
        <v/>
      </c>
      <c r="K230" s="1808" t="str">
        <f t="shared" ca="1" si="40"/>
        <v/>
      </c>
      <c r="L230" s="1808" t="str">
        <f t="shared" ca="1" si="40"/>
        <v/>
      </c>
      <c r="M230" s="1808" t="str">
        <f t="shared" ca="1" si="40"/>
        <v/>
      </c>
      <c r="N230" s="1808" t="str">
        <f t="shared" ca="1" si="41"/>
        <v/>
      </c>
      <c r="O230" s="1808" t="str">
        <f t="shared" ca="1" si="41"/>
        <v/>
      </c>
      <c r="P230" s="1808" t="str">
        <f t="shared" ca="1" si="41"/>
        <v/>
      </c>
      <c r="Q230" s="1808" t="str">
        <f t="shared" ca="1" si="41"/>
        <v/>
      </c>
      <c r="R230" s="1808" t="str">
        <f t="shared" ca="1" si="38"/>
        <v/>
      </c>
      <c r="S230" s="1808" t="str">
        <f t="shared" ca="1" si="38"/>
        <v/>
      </c>
      <c r="T230" s="1808" t="str">
        <f t="shared" ca="1" si="38"/>
        <v/>
      </c>
      <c r="U230" s="1808" t="str">
        <f t="shared" ca="1" si="38"/>
        <v/>
      </c>
      <c r="V230" s="1808">
        <f t="shared" ca="1" si="36"/>
        <v>1</v>
      </c>
    </row>
    <row r="231" spans="2:22">
      <c r="B231" s="1808">
        <v>230</v>
      </c>
      <c r="C231" s="1808" t="str">
        <f t="shared" ca="1" si="35"/>
        <v/>
      </c>
      <c r="D231" s="1808">
        <f t="shared" ca="1" si="40"/>
        <v>230</v>
      </c>
      <c r="E231" s="1808" t="str">
        <f t="shared" ca="1" si="40"/>
        <v/>
      </c>
      <c r="F231" s="1808" t="str">
        <f t="shared" ca="1" si="40"/>
        <v/>
      </c>
      <c r="G231" s="1808" t="str">
        <f t="shared" ca="1" si="40"/>
        <v/>
      </c>
      <c r="H231" s="1808" t="str">
        <f t="shared" ca="1" si="40"/>
        <v/>
      </c>
      <c r="I231" s="1808" t="str">
        <f t="shared" ca="1" si="40"/>
        <v/>
      </c>
      <c r="J231" s="1808" t="str">
        <f t="shared" ca="1" si="40"/>
        <v/>
      </c>
      <c r="K231" s="1808" t="str">
        <f t="shared" ca="1" si="40"/>
        <v/>
      </c>
      <c r="L231" s="1808" t="str">
        <f t="shared" ca="1" si="40"/>
        <v/>
      </c>
      <c r="M231" s="1808" t="str">
        <f t="shared" ca="1" si="40"/>
        <v/>
      </c>
      <c r="N231" s="1808" t="str">
        <f t="shared" ca="1" si="41"/>
        <v/>
      </c>
      <c r="O231" s="1808" t="str">
        <f t="shared" ca="1" si="41"/>
        <v/>
      </c>
      <c r="P231" s="1808" t="str">
        <f t="shared" ca="1" si="41"/>
        <v/>
      </c>
      <c r="Q231" s="1808" t="str">
        <f t="shared" ca="1" si="41"/>
        <v/>
      </c>
      <c r="R231" s="1808" t="str">
        <f t="shared" ca="1" si="38"/>
        <v/>
      </c>
      <c r="S231" s="1808" t="str">
        <f t="shared" ca="1" si="38"/>
        <v/>
      </c>
      <c r="T231" s="1808" t="str">
        <f t="shared" ca="1" si="38"/>
        <v/>
      </c>
      <c r="U231" s="1808" t="str">
        <f t="shared" ca="1" si="38"/>
        <v/>
      </c>
      <c r="V231" s="1808">
        <f t="shared" ca="1" si="36"/>
        <v>1</v>
      </c>
    </row>
    <row r="232" spans="2:22">
      <c r="B232" s="1808">
        <v>231</v>
      </c>
      <c r="C232" s="1808" t="str">
        <f t="shared" ca="1" si="35"/>
        <v/>
      </c>
      <c r="D232" s="1808">
        <f t="shared" ca="1" si="40"/>
        <v>231</v>
      </c>
      <c r="E232" s="1808" t="str">
        <f t="shared" ca="1" si="40"/>
        <v/>
      </c>
      <c r="F232" s="1808" t="str">
        <f t="shared" ca="1" si="40"/>
        <v/>
      </c>
      <c r="G232" s="1808" t="str">
        <f t="shared" ca="1" si="40"/>
        <v/>
      </c>
      <c r="H232" s="1808" t="str">
        <f t="shared" ca="1" si="40"/>
        <v/>
      </c>
      <c r="I232" s="1808" t="str">
        <f t="shared" ca="1" si="40"/>
        <v/>
      </c>
      <c r="J232" s="1808" t="str">
        <f t="shared" ca="1" si="40"/>
        <v/>
      </c>
      <c r="K232" s="1808" t="str">
        <f t="shared" ca="1" si="40"/>
        <v/>
      </c>
      <c r="L232" s="1808" t="str">
        <f t="shared" ca="1" si="40"/>
        <v/>
      </c>
      <c r="M232" s="1808" t="str">
        <f t="shared" ca="1" si="40"/>
        <v/>
      </c>
      <c r="N232" s="1808" t="str">
        <f t="shared" ca="1" si="41"/>
        <v/>
      </c>
      <c r="O232" s="1808" t="str">
        <f t="shared" ca="1" si="41"/>
        <v/>
      </c>
      <c r="P232" s="1808" t="str">
        <f t="shared" ca="1" si="41"/>
        <v/>
      </c>
      <c r="Q232" s="1808" t="str">
        <f t="shared" ca="1" si="41"/>
        <v/>
      </c>
      <c r="R232" s="1808" t="str">
        <f t="shared" ca="1" si="38"/>
        <v/>
      </c>
      <c r="S232" s="1808" t="str">
        <f t="shared" ca="1" si="38"/>
        <v/>
      </c>
      <c r="T232" s="1808" t="str">
        <f t="shared" ca="1" si="38"/>
        <v/>
      </c>
      <c r="U232" s="1808" t="str">
        <f t="shared" ca="1" si="38"/>
        <v/>
      </c>
      <c r="V232" s="1808">
        <f t="shared" ca="1" si="36"/>
        <v>1</v>
      </c>
    </row>
    <row r="233" spans="2:22">
      <c r="B233" s="1808">
        <v>232</v>
      </c>
      <c r="C233" s="1808" t="str">
        <f t="shared" ca="1" si="35"/>
        <v/>
      </c>
      <c r="D233" s="1808">
        <f t="shared" ca="1" si="40"/>
        <v>232</v>
      </c>
      <c r="E233" s="1808" t="str">
        <f t="shared" ca="1" si="40"/>
        <v/>
      </c>
      <c r="F233" s="1808" t="str">
        <f t="shared" ca="1" si="40"/>
        <v/>
      </c>
      <c r="G233" s="1808" t="str">
        <f t="shared" ca="1" si="40"/>
        <v/>
      </c>
      <c r="H233" s="1808" t="str">
        <f t="shared" ca="1" si="40"/>
        <v/>
      </c>
      <c r="I233" s="1808" t="str">
        <f t="shared" ca="1" si="40"/>
        <v/>
      </c>
      <c r="J233" s="1808" t="str">
        <f t="shared" ca="1" si="40"/>
        <v/>
      </c>
      <c r="K233" s="1808" t="str">
        <f t="shared" ca="1" si="40"/>
        <v/>
      </c>
      <c r="L233" s="1808" t="str">
        <f t="shared" ca="1" si="40"/>
        <v/>
      </c>
      <c r="M233" s="1808" t="str">
        <f t="shared" ca="1" si="40"/>
        <v/>
      </c>
      <c r="N233" s="1808" t="str">
        <f t="shared" ca="1" si="41"/>
        <v/>
      </c>
      <c r="O233" s="1808" t="str">
        <f t="shared" ca="1" si="41"/>
        <v/>
      </c>
      <c r="P233" s="1808" t="str">
        <f t="shared" ca="1" si="41"/>
        <v/>
      </c>
      <c r="Q233" s="1808" t="str">
        <f t="shared" ca="1" si="41"/>
        <v/>
      </c>
      <c r="R233" s="1808" t="str">
        <f t="shared" ca="1" si="38"/>
        <v/>
      </c>
      <c r="S233" s="1808" t="str">
        <f t="shared" ca="1" si="38"/>
        <v/>
      </c>
      <c r="T233" s="1808" t="str">
        <f t="shared" ca="1" si="38"/>
        <v/>
      </c>
      <c r="U233" s="1808" t="str">
        <f t="shared" ca="1" si="38"/>
        <v/>
      </c>
      <c r="V233" s="1808">
        <f t="shared" ca="1" si="36"/>
        <v>1</v>
      </c>
    </row>
    <row r="234" spans="2:22">
      <c r="B234" s="1808">
        <v>233</v>
      </c>
      <c r="C234" s="1808" t="str">
        <f t="shared" ca="1" si="35"/>
        <v/>
      </c>
      <c r="D234" s="1808">
        <f t="shared" ca="1" si="40"/>
        <v>233</v>
      </c>
      <c r="E234" s="1808" t="str">
        <f t="shared" ca="1" si="40"/>
        <v/>
      </c>
      <c r="F234" s="1808" t="str">
        <f t="shared" ca="1" si="40"/>
        <v/>
      </c>
      <c r="G234" s="1808" t="str">
        <f t="shared" ca="1" si="40"/>
        <v/>
      </c>
      <c r="H234" s="1808" t="str">
        <f t="shared" ca="1" si="40"/>
        <v/>
      </c>
      <c r="I234" s="1808" t="str">
        <f t="shared" ca="1" si="40"/>
        <v/>
      </c>
      <c r="J234" s="1808" t="str">
        <f t="shared" ca="1" si="40"/>
        <v/>
      </c>
      <c r="K234" s="1808" t="str">
        <f t="shared" ca="1" si="40"/>
        <v/>
      </c>
      <c r="L234" s="1808" t="str">
        <f t="shared" ca="1" si="40"/>
        <v/>
      </c>
      <c r="M234" s="1808" t="str">
        <f t="shared" ca="1" si="40"/>
        <v/>
      </c>
      <c r="N234" s="1808" t="str">
        <f t="shared" ca="1" si="41"/>
        <v/>
      </c>
      <c r="O234" s="1808" t="str">
        <f t="shared" ca="1" si="41"/>
        <v/>
      </c>
      <c r="P234" s="1808" t="str">
        <f t="shared" ca="1" si="41"/>
        <v/>
      </c>
      <c r="Q234" s="1808" t="str">
        <f t="shared" ca="1" si="41"/>
        <v/>
      </c>
      <c r="R234" s="1808" t="str">
        <f t="shared" ca="1" si="38"/>
        <v/>
      </c>
      <c r="S234" s="1808" t="str">
        <f t="shared" ca="1" si="38"/>
        <v/>
      </c>
      <c r="T234" s="1808" t="str">
        <f t="shared" ca="1" si="38"/>
        <v/>
      </c>
      <c r="U234" s="1808" t="str">
        <f t="shared" ca="1" si="38"/>
        <v/>
      </c>
      <c r="V234" s="1808">
        <f t="shared" ca="1" si="36"/>
        <v>1</v>
      </c>
    </row>
    <row r="235" spans="2:22">
      <c r="B235" s="1808">
        <v>234</v>
      </c>
      <c r="C235" s="1808" t="str">
        <f t="shared" ca="1" si="35"/>
        <v/>
      </c>
      <c r="D235" s="1808">
        <f t="shared" ca="1" si="40"/>
        <v>234</v>
      </c>
      <c r="E235" s="1808" t="str">
        <f t="shared" ca="1" si="40"/>
        <v/>
      </c>
      <c r="F235" s="1808" t="str">
        <f t="shared" ca="1" si="40"/>
        <v/>
      </c>
      <c r="G235" s="1808" t="str">
        <f t="shared" ca="1" si="40"/>
        <v/>
      </c>
      <c r="H235" s="1808" t="str">
        <f t="shared" ca="1" si="40"/>
        <v/>
      </c>
      <c r="I235" s="1808" t="str">
        <f t="shared" ca="1" si="40"/>
        <v/>
      </c>
      <c r="J235" s="1808" t="str">
        <f t="shared" ca="1" si="40"/>
        <v/>
      </c>
      <c r="K235" s="1808" t="str">
        <f t="shared" ca="1" si="40"/>
        <v/>
      </c>
      <c r="L235" s="1808" t="str">
        <f t="shared" ca="1" si="40"/>
        <v/>
      </c>
      <c r="M235" s="1808" t="str">
        <f t="shared" ca="1" si="40"/>
        <v/>
      </c>
      <c r="N235" s="1808" t="str">
        <f t="shared" ca="1" si="41"/>
        <v/>
      </c>
      <c r="O235" s="1808" t="str">
        <f t="shared" ca="1" si="41"/>
        <v/>
      </c>
      <c r="P235" s="1808" t="str">
        <f t="shared" ca="1" si="41"/>
        <v/>
      </c>
      <c r="Q235" s="1808" t="str">
        <f t="shared" ca="1" si="41"/>
        <v/>
      </c>
      <c r="R235" s="1808" t="str">
        <f t="shared" ca="1" si="38"/>
        <v/>
      </c>
      <c r="S235" s="1808" t="str">
        <f t="shared" ca="1" si="38"/>
        <v/>
      </c>
      <c r="T235" s="1808" t="str">
        <f t="shared" ca="1" si="38"/>
        <v/>
      </c>
      <c r="U235" s="1808" t="str">
        <f t="shared" ca="1" si="38"/>
        <v/>
      </c>
      <c r="V235" s="1808">
        <f t="shared" ca="1" si="36"/>
        <v>1</v>
      </c>
    </row>
    <row r="236" spans="2:22">
      <c r="B236" s="1808">
        <v>235</v>
      </c>
      <c r="C236" s="1808" t="str">
        <f t="shared" ca="1" si="35"/>
        <v/>
      </c>
      <c r="D236" s="1808" t="str">
        <f t="shared" ca="1" si="40"/>
        <v/>
      </c>
      <c r="E236" s="1808" t="str">
        <f t="shared" ca="1" si="40"/>
        <v/>
      </c>
      <c r="F236" s="1808" t="str">
        <f t="shared" ca="1" si="40"/>
        <v/>
      </c>
      <c r="G236" s="1808" t="str">
        <f t="shared" ca="1" si="40"/>
        <v/>
      </c>
      <c r="H236" s="1808" t="str">
        <f t="shared" ca="1" si="40"/>
        <v/>
      </c>
      <c r="I236" s="1808" t="str">
        <f t="shared" ca="1" si="40"/>
        <v/>
      </c>
      <c r="J236" s="1808" t="str">
        <f t="shared" ca="1" si="40"/>
        <v/>
      </c>
      <c r="K236" s="1808" t="str">
        <f t="shared" ca="1" si="40"/>
        <v/>
      </c>
      <c r="L236" s="1808" t="str">
        <f t="shared" ca="1" si="40"/>
        <v/>
      </c>
      <c r="M236" s="1808" t="str">
        <f t="shared" ca="1" si="40"/>
        <v/>
      </c>
      <c r="N236" s="1808" t="str">
        <f t="shared" ca="1" si="41"/>
        <v/>
      </c>
      <c r="O236" s="1808" t="str">
        <f t="shared" ca="1" si="41"/>
        <v/>
      </c>
      <c r="P236" s="1808" t="str">
        <f t="shared" ca="1" si="41"/>
        <v/>
      </c>
      <c r="Q236" s="1808" t="str">
        <f t="shared" ca="1" si="41"/>
        <v/>
      </c>
      <c r="R236" s="1808" t="str">
        <f t="shared" ca="1" si="38"/>
        <v/>
      </c>
      <c r="S236" s="1808" t="str">
        <f t="shared" ca="1" si="38"/>
        <v/>
      </c>
      <c r="T236" s="1808">
        <f t="shared" ca="1" si="38"/>
        <v>235</v>
      </c>
      <c r="U236" s="1808" t="str">
        <f t="shared" ca="1" si="38"/>
        <v/>
      </c>
      <c r="V236" s="1808">
        <f t="shared" ca="1" si="36"/>
        <v>1</v>
      </c>
    </row>
    <row r="237" spans="2:22">
      <c r="B237" s="1808">
        <v>236</v>
      </c>
      <c r="C237" s="1808" t="str">
        <f t="shared" ca="1" si="35"/>
        <v/>
      </c>
      <c r="D237" s="1808" t="str">
        <f t="shared" ca="1" si="40"/>
        <v/>
      </c>
      <c r="E237" s="1808" t="str">
        <f t="shared" ca="1" si="40"/>
        <v/>
      </c>
      <c r="F237" s="1808" t="str">
        <f t="shared" ca="1" si="40"/>
        <v/>
      </c>
      <c r="G237" s="1808" t="str">
        <f t="shared" ca="1" si="40"/>
        <v/>
      </c>
      <c r="H237" s="1808" t="str">
        <f t="shared" ca="1" si="40"/>
        <v/>
      </c>
      <c r="I237" s="1808" t="str">
        <f t="shared" ca="1" si="40"/>
        <v/>
      </c>
      <c r="J237" s="1808" t="str">
        <f t="shared" ca="1" si="40"/>
        <v/>
      </c>
      <c r="K237" s="1808" t="str">
        <f t="shared" ca="1" si="40"/>
        <v/>
      </c>
      <c r="L237" s="1808" t="str">
        <f t="shared" ca="1" si="40"/>
        <v/>
      </c>
      <c r="M237" s="1808" t="str">
        <f t="shared" ca="1" si="40"/>
        <v/>
      </c>
      <c r="N237" s="1808" t="str">
        <f t="shared" ca="1" si="41"/>
        <v/>
      </c>
      <c r="O237" s="1808" t="str">
        <f t="shared" ca="1" si="41"/>
        <v/>
      </c>
      <c r="P237" s="1808" t="str">
        <f t="shared" ca="1" si="41"/>
        <v/>
      </c>
      <c r="Q237" s="1808" t="str">
        <f t="shared" ca="1" si="41"/>
        <v/>
      </c>
      <c r="R237" s="1808" t="str">
        <f t="shared" ca="1" si="38"/>
        <v/>
      </c>
      <c r="S237" s="1808" t="str">
        <f t="shared" ca="1" si="38"/>
        <v/>
      </c>
      <c r="T237" s="1808" t="str">
        <f t="shared" ca="1" si="38"/>
        <v/>
      </c>
      <c r="U237" s="1808">
        <f t="shared" ca="1" si="38"/>
        <v>236</v>
      </c>
      <c r="V237" s="1808">
        <f t="shared" ca="1" si="36"/>
        <v>1</v>
      </c>
    </row>
    <row r="238" spans="2:22">
      <c r="B238" s="1808">
        <v>237</v>
      </c>
      <c r="C238" s="1808" t="str">
        <f t="shared" ca="1" si="35"/>
        <v/>
      </c>
      <c r="D238" s="1808" t="str">
        <f t="shared" ca="1" si="40"/>
        <v/>
      </c>
      <c r="E238" s="1808" t="str">
        <f t="shared" ca="1" si="40"/>
        <v/>
      </c>
      <c r="F238" s="1808" t="str">
        <f t="shared" ca="1" si="40"/>
        <v/>
      </c>
      <c r="G238" s="1808" t="str">
        <f t="shared" ca="1" si="40"/>
        <v/>
      </c>
      <c r="H238" s="1808" t="str">
        <f t="shared" ca="1" si="40"/>
        <v/>
      </c>
      <c r="I238" s="1808" t="str">
        <f t="shared" ca="1" si="40"/>
        <v/>
      </c>
      <c r="J238" s="1808" t="str">
        <f t="shared" ca="1" si="40"/>
        <v/>
      </c>
      <c r="K238" s="1808" t="str">
        <f t="shared" ca="1" si="40"/>
        <v/>
      </c>
      <c r="L238" s="1808" t="str">
        <f t="shared" ca="1" si="40"/>
        <v/>
      </c>
      <c r="M238" s="1808" t="str">
        <f t="shared" ca="1" si="40"/>
        <v/>
      </c>
      <c r="N238" s="1808" t="str">
        <f t="shared" ca="1" si="41"/>
        <v/>
      </c>
      <c r="O238" s="1808" t="str">
        <f t="shared" ca="1" si="41"/>
        <v/>
      </c>
      <c r="P238" s="1808" t="str">
        <f t="shared" ca="1" si="41"/>
        <v/>
      </c>
      <c r="Q238" s="1808" t="str">
        <f t="shared" ca="1" si="41"/>
        <v/>
      </c>
      <c r="R238" s="1808" t="str">
        <f t="shared" ca="1" si="38"/>
        <v/>
      </c>
      <c r="S238" s="1808" t="str">
        <f t="shared" ca="1" si="38"/>
        <v/>
      </c>
      <c r="T238" s="1808" t="str">
        <f t="shared" ca="1" si="38"/>
        <v/>
      </c>
      <c r="U238" s="1808">
        <f t="shared" ca="1" si="38"/>
        <v>237</v>
      </c>
      <c r="V238" s="1808">
        <f t="shared" ca="1" si="36"/>
        <v>1</v>
      </c>
    </row>
    <row r="239" spans="2:22">
      <c r="B239" s="1808">
        <v>238</v>
      </c>
      <c r="C239" s="1808" t="str">
        <f t="shared" ca="1" si="35"/>
        <v/>
      </c>
      <c r="D239" s="1808" t="str">
        <f t="shared" ca="1" si="40"/>
        <v/>
      </c>
      <c r="E239" s="1808" t="str">
        <f t="shared" ca="1" si="40"/>
        <v/>
      </c>
      <c r="F239" s="1808" t="str">
        <f t="shared" ca="1" si="40"/>
        <v/>
      </c>
      <c r="G239" s="1808" t="str">
        <f t="shared" ca="1" si="40"/>
        <v/>
      </c>
      <c r="H239" s="1808" t="str">
        <f t="shared" ca="1" si="40"/>
        <v/>
      </c>
      <c r="I239" s="1808" t="str">
        <f t="shared" ca="1" si="40"/>
        <v/>
      </c>
      <c r="J239" s="1808" t="str">
        <f t="shared" ca="1" si="40"/>
        <v/>
      </c>
      <c r="K239" s="1808" t="str">
        <f t="shared" ca="1" si="40"/>
        <v/>
      </c>
      <c r="L239" s="1808" t="str">
        <f t="shared" ca="1" si="40"/>
        <v/>
      </c>
      <c r="M239" s="1808" t="str">
        <f t="shared" ca="1" si="40"/>
        <v/>
      </c>
      <c r="N239" s="1808" t="str">
        <f t="shared" ca="1" si="41"/>
        <v/>
      </c>
      <c r="O239" s="1808">
        <f t="shared" ca="1" si="41"/>
        <v>238</v>
      </c>
      <c r="P239" s="1808" t="str">
        <f t="shared" ca="1" si="41"/>
        <v/>
      </c>
      <c r="Q239" s="1808" t="str">
        <f t="shared" ca="1" si="41"/>
        <v/>
      </c>
      <c r="R239" s="1808" t="str">
        <f t="shared" ca="1" si="38"/>
        <v/>
      </c>
      <c r="S239" s="1808" t="str">
        <f t="shared" ca="1" si="38"/>
        <v/>
      </c>
      <c r="T239" s="1808" t="str">
        <f t="shared" ca="1" si="38"/>
        <v/>
      </c>
      <c r="U239" s="1808" t="str">
        <f t="shared" ca="1" si="38"/>
        <v/>
      </c>
      <c r="V239" s="1808">
        <f t="shared" ca="1" si="36"/>
        <v>1</v>
      </c>
    </row>
    <row r="240" spans="2:22">
      <c r="B240" s="1808">
        <v>239</v>
      </c>
      <c r="C240" s="1808" t="str">
        <f t="shared" ca="1" si="35"/>
        <v/>
      </c>
      <c r="D240" s="1808" t="str">
        <f t="shared" ca="1" si="40"/>
        <v/>
      </c>
      <c r="E240" s="1808" t="str">
        <f t="shared" ca="1" si="40"/>
        <v/>
      </c>
      <c r="F240" s="1808" t="str">
        <f t="shared" ca="1" si="40"/>
        <v/>
      </c>
      <c r="G240" s="1808" t="str">
        <f t="shared" ca="1" si="40"/>
        <v/>
      </c>
      <c r="H240" s="1808" t="str">
        <f t="shared" ca="1" si="40"/>
        <v/>
      </c>
      <c r="I240" s="1808" t="str">
        <f t="shared" ca="1" si="40"/>
        <v/>
      </c>
      <c r="J240" s="1808" t="str">
        <f t="shared" ca="1" si="40"/>
        <v/>
      </c>
      <c r="K240" s="1808" t="str">
        <f t="shared" ca="1" si="40"/>
        <v/>
      </c>
      <c r="L240" s="1808" t="str">
        <f t="shared" ca="1" si="40"/>
        <v/>
      </c>
      <c r="M240" s="1808" t="str">
        <f t="shared" ca="1" si="40"/>
        <v/>
      </c>
      <c r="N240" s="1808" t="str">
        <f t="shared" ca="1" si="41"/>
        <v/>
      </c>
      <c r="O240" s="1808">
        <f t="shared" ca="1" si="41"/>
        <v>239</v>
      </c>
      <c r="P240" s="1808" t="str">
        <f t="shared" ca="1" si="41"/>
        <v/>
      </c>
      <c r="Q240" s="1808" t="str">
        <f t="shared" ca="1" si="41"/>
        <v/>
      </c>
      <c r="R240" s="1808" t="str">
        <f t="shared" ca="1" si="38"/>
        <v/>
      </c>
      <c r="S240" s="1808" t="str">
        <f t="shared" ca="1" si="38"/>
        <v/>
      </c>
      <c r="T240" s="1808" t="str">
        <f t="shared" ca="1" si="38"/>
        <v/>
      </c>
      <c r="U240" s="1808">
        <f t="shared" ca="1" si="38"/>
        <v>239</v>
      </c>
      <c r="V240" s="1808">
        <f t="shared" ca="1" si="36"/>
        <v>2</v>
      </c>
    </row>
    <row r="241" spans="2:22">
      <c r="B241" s="1808">
        <v>240</v>
      </c>
      <c r="C241" s="1808" t="str">
        <f t="shared" ca="1" si="35"/>
        <v/>
      </c>
      <c r="D241" s="1808" t="str">
        <f t="shared" ref="D241:Q256" ca="1" si="42">IFERROR(VLOOKUP($B241,INDIRECT(D$1&amp;"!"&amp;"A:A"),1,0),"")</f>
        <v/>
      </c>
      <c r="E241" s="1808" t="str">
        <f t="shared" ca="1" si="42"/>
        <v/>
      </c>
      <c r="F241" s="1808" t="str">
        <f t="shared" ca="1" si="42"/>
        <v/>
      </c>
      <c r="G241" s="1808" t="str">
        <f t="shared" ca="1" si="42"/>
        <v/>
      </c>
      <c r="H241" s="1808" t="str">
        <f t="shared" ca="1" si="42"/>
        <v/>
      </c>
      <c r="I241" s="1808" t="str">
        <f t="shared" ca="1" si="42"/>
        <v/>
      </c>
      <c r="J241" s="1808" t="str">
        <f t="shared" ca="1" si="42"/>
        <v/>
      </c>
      <c r="K241" s="1808" t="str">
        <f t="shared" ca="1" si="42"/>
        <v/>
      </c>
      <c r="L241" s="1808" t="str">
        <f t="shared" ca="1" si="42"/>
        <v/>
      </c>
      <c r="M241" s="1808" t="str">
        <f t="shared" ca="1" si="42"/>
        <v/>
      </c>
      <c r="N241" s="1808" t="str">
        <f t="shared" ca="1" si="42"/>
        <v/>
      </c>
      <c r="O241" s="1808" t="str">
        <f t="shared" ca="1" si="42"/>
        <v/>
      </c>
      <c r="P241" s="1808" t="str">
        <f t="shared" ca="1" si="42"/>
        <v/>
      </c>
      <c r="Q241" s="1808" t="str">
        <f t="shared" ca="1" si="42"/>
        <v/>
      </c>
      <c r="R241" s="1808" t="str">
        <f t="shared" ca="1" si="38"/>
        <v/>
      </c>
      <c r="S241" s="1808" t="str">
        <f t="shared" ca="1" si="38"/>
        <v/>
      </c>
      <c r="T241" s="1808" t="str">
        <f t="shared" ca="1" si="38"/>
        <v/>
      </c>
      <c r="U241" s="1808">
        <f t="shared" ca="1" si="38"/>
        <v>240</v>
      </c>
      <c r="V241" s="1808">
        <f t="shared" ca="1" si="36"/>
        <v>1</v>
      </c>
    </row>
    <row r="242" spans="2:22">
      <c r="B242" s="1808">
        <v>241</v>
      </c>
      <c r="C242" s="1808" t="str">
        <f t="shared" ca="1" si="35"/>
        <v/>
      </c>
      <c r="D242" s="1808" t="str">
        <f t="shared" ca="1" si="42"/>
        <v/>
      </c>
      <c r="E242" s="1808" t="str">
        <f t="shared" ca="1" si="42"/>
        <v/>
      </c>
      <c r="F242" s="1808" t="str">
        <f t="shared" ca="1" si="42"/>
        <v/>
      </c>
      <c r="G242" s="1808" t="str">
        <f t="shared" ca="1" si="42"/>
        <v/>
      </c>
      <c r="H242" s="1808" t="str">
        <f t="shared" ca="1" si="42"/>
        <v/>
      </c>
      <c r="I242" s="1808" t="str">
        <f t="shared" ca="1" si="42"/>
        <v/>
      </c>
      <c r="J242" s="1808" t="str">
        <f t="shared" ca="1" si="42"/>
        <v/>
      </c>
      <c r="K242" s="1808" t="str">
        <f t="shared" ca="1" si="42"/>
        <v/>
      </c>
      <c r="L242" s="1808" t="str">
        <f t="shared" ca="1" si="42"/>
        <v/>
      </c>
      <c r="M242" s="1808" t="str">
        <f t="shared" ca="1" si="42"/>
        <v/>
      </c>
      <c r="N242" s="1808" t="str">
        <f t="shared" ref="N242:Q256" ca="1" si="43">IFERROR(VLOOKUP($B242,INDIRECT(N$1&amp;"!"&amp;"A:A"),1,0),"")</f>
        <v/>
      </c>
      <c r="O242" s="1808" t="str">
        <f t="shared" ca="1" si="43"/>
        <v/>
      </c>
      <c r="P242" s="1808" t="str">
        <f t="shared" ca="1" si="43"/>
        <v/>
      </c>
      <c r="Q242" s="1808" t="str">
        <f t="shared" ca="1" si="43"/>
        <v/>
      </c>
      <c r="R242" s="1808" t="str">
        <f t="shared" ca="1" si="38"/>
        <v/>
      </c>
      <c r="S242" s="1808" t="str">
        <f t="shared" ca="1" si="38"/>
        <v/>
      </c>
      <c r="T242" s="1808" t="str">
        <f t="shared" ca="1" si="38"/>
        <v/>
      </c>
      <c r="U242" s="1808">
        <f t="shared" ca="1" si="38"/>
        <v>241</v>
      </c>
      <c r="V242" s="1808">
        <f t="shared" ca="1" si="36"/>
        <v>1</v>
      </c>
    </row>
    <row r="243" spans="2:22">
      <c r="B243" s="1808">
        <v>242</v>
      </c>
      <c r="C243" s="1808" t="str">
        <f t="shared" ca="1" si="35"/>
        <v/>
      </c>
      <c r="D243" s="1808" t="str">
        <f t="shared" ca="1" si="42"/>
        <v/>
      </c>
      <c r="E243" s="1808" t="str">
        <f t="shared" ca="1" si="42"/>
        <v/>
      </c>
      <c r="F243" s="1808" t="str">
        <f t="shared" ca="1" si="42"/>
        <v/>
      </c>
      <c r="G243" s="1808" t="str">
        <f t="shared" ca="1" si="42"/>
        <v/>
      </c>
      <c r="H243" s="1808" t="str">
        <f t="shared" ca="1" si="42"/>
        <v/>
      </c>
      <c r="I243" s="1808" t="str">
        <f t="shared" ca="1" si="42"/>
        <v/>
      </c>
      <c r="J243" s="1808" t="str">
        <f t="shared" ca="1" si="42"/>
        <v/>
      </c>
      <c r="K243" s="1808" t="str">
        <f t="shared" ca="1" si="42"/>
        <v/>
      </c>
      <c r="L243" s="1808" t="str">
        <f t="shared" ca="1" si="42"/>
        <v/>
      </c>
      <c r="M243" s="1808" t="str">
        <f t="shared" ca="1" si="42"/>
        <v/>
      </c>
      <c r="N243" s="1808" t="str">
        <f t="shared" ca="1" si="43"/>
        <v/>
      </c>
      <c r="O243" s="1808">
        <f t="shared" ca="1" si="43"/>
        <v>242</v>
      </c>
      <c r="P243" s="1808" t="str">
        <f t="shared" ca="1" si="43"/>
        <v/>
      </c>
      <c r="Q243" s="1808" t="str">
        <f t="shared" ca="1" si="43"/>
        <v/>
      </c>
      <c r="R243" s="1808" t="str">
        <f t="shared" ca="1" si="38"/>
        <v/>
      </c>
      <c r="S243" s="1808" t="str">
        <f t="shared" ca="1" si="38"/>
        <v/>
      </c>
      <c r="T243" s="1808" t="str">
        <f t="shared" ca="1" si="38"/>
        <v/>
      </c>
      <c r="U243" s="1808" t="str">
        <f t="shared" ca="1" si="38"/>
        <v/>
      </c>
      <c r="V243" s="1808">
        <f t="shared" ca="1" si="36"/>
        <v>1</v>
      </c>
    </row>
    <row r="244" spans="2:22">
      <c r="B244" s="1808">
        <v>243</v>
      </c>
      <c r="C244" s="1808" t="str">
        <f t="shared" ca="1" si="35"/>
        <v/>
      </c>
      <c r="D244" s="1808" t="str">
        <f t="shared" ca="1" si="42"/>
        <v/>
      </c>
      <c r="E244" s="1808" t="str">
        <f t="shared" ca="1" si="42"/>
        <v/>
      </c>
      <c r="F244" s="1808" t="str">
        <f t="shared" ca="1" si="42"/>
        <v/>
      </c>
      <c r="G244" s="1808" t="str">
        <f t="shared" ca="1" si="42"/>
        <v/>
      </c>
      <c r="H244" s="1808" t="str">
        <f t="shared" ca="1" si="42"/>
        <v/>
      </c>
      <c r="I244" s="1808" t="str">
        <f t="shared" ca="1" si="42"/>
        <v/>
      </c>
      <c r="J244" s="1808" t="str">
        <f t="shared" ca="1" si="42"/>
        <v/>
      </c>
      <c r="K244" s="1808" t="str">
        <f t="shared" ca="1" si="42"/>
        <v/>
      </c>
      <c r="L244" s="1808" t="str">
        <f t="shared" ca="1" si="42"/>
        <v/>
      </c>
      <c r="M244" s="1808" t="str">
        <f t="shared" ca="1" si="42"/>
        <v/>
      </c>
      <c r="N244" s="1808" t="str">
        <f t="shared" ca="1" si="43"/>
        <v/>
      </c>
      <c r="O244" s="1808">
        <f t="shared" ca="1" si="43"/>
        <v>243</v>
      </c>
      <c r="P244" s="1808" t="str">
        <f t="shared" ca="1" si="43"/>
        <v/>
      </c>
      <c r="Q244" s="1808" t="str">
        <f t="shared" ca="1" si="43"/>
        <v/>
      </c>
      <c r="R244" s="1808" t="str">
        <f t="shared" ca="1" si="38"/>
        <v/>
      </c>
      <c r="S244" s="1808" t="str">
        <f t="shared" ca="1" si="38"/>
        <v/>
      </c>
      <c r="T244" s="1808" t="str">
        <f t="shared" ca="1" si="38"/>
        <v/>
      </c>
      <c r="U244" s="1808" t="str">
        <f t="shared" ca="1" si="38"/>
        <v/>
      </c>
      <c r="V244" s="1808">
        <f t="shared" ca="1" si="36"/>
        <v>1</v>
      </c>
    </row>
    <row r="245" spans="2:22">
      <c r="B245" s="1808">
        <v>244</v>
      </c>
      <c r="C245" s="1808" t="str">
        <f t="shared" ca="1" si="35"/>
        <v/>
      </c>
      <c r="D245" s="1808" t="str">
        <f t="shared" ca="1" si="42"/>
        <v/>
      </c>
      <c r="E245" s="1808" t="str">
        <f t="shared" ca="1" si="42"/>
        <v/>
      </c>
      <c r="F245" s="1808" t="str">
        <f t="shared" ca="1" si="42"/>
        <v/>
      </c>
      <c r="G245" s="1808" t="str">
        <f t="shared" ca="1" si="42"/>
        <v/>
      </c>
      <c r="H245" s="1808" t="str">
        <f t="shared" ca="1" si="42"/>
        <v/>
      </c>
      <c r="I245" s="1808" t="str">
        <f t="shared" ca="1" si="42"/>
        <v/>
      </c>
      <c r="J245" s="1808" t="str">
        <f t="shared" ca="1" si="42"/>
        <v/>
      </c>
      <c r="K245" s="1808" t="str">
        <f t="shared" ca="1" si="42"/>
        <v/>
      </c>
      <c r="L245" s="1808" t="str">
        <f t="shared" ca="1" si="42"/>
        <v/>
      </c>
      <c r="M245" s="1808" t="str">
        <f t="shared" ca="1" si="42"/>
        <v/>
      </c>
      <c r="N245" s="1808" t="str">
        <f t="shared" ca="1" si="43"/>
        <v/>
      </c>
      <c r="O245" s="1808">
        <f t="shared" ca="1" si="43"/>
        <v>244</v>
      </c>
      <c r="P245" s="1808" t="str">
        <f t="shared" ca="1" si="43"/>
        <v/>
      </c>
      <c r="Q245" s="1808" t="str">
        <f t="shared" ca="1" si="43"/>
        <v/>
      </c>
      <c r="R245" s="1808" t="str">
        <f t="shared" ca="1" si="38"/>
        <v/>
      </c>
      <c r="S245" s="1808" t="str">
        <f t="shared" ca="1" si="38"/>
        <v/>
      </c>
      <c r="T245" s="1808" t="str">
        <f t="shared" ca="1" si="38"/>
        <v/>
      </c>
      <c r="U245" s="1808" t="str">
        <f t="shared" ca="1" si="38"/>
        <v/>
      </c>
      <c r="V245" s="1808">
        <f t="shared" ca="1" si="36"/>
        <v>1</v>
      </c>
    </row>
    <row r="246" spans="2:22">
      <c r="B246" s="1808">
        <v>245</v>
      </c>
      <c r="C246" s="1808" t="str">
        <f t="shared" ca="1" si="35"/>
        <v/>
      </c>
      <c r="D246" s="1808" t="str">
        <f t="shared" ca="1" si="42"/>
        <v/>
      </c>
      <c r="E246" s="1808" t="str">
        <f t="shared" ca="1" si="42"/>
        <v/>
      </c>
      <c r="F246" s="1808" t="str">
        <f t="shared" ca="1" si="42"/>
        <v/>
      </c>
      <c r="G246" s="1808" t="str">
        <f t="shared" ca="1" si="42"/>
        <v/>
      </c>
      <c r="H246" s="1808" t="str">
        <f t="shared" ca="1" si="42"/>
        <v/>
      </c>
      <c r="I246" s="1808" t="str">
        <f t="shared" ca="1" si="42"/>
        <v/>
      </c>
      <c r="J246" s="1808" t="str">
        <f t="shared" ca="1" si="42"/>
        <v/>
      </c>
      <c r="K246" s="1808" t="str">
        <f t="shared" ca="1" si="42"/>
        <v/>
      </c>
      <c r="L246" s="1808" t="str">
        <f t="shared" ca="1" si="42"/>
        <v/>
      </c>
      <c r="M246" s="1808" t="str">
        <f t="shared" ca="1" si="42"/>
        <v/>
      </c>
      <c r="N246" s="1808" t="str">
        <f t="shared" ca="1" si="43"/>
        <v/>
      </c>
      <c r="O246" s="1808">
        <f t="shared" ca="1" si="43"/>
        <v>245</v>
      </c>
      <c r="P246" s="1808" t="str">
        <f t="shared" ca="1" si="43"/>
        <v/>
      </c>
      <c r="Q246" s="1808" t="str">
        <f t="shared" ca="1" si="43"/>
        <v/>
      </c>
      <c r="R246" s="1808" t="str">
        <f t="shared" ca="1" si="38"/>
        <v/>
      </c>
      <c r="S246" s="1808" t="str">
        <f t="shared" ca="1" si="38"/>
        <v/>
      </c>
      <c r="T246" s="1808" t="str">
        <f t="shared" ca="1" si="38"/>
        <v/>
      </c>
      <c r="U246" s="1808" t="str">
        <f t="shared" ca="1" si="38"/>
        <v/>
      </c>
      <c r="V246" s="1808">
        <f t="shared" ca="1" si="36"/>
        <v>1</v>
      </c>
    </row>
    <row r="247" spans="2:22">
      <c r="B247" s="1808">
        <v>246</v>
      </c>
      <c r="C247" s="1808" t="str">
        <f t="shared" ca="1" si="35"/>
        <v/>
      </c>
      <c r="D247" s="1808" t="str">
        <f t="shared" ca="1" si="42"/>
        <v/>
      </c>
      <c r="E247" s="1808" t="str">
        <f t="shared" ca="1" si="42"/>
        <v/>
      </c>
      <c r="F247" s="1808" t="str">
        <f t="shared" ca="1" si="42"/>
        <v/>
      </c>
      <c r="G247" s="1808" t="str">
        <f t="shared" ca="1" si="42"/>
        <v/>
      </c>
      <c r="H247" s="1808" t="str">
        <f t="shared" ca="1" si="42"/>
        <v/>
      </c>
      <c r="I247" s="1808" t="str">
        <f t="shared" ca="1" si="42"/>
        <v/>
      </c>
      <c r="J247" s="1808" t="str">
        <f t="shared" ca="1" si="42"/>
        <v/>
      </c>
      <c r="K247" s="1808" t="str">
        <f t="shared" ca="1" si="42"/>
        <v/>
      </c>
      <c r="L247" s="1808" t="str">
        <f t="shared" ca="1" si="42"/>
        <v/>
      </c>
      <c r="M247" s="1808" t="str">
        <f t="shared" ca="1" si="42"/>
        <v/>
      </c>
      <c r="N247" s="1808" t="str">
        <f t="shared" ca="1" si="43"/>
        <v/>
      </c>
      <c r="O247" s="1808" t="str">
        <f t="shared" ca="1" si="43"/>
        <v/>
      </c>
      <c r="P247" s="1808" t="str">
        <f t="shared" ca="1" si="43"/>
        <v/>
      </c>
      <c r="Q247" s="1808" t="str">
        <f t="shared" ca="1" si="43"/>
        <v/>
      </c>
      <c r="R247" s="1808" t="str">
        <f t="shared" ca="1" si="38"/>
        <v/>
      </c>
      <c r="S247" s="1808" t="str">
        <f t="shared" ca="1" si="38"/>
        <v/>
      </c>
      <c r="T247" s="1808">
        <f t="shared" ca="1" si="38"/>
        <v>246</v>
      </c>
      <c r="U247" s="1808" t="str">
        <f t="shared" ca="1" si="38"/>
        <v/>
      </c>
      <c r="V247" s="1808">
        <f t="shared" ca="1" si="36"/>
        <v>1</v>
      </c>
    </row>
    <row r="248" spans="2:22">
      <c r="B248" s="1808">
        <v>247</v>
      </c>
      <c r="C248" s="1808" t="str">
        <f t="shared" ca="1" si="35"/>
        <v/>
      </c>
      <c r="D248" s="1808" t="str">
        <f t="shared" ca="1" si="42"/>
        <v/>
      </c>
      <c r="E248" s="1808" t="str">
        <f t="shared" ca="1" si="42"/>
        <v/>
      </c>
      <c r="F248" s="1808" t="str">
        <f t="shared" ca="1" si="42"/>
        <v/>
      </c>
      <c r="G248" s="1808" t="str">
        <f t="shared" ca="1" si="42"/>
        <v/>
      </c>
      <c r="H248" s="1808" t="str">
        <f t="shared" ca="1" si="42"/>
        <v/>
      </c>
      <c r="I248" s="1808" t="str">
        <f t="shared" ca="1" si="42"/>
        <v/>
      </c>
      <c r="J248" s="1808" t="str">
        <f t="shared" ca="1" si="42"/>
        <v/>
      </c>
      <c r="K248" s="1808" t="str">
        <f t="shared" ca="1" si="42"/>
        <v/>
      </c>
      <c r="L248" s="1808" t="str">
        <f t="shared" ca="1" si="42"/>
        <v/>
      </c>
      <c r="M248" s="1808" t="str">
        <f t="shared" ca="1" si="42"/>
        <v/>
      </c>
      <c r="N248" s="1808" t="str">
        <f t="shared" ca="1" si="43"/>
        <v/>
      </c>
      <c r="O248" s="1808" t="str">
        <f t="shared" ca="1" si="43"/>
        <v/>
      </c>
      <c r="P248" s="1808" t="str">
        <f t="shared" ca="1" si="43"/>
        <v/>
      </c>
      <c r="Q248" s="1808" t="str">
        <f t="shared" ca="1" si="43"/>
        <v/>
      </c>
      <c r="R248" s="1808" t="str">
        <f t="shared" ca="1" si="38"/>
        <v/>
      </c>
      <c r="S248" s="1808" t="str">
        <f t="shared" ca="1" si="38"/>
        <v/>
      </c>
      <c r="T248" s="1808">
        <f t="shared" ca="1" si="38"/>
        <v>247</v>
      </c>
      <c r="U248" s="1808" t="str">
        <f t="shared" ca="1" si="38"/>
        <v/>
      </c>
      <c r="V248" s="1808">
        <f t="shared" ca="1" si="36"/>
        <v>1</v>
      </c>
    </row>
    <row r="249" spans="2:22">
      <c r="B249" s="1808">
        <v>248</v>
      </c>
      <c r="C249" s="1808" t="str">
        <f t="shared" ca="1" si="35"/>
        <v/>
      </c>
      <c r="D249" s="1808" t="str">
        <f t="shared" ca="1" si="42"/>
        <v/>
      </c>
      <c r="E249" s="1808" t="str">
        <f t="shared" ca="1" si="42"/>
        <v/>
      </c>
      <c r="F249" s="1808" t="str">
        <f t="shared" ca="1" si="42"/>
        <v/>
      </c>
      <c r="G249" s="1808" t="str">
        <f t="shared" ca="1" si="42"/>
        <v/>
      </c>
      <c r="H249" s="1808" t="str">
        <f t="shared" ca="1" si="42"/>
        <v/>
      </c>
      <c r="I249" s="1808" t="str">
        <f t="shared" ca="1" si="42"/>
        <v/>
      </c>
      <c r="J249" s="1808" t="str">
        <f t="shared" ca="1" si="42"/>
        <v/>
      </c>
      <c r="K249" s="1808" t="str">
        <f t="shared" ca="1" si="42"/>
        <v/>
      </c>
      <c r="L249" s="1808" t="str">
        <f t="shared" ca="1" si="42"/>
        <v/>
      </c>
      <c r="M249" s="1808" t="str">
        <f t="shared" ca="1" si="42"/>
        <v/>
      </c>
      <c r="N249" s="1808" t="str">
        <f t="shared" ca="1" si="43"/>
        <v/>
      </c>
      <c r="O249" s="1808" t="str">
        <f t="shared" ca="1" si="43"/>
        <v/>
      </c>
      <c r="P249" s="1808" t="str">
        <f t="shared" ca="1" si="43"/>
        <v/>
      </c>
      <c r="Q249" s="1808" t="str">
        <f t="shared" ca="1" si="43"/>
        <v/>
      </c>
      <c r="R249" s="1808" t="str">
        <f t="shared" ca="1" si="38"/>
        <v/>
      </c>
      <c r="S249" s="1808" t="str">
        <f t="shared" ca="1" si="38"/>
        <v/>
      </c>
      <c r="T249" s="1808" t="str">
        <f t="shared" ca="1" si="38"/>
        <v/>
      </c>
      <c r="U249" s="1808" t="str">
        <f t="shared" ca="1" si="38"/>
        <v/>
      </c>
      <c r="V249" s="1808">
        <f t="shared" ca="1" si="36"/>
        <v>0</v>
      </c>
    </row>
    <row r="250" spans="2:22">
      <c r="B250" s="1808">
        <v>249</v>
      </c>
      <c r="C250" s="1808" t="str">
        <f t="shared" ca="1" si="35"/>
        <v/>
      </c>
      <c r="D250" s="1808" t="str">
        <f t="shared" ca="1" si="42"/>
        <v/>
      </c>
      <c r="E250" s="1808" t="str">
        <f t="shared" ca="1" si="42"/>
        <v/>
      </c>
      <c r="F250" s="1808" t="str">
        <f t="shared" ca="1" si="42"/>
        <v/>
      </c>
      <c r="G250" s="1808" t="str">
        <f t="shared" ca="1" si="42"/>
        <v/>
      </c>
      <c r="H250" s="1808" t="str">
        <f t="shared" ca="1" si="42"/>
        <v/>
      </c>
      <c r="I250" s="1808" t="str">
        <f t="shared" ca="1" si="42"/>
        <v/>
      </c>
      <c r="J250" s="1808" t="str">
        <f t="shared" ca="1" si="42"/>
        <v/>
      </c>
      <c r="K250" s="1808" t="str">
        <f t="shared" ca="1" si="42"/>
        <v/>
      </c>
      <c r="L250" s="1808" t="str">
        <f t="shared" ca="1" si="42"/>
        <v/>
      </c>
      <c r="M250" s="1808" t="str">
        <f t="shared" ca="1" si="42"/>
        <v/>
      </c>
      <c r="N250" s="1808" t="str">
        <f t="shared" ca="1" si="43"/>
        <v/>
      </c>
      <c r="O250" s="1808" t="str">
        <f t="shared" ca="1" si="43"/>
        <v/>
      </c>
      <c r="P250" s="1808" t="str">
        <f t="shared" ca="1" si="43"/>
        <v/>
      </c>
      <c r="Q250" s="1808" t="str">
        <f t="shared" ca="1" si="43"/>
        <v/>
      </c>
      <c r="R250" s="1808" t="str">
        <f t="shared" ca="1" si="38"/>
        <v/>
      </c>
      <c r="S250" s="1808" t="str">
        <f t="shared" ca="1" si="38"/>
        <v/>
      </c>
      <c r="T250" s="1808" t="str">
        <f t="shared" ca="1" si="38"/>
        <v/>
      </c>
      <c r="U250" s="1808" t="str">
        <f t="shared" ca="1" si="38"/>
        <v/>
      </c>
      <c r="V250" s="1808">
        <f t="shared" ca="1" si="36"/>
        <v>0</v>
      </c>
    </row>
    <row r="251" spans="2:22">
      <c r="B251" s="1808">
        <v>250</v>
      </c>
      <c r="C251" s="1808" t="str">
        <f t="shared" ca="1" si="35"/>
        <v/>
      </c>
      <c r="D251" s="1808" t="str">
        <f t="shared" ca="1" si="42"/>
        <v/>
      </c>
      <c r="E251" s="1808" t="str">
        <f t="shared" ca="1" si="42"/>
        <v/>
      </c>
      <c r="F251" s="1808" t="str">
        <f t="shared" ca="1" si="42"/>
        <v/>
      </c>
      <c r="G251" s="1808" t="str">
        <f t="shared" ca="1" si="42"/>
        <v/>
      </c>
      <c r="H251" s="1808" t="str">
        <f t="shared" ca="1" si="42"/>
        <v/>
      </c>
      <c r="I251" s="1808" t="str">
        <f t="shared" ca="1" si="42"/>
        <v/>
      </c>
      <c r="J251" s="1808" t="str">
        <f t="shared" ca="1" si="42"/>
        <v/>
      </c>
      <c r="K251" s="1808" t="str">
        <f t="shared" ca="1" si="42"/>
        <v/>
      </c>
      <c r="L251" s="1808" t="str">
        <f t="shared" ca="1" si="42"/>
        <v/>
      </c>
      <c r="M251" s="1808" t="str">
        <f t="shared" ca="1" si="42"/>
        <v/>
      </c>
      <c r="N251" s="1808" t="str">
        <f t="shared" ca="1" si="43"/>
        <v/>
      </c>
      <c r="O251" s="1808" t="str">
        <f t="shared" ca="1" si="43"/>
        <v/>
      </c>
      <c r="P251" s="1808" t="str">
        <f t="shared" ca="1" si="43"/>
        <v/>
      </c>
      <c r="Q251" s="1808" t="str">
        <f t="shared" ca="1" si="43"/>
        <v/>
      </c>
      <c r="R251" s="1808" t="str">
        <f t="shared" ca="1" si="38"/>
        <v/>
      </c>
      <c r="S251" s="1808" t="str">
        <f t="shared" ca="1" si="38"/>
        <v/>
      </c>
      <c r="T251" s="1808" t="str">
        <f t="shared" ca="1" si="38"/>
        <v/>
      </c>
      <c r="U251" s="1808" t="str">
        <f t="shared" ca="1" si="38"/>
        <v/>
      </c>
      <c r="V251" s="1808">
        <f t="shared" ca="1" si="36"/>
        <v>0</v>
      </c>
    </row>
    <row r="252" spans="2:22">
      <c r="B252" s="1808">
        <v>251</v>
      </c>
      <c r="C252" s="1808" t="str">
        <f t="shared" ca="1" si="35"/>
        <v/>
      </c>
      <c r="D252" s="1808" t="str">
        <f t="shared" ca="1" si="42"/>
        <v/>
      </c>
      <c r="E252" s="1808" t="str">
        <f t="shared" ca="1" si="42"/>
        <v/>
      </c>
      <c r="F252" s="1808" t="str">
        <f t="shared" ca="1" si="42"/>
        <v/>
      </c>
      <c r="G252" s="1808" t="str">
        <f t="shared" ca="1" si="42"/>
        <v/>
      </c>
      <c r="H252" s="1808" t="str">
        <f t="shared" ca="1" si="42"/>
        <v/>
      </c>
      <c r="I252" s="1808" t="str">
        <f t="shared" ca="1" si="42"/>
        <v/>
      </c>
      <c r="J252" s="1808" t="str">
        <f t="shared" ca="1" si="42"/>
        <v/>
      </c>
      <c r="K252" s="1808" t="str">
        <f t="shared" ca="1" si="42"/>
        <v/>
      </c>
      <c r="L252" s="1808" t="str">
        <f t="shared" ca="1" si="42"/>
        <v/>
      </c>
      <c r="M252" s="1808" t="str">
        <f t="shared" ca="1" si="42"/>
        <v/>
      </c>
      <c r="N252" s="1808" t="str">
        <f t="shared" ca="1" si="43"/>
        <v/>
      </c>
      <c r="O252" s="1808" t="str">
        <f t="shared" ca="1" si="43"/>
        <v/>
      </c>
      <c r="P252" s="1808" t="str">
        <f t="shared" ca="1" si="43"/>
        <v/>
      </c>
      <c r="Q252" s="1808" t="str">
        <f t="shared" ca="1" si="43"/>
        <v/>
      </c>
      <c r="R252" s="1808" t="str">
        <f t="shared" ca="1" si="38"/>
        <v/>
      </c>
      <c r="S252" s="1808" t="str">
        <f t="shared" ca="1" si="38"/>
        <v/>
      </c>
      <c r="T252" s="1808" t="str">
        <f t="shared" ca="1" si="38"/>
        <v/>
      </c>
      <c r="U252" s="1808" t="str">
        <f t="shared" ca="1" si="38"/>
        <v/>
      </c>
      <c r="V252" s="1808">
        <f t="shared" ca="1" si="36"/>
        <v>0</v>
      </c>
    </row>
    <row r="253" spans="2:22">
      <c r="B253" s="1808">
        <v>252</v>
      </c>
      <c r="C253" s="1808" t="str">
        <f t="shared" ca="1" si="35"/>
        <v/>
      </c>
      <c r="D253" s="1808" t="str">
        <f t="shared" ca="1" si="42"/>
        <v/>
      </c>
      <c r="E253" s="1808" t="str">
        <f t="shared" ca="1" si="42"/>
        <v/>
      </c>
      <c r="F253" s="1808" t="str">
        <f t="shared" ca="1" si="42"/>
        <v/>
      </c>
      <c r="G253" s="1808" t="str">
        <f t="shared" ca="1" si="42"/>
        <v/>
      </c>
      <c r="H253" s="1808" t="str">
        <f t="shared" ca="1" si="42"/>
        <v/>
      </c>
      <c r="I253" s="1808" t="str">
        <f t="shared" ca="1" si="42"/>
        <v/>
      </c>
      <c r="J253" s="1808" t="str">
        <f t="shared" ca="1" si="42"/>
        <v/>
      </c>
      <c r="K253" s="1808" t="str">
        <f t="shared" ca="1" si="42"/>
        <v/>
      </c>
      <c r="L253" s="1808" t="str">
        <f t="shared" ca="1" si="42"/>
        <v/>
      </c>
      <c r="M253" s="1808" t="str">
        <f t="shared" ca="1" si="42"/>
        <v/>
      </c>
      <c r="N253" s="1808" t="str">
        <f t="shared" ca="1" si="43"/>
        <v/>
      </c>
      <c r="O253" s="1808" t="str">
        <f t="shared" ca="1" si="43"/>
        <v/>
      </c>
      <c r="P253" s="1808" t="str">
        <f t="shared" ca="1" si="43"/>
        <v/>
      </c>
      <c r="Q253" s="1808" t="str">
        <f t="shared" ca="1" si="43"/>
        <v/>
      </c>
      <c r="R253" s="1808" t="str">
        <f t="shared" ca="1" si="38"/>
        <v/>
      </c>
      <c r="S253" s="1808" t="str">
        <f t="shared" ca="1" si="38"/>
        <v/>
      </c>
      <c r="T253" s="1808" t="str">
        <f t="shared" ca="1" si="38"/>
        <v/>
      </c>
      <c r="U253" s="1808" t="str">
        <f t="shared" ca="1" si="38"/>
        <v/>
      </c>
      <c r="V253" s="1808">
        <f t="shared" ca="1" si="36"/>
        <v>0</v>
      </c>
    </row>
    <row r="254" spans="2:22">
      <c r="B254" s="1808">
        <v>253</v>
      </c>
      <c r="C254" s="1808" t="str">
        <f t="shared" ca="1" si="35"/>
        <v/>
      </c>
      <c r="D254" s="1808" t="str">
        <f t="shared" ca="1" si="42"/>
        <v/>
      </c>
      <c r="E254" s="1808" t="str">
        <f t="shared" ca="1" si="42"/>
        <v/>
      </c>
      <c r="F254" s="1808" t="str">
        <f t="shared" ca="1" si="42"/>
        <v/>
      </c>
      <c r="G254" s="1808" t="str">
        <f t="shared" ca="1" si="42"/>
        <v/>
      </c>
      <c r="H254" s="1808" t="str">
        <f t="shared" ca="1" si="42"/>
        <v/>
      </c>
      <c r="I254" s="1808" t="str">
        <f t="shared" ca="1" si="42"/>
        <v/>
      </c>
      <c r="J254" s="1808" t="str">
        <f t="shared" ca="1" si="42"/>
        <v/>
      </c>
      <c r="K254" s="1808" t="str">
        <f t="shared" ca="1" si="42"/>
        <v/>
      </c>
      <c r="L254" s="1808" t="str">
        <f t="shared" ca="1" si="42"/>
        <v/>
      </c>
      <c r="M254" s="1808" t="str">
        <f t="shared" ca="1" si="42"/>
        <v/>
      </c>
      <c r="N254" s="1808" t="str">
        <f t="shared" ca="1" si="43"/>
        <v/>
      </c>
      <c r="O254" s="1808" t="str">
        <f t="shared" ca="1" si="43"/>
        <v/>
      </c>
      <c r="P254" s="1808" t="str">
        <f t="shared" ca="1" si="43"/>
        <v/>
      </c>
      <c r="Q254" s="1808" t="str">
        <f t="shared" ca="1" si="43"/>
        <v/>
      </c>
      <c r="R254" s="1808" t="str">
        <f t="shared" ca="1" si="38"/>
        <v/>
      </c>
      <c r="S254" s="1808" t="str">
        <f t="shared" ca="1" si="38"/>
        <v/>
      </c>
      <c r="T254" s="1808" t="str">
        <f t="shared" ca="1" si="38"/>
        <v/>
      </c>
      <c r="U254" s="1808" t="str">
        <f t="shared" ca="1" si="38"/>
        <v/>
      </c>
      <c r="V254" s="1808">
        <f t="shared" ca="1" si="36"/>
        <v>0</v>
      </c>
    </row>
    <row r="255" spans="2:22">
      <c r="B255" s="1808">
        <v>254</v>
      </c>
      <c r="C255" s="1808" t="str">
        <f t="shared" ca="1" si="35"/>
        <v/>
      </c>
      <c r="D255" s="1808" t="str">
        <f t="shared" ca="1" si="42"/>
        <v/>
      </c>
      <c r="E255" s="1808" t="str">
        <f t="shared" ca="1" si="42"/>
        <v/>
      </c>
      <c r="F255" s="1808" t="str">
        <f t="shared" ca="1" si="42"/>
        <v/>
      </c>
      <c r="G255" s="1808" t="str">
        <f t="shared" ca="1" si="42"/>
        <v/>
      </c>
      <c r="H255" s="1808" t="str">
        <f t="shared" ca="1" si="42"/>
        <v/>
      </c>
      <c r="I255" s="1808" t="str">
        <f t="shared" ca="1" si="42"/>
        <v/>
      </c>
      <c r="J255" s="1808" t="str">
        <f t="shared" ca="1" si="42"/>
        <v/>
      </c>
      <c r="K255" s="1808" t="str">
        <f t="shared" ca="1" si="42"/>
        <v/>
      </c>
      <c r="L255" s="1808" t="str">
        <f t="shared" ca="1" si="42"/>
        <v/>
      </c>
      <c r="M255" s="1808" t="str">
        <f t="shared" ca="1" si="42"/>
        <v/>
      </c>
      <c r="N255" s="1808" t="str">
        <f t="shared" ca="1" si="43"/>
        <v/>
      </c>
      <c r="O255" s="1808" t="str">
        <f t="shared" ca="1" si="43"/>
        <v/>
      </c>
      <c r="P255" s="1808" t="str">
        <f t="shared" ca="1" si="43"/>
        <v/>
      </c>
      <c r="Q255" s="1808" t="str">
        <f t="shared" ca="1" si="43"/>
        <v/>
      </c>
      <c r="R255" s="1808" t="str">
        <f t="shared" ca="1" si="38"/>
        <v/>
      </c>
      <c r="S255" s="1808" t="str">
        <f t="shared" ca="1" si="38"/>
        <v/>
      </c>
      <c r="T255" s="1808" t="str">
        <f t="shared" ca="1" si="38"/>
        <v/>
      </c>
      <c r="U255" s="1808" t="str">
        <f t="shared" ca="1" si="38"/>
        <v/>
      </c>
      <c r="V255" s="1808">
        <f t="shared" ca="1" si="36"/>
        <v>0</v>
      </c>
    </row>
    <row r="256" spans="2:22">
      <c r="B256" s="1808">
        <v>255</v>
      </c>
      <c r="C256" s="1808" t="str">
        <f t="shared" ca="1" si="35"/>
        <v/>
      </c>
      <c r="D256" s="1808" t="str">
        <f t="shared" ca="1" si="42"/>
        <v/>
      </c>
      <c r="E256" s="1808" t="str">
        <f t="shared" ca="1" si="42"/>
        <v/>
      </c>
      <c r="F256" s="1808" t="str">
        <f t="shared" ca="1" si="42"/>
        <v/>
      </c>
      <c r="G256" s="1808" t="str">
        <f t="shared" ca="1" si="42"/>
        <v/>
      </c>
      <c r="H256" s="1808" t="str">
        <f t="shared" ca="1" si="42"/>
        <v/>
      </c>
      <c r="I256" s="1808" t="str">
        <f t="shared" ca="1" si="42"/>
        <v/>
      </c>
      <c r="J256" s="1808" t="str">
        <f t="shared" ca="1" si="42"/>
        <v/>
      </c>
      <c r="K256" s="1808" t="str">
        <f t="shared" ca="1" si="42"/>
        <v/>
      </c>
      <c r="L256" s="1808" t="str">
        <f t="shared" ca="1" si="42"/>
        <v/>
      </c>
      <c r="M256" s="1808" t="str">
        <f t="shared" ca="1" si="42"/>
        <v/>
      </c>
      <c r="N256" s="1808" t="str">
        <f t="shared" ca="1" si="43"/>
        <v/>
      </c>
      <c r="O256" s="1808" t="str">
        <f t="shared" ca="1" si="43"/>
        <v/>
      </c>
      <c r="P256" s="1808" t="str">
        <f t="shared" ca="1" si="43"/>
        <v/>
      </c>
      <c r="Q256" s="1808" t="str">
        <f t="shared" ca="1" si="43"/>
        <v/>
      </c>
      <c r="R256" s="1808" t="str">
        <f t="shared" ca="1" si="38"/>
        <v/>
      </c>
      <c r="S256" s="1808" t="str">
        <f t="shared" ca="1" si="38"/>
        <v/>
      </c>
      <c r="T256" s="1808" t="str">
        <f t="shared" ca="1" si="38"/>
        <v/>
      </c>
      <c r="U256" s="1808" t="str">
        <f t="shared" ca="1" si="38"/>
        <v/>
      </c>
      <c r="V256" s="1808">
        <f t="shared" ca="1" si="36"/>
        <v>0</v>
      </c>
    </row>
    <row r="257" spans="2:22">
      <c r="B257" s="1808">
        <v>256</v>
      </c>
      <c r="C257" s="1808" t="str">
        <f t="shared" ca="1" si="35"/>
        <v/>
      </c>
      <c r="D257" s="1808" t="str">
        <f t="shared" ref="D257:Q258" ca="1" si="44">IFERROR(VLOOKUP($B257,INDIRECT(D$1&amp;"!"&amp;"A:A"),1,0),"")</f>
        <v/>
      </c>
      <c r="E257" s="1808" t="str">
        <f t="shared" ca="1" si="44"/>
        <v/>
      </c>
      <c r="F257" s="1808" t="str">
        <f t="shared" ca="1" si="44"/>
        <v/>
      </c>
      <c r="G257" s="1808" t="str">
        <f t="shared" ca="1" si="44"/>
        <v/>
      </c>
      <c r="H257" s="1808" t="str">
        <f t="shared" ca="1" si="44"/>
        <v/>
      </c>
      <c r="I257" s="1808" t="str">
        <f t="shared" ca="1" si="44"/>
        <v/>
      </c>
      <c r="J257" s="1808" t="str">
        <f t="shared" ca="1" si="44"/>
        <v/>
      </c>
      <c r="K257" s="1808" t="str">
        <f t="shared" ca="1" si="44"/>
        <v/>
      </c>
      <c r="L257" s="1808" t="str">
        <f t="shared" ca="1" si="44"/>
        <v/>
      </c>
      <c r="M257" s="1808" t="str">
        <f t="shared" ca="1" si="44"/>
        <v/>
      </c>
      <c r="N257" s="1808" t="str">
        <f t="shared" ca="1" si="44"/>
        <v/>
      </c>
      <c r="O257" s="1808" t="str">
        <f t="shared" ca="1" si="44"/>
        <v/>
      </c>
      <c r="P257" s="1808" t="str">
        <f t="shared" ca="1" si="44"/>
        <v/>
      </c>
      <c r="Q257" s="1808" t="str">
        <f t="shared" ca="1" si="44"/>
        <v/>
      </c>
      <c r="R257" s="1808" t="str">
        <f t="shared" ca="1" si="38"/>
        <v/>
      </c>
      <c r="S257" s="1808" t="str">
        <f t="shared" ca="1" si="38"/>
        <v/>
      </c>
      <c r="T257" s="1808" t="str">
        <f t="shared" ca="1" si="38"/>
        <v/>
      </c>
      <c r="U257" s="1808" t="str">
        <f t="shared" ca="1" si="38"/>
        <v/>
      </c>
      <c r="V257" s="1808">
        <f t="shared" ca="1" si="36"/>
        <v>0</v>
      </c>
    </row>
    <row r="258" spans="2:22">
      <c r="B258" s="1808">
        <v>257</v>
      </c>
      <c r="C258" s="1808" t="str">
        <f t="shared" ca="1" si="35"/>
        <v/>
      </c>
      <c r="D258" s="1808" t="str">
        <f t="shared" ca="1" si="44"/>
        <v/>
      </c>
      <c r="E258" s="1808" t="str">
        <f t="shared" ca="1" si="44"/>
        <v/>
      </c>
      <c r="F258" s="1808" t="str">
        <f t="shared" ca="1" si="44"/>
        <v/>
      </c>
      <c r="G258" s="1808" t="str">
        <f t="shared" ca="1" si="44"/>
        <v/>
      </c>
      <c r="H258" s="1808" t="str">
        <f t="shared" ca="1" si="44"/>
        <v/>
      </c>
      <c r="I258" s="1808" t="str">
        <f t="shared" ca="1" si="44"/>
        <v/>
      </c>
      <c r="J258" s="1808" t="str">
        <f t="shared" ca="1" si="44"/>
        <v/>
      </c>
      <c r="K258" s="1808" t="str">
        <f t="shared" ca="1" si="44"/>
        <v/>
      </c>
      <c r="L258" s="1808" t="str">
        <f t="shared" ca="1" si="44"/>
        <v/>
      </c>
      <c r="M258" s="1808" t="str">
        <f t="shared" ca="1" si="44"/>
        <v/>
      </c>
      <c r="N258" s="1808" t="str">
        <f t="shared" ref="N258:Q273" ca="1" si="45">IFERROR(VLOOKUP($B258,INDIRECT(N$1&amp;"!"&amp;"A:A"),1,0),"")</f>
        <v/>
      </c>
      <c r="O258" s="1808" t="str">
        <f t="shared" ca="1" si="45"/>
        <v/>
      </c>
      <c r="P258" s="1808" t="str">
        <f t="shared" ca="1" si="45"/>
        <v/>
      </c>
      <c r="Q258" s="1808" t="str">
        <f t="shared" ca="1" si="45"/>
        <v/>
      </c>
      <c r="R258" s="1808" t="str">
        <f t="shared" ca="1" si="38"/>
        <v/>
      </c>
      <c r="S258" s="1808" t="str">
        <f t="shared" ca="1" si="38"/>
        <v/>
      </c>
      <c r="T258" s="1808" t="str">
        <f t="shared" ca="1" si="38"/>
        <v/>
      </c>
      <c r="U258" s="1808" t="str">
        <f t="shared" ca="1" si="38"/>
        <v/>
      </c>
      <c r="V258" s="1808">
        <f t="shared" ca="1" si="36"/>
        <v>0</v>
      </c>
    </row>
    <row r="259" spans="2:22">
      <c r="B259" s="1808">
        <v>258</v>
      </c>
      <c r="C259" s="1808" t="str">
        <f t="shared" ref="C259:M284" ca="1" si="46">IFERROR(VLOOKUP($B259,INDIRECT(C$1&amp;"!"&amp;"A:A"),1,0),"")</f>
        <v/>
      </c>
      <c r="D259" s="1808" t="str">
        <f t="shared" ca="1" si="46"/>
        <v/>
      </c>
      <c r="E259" s="1808" t="str">
        <f t="shared" ca="1" si="46"/>
        <v/>
      </c>
      <c r="F259" s="1808" t="str">
        <f t="shared" ca="1" si="46"/>
        <v/>
      </c>
      <c r="G259" s="1808" t="str">
        <f t="shared" ca="1" si="46"/>
        <v/>
      </c>
      <c r="H259" s="1808" t="str">
        <f t="shared" ca="1" si="46"/>
        <v/>
      </c>
      <c r="I259" s="1808" t="str">
        <f t="shared" ca="1" si="46"/>
        <v/>
      </c>
      <c r="J259" s="1808" t="str">
        <f t="shared" ca="1" si="46"/>
        <v/>
      </c>
      <c r="K259" s="1808" t="str">
        <f t="shared" ca="1" si="46"/>
        <v/>
      </c>
      <c r="L259" s="1808" t="str">
        <f t="shared" ca="1" si="46"/>
        <v/>
      </c>
      <c r="M259" s="1808" t="str">
        <f t="shared" ca="1" si="46"/>
        <v/>
      </c>
      <c r="N259" s="1808" t="str">
        <f t="shared" ca="1" si="45"/>
        <v/>
      </c>
      <c r="O259" s="1808" t="str">
        <f t="shared" ca="1" si="45"/>
        <v/>
      </c>
      <c r="P259" s="1808" t="str">
        <f t="shared" ca="1" si="45"/>
        <v/>
      </c>
      <c r="Q259" s="1808" t="str">
        <f t="shared" ca="1" si="45"/>
        <v/>
      </c>
      <c r="R259" s="1808" t="str">
        <f t="shared" ca="1" si="38"/>
        <v/>
      </c>
      <c r="S259" s="1808" t="str">
        <f t="shared" ca="1" si="38"/>
        <v/>
      </c>
      <c r="T259" s="1808" t="str">
        <f t="shared" ca="1" si="38"/>
        <v/>
      </c>
      <c r="U259" s="1808" t="str">
        <f t="shared" ca="1" si="38"/>
        <v/>
      </c>
      <c r="V259" s="1808">
        <f t="shared" ref="V259:V284" ca="1" si="47">COUNTIF(C259:U259,"&gt;0")</f>
        <v>0</v>
      </c>
    </row>
    <row r="260" spans="2:22">
      <c r="B260" s="1808">
        <v>259</v>
      </c>
      <c r="C260" s="1808" t="str">
        <f t="shared" ca="1" si="46"/>
        <v/>
      </c>
      <c r="D260" s="1808" t="str">
        <f t="shared" ca="1" si="46"/>
        <v/>
      </c>
      <c r="E260" s="1808" t="str">
        <f t="shared" ca="1" si="46"/>
        <v/>
      </c>
      <c r="F260" s="1808" t="str">
        <f t="shared" ca="1" si="46"/>
        <v/>
      </c>
      <c r="G260" s="1808" t="str">
        <f t="shared" ca="1" si="46"/>
        <v/>
      </c>
      <c r="H260" s="1808" t="str">
        <f t="shared" ca="1" si="46"/>
        <v/>
      </c>
      <c r="I260" s="1808" t="str">
        <f t="shared" ca="1" si="46"/>
        <v/>
      </c>
      <c r="J260" s="1808" t="str">
        <f t="shared" ca="1" si="46"/>
        <v/>
      </c>
      <c r="K260" s="1808" t="str">
        <f t="shared" ca="1" si="46"/>
        <v/>
      </c>
      <c r="L260" s="1808" t="str">
        <f t="shared" ca="1" si="46"/>
        <v/>
      </c>
      <c r="M260" s="1808" t="str">
        <f t="shared" ca="1" si="46"/>
        <v/>
      </c>
      <c r="N260" s="1808" t="str">
        <f t="shared" ca="1" si="45"/>
        <v/>
      </c>
      <c r="O260" s="1808" t="str">
        <f t="shared" ca="1" si="45"/>
        <v/>
      </c>
      <c r="P260" s="1808" t="str">
        <f t="shared" ca="1" si="45"/>
        <v/>
      </c>
      <c r="Q260" s="1808" t="str">
        <f t="shared" ca="1" si="45"/>
        <v/>
      </c>
      <c r="R260" s="1808" t="str">
        <f t="shared" ca="1" si="38"/>
        <v/>
      </c>
      <c r="S260" s="1808" t="str">
        <f t="shared" ca="1" si="38"/>
        <v/>
      </c>
      <c r="T260" s="1808" t="str">
        <f t="shared" ca="1" si="38"/>
        <v/>
      </c>
      <c r="U260" s="1808" t="str">
        <f t="shared" ca="1" si="38"/>
        <v/>
      </c>
      <c r="V260" s="1808">
        <f t="shared" ca="1" si="47"/>
        <v>0</v>
      </c>
    </row>
    <row r="261" spans="2:22">
      <c r="B261" s="1808">
        <v>260</v>
      </c>
      <c r="C261" s="1808" t="str">
        <f t="shared" ca="1" si="46"/>
        <v/>
      </c>
      <c r="D261" s="1808" t="str">
        <f t="shared" ca="1" si="46"/>
        <v/>
      </c>
      <c r="E261" s="1808" t="str">
        <f t="shared" ca="1" si="46"/>
        <v/>
      </c>
      <c r="F261" s="1808" t="str">
        <f t="shared" ca="1" si="46"/>
        <v/>
      </c>
      <c r="G261" s="1808" t="str">
        <f t="shared" ca="1" si="46"/>
        <v/>
      </c>
      <c r="H261" s="1808" t="str">
        <f t="shared" ca="1" si="46"/>
        <v/>
      </c>
      <c r="I261" s="1808" t="str">
        <f t="shared" ca="1" si="46"/>
        <v/>
      </c>
      <c r="J261" s="1808" t="str">
        <f t="shared" ca="1" si="46"/>
        <v/>
      </c>
      <c r="K261" s="1808" t="str">
        <f t="shared" ca="1" si="46"/>
        <v/>
      </c>
      <c r="L261" s="1808" t="str">
        <f t="shared" ca="1" si="46"/>
        <v/>
      </c>
      <c r="M261" s="1808" t="str">
        <f t="shared" ca="1" si="46"/>
        <v/>
      </c>
      <c r="N261" s="1808" t="str">
        <f t="shared" ca="1" si="45"/>
        <v/>
      </c>
      <c r="O261" s="1808" t="str">
        <f t="shared" ca="1" si="45"/>
        <v/>
      </c>
      <c r="P261" s="1808" t="str">
        <f t="shared" ca="1" si="45"/>
        <v/>
      </c>
      <c r="Q261" s="1808" t="str">
        <f t="shared" ca="1" si="45"/>
        <v/>
      </c>
      <c r="R261" s="1808" t="str">
        <f t="shared" ca="1" si="38"/>
        <v/>
      </c>
      <c r="S261" s="1808" t="str">
        <f t="shared" ca="1" si="38"/>
        <v/>
      </c>
      <c r="T261" s="1808" t="str">
        <f t="shared" ca="1" si="38"/>
        <v/>
      </c>
      <c r="U261" s="1808" t="str">
        <f t="shared" ca="1" si="38"/>
        <v/>
      </c>
      <c r="V261" s="1808">
        <f t="shared" ca="1" si="47"/>
        <v>0</v>
      </c>
    </row>
    <row r="262" spans="2:22">
      <c r="B262" s="1808">
        <v>261</v>
      </c>
      <c r="C262" s="1808" t="str">
        <f t="shared" ca="1" si="46"/>
        <v/>
      </c>
      <c r="D262" s="1808" t="str">
        <f t="shared" ca="1" si="46"/>
        <v/>
      </c>
      <c r="E262" s="1808" t="str">
        <f t="shared" ca="1" si="46"/>
        <v/>
      </c>
      <c r="F262" s="1808" t="str">
        <f t="shared" ca="1" si="46"/>
        <v/>
      </c>
      <c r="G262" s="1808" t="str">
        <f t="shared" ca="1" si="46"/>
        <v/>
      </c>
      <c r="H262" s="1808" t="str">
        <f t="shared" ca="1" si="46"/>
        <v/>
      </c>
      <c r="I262" s="1808" t="str">
        <f t="shared" ca="1" si="46"/>
        <v/>
      </c>
      <c r="J262" s="1808" t="str">
        <f t="shared" ca="1" si="46"/>
        <v/>
      </c>
      <c r="K262" s="1808" t="str">
        <f t="shared" ca="1" si="46"/>
        <v/>
      </c>
      <c r="L262" s="1808" t="str">
        <f t="shared" ca="1" si="46"/>
        <v/>
      </c>
      <c r="M262" s="1808" t="str">
        <f t="shared" ca="1" si="46"/>
        <v/>
      </c>
      <c r="N262" s="1808" t="str">
        <f t="shared" ca="1" si="45"/>
        <v/>
      </c>
      <c r="O262" s="1808" t="str">
        <f t="shared" ca="1" si="45"/>
        <v/>
      </c>
      <c r="P262" s="1808" t="str">
        <f t="shared" ca="1" si="45"/>
        <v/>
      </c>
      <c r="Q262" s="1808" t="str">
        <f t="shared" ca="1" si="45"/>
        <v/>
      </c>
      <c r="R262" s="1808" t="str">
        <f t="shared" ca="1" si="38"/>
        <v/>
      </c>
      <c r="S262" s="1808" t="str">
        <f t="shared" ca="1" si="38"/>
        <v/>
      </c>
      <c r="T262" s="1808" t="str">
        <f t="shared" ca="1" si="38"/>
        <v/>
      </c>
      <c r="U262" s="1808" t="str">
        <f t="shared" ca="1" si="38"/>
        <v/>
      </c>
      <c r="V262" s="1808">
        <f t="shared" ca="1" si="47"/>
        <v>0</v>
      </c>
    </row>
    <row r="263" spans="2:22">
      <c r="B263" s="1808">
        <v>262</v>
      </c>
      <c r="C263" s="1808" t="str">
        <f t="shared" ca="1" si="46"/>
        <v/>
      </c>
      <c r="D263" s="1808" t="str">
        <f t="shared" ca="1" si="46"/>
        <v/>
      </c>
      <c r="E263" s="1808" t="str">
        <f t="shared" ca="1" si="46"/>
        <v/>
      </c>
      <c r="F263" s="1808" t="str">
        <f t="shared" ca="1" si="46"/>
        <v/>
      </c>
      <c r="G263" s="1808" t="str">
        <f t="shared" ca="1" si="46"/>
        <v/>
      </c>
      <c r="H263" s="1808" t="str">
        <f t="shared" ca="1" si="46"/>
        <v/>
      </c>
      <c r="I263" s="1808" t="str">
        <f t="shared" ca="1" si="46"/>
        <v/>
      </c>
      <c r="J263" s="1808" t="str">
        <f t="shared" ca="1" si="46"/>
        <v/>
      </c>
      <c r="K263" s="1808" t="str">
        <f t="shared" ca="1" si="46"/>
        <v/>
      </c>
      <c r="L263" s="1808" t="str">
        <f t="shared" ca="1" si="46"/>
        <v/>
      </c>
      <c r="M263" s="1808" t="str">
        <f t="shared" ca="1" si="46"/>
        <v/>
      </c>
      <c r="N263" s="1808" t="str">
        <f t="shared" ca="1" si="45"/>
        <v/>
      </c>
      <c r="O263" s="1808" t="str">
        <f t="shared" ca="1" si="45"/>
        <v/>
      </c>
      <c r="P263" s="1808" t="str">
        <f t="shared" ca="1" si="45"/>
        <v/>
      </c>
      <c r="Q263" s="1808" t="str">
        <f t="shared" ca="1" si="45"/>
        <v/>
      </c>
      <c r="R263" s="1808" t="str">
        <f t="shared" ca="1" si="38"/>
        <v/>
      </c>
      <c r="S263" s="1808" t="str">
        <f t="shared" ca="1" si="38"/>
        <v/>
      </c>
      <c r="T263" s="1808" t="str">
        <f t="shared" ca="1" si="38"/>
        <v/>
      </c>
      <c r="U263" s="1808" t="str">
        <f t="shared" ca="1" si="38"/>
        <v/>
      </c>
      <c r="V263" s="1808">
        <f t="shared" ca="1" si="47"/>
        <v>0</v>
      </c>
    </row>
    <row r="264" spans="2:22">
      <c r="B264" s="1808">
        <v>263</v>
      </c>
      <c r="C264" s="1808" t="str">
        <f t="shared" ca="1" si="46"/>
        <v/>
      </c>
      <c r="D264" s="1808" t="str">
        <f t="shared" ca="1" si="46"/>
        <v/>
      </c>
      <c r="E264" s="1808" t="str">
        <f t="shared" ca="1" si="46"/>
        <v/>
      </c>
      <c r="F264" s="1808" t="str">
        <f t="shared" ca="1" si="46"/>
        <v/>
      </c>
      <c r="G264" s="1808" t="str">
        <f t="shared" ca="1" si="46"/>
        <v/>
      </c>
      <c r="H264" s="1808" t="str">
        <f t="shared" ca="1" si="46"/>
        <v/>
      </c>
      <c r="I264" s="1808" t="str">
        <f t="shared" ca="1" si="46"/>
        <v/>
      </c>
      <c r="J264" s="1808" t="str">
        <f t="shared" ca="1" si="46"/>
        <v/>
      </c>
      <c r="K264" s="1808" t="str">
        <f t="shared" ca="1" si="46"/>
        <v/>
      </c>
      <c r="L264" s="1808" t="str">
        <f t="shared" ca="1" si="46"/>
        <v/>
      </c>
      <c r="M264" s="1808" t="str">
        <f t="shared" ca="1" si="46"/>
        <v/>
      </c>
      <c r="N264" s="1808" t="str">
        <f t="shared" ca="1" si="45"/>
        <v/>
      </c>
      <c r="O264" s="1808" t="str">
        <f t="shared" ca="1" si="45"/>
        <v/>
      </c>
      <c r="P264" s="1808" t="str">
        <f t="shared" ca="1" si="45"/>
        <v/>
      </c>
      <c r="Q264" s="1808" t="str">
        <f t="shared" ca="1" si="45"/>
        <v/>
      </c>
      <c r="R264" s="1808" t="str">
        <f t="shared" ca="1" si="38"/>
        <v/>
      </c>
      <c r="S264" s="1808" t="str">
        <f t="shared" ca="1" si="38"/>
        <v/>
      </c>
      <c r="T264" s="1808" t="str">
        <f t="shared" ca="1" si="38"/>
        <v/>
      </c>
      <c r="U264" s="1808" t="str">
        <f t="shared" ca="1" si="38"/>
        <v/>
      </c>
      <c r="V264" s="1808">
        <f t="shared" ca="1" si="47"/>
        <v>0</v>
      </c>
    </row>
    <row r="265" spans="2:22">
      <c r="B265" s="1808">
        <v>264</v>
      </c>
      <c r="C265" s="1808" t="str">
        <f t="shared" ca="1" si="46"/>
        <v/>
      </c>
      <c r="D265" s="1808" t="str">
        <f t="shared" ca="1" si="46"/>
        <v/>
      </c>
      <c r="E265" s="1808" t="str">
        <f t="shared" ca="1" si="46"/>
        <v/>
      </c>
      <c r="F265" s="1808" t="str">
        <f t="shared" ca="1" si="46"/>
        <v/>
      </c>
      <c r="G265" s="1808" t="str">
        <f t="shared" ca="1" si="46"/>
        <v/>
      </c>
      <c r="H265" s="1808" t="str">
        <f t="shared" ca="1" si="46"/>
        <v/>
      </c>
      <c r="I265" s="1808" t="str">
        <f t="shared" ca="1" si="46"/>
        <v/>
      </c>
      <c r="J265" s="1808" t="str">
        <f t="shared" ca="1" si="46"/>
        <v/>
      </c>
      <c r="K265" s="1808" t="str">
        <f t="shared" ca="1" si="46"/>
        <v/>
      </c>
      <c r="L265" s="1808" t="str">
        <f t="shared" ca="1" si="46"/>
        <v/>
      </c>
      <c r="M265" s="1808" t="str">
        <f t="shared" ca="1" si="46"/>
        <v/>
      </c>
      <c r="N265" s="1808" t="str">
        <f t="shared" ca="1" si="45"/>
        <v/>
      </c>
      <c r="O265" s="1808" t="str">
        <f t="shared" ca="1" si="45"/>
        <v/>
      </c>
      <c r="P265" s="1808" t="str">
        <f t="shared" ca="1" si="45"/>
        <v/>
      </c>
      <c r="Q265" s="1808" t="str">
        <f t="shared" ca="1" si="45"/>
        <v/>
      </c>
      <c r="R265" s="1808" t="str">
        <f t="shared" ca="1" si="38"/>
        <v/>
      </c>
      <c r="S265" s="1808" t="str">
        <f t="shared" ca="1" si="38"/>
        <v/>
      </c>
      <c r="T265" s="1808" t="str">
        <f t="shared" ca="1" si="38"/>
        <v/>
      </c>
      <c r="U265" s="1808" t="str">
        <f t="shared" ca="1" si="38"/>
        <v/>
      </c>
      <c r="V265" s="1808">
        <f t="shared" ca="1" si="47"/>
        <v>0</v>
      </c>
    </row>
    <row r="266" spans="2:22">
      <c r="B266" s="1808">
        <v>265</v>
      </c>
      <c r="C266" s="1808" t="str">
        <f t="shared" ca="1" si="46"/>
        <v/>
      </c>
      <c r="D266" s="1808" t="str">
        <f t="shared" ca="1" si="46"/>
        <v/>
      </c>
      <c r="E266" s="1808" t="str">
        <f t="shared" ca="1" si="46"/>
        <v/>
      </c>
      <c r="F266" s="1808" t="str">
        <f t="shared" ca="1" si="46"/>
        <v/>
      </c>
      <c r="G266" s="1808" t="str">
        <f t="shared" ca="1" si="46"/>
        <v/>
      </c>
      <c r="H266" s="1808" t="str">
        <f t="shared" ca="1" si="46"/>
        <v/>
      </c>
      <c r="I266" s="1808" t="str">
        <f t="shared" ca="1" si="46"/>
        <v/>
      </c>
      <c r="J266" s="1808" t="str">
        <f t="shared" ca="1" si="46"/>
        <v/>
      </c>
      <c r="K266" s="1808" t="str">
        <f t="shared" ca="1" si="46"/>
        <v/>
      </c>
      <c r="L266" s="1808" t="str">
        <f t="shared" ca="1" si="46"/>
        <v/>
      </c>
      <c r="M266" s="1808" t="str">
        <f t="shared" ca="1" si="46"/>
        <v/>
      </c>
      <c r="N266" s="1808" t="str">
        <f t="shared" ca="1" si="45"/>
        <v/>
      </c>
      <c r="O266" s="1808" t="str">
        <f t="shared" ca="1" si="45"/>
        <v/>
      </c>
      <c r="P266" s="1808" t="str">
        <f t="shared" ca="1" si="45"/>
        <v/>
      </c>
      <c r="Q266" s="1808" t="str">
        <f t="shared" ca="1" si="45"/>
        <v/>
      </c>
      <c r="R266" s="1808" t="str">
        <f t="shared" ca="1" si="38"/>
        <v/>
      </c>
      <c r="S266" s="1808" t="str">
        <f t="shared" ca="1" si="38"/>
        <v/>
      </c>
      <c r="T266" s="1808" t="str">
        <f t="shared" ca="1" si="38"/>
        <v/>
      </c>
      <c r="U266" s="1808" t="str">
        <f t="shared" ca="1" si="38"/>
        <v/>
      </c>
      <c r="V266" s="1808">
        <f t="shared" ca="1" si="47"/>
        <v>0</v>
      </c>
    </row>
    <row r="267" spans="2:22">
      <c r="B267" s="1808">
        <v>266</v>
      </c>
      <c r="C267" s="1808" t="str">
        <f t="shared" ca="1" si="46"/>
        <v/>
      </c>
      <c r="D267" s="1808" t="str">
        <f t="shared" ca="1" si="46"/>
        <v/>
      </c>
      <c r="E267" s="1808" t="str">
        <f t="shared" ca="1" si="46"/>
        <v/>
      </c>
      <c r="F267" s="1808" t="str">
        <f t="shared" ca="1" si="46"/>
        <v/>
      </c>
      <c r="G267" s="1808" t="str">
        <f t="shared" ca="1" si="46"/>
        <v/>
      </c>
      <c r="H267" s="1808" t="str">
        <f t="shared" ca="1" si="46"/>
        <v/>
      </c>
      <c r="I267" s="1808" t="str">
        <f t="shared" ca="1" si="46"/>
        <v/>
      </c>
      <c r="J267" s="1808" t="str">
        <f t="shared" ca="1" si="46"/>
        <v/>
      </c>
      <c r="K267" s="1808" t="str">
        <f t="shared" ca="1" si="46"/>
        <v/>
      </c>
      <c r="L267" s="1808" t="str">
        <f t="shared" ca="1" si="46"/>
        <v/>
      </c>
      <c r="M267" s="1808" t="str">
        <f t="shared" ca="1" si="46"/>
        <v/>
      </c>
      <c r="N267" s="1808" t="str">
        <f t="shared" ca="1" si="45"/>
        <v/>
      </c>
      <c r="O267" s="1808" t="str">
        <f t="shared" ca="1" si="45"/>
        <v/>
      </c>
      <c r="P267" s="1808" t="str">
        <f t="shared" ca="1" si="45"/>
        <v/>
      </c>
      <c r="Q267" s="1808" t="str">
        <f t="shared" ca="1" si="45"/>
        <v/>
      </c>
      <c r="R267" s="1808" t="str">
        <f t="shared" ca="1" si="38"/>
        <v/>
      </c>
      <c r="S267" s="1808" t="str">
        <f t="shared" ca="1" si="38"/>
        <v/>
      </c>
      <c r="T267" s="1808" t="str">
        <f t="shared" ca="1" si="38"/>
        <v/>
      </c>
      <c r="U267" s="1808" t="str">
        <f t="shared" ca="1" si="38"/>
        <v/>
      </c>
      <c r="V267" s="1808">
        <f t="shared" ca="1" si="47"/>
        <v>0</v>
      </c>
    </row>
    <row r="268" spans="2:22">
      <c r="B268" s="1808">
        <v>267</v>
      </c>
      <c r="C268" s="1808" t="str">
        <f t="shared" ca="1" si="46"/>
        <v/>
      </c>
      <c r="D268" s="1808" t="str">
        <f t="shared" ca="1" si="46"/>
        <v/>
      </c>
      <c r="E268" s="1808" t="str">
        <f t="shared" ca="1" si="46"/>
        <v/>
      </c>
      <c r="F268" s="1808" t="str">
        <f t="shared" ca="1" si="46"/>
        <v/>
      </c>
      <c r="G268" s="1808" t="str">
        <f t="shared" ca="1" si="46"/>
        <v/>
      </c>
      <c r="H268" s="1808" t="str">
        <f t="shared" ca="1" si="46"/>
        <v/>
      </c>
      <c r="I268" s="1808" t="str">
        <f t="shared" ca="1" si="46"/>
        <v/>
      </c>
      <c r="J268" s="1808" t="str">
        <f t="shared" ca="1" si="46"/>
        <v/>
      </c>
      <c r="K268" s="1808" t="str">
        <f t="shared" ca="1" si="46"/>
        <v/>
      </c>
      <c r="L268" s="1808" t="str">
        <f t="shared" ca="1" si="46"/>
        <v/>
      </c>
      <c r="M268" s="1808" t="str">
        <f t="shared" ca="1" si="46"/>
        <v/>
      </c>
      <c r="N268" s="1808" t="str">
        <f t="shared" ca="1" si="45"/>
        <v/>
      </c>
      <c r="O268" s="1808" t="str">
        <f t="shared" ca="1" si="45"/>
        <v/>
      </c>
      <c r="P268" s="1808" t="str">
        <f t="shared" ca="1" si="45"/>
        <v/>
      </c>
      <c r="Q268" s="1808" t="str">
        <f t="shared" ca="1" si="45"/>
        <v/>
      </c>
      <c r="R268" s="1808" t="str">
        <f t="shared" ca="1" si="38"/>
        <v/>
      </c>
      <c r="S268" s="1808" t="str">
        <f t="shared" ca="1" si="38"/>
        <v/>
      </c>
      <c r="T268" s="1808" t="str">
        <f t="shared" ca="1" si="38"/>
        <v/>
      </c>
      <c r="U268" s="1808" t="str">
        <f t="shared" ca="1" si="38"/>
        <v/>
      </c>
      <c r="V268" s="1808">
        <f t="shared" ca="1" si="47"/>
        <v>0</v>
      </c>
    </row>
    <row r="269" spans="2:22">
      <c r="B269" s="1808">
        <v>268</v>
      </c>
      <c r="C269" s="1808" t="str">
        <f t="shared" ca="1" si="46"/>
        <v/>
      </c>
      <c r="D269" s="1808" t="str">
        <f t="shared" ca="1" si="46"/>
        <v/>
      </c>
      <c r="E269" s="1808" t="str">
        <f t="shared" ca="1" si="46"/>
        <v/>
      </c>
      <c r="F269" s="1808" t="str">
        <f t="shared" ca="1" si="46"/>
        <v/>
      </c>
      <c r="G269" s="1808" t="str">
        <f t="shared" ca="1" si="46"/>
        <v/>
      </c>
      <c r="H269" s="1808" t="str">
        <f t="shared" ca="1" si="46"/>
        <v/>
      </c>
      <c r="I269" s="1808" t="str">
        <f t="shared" ca="1" si="46"/>
        <v/>
      </c>
      <c r="J269" s="1808" t="str">
        <f t="shared" ca="1" si="46"/>
        <v/>
      </c>
      <c r="K269" s="1808" t="str">
        <f t="shared" ca="1" si="46"/>
        <v/>
      </c>
      <c r="L269" s="1808" t="str">
        <f t="shared" ca="1" si="46"/>
        <v/>
      </c>
      <c r="M269" s="1808" t="str">
        <f t="shared" ca="1" si="46"/>
        <v/>
      </c>
      <c r="N269" s="1808" t="str">
        <f t="shared" ca="1" si="45"/>
        <v/>
      </c>
      <c r="O269" s="1808" t="str">
        <f t="shared" ca="1" si="45"/>
        <v/>
      </c>
      <c r="P269" s="1808" t="str">
        <f t="shared" ca="1" si="45"/>
        <v/>
      </c>
      <c r="Q269" s="1808" t="str">
        <f t="shared" ca="1" si="45"/>
        <v/>
      </c>
      <c r="R269" s="1808" t="str">
        <f t="shared" ca="1" si="38"/>
        <v/>
      </c>
      <c r="S269" s="1808" t="str">
        <f t="shared" ca="1" si="38"/>
        <v/>
      </c>
      <c r="T269" s="1808" t="str">
        <f t="shared" ca="1" si="38"/>
        <v/>
      </c>
      <c r="U269" s="1808" t="str">
        <f t="shared" ca="1" si="38"/>
        <v/>
      </c>
      <c r="V269" s="1808">
        <f t="shared" ca="1" si="47"/>
        <v>0</v>
      </c>
    </row>
    <row r="270" spans="2:22">
      <c r="B270" s="1808">
        <v>269</v>
      </c>
      <c r="C270" s="1808" t="str">
        <f t="shared" ca="1" si="46"/>
        <v/>
      </c>
      <c r="D270" s="1808" t="str">
        <f t="shared" ca="1" si="46"/>
        <v/>
      </c>
      <c r="E270" s="1808" t="str">
        <f t="shared" ca="1" si="46"/>
        <v/>
      </c>
      <c r="F270" s="1808" t="str">
        <f t="shared" ca="1" si="46"/>
        <v/>
      </c>
      <c r="G270" s="1808" t="str">
        <f t="shared" ca="1" si="46"/>
        <v/>
      </c>
      <c r="H270" s="1808" t="str">
        <f t="shared" ca="1" si="46"/>
        <v/>
      </c>
      <c r="I270" s="1808" t="str">
        <f t="shared" ca="1" si="46"/>
        <v/>
      </c>
      <c r="J270" s="1808" t="str">
        <f t="shared" ca="1" si="46"/>
        <v/>
      </c>
      <c r="K270" s="1808" t="str">
        <f t="shared" ca="1" si="46"/>
        <v/>
      </c>
      <c r="L270" s="1808" t="str">
        <f t="shared" ca="1" si="46"/>
        <v/>
      </c>
      <c r="M270" s="1808" t="str">
        <f t="shared" ca="1" si="46"/>
        <v/>
      </c>
      <c r="N270" s="1808" t="str">
        <f t="shared" ca="1" si="45"/>
        <v/>
      </c>
      <c r="O270" s="1808" t="str">
        <f t="shared" ca="1" si="45"/>
        <v/>
      </c>
      <c r="P270" s="1808" t="str">
        <f t="shared" ca="1" si="45"/>
        <v/>
      </c>
      <c r="Q270" s="1808" t="str">
        <f t="shared" ca="1" si="45"/>
        <v/>
      </c>
      <c r="R270" s="1808" t="str">
        <f t="shared" ca="1" si="38"/>
        <v/>
      </c>
      <c r="S270" s="1808" t="str">
        <f t="shared" ca="1" si="38"/>
        <v/>
      </c>
      <c r="T270" s="1808" t="str">
        <f t="shared" ca="1" si="38"/>
        <v/>
      </c>
      <c r="U270" s="1808" t="str">
        <f t="shared" ca="1" si="38"/>
        <v/>
      </c>
      <c r="V270" s="1808">
        <f t="shared" ca="1" si="47"/>
        <v>0</v>
      </c>
    </row>
    <row r="271" spans="2:22">
      <c r="B271" s="1808">
        <v>270</v>
      </c>
      <c r="C271" s="1808" t="str">
        <f t="shared" ca="1" si="46"/>
        <v/>
      </c>
      <c r="D271" s="1808" t="str">
        <f t="shared" ca="1" si="46"/>
        <v/>
      </c>
      <c r="E271" s="1808" t="str">
        <f t="shared" ca="1" si="46"/>
        <v/>
      </c>
      <c r="F271" s="1808" t="str">
        <f t="shared" ca="1" si="46"/>
        <v/>
      </c>
      <c r="G271" s="1808" t="str">
        <f t="shared" ca="1" si="46"/>
        <v/>
      </c>
      <c r="H271" s="1808" t="str">
        <f t="shared" ca="1" si="46"/>
        <v/>
      </c>
      <c r="I271" s="1808" t="str">
        <f t="shared" ca="1" si="46"/>
        <v/>
      </c>
      <c r="J271" s="1808" t="str">
        <f t="shared" ca="1" si="46"/>
        <v/>
      </c>
      <c r="K271" s="1808" t="str">
        <f t="shared" ca="1" si="46"/>
        <v/>
      </c>
      <c r="L271" s="1808" t="str">
        <f t="shared" ca="1" si="46"/>
        <v/>
      </c>
      <c r="M271" s="1808" t="str">
        <f t="shared" ca="1" si="46"/>
        <v/>
      </c>
      <c r="N271" s="1808" t="str">
        <f t="shared" ca="1" si="45"/>
        <v/>
      </c>
      <c r="O271" s="1808" t="str">
        <f t="shared" ca="1" si="45"/>
        <v/>
      </c>
      <c r="P271" s="1808" t="str">
        <f t="shared" ca="1" si="45"/>
        <v/>
      </c>
      <c r="Q271" s="1808" t="str">
        <f t="shared" ca="1" si="45"/>
        <v/>
      </c>
      <c r="R271" s="1808" t="str">
        <f t="shared" ca="1" si="38"/>
        <v/>
      </c>
      <c r="S271" s="1808" t="str">
        <f t="shared" ca="1" si="38"/>
        <v/>
      </c>
      <c r="T271" s="1808" t="str">
        <f t="shared" ca="1" si="38"/>
        <v/>
      </c>
      <c r="U271" s="1808" t="str">
        <f t="shared" ca="1" si="38"/>
        <v/>
      </c>
      <c r="V271" s="1808">
        <f t="shared" ca="1" si="47"/>
        <v>0</v>
      </c>
    </row>
    <row r="272" spans="2:22">
      <c r="B272" s="1808">
        <v>271</v>
      </c>
      <c r="C272" s="1808" t="str">
        <f t="shared" ca="1" si="46"/>
        <v/>
      </c>
      <c r="D272" s="1808" t="str">
        <f t="shared" ca="1" si="46"/>
        <v/>
      </c>
      <c r="E272" s="1808" t="str">
        <f t="shared" ca="1" si="46"/>
        <v/>
      </c>
      <c r="F272" s="1808" t="str">
        <f t="shared" ca="1" si="46"/>
        <v/>
      </c>
      <c r="G272" s="1808" t="str">
        <f t="shared" ca="1" si="46"/>
        <v/>
      </c>
      <c r="H272" s="1808" t="str">
        <f t="shared" ca="1" si="46"/>
        <v/>
      </c>
      <c r="I272" s="1808" t="str">
        <f t="shared" ca="1" si="46"/>
        <v/>
      </c>
      <c r="J272" s="1808" t="str">
        <f t="shared" ca="1" si="46"/>
        <v/>
      </c>
      <c r="K272" s="1808" t="str">
        <f t="shared" ca="1" si="46"/>
        <v/>
      </c>
      <c r="L272" s="1808" t="str">
        <f t="shared" ca="1" si="46"/>
        <v/>
      </c>
      <c r="M272" s="1808" t="str">
        <f t="shared" ca="1" si="46"/>
        <v/>
      </c>
      <c r="N272" s="1808" t="str">
        <f t="shared" ca="1" si="45"/>
        <v/>
      </c>
      <c r="O272" s="1808" t="str">
        <f t="shared" ca="1" si="45"/>
        <v/>
      </c>
      <c r="P272" s="1808" t="str">
        <f t="shared" ca="1" si="45"/>
        <v/>
      </c>
      <c r="Q272" s="1808" t="str">
        <f t="shared" ca="1" si="45"/>
        <v/>
      </c>
      <c r="R272" s="1808" t="str">
        <f t="shared" ca="1" si="38"/>
        <v/>
      </c>
      <c r="S272" s="1808" t="str">
        <f t="shared" ca="1" si="38"/>
        <v/>
      </c>
      <c r="T272" s="1808" t="str">
        <f t="shared" ca="1" si="38"/>
        <v/>
      </c>
      <c r="U272" s="1808" t="str">
        <f t="shared" ca="1" si="38"/>
        <v/>
      </c>
      <c r="V272" s="1808">
        <f t="shared" ca="1" si="47"/>
        <v>0</v>
      </c>
    </row>
    <row r="273" spans="2:36">
      <c r="B273" s="1808">
        <v>272</v>
      </c>
      <c r="C273" s="1808" t="str">
        <f t="shared" ca="1" si="46"/>
        <v/>
      </c>
      <c r="D273" s="1808" t="str">
        <f t="shared" ca="1" si="46"/>
        <v/>
      </c>
      <c r="E273" s="1808" t="str">
        <f t="shared" ca="1" si="46"/>
        <v/>
      </c>
      <c r="F273" s="1808" t="str">
        <f t="shared" ca="1" si="46"/>
        <v/>
      </c>
      <c r="G273" s="1808" t="str">
        <f t="shared" ca="1" si="46"/>
        <v/>
      </c>
      <c r="H273" s="1808" t="str">
        <f t="shared" ca="1" si="46"/>
        <v/>
      </c>
      <c r="I273" s="1808" t="str">
        <f t="shared" ca="1" si="46"/>
        <v/>
      </c>
      <c r="J273" s="1808" t="str">
        <f t="shared" ca="1" si="46"/>
        <v/>
      </c>
      <c r="K273" s="1808" t="str">
        <f t="shared" ca="1" si="46"/>
        <v/>
      </c>
      <c r="L273" s="1808" t="str">
        <f t="shared" ca="1" si="46"/>
        <v/>
      </c>
      <c r="M273" s="1808" t="str">
        <f t="shared" ca="1" si="46"/>
        <v/>
      </c>
      <c r="N273" s="1808" t="str">
        <f t="shared" ca="1" si="45"/>
        <v/>
      </c>
      <c r="O273" s="1808" t="str">
        <f t="shared" ca="1" si="45"/>
        <v/>
      </c>
      <c r="P273" s="1808" t="str">
        <f t="shared" ca="1" si="45"/>
        <v/>
      </c>
      <c r="Q273" s="1808" t="str">
        <f t="shared" ca="1" si="45"/>
        <v/>
      </c>
      <c r="R273" s="1808" t="str">
        <f t="shared" ca="1" si="38"/>
        <v/>
      </c>
      <c r="S273" s="1808" t="str">
        <f t="shared" ca="1" si="38"/>
        <v/>
      </c>
      <c r="T273" s="1808" t="str">
        <f t="shared" ca="1" si="38"/>
        <v/>
      </c>
      <c r="U273" s="1808" t="str">
        <f t="shared" ca="1" si="38"/>
        <v/>
      </c>
      <c r="V273" s="1808">
        <f t="shared" ca="1" si="47"/>
        <v>0</v>
      </c>
    </row>
    <row r="274" spans="2:36">
      <c r="B274" s="1808">
        <v>273</v>
      </c>
      <c r="C274" s="1808" t="str">
        <f t="shared" ca="1" si="46"/>
        <v/>
      </c>
      <c r="D274" s="1808" t="str">
        <f t="shared" ca="1" si="46"/>
        <v/>
      </c>
      <c r="E274" s="1808" t="str">
        <f t="shared" ca="1" si="46"/>
        <v/>
      </c>
      <c r="F274" s="1808" t="str">
        <f t="shared" ca="1" si="46"/>
        <v/>
      </c>
      <c r="G274" s="1808" t="str">
        <f t="shared" ca="1" si="46"/>
        <v/>
      </c>
      <c r="H274" s="1808" t="str">
        <f t="shared" ca="1" si="46"/>
        <v/>
      </c>
      <c r="I274" s="1808" t="str">
        <f t="shared" ca="1" si="46"/>
        <v/>
      </c>
      <c r="J274" s="1808" t="str">
        <f t="shared" ca="1" si="46"/>
        <v/>
      </c>
      <c r="K274" s="1808" t="str">
        <f t="shared" ca="1" si="46"/>
        <v/>
      </c>
      <c r="L274" s="1808" t="str">
        <f t="shared" ca="1" si="46"/>
        <v/>
      </c>
      <c r="M274" s="1808" t="str">
        <f t="shared" ca="1" si="46"/>
        <v/>
      </c>
      <c r="N274" s="1808" t="str">
        <f t="shared" ref="N274:U284" ca="1" si="48">IFERROR(VLOOKUP($B274,INDIRECT(N$1&amp;"!"&amp;"A:A"),1,0),"")</f>
        <v/>
      </c>
      <c r="O274" s="1808" t="str">
        <f t="shared" ca="1" si="48"/>
        <v/>
      </c>
      <c r="P274" s="1808" t="str">
        <f t="shared" ca="1" si="48"/>
        <v/>
      </c>
      <c r="Q274" s="1808" t="str">
        <f t="shared" ca="1" si="48"/>
        <v/>
      </c>
      <c r="R274" s="1808" t="str">
        <f t="shared" ca="1" si="48"/>
        <v/>
      </c>
      <c r="S274" s="1808" t="str">
        <f t="shared" ca="1" si="48"/>
        <v/>
      </c>
      <c r="T274" s="1808" t="str">
        <f t="shared" ca="1" si="48"/>
        <v/>
      </c>
      <c r="U274" s="1808" t="str">
        <f t="shared" ca="1" si="48"/>
        <v/>
      </c>
      <c r="V274" s="1808">
        <f t="shared" ca="1" si="47"/>
        <v>0</v>
      </c>
    </row>
    <row r="275" spans="2:36">
      <c r="B275" s="1808">
        <v>274</v>
      </c>
      <c r="C275" s="1808" t="str">
        <f t="shared" ca="1" si="46"/>
        <v/>
      </c>
      <c r="D275" s="1808" t="str">
        <f t="shared" ca="1" si="46"/>
        <v/>
      </c>
      <c r="E275" s="1808" t="str">
        <f t="shared" ca="1" si="46"/>
        <v/>
      </c>
      <c r="F275" s="1808" t="str">
        <f t="shared" ca="1" si="46"/>
        <v/>
      </c>
      <c r="G275" s="1808" t="str">
        <f t="shared" ca="1" si="46"/>
        <v/>
      </c>
      <c r="H275" s="1808" t="str">
        <f t="shared" ca="1" si="46"/>
        <v/>
      </c>
      <c r="I275" s="1808" t="str">
        <f t="shared" ca="1" si="46"/>
        <v/>
      </c>
      <c r="J275" s="1808" t="str">
        <f t="shared" ca="1" si="46"/>
        <v/>
      </c>
      <c r="K275" s="1808" t="str">
        <f t="shared" ca="1" si="46"/>
        <v/>
      </c>
      <c r="L275" s="1808" t="str">
        <f t="shared" ca="1" si="46"/>
        <v/>
      </c>
      <c r="M275" s="1808" t="str">
        <f t="shared" ca="1" si="46"/>
        <v/>
      </c>
      <c r="N275" s="1808" t="str">
        <f t="shared" ca="1" si="48"/>
        <v/>
      </c>
      <c r="O275" s="1808" t="str">
        <f t="shared" ca="1" si="48"/>
        <v/>
      </c>
      <c r="P275" s="1808" t="str">
        <f t="shared" ca="1" si="48"/>
        <v/>
      </c>
      <c r="Q275" s="1808" t="str">
        <f t="shared" ca="1" si="48"/>
        <v/>
      </c>
      <c r="R275" s="1808" t="str">
        <f t="shared" ca="1" si="48"/>
        <v/>
      </c>
      <c r="S275" s="1808" t="str">
        <f t="shared" ca="1" si="48"/>
        <v/>
      </c>
      <c r="T275" s="1808" t="str">
        <f t="shared" ca="1" si="48"/>
        <v/>
      </c>
      <c r="U275" s="1808" t="str">
        <f t="shared" ca="1" si="48"/>
        <v/>
      </c>
      <c r="V275" s="1808">
        <f t="shared" ca="1" si="47"/>
        <v>0</v>
      </c>
    </row>
    <row r="276" spans="2:36">
      <c r="B276" s="1808">
        <v>275</v>
      </c>
      <c r="C276" s="1808" t="str">
        <f t="shared" ca="1" si="46"/>
        <v/>
      </c>
      <c r="D276" s="1808" t="str">
        <f t="shared" ca="1" si="46"/>
        <v/>
      </c>
      <c r="E276" s="1808" t="str">
        <f t="shared" ca="1" si="46"/>
        <v/>
      </c>
      <c r="F276" s="1808" t="str">
        <f t="shared" ca="1" si="46"/>
        <v/>
      </c>
      <c r="G276" s="1808" t="str">
        <f t="shared" ca="1" si="46"/>
        <v/>
      </c>
      <c r="H276" s="1808" t="str">
        <f t="shared" ca="1" si="46"/>
        <v/>
      </c>
      <c r="I276" s="1808" t="str">
        <f t="shared" ca="1" si="46"/>
        <v/>
      </c>
      <c r="J276" s="1808" t="str">
        <f t="shared" ca="1" si="46"/>
        <v/>
      </c>
      <c r="K276" s="1808" t="str">
        <f t="shared" ca="1" si="46"/>
        <v/>
      </c>
      <c r="L276" s="1808" t="str">
        <f t="shared" ref="D276:Q284" ca="1" si="49">IFERROR(VLOOKUP($B276,INDIRECT(L$1&amp;"!"&amp;"A:A"),1,0),"")</f>
        <v/>
      </c>
      <c r="M276" s="1808" t="str">
        <f t="shared" ca="1" si="49"/>
        <v/>
      </c>
      <c r="N276" s="1808" t="str">
        <f t="shared" ca="1" si="49"/>
        <v/>
      </c>
      <c r="O276" s="1808" t="str">
        <f t="shared" ca="1" si="49"/>
        <v/>
      </c>
      <c r="P276" s="1808" t="str">
        <f t="shared" ca="1" si="49"/>
        <v/>
      </c>
      <c r="Q276" s="1808" t="str">
        <f t="shared" ca="1" si="49"/>
        <v/>
      </c>
      <c r="R276" s="1808" t="str">
        <f t="shared" ca="1" si="48"/>
        <v/>
      </c>
      <c r="S276" s="1808" t="str">
        <f t="shared" ca="1" si="48"/>
        <v/>
      </c>
      <c r="T276" s="1808" t="str">
        <f t="shared" ca="1" si="48"/>
        <v/>
      </c>
      <c r="U276" s="1808" t="str">
        <f t="shared" ca="1" si="48"/>
        <v/>
      </c>
      <c r="V276" s="1808">
        <f t="shared" ca="1" si="47"/>
        <v>0</v>
      </c>
    </row>
    <row r="277" spans="2:36">
      <c r="B277" s="1808">
        <v>276</v>
      </c>
      <c r="C277" s="1808" t="str">
        <f t="shared" ca="1" si="46"/>
        <v/>
      </c>
      <c r="D277" s="1808" t="str">
        <f t="shared" ca="1" si="49"/>
        <v/>
      </c>
      <c r="E277" s="1808" t="str">
        <f t="shared" ca="1" si="49"/>
        <v/>
      </c>
      <c r="F277" s="1808" t="str">
        <f t="shared" ca="1" si="49"/>
        <v/>
      </c>
      <c r="G277" s="1808" t="str">
        <f t="shared" ca="1" si="49"/>
        <v/>
      </c>
      <c r="H277" s="1808" t="str">
        <f t="shared" ca="1" si="49"/>
        <v/>
      </c>
      <c r="I277" s="1808" t="str">
        <f t="shared" ca="1" si="49"/>
        <v/>
      </c>
      <c r="J277" s="1808" t="str">
        <f t="shared" ca="1" si="49"/>
        <v/>
      </c>
      <c r="K277" s="1808" t="str">
        <f t="shared" ca="1" si="49"/>
        <v/>
      </c>
      <c r="L277" s="1808" t="str">
        <f t="shared" ca="1" si="49"/>
        <v/>
      </c>
      <c r="M277" s="1808" t="str">
        <f t="shared" ca="1" si="49"/>
        <v/>
      </c>
      <c r="N277" s="1808" t="str">
        <f t="shared" ca="1" si="48"/>
        <v/>
      </c>
      <c r="O277" s="1808" t="str">
        <f t="shared" ca="1" si="48"/>
        <v/>
      </c>
      <c r="P277" s="1808" t="str">
        <f t="shared" ca="1" si="48"/>
        <v/>
      </c>
      <c r="Q277" s="1808" t="str">
        <f t="shared" ca="1" si="48"/>
        <v/>
      </c>
      <c r="R277" s="1808" t="str">
        <f t="shared" ca="1" si="48"/>
        <v/>
      </c>
      <c r="S277" s="1808" t="str">
        <f t="shared" ca="1" si="48"/>
        <v/>
      </c>
      <c r="T277" s="1808" t="str">
        <f t="shared" ca="1" si="48"/>
        <v/>
      </c>
      <c r="U277" s="1808" t="str">
        <f t="shared" ca="1" si="48"/>
        <v/>
      </c>
      <c r="V277" s="1808">
        <f t="shared" ca="1" si="47"/>
        <v>0</v>
      </c>
    </row>
    <row r="278" spans="2:36">
      <c r="B278" s="1808">
        <v>277</v>
      </c>
      <c r="C278" s="1808" t="str">
        <f t="shared" ca="1" si="46"/>
        <v/>
      </c>
      <c r="D278" s="1808" t="str">
        <f t="shared" ca="1" si="49"/>
        <v/>
      </c>
      <c r="E278" s="1808" t="str">
        <f t="shared" ca="1" si="49"/>
        <v/>
      </c>
      <c r="F278" s="1808" t="str">
        <f t="shared" ca="1" si="49"/>
        <v/>
      </c>
      <c r="G278" s="1808" t="str">
        <f t="shared" ca="1" si="49"/>
        <v/>
      </c>
      <c r="H278" s="1808" t="str">
        <f t="shared" ca="1" si="49"/>
        <v/>
      </c>
      <c r="I278" s="1808" t="str">
        <f t="shared" ca="1" si="49"/>
        <v/>
      </c>
      <c r="J278" s="1808" t="str">
        <f t="shared" ca="1" si="49"/>
        <v/>
      </c>
      <c r="K278" s="1808" t="str">
        <f t="shared" ca="1" si="49"/>
        <v/>
      </c>
      <c r="L278" s="1808" t="str">
        <f t="shared" ca="1" si="49"/>
        <v/>
      </c>
      <c r="M278" s="1808" t="str">
        <f t="shared" ca="1" si="49"/>
        <v/>
      </c>
      <c r="N278" s="1808" t="str">
        <f t="shared" ca="1" si="48"/>
        <v/>
      </c>
      <c r="O278" s="1808" t="str">
        <f t="shared" ca="1" si="48"/>
        <v/>
      </c>
      <c r="P278" s="1808" t="str">
        <f t="shared" ca="1" si="48"/>
        <v/>
      </c>
      <c r="Q278" s="1808" t="str">
        <f t="shared" ca="1" si="48"/>
        <v/>
      </c>
      <c r="R278" s="1808" t="str">
        <f t="shared" ca="1" si="48"/>
        <v/>
      </c>
      <c r="S278" s="1808" t="str">
        <f t="shared" ca="1" si="48"/>
        <v/>
      </c>
      <c r="T278" s="1808" t="str">
        <f t="shared" ca="1" si="48"/>
        <v/>
      </c>
      <c r="U278" s="1808" t="str">
        <f t="shared" ca="1" si="48"/>
        <v/>
      </c>
      <c r="V278" s="1808">
        <f t="shared" ca="1" si="47"/>
        <v>0</v>
      </c>
    </row>
    <row r="279" spans="2:36">
      <c r="B279" s="1808">
        <v>278</v>
      </c>
      <c r="C279" s="1808" t="str">
        <f t="shared" ca="1" si="46"/>
        <v/>
      </c>
      <c r="D279" s="1808" t="str">
        <f t="shared" ca="1" si="49"/>
        <v/>
      </c>
      <c r="E279" s="1808" t="str">
        <f t="shared" ca="1" si="49"/>
        <v/>
      </c>
      <c r="F279" s="1808" t="str">
        <f t="shared" ca="1" si="49"/>
        <v/>
      </c>
      <c r="G279" s="1808" t="str">
        <f t="shared" ca="1" si="49"/>
        <v/>
      </c>
      <c r="H279" s="1808" t="str">
        <f t="shared" ca="1" si="49"/>
        <v/>
      </c>
      <c r="I279" s="1808" t="str">
        <f t="shared" ca="1" si="49"/>
        <v/>
      </c>
      <c r="J279" s="1808" t="str">
        <f t="shared" ca="1" si="49"/>
        <v/>
      </c>
      <c r="K279" s="1808" t="str">
        <f t="shared" ca="1" si="49"/>
        <v/>
      </c>
      <c r="L279" s="1808" t="str">
        <f t="shared" ca="1" si="49"/>
        <v/>
      </c>
      <c r="M279" s="1808" t="str">
        <f t="shared" ca="1" si="49"/>
        <v/>
      </c>
      <c r="N279" s="1808" t="str">
        <f t="shared" ca="1" si="48"/>
        <v/>
      </c>
      <c r="O279" s="1808" t="str">
        <f t="shared" ca="1" si="48"/>
        <v/>
      </c>
      <c r="P279" s="1808" t="str">
        <f t="shared" ca="1" si="48"/>
        <v/>
      </c>
      <c r="Q279" s="1808" t="str">
        <f t="shared" ca="1" si="48"/>
        <v/>
      </c>
      <c r="R279" s="1808" t="str">
        <f t="shared" ca="1" si="48"/>
        <v/>
      </c>
      <c r="S279" s="1808" t="str">
        <f t="shared" ca="1" si="48"/>
        <v/>
      </c>
      <c r="T279" s="1808" t="str">
        <f t="shared" ca="1" si="48"/>
        <v/>
      </c>
      <c r="U279" s="1808" t="str">
        <f t="shared" ca="1" si="48"/>
        <v/>
      </c>
      <c r="V279" s="1808">
        <f t="shared" ca="1" si="47"/>
        <v>0</v>
      </c>
    </row>
    <row r="280" spans="2:36">
      <c r="B280" s="1808">
        <v>279</v>
      </c>
      <c r="C280" s="1808" t="str">
        <f t="shared" ca="1" si="46"/>
        <v/>
      </c>
      <c r="D280" s="1808" t="str">
        <f t="shared" ca="1" si="49"/>
        <v/>
      </c>
      <c r="E280" s="1808" t="str">
        <f t="shared" ca="1" si="49"/>
        <v/>
      </c>
      <c r="F280" s="1808" t="str">
        <f t="shared" ca="1" si="49"/>
        <v/>
      </c>
      <c r="G280" s="1808" t="str">
        <f t="shared" ca="1" si="49"/>
        <v/>
      </c>
      <c r="H280" s="1808" t="str">
        <f t="shared" ca="1" si="49"/>
        <v/>
      </c>
      <c r="I280" s="1808" t="str">
        <f t="shared" ca="1" si="49"/>
        <v/>
      </c>
      <c r="J280" s="1808" t="str">
        <f t="shared" ca="1" si="49"/>
        <v/>
      </c>
      <c r="K280" s="1808" t="str">
        <f t="shared" ca="1" si="49"/>
        <v/>
      </c>
      <c r="L280" s="1808" t="str">
        <f t="shared" ca="1" si="49"/>
        <v/>
      </c>
      <c r="M280" s="1808" t="str">
        <f t="shared" ca="1" si="49"/>
        <v/>
      </c>
      <c r="N280" s="1808" t="str">
        <f t="shared" ca="1" si="48"/>
        <v/>
      </c>
      <c r="O280" s="1808" t="str">
        <f t="shared" ca="1" si="48"/>
        <v/>
      </c>
      <c r="P280" s="1808" t="str">
        <f t="shared" ca="1" si="48"/>
        <v/>
      </c>
      <c r="Q280" s="1808" t="str">
        <f t="shared" ca="1" si="48"/>
        <v/>
      </c>
      <c r="R280" s="1808" t="str">
        <f t="shared" ca="1" si="48"/>
        <v/>
      </c>
      <c r="S280" s="1808" t="str">
        <f t="shared" ca="1" si="48"/>
        <v/>
      </c>
      <c r="T280" s="1808" t="str">
        <f t="shared" ca="1" si="48"/>
        <v/>
      </c>
      <c r="U280" s="1808" t="str">
        <f t="shared" ca="1" si="48"/>
        <v/>
      </c>
      <c r="V280" s="1808">
        <f t="shared" ca="1" si="47"/>
        <v>0</v>
      </c>
    </row>
    <row r="281" spans="2:36">
      <c r="B281" s="1808">
        <v>280</v>
      </c>
      <c r="C281" s="1808" t="str">
        <f t="shared" ca="1" si="46"/>
        <v/>
      </c>
      <c r="D281" s="1808" t="str">
        <f t="shared" ca="1" si="49"/>
        <v/>
      </c>
      <c r="E281" s="1808" t="str">
        <f t="shared" ca="1" si="49"/>
        <v/>
      </c>
      <c r="F281" s="1808" t="str">
        <f t="shared" ca="1" si="49"/>
        <v/>
      </c>
      <c r="G281" s="1808" t="str">
        <f t="shared" ca="1" si="49"/>
        <v/>
      </c>
      <c r="H281" s="1808" t="str">
        <f t="shared" ca="1" si="49"/>
        <v/>
      </c>
      <c r="I281" s="1808" t="str">
        <f t="shared" ca="1" si="49"/>
        <v/>
      </c>
      <c r="J281" s="1808" t="str">
        <f t="shared" ca="1" si="49"/>
        <v/>
      </c>
      <c r="K281" s="1808" t="str">
        <f t="shared" ca="1" si="49"/>
        <v/>
      </c>
      <c r="L281" s="1808" t="str">
        <f t="shared" ca="1" si="49"/>
        <v/>
      </c>
      <c r="M281" s="1808" t="str">
        <f t="shared" ca="1" si="49"/>
        <v/>
      </c>
      <c r="N281" s="1808" t="str">
        <f t="shared" ca="1" si="48"/>
        <v/>
      </c>
      <c r="O281" s="1808" t="str">
        <f t="shared" ca="1" si="48"/>
        <v/>
      </c>
      <c r="P281" s="1808" t="str">
        <f t="shared" ca="1" si="48"/>
        <v/>
      </c>
      <c r="Q281" s="1808" t="str">
        <f t="shared" ca="1" si="48"/>
        <v/>
      </c>
      <c r="R281" s="1808" t="str">
        <f t="shared" ca="1" si="48"/>
        <v/>
      </c>
      <c r="S281" s="1808" t="str">
        <f t="shared" ca="1" si="48"/>
        <v/>
      </c>
      <c r="T281" s="1808" t="str">
        <f t="shared" ca="1" si="48"/>
        <v/>
      </c>
      <c r="U281" s="1808" t="str">
        <f t="shared" ca="1" si="48"/>
        <v/>
      </c>
      <c r="V281" s="1808">
        <f t="shared" ca="1" si="47"/>
        <v>0</v>
      </c>
    </row>
    <row r="282" spans="2:36">
      <c r="B282" s="1808">
        <v>281</v>
      </c>
      <c r="C282" s="1808" t="str">
        <f t="shared" ca="1" si="46"/>
        <v/>
      </c>
      <c r="D282" s="1808" t="str">
        <f t="shared" ca="1" si="49"/>
        <v/>
      </c>
      <c r="E282" s="1808" t="str">
        <f t="shared" ca="1" si="49"/>
        <v/>
      </c>
      <c r="F282" s="1808" t="str">
        <f t="shared" ca="1" si="49"/>
        <v/>
      </c>
      <c r="G282" s="1808" t="str">
        <f t="shared" ca="1" si="49"/>
        <v/>
      </c>
      <c r="H282" s="1808" t="str">
        <f t="shared" ca="1" si="49"/>
        <v/>
      </c>
      <c r="I282" s="1808" t="str">
        <f t="shared" ca="1" si="49"/>
        <v/>
      </c>
      <c r="J282" s="1808" t="str">
        <f t="shared" ca="1" si="49"/>
        <v/>
      </c>
      <c r="K282" s="1808" t="str">
        <f t="shared" ca="1" si="49"/>
        <v/>
      </c>
      <c r="L282" s="1808" t="str">
        <f t="shared" ca="1" si="49"/>
        <v/>
      </c>
      <c r="M282" s="1808" t="str">
        <f t="shared" ca="1" si="49"/>
        <v/>
      </c>
      <c r="N282" s="1808" t="str">
        <f t="shared" ca="1" si="48"/>
        <v/>
      </c>
      <c r="O282" s="1808" t="str">
        <f t="shared" ca="1" si="48"/>
        <v/>
      </c>
      <c r="P282" s="1808" t="str">
        <f t="shared" ca="1" si="48"/>
        <v/>
      </c>
      <c r="Q282" s="1808" t="str">
        <f t="shared" ca="1" si="48"/>
        <v/>
      </c>
      <c r="R282" s="1808" t="str">
        <f t="shared" ca="1" si="48"/>
        <v/>
      </c>
      <c r="S282" s="1808" t="str">
        <f t="shared" ca="1" si="48"/>
        <v/>
      </c>
      <c r="T282" s="1808" t="str">
        <f t="shared" ca="1" si="48"/>
        <v/>
      </c>
      <c r="U282" s="1808" t="str">
        <f t="shared" ca="1" si="48"/>
        <v/>
      </c>
      <c r="V282" s="1808">
        <f t="shared" ca="1" si="47"/>
        <v>0</v>
      </c>
    </row>
    <row r="283" spans="2:36">
      <c r="B283" s="1808">
        <v>282</v>
      </c>
      <c r="C283" s="1808" t="str">
        <f t="shared" ca="1" si="46"/>
        <v/>
      </c>
      <c r="D283" s="1808" t="str">
        <f t="shared" ca="1" si="49"/>
        <v/>
      </c>
      <c r="E283" s="1808" t="str">
        <f t="shared" ca="1" si="49"/>
        <v/>
      </c>
      <c r="F283" s="1808" t="str">
        <f t="shared" ca="1" si="49"/>
        <v/>
      </c>
      <c r="G283" s="1808" t="str">
        <f t="shared" ca="1" si="49"/>
        <v/>
      </c>
      <c r="H283" s="1808" t="str">
        <f t="shared" ca="1" si="49"/>
        <v/>
      </c>
      <c r="I283" s="1808" t="str">
        <f t="shared" ca="1" si="49"/>
        <v/>
      </c>
      <c r="J283" s="1808" t="str">
        <f t="shared" ca="1" si="49"/>
        <v/>
      </c>
      <c r="K283" s="1808" t="str">
        <f t="shared" ca="1" si="49"/>
        <v/>
      </c>
      <c r="L283" s="1808" t="str">
        <f t="shared" ca="1" si="49"/>
        <v/>
      </c>
      <c r="M283" s="1808" t="str">
        <f t="shared" ca="1" si="49"/>
        <v/>
      </c>
      <c r="N283" s="1808" t="str">
        <f t="shared" ca="1" si="48"/>
        <v/>
      </c>
      <c r="O283" s="1808" t="str">
        <f t="shared" ca="1" si="48"/>
        <v/>
      </c>
      <c r="P283" s="1808" t="str">
        <f t="shared" ca="1" si="48"/>
        <v/>
      </c>
      <c r="Q283" s="1808" t="str">
        <f t="shared" ca="1" si="48"/>
        <v/>
      </c>
      <c r="R283" s="1808" t="str">
        <f t="shared" ca="1" si="48"/>
        <v/>
      </c>
      <c r="S283" s="1808" t="str">
        <f t="shared" ca="1" si="48"/>
        <v/>
      </c>
      <c r="T283" s="1808" t="str">
        <f t="shared" ca="1" si="48"/>
        <v/>
      </c>
      <c r="U283" s="1808" t="str">
        <f t="shared" ca="1" si="48"/>
        <v/>
      </c>
      <c r="V283" s="1808">
        <f t="shared" ca="1" si="47"/>
        <v>0</v>
      </c>
    </row>
    <row r="284" spans="2:36">
      <c r="B284" s="1808">
        <v>283</v>
      </c>
      <c r="C284" s="1808" t="str">
        <f t="shared" ca="1" si="46"/>
        <v/>
      </c>
      <c r="D284" s="1808" t="str">
        <f t="shared" ca="1" si="49"/>
        <v/>
      </c>
      <c r="E284" s="1808" t="str">
        <f t="shared" ca="1" si="49"/>
        <v/>
      </c>
      <c r="F284" s="1808" t="str">
        <f t="shared" ca="1" si="49"/>
        <v/>
      </c>
      <c r="G284" s="1808" t="str">
        <f t="shared" ca="1" si="49"/>
        <v/>
      </c>
      <c r="H284" s="1808" t="str">
        <f t="shared" ca="1" si="49"/>
        <v/>
      </c>
      <c r="I284" s="1808" t="str">
        <f t="shared" ca="1" si="49"/>
        <v/>
      </c>
      <c r="J284" s="1808" t="str">
        <f t="shared" ca="1" si="49"/>
        <v/>
      </c>
      <c r="K284" s="1808" t="str">
        <f t="shared" ca="1" si="49"/>
        <v/>
      </c>
      <c r="L284" s="1808" t="str">
        <f t="shared" ca="1" si="49"/>
        <v/>
      </c>
      <c r="M284" s="1808" t="str">
        <f t="shared" ca="1" si="49"/>
        <v/>
      </c>
      <c r="N284" s="1808" t="str">
        <f t="shared" ca="1" si="48"/>
        <v/>
      </c>
      <c r="O284" s="1808" t="str">
        <f t="shared" ca="1" si="48"/>
        <v/>
      </c>
      <c r="P284" s="1808" t="str">
        <f t="shared" ca="1" si="48"/>
        <v/>
      </c>
      <c r="Q284" s="1808" t="str">
        <f t="shared" ca="1" si="48"/>
        <v/>
      </c>
      <c r="R284" s="1808" t="str">
        <f t="shared" ca="1" si="48"/>
        <v/>
      </c>
      <c r="S284" s="1808" t="str">
        <f t="shared" ca="1" si="48"/>
        <v/>
      </c>
      <c r="T284" s="1808" t="str">
        <f t="shared" ca="1" si="48"/>
        <v/>
      </c>
      <c r="U284" s="1808" t="str">
        <f t="shared" ca="1" si="48"/>
        <v/>
      </c>
      <c r="V284" s="1808">
        <f t="shared" ca="1" si="47"/>
        <v>0</v>
      </c>
    </row>
    <row r="285" spans="2:36">
      <c r="B285" t="s">
        <v>238</v>
      </c>
      <c r="C285" s="1808" t="s">
        <v>238</v>
      </c>
      <c r="D285" s="1808" t="s">
        <v>238</v>
      </c>
      <c r="E285" s="1808" t="s">
        <v>238</v>
      </c>
      <c r="F285" s="1808" t="s">
        <v>238</v>
      </c>
      <c r="G285" s="1808" t="s">
        <v>238</v>
      </c>
      <c r="H285" s="1808" t="s">
        <v>238</v>
      </c>
      <c r="I285" s="1808" t="s">
        <v>238</v>
      </c>
      <c r="J285" s="1808" t="s">
        <v>238</v>
      </c>
      <c r="K285" s="1808" t="s">
        <v>238</v>
      </c>
      <c r="L285" s="1808" t="s">
        <v>238</v>
      </c>
      <c r="M285" s="1808" t="s">
        <v>238</v>
      </c>
      <c r="N285" s="1808" t="s">
        <v>238</v>
      </c>
      <c r="O285" s="1808" t="s">
        <v>238</v>
      </c>
      <c r="P285" s="1808" t="s">
        <v>238</v>
      </c>
      <c r="Q285" s="1808" t="s">
        <v>238</v>
      </c>
      <c r="R285" s="1808" t="s">
        <v>238</v>
      </c>
      <c r="S285" s="1808" t="s">
        <v>238</v>
      </c>
      <c r="T285" s="1808" t="s">
        <v>238</v>
      </c>
      <c r="V285" s="1808" t="s">
        <v>238</v>
      </c>
      <c r="W285" s="1808" t="s">
        <v>238</v>
      </c>
      <c r="X285" s="1808" t="s">
        <v>238</v>
      </c>
      <c r="Y285" s="1808" t="s">
        <v>238</v>
      </c>
      <c r="Z285" s="1808" t="s">
        <v>238</v>
      </c>
      <c r="AA285" s="1808" t="s">
        <v>238</v>
      </c>
      <c r="AB285" s="1808" t="s">
        <v>238</v>
      </c>
      <c r="AC285" s="1808" t="s">
        <v>238</v>
      </c>
      <c r="AD285" s="1808" t="s">
        <v>238</v>
      </c>
      <c r="AE285" s="1808" t="s">
        <v>238</v>
      </c>
      <c r="AF285" s="1808" t="s">
        <v>238</v>
      </c>
      <c r="AG285" s="1808" t="s">
        <v>238</v>
      </c>
      <c r="AH285" s="1808" t="s">
        <v>238</v>
      </c>
      <c r="AI285" s="1808" t="s">
        <v>238</v>
      </c>
      <c r="AJ285" s="1808" t="s">
        <v>238</v>
      </c>
    </row>
  </sheetData>
  <conditionalFormatting sqref="V2:V284">
    <cfRule type="cellIs" dxfId="1" priority="1" operator="equal">
      <formula>0</formula>
    </cfRule>
    <cfRule type="cellIs" dxfId="0" priority="2" operator="greaterThan">
      <formula>1</formula>
    </cfRule>
  </conditionalFormatting>
  <hyperlinks>
    <hyperlink ref="A1" location="CUPRINS!A1" display="CUPRINS" xr:uid="{00000000-0004-0000-2400-000000000000}"/>
  </hyperlinks>
  <pageMargins left="0.7" right="0.7" top="0.75" bottom="0.75" header="0.3" footer="0.3"/>
</worksheet>
</file>

<file path=xl/worksheets/sheet3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H30"/>
  <sheetViews>
    <sheetView topLeftCell="B1" workbookViewId="0">
      <selection activeCell="C1" sqref="C1:H1"/>
    </sheetView>
  </sheetViews>
  <sheetFormatPr baseColWidth="10" defaultColWidth="8.83203125" defaultRowHeight="15"/>
  <cols>
    <col min="4" max="4" width="59.33203125" bestFit="1" customWidth="1"/>
    <col min="5" max="5" width="6.5" style="1808" customWidth="1"/>
    <col min="6" max="6" width="26.33203125" customWidth="1"/>
    <col min="7" max="7" width="79" bestFit="1" customWidth="1"/>
    <col min="8" max="8" width="20.83203125" bestFit="1" customWidth="1"/>
  </cols>
  <sheetData>
    <row r="1" spans="2:8">
      <c r="B1" s="1836" t="s">
        <v>356</v>
      </c>
      <c r="C1" s="1080" t="s">
        <v>3206</v>
      </c>
      <c r="D1" s="1834" t="s">
        <v>3199</v>
      </c>
      <c r="E1" s="1834" t="s">
        <v>3201</v>
      </c>
      <c r="F1" s="1834" t="s">
        <v>3200</v>
      </c>
      <c r="G1" s="1833" t="s">
        <v>3202</v>
      </c>
      <c r="H1" s="1833" t="s">
        <v>3203</v>
      </c>
    </row>
    <row r="2" spans="2:8">
      <c r="C2" s="958" t="s">
        <v>2013</v>
      </c>
      <c r="D2" s="958" t="s">
        <v>2923</v>
      </c>
      <c r="E2" s="1039">
        <v>1</v>
      </c>
      <c r="F2" s="1039" t="s">
        <v>3204</v>
      </c>
      <c r="G2" s="958" t="str">
        <f>LEFT(D2,6)&amp;E2&amp;"."&amp;F2</f>
        <v>1.1.1.1.Examinarea persoanelor din grupurile cu risc sporit TB</v>
      </c>
    </row>
    <row r="3" spans="2:8">
      <c r="C3" s="958" t="s">
        <v>2013</v>
      </c>
      <c r="D3" s="958" t="s">
        <v>2992</v>
      </c>
      <c r="E3" s="1039">
        <v>2</v>
      </c>
      <c r="F3" s="1039" t="s">
        <v>3205</v>
      </c>
      <c r="G3" s="958" t="str">
        <f t="shared" ref="G3:G30" si="0">LEFT(D3,6)&amp;E3&amp;"."&amp;F3</f>
        <v>1.1.2.2.Examinarea persoanelor din contact cu bolnavii de TB</v>
      </c>
      <c r="H3" s="958"/>
    </row>
    <row r="4" spans="2:8">
      <c r="C4" s="958" t="s">
        <v>2013</v>
      </c>
      <c r="D4" s="958" t="s">
        <v>2924</v>
      </c>
      <c r="E4" s="1039">
        <v>3</v>
      </c>
      <c r="F4" s="1039" t="s">
        <v>3207</v>
      </c>
      <c r="G4" s="958" t="str">
        <f t="shared" si="0"/>
        <v xml:space="preserve">1.1.3.3.Examinarea prin investigatii radiologice a persoanelor din grupurile cu vigilenta sporita </v>
      </c>
      <c r="H4" s="958"/>
    </row>
    <row r="5" spans="2:8">
      <c r="C5" s="958"/>
      <c r="D5" s="958"/>
      <c r="E5" s="1039"/>
      <c r="F5" s="1039"/>
      <c r="G5" s="958" t="str">
        <f t="shared" si="0"/>
        <v>.</v>
      </c>
      <c r="H5" s="958"/>
    </row>
    <row r="6" spans="2:8">
      <c r="C6" s="958"/>
      <c r="D6" s="958"/>
      <c r="E6" s="1039"/>
      <c r="F6" s="1039"/>
      <c r="G6" s="958" t="str">
        <f t="shared" si="0"/>
        <v>.</v>
      </c>
      <c r="H6" s="958"/>
    </row>
    <row r="7" spans="2:8">
      <c r="C7" s="958"/>
      <c r="D7" s="958"/>
      <c r="E7" s="1039"/>
      <c r="F7" s="1039"/>
      <c r="G7" s="958" t="str">
        <f t="shared" si="0"/>
        <v>.</v>
      </c>
      <c r="H7" s="958"/>
    </row>
    <row r="8" spans="2:8">
      <c r="C8" s="958"/>
      <c r="D8" s="958"/>
      <c r="E8" s="1039"/>
      <c r="F8" s="1039"/>
      <c r="G8" s="958" t="str">
        <f t="shared" si="0"/>
        <v>.</v>
      </c>
      <c r="H8" s="958"/>
    </row>
    <row r="9" spans="2:8">
      <c r="C9" s="958"/>
      <c r="D9" s="958"/>
      <c r="E9" s="1039"/>
      <c r="F9" s="1039"/>
      <c r="G9" s="958" t="str">
        <f t="shared" si="0"/>
        <v>.</v>
      </c>
      <c r="H9" s="958"/>
    </row>
    <row r="10" spans="2:8">
      <c r="C10" s="958"/>
      <c r="D10" s="958"/>
      <c r="E10" s="1039"/>
      <c r="F10" s="1039"/>
      <c r="G10" s="958" t="str">
        <f t="shared" si="0"/>
        <v>.</v>
      </c>
      <c r="H10" s="958"/>
    </row>
    <row r="11" spans="2:8">
      <c r="C11" s="958"/>
      <c r="D11" s="958"/>
      <c r="E11" s="1039"/>
      <c r="F11" s="1039"/>
      <c r="G11" s="958" t="str">
        <f t="shared" si="0"/>
        <v>.</v>
      </c>
      <c r="H11" s="958"/>
    </row>
    <row r="12" spans="2:8">
      <c r="C12" s="958"/>
      <c r="D12" s="958"/>
      <c r="E12" s="1039"/>
      <c r="F12" s="1039"/>
      <c r="G12" s="958" t="str">
        <f t="shared" si="0"/>
        <v>.</v>
      </c>
      <c r="H12" s="958"/>
    </row>
    <row r="13" spans="2:8">
      <c r="C13" s="958"/>
      <c r="D13" s="958"/>
      <c r="E13" s="1039"/>
      <c r="F13" s="1039"/>
      <c r="G13" s="958" t="str">
        <f t="shared" si="0"/>
        <v>.</v>
      </c>
      <c r="H13" s="958"/>
    </row>
    <row r="14" spans="2:8">
      <c r="C14" s="958"/>
      <c r="D14" s="958"/>
      <c r="E14" s="1039"/>
      <c r="F14" s="1039"/>
      <c r="G14" s="958" t="str">
        <f t="shared" si="0"/>
        <v>.</v>
      </c>
      <c r="H14" s="958"/>
    </row>
    <row r="15" spans="2:8">
      <c r="C15" s="958"/>
      <c r="D15" s="958"/>
      <c r="E15" s="1039"/>
      <c r="F15" s="1039"/>
      <c r="G15" s="958" t="str">
        <f t="shared" si="0"/>
        <v>.</v>
      </c>
      <c r="H15" s="958"/>
    </row>
    <row r="16" spans="2:8">
      <c r="C16" s="958"/>
      <c r="D16" s="958"/>
      <c r="E16" s="1039"/>
      <c r="F16" s="1039"/>
      <c r="G16" s="958" t="str">
        <f t="shared" si="0"/>
        <v>.</v>
      </c>
      <c r="H16" s="958"/>
    </row>
    <row r="17" spans="3:8">
      <c r="C17" s="958"/>
      <c r="D17" s="958"/>
      <c r="E17" s="1039"/>
      <c r="F17" s="1039"/>
      <c r="G17" s="958" t="str">
        <f t="shared" si="0"/>
        <v>.</v>
      </c>
      <c r="H17" s="958"/>
    </row>
    <row r="18" spans="3:8">
      <c r="C18" s="958"/>
      <c r="D18" s="958"/>
      <c r="E18" s="1039"/>
      <c r="F18" s="1039"/>
      <c r="G18" s="958" t="str">
        <f t="shared" si="0"/>
        <v>.</v>
      </c>
      <c r="H18" s="958"/>
    </row>
    <row r="19" spans="3:8">
      <c r="C19" s="958"/>
      <c r="D19" s="958"/>
      <c r="E19" s="1039"/>
      <c r="F19" s="1039"/>
      <c r="G19" s="958" t="str">
        <f t="shared" si="0"/>
        <v>.</v>
      </c>
      <c r="H19" s="958"/>
    </row>
    <row r="20" spans="3:8">
      <c r="C20" s="958"/>
      <c r="D20" s="958"/>
      <c r="E20" s="1039"/>
      <c r="F20" s="1039"/>
      <c r="G20" s="958" t="str">
        <f t="shared" si="0"/>
        <v>.</v>
      </c>
      <c r="H20" s="958"/>
    </row>
    <row r="21" spans="3:8">
      <c r="C21" s="958"/>
      <c r="D21" s="958"/>
      <c r="E21" s="1039"/>
      <c r="F21" s="1039"/>
      <c r="G21" s="958" t="str">
        <f t="shared" si="0"/>
        <v>.</v>
      </c>
      <c r="H21" s="958"/>
    </row>
    <row r="22" spans="3:8">
      <c r="C22" s="958"/>
      <c r="D22" s="958"/>
      <c r="E22" s="1039"/>
      <c r="F22" s="1039"/>
      <c r="G22" s="958" t="str">
        <f t="shared" si="0"/>
        <v>.</v>
      </c>
      <c r="H22" s="958"/>
    </row>
    <row r="23" spans="3:8">
      <c r="C23" s="958"/>
      <c r="D23" s="958"/>
      <c r="E23" s="1039"/>
      <c r="F23" s="1039"/>
      <c r="G23" s="958" t="str">
        <f t="shared" si="0"/>
        <v>.</v>
      </c>
      <c r="H23" s="958"/>
    </row>
    <row r="24" spans="3:8">
      <c r="C24" s="958"/>
      <c r="D24" s="958"/>
      <c r="E24" s="1039"/>
      <c r="F24" s="1039"/>
      <c r="G24" s="958" t="str">
        <f t="shared" si="0"/>
        <v>.</v>
      </c>
      <c r="H24" s="958"/>
    </row>
    <row r="25" spans="3:8">
      <c r="C25" s="958"/>
      <c r="D25" s="958"/>
      <c r="E25" s="1039"/>
      <c r="F25" s="1039"/>
      <c r="G25" s="958" t="str">
        <f t="shared" si="0"/>
        <v>.</v>
      </c>
      <c r="H25" s="958"/>
    </row>
    <row r="26" spans="3:8">
      <c r="C26" s="958"/>
      <c r="D26" s="958"/>
      <c r="E26" s="1039"/>
      <c r="F26" s="1039"/>
      <c r="G26" s="958" t="str">
        <f t="shared" si="0"/>
        <v>.</v>
      </c>
      <c r="H26" s="958"/>
    </row>
    <row r="27" spans="3:8">
      <c r="C27" s="958"/>
      <c r="D27" s="958"/>
      <c r="E27" s="1039"/>
      <c r="F27" s="1039"/>
      <c r="G27" s="958" t="str">
        <f t="shared" si="0"/>
        <v>.</v>
      </c>
      <c r="H27" s="958"/>
    </row>
    <row r="28" spans="3:8">
      <c r="C28" s="958"/>
      <c r="D28" s="958"/>
      <c r="E28" s="958"/>
      <c r="F28" s="958"/>
      <c r="G28" s="958" t="str">
        <f t="shared" si="0"/>
        <v>.</v>
      </c>
      <c r="H28" s="958"/>
    </row>
    <row r="29" spans="3:8">
      <c r="C29" s="958"/>
      <c r="D29" s="958"/>
      <c r="E29" s="958"/>
      <c r="F29" s="958"/>
      <c r="G29" s="958" t="str">
        <f t="shared" si="0"/>
        <v>.</v>
      </c>
      <c r="H29" s="958"/>
    </row>
    <row r="30" spans="3:8">
      <c r="C30" s="958"/>
      <c r="D30" s="958"/>
      <c r="E30" s="958"/>
      <c r="F30" s="958"/>
      <c r="G30" s="958" t="str">
        <f t="shared" si="0"/>
        <v>.</v>
      </c>
      <c r="H30" s="958"/>
    </row>
  </sheetData>
  <dataValidations count="1">
    <dataValidation type="list" allowBlank="1" showInputMessage="1" showErrorMessage="1" sqref="C2:C30" xr:uid="{00000000-0002-0000-2500-000000000000}">
      <formula1>Book_sheet</formula1>
    </dataValidation>
  </dataValidations>
  <hyperlinks>
    <hyperlink ref="B1" location="CUPRINS!A1" display="CUPRINS" xr:uid="{00000000-0004-0000-25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1000000}">
          <x14:formula1>
            <xm:f>Nom_activ_2!$H$2:$H$83</xm:f>
          </x14:formula1>
          <xm:sqref>D2:D22</xm:sqref>
        </x14:dataValidation>
      </x14:dataValidations>
    </ext>
  </extLst>
</worksheet>
</file>

<file path=xl/worksheets/sheet3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D83"/>
  <sheetViews>
    <sheetView workbookViewId="0">
      <selection activeCell="D1" sqref="D1:D1048576"/>
    </sheetView>
  </sheetViews>
  <sheetFormatPr baseColWidth="10" defaultColWidth="8.83203125" defaultRowHeight="15"/>
  <cols>
    <col min="2" max="2" width="15.5" bestFit="1" customWidth="1"/>
    <col min="3" max="3" width="23.83203125" bestFit="1" customWidth="1"/>
    <col min="4" max="4" width="23.5" bestFit="1" customWidth="1"/>
  </cols>
  <sheetData>
    <row r="1" spans="2:4">
      <c r="B1" s="1834" t="s">
        <v>3852</v>
      </c>
      <c r="C1" s="1833" t="s">
        <v>3199</v>
      </c>
      <c r="D1" s="1833" t="s">
        <v>3853</v>
      </c>
    </row>
    <row r="2" spans="2:4">
      <c r="B2" t="s">
        <v>3742</v>
      </c>
      <c r="C2" t="s">
        <v>3743</v>
      </c>
      <c r="D2" t="s">
        <v>3744</v>
      </c>
    </row>
    <row r="3" spans="2:4">
      <c r="B3" t="s">
        <v>3742</v>
      </c>
      <c r="C3" t="s">
        <v>3743</v>
      </c>
      <c r="D3" t="s">
        <v>3745</v>
      </c>
    </row>
    <row r="4" spans="2:4">
      <c r="B4" t="s">
        <v>3742</v>
      </c>
      <c r="C4" t="s">
        <v>3743</v>
      </c>
      <c r="D4" t="s">
        <v>3746</v>
      </c>
    </row>
    <row r="5" spans="2:4">
      <c r="B5" t="s">
        <v>3742</v>
      </c>
      <c r="C5" t="s">
        <v>3743</v>
      </c>
      <c r="D5" t="s">
        <v>3747</v>
      </c>
    </row>
    <row r="6" spans="2:4">
      <c r="B6" t="s">
        <v>3742</v>
      </c>
      <c r="C6" t="s">
        <v>3743</v>
      </c>
      <c r="D6" t="s">
        <v>3748</v>
      </c>
    </row>
    <row r="7" spans="2:4">
      <c r="B7" t="s">
        <v>3749</v>
      </c>
      <c r="C7" t="s">
        <v>3750</v>
      </c>
      <c r="D7" t="s">
        <v>3751</v>
      </c>
    </row>
    <row r="8" spans="2:4">
      <c r="B8" t="s">
        <v>3749</v>
      </c>
      <c r="C8" t="s">
        <v>3752</v>
      </c>
      <c r="D8" t="s">
        <v>3753</v>
      </c>
    </row>
    <row r="9" spans="2:4">
      <c r="B9" t="s">
        <v>3749</v>
      </c>
      <c r="C9" t="s">
        <v>3752</v>
      </c>
      <c r="D9" t="s">
        <v>3754</v>
      </c>
    </row>
    <row r="10" spans="2:4">
      <c r="B10" t="s">
        <v>3749</v>
      </c>
      <c r="C10" t="s">
        <v>3752</v>
      </c>
      <c r="D10" t="s">
        <v>3755</v>
      </c>
    </row>
    <row r="11" spans="2:4">
      <c r="B11" t="s">
        <v>3749</v>
      </c>
      <c r="C11" t="s">
        <v>3756</v>
      </c>
      <c r="D11" t="s">
        <v>3757</v>
      </c>
    </row>
    <row r="12" spans="2:4">
      <c r="B12" t="s">
        <v>3749</v>
      </c>
      <c r="C12" t="s">
        <v>3756</v>
      </c>
      <c r="D12" t="s">
        <v>3758</v>
      </c>
    </row>
    <row r="13" spans="2:4">
      <c r="B13" t="s">
        <v>3749</v>
      </c>
      <c r="C13" t="s">
        <v>3756</v>
      </c>
      <c r="D13" t="s">
        <v>3759</v>
      </c>
    </row>
    <row r="14" spans="2:4">
      <c r="B14" t="s">
        <v>3760</v>
      </c>
      <c r="C14" t="s">
        <v>3761</v>
      </c>
      <c r="D14" t="s">
        <v>3762</v>
      </c>
    </row>
    <row r="15" spans="2:4">
      <c r="B15" t="s">
        <v>3760</v>
      </c>
      <c r="C15" t="s">
        <v>3761</v>
      </c>
      <c r="D15" t="s">
        <v>3763</v>
      </c>
    </row>
    <row r="16" spans="2:4">
      <c r="B16" t="s">
        <v>3760</v>
      </c>
      <c r="C16" t="s">
        <v>3761</v>
      </c>
      <c r="D16" t="s">
        <v>3764</v>
      </c>
    </row>
    <row r="17" spans="2:4">
      <c r="B17" t="s">
        <v>3760</v>
      </c>
      <c r="C17" t="s">
        <v>3761</v>
      </c>
      <c r="D17" t="s">
        <v>3765</v>
      </c>
    </row>
    <row r="18" spans="2:4">
      <c r="B18" t="s">
        <v>3760</v>
      </c>
      <c r="C18" t="s">
        <v>3761</v>
      </c>
      <c r="D18" t="s">
        <v>3766</v>
      </c>
    </row>
    <row r="19" spans="2:4">
      <c r="B19" t="s">
        <v>3760</v>
      </c>
      <c r="C19" t="s">
        <v>3767</v>
      </c>
      <c r="D19" t="s">
        <v>3768</v>
      </c>
    </row>
    <row r="20" spans="2:4">
      <c r="B20" t="s">
        <v>3760</v>
      </c>
      <c r="C20" t="s">
        <v>3767</v>
      </c>
      <c r="D20" t="s">
        <v>3769</v>
      </c>
    </row>
    <row r="21" spans="2:4">
      <c r="B21" t="s">
        <v>3760</v>
      </c>
      <c r="C21" t="s">
        <v>3767</v>
      </c>
      <c r="D21" t="s">
        <v>3770</v>
      </c>
    </row>
    <row r="22" spans="2:4">
      <c r="B22" t="s">
        <v>3760</v>
      </c>
      <c r="C22" t="s">
        <v>3771</v>
      </c>
      <c r="D22" t="s">
        <v>3772</v>
      </c>
    </row>
    <row r="23" spans="2:4">
      <c r="B23" t="s">
        <v>3760</v>
      </c>
      <c r="C23" t="s">
        <v>3771</v>
      </c>
      <c r="D23" t="s">
        <v>3773</v>
      </c>
    </row>
    <row r="24" spans="2:4">
      <c r="B24" t="s">
        <v>3760</v>
      </c>
      <c r="C24" t="s">
        <v>3771</v>
      </c>
      <c r="D24" t="s">
        <v>3774</v>
      </c>
    </row>
    <row r="25" spans="2:4">
      <c r="B25" t="s">
        <v>3760</v>
      </c>
      <c r="C25" t="s">
        <v>3771</v>
      </c>
      <c r="D25" t="s">
        <v>3775</v>
      </c>
    </row>
    <row r="26" spans="2:4">
      <c r="B26" t="s">
        <v>3776</v>
      </c>
      <c r="C26" t="s">
        <v>3777</v>
      </c>
      <c r="D26" t="s">
        <v>3778</v>
      </c>
    </row>
    <row r="27" spans="2:4">
      <c r="B27" t="s">
        <v>3776</v>
      </c>
      <c r="C27" t="s">
        <v>3777</v>
      </c>
      <c r="D27" t="s">
        <v>3779</v>
      </c>
    </row>
    <row r="28" spans="2:4">
      <c r="B28" t="s">
        <v>3776</v>
      </c>
      <c r="C28" t="s">
        <v>3777</v>
      </c>
      <c r="D28" t="s">
        <v>3780</v>
      </c>
    </row>
    <row r="29" spans="2:4">
      <c r="B29" t="s">
        <v>3776</v>
      </c>
      <c r="C29" t="s">
        <v>3777</v>
      </c>
      <c r="D29" t="s">
        <v>3781</v>
      </c>
    </row>
    <row r="30" spans="2:4">
      <c r="B30" t="s">
        <v>3776</v>
      </c>
      <c r="C30" t="s">
        <v>3777</v>
      </c>
      <c r="D30" t="s">
        <v>3782</v>
      </c>
    </row>
    <row r="31" spans="2:4">
      <c r="B31" t="s">
        <v>3776</v>
      </c>
      <c r="C31" t="s">
        <v>3777</v>
      </c>
      <c r="D31" t="s">
        <v>3783</v>
      </c>
    </row>
    <row r="32" spans="2:4">
      <c r="B32" t="s">
        <v>3776</v>
      </c>
      <c r="C32" t="s">
        <v>3777</v>
      </c>
      <c r="D32" t="s">
        <v>3784</v>
      </c>
    </row>
    <row r="33" spans="2:4">
      <c r="B33" t="s">
        <v>3776</v>
      </c>
      <c r="C33" t="s">
        <v>3777</v>
      </c>
      <c r="D33" t="s">
        <v>3785</v>
      </c>
    </row>
    <row r="34" spans="2:4">
      <c r="B34" t="s">
        <v>3776</v>
      </c>
      <c r="C34" t="s">
        <v>3786</v>
      </c>
      <c r="D34" t="s">
        <v>3787</v>
      </c>
    </row>
    <row r="35" spans="2:4">
      <c r="B35" t="s">
        <v>3776</v>
      </c>
      <c r="C35" t="s">
        <v>3786</v>
      </c>
      <c r="D35" t="s">
        <v>3788</v>
      </c>
    </row>
    <row r="36" spans="2:4">
      <c r="B36" t="s">
        <v>3776</v>
      </c>
      <c r="C36" t="s">
        <v>3786</v>
      </c>
      <c r="D36" t="s">
        <v>3789</v>
      </c>
    </row>
    <row r="37" spans="2:4">
      <c r="B37" t="s">
        <v>3790</v>
      </c>
      <c r="C37" t="s">
        <v>3791</v>
      </c>
      <c r="D37" t="s">
        <v>3792</v>
      </c>
    </row>
    <row r="38" spans="2:4">
      <c r="B38" t="s">
        <v>3790</v>
      </c>
      <c r="C38" t="s">
        <v>3791</v>
      </c>
      <c r="D38" t="s">
        <v>3793</v>
      </c>
    </row>
    <row r="39" spans="2:4">
      <c r="B39" t="s">
        <v>3790</v>
      </c>
      <c r="C39" t="s">
        <v>3791</v>
      </c>
      <c r="D39" t="s">
        <v>3794</v>
      </c>
    </row>
    <row r="40" spans="2:4">
      <c r="B40" t="s">
        <v>3790</v>
      </c>
      <c r="C40" t="s">
        <v>3791</v>
      </c>
      <c r="D40" t="s">
        <v>3795</v>
      </c>
    </row>
    <row r="41" spans="2:4">
      <c r="B41" t="s">
        <v>3790</v>
      </c>
      <c r="C41" t="s">
        <v>3791</v>
      </c>
      <c r="D41" t="s">
        <v>3796</v>
      </c>
    </row>
    <row r="42" spans="2:4">
      <c r="B42" t="s">
        <v>3790</v>
      </c>
      <c r="C42" t="s">
        <v>3791</v>
      </c>
      <c r="D42" t="s">
        <v>3797</v>
      </c>
    </row>
    <row r="43" spans="2:4">
      <c r="B43" t="s">
        <v>3790</v>
      </c>
      <c r="C43" t="s">
        <v>3798</v>
      </c>
      <c r="D43" t="s">
        <v>3799</v>
      </c>
    </row>
    <row r="44" spans="2:4">
      <c r="B44" t="s">
        <v>3790</v>
      </c>
      <c r="C44" t="s">
        <v>3798</v>
      </c>
      <c r="D44" t="s">
        <v>3800</v>
      </c>
    </row>
    <row r="45" spans="2:4">
      <c r="B45" t="s">
        <v>3790</v>
      </c>
      <c r="C45" t="s">
        <v>3798</v>
      </c>
      <c r="D45" t="s">
        <v>3801</v>
      </c>
    </row>
    <row r="46" spans="2:4">
      <c r="B46" t="s">
        <v>3790</v>
      </c>
      <c r="C46" t="s">
        <v>3802</v>
      </c>
      <c r="D46" t="s">
        <v>3803</v>
      </c>
    </row>
    <row r="47" spans="2:4">
      <c r="B47" t="s">
        <v>3804</v>
      </c>
      <c r="C47" t="s">
        <v>3805</v>
      </c>
      <c r="D47" t="s">
        <v>3806</v>
      </c>
    </row>
    <row r="48" spans="2:4">
      <c r="B48" t="s">
        <v>3804</v>
      </c>
      <c r="C48" t="s">
        <v>3805</v>
      </c>
      <c r="D48" t="s">
        <v>3807</v>
      </c>
    </row>
    <row r="49" spans="2:4">
      <c r="B49" t="s">
        <v>3804</v>
      </c>
      <c r="C49" t="s">
        <v>3805</v>
      </c>
      <c r="D49" t="s">
        <v>3808</v>
      </c>
    </row>
    <row r="50" spans="2:4">
      <c r="B50" t="s">
        <v>3804</v>
      </c>
      <c r="C50" t="s">
        <v>3805</v>
      </c>
      <c r="D50" t="s">
        <v>3809</v>
      </c>
    </row>
    <row r="51" spans="2:4">
      <c r="B51" t="s">
        <v>3804</v>
      </c>
      <c r="C51" t="s">
        <v>3810</v>
      </c>
      <c r="D51" t="s">
        <v>3811</v>
      </c>
    </row>
    <row r="52" spans="2:4">
      <c r="B52" t="s">
        <v>3804</v>
      </c>
      <c r="C52" t="s">
        <v>3810</v>
      </c>
      <c r="D52" t="s">
        <v>3812</v>
      </c>
    </row>
    <row r="53" spans="2:4">
      <c r="B53" t="s">
        <v>3804</v>
      </c>
      <c r="C53" t="s">
        <v>3810</v>
      </c>
      <c r="D53" t="s">
        <v>3813</v>
      </c>
    </row>
    <row r="54" spans="2:4">
      <c r="B54" t="s">
        <v>3804</v>
      </c>
      <c r="C54" t="s">
        <v>3810</v>
      </c>
      <c r="D54" t="s">
        <v>3814</v>
      </c>
    </row>
    <row r="55" spans="2:4">
      <c r="B55" t="s">
        <v>3804</v>
      </c>
      <c r="C55" t="s">
        <v>3810</v>
      </c>
      <c r="D55" t="s">
        <v>3815</v>
      </c>
    </row>
    <row r="56" spans="2:4">
      <c r="B56" t="s">
        <v>3804</v>
      </c>
      <c r="C56" t="s">
        <v>3810</v>
      </c>
      <c r="D56" t="s">
        <v>3816</v>
      </c>
    </row>
    <row r="57" spans="2:4">
      <c r="B57" t="s">
        <v>3804</v>
      </c>
      <c r="C57" t="s">
        <v>3810</v>
      </c>
      <c r="D57" t="s">
        <v>3817</v>
      </c>
    </row>
    <row r="58" spans="2:4">
      <c r="B58" t="s">
        <v>3804</v>
      </c>
      <c r="C58" t="s">
        <v>3818</v>
      </c>
      <c r="D58" t="s">
        <v>3819</v>
      </c>
    </row>
    <row r="59" spans="2:4">
      <c r="B59" t="s">
        <v>3804</v>
      </c>
      <c r="C59" t="s">
        <v>3818</v>
      </c>
      <c r="D59" t="s">
        <v>3820</v>
      </c>
    </row>
    <row r="60" spans="2:4">
      <c r="B60" t="s">
        <v>3804</v>
      </c>
      <c r="C60" t="s">
        <v>3818</v>
      </c>
      <c r="D60" t="s">
        <v>3821</v>
      </c>
    </row>
    <row r="61" spans="2:4">
      <c r="B61" t="s">
        <v>3804</v>
      </c>
      <c r="C61" t="s">
        <v>3818</v>
      </c>
      <c r="D61" t="s">
        <v>3822</v>
      </c>
    </row>
    <row r="62" spans="2:4">
      <c r="B62" t="s">
        <v>3804</v>
      </c>
      <c r="C62" t="s">
        <v>3818</v>
      </c>
      <c r="D62" t="s">
        <v>3823</v>
      </c>
    </row>
    <row r="63" spans="2:4">
      <c r="B63" t="s">
        <v>3804</v>
      </c>
      <c r="C63" t="s">
        <v>3818</v>
      </c>
      <c r="D63" t="s">
        <v>3824</v>
      </c>
    </row>
    <row r="64" spans="2:4">
      <c r="B64" t="s">
        <v>3804</v>
      </c>
      <c r="C64" t="s">
        <v>3825</v>
      </c>
      <c r="D64" t="s">
        <v>3826</v>
      </c>
    </row>
    <row r="65" spans="2:4">
      <c r="B65" t="s">
        <v>3804</v>
      </c>
      <c r="C65" t="s">
        <v>3825</v>
      </c>
      <c r="D65" t="s">
        <v>3827</v>
      </c>
    </row>
    <row r="66" spans="2:4">
      <c r="B66" t="s">
        <v>3804</v>
      </c>
      <c r="C66" t="s">
        <v>3825</v>
      </c>
      <c r="D66" t="s">
        <v>3828</v>
      </c>
    </row>
    <row r="67" spans="2:4">
      <c r="B67" t="s">
        <v>3804</v>
      </c>
      <c r="C67" t="s">
        <v>3829</v>
      </c>
      <c r="D67" t="s">
        <v>3830</v>
      </c>
    </row>
    <row r="68" spans="2:4">
      <c r="B68" t="s">
        <v>3804</v>
      </c>
      <c r="C68" t="s">
        <v>3829</v>
      </c>
      <c r="D68" t="s">
        <v>3831</v>
      </c>
    </row>
    <row r="69" spans="2:4">
      <c r="B69" t="s">
        <v>3804</v>
      </c>
      <c r="C69" t="s">
        <v>3829</v>
      </c>
      <c r="D69" t="s">
        <v>3832</v>
      </c>
    </row>
    <row r="70" spans="2:4">
      <c r="B70" t="s">
        <v>3804</v>
      </c>
      <c r="C70" t="s">
        <v>3829</v>
      </c>
      <c r="D70" t="s">
        <v>3833</v>
      </c>
    </row>
    <row r="71" spans="2:4">
      <c r="B71" t="s">
        <v>3804</v>
      </c>
      <c r="C71" t="s">
        <v>3834</v>
      </c>
      <c r="D71" t="s">
        <v>3835</v>
      </c>
    </row>
    <row r="72" spans="2:4">
      <c r="B72" t="s">
        <v>3804</v>
      </c>
      <c r="C72" t="s">
        <v>3834</v>
      </c>
      <c r="D72" t="s">
        <v>3836</v>
      </c>
    </row>
    <row r="73" spans="2:4">
      <c r="B73" t="s">
        <v>3804</v>
      </c>
      <c r="C73" t="s">
        <v>3834</v>
      </c>
      <c r="D73" t="s">
        <v>3837</v>
      </c>
    </row>
    <row r="74" spans="2:4">
      <c r="B74" t="s">
        <v>3804</v>
      </c>
      <c r="C74" t="s">
        <v>3834</v>
      </c>
      <c r="D74" t="s">
        <v>3838</v>
      </c>
    </row>
    <row r="75" spans="2:4">
      <c r="B75" t="s">
        <v>3804</v>
      </c>
      <c r="C75" t="s">
        <v>3839</v>
      </c>
      <c r="D75" t="s">
        <v>3840</v>
      </c>
    </row>
    <row r="76" spans="2:4">
      <c r="B76" t="s">
        <v>3804</v>
      </c>
      <c r="C76" t="s">
        <v>3839</v>
      </c>
      <c r="D76" t="s">
        <v>3841</v>
      </c>
    </row>
    <row r="77" spans="2:4">
      <c r="B77" t="s">
        <v>3804</v>
      </c>
      <c r="C77" t="s">
        <v>3839</v>
      </c>
      <c r="D77" t="s">
        <v>3842</v>
      </c>
    </row>
    <row r="78" spans="2:4">
      <c r="B78" t="s">
        <v>3843</v>
      </c>
      <c r="C78" t="s">
        <v>3844</v>
      </c>
      <c r="D78" t="s">
        <v>3845</v>
      </c>
    </row>
    <row r="79" spans="2:4">
      <c r="B79" t="s">
        <v>3843</v>
      </c>
      <c r="C79" t="s">
        <v>3844</v>
      </c>
      <c r="D79" t="s">
        <v>3846</v>
      </c>
    </row>
    <row r="80" spans="2:4">
      <c r="B80" t="s">
        <v>3843</v>
      </c>
      <c r="C80" t="s">
        <v>3844</v>
      </c>
      <c r="D80" t="s">
        <v>3847</v>
      </c>
    </row>
    <row r="81" spans="2:4">
      <c r="B81" t="s">
        <v>3843</v>
      </c>
      <c r="C81" t="s">
        <v>3848</v>
      </c>
      <c r="D81" t="s">
        <v>3849</v>
      </c>
    </row>
    <row r="82" spans="2:4">
      <c r="B82" t="s">
        <v>3843</v>
      </c>
      <c r="C82" t="s">
        <v>3848</v>
      </c>
      <c r="D82" t="s">
        <v>3850</v>
      </c>
    </row>
    <row r="83" spans="2:4">
      <c r="B83" t="s">
        <v>3843</v>
      </c>
      <c r="C83" t="s">
        <v>3848</v>
      </c>
      <c r="D83" t="s">
        <v>3851</v>
      </c>
    </row>
  </sheetData>
  <pageMargins left="0.7" right="0.7" top="0.75" bottom="0.75" header="0.3" footer="0.3"/>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7030A0"/>
  </sheetPr>
  <dimension ref="A3:AT104"/>
  <sheetViews>
    <sheetView topLeftCell="A46" zoomScale="55" zoomScaleNormal="55" workbookViewId="0">
      <selection activeCell="V108" sqref="V108"/>
    </sheetView>
  </sheetViews>
  <sheetFormatPr baseColWidth="10" defaultColWidth="8.83203125" defaultRowHeight="15"/>
  <cols>
    <col min="1" max="1" width="16.33203125" style="709" customWidth="1"/>
    <col min="2" max="2" width="8.83203125" style="67"/>
    <col min="3" max="3" width="59.33203125" style="451" customWidth="1"/>
    <col min="4" max="9" width="15.1640625" style="67" customWidth="1"/>
    <col min="10" max="10" width="15.5" style="67" customWidth="1"/>
    <col min="11" max="16" width="13.83203125" style="67" customWidth="1"/>
    <col min="17" max="17" width="17.33203125" style="67" customWidth="1"/>
    <col min="18" max="37" width="13.83203125" style="67" customWidth="1"/>
    <col min="38" max="38" width="22.33203125" style="67" bestFit="1" customWidth="1"/>
    <col min="39" max="39" width="30" style="67" bestFit="1" customWidth="1"/>
    <col min="40" max="44" width="8.83203125" style="67"/>
    <col min="45" max="45" width="12" style="67" customWidth="1"/>
    <col min="46" max="46" width="15.6640625" style="67" customWidth="1"/>
    <col min="47" max="16384" width="8.83203125" style="67"/>
  </cols>
  <sheetData>
    <row r="3" spans="1:39" ht="16" thickBot="1"/>
    <row r="4" spans="1:39" s="76" customFormat="1" ht="20" thickBot="1">
      <c r="A4" s="710"/>
      <c r="C4" s="452"/>
      <c r="D4" s="453">
        <v>2021</v>
      </c>
      <c r="E4" s="454"/>
      <c r="F4" s="454"/>
      <c r="G4" s="454"/>
      <c r="H4" s="454"/>
      <c r="I4" s="455"/>
      <c r="J4" s="491">
        <v>2021</v>
      </c>
      <c r="K4" s="454">
        <v>2022</v>
      </c>
      <c r="L4" s="454"/>
      <c r="M4" s="454"/>
      <c r="N4" s="454"/>
      <c r="O4" s="454"/>
      <c r="P4" s="455"/>
      <c r="Q4" s="491">
        <v>2022</v>
      </c>
      <c r="R4" s="453">
        <v>2023</v>
      </c>
      <c r="S4" s="454"/>
      <c r="T4" s="454"/>
      <c r="U4" s="454"/>
      <c r="V4" s="454"/>
      <c r="W4" s="455"/>
      <c r="X4" s="491">
        <v>2023</v>
      </c>
      <c r="Y4" s="453">
        <v>2024</v>
      </c>
      <c r="Z4" s="454"/>
      <c r="AA4" s="454"/>
      <c r="AB4" s="454"/>
      <c r="AC4" s="454"/>
      <c r="AD4" s="455"/>
      <c r="AE4" s="491">
        <v>2024</v>
      </c>
      <c r="AF4" s="453">
        <v>2025</v>
      </c>
      <c r="AG4" s="454"/>
      <c r="AH4" s="454"/>
      <c r="AI4" s="454"/>
      <c r="AJ4" s="454"/>
      <c r="AK4" s="455"/>
      <c r="AL4" s="491">
        <v>2025</v>
      </c>
      <c r="AM4" s="491" t="s">
        <v>519</v>
      </c>
    </row>
    <row r="5" spans="1:39" s="729" customFormat="1" ht="61" thickBot="1">
      <c r="A5" s="722"/>
      <c r="B5" s="723"/>
      <c r="C5" s="724" t="s">
        <v>353</v>
      </c>
      <c r="D5" s="725" t="s">
        <v>338</v>
      </c>
      <c r="E5" s="726" t="s">
        <v>349</v>
      </c>
      <c r="F5" s="726" t="s">
        <v>350</v>
      </c>
      <c r="G5" s="726" t="s">
        <v>351</v>
      </c>
      <c r="H5" s="726" t="s">
        <v>513</v>
      </c>
      <c r="I5" s="727" t="s">
        <v>514</v>
      </c>
      <c r="J5" s="728" t="s">
        <v>97</v>
      </c>
      <c r="K5" s="725" t="s">
        <v>338</v>
      </c>
      <c r="L5" s="726" t="s">
        <v>349</v>
      </c>
      <c r="M5" s="726" t="s">
        <v>350</v>
      </c>
      <c r="N5" s="726" t="s">
        <v>351</v>
      </c>
      <c r="O5" s="726" t="s">
        <v>513</v>
      </c>
      <c r="P5" s="727" t="s">
        <v>514</v>
      </c>
      <c r="Q5" s="728" t="s">
        <v>97</v>
      </c>
      <c r="R5" s="725" t="s">
        <v>338</v>
      </c>
      <c r="S5" s="726" t="s">
        <v>349</v>
      </c>
      <c r="T5" s="726" t="s">
        <v>350</v>
      </c>
      <c r="U5" s="726" t="s">
        <v>351</v>
      </c>
      <c r="V5" s="726" t="s">
        <v>513</v>
      </c>
      <c r="W5" s="727" t="s">
        <v>514</v>
      </c>
      <c r="X5" s="728" t="s">
        <v>97</v>
      </c>
      <c r="Y5" s="725" t="s">
        <v>338</v>
      </c>
      <c r="Z5" s="726" t="s">
        <v>349</v>
      </c>
      <c r="AA5" s="726" t="s">
        <v>350</v>
      </c>
      <c r="AB5" s="726" t="s">
        <v>351</v>
      </c>
      <c r="AC5" s="726" t="s">
        <v>513</v>
      </c>
      <c r="AD5" s="727" t="s">
        <v>514</v>
      </c>
      <c r="AE5" s="728" t="s">
        <v>97</v>
      </c>
      <c r="AF5" s="725" t="s">
        <v>338</v>
      </c>
      <c r="AG5" s="726" t="s">
        <v>349</v>
      </c>
      <c r="AH5" s="726" t="s">
        <v>350</v>
      </c>
      <c r="AI5" s="726" t="s">
        <v>351</v>
      </c>
      <c r="AJ5" s="726" t="s">
        <v>513</v>
      </c>
      <c r="AK5" s="727" t="s">
        <v>514</v>
      </c>
      <c r="AL5" s="728" t="s">
        <v>97</v>
      </c>
      <c r="AM5" s="728" t="s">
        <v>97</v>
      </c>
    </row>
    <row r="6" spans="1:39" ht="64">
      <c r="A6" s="709" t="s">
        <v>246</v>
      </c>
      <c r="B6" s="458">
        <v>1</v>
      </c>
      <c r="C6" s="459" t="str">
        <f>IFERROR(VLOOKUP(A6,Nomenclator_activitati!$L$3:$M$9,2,0),"")</f>
        <v xml:space="preserve">1. Asigurarea examinării prin screening sistematic pentru TB activă a cel puțin 90% din contacți către finele anului 2025 prin asigurarea accesului universal la screening sistematic al contacților și grupurilor cu risc sporit TB, inclusiv și pentru copii  </v>
      </c>
      <c r="D6" s="460">
        <f ca="1">SUMIFS(_2021_Total,Buget_detal_sursa,D$5,Buget_detal_obiect,$A6)</f>
        <v>41709892.800000004</v>
      </c>
      <c r="E6" s="461">
        <f t="shared" ref="D6:I15" ca="1" si="0">SUMIFS(_2021_Total,Buget_detal_sursa,E$5,Buget_detal_obiect,$A6)</f>
        <v>0</v>
      </c>
      <c r="F6" s="461">
        <f t="shared" ca="1" si="0"/>
        <v>0</v>
      </c>
      <c r="G6" s="461">
        <f t="shared" ca="1" si="0"/>
        <v>7726942.6300000008</v>
      </c>
      <c r="H6" s="461">
        <f t="shared" ca="1" si="0"/>
        <v>0</v>
      </c>
      <c r="I6" s="461">
        <f t="shared" ca="1" si="0"/>
        <v>0</v>
      </c>
      <c r="J6" s="494">
        <f ca="1">SUM(D6:I6)</f>
        <v>49436835.430000007</v>
      </c>
      <c r="K6" s="460">
        <f t="shared" ref="K6:P15" ca="1" si="1">SUMIFS(_2022_Total,Buget_detal_sursa,K$5,Buget_detal_obiect,$A6)</f>
        <v>41179937.280000001</v>
      </c>
      <c r="L6" s="461">
        <f t="shared" ca="1" si="1"/>
        <v>0</v>
      </c>
      <c r="M6" s="461">
        <f t="shared" ca="1" si="1"/>
        <v>0</v>
      </c>
      <c r="N6" s="461">
        <f t="shared" ca="1" si="1"/>
        <v>10872169.390000001</v>
      </c>
      <c r="O6" s="461">
        <f t="shared" ca="1" si="1"/>
        <v>0</v>
      </c>
      <c r="P6" s="461">
        <f t="shared" ca="1" si="1"/>
        <v>0</v>
      </c>
      <c r="Q6" s="494">
        <f ca="1">SUM(K6:P6)</f>
        <v>52052106.670000002</v>
      </c>
      <c r="R6" s="460">
        <f t="shared" ref="R6:W15" ca="1" si="2">SUMIFS(_2023_Total,Buget_detal_sursa,R$5,Buget_detal_obiect,$A6)</f>
        <v>40647300.480000004</v>
      </c>
      <c r="S6" s="461">
        <f t="shared" ca="1" si="2"/>
        <v>0</v>
      </c>
      <c r="T6" s="461">
        <f t="shared" ca="1" si="2"/>
        <v>0</v>
      </c>
      <c r="U6" s="461">
        <f t="shared" ca="1" si="2"/>
        <v>11350225.120000001</v>
      </c>
      <c r="V6" s="461">
        <f t="shared" ca="1" si="2"/>
        <v>0</v>
      </c>
      <c r="W6" s="461">
        <f t="shared" ca="1" si="2"/>
        <v>0</v>
      </c>
      <c r="X6" s="494">
        <f ca="1">SUM(R6:W6)</f>
        <v>51997525.600000009</v>
      </c>
      <c r="Y6" s="460">
        <f t="shared" ref="Y6:AD15" ca="1" si="3">SUMIFS(_2024_Total,Buget_detal_sursa,Y$5,Buget_detal_obiect,$A6)</f>
        <v>48311824.800000004</v>
      </c>
      <c r="Z6" s="461">
        <f t="shared" ca="1" si="3"/>
        <v>0</v>
      </c>
      <c r="AA6" s="461">
        <f t="shared" ca="1" si="3"/>
        <v>0</v>
      </c>
      <c r="AB6" s="461">
        <f t="shared" ca="1" si="3"/>
        <v>0</v>
      </c>
      <c r="AC6" s="461">
        <f t="shared" ca="1" si="3"/>
        <v>2822004</v>
      </c>
      <c r="AD6" s="461">
        <f t="shared" ca="1" si="3"/>
        <v>0</v>
      </c>
      <c r="AE6" s="494">
        <f ca="1">SUM(Y6:AD6)</f>
        <v>51133828.800000004</v>
      </c>
      <c r="AF6" s="460">
        <f t="shared" ref="AF6:AK15" ca="1" si="4">SUMIFS(_2025_Total,Buget_detal_sursa,AF$5,Buget_detal_obiect,$A6)</f>
        <v>47691271.200000003</v>
      </c>
      <c r="AG6" s="461">
        <f t="shared" ca="1" si="4"/>
        <v>0</v>
      </c>
      <c r="AH6" s="461">
        <f t="shared" ca="1" si="4"/>
        <v>0</v>
      </c>
      <c r="AI6" s="461">
        <f t="shared" ca="1" si="4"/>
        <v>0</v>
      </c>
      <c r="AJ6" s="461">
        <f t="shared" ca="1" si="4"/>
        <v>2822004</v>
      </c>
      <c r="AK6" s="461">
        <f t="shared" ca="1" si="4"/>
        <v>0</v>
      </c>
      <c r="AL6" s="494">
        <f ca="1">SUM(AF6:AK6)</f>
        <v>50513275.200000003</v>
      </c>
      <c r="AM6" s="494">
        <f ca="1">J6+Q6+X6+AE6+AL6</f>
        <v>255133571.70000005</v>
      </c>
    </row>
    <row r="7" spans="1:39" ht="80">
      <c r="A7" s="709" t="s">
        <v>247</v>
      </c>
      <c r="B7" s="458">
        <v>2</v>
      </c>
      <c r="C7" s="459" t="str">
        <f>IFERROR(VLOOKUP(A7,Nomenclator_activitati!$L$3:$M$9,2,0),"")</f>
        <v>2. Asigurarea diagnosticului precoce al tuturor formelor de TB cu depistarea către finele anului 2025 a cel puțin 90% din numărul total estimat de cazuri cu TB RR/MDR prin asigurarea accesului universal la diagnostic precoce al tuturor formelor de TB și la testele de sensibilitate la medicamente, inclusiv utilizarea testelor rapide.</v>
      </c>
      <c r="D7" s="462">
        <f ca="1">SUMIFS(_2021_Total,Buget_detal_sursa,D$5,Buget_detal_obiect,$A7)</f>
        <v>81068.38</v>
      </c>
      <c r="E7" s="463">
        <f t="shared" ca="1" si="0"/>
        <v>12514378.314580001</v>
      </c>
      <c r="F7" s="463">
        <f t="shared" ca="1" si="0"/>
        <v>0</v>
      </c>
      <c r="G7" s="463">
        <f t="shared" ca="1" si="0"/>
        <v>11842554.802163102</v>
      </c>
      <c r="H7" s="463">
        <f t="shared" ca="1" si="0"/>
        <v>2049750.1274200003</v>
      </c>
      <c r="I7" s="463">
        <f t="shared" ca="1" si="0"/>
        <v>0</v>
      </c>
      <c r="J7" s="494">
        <f t="shared" ref="J7:J15" ca="1" si="5">SUM(D7:I7)</f>
        <v>26487751.624163106</v>
      </c>
      <c r="K7" s="462">
        <f t="shared" ca="1" si="1"/>
        <v>218663.85</v>
      </c>
      <c r="L7" s="463">
        <f t="shared" ca="1" si="1"/>
        <v>13019200.256999999</v>
      </c>
      <c r="M7" s="463">
        <f t="shared" ca="1" si="1"/>
        <v>0</v>
      </c>
      <c r="N7" s="463">
        <f t="shared" ca="1" si="1"/>
        <v>7449646.9188275095</v>
      </c>
      <c r="O7" s="463">
        <f t="shared" ca="1" si="1"/>
        <v>2180507.8721000003</v>
      </c>
      <c r="P7" s="463">
        <f t="shared" ca="1" si="1"/>
        <v>0</v>
      </c>
      <c r="Q7" s="494">
        <f t="shared" ref="Q7:Q15" ca="1" si="6">SUM(K7:P7)</f>
        <v>22868018.897927508</v>
      </c>
      <c r="R7" s="462">
        <f t="shared" ca="1" si="2"/>
        <v>323057.09000000003</v>
      </c>
      <c r="S7" s="463">
        <f t="shared" ca="1" si="2"/>
        <v>13408882.626179999</v>
      </c>
      <c r="T7" s="463">
        <f t="shared" ca="1" si="2"/>
        <v>0</v>
      </c>
      <c r="U7" s="463">
        <f t="shared" ca="1" si="2"/>
        <v>9121540.5058456492</v>
      </c>
      <c r="V7" s="463">
        <f t="shared" ca="1" si="2"/>
        <v>2256478.1770800003</v>
      </c>
      <c r="W7" s="463">
        <f t="shared" ca="1" si="2"/>
        <v>0</v>
      </c>
      <c r="X7" s="494">
        <f t="shared" ref="X7:X15" ca="1" si="7">SUM(R7:W7)</f>
        <v>25109958.399105649</v>
      </c>
      <c r="Y7" s="462">
        <f t="shared" ca="1" si="3"/>
        <v>456582.15747184999</v>
      </c>
      <c r="Z7" s="463">
        <f t="shared" ca="1" si="3"/>
        <v>17151228.65992</v>
      </c>
      <c r="AA7" s="463">
        <f t="shared" ca="1" si="3"/>
        <v>0</v>
      </c>
      <c r="AB7" s="463">
        <f t="shared" ca="1" si="3"/>
        <v>0</v>
      </c>
      <c r="AC7" s="463">
        <f t="shared" ca="1" si="3"/>
        <v>4666319.4226000002</v>
      </c>
      <c r="AD7" s="463">
        <f t="shared" ca="1" si="3"/>
        <v>0</v>
      </c>
      <c r="AE7" s="494">
        <f t="shared" ref="AE7:AE15" ca="1" si="8">SUM(Y7:AD7)</f>
        <v>22274130.239991851</v>
      </c>
      <c r="AF7" s="462">
        <f t="shared" ca="1" si="4"/>
        <v>456582.15747184999</v>
      </c>
      <c r="AG7" s="463">
        <f t="shared" ca="1" si="4"/>
        <v>20380054.194700003</v>
      </c>
      <c r="AH7" s="463">
        <f t="shared" ca="1" si="4"/>
        <v>0</v>
      </c>
      <c r="AI7" s="463">
        <f t="shared" ca="1" si="4"/>
        <v>0</v>
      </c>
      <c r="AJ7" s="463">
        <f t="shared" ca="1" si="4"/>
        <v>5079677.3793200003</v>
      </c>
      <c r="AK7" s="463">
        <f t="shared" ca="1" si="4"/>
        <v>0</v>
      </c>
      <c r="AL7" s="494">
        <f t="shared" ref="AL7:AL15" ca="1" si="9">SUM(AF7:AK7)</f>
        <v>25916313.731491853</v>
      </c>
      <c r="AM7" s="494">
        <f t="shared" ref="AM7:AM15" ca="1" si="10">J7+Q7+X7+AE7+AL7</f>
        <v>122656172.89267997</v>
      </c>
    </row>
    <row r="8" spans="1:39" ht="96">
      <c r="A8" s="709" t="s">
        <v>248</v>
      </c>
      <c r="B8" s="458">
        <v>3</v>
      </c>
      <c r="C8" s="459" t="str">
        <f>IFERROR(VLOOKUP(A8,Nomenclator_activitati!$L$3:$M$9,2,0),"")</f>
        <v>3. Asigurarea tratamentului TB sensibile și TB RR/MDR cu obținerea ratei de succes printre cazurile noi și recidive TB sensibilă de cel puțin 90% şi printre cazurile de TB RR/MDR nu mai joasă de 80% către anul 2025 prin asigurarea accesului echitabil la tratament de calitate și îngrijiri continue pentru toate persoanele cu TB, inclusiv copii, prin abordare centrată pe persoană și suport în baza necesităților persoanei</v>
      </c>
      <c r="D8" s="462">
        <f t="shared" ca="1" si="0"/>
        <v>15334627.32</v>
      </c>
      <c r="E8" s="463">
        <f t="shared" ca="1" si="0"/>
        <v>11265781.270000001</v>
      </c>
      <c r="F8" s="463">
        <f t="shared" ca="1" si="0"/>
        <v>348396.37</v>
      </c>
      <c r="G8" s="463">
        <f t="shared" ca="1" si="0"/>
        <v>18977743.450074937</v>
      </c>
      <c r="H8" s="463">
        <f t="shared" ca="1" si="0"/>
        <v>507608.22000000003</v>
      </c>
      <c r="I8" s="463">
        <f t="shared" ca="1" si="0"/>
        <v>0</v>
      </c>
      <c r="J8" s="494">
        <f t="shared" ca="1" si="5"/>
        <v>46434156.630074941</v>
      </c>
      <c r="K8" s="462">
        <f t="shared" ca="1" si="1"/>
        <v>14963902.629999999</v>
      </c>
      <c r="L8" s="463">
        <f t="shared" ca="1" si="1"/>
        <v>12423890.82</v>
      </c>
      <c r="M8" s="463">
        <f t="shared" ca="1" si="1"/>
        <v>384905.68</v>
      </c>
      <c r="N8" s="463">
        <f t="shared" ca="1" si="1"/>
        <v>25736081.82740685</v>
      </c>
      <c r="O8" s="463">
        <f t="shared" ca="1" si="1"/>
        <v>501569.69</v>
      </c>
      <c r="P8" s="463">
        <f t="shared" ca="1" si="1"/>
        <v>0</v>
      </c>
      <c r="Q8" s="494">
        <f t="shared" ca="1" si="6"/>
        <v>54010350.647406846</v>
      </c>
      <c r="R8" s="462">
        <f t="shared" ca="1" si="2"/>
        <v>14549641.379999999</v>
      </c>
      <c r="S8" s="463">
        <f t="shared" ca="1" si="2"/>
        <v>13587528.559999999</v>
      </c>
      <c r="T8" s="463">
        <f t="shared" ca="1" si="2"/>
        <v>413910.31</v>
      </c>
      <c r="U8" s="463">
        <f t="shared" ca="1" si="2"/>
        <v>23771966.408080578</v>
      </c>
      <c r="V8" s="463">
        <f t="shared" ca="1" si="2"/>
        <v>495358.55000000005</v>
      </c>
      <c r="W8" s="463">
        <f t="shared" ca="1" si="2"/>
        <v>0</v>
      </c>
      <c r="X8" s="494">
        <f t="shared" ca="1" si="7"/>
        <v>52818405.208080575</v>
      </c>
      <c r="Y8" s="462">
        <f t="shared" ca="1" si="3"/>
        <v>14151728.969999999</v>
      </c>
      <c r="Z8" s="463">
        <f t="shared" ca="1" si="3"/>
        <v>17830421.159999996</v>
      </c>
      <c r="AA8" s="463">
        <f t="shared" ca="1" si="3"/>
        <v>513312.04999999993</v>
      </c>
      <c r="AB8" s="463">
        <f t="shared" ca="1" si="3"/>
        <v>0</v>
      </c>
      <c r="AC8" s="463">
        <f t="shared" ca="1" si="3"/>
        <v>13205551.539999999</v>
      </c>
      <c r="AD8" s="463">
        <f t="shared" ca="1" si="3"/>
        <v>0</v>
      </c>
      <c r="AE8" s="494">
        <f t="shared" ca="1" si="8"/>
        <v>45701013.719999999</v>
      </c>
      <c r="AF8" s="462">
        <f t="shared" ca="1" si="4"/>
        <v>14588169.719999999</v>
      </c>
      <c r="AG8" s="463">
        <f t="shared" ca="1" si="4"/>
        <v>17308169.100000001</v>
      </c>
      <c r="AH8" s="463">
        <f t="shared" ca="1" si="4"/>
        <v>511740.04999999993</v>
      </c>
      <c r="AI8" s="463">
        <f t="shared" ca="1" si="4"/>
        <v>0</v>
      </c>
      <c r="AJ8" s="463">
        <f t="shared" ca="1" si="4"/>
        <v>13394158.679999996</v>
      </c>
      <c r="AK8" s="463">
        <f t="shared" ca="1" si="4"/>
        <v>0</v>
      </c>
      <c r="AL8" s="494">
        <f t="shared" ca="1" si="9"/>
        <v>45802237.549999997</v>
      </c>
      <c r="AM8" s="494">
        <f ca="1">J8+Q8+X8+AE8+AL8</f>
        <v>244766163.75556237</v>
      </c>
    </row>
    <row r="9" spans="1:39" ht="80">
      <c r="A9" s="709" t="s">
        <v>252</v>
      </c>
      <c r="B9" s="458">
        <v>4</v>
      </c>
      <c r="C9" s="459" t="str">
        <f>IFERROR(VLOOKUP(A9,Nomenclator_activitati!$L$3:$M$9,2,0),"")</f>
        <v>4. Asigurarea  acoperii universale si continuității serviciilor medicale, gestionare  co-morbidiăților și social-economice în baza necesitaților  persoanei prin extinderea colaborării cu programele naționale HIV, Hepatite, Droguri, Alcool, Diabet, Sănătate mentală, etc., conlucrare cu sectorul penitenciar, social și societatea civila</v>
      </c>
      <c r="D9" s="462">
        <f t="shared" ca="1" si="0"/>
        <v>0</v>
      </c>
      <c r="E9" s="463">
        <f t="shared" ca="1" si="0"/>
        <v>40454.5</v>
      </c>
      <c r="F9" s="463">
        <f t="shared" ca="1" si="0"/>
        <v>1300.5</v>
      </c>
      <c r="G9" s="463">
        <f t="shared" ca="1" si="0"/>
        <v>297932</v>
      </c>
      <c r="H9" s="463">
        <f t="shared" ca="1" si="0"/>
        <v>26470</v>
      </c>
      <c r="I9" s="463">
        <f t="shared" ca="1" si="0"/>
        <v>0</v>
      </c>
      <c r="J9" s="494">
        <f t="shared" ca="1" si="5"/>
        <v>366157</v>
      </c>
      <c r="K9" s="462">
        <f t="shared" ca="1" si="1"/>
        <v>0</v>
      </c>
      <c r="L9" s="463">
        <f t="shared" ca="1" si="1"/>
        <v>39249</v>
      </c>
      <c r="M9" s="463">
        <f t="shared" ca="1" si="1"/>
        <v>1264.5</v>
      </c>
      <c r="N9" s="463">
        <f t="shared" ca="1" si="1"/>
        <v>164266.4</v>
      </c>
      <c r="O9" s="463">
        <f t="shared" ca="1" si="1"/>
        <v>26110</v>
      </c>
      <c r="P9" s="463">
        <f t="shared" ca="1" si="1"/>
        <v>0</v>
      </c>
      <c r="Q9" s="494">
        <f t="shared" ca="1" si="6"/>
        <v>230889.9</v>
      </c>
      <c r="R9" s="462">
        <f t="shared" ca="1" si="2"/>
        <v>0</v>
      </c>
      <c r="S9" s="463">
        <f t="shared" ca="1" si="2"/>
        <v>38160.5</v>
      </c>
      <c r="T9" s="463">
        <f t="shared" ca="1" si="2"/>
        <v>1264.5</v>
      </c>
      <c r="U9" s="463">
        <f t="shared" ca="1" si="2"/>
        <v>164266.4</v>
      </c>
      <c r="V9" s="463">
        <f t="shared" ca="1" si="2"/>
        <v>26360</v>
      </c>
      <c r="W9" s="463">
        <f t="shared" ca="1" si="2"/>
        <v>0</v>
      </c>
      <c r="X9" s="494">
        <f t="shared" ca="1" si="7"/>
        <v>230051.4</v>
      </c>
      <c r="Y9" s="462">
        <f t="shared" ca="1" si="3"/>
        <v>0</v>
      </c>
      <c r="Z9" s="463">
        <f t="shared" ca="1" si="3"/>
        <v>36892.5</v>
      </c>
      <c r="AA9" s="463">
        <f t="shared" ca="1" si="3"/>
        <v>1048</v>
      </c>
      <c r="AB9" s="463">
        <f t="shared" ca="1" si="3"/>
        <v>0</v>
      </c>
      <c r="AC9" s="463">
        <f t="shared" ca="1" si="3"/>
        <v>26607.5</v>
      </c>
      <c r="AD9" s="463">
        <f t="shared" ca="1" si="3"/>
        <v>0</v>
      </c>
      <c r="AE9" s="494">
        <f t="shared" ca="1" si="8"/>
        <v>64548</v>
      </c>
      <c r="AF9" s="462">
        <f t="shared" ca="1" si="4"/>
        <v>0</v>
      </c>
      <c r="AG9" s="463">
        <f t="shared" ca="1" si="4"/>
        <v>35893</v>
      </c>
      <c r="AH9" s="463">
        <f t="shared" ca="1" si="4"/>
        <v>1048</v>
      </c>
      <c r="AI9" s="463">
        <f t="shared" ca="1" si="4"/>
        <v>0</v>
      </c>
      <c r="AJ9" s="463">
        <f t="shared" ca="1" si="4"/>
        <v>26822.5</v>
      </c>
      <c r="AK9" s="463">
        <f t="shared" ca="1" si="4"/>
        <v>0</v>
      </c>
      <c r="AL9" s="494">
        <f t="shared" ca="1" si="9"/>
        <v>63763.5</v>
      </c>
      <c r="AM9" s="494">
        <f t="shared" ca="1" si="10"/>
        <v>955409.8</v>
      </c>
    </row>
    <row r="10" spans="1:39" ht="48">
      <c r="A10" s="709" t="s">
        <v>2247</v>
      </c>
      <c r="B10" s="458">
        <v>5</v>
      </c>
      <c r="C10" s="459" t="str">
        <f>IFERROR(VLOOKUP(A10,Nomenclator_activitati!$L$3:$M$9,2,0),"")</f>
        <v>5. Reducerea transmiterii TB în societate prin măsuri de profilaxie în controlul TB și asigurarea a cel puțin 95% ratei de vaccinare cu vaccinul Bacillus Calmette-Guerin la noi născuți</v>
      </c>
      <c r="D10" s="462">
        <f t="shared" ca="1" si="0"/>
        <v>0</v>
      </c>
      <c r="E10" s="463">
        <f t="shared" ca="1" si="0"/>
        <v>3443552.47</v>
      </c>
      <c r="F10" s="463">
        <f t="shared" ca="1" si="0"/>
        <v>135658.32</v>
      </c>
      <c r="G10" s="463">
        <f t="shared" ca="1" si="0"/>
        <v>3893533.7747807154</v>
      </c>
      <c r="H10" s="463">
        <f t="shared" ca="1" si="0"/>
        <v>390547.01999999996</v>
      </c>
      <c r="I10" s="463">
        <f t="shared" ca="1" si="0"/>
        <v>0</v>
      </c>
      <c r="J10" s="494">
        <f t="shared" ca="1" si="5"/>
        <v>7863291.5847807154</v>
      </c>
      <c r="K10" s="462">
        <f t="shared" ca="1" si="1"/>
        <v>0</v>
      </c>
      <c r="L10" s="463">
        <f t="shared" ca="1" si="1"/>
        <v>3625963.3599999994</v>
      </c>
      <c r="M10" s="463">
        <f t="shared" ca="1" si="1"/>
        <v>154967.28</v>
      </c>
      <c r="N10" s="463">
        <f t="shared" ca="1" si="1"/>
        <v>3332007.7446863214</v>
      </c>
      <c r="O10" s="463">
        <f t="shared" ca="1" si="1"/>
        <v>405955.62</v>
      </c>
      <c r="P10" s="463">
        <f t="shared" ca="1" si="1"/>
        <v>0</v>
      </c>
      <c r="Q10" s="494">
        <f t="shared" ca="1" si="6"/>
        <v>7518894.0046863211</v>
      </c>
      <c r="R10" s="462">
        <f t="shared" ca="1" si="2"/>
        <v>0</v>
      </c>
      <c r="S10" s="463">
        <f t="shared" ca="1" si="2"/>
        <v>3786624.42</v>
      </c>
      <c r="T10" s="463">
        <f t="shared" ca="1" si="2"/>
        <v>178345.2</v>
      </c>
      <c r="U10" s="463">
        <f t="shared" ca="1" si="2"/>
        <v>2890295.7850403055</v>
      </c>
      <c r="V10" s="463">
        <f t="shared" ca="1" si="2"/>
        <v>418541.4</v>
      </c>
      <c r="W10" s="463">
        <f t="shared" ca="1" si="2"/>
        <v>0</v>
      </c>
      <c r="X10" s="494">
        <f t="shared" ca="1" si="7"/>
        <v>7273806.8050403055</v>
      </c>
      <c r="Y10" s="462">
        <f t="shared" ca="1" si="3"/>
        <v>0</v>
      </c>
      <c r="Z10" s="463">
        <f t="shared" ca="1" si="3"/>
        <v>5299327.5699999994</v>
      </c>
      <c r="AA10" s="463">
        <f t="shared" ca="1" si="3"/>
        <v>296427.12</v>
      </c>
      <c r="AB10" s="463">
        <f t="shared" ca="1" si="3"/>
        <v>0</v>
      </c>
      <c r="AC10" s="463">
        <f t="shared" ca="1" si="3"/>
        <v>565465.26</v>
      </c>
      <c r="AD10" s="463">
        <f t="shared" ca="1" si="3"/>
        <v>0</v>
      </c>
      <c r="AE10" s="494">
        <f t="shared" ca="1" si="8"/>
        <v>6161219.9499999993</v>
      </c>
      <c r="AF10" s="462">
        <f t="shared" ca="1" si="4"/>
        <v>0</v>
      </c>
      <c r="AG10" s="463">
        <f t="shared" ca="1" si="4"/>
        <v>5183642.0099999988</v>
      </c>
      <c r="AH10" s="463">
        <f t="shared" ca="1" si="4"/>
        <v>300446.88</v>
      </c>
      <c r="AI10" s="463">
        <f t="shared" ca="1" si="4"/>
        <v>0</v>
      </c>
      <c r="AJ10" s="463">
        <f t="shared" ca="1" si="4"/>
        <v>553322.57999999996</v>
      </c>
      <c r="AK10" s="463">
        <f t="shared" ca="1" si="4"/>
        <v>0</v>
      </c>
      <c r="AL10" s="494">
        <f t="shared" ca="1" si="9"/>
        <v>6037411.4699999988</v>
      </c>
      <c r="AM10" s="494">
        <f t="shared" ca="1" si="10"/>
        <v>34854623.814507335</v>
      </c>
    </row>
    <row r="11" spans="1:39" ht="80">
      <c r="A11" s="709" t="s">
        <v>2297</v>
      </c>
      <c r="B11" s="458">
        <v>6</v>
      </c>
      <c r="C11" s="459" t="str">
        <f>IFERROR(VLOOKUP(A11,Nomenclator_activitati!$L$3:$M$9,2,0),"")</f>
        <v>6. Adoptarea politicilor și implementarea măsurilor axate pe atingerea obiectivelor de reducere a poverii TB, prin implementarea abordării centrate pe persoană, reducerea determinantelor sociale, ajustarea mecanismelor de finanțare modelului centrat pe persoană la fiecare nivel de asistență, cu implicarea OSC și a persoanelor afectate</v>
      </c>
      <c r="D11" s="462">
        <f t="shared" ca="1" si="0"/>
        <v>124692600.86</v>
      </c>
      <c r="E11" s="463">
        <f t="shared" ca="1" si="0"/>
        <v>588371</v>
      </c>
      <c r="F11" s="463">
        <f t="shared" ca="1" si="0"/>
        <v>0</v>
      </c>
      <c r="G11" s="463">
        <f t="shared" ca="1" si="0"/>
        <v>11482681.98054675</v>
      </c>
      <c r="H11" s="463">
        <f t="shared" ca="1" si="0"/>
        <v>10487.05</v>
      </c>
      <c r="I11" s="463">
        <f t="shared" ca="1" si="0"/>
        <v>0</v>
      </c>
      <c r="J11" s="494">
        <f t="shared" ca="1" si="5"/>
        <v>136774140.89054677</v>
      </c>
      <c r="K11" s="462">
        <f t="shared" ca="1" si="1"/>
        <v>124701393.28</v>
      </c>
      <c r="L11" s="463">
        <f t="shared" ca="1" si="1"/>
        <v>588371</v>
      </c>
      <c r="M11" s="463">
        <f t="shared" ca="1" si="1"/>
        <v>0</v>
      </c>
      <c r="N11" s="463">
        <f t="shared" ca="1" si="1"/>
        <v>8860834.1109467484</v>
      </c>
      <c r="O11" s="463">
        <f t="shared" ca="1" si="1"/>
        <v>11535.75</v>
      </c>
      <c r="P11" s="463">
        <f t="shared" ca="1" si="1"/>
        <v>0</v>
      </c>
      <c r="Q11" s="494">
        <f t="shared" ca="1" si="6"/>
        <v>134162134.14094675</v>
      </c>
      <c r="R11" s="462">
        <f t="shared" ca="1" si="2"/>
        <v>124710185.69</v>
      </c>
      <c r="S11" s="463">
        <f t="shared" ca="1" si="2"/>
        <v>588371</v>
      </c>
      <c r="T11" s="463">
        <f t="shared" ca="1" si="2"/>
        <v>0</v>
      </c>
      <c r="U11" s="463">
        <f t="shared" ca="1" si="2"/>
        <v>7926271.5809467509</v>
      </c>
      <c r="V11" s="463">
        <f t="shared" ca="1" si="2"/>
        <v>12584.45</v>
      </c>
      <c r="W11" s="463">
        <f t="shared" ca="1" si="2"/>
        <v>0</v>
      </c>
      <c r="X11" s="494">
        <f t="shared" ca="1" si="7"/>
        <v>133237412.72094674</v>
      </c>
      <c r="Y11" s="462">
        <f t="shared" ca="1" si="3"/>
        <v>128086227.255</v>
      </c>
      <c r="Z11" s="463">
        <f t="shared" ca="1" si="3"/>
        <v>1078703.83</v>
      </c>
      <c r="AA11" s="463">
        <f t="shared" ca="1" si="3"/>
        <v>0</v>
      </c>
      <c r="AB11" s="463">
        <f t="shared" ca="1" si="3"/>
        <v>-1.0512720014048682E-2</v>
      </c>
      <c r="AC11" s="463">
        <f t="shared" ca="1" si="3"/>
        <v>866389.81500000006</v>
      </c>
      <c r="AD11" s="463">
        <f t="shared" ca="1" si="3"/>
        <v>0</v>
      </c>
      <c r="AE11" s="494">
        <f t="shared" ca="1" si="8"/>
        <v>130031320.88948727</v>
      </c>
      <c r="AF11" s="462">
        <f t="shared" ca="1" si="4"/>
        <v>128030220.8</v>
      </c>
      <c r="AG11" s="463">
        <f t="shared" ca="1" si="4"/>
        <v>1078703.83</v>
      </c>
      <c r="AH11" s="463">
        <f t="shared" ca="1" si="4"/>
        <v>0</v>
      </c>
      <c r="AI11" s="463">
        <f t="shared" ca="1" si="4"/>
        <v>-8.000000030733645E-3</v>
      </c>
      <c r="AJ11" s="463">
        <f t="shared" ca="1" si="4"/>
        <v>867789.41</v>
      </c>
      <c r="AK11" s="463">
        <f t="shared" ca="1" si="4"/>
        <v>0</v>
      </c>
      <c r="AL11" s="494">
        <f t="shared" ca="1" si="9"/>
        <v>129976714.03199999</v>
      </c>
      <c r="AM11" s="494">
        <f t="shared" ca="1" si="10"/>
        <v>664181722.67392755</v>
      </c>
    </row>
    <row r="12" spans="1:39" ht="48">
      <c r="A12" s="709" t="s">
        <v>3079</v>
      </c>
      <c r="B12" s="458">
        <v>7</v>
      </c>
      <c r="C12" s="459" t="str">
        <f>IFERROR(VLOOKUP(A12,Nomenclator_activitati!$L$3:$M$9,2,0),"")</f>
        <v>7. Accelerarea ratei progresului răspunsului național în atingerea țintelor stabilite prin intensificarea adoptării inovațiilor, disponibilității informațiilor strategice pentru luarea deciziilor și cercetări operaționale</v>
      </c>
      <c r="D12" s="462">
        <f t="shared" ca="1" si="0"/>
        <v>0</v>
      </c>
      <c r="E12" s="463">
        <f t="shared" ca="1" si="0"/>
        <v>2188724</v>
      </c>
      <c r="F12" s="463">
        <f t="shared" ca="1" si="0"/>
        <v>0</v>
      </c>
      <c r="G12" s="463">
        <f t="shared" ca="1" si="0"/>
        <v>558750</v>
      </c>
      <c r="H12" s="463">
        <f t="shared" ca="1" si="0"/>
        <v>0</v>
      </c>
      <c r="I12" s="463">
        <f t="shared" ca="1" si="0"/>
        <v>0</v>
      </c>
      <c r="J12" s="494">
        <f t="shared" ca="1" si="5"/>
        <v>2747474</v>
      </c>
      <c r="K12" s="462">
        <f t="shared" ca="1" si="1"/>
        <v>0</v>
      </c>
      <c r="L12" s="463">
        <f t="shared" ca="1" si="1"/>
        <v>2424160</v>
      </c>
      <c r="M12" s="463">
        <f t="shared" ca="1" si="1"/>
        <v>0</v>
      </c>
      <c r="N12" s="463">
        <f t="shared" ca="1" si="1"/>
        <v>256000</v>
      </c>
      <c r="O12" s="463">
        <f t="shared" ca="1" si="1"/>
        <v>0</v>
      </c>
      <c r="P12" s="463">
        <f t="shared" ca="1" si="1"/>
        <v>0</v>
      </c>
      <c r="Q12" s="494">
        <f t="shared" ca="1" si="6"/>
        <v>2680160</v>
      </c>
      <c r="R12" s="462">
        <f t="shared" ca="1" si="2"/>
        <v>0</v>
      </c>
      <c r="S12" s="463">
        <f t="shared" ca="1" si="2"/>
        <v>2625367</v>
      </c>
      <c r="T12" s="463">
        <f t="shared" ca="1" si="2"/>
        <v>0</v>
      </c>
      <c r="U12" s="463">
        <f t="shared" ca="1" si="2"/>
        <v>256000</v>
      </c>
      <c r="V12" s="463">
        <f t="shared" ca="1" si="2"/>
        <v>0</v>
      </c>
      <c r="W12" s="463">
        <f t="shared" ca="1" si="2"/>
        <v>0</v>
      </c>
      <c r="X12" s="494">
        <f t="shared" ca="1" si="7"/>
        <v>2881367</v>
      </c>
      <c r="Y12" s="462">
        <f t="shared" ca="1" si="3"/>
        <v>0</v>
      </c>
      <c r="Z12" s="463">
        <f t="shared" ca="1" si="3"/>
        <v>2853809</v>
      </c>
      <c r="AA12" s="463">
        <f t="shared" ca="1" si="3"/>
        <v>0</v>
      </c>
      <c r="AB12" s="463">
        <f t="shared" ca="1" si="3"/>
        <v>0</v>
      </c>
      <c r="AC12" s="463">
        <f t="shared" ca="1" si="3"/>
        <v>0</v>
      </c>
      <c r="AD12" s="463">
        <f t="shared" ca="1" si="3"/>
        <v>0</v>
      </c>
      <c r="AE12" s="494">
        <f t="shared" ca="1" si="8"/>
        <v>2853809</v>
      </c>
      <c r="AF12" s="462">
        <f t="shared" ca="1" si="4"/>
        <v>256000</v>
      </c>
      <c r="AG12" s="463">
        <f t="shared" ca="1" si="4"/>
        <v>3076500</v>
      </c>
      <c r="AH12" s="463">
        <f t="shared" ca="1" si="4"/>
        <v>0</v>
      </c>
      <c r="AI12" s="463">
        <f t="shared" ca="1" si="4"/>
        <v>0</v>
      </c>
      <c r="AJ12" s="463">
        <f t="shared" ca="1" si="4"/>
        <v>0</v>
      </c>
      <c r="AK12" s="463">
        <f t="shared" ca="1" si="4"/>
        <v>0</v>
      </c>
      <c r="AL12" s="494">
        <f t="shared" ca="1" si="9"/>
        <v>3332500</v>
      </c>
      <c r="AM12" s="494">
        <f t="shared" ca="1" si="10"/>
        <v>14495310</v>
      </c>
    </row>
    <row r="13" spans="1:39" ht="16">
      <c r="A13" s="709" t="s">
        <v>3080</v>
      </c>
      <c r="B13" s="458">
        <v>8</v>
      </c>
      <c r="C13" s="459" t="str">
        <f>IFERROR(VLOOKUP(A13,Nomenclator_activitati!$L$3:$M$9,2,0),"")</f>
        <v/>
      </c>
      <c r="D13" s="462">
        <f t="shared" ca="1" si="0"/>
        <v>0</v>
      </c>
      <c r="E13" s="463">
        <f t="shared" ca="1" si="0"/>
        <v>0</v>
      </c>
      <c r="F13" s="463">
        <f t="shared" ca="1" si="0"/>
        <v>0</v>
      </c>
      <c r="G13" s="463">
        <f t="shared" ca="1" si="0"/>
        <v>0</v>
      </c>
      <c r="H13" s="463">
        <f t="shared" ca="1" si="0"/>
        <v>0</v>
      </c>
      <c r="I13" s="463">
        <f t="shared" ca="1" si="0"/>
        <v>0</v>
      </c>
      <c r="J13" s="494">
        <f t="shared" ca="1" si="5"/>
        <v>0</v>
      </c>
      <c r="K13" s="462">
        <f t="shared" ca="1" si="1"/>
        <v>0</v>
      </c>
      <c r="L13" s="463">
        <f t="shared" ca="1" si="1"/>
        <v>0</v>
      </c>
      <c r="M13" s="463">
        <f t="shared" ca="1" si="1"/>
        <v>0</v>
      </c>
      <c r="N13" s="463">
        <f t="shared" ca="1" si="1"/>
        <v>0</v>
      </c>
      <c r="O13" s="463">
        <f t="shared" ca="1" si="1"/>
        <v>0</v>
      </c>
      <c r="P13" s="463">
        <f t="shared" ca="1" si="1"/>
        <v>0</v>
      </c>
      <c r="Q13" s="494">
        <f t="shared" ca="1" si="6"/>
        <v>0</v>
      </c>
      <c r="R13" s="462">
        <f t="shared" ca="1" si="2"/>
        <v>0</v>
      </c>
      <c r="S13" s="463">
        <f t="shared" ca="1" si="2"/>
        <v>0</v>
      </c>
      <c r="T13" s="463">
        <f t="shared" ca="1" si="2"/>
        <v>0</v>
      </c>
      <c r="U13" s="463">
        <f t="shared" ca="1" si="2"/>
        <v>0</v>
      </c>
      <c r="V13" s="463">
        <f t="shared" ca="1" si="2"/>
        <v>0</v>
      </c>
      <c r="W13" s="463">
        <f t="shared" ca="1" si="2"/>
        <v>0</v>
      </c>
      <c r="X13" s="494">
        <f t="shared" ca="1" si="7"/>
        <v>0</v>
      </c>
      <c r="Y13" s="462">
        <f t="shared" ca="1" si="3"/>
        <v>0</v>
      </c>
      <c r="Z13" s="463">
        <f t="shared" ca="1" si="3"/>
        <v>0</v>
      </c>
      <c r="AA13" s="463">
        <f t="shared" ca="1" si="3"/>
        <v>0</v>
      </c>
      <c r="AB13" s="463">
        <f t="shared" ca="1" si="3"/>
        <v>0</v>
      </c>
      <c r="AC13" s="463">
        <f t="shared" ca="1" si="3"/>
        <v>0</v>
      </c>
      <c r="AD13" s="463">
        <f t="shared" ca="1" si="3"/>
        <v>0</v>
      </c>
      <c r="AE13" s="494">
        <f t="shared" ca="1" si="8"/>
        <v>0</v>
      </c>
      <c r="AF13" s="462">
        <f t="shared" ca="1" si="4"/>
        <v>0</v>
      </c>
      <c r="AG13" s="463">
        <f t="shared" ca="1" si="4"/>
        <v>0</v>
      </c>
      <c r="AH13" s="463">
        <f t="shared" ca="1" si="4"/>
        <v>0</v>
      </c>
      <c r="AI13" s="463">
        <f t="shared" ca="1" si="4"/>
        <v>0</v>
      </c>
      <c r="AJ13" s="463">
        <f t="shared" ca="1" si="4"/>
        <v>0</v>
      </c>
      <c r="AK13" s="463">
        <f t="shared" ca="1" si="4"/>
        <v>0</v>
      </c>
      <c r="AL13" s="494">
        <f t="shared" ca="1" si="9"/>
        <v>0</v>
      </c>
      <c r="AM13" s="494">
        <f t="shared" ca="1" si="10"/>
        <v>0</v>
      </c>
    </row>
    <row r="14" spans="1:39" ht="16">
      <c r="A14" s="709" t="s">
        <v>3081</v>
      </c>
      <c r="B14" s="458">
        <v>9</v>
      </c>
      <c r="C14" s="459" t="str">
        <f>IFERROR(VLOOKUP(A14,Nomenclator_activitati!$L$3:$M$9,2,0),"")</f>
        <v/>
      </c>
      <c r="D14" s="462">
        <f t="shared" ca="1" si="0"/>
        <v>0</v>
      </c>
      <c r="E14" s="463">
        <f t="shared" ca="1" si="0"/>
        <v>0</v>
      </c>
      <c r="F14" s="463">
        <f t="shared" ca="1" si="0"/>
        <v>0</v>
      </c>
      <c r="G14" s="463">
        <f t="shared" ca="1" si="0"/>
        <v>0</v>
      </c>
      <c r="H14" s="463">
        <f t="shared" ca="1" si="0"/>
        <v>0</v>
      </c>
      <c r="I14" s="463">
        <f t="shared" ca="1" si="0"/>
        <v>0</v>
      </c>
      <c r="J14" s="494">
        <f t="shared" ca="1" si="5"/>
        <v>0</v>
      </c>
      <c r="K14" s="462">
        <f t="shared" ca="1" si="1"/>
        <v>0</v>
      </c>
      <c r="L14" s="463">
        <f t="shared" ca="1" si="1"/>
        <v>0</v>
      </c>
      <c r="M14" s="463">
        <f t="shared" ca="1" si="1"/>
        <v>0</v>
      </c>
      <c r="N14" s="463">
        <f t="shared" ca="1" si="1"/>
        <v>0</v>
      </c>
      <c r="O14" s="463">
        <f t="shared" ca="1" si="1"/>
        <v>0</v>
      </c>
      <c r="P14" s="463">
        <f t="shared" ca="1" si="1"/>
        <v>0</v>
      </c>
      <c r="Q14" s="494">
        <f t="shared" ca="1" si="6"/>
        <v>0</v>
      </c>
      <c r="R14" s="462">
        <f t="shared" ca="1" si="2"/>
        <v>0</v>
      </c>
      <c r="S14" s="463">
        <f t="shared" ca="1" si="2"/>
        <v>0</v>
      </c>
      <c r="T14" s="463">
        <f t="shared" ca="1" si="2"/>
        <v>0</v>
      </c>
      <c r="U14" s="463">
        <f t="shared" ca="1" si="2"/>
        <v>0</v>
      </c>
      <c r="V14" s="463">
        <f t="shared" ca="1" si="2"/>
        <v>0</v>
      </c>
      <c r="W14" s="463">
        <f t="shared" ca="1" si="2"/>
        <v>0</v>
      </c>
      <c r="X14" s="494">
        <f t="shared" ca="1" si="7"/>
        <v>0</v>
      </c>
      <c r="Y14" s="462">
        <f t="shared" ca="1" si="3"/>
        <v>0</v>
      </c>
      <c r="Z14" s="463">
        <f t="shared" ca="1" si="3"/>
        <v>0</v>
      </c>
      <c r="AA14" s="463">
        <f t="shared" ca="1" si="3"/>
        <v>0</v>
      </c>
      <c r="AB14" s="463">
        <f t="shared" ca="1" si="3"/>
        <v>0</v>
      </c>
      <c r="AC14" s="463">
        <f t="shared" ca="1" si="3"/>
        <v>0</v>
      </c>
      <c r="AD14" s="463">
        <f t="shared" ca="1" si="3"/>
        <v>0</v>
      </c>
      <c r="AE14" s="494">
        <f t="shared" ca="1" si="8"/>
        <v>0</v>
      </c>
      <c r="AF14" s="462">
        <f t="shared" ca="1" si="4"/>
        <v>0</v>
      </c>
      <c r="AG14" s="463">
        <f t="shared" ca="1" si="4"/>
        <v>0</v>
      </c>
      <c r="AH14" s="463">
        <f t="shared" ca="1" si="4"/>
        <v>0</v>
      </c>
      <c r="AI14" s="463">
        <f t="shared" ca="1" si="4"/>
        <v>0</v>
      </c>
      <c r="AJ14" s="463">
        <f t="shared" ca="1" si="4"/>
        <v>0</v>
      </c>
      <c r="AK14" s="463">
        <f t="shared" ca="1" si="4"/>
        <v>0</v>
      </c>
      <c r="AL14" s="494">
        <f t="shared" ca="1" si="9"/>
        <v>0</v>
      </c>
      <c r="AM14" s="494">
        <f t="shared" ca="1" si="10"/>
        <v>0</v>
      </c>
    </row>
    <row r="15" spans="1:39" s="76" customFormat="1" ht="20" thickBot="1">
      <c r="A15" s="709" t="s">
        <v>3082</v>
      </c>
      <c r="B15" s="458">
        <v>10</v>
      </c>
      <c r="C15" s="459" t="str">
        <f>IFERROR(VLOOKUP(A15,Nomenclator_activitati!$L$3:$M$9,2,0),"")</f>
        <v/>
      </c>
      <c r="D15" s="464">
        <f t="shared" ca="1" si="0"/>
        <v>0</v>
      </c>
      <c r="E15" s="465">
        <f t="shared" ca="1" si="0"/>
        <v>0</v>
      </c>
      <c r="F15" s="465">
        <f t="shared" ca="1" si="0"/>
        <v>0</v>
      </c>
      <c r="G15" s="465">
        <f t="shared" ca="1" si="0"/>
        <v>0</v>
      </c>
      <c r="H15" s="465">
        <f t="shared" ca="1" si="0"/>
        <v>0</v>
      </c>
      <c r="I15" s="465">
        <f t="shared" ca="1" si="0"/>
        <v>0</v>
      </c>
      <c r="J15" s="494">
        <f t="shared" ca="1" si="5"/>
        <v>0</v>
      </c>
      <c r="K15" s="464">
        <f t="shared" ca="1" si="1"/>
        <v>0</v>
      </c>
      <c r="L15" s="465">
        <f t="shared" ca="1" si="1"/>
        <v>0</v>
      </c>
      <c r="M15" s="465">
        <f t="shared" ca="1" si="1"/>
        <v>0</v>
      </c>
      <c r="N15" s="465">
        <f t="shared" ca="1" si="1"/>
        <v>0</v>
      </c>
      <c r="O15" s="465">
        <f t="shared" ca="1" si="1"/>
        <v>0</v>
      </c>
      <c r="P15" s="465">
        <f t="shared" ca="1" si="1"/>
        <v>0</v>
      </c>
      <c r="Q15" s="494">
        <f t="shared" ca="1" si="6"/>
        <v>0</v>
      </c>
      <c r="R15" s="464">
        <f t="shared" ca="1" si="2"/>
        <v>0</v>
      </c>
      <c r="S15" s="465">
        <f t="shared" ca="1" si="2"/>
        <v>0</v>
      </c>
      <c r="T15" s="465">
        <f t="shared" ca="1" si="2"/>
        <v>0</v>
      </c>
      <c r="U15" s="465">
        <f t="shared" ca="1" si="2"/>
        <v>0</v>
      </c>
      <c r="V15" s="465">
        <f t="shared" ca="1" si="2"/>
        <v>0</v>
      </c>
      <c r="W15" s="465">
        <f t="shared" ca="1" si="2"/>
        <v>0</v>
      </c>
      <c r="X15" s="494">
        <f t="shared" ca="1" si="7"/>
        <v>0</v>
      </c>
      <c r="Y15" s="464">
        <f t="shared" ca="1" si="3"/>
        <v>0</v>
      </c>
      <c r="Z15" s="465">
        <f t="shared" ca="1" si="3"/>
        <v>0</v>
      </c>
      <c r="AA15" s="465">
        <f t="shared" ca="1" si="3"/>
        <v>0</v>
      </c>
      <c r="AB15" s="465">
        <f t="shared" ca="1" si="3"/>
        <v>0</v>
      </c>
      <c r="AC15" s="465">
        <f t="shared" ca="1" si="3"/>
        <v>0</v>
      </c>
      <c r="AD15" s="465">
        <f t="shared" ca="1" si="3"/>
        <v>0</v>
      </c>
      <c r="AE15" s="494">
        <f t="shared" ca="1" si="8"/>
        <v>0</v>
      </c>
      <c r="AF15" s="464">
        <f t="shared" ca="1" si="4"/>
        <v>0</v>
      </c>
      <c r="AG15" s="465">
        <f t="shared" ca="1" si="4"/>
        <v>0</v>
      </c>
      <c r="AH15" s="465">
        <f t="shared" ca="1" si="4"/>
        <v>0</v>
      </c>
      <c r="AI15" s="465">
        <f t="shared" ca="1" si="4"/>
        <v>0</v>
      </c>
      <c r="AJ15" s="465">
        <f t="shared" ca="1" si="4"/>
        <v>0</v>
      </c>
      <c r="AK15" s="465">
        <f t="shared" ca="1" si="4"/>
        <v>0</v>
      </c>
      <c r="AL15" s="494">
        <f t="shared" ca="1" si="9"/>
        <v>0</v>
      </c>
      <c r="AM15" s="494">
        <f t="shared" ca="1" si="10"/>
        <v>0</v>
      </c>
    </row>
    <row r="16" spans="1:39" ht="17" thickBot="1">
      <c r="B16" s="466"/>
      <c r="C16" s="467" t="s">
        <v>97</v>
      </c>
      <c r="D16" s="468">
        <f ca="1">SUM(D6:D15)</f>
        <v>181818189.36000001</v>
      </c>
      <c r="E16" s="468">
        <f t="shared" ref="E16:AM16" ca="1" si="11">SUM(E6:E15)</f>
        <v>30041261.554580003</v>
      </c>
      <c r="F16" s="468">
        <f t="shared" ca="1" si="11"/>
        <v>485355.19</v>
      </c>
      <c r="G16" s="468">
        <f t="shared" ca="1" si="11"/>
        <v>54780138.637565508</v>
      </c>
      <c r="H16" s="468">
        <f t="shared" ca="1" si="11"/>
        <v>2984862.4174200003</v>
      </c>
      <c r="I16" s="468">
        <f t="shared" ca="1" si="11"/>
        <v>0</v>
      </c>
      <c r="J16" s="468">
        <f ca="1">SUM(J6:J15)</f>
        <v>270109807.15956557</v>
      </c>
      <c r="K16" s="468">
        <f t="shared" ca="1" si="11"/>
        <v>181063897.04000002</v>
      </c>
      <c r="L16" s="468">
        <f t="shared" ca="1" si="11"/>
        <v>32120834.436999999</v>
      </c>
      <c r="M16" s="468">
        <f t="shared" ca="1" si="11"/>
        <v>541137.46</v>
      </c>
      <c r="N16" s="468">
        <f t="shared" ca="1" si="11"/>
        <v>56671006.391867429</v>
      </c>
      <c r="O16" s="468">
        <f t="shared" ca="1" si="11"/>
        <v>3125678.9321000003</v>
      </c>
      <c r="P16" s="468">
        <f t="shared" ca="1" si="11"/>
        <v>0</v>
      </c>
      <c r="Q16" s="468">
        <f t="shared" ca="1" si="11"/>
        <v>273522554.26096743</v>
      </c>
      <c r="R16" s="468">
        <f t="shared" ca="1" si="11"/>
        <v>180230184.63999999</v>
      </c>
      <c r="S16" s="468">
        <f t="shared" ca="1" si="11"/>
        <v>34034934.106179997</v>
      </c>
      <c r="T16" s="468">
        <f t="shared" ca="1" si="11"/>
        <v>593520.01</v>
      </c>
      <c r="U16" s="468">
        <f t="shared" ca="1" si="11"/>
        <v>55480565.79991328</v>
      </c>
      <c r="V16" s="468">
        <f t="shared" ca="1" si="11"/>
        <v>3209322.5770800007</v>
      </c>
      <c r="W16" s="468">
        <f t="shared" ca="1" si="11"/>
        <v>0</v>
      </c>
      <c r="X16" s="468">
        <f ca="1">SUM(X6:X15)</f>
        <v>273548527.13317329</v>
      </c>
      <c r="Y16" s="468">
        <f t="shared" ref="Y16:AL16" ca="1" si="12">SUM(Y6:Y15)</f>
        <v>191006363.18247184</v>
      </c>
      <c r="Z16" s="468">
        <f t="shared" ca="1" si="12"/>
        <v>44250382.719919994</v>
      </c>
      <c r="AA16" s="468">
        <f t="shared" ca="1" si="12"/>
        <v>810787.16999999993</v>
      </c>
      <c r="AB16" s="468">
        <f t="shared" ca="1" si="12"/>
        <v>-1.0512720014048682E-2</v>
      </c>
      <c r="AC16" s="468">
        <f t="shared" ca="1" si="12"/>
        <v>22152337.537600003</v>
      </c>
      <c r="AD16" s="468">
        <f t="shared" ca="1" si="12"/>
        <v>0</v>
      </c>
      <c r="AE16" s="468">
        <f t="shared" ca="1" si="12"/>
        <v>258219870.59947914</v>
      </c>
      <c r="AF16" s="468">
        <f ca="1">SUM(AF6:AF15)</f>
        <v>191022243.87747186</v>
      </c>
      <c r="AG16" s="468">
        <f t="shared" ca="1" si="12"/>
        <v>47062962.1347</v>
      </c>
      <c r="AH16" s="468">
        <f t="shared" ca="1" si="12"/>
        <v>813234.92999999993</v>
      </c>
      <c r="AI16" s="468">
        <f t="shared" ca="1" si="12"/>
        <v>-8.000000030733645E-3</v>
      </c>
      <c r="AJ16" s="468">
        <f t="shared" ca="1" si="12"/>
        <v>22743774.549319994</v>
      </c>
      <c r="AK16" s="468">
        <f t="shared" ca="1" si="12"/>
        <v>0</v>
      </c>
      <c r="AL16" s="468">
        <f t="shared" ca="1" si="12"/>
        <v>261642215.48349184</v>
      </c>
      <c r="AM16" s="468">
        <f t="shared" ca="1" si="11"/>
        <v>1337042974.6366773</v>
      </c>
    </row>
    <row r="17" spans="1:39">
      <c r="C17" s="67"/>
    </row>
    <row r="18" spans="1:39">
      <c r="C18" s="67"/>
    </row>
    <row r="19" spans="1:39">
      <c r="C19" s="67"/>
    </row>
    <row r="20" spans="1:39">
      <c r="C20" s="67"/>
    </row>
    <row r="21" spans="1:39">
      <c r="C21" s="67"/>
    </row>
    <row r="22" spans="1:39" s="76" customFormat="1" ht="20" thickBot="1">
      <c r="A22" s="710"/>
      <c r="C22" s="452"/>
    </row>
    <row r="23" spans="1:39" s="469" customFormat="1" ht="20" thickBot="1">
      <c r="A23" s="835">
        <v>1</v>
      </c>
      <c r="D23" s="453">
        <v>2021</v>
      </c>
      <c r="E23" s="454"/>
      <c r="F23" s="454"/>
      <c r="G23" s="454"/>
      <c r="H23" s="454"/>
      <c r="I23" s="454"/>
      <c r="J23" s="491">
        <v>2021</v>
      </c>
      <c r="K23" s="454">
        <v>2022</v>
      </c>
      <c r="L23" s="454"/>
      <c r="M23" s="454"/>
      <c r="N23" s="454"/>
      <c r="O23" s="454"/>
      <c r="P23" s="454"/>
      <c r="Q23" s="491">
        <v>2022</v>
      </c>
      <c r="R23" s="453">
        <v>2023</v>
      </c>
      <c r="S23" s="454"/>
      <c r="T23" s="454"/>
      <c r="U23" s="454"/>
      <c r="V23" s="454"/>
      <c r="W23" s="454"/>
      <c r="X23" s="491">
        <v>2023</v>
      </c>
      <c r="Y23" s="453">
        <v>2024</v>
      </c>
      <c r="Z23" s="454"/>
      <c r="AA23" s="454"/>
      <c r="AB23" s="454"/>
      <c r="AC23" s="454"/>
      <c r="AD23" s="454"/>
      <c r="AE23" s="491">
        <v>2024</v>
      </c>
      <c r="AF23" s="453">
        <v>2025</v>
      </c>
      <c r="AG23" s="454"/>
      <c r="AH23" s="454"/>
      <c r="AI23" s="454"/>
      <c r="AJ23" s="454"/>
      <c r="AK23" s="454"/>
      <c r="AL23" s="491">
        <v>2025</v>
      </c>
      <c r="AM23" s="491" t="s">
        <v>519</v>
      </c>
    </row>
    <row r="24" spans="1:39" s="76" customFormat="1" ht="41" thickBot="1">
      <c r="A24" s="710"/>
      <c r="B24" s="456"/>
      <c r="C24" s="457" t="s">
        <v>336</v>
      </c>
      <c r="D24" s="725" t="s">
        <v>338</v>
      </c>
      <c r="E24" s="726" t="s">
        <v>349</v>
      </c>
      <c r="F24" s="726" t="s">
        <v>350</v>
      </c>
      <c r="G24" s="726" t="s">
        <v>351</v>
      </c>
      <c r="H24" s="726" t="s">
        <v>513</v>
      </c>
      <c r="I24" s="727" t="s">
        <v>514</v>
      </c>
      <c r="J24" s="728" t="s">
        <v>97</v>
      </c>
      <c r="K24" s="725" t="s">
        <v>338</v>
      </c>
      <c r="L24" s="726" t="s">
        <v>349</v>
      </c>
      <c r="M24" s="726" t="s">
        <v>350</v>
      </c>
      <c r="N24" s="726" t="s">
        <v>351</v>
      </c>
      <c r="O24" s="726" t="s">
        <v>513</v>
      </c>
      <c r="P24" s="727" t="s">
        <v>514</v>
      </c>
      <c r="Q24" s="728" t="s">
        <v>97</v>
      </c>
      <c r="R24" s="725" t="s">
        <v>338</v>
      </c>
      <c r="S24" s="726" t="s">
        <v>349</v>
      </c>
      <c r="T24" s="726" t="s">
        <v>350</v>
      </c>
      <c r="U24" s="726" t="s">
        <v>351</v>
      </c>
      <c r="V24" s="726" t="s">
        <v>513</v>
      </c>
      <c r="W24" s="727" t="s">
        <v>514</v>
      </c>
      <c r="X24" s="728" t="s">
        <v>97</v>
      </c>
      <c r="Y24" s="725" t="s">
        <v>338</v>
      </c>
      <c r="Z24" s="726" t="s">
        <v>349</v>
      </c>
      <c r="AA24" s="726" t="s">
        <v>350</v>
      </c>
      <c r="AB24" s="726" t="s">
        <v>351</v>
      </c>
      <c r="AC24" s="726" t="s">
        <v>513</v>
      </c>
      <c r="AD24" s="727" t="s">
        <v>514</v>
      </c>
      <c r="AE24" s="728" t="s">
        <v>97</v>
      </c>
      <c r="AF24" s="725" t="s">
        <v>338</v>
      </c>
      <c r="AG24" s="726" t="s">
        <v>349</v>
      </c>
      <c r="AH24" s="726" t="s">
        <v>350</v>
      </c>
      <c r="AI24" s="726" t="s">
        <v>351</v>
      </c>
      <c r="AJ24" s="726" t="s">
        <v>513</v>
      </c>
      <c r="AK24" s="727" t="s">
        <v>514</v>
      </c>
      <c r="AL24" s="728" t="s">
        <v>97</v>
      </c>
      <c r="AM24" s="728" t="s">
        <v>97</v>
      </c>
    </row>
    <row r="25" spans="1:39" ht="16">
      <c r="A25" s="709" t="str">
        <f>LEFT(C25,4)</f>
        <v>1.1.</v>
      </c>
      <c r="B25" s="200">
        <v>1</v>
      </c>
      <c r="C25" s="471" t="str">
        <f t="array" ref="C25">IFERROR(INDEX(Descendent,MATCH(0,
IF((Nivel=$A$23),
COUNTIF($C$24:C24,Descendent),""),0)),"")</f>
        <v>1.1.  Depistarea activă a TB în grupurile cu risc și vigilență sporită pentru TB</v>
      </c>
      <c r="D25" s="462">
        <f ca="1">SUMIFS(_2021_Total,Buget_detal_sursa,D$24,Buget_detal_dir_act,$C25)</f>
        <v>41709892.800000004</v>
      </c>
      <c r="E25" s="463">
        <f t="shared" ref="D25:I34" ca="1" si="13">SUMIFS(_2021_Total,Buget_detal_sursa,E$24,Buget_detal_dir_act,$C25)</f>
        <v>0</v>
      </c>
      <c r="F25" s="463">
        <f t="shared" ca="1" si="13"/>
        <v>0</v>
      </c>
      <c r="G25" s="485">
        <f t="shared" ca="1" si="13"/>
        <v>7726942.6300000008</v>
      </c>
      <c r="H25" s="485">
        <f t="shared" ca="1" si="13"/>
        <v>0</v>
      </c>
      <c r="I25" s="485">
        <f t="shared" ca="1" si="13"/>
        <v>0</v>
      </c>
      <c r="J25" s="496">
        <f ca="1">SUM(D25:I25)</f>
        <v>49436835.430000007</v>
      </c>
      <c r="K25" s="487">
        <f ca="1">SUMIFS(_2022_Total,Buget_detal_sursa,K$24,Buget_detal_dir_act,$C25)</f>
        <v>41179937.280000001</v>
      </c>
      <c r="L25" s="487">
        <f t="shared" ref="K25:P54" ca="1" si="14">SUMIFS(_2022_Total,Buget_detal_sursa,L$24,Buget_detal_dir_act,$C25)</f>
        <v>0</v>
      </c>
      <c r="M25" s="487">
        <f t="shared" ca="1" si="14"/>
        <v>0</v>
      </c>
      <c r="N25" s="487">
        <f t="shared" ca="1" si="14"/>
        <v>10872169.390000001</v>
      </c>
      <c r="O25" s="487">
        <f t="shared" ca="1" si="14"/>
        <v>0</v>
      </c>
      <c r="P25" s="487">
        <f t="shared" ca="1" si="14"/>
        <v>0</v>
      </c>
      <c r="Q25" s="496">
        <f ca="1">SUM(K25:P25)</f>
        <v>52052106.670000002</v>
      </c>
      <c r="R25" s="487">
        <f t="shared" ref="R25:W34" ca="1" si="15">SUMIFS(_2023_Total,Buget_detal_sursa,R$24,Buget_detal_dir_act,$C25)</f>
        <v>40647300.480000004</v>
      </c>
      <c r="S25" s="487">
        <f t="shared" ca="1" si="15"/>
        <v>0</v>
      </c>
      <c r="T25" s="487">
        <f t="shared" ca="1" si="15"/>
        <v>0</v>
      </c>
      <c r="U25" s="487">
        <f t="shared" ca="1" si="15"/>
        <v>11350225.120000001</v>
      </c>
      <c r="V25" s="487">
        <f t="shared" ca="1" si="15"/>
        <v>0</v>
      </c>
      <c r="W25" s="487">
        <f t="shared" ca="1" si="15"/>
        <v>0</v>
      </c>
      <c r="X25" s="496">
        <f ca="1">SUM(R25:W25)</f>
        <v>51997525.600000009</v>
      </c>
      <c r="Y25" s="487">
        <f t="shared" ref="Y25:AD34" ca="1" si="16">SUMIFS(_2024_Total,Buget_detal_sursa,Y$24,Buget_detal_dir_act,$C25)</f>
        <v>48311824.800000004</v>
      </c>
      <c r="Z25" s="487">
        <f t="shared" ca="1" si="16"/>
        <v>0</v>
      </c>
      <c r="AA25" s="487">
        <f t="shared" ca="1" si="16"/>
        <v>0</v>
      </c>
      <c r="AB25" s="487">
        <f t="shared" ca="1" si="16"/>
        <v>0</v>
      </c>
      <c r="AC25" s="487">
        <f t="shared" ca="1" si="16"/>
        <v>2822004</v>
      </c>
      <c r="AD25" s="487">
        <f t="shared" ca="1" si="16"/>
        <v>0</v>
      </c>
      <c r="AE25" s="496">
        <f ca="1">SUM(Y25:AD25)</f>
        <v>51133828.800000004</v>
      </c>
      <c r="AF25" s="487">
        <f t="shared" ref="AF25:AK34" ca="1" si="17">SUMIFS(_2025_Total,Buget_detal_sursa,AF$24,Buget_detal_dir_act,$C25)</f>
        <v>47691271.200000003</v>
      </c>
      <c r="AG25" s="487">
        <f t="shared" ca="1" si="17"/>
        <v>0</v>
      </c>
      <c r="AH25" s="487">
        <f t="shared" ca="1" si="17"/>
        <v>0</v>
      </c>
      <c r="AI25" s="487">
        <f t="shared" ca="1" si="17"/>
        <v>0</v>
      </c>
      <c r="AJ25" s="487">
        <f t="shared" ca="1" si="17"/>
        <v>2822004</v>
      </c>
      <c r="AK25" s="487">
        <f t="shared" ca="1" si="17"/>
        <v>0</v>
      </c>
      <c r="AL25" s="496">
        <f ca="1">SUM(AF25:AK25)</f>
        <v>50513275.200000003</v>
      </c>
      <c r="AM25" s="494">
        <f ca="1">J25+Q25+X25+AE25+AL25</f>
        <v>255133571.70000005</v>
      </c>
    </row>
    <row r="26" spans="1:39" ht="32">
      <c r="A26" s="709" t="str">
        <f t="shared" ref="A26:A54" si="18">LEFT(C26,4)</f>
        <v>2.1.</v>
      </c>
      <c r="B26" s="200">
        <v>2</v>
      </c>
      <c r="C26" s="471" t="str">
        <f t="array" ref="C26">IFERROR(INDEX(Descendent,MATCH(0,
IF((Nivel=$A$23),
COUNTIF($C$24:C25,Descendent),""),0)),"")</f>
        <v xml:space="preserve">2.1.  Asigurarea depistării TB prin aplicarea constantă și extinderea metodelor microbiologice rapide de diagnostic </v>
      </c>
      <c r="D26" s="462">
        <f t="shared" ca="1" si="13"/>
        <v>0</v>
      </c>
      <c r="E26" s="463">
        <f t="shared" ca="1" si="13"/>
        <v>2521760.48</v>
      </c>
      <c r="F26" s="463">
        <f t="shared" ca="1" si="13"/>
        <v>0</v>
      </c>
      <c r="G26" s="485">
        <f t="shared" ca="1" si="13"/>
        <v>5894525.3199044997</v>
      </c>
      <c r="H26" s="485">
        <f t="shared" ca="1" si="13"/>
        <v>0</v>
      </c>
      <c r="I26" s="485">
        <f t="shared" ca="1" si="13"/>
        <v>0</v>
      </c>
      <c r="J26" s="490">
        <f t="shared" ref="J26:J54" ca="1" si="19">SUM(D26:I26)</f>
        <v>8416285.7999044992</v>
      </c>
      <c r="K26" s="487">
        <f t="shared" ca="1" si="14"/>
        <v>0</v>
      </c>
      <c r="L26" s="463">
        <f t="shared" ca="1" si="14"/>
        <v>2882838.4</v>
      </c>
      <c r="M26" s="463">
        <f t="shared" ca="1" si="14"/>
        <v>0</v>
      </c>
      <c r="N26" s="485">
        <f t="shared" ca="1" si="14"/>
        <v>3217531.3501088996</v>
      </c>
      <c r="O26" s="485">
        <f t="shared" ca="1" si="14"/>
        <v>0</v>
      </c>
      <c r="P26" s="485">
        <f t="shared" ca="1" si="14"/>
        <v>0</v>
      </c>
      <c r="Q26" s="490">
        <f t="shared" ref="Q26:Q54" ca="1" si="20">SUM(K26:P26)</f>
        <v>6100369.7501088995</v>
      </c>
      <c r="R26" s="487">
        <f t="shared" ca="1" si="15"/>
        <v>0</v>
      </c>
      <c r="S26" s="487">
        <f t="shared" ca="1" si="15"/>
        <v>3256209.36</v>
      </c>
      <c r="T26" s="487">
        <f t="shared" ca="1" si="15"/>
        <v>0</v>
      </c>
      <c r="U26" s="487">
        <f t="shared" ca="1" si="15"/>
        <v>3110075.6800104994</v>
      </c>
      <c r="V26" s="487">
        <f t="shared" ca="1" si="15"/>
        <v>0</v>
      </c>
      <c r="W26" s="487">
        <f t="shared" ca="1" si="15"/>
        <v>0</v>
      </c>
      <c r="X26" s="490">
        <f t="shared" ref="X26:X54" ca="1" si="21">SUM(R26:W26)</f>
        <v>6366285.0400104988</v>
      </c>
      <c r="Y26" s="487">
        <f t="shared" ca="1" si="16"/>
        <v>0</v>
      </c>
      <c r="Z26" s="487">
        <f t="shared" ca="1" si="16"/>
        <v>6067217.8399999999</v>
      </c>
      <c r="AA26" s="487">
        <f t="shared" ca="1" si="16"/>
        <v>0</v>
      </c>
      <c r="AB26" s="487">
        <f t="shared" ca="1" si="16"/>
        <v>0</v>
      </c>
      <c r="AC26" s="487">
        <f t="shared" ca="1" si="16"/>
        <v>1577606.8</v>
      </c>
      <c r="AD26" s="487">
        <f t="shared" ca="1" si="16"/>
        <v>0</v>
      </c>
      <c r="AE26" s="490">
        <f t="shared" ref="AE26:AE54" ca="1" si="22">SUM(Y26:AD26)</f>
        <v>7644824.6399999997</v>
      </c>
      <c r="AF26" s="487">
        <f t="shared" ca="1" si="17"/>
        <v>0</v>
      </c>
      <c r="AG26" s="487">
        <f t="shared" ca="1" si="17"/>
        <v>5896320.4799999995</v>
      </c>
      <c r="AH26" s="487">
        <f t="shared" ca="1" si="17"/>
        <v>0</v>
      </c>
      <c r="AI26" s="487">
        <f t="shared" ca="1" si="17"/>
        <v>0</v>
      </c>
      <c r="AJ26" s="487">
        <f t="shared" ca="1" si="17"/>
        <v>1577606.8</v>
      </c>
      <c r="AK26" s="487">
        <f t="shared" ca="1" si="17"/>
        <v>0</v>
      </c>
      <c r="AL26" s="490">
        <f t="shared" ref="AL26:AL54" ca="1" si="23">SUM(AF26:AK26)</f>
        <v>7473927.2799999993</v>
      </c>
      <c r="AM26" s="494">
        <f t="shared" ref="AM26:AM54" ca="1" si="24">J26+Q26+X26+AE26+AL26</f>
        <v>36001692.510023899</v>
      </c>
    </row>
    <row r="27" spans="1:39" ht="41" customHeight="1">
      <c r="A27" s="709" t="str">
        <f t="shared" si="18"/>
        <v>2.2.</v>
      </c>
      <c r="B27" s="200">
        <v>3</v>
      </c>
      <c r="C27" s="471" t="str">
        <f t="array" ref="C27">IFERROR(INDEX(Descendent,MATCH(0,
IF((Nivel=$A$23),
COUNTIF($C$24:C26,Descendent),""),0)),"")</f>
        <v>2.2.  Fortificarea rețelei de laborator prin asigurarea controlului calității și biosecurității în conformitate cu standardele naționale și internaționale în cadrul rețelei naționale de laboratoare implicate în diagnosticul microbiologic al TB</v>
      </c>
      <c r="D27" s="462">
        <f t="shared" ca="1" si="13"/>
        <v>47866.17</v>
      </c>
      <c r="E27" s="463">
        <f t="shared" ca="1" si="13"/>
        <v>0</v>
      </c>
      <c r="F27" s="463">
        <f t="shared" ca="1" si="13"/>
        <v>0</v>
      </c>
      <c r="G27" s="485">
        <f t="shared" ca="1" si="13"/>
        <v>633343.09747184999</v>
      </c>
      <c r="H27" s="485">
        <f t="shared" ca="1" si="13"/>
        <v>3553.7</v>
      </c>
      <c r="I27" s="485">
        <f t="shared" ca="1" si="13"/>
        <v>0</v>
      </c>
      <c r="J27" s="490">
        <f t="shared" ca="1" si="19"/>
        <v>684762.96747184999</v>
      </c>
      <c r="K27" s="487">
        <f t="shared" ca="1" si="14"/>
        <v>52652.79</v>
      </c>
      <c r="L27" s="463">
        <f t="shared" ca="1" si="14"/>
        <v>0</v>
      </c>
      <c r="M27" s="463">
        <f t="shared" ca="1" si="14"/>
        <v>0</v>
      </c>
      <c r="N27" s="485">
        <f t="shared" ca="1" si="14"/>
        <v>208632.04416083999</v>
      </c>
      <c r="O27" s="485">
        <f t="shared" ca="1" si="14"/>
        <v>3909.07</v>
      </c>
      <c r="P27" s="485">
        <f t="shared" ca="1" si="14"/>
        <v>0</v>
      </c>
      <c r="Q27" s="490">
        <f t="shared" ca="1" si="20"/>
        <v>265193.90416083997</v>
      </c>
      <c r="R27" s="487">
        <f t="shared" ca="1" si="15"/>
        <v>57439.4</v>
      </c>
      <c r="S27" s="487">
        <f t="shared" ca="1" si="15"/>
        <v>0</v>
      </c>
      <c r="T27" s="487">
        <f t="shared" ca="1" si="15"/>
        <v>0</v>
      </c>
      <c r="U27" s="487">
        <f t="shared" ca="1" si="15"/>
        <v>143059.12747184999</v>
      </c>
      <c r="V27" s="487">
        <f t="shared" ca="1" si="15"/>
        <v>4264.4399999999996</v>
      </c>
      <c r="W27" s="487">
        <f t="shared" ca="1" si="15"/>
        <v>0</v>
      </c>
      <c r="X27" s="490">
        <f t="shared" ca="1" si="21"/>
        <v>204762.96747184999</v>
      </c>
      <c r="Y27" s="487">
        <f t="shared" ca="1" si="16"/>
        <v>124560.04747185</v>
      </c>
      <c r="Z27" s="487">
        <f t="shared" ca="1" si="16"/>
        <v>0</v>
      </c>
      <c r="AA27" s="487">
        <f t="shared" ca="1" si="16"/>
        <v>0</v>
      </c>
      <c r="AB27" s="487">
        <f t="shared" ca="1" si="16"/>
        <v>0</v>
      </c>
      <c r="AC27" s="487">
        <f t="shared" ca="1" si="16"/>
        <v>7107.4</v>
      </c>
      <c r="AD27" s="487">
        <f t="shared" ca="1" si="16"/>
        <v>0</v>
      </c>
      <c r="AE27" s="490">
        <f t="shared" ca="1" si="22"/>
        <v>131667.44747185</v>
      </c>
      <c r="AF27" s="487">
        <f t="shared" ca="1" si="17"/>
        <v>124560.04747185</v>
      </c>
      <c r="AG27" s="487">
        <f t="shared" ca="1" si="17"/>
        <v>0</v>
      </c>
      <c r="AH27" s="487">
        <f t="shared" ca="1" si="17"/>
        <v>0</v>
      </c>
      <c r="AI27" s="487">
        <f t="shared" ca="1" si="17"/>
        <v>0</v>
      </c>
      <c r="AJ27" s="487">
        <f t="shared" ca="1" si="17"/>
        <v>7107.4</v>
      </c>
      <c r="AK27" s="487">
        <f t="shared" ca="1" si="17"/>
        <v>0</v>
      </c>
      <c r="AL27" s="490">
        <f t="shared" ca="1" si="23"/>
        <v>131667.44747185</v>
      </c>
      <c r="AM27" s="494">
        <f t="shared" ca="1" si="24"/>
        <v>1418054.7340482401</v>
      </c>
    </row>
    <row r="28" spans="1:39" ht="65" customHeight="1">
      <c r="A28" s="709" t="str">
        <f t="shared" si="18"/>
        <v>2.3.</v>
      </c>
      <c r="B28" s="200">
        <v>4</v>
      </c>
      <c r="C28" s="471" t="str">
        <f t="array" ref="C28">IFERROR(INDEX(Descendent,MATCH(0,
IF((Nivel=$A$23),
COUNTIF($C$24:C27,Descendent),""),0)),"")</f>
        <v>2.3.  Asigurarea monitorizării tratamentului pacienților cu TB și TB MDR cu supravegherea rezistenței M. tuberculosis către medicamente</v>
      </c>
      <c r="D28" s="462">
        <f t="shared" ca="1" si="13"/>
        <v>33202.21</v>
      </c>
      <c r="E28" s="463">
        <f t="shared" ca="1" si="13"/>
        <v>9992617.8345800005</v>
      </c>
      <c r="F28" s="463">
        <f t="shared" ca="1" si="13"/>
        <v>0</v>
      </c>
      <c r="G28" s="485">
        <f t="shared" ca="1" si="13"/>
        <v>5314686.3847867502</v>
      </c>
      <c r="H28" s="485">
        <f t="shared" ca="1" si="13"/>
        <v>2046196.4274200003</v>
      </c>
      <c r="I28" s="485">
        <f t="shared" ca="1" si="13"/>
        <v>0</v>
      </c>
      <c r="J28" s="490">
        <f t="shared" ca="1" si="19"/>
        <v>17386702.856786754</v>
      </c>
      <c r="K28" s="487">
        <f t="shared" ca="1" si="14"/>
        <v>166011.06</v>
      </c>
      <c r="L28" s="463">
        <f t="shared" ca="1" si="14"/>
        <v>10136361.856999999</v>
      </c>
      <c r="M28" s="463">
        <f t="shared" ca="1" si="14"/>
        <v>0</v>
      </c>
      <c r="N28" s="485">
        <f t="shared" ca="1" si="14"/>
        <v>4023483.5245577702</v>
      </c>
      <c r="O28" s="485">
        <f t="shared" ca="1" si="14"/>
        <v>2176598.8021000004</v>
      </c>
      <c r="P28" s="485">
        <f t="shared" ca="1" si="14"/>
        <v>0</v>
      </c>
      <c r="Q28" s="490">
        <f t="shared" ca="1" si="20"/>
        <v>16502455.24365777</v>
      </c>
      <c r="R28" s="487">
        <f t="shared" ca="1" si="15"/>
        <v>265617.69</v>
      </c>
      <c r="S28" s="487">
        <f t="shared" ca="1" si="15"/>
        <v>10152673.266179999</v>
      </c>
      <c r="T28" s="487">
        <f t="shared" ca="1" si="15"/>
        <v>0</v>
      </c>
      <c r="U28" s="487">
        <f t="shared" ca="1" si="15"/>
        <v>5868405.6983632995</v>
      </c>
      <c r="V28" s="487">
        <f t="shared" ca="1" si="15"/>
        <v>2252213.7370800003</v>
      </c>
      <c r="W28" s="487">
        <f t="shared" ca="1" si="15"/>
        <v>0</v>
      </c>
      <c r="X28" s="490">
        <f t="shared" ca="1" si="21"/>
        <v>18538910.3916233</v>
      </c>
      <c r="Y28" s="487">
        <f t="shared" ca="1" si="16"/>
        <v>332022.11</v>
      </c>
      <c r="Z28" s="487">
        <f t="shared" ca="1" si="16"/>
        <v>11084010.81992</v>
      </c>
      <c r="AA28" s="487">
        <f t="shared" ca="1" si="16"/>
        <v>0</v>
      </c>
      <c r="AB28" s="487">
        <f t="shared" ca="1" si="16"/>
        <v>0</v>
      </c>
      <c r="AC28" s="487">
        <f t="shared" ca="1" si="16"/>
        <v>3081605.2226000004</v>
      </c>
      <c r="AD28" s="487">
        <f t="shared" ca="1" si="16"/>
        <v>0</v>
      </c>
      <c r="AE28" s="490">
        <f t="shared" ca="1" si="22"/>
        <v>14497638.152519999</v>
      </c>
      <c r="AF28" s="487">
        <f t="shared" ca="1" si="17"/>
        <v>332022.11</v>
      </c>
      <c r="AG28" s="487">
        <f t="shared" ca="1" si="17"/>
        <v>14483733.714700002</v>
      </c>
      <c r="AH28" s="487">
        <f t="shared" ca="1" si="17"/>
        <v>0</v>
      </c>
      <c r="AI28" s="487">
        <f t="shared" ca="1" si="17"/>
        <v>0</v>
      </c>
      <c r="AJ28" s="487">
        <f t="shared" ca="1" si="17"/>
        <v>3494963.1793200001</v>
      </c>
      <c r="AK28" s="487">
        <f t="shared" ca="1" si="17"/>
        <v>0</v>
      </c>
      <c r="AL28" s="490">
        <f ca="1">SUM(AF28:AK28)</f>
        <v>18310719.004020002</v>
      </c>
      <c r="AM28" s="494">
        <f t="shared" ca="1" si="24"/>
        <v>85236425.648607835</v>
      </c>
    </row>
    <row r="29" spans="1:39" ht="16">
      <c r="A29" s="709" t="str">
        <f t="shared" si="18"/>
        <v>3.1.</v>
      </c>
      <c r="B29" s="200">
        <v>5</v>
      </c>
      <c r="C29" s="471" t="str">
        <f t="array" ref="C29">IFERROR(INDEX(Descendent,MATCH(0,
IF((Nivel=$A$23),
COUNTIF($C$24:C28,Descendent),""),0)),"")</f>
        <v>3.1.  Asigurarea continuă cu medicamente TB</v>
      </c>
      <c r="D29" s="462">
        <f t="shared" ca="1" si="13"/>
        <v>17926.32</v>
      </c>
      <c r="E29" s="463">
        <f t="shared" ca="1" si="13"/>
        <v>11265781.270000001</v>
      </c>
      <c r="F29" s="463">
        <f t="shared" ca="1" si="13"/>
        <v>348396.37</v>
      </c>
      <c r="G29" s="485">
        <f t="shared" ca="1" si="13"/>
        <v>12377843.375074934</v>
      </c>
      <c r="H29" s="485">
        <f t="shared" ca="1" si="13"/>
        <v>507608.22000000003</v>
      </c>
      <c r="I29" s="485">
        <f t="shared" ca="1" si="13"/>
        <v>0</v>
      </c>
      <c r="J29" s="490">
        <f t="shared" ca="1" si="19"/>
        <v>24517555.555074934</v>
      </c>
      <c r="K29" s="487">
        <f t="shared" ca="1" si="14"/>
        <v>89631.58</v>
      </c>
      <c r="L29" s="463">
        <f t="shared" ca="1" si="14"/>
        <v>12423890.82</v>
      </c>
      <c r="M29" s="463">
        <f t="shared" ca="1" si="14"/>
        <v>384905.68</v>
      </c>
      <c r="N29" s="485">
        <f t="shared" ca="1" si="14"/>
        <v>20100255.18240685</v>
      </c>
      <c r="O29" s="485">
        <f t="shared" ca="1" si="14"/>
        <v>501569.69</v>
      </c>
      <c r="P29" s="485">
        <f t="shared" ca="1" si="14"/>
        <v>0</v>
      </c>
      <c r="Q29" s="490">
        <f t="shared" ca="1" si="20"/>
        <v>33500252.95240685</v>
      </c>
      <c r="R29" s="487">
        <f t="shared" ca="1" si="15"/>
        <v>143410.53</v>
      </c>
      <c r="S29" s="487">
        <f t="shared" ca="1" si="15"/>
        <v>13587528.559999999</v>
      </c>
      <c r="T29" s="487">
        <f t="shared" ca="1" si="15"/>
        <v>413910.31</v>
      </c>
      <c r="U29" s="487">
        <f t="shared" ca="1" si="15"/>
        <v>18087910.518080581</v>
      </c>
      <c r="V29" s="487">
        <f t="shared" ca="1" si="15"/>
        <v>495358.55000000005</v>
      </c>
      <c r="W29" s="487">
        <f t="shared" ca="1" si="15"/>
        <v>0</v>
      </c>
      <c r="X29" s="490">
        <f t="shared" ca="1" si="21"/>
        <v>32728118.46808058</v>
      </c>
      <c r="Y29" s="487">
        <f t="shared" ca="1" si="16"/>
        <v>179263.17</v>
      </c>
      <c r="Z29" s="487">
        <f t="shared" ca="1" si="16"/>
        <v>17830421.159999996</v>
      </c>
      <c r="AA29" s="487">
        <f t="shared" ca="1" si="16"/>
        <v>513312.04999999993</v>
      </c>
      <c r="AB29" s="487">
        <f t="shared" ca="1" si="16"/>
        <v>0</v>
      </c>
      <c r="AC29" s="487">
        <f t="shared" ca="1" si="16"/>
        <v>9548211.5199999996</v>
      </c>
      <c r="AD29" s="487">
        <f t="shared" ca="1" si="16"/>
        <v>0</v>
      </c>
      <c r="AE29" s="490">
        <f t="shared" ca="1" si="22"/>
        <v>28071207.899999999</v>
      </c>
      <c r="AF29" s="487">
        <f t="shared" ca="1" si="17"/>
        <v>593096.37</v>
      </c>
      <c r="AG29" s="487">
        <f t="shared" ca="1" si="17"/>
        <v>17308169.100000001</v>
      </c>
      <c r="AH29" s="487">
        <f t="shared" ca="1" si="17"/>
        <v>511740.04999999993</v>
      </c>
      <c r="AI29" s="487">
        <f t="shared" ca="1" si="17"/>
        <v>0</v>
      </c>
      <c r="AJ29" s="487">
        <f t="shared" ca="1" si="17"/>
        <v>9714626.8199999966</v>
      </c>
      <c r="AK29" s="487">
        <f t="shared" ca="1" si="17"/>
        <v>0</v>
      </c>
      <c r="AL29" s="490">
        <f t="shared" ca="1" si="23"/>
        <v>28127632.34</v>
      </c>
      <c r="AM29" s="494">
        <f t="shared" ca="1" si="24"/>
        <v>146944767.21556237</v>
      </c>
    </row>
    <row r="30" spans="1:39" ht="32">
      <c r="A30" s="709" t="str">
        <f t="shared" si="18"/>
        <v>3.2.</v>
      </c>
      <c r="B30" s="200">
        <v>6</v>
      </c>
      <c r="C30" s="471" t="str">
        <f t="array" ref="C30">IFERROR(INDEX(Descendent,MATCH(0,
IF((Nivel=$A$23),
COUNTIF($C$24:C29,Descendent),""),0)),"")</f>
        <v>3.2.  Asigurarea monitorizării tratamentului, managementului și prevenirii reacțiilor adverse la medicamente TB</v>
      </c>
      <c r="D30" s="462">
        <f t="shared" ca="1" si="13"/>
        <v>0</v>
      </c>
      <c r="E30" s="463">
        <f t="shared" ca="1" si="13"/>
        <v>0</v>
      </c>
      <c r="F30" s="463">
        <f t="shared" ca="1" si="13"/>
        <v>0</v>
      </c>
      <c r="G30" s="485">
        <f t="shared" ca="1" si="13"/>
        <v>80000</v>
      </c>
      <c r="H30" s="485">
        <f t="shared" ca="1" si="13"/>
        <v>0</v>
      </c>
      <c r="I30" s="485">
        <f t="shared" ca="1" si="13"/>
        <v>0</v>
      </c>
      <c r="J30" s="490">
        <f t="shared" ca="1" si="19"/>
        <v>80000</v>
      </c>
      <c r="K30" s="487">
        <f t="shared" ca="1" si="14"/>
        <v>0</v>
      </c>
      <c r="L30" s="463">
        <f t="shared" ca="1" si="14"/>
        <v>0</v>
      </c>
      <c r="M30" s="463">
        <f t="shared" ca="1" si="14"/>
        <v>0</v>
      </c>
      <c r="N30" s="485">
        <f t="shared" ca="1" si="14"/>
        <v>79152.570000000007</v>
      </c>
      <c r="O30" s="485">
        <f t="shared" ca="1" si="14"/>
        <v>0</v>
      </c>
      <c r="P30" s="485">
        <f t="shared" ca="1" si="14"/>
        <v>0</v>
      </c>
      <c r="Q30" s="490">
        <f t="shared" ca="1" si="20"/>
        <v>79152.570000000007</v>
      </c>
      <c r="R30" s="487">
        <f t="shared" ca="1" si="15"/>
        <v>0</v>
      </c>
      <c r="S30" s="487">
        <f t="shared" ca="1" si="15"/>
        <v>0</v>
      </c>
      <c r="T30" s="487">
        <f t="shared" ca="1" si="15"/>
        <v>0</v>
      </c>
      <c r="U30" s="487">
        <f t="shared" ca="1" si="15"/>
        <v>376212</v>
      </c>
      <c r="V30" s="487">
        <f t="shared" ca="1" si="15"/>
        <v>0</v>
      </c>
      <c r="W30" s="487">
        <f t="shared" ca="1" si="15"/>
        <v>0</v>
      </c>
      <c r="X30" s="490">
        <f t="shared" ca="1" si="21"/>
        <v>376212</v>
      </c>
      <c r="Y30" s="487">
        <f t="shared" ca="1" si="16"/>
        <v>0</v>
      </c>
      <c r="Z30" s="487">
        <f t="shared" ca="1" si="16"/>
        <v>0</v>
      </c>
      <c r="AA30" s="487">
        <f t="shared" ca="1" si="16"/>
        <v>0</v>
      </c>
      <c r="AB30" s="487">
        <f t="shared" ca="1" si="16"/>
        <v>0</v>
      </c>
      <c r="AC30" s="487">
        <f t="shared" ca="1" si="16"/>
        <v>0</v>
      </c>
      <c r="AD30" s="487">
        <f t="shared" ca="1" si="16"/>
        <v>0</v>
      </c>
      <c r="AE30" s="490">
        <f t="shared" ca="1" si="22"/>
        <v>0</v>
      </c>
      <c r="AF30" s="487">
        <f t="shared" ca="1" si="17"/>
        <v>413833.19999999995</v>
      </c>
      <c r="AG30" s="487">
        <f t="shared" ca="1" si="17"/>
        <v>0</v>
      </c>
      <c r="AH30" s="487">
        <f t="shared" ca="1" si="17"/>
        <v>0</v>
      </c>
      <c r="AI30" s="487">
        <f t="shared" ca="1" si="17"/>
        <v>0</v>
      </c>
      <c r="AJ30" s="487">
        <f t="shared" ca="1" si="17"/>
        <v>0</v>
      </c>
      <c r="AK30" s="487">
        <f t="shared" ca="1" si="17"/>
        <v>0</v>
      </c>
      <c r="AL30" s="490">
        <f t="shared" ca="1" si="23"/>
        <v>413833.19999999995</v>
      </c>
      <c r="AM30" s="494">
        <f t="shared" ca="1" si="24"/>
        <v>949197.77</v>
      </c>
    </row>
    <row r="31" spans="1:39" ht="32">
      <c r="A31" s="709" t="str">
        <f t="shared" si="18"/>
        <v>3.3.</v>
      </c>
      <c r="B31" s="200">
        <v>7</v>
      </c>
      <c r="C31" s="471" t="str">
        <f t="array" ref="C31">IFERROR(INDEX(Descendent,MATCH(0,
IF((Nivel=$A$23),
COUNTIF($C$24:C30,Descendent),""),0)),"")</f>
        <v>3.3.  Asigurarea aderenței la tratament, inclusiv prin utilizarea metodelor inovative, centrate pe persoană</v>
      </c>
      <c r="D31" s="462">
        <f t="shared" ca="1" si="13"/>
        <v>15316701</v>
      </c>
      <c r="E31" s="463">
        <f t="shared" ca="1" si="13"/>
        <v>0</v>
      </c>
      <c r="F31" s="463">
        <f t="shared" ca="1" si="13"/>
        <v>0</v>
      </c>
      <c r="G31" s="485">
        <f t="shared" ca="1" si="13"/>
        <v>6519900.0750000002</v>
      </c>
      <c r="H31" s="485">
        <f t="shared" ca="1" si="13"/>
        <v>0</v>
      </c>
      <c r="I31" s="485">
        <f t="shared" ca="1" si="13"/>
        <v>0</v>
      </c>
      <c r="J31" s="490">
        <f t="shared" ca="1" si="19"/>
        <v>21836601.074999999</v>
      </c>
      <c r="K31" s="487">
        <f t="shared" ca="1" si="14"/>
        <v>14874271.049999999</v>
      </c>
      <c r="L31" s="463">
        <f t="shared" ca="1" si="14"/>
        <v>0</v>
      </c>
      <c r="M31" s="463">
        <f t="shared" ca="1" si="14"/>
        <v>0</v>
      </c>
      <c r="N31" s="485">
        <f t="shared" ca="1" si="14"/>
        <v>5556674.0750000002</v>
      </c>
      <c r="O31" s="485">
        <f t="shared" ca="1" si="14"/>
        <v>0</v>
      </c>
      <c r="P31" s="485">
        <f t="shared" ca="1" si="14"/>
        <v>0</v>
      </c>
      <c r="Q31" s="490">
        <f t="shared" ca="1" si="20"/>
        <v>20430945.125</v>
      </c>
      <c r="R31" s="487">
        <f t="shared" ca="1" si="15"/>
        <v>14406230.85</v>
      </c>
      <c r="S31" s="487">
        <f t="shared" ca="1" si="15"/>
        <v>0</v>
      </c>
      <c r="T31" s="487">
        <f t="shared" ca="1" si="15"/>
        <v>0</v>
      </c>
      <c r="U31" s="487">
        <f t="shared" ca="1" si="15"/>
        <v>5307843.8899999997</v>
      </c>
      <c r="V31" s="487">
        <f t="shared" ca="1" si="15"/>
        <v>0</v>
      </c>
      <c r="W31" s="487">
        <f t="shared" ca="1" si="15"/>
        <v>0</v>
      </c>
      <c r="X31" s="490">
        <f ca="1">SUM(R31:W31)</f>
        <v>19714074.739999998</v>
      </c>
      <c r="Y31" s="487">
        <f t="shared" ca="1" si="16"/>
        <v>13972465.799999999</v>
      </c>
      <c r="Z31" s="487">
        <f t="shared" ca="1" si="16"/>
        <v>0</v>
      </c>
      <c r="AA31" s="487">
        <f t="shared" ca="1" si="16"/>
        <v>0</v>
      </c>
      <c r="AB31" s="487">
        <f t="shared" ca="1" si="16"/>
        <v>0</v>
      </c>
      <c r="AC31" s="487">
        <f t="shared" ca="1" si="16"/>
        <v>3657340.02</v>
      </c>
      <c r="AD31" s="487">
        <f t="shared" ca="1" si="16"/>
        <v>0</v>
      </c>
      <c r="AE31" s="490">
        <f t="shared" ca="1" si="22"/>
        <v>17629805.82</v>
      </c>
      <c r="AF31" s="487">
        <f t="shared" ca="1" si="17"/>
        <v>13581240.15</v>
      </c>
      <c r="AG31" s="487">
        <f t="shared" ca="1" si="17"/>
        <v>0</v>
      </c>
      <c r="AH31" s="487">
        <f t="shared" ca="1" si="17"/>
        <v>0</v>
      </c>
      <c r="AI31" s="487">
        <f t="shared" ca="1" si="17"/>
        <v>0</v>
      </c>
      <c r="AJ31" s="487">
        <f t="shared" ca="1" si="17"/>
        <v>3679531.86</v>
      </c>
      <c r="AK31" s="487">
        <f t="shared" ca="1" si="17"/>
        <v>0</v>
      </c>
      <c r="AL31" s="490">
        <f ca="1">SUM(AF31:AK31)</f>
        <v>17260772.010000002</v>
      </c>
      <c r="AM31" s="494">
        <f t="shared" ca="1" si="24"/>
        <v>96872198.769999996</v>
      </c>
    </row>
    <row r="32" spans="1:39" ht="32">
      <c r="A32" s="709" t="str">
        <f t="shared" si="18"/>
        <v>4.1.</v>
      </c>
      <c r="B32" s="200">
        <v>8</v>
      </c>
      <c r="C32" s="471" t="str">
        <f t="array" ref="C32">IFERROR(INDEX(Descendent,MATCH(0,
IF((Nivel=$A$23),
COUNTIF($C$24:C31,Descendent),""),0)),"")</f>
        <v>4.1.  Consolidarea capacităților pentru realizarea unui control eficient al co-infecţiei TB/HIV</v>
      </c>
      <c r="D32" s="462">
        <f t="shared" ca="1" si="13"/>
        <v>0</v>
      </c>
      <c r="E32" s="463">
        <f t="shared" ca="1" si="13"/>
        <v>40454.5</v>
      </c>
      <c r="F32" s="463">
        <f t="shared" ca="1" si="13"/>
        <v>1300.5</v>
      </c>
      <c r="G32" s="485">
        <f t="shared" ca="1" si="13"/>
        <v>147740</v>
      </c>
      <c r="H32" s="485">
        <f t="shared" ca="1" si="13"/>
        <v>26470</v>
      </c>
      <c r="I32" s="485">
        <f t="shared" ca="1" si="13"/>
        <v>0</v>
      </c>
      <c r="J32" s="490">
        <f t="shared" ca="1" si="19"/>
        <v>215965</v>
      </c>
      <c r="K32" s="487">
        <f t="shared" ca="1" si="14"/>
        <v>0</v>
      </c>
      <c r="L32" s="463">
        <f t="shared" ca="1" si="14"/>
        <v>39249</v>
      </c>
      <c r="M32" s="463">
        <f t="shared" ca="1" si="14"/>
        <v>1264.5</v>
      </c>
      <c r="N32" s="485">
        <f t="shared" ca="1" si="14"/>
        <v>0</v>
      </c>
      <c r="O32" s="485">
        <f t="shared" ca="1" si="14"/>
        <v>26110</v>
      </c>
      <c r="P32" s="485">
        <f t="shared" ca="1" si="14"/>
        <v>0</v>
      </c>
      <c r="Q32" s="490">
        <f t="shared" ca="1" si="20"/>
        <v>66623.5</v>
      </c>
      <c r="R32" s="487">
        <f t="shared" ca="1" si="15"/>
        <v>0</v>
      </c>
      <c r="S32" s="487">
        <f t="shared" ca="1" si="15"/>
        <v>38160.5</v>
      </c>
      <c r="T32" s="487">
        <f t="shared" ca="1" si="15"/>
        <v>1264.5</v>
      </c>
      <c r="U32" s="487">
        <f t="shared" ca="1" si="15"/>
        <v>0</v>
      </c>
      <c r="V32" s="487">
        <f t="shared" ca="1" si="15"/>
        <v>26360</v>
      </c>
      <c r="W32" s="487">
        <f t="shared" ca="1" si="15"/>
        <v>0</v>
      </c>
      <c r="X32" s="490">
        <f t="shared" ca="1" si="21"/>
        <v>65785</v>
      </c>
      <c r="Y32" s="487">
        <f t="shared" ca="1" si="16"/>
        <v>0</v>
      </c>
      <c r="Z32" s="487">
        <f t="shared" ca="1" si="16"/>
        <v>36892.5</v>
      </c>
      <c r="AA32" s="487">
        <f t="shared" ca="1" si="16"/>
        <v>1048</v>
      </c>
      <c r="AB32" s="487">
        <f t="shared" ca="1" si="16"/>
        <v>0</v>
      </c>
      <c r="AC32" s="487">
        <f t="shared" ca="1" si="16"/>
        <v>26607.5</v>
      </c>
      <c r="AD32" s="487">
        <f t="shared" ca="1" si="16"/>
        <v>0</v>
      </c>
      <c r="AE32" s="490">
        <f t="shared" ca="1" si="22"/>
        <v>64548</v>
      </c>
      <c r="AF32" s="487">
        <f t="shared" ca="1" si="17"/>
        <v>0</v>
      </c>
      <c r="AG32" s="487">
        <f t="shared" ca="1" si="17"/>
        <v>35893</v>
      </c>
      <c r="AH32" s="487">
        <f t="shared" ca="1" si="17"/>
        <v>1048</v>
      </c>
      <c r="AI32" s="487">
        <f t="shared" ca="1" si="17"/>
        <v>0</v>
      </c>
      <c r="AJ32" s="487">
        <f t="shared" ca="1" si="17"/>
        <v>26822.5</v>
      </c>
      <c r="AK32" s="487">
        <f t="shared" ca="1" si="17"/>
        <v>0</v>
      </c>
      <c r="AL32" s="490">
        <f t="shared" ca="1" si="23"/>
        <v>63763.5</v>
      </c>
      <c r="AM32" s="494">
        <f t="shared" ca="1" si="24"/>
        <v>476685</v>
      </c>
    </row>
    <row r="33" spans="1:39" ht="32">
      <c r="A33" s="709" t="str">
        <f t="shared" si="18"/>
        <v>4.2.</v>
      </c>
      <c r="B33" s="200">
        <v>9</v>
      </c>
      <c r="C33" s="471" t="str">
        <f t="array" ref="C33">IFERROR(INDEX(Descendent,MATCH(0,
IF((Nivel=$A$23),
COUNTIF($C$24:C32,Descendent),""),0)),"")</f>
        <v>4.2.  Consolidarea acțiunilor colaborative în controlul TB cu alte programe naționale</v>
      </c>
      <c r="D33" s="462">
        <f t="shared" ca="1" si="13"/>
        <v>0</v>
      </c>
      <c r="E33" s="463">
        <f t="shared" ca="1" si="13"/>
        <v>0</v>
      </c>
      <c r="F33" s="463">
        <f t="shared" ca="1" si="13"/>
        <v>0</v>
      </c>
      <c r="G33" s="485">
        <f t="shared" ca="1" si="13"/>
        <v>150192</v>
      </c>
      <c r="H33" s="485">
        <f t="shared" ca="1" si="13"/>
        <v>0</v>
      </c>
      <c r="I33" s="485">
        <f t="shared" ca="1" si="13"/>
        <v>0</v>
      </c>
      <c r="J33" s="490">
        <f t="shared" ca="1" si="19"/>
        <v>150192</v>
      </c>
      <c r="K33" s="487">
        <f t="shared" ca="1" si="14"/>
        <v>0</v>
      </c>
      <c r="L33" s="463">
        <f t="shared" ca="1" si="14"/>
        <v>0</v>
      </c>
      <c r="M33" s="463">
        <f t="shared" ca="1" si="14"/>
        <v>0</v>
      </c>
      <c r="N33" s="485">
        <f t="shared" ca="1" si="14"/>
        <v>164266.4</v>
      </c>
      <c r="O33" s="485">
        <f t="shared" ca="1" si="14"/>
        <v>0</v>
      </c>
      <c r="P33" s="485">
        <f t="shared" ca="1" si="14"/>
        <v>0</v>
      </c>
      <c r="Q33" s="490">
        <f t="shared" ca="1" si="20"/>
        <v>164266.4</v>
      </c>
      <c r="R33" s="487">
        <f t="shared" ca="1" si="15"/>
        <v>0</v>
      </c>
      <c r="S33" s="487">
        <f t="shared" ca="1" si="15"/>
        <v>0</v>
      </c>
      <c r="T33" s="487">
        <f t="shared" ca="1" si="15"/>
        <v>0</v>
      </c>
      <c r="U33" s="487">
        <f t="shared" ca="1" si="15"/>
        <v>164266.4</v>
      </c>
      <c r="V33" s="487">
        <f t="shared" ca="1" si="15"/>
        <v>0</v>
      </c>
      <c r="W33" s="487">
        <f t="shared" ca="1" si="15"/>
        <v>0</v>
      </c>
      <c r="X33" s="490">
        <f t="shared" ca="1" si="21"/>
        <v>164266.4</v>
      </c>
      <c r="Y33" s="487">
        <f t="shared" ca="1" si="16"/>
        <v>0</v>
      </c>
      <c r="Z33" s="487">
        <f t="shared" ca="1" si="16"/>
        <v>0</v>
      </c>
      <c r="AA33" s="487">
        <f t="shared" ca="1" si="16"/>
        <v>0</v>
      </c>
      <c r="AB33" s="487">
        <f t="shared" ca="1" si="16"/>
        <v>0</v>
      </c>
      <c r="AC33" s="487">
        <f t="shared" ca="1" si="16"/>
        <v>0</v>
      </c>
      <c r="AD33" s="487">
        <f t="shared" ca="1" si="16"/>
        <v>0</v>
      </c>
      <c r="AE33" s="490">
        <f t="shared" ca="1" si="22"/>
        <v>0</v>
      </c>
      <c r="AF33" s="487">
        <f t="shared" ca="1" si="17"/>
        <v>0</v>
      </c>
      <c r="AG33" s="487">
        <f t="shared" ca="1" si="17"/>
        <v>0</v>
      </c>
      <c r="AH33" s="487">
        <f t="shared" ca="1" si="17"/>
        <v>0</v>
      </c>
      <c r="AI33" s="487">
        <f t="shared" ca="1" si="17"/>
        <v>0</v>
      </c>
      <c r="AJ33" s="487">
        <f t="shared" ca="1" si="17"/>
        <v>0</v>
      </c>
      <c r="AK33" s="487">
        <f t="shared" ca="1" si="17"/>
        <v>0</v>
      </c>
      <c r="AL33" s="490">
        <f t="shared" ca="1" si="23"/>
        <v>0</v>
      </c>
      <c r="AM33" s="494">
        <f t="shared" ca="1" si="24"/>
        <v>478724.80000000005</v>
      </c>
    </row>
    <row r="34" spans="1:39" ht="16">
      <c r="A34" s="709" t="str">
        <f t="shared" si="18"/>
        <v>5.1.</v>
      </c>
      <c r="B34" s="200">
        <v>10</v>
      </c>
      <c r="C34" s="471" t="str">
        <f t="array" ref="C34">IFERROR(INDEX(Descendent,MATCH(0,
IF((Nivel=$A$23),
COUNTIF($C$24:C33,Descendent),""),0)),"")</f>
        <v>5.1.  Asigurarea măsurilor de profilaxie specifică</v>
      </c>
      <c r="D34" s="462">
        <f t="shared" ca="1" si="13"/>
        <v>0</v>
      </c>
      <c r="E34" s="463">
        <f t="shared" ca="1" si="13"/>
        <v>3443552.47</v>
      </c>
      <c r="F34" s="463">
        <f t="shared" ca="1" si="13"/>
        <v>135658.32</v>
      </c>
      <c r="G34" s="485">
        <f t="shared" ca="1" si="13"/>
        <v>2733263.5047807158</v>
      </c>
      <c r="H34" s="485">
        <f t="shared" ca="1" si="13"/>
        <v>390547.01999999996</v>
      </c>
      <c r="I34" s="485">
        <f t="shared" ca="1" si="13"/>
        <v>0</v>
      </c>
      <c r="J34" s="490">
        <f t="shared" ca="1" si="19"/>
        <v>6703021.3147807159</v>
      </c>
      <c r="K34" s="487">
        <f t="shared" ca="1" si="14"/>
        <v>0</v>
      </c>
      <c r="L34" s="463">
        <f t="shared" ca="1" si="14"/>
        <v>3625963.3599999994</v>
      </c>
      <c r="M34" s="463">
        <f t="shared" ca="1" si="14"/>
        <v>154967.28</v>
      </c>
      <c r="N34" s="485">
        <f t="shared" ca="1" si="14"/>
        <v>2473047.1446863213</v>
      </c>
      <c r="O34" s="485">
        <f t="shared" ca="1" si="14"/>
        <v>405955.62</v>
      </c>
      <c r="P34" s="485">
        <f t="shared" ca="1" si="14"/>
        <v>0</v>
      </c>
      <c r="Q34" s="490">
        <f t="shared" ca="1" si="20"/>
        <v>6659933.4046863206</v>
      </c>
      <c r="R34" s="487">
        <f t="shared" ca="1" si="15"/>
        <v>0</v>
      </c>
      <c r="S34" s="487">
        <f t="shared" ca="1" si="15"/>
        <v>3786624.42</v>
      </c>
      <c r="T34" s="487">
        <f t="shared" ca="1" si="15"/>
        <v>178345.2</v>
      </c>
      <c r="U34" s="487">
        <f t="shared" ca="1" si="15"/>
        <v>2014305.1850403051</v>
      </c>
      <c r="V34" s="487">
        <f t="shared" ca="1" si="15"/>
        <v>418541.4</v>
      </c>
      <c r="W34" s="487">
        <f t="shared" ca="1" si="15"/>
        <v>0</v>
      </c>
      <c r="X34" s="490">
        <f t="shared" ca="1" si="21"/>
        <v>6397816.2050403059</v>
      </c>
      <c r="Y34" s="487">
        <f t="shared" ca="1" si="16"/>
        <v>0</v>
      </c>
      <c r="Z34" s="487">
        <f t="shared" ca="1" si="16"/>
        <v>5299327.5699999994</v>
      </c>
      <c r="AA34" s="487">
        <f t="shared" ca="1" si="16"/>
        <v>296427.12</v>
      </c>
      <c r="AB34" s="487">
        <f t="shared" ca="1" si="16"/>
        <v>0</v>
      </c>
      <c r="AC34" s="487">
        <f t="shared" ca="1" si="16"/>
        <v>565465.26</v>
      </c>
      <c r="AD34" s="487">
        <f t="shared" ca="1" si="16"/>
        <v>0</v>
      </c>
      <c r="AE34" s="490">
        <f t="shared" ca="1" si="22"/>
        <v>6161219.9499999993</v>
      </c>
      <c r="AF34" s="487">
        <f t="shared" ca="1" si="17"/>
        <v>0</v>
      </c>
      <c r="AG34" s="487">
        <f t="shared" ca="1" si="17"/>
        <v>5183642.0099999988</v>
      </c>
      <c r="AH34" s="487">
        <f t="shared" ca="1" si="17"/>
        <v>300446.88</v>
      </c>
      <c r="AI34" s="487">
        <f t="shared" ca="1" si="17"/>
        <v>0</v>
      </c>
      <c r="AJ34" s="487">
        <f t="shared" ca="1" si="17"/>
        <v>553322.57999999996</v>
      </c>
      <c r="AK34" s="487">
        <f t="shared" ca="1" si="17"/>
        <v>0</v>
      </c>
      <c r="AL34" s="490">
        <f t="shared" ca="1" si="23"/>
        <v>6037411.4699999988</v>
      </c>
      <c r="AM34" s="494">
        <f t="shared" ca="1" si="24"/>
        <v>31959402.34450734</v>
      </c>
    </row>
    <row r="35" spans="1:39" ht="32">
      <c r="A35" s="709" t="str">
        <f t="shared" si="18"/>
        <v>5.2.</v>
      </c>
      <c r="B35" s="200">
        <v>11</v>
      </c>
      <c r="C35" s="471" t="str">
        <f t="array" ref="C35">IFERROR(INDEX(Descendent,MATCH(0,
IF((Nivel=$A$23),
COUNTIF($C$24:C34,Descendent),""),0)),"")</f>
        <v>5.2.  Asigurarea informării privind respectarea măsurilor de control al infecției  pentru reducerea riscului de transmitere a TB în societate</v>
      </c>
      <c r="D35" s="462">
        <f t="shared" ref="D35:I44" ca="1" si="25">SUMIFS(_2021_Total,Buget_detal_sursa,D$24,Buget_detal_dir_act,$C35)</f>
        <v>0</v>
      </c>
      <c r="E35" s="463">
        <f t="shared" ca="1" si="25"/>
        <v>0</v>
      </c>
      <c r="F35" s="463">
        <f t="shared" ca="1" si="25"/>
        <v>0</v>
      </c>
      <c r="G35" s="485">
        <f t="shared" ca="1" si="25"/>
        <v>1160270.27</v>
      </c>
      <c r="H35" s="485">
        <f t="shared" ca="1" si="25"/>
        <v>0</v>
      </c>
      <c r="I35" s="485">
        <f t="shared" ca="1" si="25"/>
        <v>0</v>
      </c>
      <c r="J35" s="490">
        <f t="shared" ca="1" si="19"/>
        <v>1160270.27</v>
      </c>
      <c r="K35" s="487">
        <f t="shared" ca="1" si="14"/>
        <v>0</v>
      </c>
      <c r="L35" s="463">
        <f t="shared" ca="1" si="14"/>
        <v>0</v>
      </c>
      <c r="M35" s="463">
        <f t="shared" ca="1" si="14"/>
        <v>0</v>
      </c>
      <c r="N35" s="485">
        <f t="shared" ca="1" si="14"/>
        <v>858960.6</v>
      </c>
      <c r="O35" s="485">
        <f t="shared" ca="1" si="14"/>
        <v>0</v>
      </c>
      <c r="P35" s="485">
        <f t="shared" ca="1" si="14"/>
        <v>0</v>
      </c>
      <c r="Q35" s="490">
        <f t="shared" ca="1" si="20"/>
        <v>858960.6</v>
      </c>
      <c r="R35" s="487">
        <f t="shared" ref="R35:W44" ca="1" si="26">SUMIFS(_2023_Total,Buget_detal_sursa,R$24,Buget_detal_dir_act,$C35)</f>
        <v>0</v>
      </c>
      <c r="S35" s="487">
        <f t="shared" ca="1" si="26"/>
        <v>0</v>
      </c>
      <c r="T35" s="487">
        <f t="shared" ca="1" si="26"/>
        <v>0</v>
      </c>
      <c r="U35" s="487">
        <f t="shared" ca="1" si="26"/>
        <v>875990.6</v>
      </c>
      <c r="V35" s="487">
        <f t="shared" ca="1" si="26"/>
        <v>0</v>
      </c>
      <c r="W35" s="487">
        <f t="shared" ca="1" si="26"/>
        <v>0</v>
      </c>
      <c r="X35" s="490">
        <f t="shared" ca="1" si="21"/>
        <v>875990.6</v>
      </c>
      <c r="Y35" s="487">
        <f t="shared" ref="Y35:AD44" ca="1" si="27">SUMIFS(_2024_Total,Buget_detal_sursa,Y$24,Buget_detal_dir_act,$C35)</f>
        <v>0</v>
      </c>
      <c r="Z35" s="487">
        <f t="shared" ca="1" si="27"/>
        <v>0</v>
      </c>
      <c r="AA35" s="487">
        <f t="shared" ca="1" si="27"/>
        <v>0</v>
      </c>
      <c r="AB35" s="487">
        <f t="shared" ca="1" si="27"/>
        <v>0</v>
      </c>
      <c r="AC35" s="487">
        <f t="shared" ca="1" si="27"/>
        <v>0</v>
      </c>
      <c r="AD35" s="487">
        <f t="shared" ca="1" si="27"/>
        <v>0</v>
      </c>
      <c r="AE35" s="490">
        <f t="shared" ca="1" si="22"/>
        <v>0</v>
      </c>
      <c r="AF35" s="487">
        <f t="shared" ref="AF35:AK44" ca="1" si="28">SUMIFS(_2025_Total,Buget_detal_sursa,AF$24,Buget_detal_dir_act,$C35)</f>
        <v>0</v>
      </c>
      <c r="AG35" s="487">
        <f t="shared" ca="1" si="28"/>
        <v>0</v>
      </c>
      <c r="AH35" s="487">
        <f t="shared" ca="1" si="28"/>
        <v>0</v>
      </c>
      <c r="AI35" s="487">
        <f t="shared" ca="1" si="28"/>
        <v>0</v>
      </c>
      <c r="AJ35" s="487">
        <f t="shared" ca="1" si="28"/>
        <v>0</v>
      </c>
      <c r="AK35" s="487">
        <f t="shared" ca="1" si="28"/>
        <v>0</v>
      </c>
      <c r="AL35" s="490">
        <f t="shared" ca="1" si="23"/>
        <v>0</v>
      </c>
      <c r="AM35" s="494">
        <f t="shared" ca="1" si="24"/>
        <v>2895221.47</v>
      </c>
    </row>
    <row r="36" spans="1:39" ht="32">
      <c r="A36" s="709" t="str">
        <f t="shared" si="18"/>
        <v>5.3.</v>
      </c>
      <c r="B36" s="200">
        <v>12</v>
      </c>
      <c r="C36" s="471" t="str">
        <f t="array" ref="C36">IFERROR(INDEX(Descendent,MATCH(0,
IF((Nivel=$A$23),
COUNTIF($C$24:C35,Descendent),""),0)),"")</f>
        <v>5.3.  Asigurarea controlului infecției în IMSP și alte AP cu rețele sanitare proprii</v>
      </c>
      <c r="D36" s="462">
        <f t="shared" ca="1" si="25"/>
        <v>0</v>
      </c>
      <c r="E36" s="463">
        <f t="shared" ca="1" si="25"/>
        <v>0</v>
      </c>
      <c r="F36" s="463">
        <f t="shared" ca="1" si="25"/>
        <v>0</v>
      </c>
      <c r="G36" s="485">
        <f t="shared" ca="1" si="25"/>
        <v>0</v>
      </c>
      <c r="H36" s="485">
        <f t="shared" ca="1" si="25"/>
        <v>0</v>
      </c>
      <c r="I36" s="485">
        <f t="shared" ca="1" si="25"/>
        <v>0</v>
      </c>
      <c r="J36" s="490">
        <f t="shared" ca="1" si="19"/>
        <v>0</v>
      </c>
      <c r="K36" s="487">
        <f t="shared" ca="1" si="14"/>
        <v>0</v>
      </c>
      <c r="L36" s="463">
        <f t="shared" ca="1" si="14"/>
        <v>0</v>
      </c>
      <c r="M36" s="463">
        <f t="shared" ca="1" si="14"/>
        <v>0</v>
      </c>
      <c r="N36" s="485">
        <f t="shared" ca="1" si="14"/>
        <v>0</v>
      </c>
      <c r="O36" s="485">
        <f t="shared" ca="1" si="14"/>
        <v>0</v>
      </c>
      <c r="P36" s="485">
        <f t="shared" ca="1" si="14"/>
        <v>0</v>
      </c>
      <c r="Q36" s="490">
        <f t="shared" ca="1" si="20"/>
        <v>0</v>
      </c>
      <c r="R36" s="487">
        <f t="shared" ca="1" si="26"/>
        <v>0</v>
      </c>
      <c r="S36" s="487">
        <f t="shared" ca="1" si="26"/>
        <v>0</v>
      </c>
      <c r="T36" s="487">
        <f t="shared" ca="1" si="26"/>
        <v>0</v>
      </c>
      <c r="U36" s="487">
        <f t="shared" ca="1" si="26"/>
        <v>0</v>
      </c>
      <c r="V36" s="487">
        <f t="shared" ca="1" si="26"/>
        <v>0</v>
      </c>
      <c r="W36" s="487">
        <f t="shared" ca="1" si="26"/>
        <v>0</v>
      </c>
      <c r="X36" s="490">
        <f t="shared" ca="1" si="21"/>
        <v>0</v>
      </c>
      <c r="Y36" s="487">
        <f t="shared" ca="1" si="27"/>
        <v>0</v>
      </c>
      <c r="Z36" s="487">
        <f t="shared" ca="1" si="27"/>
        <v>0</v>
      </c>
      <c r="AA36" s="487">
        <f t="shared" ca="1" si="27"/>
        <v>0</v>
      </c>
      <c r="AB36" s="487">
        <f t="shared" ca="1" si="27"/>
        <v>0</v>
      </c>
      <c r="AC36" s="487">
        <f t="shared" ca="1" si="27"/>
        <v>0</v>
      </c>
      <c r="AD36" s="487">
        <f t="shared" ca="1" si="27"/>
        <v>0</v>
      </c>
      <c r="AE36" s="490">
        <f t="shared" ca="1" si="22"/>
        <v>0</v>
      </c>
      <c r="AF36" s="487">
        <f t="shared" ca="1" si="28"/>
        <v>0</v>
      </c>
      <c r="AG36" s="487">
        <f t="shared" ca="1" si="28"/>
        <v>0</v>
      </c>
      <c r="AH36" s="487">
        <f t="shared" ca="1" si="28"/>
        <v>0</v>
      </c>
      <c r="AI36" s="487">
        <f t="shared" ca="1" si="28"/>
        <v>0</v>
      </c>
      <c r="AJ36" s="487">
        <f t="shared" ca="1" si="28"/>
        <v>0</v>
      </c>
      <c r="AK36" s="487">
        <f t="shared" ca="1" si="28"/>
        <v>0</v>
      </c>
      <c r="AL36" s="490">
        <f t="shared" ca="1" si="23"/>
        <v>0</v>
      </c>
      <c r="AM36" s="494">
        <f t="shared" ca="1" si="24"/>
        <v>0</v>
      </c>
    </row>
    <row r="37" spans="1:39" ht="16">
      <c r="A37" s="709" t="str">
        <f t="shared" si="18"/>
        <v>6.1.</v>
      </c>
      <c r="B37" s="200">
        <v>13</v>
      </c>
      <c r="C37" s="471" t="str">
        <f t="array" ref="C37">IFERROR(INDEX(Descendent,MATCH(0,
IF((Nivel=$A$23),
COUNTIF($C$24:C36,Descendent),""),0)),"")</f>
        <v>6.1.  Consolidarea capacităților pentru managementul eficient al PNCT</v>
      </c>
      <c r="D37" s="462">
        <f t="shared" ca="1" si="25"/>
        <v>87924.22</v>
      </c>
      <c r="E37" s="463">
        <f t="shared" ca="1" si="25"/>
        <v>0</v>
      </c>
      <c r="F37" s="463">
        <f t="shared" ca="1" si="25"/>
        <v>0</v>
      </c>
      <c r="G37" s="485">
        <f t="shared" ca="1" si="25"/>
        <v>4429751.52837798</v>
      </c>
      <c r="H37" s="485">
        <f t="shared" ca="1" si="25"/>
        <v>10487.05</v>
      </c>
      <c r="I37" s="485">
        <f t="shared" ca="1" si="25"/>
        <v>0</v>
      </c>
      <c r="J37" s="490">
        <f t="shared" ca="1" si="19"/>
        <v>4528162.7983779795</v>
      </c>
      <c r="K37" s="487">
        <f t="shared" ca="1" si="14"/>
        <v>96716.64</v>
      </c>
      <c r="L37" s="463">
        <f t="shared" ca="1" si="14"/>
        <v>0</v>
      </c>
      <c r="M37" s="463">
        <f t="shared" ca="1" si="14"/>
        <v>0</v>
      </c>
      <c r="N37" s="485">
        <f t="shared" ca="1" si="14"/>
        <v>2510581.42337798</v>
      </c>
      <c r="O37" s="485">
        <f t="shared" ca="1" si="14"/>
        <v>11535.75</v>
      </c>
      <c r="P37" s="485">
        <f t="shared" ca="1" si="14"/>
        <v>0</v>
      </c>
      <c r="Q37" s="490">
        <f t="shared" ca="1" si="20"/>
        <v>2618833.8133779801</v>
      </c>
      <c r="R37" s="487">
        <f t="shared" ca="1" si="26"/>
        <v>105509.04999999999</v>
      </c>
      <c r="S37" s="487">
        <f t="shared" ca="1" si="26"/>
        <v>0</v>
      </c>
      <c r="T37" s="487">
        <f t="shared" ca="1" si="26"/>
        <v>0</v>
      </c>
      <c r="U37" s="487">
        <f t="shared" ca="1" si="26"/>
        <v>1320740.3133779799</v>
      </c>
      <c r="V37" s="487">
        <f t="shared" ca="1" si="26"/>
        <v>12584.45</v>
      </c>
      <c r="W37" s="487">
        <f t="shared" ca="1" si="26"/>
        <v>0</v>
      </c>
      <c r="X37" s="490">
        <f t="shared" ca="1" si="21"/>
        <v>1438833.8133779799</v>
      </c>
      <c r="Y37" s="487">
        <f t="shared" ca="1" si="27"/>
        <v>775839.45</v>
      </c>
      <c r="Z37" s="487">
        <f t="shared" ca="1" si="27"/>
        <v>0</v>
      </c>
      <c r="AA37" s="487">
        <f t="shared" ca="1" si="27"/>
        <v>0</v>
      </c>
      <c r="AB37" s="487">
        <f t="shared" ca="1" si="27"/>
        <v>0</v>
      </c>
      <c r="AC37" s="487">
        <f t="shared" ca="1" si="27"/>
        <v>20974.09</v>
      </c>
      <c r="AD37" s="487">
        <f t="shared" ca="1" si="27"/>
        <v>0</v>
      </c>
      <c r="AE37" s="490">
        <f t="shared" ca="1" si="22"/>
        <v>796813.53999999992</v>
      </c>
      <c r="AF37" s="487">
        <f t="shared" ca="1" si="28"/>
        <v>775839.45</v>
      </c>
      <c r="AG37" s="487">
        <f t="shared" ca="1" si="28"/>
        <v>0</v>
      </c>
      <c r="AH37" s="487">
        <f t="shared" ca="1" si="28"/>
        <v>0</v>
      </c>
      <c r="AI37" s="487">
        <f t="shared" ca="1" si="28"/>
        <v>0</v>
      </c>
      <c r="AJ37" s="487">
        <f t="shared" ca="1" si="28"/>
        <v>20974.09</v>
      </c>
      <c r="AK37" s="487">
        <f t="shared" ca="1" si="28"/>
        <v>0</v>
      </c>
      <c r="AL37" s="490">
        <f t="shared" ca="1" si="23"/>
        <v>796813.53999999992</v>
      </c>
      <c r="AM37" s="494">
        <f t="shared" ca="1" si="24"/>
        <v>10179457.505133938</v>
      </c>
    </row>
    <row r="38" spans="1:39" ht="32">
      <c r="A38" s="709" t="str">
        <f t="shared" si="18"/>
        <v>6.2.</v>
      </c>
      <c r="B38" s="200">
        <v>14</v>
      </c>
      <c r="C38" s="471" t="str">
        <f t="array" ref="C38">IFERROR(INDEX(Descendent,MATCH(0,
IF((Nivel=$A$23),
COUNTIF($C$24:C37,Descendent),""),0)),"")</f>
        <v>6.2.  Consolidarea sistemelor de sănătate prin mecanisme de finanțare bine aliniate pentru TB</v>
      </c>
      <c r="D38" s="462">
        <f t="shared" ca="1" si="25"/>
        <v>124604676.64</v>
      </c>
      <c r="E38" s="463">
        <f t="shared" ca="1" si="25"/>
        <v>0</v>
      </c>
      <c r="F38" s="463">
        <f t="shared" ca="1" si="25"/>
        <v>0</v>
      </c>
      <c r="G38" s="485">
        <f t="shared" ca="1" si="25"/>
        <v>1849587.9140872799</v>
      </c>
      <c r="H38" s="485">
        <f t="shared" ca="1" si="25"/>
        <v>0</v>
      </c>
      <c r="I38" s="485">
        <f t="shared" ca="1" si="25"/>
        <v>0</v>
      </c>
      <c r="J38" s="490">
        <f t="shared" ca="1" si="19"/>
        <v>126454264.55408728</v>
      </c>
      <c r="K38" s="487">
        <f t="shared" ca="1" si="14"/>
        <v>124604676.64</v>
      </c>
      <c r="L38" s="463">
        <f t="shared" ca="1" si="14"/>
        <v>0</v>
      </c>
      <c r="M38" s="463">
        <f t="shared" ca="1" si="14"/>
        <v>0</v>
      </c>
      <c r="N38" s="485">
        <f t="shared" ca="1" si="14"/>
        <v>1587702.2144872805</v>
      </c>
      <c r="O38" s="485">
        <f t="shared" ca="1" si="14"/>
        <v>0</v>
      </c>
      <c r="P38" s="485">
        <f t="shared" ca="1" si="14"/>
        <v>0</v>
      </c>
      <c r="Q38" s="490">
        <f t="shared" ca="1" si="20"/>
        <v>126192378.85448729</v>
      </c>
      <c r="R38" s="487">
        <f t="shared" ca="1" si="26"/>
        <v>124604676.64</v>
      </c>
      <c r="S38" s="487">
        <f t="shared" ca="1" si="26"/>
        <v>0</v>
      </c>
      <c r="T38" s="487">
        <f t="shared" ca="1" si="26"/>
        <v>0</v>
      </c>
      <c r="U38" s="487">
        <f t="shared" ca="1" si="26"/>
        <v>1587702.2144872805</v>
      </c>
      <c r="V38" s="487">
        <f t="shared" ca="1" si="26"/>
        <v>0</v>
      </c>
      <c r="W38" s="487">
        <f t="shared" ca="1" si="26"/>
        <v>0</v>
      </c>
      <c r="X38" s="490">
        <f t="shared" ca="1" si="21"/>
        <v>126192378.85448729</v>
      </c>
      <c r="Y38" s="487">
        <f t="shared" ca="1" si="27"/>
        <v>125408784.08</v>
      </c>
      <c r="Z38" s="487">
        <f t="shared" ca="1" si="27"/>
        <v>490332.83</v>
      </c>
      <c r="AA38" s="487">
        <f t="shared" ca="1" si="27"/>
        <v>0</v>
      </c>
      <c r="AB38" s="487">
        <f t="shared" ca="1" si="27"/>
        <v>-1.0512720014048682E-2</v>
      </c>
      <c r="AC38" s="487">
        <f t="shared" ca="1" si="27"/>
        <v>227027.16499999998</v>
      </c>
      <c r="AD38" s="487">
        <f t="shared" ca="1" si="27"/>
        <v>0</v>
      </c>
      <c r="AE38" s="490">
        <f t="shared" ca="1" si="22"/>
        <v>126126144.06448728</v>
      </c>
      <c r="AF38" s="487">
        <f t="shared" ca="1" si="28"/>
        <v>125408784.08</v>
      </c>
      <c r="AG38" s="487">
        <f t="shared" ca="1" si="28"/>
        <v>490332.83</v>
      </c>
      <c r="AH38" s="487">
        <f t="shared" ca="1" si="28"/>
        <v>0</v>
      </c>
      <c r="AI38" s="487">
        <f t="shared" ca="1" si="28"/>
        <v>-8.000000030733645E-3</v>
      </c>
      <c r="AJ38" s="487">
        <f t="shared" ca="1" si="28"/>
        <v>227027.16499999998</v>
      </c>
      <c r="AK38" s="487">
        <f t="shared" ca="1" si="28"/>
        <v>0</v>
      </c>
      <c r="AL38" s="490">
        <f t="shared" ca="1" si="23"/>
        <v>126126144.067</v>
      </c>
      <c r="AM38" s="494">
        <f t="shared" ca="1" si="24"/>
        <v>631091310.39454913</v>
      </c>
    </row>
    <row r="39" spans="1:39" ht="16">
      <c r="A39" s="709" t="str">
        <f t="shared" si="18"/>
        <v>6.3.</v>
      </c>
      <c r="B39" s="200">
        <v>15</v>
      </c>
      <c r="C39" s="471" t="str">
        <f t="array" ref="C39">IFERROR(INDEX(Descendent,MATCH(0,
IF((Nivel=$A$23),
COUNTIF($C$24:C38,Descendent),""),0)),"")</f>
        <v>6.3.  Consolidarea capacităților resurselor umane implicate în controlul TB</v>
      </c>
      <c r="D39" s="462">
        <f t="shared" ca="1" si="25"/>
        <v>0</v>
      </c>
      <c r="E39" s="463">
        <f t="shared" ca="1" si="25"/>
        <v>588371</v>
      </c>
      <c r="F39" s="463">
        <f t="shared" ca="1" si="25"/>
        <v>0</v>
      </c>
      <c r="G39" s="485">
        <f t="shared" ca="1" si="25"/>
        <v>1305072.9630814898</v>
      </c>
      <c r="H39" s="485">
        <f t="shared" ca="1" si="25"/>
        <v>0</v>
      </c>
      <c r="I39" s="485">
        <f t="shared" ca="1" si="25"/>
        <v>0</v>
      </c>
      <c r="J39" s="490">
        <f t="shared" ca="1" si="19"/>
        <v>1893443.9630814898</v>
      </c>
      <c r="K39" s="487">
        <f t="shared" ca="1" si="14"/>
        <v>0</v>
      </c>
      <c r="L39" s="463">
        <f t="shared" ca="1" si="14"/>
        <v>588371</v>
      </c>
      <c r="M39" s="463">
        <f t="shared" ca="1" si="14"/>
        <v>0</v>
      </c>
      <c r="N39" s="485">
        <f t="shared" ca="1" si="14"/>
        <v>610619.81308148999</v>
      </c>
      <c r="O39" s="485">
        <f t="shared" ca="1" si="14"/>
        <v>0</v>
      </c>
      <c r="P39" s="485">
        <f t="shared" ca="1" si="14"/>
        <v>0</v>
      </c>
      <c r="Q39" s="490">
        <f t="shared" ca="1" si="20"/>
        <v>1198990.8130814899</v>
      </c>
      <c r="R39" s="487">
        <f t="shared" ca="1" si="26"/>
        <v>0</v>
      </c>
      <c r="S39" s="487">
        <f t="shared" ca="1" si="26"/>
        <v>588371</v>
      </c>
      <c r="T39" s="487">
        <f t="shared" ca="1" si="26"/>
        <v>0</v>
      </c>
      <c r="U39" s="487">
        <f t="shared" ca="1" si="26"/>
        <v>570619.81308148999</v>
      </c>
      <c r="V39" s="487">
        <f t="shared" ca="1" si="26"/>
        <v>0</v>
      </c>
      <c r="W39" s="487">
        <f t="shared" ca="1" si="26"/>
        <v>0</v>
      </c>
      <c r="X39" s="490">
        <f t="shared" ca="1" si="21"/>
        <v>1158990.8130814899</v>
      </c>
      <c r="Y39" s="487">
        <f t="shared" ca="1" si="27"/>
        <v>0</v>
      </c>
      <c r="Z39" s="487">
        <f t="shared" ca="1" si="27"/>
        <v>588371</v>
      </c>
      <c r="AA39" s="487">
        <f t="shared" ca="1" si="27"/>
        <v>0</v>
      </c>
      <c r="AB39" s="487">
        <f t="shared" ca="1" si="27"/>
        <v>0</v>
      </c>
      <c r="AC39" s="487">
        <f t="shared" ca="1" si="27"/>
        <v>0</v>
      </c>
      <c r="AD39" s="487">
        <f t="shared" ca="1" si="27"/>
        <v>0</v>
      </c>
      <c r="AE39" s="490">
        <f t="shared" ca="1" si="22"/>
        <v>588371</v>
      </c>
      <c r="AF39" s="487">
        <f t="shared" ca="1" si="28"/>
        <v>0</v>
      </c>
      <c r="AG39" s="487">
        <f t="shared" ca="1" si="28"/>
        <v>588371</v>
      </c>
      <c r="AH39" s="487">
        <f t="shared" ca="1" si="28"/>
        <v>0</v>
      </c>
      <c r="AI39" s="487">
        <f t="shared" ca="1" si="28"/>
        <v>0</v>
      </c>
      <c r="AJ39" s="487">
        <f t="shared" ca="1" si="28"/>
        <v>0</v>
      </c>
      <c r="AK39" s="487">
        <f t="shared" ca="1" si="28"/>
        <v>0</v>
      </c>
      <c r="AL39" s="490">
        <f t="shared" ca="1" si="23"/>
        <v>588371</v>
      </c>
      <c r="AM39" s="494">
        <f t="shared" ca="1" si="24"/>
        <v>5428167.58924447</v>
      </c>
    </row>
    <row r="40" spans="1:39" ht="48">
      <c r="A40" s="709" t="str">
        <f t="shared" si="18"/>
        <v>6.4.</v>
      </c>
      <c r="B40" s="200">
        <v>16</v>
      </c>
      <c r="C40" s="471" t="str">
        <f t="array" ref="C40">IFERROR(INDEX(Descendent,MATCH(0,
IF((Nivel=$A$23),
COUNTIF($C$24:C39,Descendent),""),0)),"")</f>
        <v>6.4.  Elaborarea actelor normative pentru supravegherea bazată pe date individuale,  îmbunătățind calitatea înregistrării actelor de stare civilă, calitatea și utilizarea rațională a medicamentelor și farmacovigilența</v>
      </c>
      <c r="D40" s="462">
        <f t="shared" ca="1" si="25"/>
        <v>0</v>
      </c>
      <c r="E40" s="463">
        <f t="shared" ca="1" si="25"/>
        <v>0</v>
      </c>
      <c r="F40" s="463">
        <f t="shared" ca="1" si="25"/>
        <v>0</v>
      </c>
      <c r="G40" s="485">
        <f t="shared" ca="1" si="25"/>
        <v>0</v>
      </c>
      <c r="H40" s="485">
        <f t="shared" ca="1" si="25"/>
        <v>0</v>
      </c>
      <c r="I40" s="485">
        <f t="shared" ca="1" si="25"/>
        <v>0</v>
      </c>
      <c r="J40" s="490">
        <f t="shared" ca="1" si="19"/>
        <v>0</v>
      </c>
      <c r="K40" s="487">
        <f t="shared" ca="1" si="14"/>
        <v>0</v>
      </c>
      <c r="L40" s="463">
        <f t="shared" ca="1" si="14"/>
        <v>0</v>
      </c>
      <c r="M40" s="463">
        <f t="shared" ca="1" si="14"/>
        <v>0</v>
      </c>
      <c r="N40" s="485">
        <f t="shared" ca="1" si="14"/>
        <v>0</v>
      </c>
      <c r="O40" s="485">
        <f t="shared" ca="1" si="14"/>
        <v>0</v>
      </c>
      <c r="P40" s="485">
        <f t="shared" ca="1" si="14"/>
        <v>0</v>
      </c>
      <c r="Q40" s="490">
        <f t="shared" ca="1" si="20"/>
        <v>0</v>
      </c>
      <c r="R40" s="487">
        <f t="shared" ca="1" si="26"/>
        <v>0</v>
      </c>
      <c r="S40" s="487">
        <f t="shared" ca="1" si="26"/>
        <v>0</v>
      </c>
      <c r="T40" s="487">
        <f t="shared" ca="1" si="26"/>
        <v>0</v>
      </c>
      <c r="U40" s="487">
        <f t="shared" ca="1" si="26"/>
        <v>0</v>
      </c>
      <c r="V40" s="487">
        <f t="shared" ca="1" si="26"/>
        <v>0</v>
      </c>
      <c r="W40" s="487">
        <f t="shared" ca="1" si="26"/>
        <v>0</v>
      </c>
      <c r="X40" s="490">
        <f t="shared" ca="1" si="21"/>
        <v>0</v>
      </c>
      <c r="Y40" s="487">
        <f t="shared" ca="1" si="27"/>
        <v>0</v>
      </c>
      <c r="Z40" s="487">
        <f t="shared" ca="1" si="27"/>
        <v>0</v>
      </c>
      <c r="AA40" s="487">
        <f t="shared" ca="1" si="27"/>
        <v>0</v>
      </c>
      <c r="AB40" s="487">
        <f t="shared" ca="1" si="27"/>
        <v>0</v>
      </c>
      <c r="AC40" s="487">
        <f t="shared" ca="1" si="27"/>
        <v>0</v>
      </c>
      <c r="AD40" s="487">
        <f t="shared" ca="1" si="27"/>
        <v>0</v>
      </c>
      <c r="AE40" s="490">
        <f t="shared" ca="1" si="22"/>
        <v>0</v>
      </c>
      <c r="AF40" s="487">
        <f t="shared" ca="1" si="28"/>
        <v>0</v>
      </c>
      <c r="AG40" s="487">
        <f t="shared" ca="1" si="28"/>
        <v>0</v>
      </c>
      <c r="AH40" s="487">
        <f t="shared" ca="1" si="28"/>
        <v>0</v>
      </c>
      <c r="AI40" s="487">
        <f t="shared" ca="1" si="28"/>
        <v>0</v>
      </c>
      <c r="AJ40" s="487">
        <f t="shared" ca="1" si="28"/>
        <v>0</v>
      </c>
      <c r="AK40" s="487">
        <f t="shared" ca="1" si="28"/>
        <v>0</v>
      </c>
      <c r="AL40" s="490">
        <f t="shared" ca="1" si="23"/>
        <v>0</v>
      </c>
      <c r="AM40" s="494">
        <f t="shared" ca="1" si="24"/>
        <v>0</v>
      </c>
    </row>
    <row r="41" spans="1:39" ht="32">
      <c r="A41" s="709" t="str">
        <f t="shared" si="18"/>
        <v>6.5.</v>
      </c>
      <c r="B41" s="200">
        <v>17</v>
      </c>
      <c r="C41" s="471" t="str">
        <f t="array" ref="C41">IFERROR(INDEX(Descendent,MATCH(0,
IF((Nivel=$A$23),
COUNTIF($C$24:C40,Descendent),""),0)),"")</f>
        <v>6.5.  Fortificarea implicării comunității și OSC în controlul TB prin abordare centrată pe persoană</v>
      </c>
      <c r="D41" s="462">
        <f t="shared" ca="1" si="25"/>
        <v>0</v>
      </c>
      <c r="E41" s="463">
        <f t="shared" ca="1" si="25"/>
        <v>0</v>
      </c>
      <c r="F41" s="463">
        <f t="shared" ca="1" si="25"/>
        <v>0</v>
      </c>
      <c r="G41" s="485">
        <f t="shared" ca="1" si="25"/>
        <v>3179779.5350000001</v>
      </c>
      <c r="H41" s="485">
        <f t="shared" ca="1" si="25"/>
        <v>0</v>
      </c>
      <c r="I41" s="485">
        <f t="shared" ca="1" si="25"/>
        <v>0</v>
      </c>
      <c r="J41" s="490">
        <f t="shared" ca="1" si="19"/>
        <v>3179779.5350000001</v>
      </c>
      <c r="K41" s="487">
        <f t="shared" ca="1" si="14"/>
        <v>0</v>
      </c>
      <c r="L41" s="463">
        <f t="shared" ca="1" si="14"/>
        <v>0</v>
      </c>
      <c r="M41" s="463">
        <f t="shared" ca="1" si="14"/>
        <v>0</v>
      </c>
      <c r="N41" s="485">
        <f t="shared" ca="1" si="14"/>
        <v>3586111.89</v>
      </c>
      <c r="O41" s="485">
        <f t="shared" ca="1" si="14"/>
        <v>0</v>
      </c>
      <c r="P41" s="485">
        <f t="shared" ca="1" si="14"/>
        <v>0</v>
      </c>
      <c r="Q41" s="490">
        <f t="shared" ca="1" si="20"/>
        <v>3586111.89</v>
      </c>
      <c r="R41" s="487">
        <f t="shared" ca="1" si="26"/>
        <v>0</v>
      </c>
      <c r="S41" s="487">
        <f t="shared" ca="1" si="26"/>
        <v>0</v>
      </c>
      <c r="T41" s="487">
        <f t="shared" ca="1" si="26"/>
        <v>0</v>
      </c>
      <c r="U41" s="487">
        <f t="shared" ca="1" si="26"/>
        <v>3925262.5300000003</v>
      </c>
      <c r="V41" s="487">
        <f t="shared" ca="1" si="26"/>
        <v>0</v>
      </c>
      <c r="W41" s="487">
        <f t="shared" ca="1" si="26"/>
        <v>0</v>
      </c>
      <c r="X41" s="490">
        <f t="shared" ca="1" si="21"/>
        <v>3925262.5300000003</v>
      </c>
      <c r="Y41" s="487">
        <f t="shared" ca="1" si="27"/>
        <v>1901603.7250000001</v>
      </c>
      <c r="Z41" s="487">
        <f t="shared" ca="1" si="27"/>
        <v>0</v>
      </c>
      <c r="AA41" s="487">
        <f t="shared" ca="1" si="27"/>
        <v>0</v>
      </c>
      <c r="AB41" s="487">
        <f t="shared" ca="1" si="27"/>
        <v>0</v>
      </c>
      <c r="AC41" s="487">
        <f t="shared" ca="1" si="27"/>
        <v>618388.56000000006</v>
      </c>
      <c r="AD41" s="487">
        <f t="shared" ca="1" si="27"/>
        <v>0</v>
      </c>
      <c r="AE41" s="490">
        <f t="shared" ca="1" si="22"/>
        <v>2519992.2850000001</v>
      </c>
      <c r="AF41" s="487">
        <f t="shared" ca="1" si="28"/>
        <v>1845597.27</v>
      </c>
      <c r="AG41" s="487">
        <f t="shared" ca="1" si="28"/>
        <v>0</v>
      </c>
      <c r="AH41" s="487">
        <f t="shared" ca="1" si="28"/>
        <v>0</v>
      </c>
      <c r="AI41" s="487">
        <f t="shared" ca="1" si="28"/>
        <v>0</v>
      </c>
      <c r="AJ41" s="487">
        <f t="shared" ca="1" si="28"/>
        <v>619788.15500000003</v>
      </c>
      <c r="AK41" s="487">
        <f t="shared" ca="1" si="28"/>
        <v>0</v>
      </c>
      <c r="AL41" s="490">
        <f t="shared" ca="1" si="23"/>
        <v>2465385.4249999998</v>
      </c>
      <c r="AM41" s="494">
        <f t="shared" ca="1" si="24"/>
        <v>15676531.665000003</v>
      </c>
    </row>
    <row r="42" spans="1:39" ht="32">
      <c r="A42" s="709" t="str">
        <f t="shared" si="18"/>
        <v>6.6.</v>
      </c>
      <c r="B42" s="200">
        <v>18</v>
      </c>
      <c r="C42" s="471" t="str">
        <f t="array" ref="C42">IFERROR(INDEX(Descendent,MATCH(0,
IF((Nivel=$A$23),
COUNTIF($C$24:C41,Descendent),""),0)),"")</f>
        <v xml:space="preserve">6.6.  Protecția socială, reducerea sărăciei și acțiuni asupra altor factori determinanți ai TB, inclusiv printre migranți si deținuți </v>
      </c>
      <c r="D42" s="462">
        <f t="shared" ca="1" si="25"/>
        <v>0</v>
      </c>
      <c r="E42" s="463">
        <f t="shared" ca="1" si="25"/>
        <v>0</v>
      </c>
      <c r="F42" s="463">
        <f t="shared" ca="1" si="25"/>
        <v>0</v>
      </c>
      <c r="G42" s="485">
        <f t="shared" ca="1" si="25"/>
        <v>439288.83999999997</v>
      </c>
      <c r="H42" s="485">
        <f t="shared" ca="1" si="25"/>
        <v>0</v>
      </c>
      <c r="I42" s="485">
        <f t="shared" ca="1" si="25"/>
        <v>0</v>
      </c>
      <c r="J42" s="490">
        <f t="shared" ca="1" si="19"/>
        <v>439288.83999999997</v>
      </c>
      <c r="K42" s="487">
        <f t="shared" ca="1" si="14"/>
        <v>0</v>
      </c>
      <c r="L42" s="463">
        <f t="shared" ca="1" si="14"/>
        <v>0</v>
      </c>
      <c r="M42" s="463">
        <f t="shared" ca="1" si="14"/>
        <v>0</v>
      </c>
      <c r="N42" s="485">
        <f t="shared" ca="1" si="14"/>
        <v>391877.57</v>
      </c>
      <c r="O42" s="485">
        <f t="shared" ca="1" si="14"/>
        <v>0</v>
      </c>
      <c r="P42" s="485">
        <f t="shared" ca="1" si="14"/>
        <v>0</v>
      </c>
      <c r="Q42" s="490">
        <f t="shared" ca="1" si="20"/>
        <v>391877.57</v>
      </c>
      <c r="R42" s="487">
        <f t="shared" ca="1" si="26"/>
        <v>0</v>
      </c>
      <c r="S42" s="487">
        <f t="shared" ca="1" si="26"/>
        <v>0</v>
      </c>
      <c r="T42" s="487">
        <f t="shared" ca="1" si="26"/>
        <v>0</v>
      </c>
      <c r="U42" s="487">
        <f t="shared" ca="1" si="26"/>
        <v>385553.51</v>
      </c>
      <c r="V42" s="487">
        <f t="shared" ca="1" si="26"/>
        <v>0</v>
      </c>
      <c r="W42" s="487">
        <f t="shared" ca="1" si="26"/>
        <v>0</v>
      </c>
      <c r="X42" s="490">
        <f t="shared" ca="1" si="21"/>
        <v>385553.51</v>
      </c>
      <c r="Y42" s="487">
        <f t="shared" ca="1" si="27"/>
        <v>0</v>
      </c>
      <c r="Z42" s="487">
        <f t="shared" ca="1" si="27"/>
        <v>0</v>
      </c>
      <c r="AA42" s="487">
        <f t="shared" ca="1" si="27"/>
        <v>0</v>
      </c>
      <c r="AB42" s="487">
        <f t="shared" ca="1" si="27"/>
        <v>0</v>
      </c>
      <c r="AC42" s="487">
        <f t="shared" ca="1" si="27"/>
        <v>0</v>
      </c>
      <c r="AD42" s="487">
        <f t="shared" ca="1" si="27"/>
        <v>0</v>
      </c>
      <c r="AE42" s="490">
        <f t="shared" ca="1" si="22"/>
        <v>0</v>
      </c>
      <c r="AF42" s="487">
        <f t="shared" ca="1" si="28"/>
        <v>0</v>
      </c>
      <c r="AG42" s="487">
        <f t="shared" ca="1" si="28"/>
        <v>0</v>
      </c>
      <c r="AH42" s="487">
        <f t="shared" ca="1" si="28"/>
        <v>0</v>
      </c>
      <c r="AI42" s="487">
        <f t="shared" ca="1" si="28"/>
        <v>0</v>
      </c>
      <c r="AJ42" s="487">
        <f t="shared" ca="1" si="28"/>
        <v>0</v>
      </c>
      <c r="AK42" s="487">
        <f t="shared" ca="1" si="28"/>
        <v>0</v>
      </c>
      <c r="AL42" s="490">
        <f t="shared" ca="1" si="23"/>
        <v>0</v>
      </c>
      <c r="AM42" s="494">
        <f t="shared" ca="1" si="24"/>
        <v>1216719.92</v>
      </c>
    </row>
    <row r="43" spans="1:39" ht="48">
      <c r="A43" s="709" t="str">
        <f t="shared" si="18"/>
        <v>6.7.</v>
      </c>
      <c r="B43" s="200">
        <v>19</v>
      </c>
      <c r="C43" s="471" t="str">
        <f t="array" ref="C43">IFERROR(INDEX(Descendent,MATCH(0,
IF((Nivel=$A$23),
COUNTIF($C$24:C42,Descendent),""),0)),"")</f>
        <v>6.7.  Realizarea Strategiei de pledoarie, comunicare și mobilizare socială în controlul TB, inclusiv prin reducerea stigmei și discriminării, cu alocarea resurselor necesare</v>
      </c>
      <c r="D43" s="462">
        <f t="shared" ca="1" si="25"/>
        <v>0</v>
      </c>
      <c r="E43" s="463">
        <f t="shared" ca="1" si="25"/>
        <v>0</v>
      </c>
      <c r="F43" s="463">
        <f t="shared" ca="1" si="25"/>
        <v>0</v>
      </c>
      <c r="G43" s="485">
        <f t="shared" ca="1" si="25"/>
        <v>279201.2</v>
      </c>
      <c r="H43" s="485">
        <f t="shared" ca="1" si="25"/>
        <v>0</v>
      </c>
      <c r="I43" s="485">
        <f t="shared" ca="1" si="25"/>
        <v>0</v>
      </c>
      <c r="J43" s="490">
        <f t="shared" ca="1" si="19"/>
        <v>279201.2</v>
      </c>
      <c r="K43" s="487">
        <f t="shared" ca="1" si="14"/>
        <v>0</v>
      </c>
      <c r="L43" s="463">
        <f t="shared" ca="1" si="14"/>
        <v>0</v>
      </c>
      <c r="M43" s="463">
        <f t="shared" ca="1" si="14"/>
        <v>0</v>
      </c>
      <c r="N43" s="485">
        <f t="shared" ca="1" si="14"/>
        <v>173941.2</v>
      </c>
      <c r="O43" s="485">
        <f t="shared" ca="1" si="14"/>
        <v>0</v>
      </c>
      <c r="P43" s="485">
        <f t="shared" ca="1" si="14"/>
        <v>0</v>
      </c>
      <c r="Q43" s="490">
        <f t="shared" ca="1" si="20"/>
        <v>173941.2</v>
      </c>
      <c r="R43" s="487">
        <f t="shared" ca="1" si="26"/>
        <v>0</v>
      </c>
      <c r="S43" s="487">
        <f t="shared" ca="1" si="26"/>
        <v>0</v>
      </c>
      <c r="T43" s="487">
        <f t="shared" ca="1" si="26"/>
        <v>0</v>
      </c>
      <c r="U43" s="487">
        <f t="shared" ca="1" si="26"/>
        <v>136393.20000000001</v>
      </c>
      <c r="V43" s="487">
        <f t="shared" ca="1" si="26"/>
        <v>0</v>
      </c>
      <c r="W43" s="487">
        <f t="shared" ca="1" si="26"/>
        <v>0</v>
      </c>
      <c r="X43" s="490">
        <f t="shared" ca="1" si="21"/>
        <v>136393.20000000001</v>
      </c>
      <c r="Y43" s="487">
        <f t="shared" ca="1" si="27"/>
        <v>0</v>
      </c>
      <c r="Z43" s="487">
        <f t="shared" ca="1" si="27"/>
        <v>0</v>
      </c>
      <c r="AA43" s="487">
        <f t="shared" ca="1" si="27"/>
        <v>0</v>
      </c>
      <c r="AB43" s="487">
        <f t="shared" ca="1" si="27"/>
        <v>0</v>
      </c>
      <c r="AC43" s="487">
        <f t="shared" ca="1" si="27"/>
        <v>0</v>
      </c>
      <c r="AD43" s="487">
        <f t="shared" ca="1" si="27"/>
        <v>0</v>
      </c>
      <c r="AE43" s="490">
        <f t="shared" ca="1" si="22"/>
        <v>0</v>
      </c>
      <c r="AF43" s="487">
        <f t="shared" ca="1" si="28"/>
        <v>0</v>
      </c>
      <c r="AG43" s="487">
        <f t="shared" ca="1" si="28"/>
        <v>0</v>
      </c>
      <c r="AH43" s="487">
        <f t="shared" ca="1" si="28"/>
        <v>0</v>
      </c>
      <c r="AI43" s="487">
        <f t="shared" ca="1" si="28"/>
        <v>0</v>
      </c>
      <c r="AJ43" s="487">
        <f t="shared" ca="1" si="28"/>
        <v>0</v>
      </c>
      <c r="AK43" s="487">
        <f t="shared" ca="1" si="28"/>
        <v>0</v>
      </c>
      <c r="AL43" s="490">
        <f t="shared" ca="1" si="23"/>
        <v>0</v>
      </c>
      <c r="AM43" s="494">
        <f t="shared" ca="1" si="24"/>
        <v>589535.60000000009</v>
      </c>
    </row>
    <row r="44" spans="1:39" ht="16">
      <c r="A44" s="709" t="str">
        <f t="shared" si="18"/>
        <v>7.1.</v>
      </c>
      <c r="B44" s="200">
        <v>20</v>
      </c>
      <c r="C44" s="471" t="str">
        <f t="array" ref="C44">IFERROR(INDEX(Descendent,MATCH(0,
IF((Nivel=$A$23),
COUNTIF($C$24:C43,Descendent),""),0)),"")</f>
        <v>7.1.  Efectuarea cercetărilor științifice aplicative</v>
      </c>
      <c r="D44" s="462">
        <f t="shared" ca="1" si="25"/>
        <v>0</v>
      </c>
      <c r="E44" s="463">
        <f t="shared" ca="1" si="25"/>
        <v>2188724</v>
      </c>
      <c r="F44" s="463">
        <f t="shared" ca="1" si="25"/>
        <v>0</v>
      </c>
      <c r="G44" s="485">
        <f t="shared" ca="1" si="25"/>
        <v>0</v>
      </c>
      <c r="H44" s="485">
        <f t="shared" ca="1" si="25"/>
        <v>0</v>
      </c>
      <c r="I44" s="485">
        <f t="shared" ca="1" si="25"/>
        <v>0</v>
      </c>
      <c r="J44" s="490">
        <f t="shared" ca="1" si="19"/>
        <v>2188724</v>
      </c>
      <c r="K44" s="487">
        <f t="shared" ca="1" si="14"/>
        <v>0</v>
      </c>
      <c r="L44" s="463">
        <f t="shared" ca="1" si="14"/>
        <v>2424160</v>
      </c>
      <c r="M44" s="463">
        <f t="shared" ca="1" si="14"/>
        <v>0</v>
      </c>
      <c r="N44" s="485">
        <f t="shared" ca="1" si="14"/>
        <v>0</v>
      </c>
      <c r="O44" s="485">
        <f t="shared" ca="1" si="14"/>
        <v>0</v>
      </c>
      <c r="P44" s="485">
        <f t="shared" ca="1" si="14"/>
        <v>0</v>
      </c>
      <c r="Q44" s="490">
        <f t="shared" ca="1" si="20"/>
        <v>2424160</v>
      </c>
      <c r="R44" s="487">
        <f t="shared" ca="1" si="26"/>
        <v>0</v>
      </c>
      <c r="S44" s="487">
        <f t="shared" ca="1" si="26"/>
        <v>2625367</v>
      </c>
      <c r="T44" s="487">
        <f t="shared" ca="1" si="26"/>
        <v>0</v>
      </c>
      <c r="U44" s="487">
        <f t="shared" ca="1" si="26"/>
        <v>0</v>
      </c>
      <c r="V44" s="487">
        <f t="shared" ca="1" si="26"/>
        <v>0</v>
      </c>
      <c r="W44" s="487">
        <f t="shared" ca="1" si="26"/>
        <v>0</v>
      </c>
      <c r="X44" s="490">
        <f t="shared" ca="1" si="21"/>
        <v>2625367</v>
      </c>
      <c r="Y44" s="487">
        <f t="shared" ca="1" si="27"/>
        <v>0</v>
      </c>
      <c r="Z44" s="487">
        <f t="shared" ca="1" si="27"/>
        <v>2853809</v>
      </c>
      <c r="AA44" s="487">
        <f t="shared" ca="1" si="27"/>
        <v>0</v>
      </c>
      <c r="AB44" s="487">
        <f t="shared" ca="1" si="27"/>
        <v>0</v>
      </c>
      <c r="AC44" s="487">
        <f t="shared" ca="1" si="27"/>
        <v>0</v>
      </c>
      <c r="AD44" s="487">
        <f t="shared" ca="1" si="27"/>
        <v>0</v>
      </c>
      <c r="AE44" s="490">
        <f t="shared" ca="1" si="22"/>
        <v>2853809</v>
      </c>
      <c r="AF44" s="487">
        <f t="shared" ca="1" si="28"/>
        <v>0</v>
      </c>
      <c r="AG44" s="487">
        <f t="shared" ca="1" si="28"/>
        <v>3076500</v>
      </c>
      <c r="AH44" s="487">
        <f t="shared" ca="1" si="28"/>
        <v>0</v>
      </c>
      <c r="AI44" s="487">
        <f t="shared" ca="1" si="28"/>
        <v>0</v>
      </c>
      <c r="AJ44" s="487">
        <f t="shared" ca="1" si="28"/>
        <v>0</v>
      </c>
      <c r="AK44" s="487">
        <f t="shared" ca="1" si="28"/>
        <v>0</v>
      </c>
      <c r="AL44" s="490">
        <f t="shared" ca="1" si="23"/>
        <v>3076500</v>
      </c>
      <c r="AM44" s="494">
        <f t="shared" ca="1" si="24"/>
        <v>13168560</v>
      </c>
    </row>
    <row r="45" spans="1:39" ht="16">
      <c r="A45" s="709" t="str">
        <f t="shared" si="18"/>
        <v>7.2.</v>
      </c>
      <c r="B45" s="200">
        <v>21</v>
      </c>
      <c r="C45" s="471" t="str">
        <f t="array" ref="C45">IFERROR(INDEX(Descendent,MATCH(0,
IF((Nivel=$A$23),
COUNTIF($C$24:C44,Descendent),""),0)),"")</f>
        <v>7.2.  Realizarea studiilor operaționale</v>
      </c>
      <c r="D45" s="462">
        <f t="shared" ref="D45:I54" ca="1" si="29">SUMIFS(_2021_Total,Buget_detal_sursa,D$24,Buget_detal_dir_act,$C45)</f>
        <v>0</v>
      </c>
      <c r="E45" s="463">
        <f t="shared" ca="1" si="29"/>
        <v>0</v>
      </c>
      <c r="F45" s="463">
        <f t="shared" ca="1" si="29"/>
        <v>0</v>
      </c>
      <c r="G45" s="485">
        <f t="shared" ca="1" si="29"/>
        <v>558750</v>
      </c>
      <c r="H45" s="485">
        <f t="shared" ca="1" si="29"/>
        <v>0</v>
      </c>
      <c r="I45" s="485">
        <f t="shared" ca="1" si="29"/>
        <v>0</v>
      </c>
      <c r="J45" s="490">
        <f t="shared" ca="1" si="19"/>
        <v>558750</v>
      </c>
      <c r="K45" s="487">
        <f t="shared" ca="1" si="14"/>
        <v>0</v>
      </c>
      <c r="L45" s="463">
        <f t="shared" ca="1" si="14"/>
        <v>0</v>
      </c>
      <c r="M45" s="463">
        <f t="shared" ca="1" si="14"/>
        <v>0</v>
      </c>
      <c r="N45" s="485">
        <f t="shared" ca="1" si="14"/>
        <v>256000</v>
      </c>
      <c r="O45" s="485">
        <f t="shared" ca="1" si="14"/>
        <v>0</v>
      </c>
      <c r="P45" s="485">
        <f t="shared" ca="1" si="14"/>
        <v>0</v>
      </c>
      <c r="Q45" s="490">
        <f t="shared" ca="1" si="20"/>
        <v>256000</v>
      </c>
      <c r="R45" s="487">
        <f t="shared" ref="R45:W54" ca="1" si="30">SUMIFS(_2023_Total,Buget_detal_sursa,R$24,Buget_detal_dir_act,$C45)</f>
        <v>0</v>
      </c>
      <c r="S45" s="487">
        <f t="shared" ca="1" si="30"/>
        <v>0</v>
      </c>
      <c r="T45" s="487">
        <f t="shared" ca="1" si="30"/>
        <v>0</v>
      </c>
      <c r="U45" s="487">
        <f t="shared" ca="1" si="30"/>
        <v>256000</v>
      </c>
      <c r="V45" s="487">
        <f t="shared" ca="1" si="30"/>
        <v>0</v>
      </c>
      <c r="W45" s="487">
        <f t="shared" ca="1" si="30"/>
        <v>0</v>
      </c>
      <c r="X45" s="490">
        <f t="shared" ca="1" si="21"/>
        <v>256000</v>
      </c>
      <c r="Y45" s="487">
        <f t="shared" ref="Y45:AD54" ca="1" si="31">SUMIFS(_2024_Total,Buget_detal_sursa,Y$24,Buget_detal_dir_act,$C45)</f>
        <v>0</v>
      </c>
      <c r="Z45" s="487">
        <f t="shared" ca="1" si="31"/>
        <v>0</v>
      </c>
      <c r="AA45" s="487">
        <f t="shared" ca="1" si="31"/>
        <v>0</v>
      </c>
      <c r="AB45" s="487">
        <f t="shared" ca="1" si="31"/>
        <v>0</v>
      </c>
      <c r="AC45" s="487">
        <f t="shared" ca="1" si="31"/>
        <v>0</v>
      </c>
      <c r="AD45" s="487">
        <f t="shared" ca="1" si="31"/>
        <v>0</v>
      </c>
      <c r="AE45" s="490">
        <f t="shared" ca="1" si="22"/>
        <v>0</v>
      </c>
      <c r="AF45" s="487">
        <f t="shared" ref="AF45:AK54" ca="1" si="32">SUMIFS(_2025_Total,Buget_detal_sursa,AF$24,Buget_detal_dir_act,$C45)</f>
        <v>256000</v>
      </c>
      <c r="AG45" s="487">
        <f t="shared" ca="1" si="32"/>
        <v>0</v>
      </c>
      <c r="AH45" s="487">
        <f t="shared" ca="1" si="32"/>
        <v>0</v>
      </c>
      <c r="AI45" s="487">
        <f t="shared" ca="1" si="32"/>
        <v>0</v>
      </c>
      <c r="AJ45" s="487">
        <f t="shared" ca="1" si="32"/>
        <v>0</v>
      </c>
      <c r="AK45" s="487">
        <f t="shared" ca="1" si="32"/>
        <v>0</v>
      </c>
      <c r="AL45" s="490">
        <f t="shared" ca="1" si="23"/>
        <v>256000</v>
      </c>
      <c r="AM45" s="494">
        <f t="shared" ca="1" si="24"/>
        <v>1326750</v>
      </c>
    </row>
    <row r="46" spans="1:39" ht="16">
      <c r="A46" s="709" t="str">
        <f t="shared" si="18"/>
        <v/>
      </c>
      <c r="B46" s="200">
        <v>22</v>
      </c>
      <c r="C46" s="471" t="str">
        <f t="array" ref="C46">IFERROR(INDEX(Descendent,MATCH(0,
IF((Nivel=$A$23),
COUNTIF($C$24:C45,Descendent),""),0)),"")</f>
        <v/>
      </c>
      <c r="D46" s="462">
        <f t="shared" ca="1" si="29"/>
        <v>0</v>
      </c>
      <c r="E46" s="463">
        <f t="shared" ca="1" si="29"/>
        <v>0</v>
      </c>
      <c r="F46" s="463">
        <f t="shared" ca="1" si="29"/>
        <v>0</v>
      </c>
      <c r="G46" s="485">
        <f t="shared" ca="1" si="29"/>
        <v>0</v>
      </c>
      <c r="H46" s="485">
        <f t="shared" ca="1" si="29"/>
        <v>0</v>
      </c>
      <c r="I46" s="485">
        <f t="shared" ca="1" si="29"/>
        <v>0</v>
      </c>
      <c r="J46" s="490">
        <f t="shared" ca="1" si="19"/>
        <v>0</v>
      </c>
      <c r="K46" s="487">
        <f t="shared" ca="1" si="14"/>
        <v>0</v>
      </c>
      <c r="L46" s="463">
        <f t="shared" ca="1" si="14"/>
        <v>0</v>
      </c>
      <c r="M46" s="463">
        <f t="shared" ca="1" si="14"/>
        <v>0</v>
      </c>
      <c r="N46" s="485">
        <f t="shared" ca="1" si="14"/>
        <v>0</v>
      </c>
      <c r="O46" s="485">
        <f t="shared" ca="1" si="14"/>
        <v>0</v>
      </c>
      <c r="P46" s="485">
        <f t="shared" ca="1" si="14"/>
        <v>0</v>
      </c>
      <c r="Q46" s="490">
        <f t="shared" ca="1" si="20"/>
        <v>0</v>
      </c>
      <c r="R46" s="487">
        <f t="shared" ca="1" si="30"/>
        <v>0</v>
      </c>
      <c r="S46" s="487">
        <f t="shared" ca="1" si="30"/>
        <v>0</v>
      </c>
      <c r="T46" s="487">
        <f t="shared" ca="1" si="30"/>
        <v>0</v>
      </c>
      <c r="U46" s="487">
        <f t="shared" ca="1" si="30"/>
        <v>0</v>
      </c>
      <c r="V46" s="487">
        <f t="shared" ca="1" si="30"/>
        <v>0</v>
      </c>
      <c r="W46" s="487">
        <f t="shared" ca="1" si="30"/>
        <v>0</v>
      </c>
      <c r="X46" s="490">
        <f t="shared" ca="1" si="21"/>
        <v>0</v>
      </c>
      <c r="Y46" s="487">
        <f t="shared" ca="1" si="31"/>
        <v>0</v>
      </c>
      <c r="Z46" s="487">
        <f t="shared" ca="1" si="31"/>
        <v>0</v>
      </c>
      <c r="AA46" s="487">
        <f t="shared" ca="1" si="31"/>
        <v>0</v>
      </c>
      <c r="AB46" s="487">
        <f t="shared" ca="1" si="31"/>
        <v>0</v>
      </c>
      <c r="AC46" s="487">
        <f t="shared" ca="1" si="31"/>
        <v>0</v>
      </c>
      <c r="AD46" s="487">
        <f t="shared" ca="1" si="31"/>
        <v>0</v>
      </c>
      <c r="AE46" s="490">
        <f t="shared" ca="1" si="22"/>
        <v>0</v>
      </c>
      <c r="AF46" s="487">
        <f t="shared" ca="1" si="32"/>
        <v>0</v>
      </c>
      <c r="AG46" s="487">
        <f t="shared" ca="1" si="32"/>
        <v>0</v>
      </c>
      <c r="AH46" s="487">
        <f t="shared" ca="1" si="32"/>
        <v>0</v>
      </c>
      <c r="AI46" s="487">
        <f t="shared" ca="1" si="32"/>
        <v>0</v>
      </c>
      <c r="AJ46" s="487">
        <f t="shared" ca="1" si="32"/>
        <v>0</v>
      </c>
      <c r="AK46" s="487">
        <f t="shared" ca="1" si="32"/>
        <v>0</v>
      </c>
      <c r="AL46" s="490">
        <f t="shared" ca="1" si="23"/>
        <v>0</v>
      </c>
      <c r="AM46" s="494">
        <f t="shared" ca="1" si="24"/>
        <v>0</v>
      </c>
    </row>
    <row r="47" spans="1:39" ht="16">
      <c r="A47" s="709" t="str">
        <f t="shared" si="18"/>
        <v/>
      </c>
      <c r="B47" s="200">
        <v>24</v>
      </c>
      <c r="C47" s="471" t="str">
        <f t="array" ref="C47">IFERROR(INDEX(Descendent,MATCH(0,
IF((Nivel=$A$23),
COUNTIF($C$24:C46,Descendent),""),0)),"")</f>
        <v/>
      </c>
      <c r="D47" s="462">
        <f t="shared" ca="1" si="29"/>
        <v>0</v>
      </c>
      <c r="E47" s="463">
        <f t="shared" ca="1" si="29"/>
        <v>0</v>
      </c>
      <c r="F47" s="463">
        <f t="shared" ca="1" si="29"/>
        <v>0</v>
      </c>
      <c r="G47" s="485">
        <f t="shared" ca="1" si="29"/>
        <v>0</v>
      </c>
      <c r="H47" s="485">
        <f t="shared" ca="1" si="29"/>
        <v>0</v>
      </c>
      <c r="I47" s="485">
        <f t="shared" ca="1" si="29"/>
        <v>0</v>
      </c>
      <c r="J47" s="490">
        <f t="shared" ca="1" si="19"/>
        <v>0</v>
      </c>
      <c r="K47" s="487">
        <f t="shared" ca="1" si="14"/>
        <v>0</v>
      </c>
      <c r="L47" s="463">
        <f t="shared" ca="1" si="14"/>
        <v>0</v>
      </c>
      <c r="M47" s="463">
        <f t="shared" ca="1" si="14"/>
        <v>0</v>
      </c>
      <c r="N47" s="485">
        <f t="shared" ca="1" si="14"/>
        <v>0</v>
      </c>
      <c r="O47" s="485">
        <f t="shared" ca="1" si="14"/>
        <v>0</v>
      </c>
      <c r="P47" s="485">
        <f t="shared" ca="1" si="14"/>
        <v>0</v>
      </c>
      <c r="Q47" s="490">
        <f t="shared" ca="1" si="20"/>
        <v>0</v>
      </c>
      <c r="R47" s="487">
        <f t="shared" ca="1" si="30"/>
        <v>0</v>
      </c>
      <c r="S47" s="487">
        <f t="shared" ca="1" si="30"/>
        <v>0</v>
      </c>
      <c r="T47" s="487">
        <f t="shared" ca="1" si="30"/>
        <v>0</v>
      </c>
      <c r="U47" s="487">
        <f t="shared" ca="1" si="30"/>
        <v>0</v>
      </c>
      <c r="V47" s="487">
        <f t="shared" ca="1" si="30"/>
        <v>0</v>
      </c>
      <c r="W47" s="487">
        <f t="shared" ca="1" si="30"/>
        <v>0</v>
      </c>
      <c r="X47" s="490">
        <f t="shared" ca="1" si="21"/>
        <v>0</v>
      </c>
      <c r="Y47" s="487">
        <f t="shared" ca="1" si="31"/>
        <v>0</v>
      </c>
      <c r="Z47" s="487">
        <f t="shared" ca="1" si="31"/>
        <v>0</v>
      </c>
      <c r="AA47" s="487">
        <f t="shared" ca="1" si="31"/>
        <v>0</v>
      </c>
      <c r="AB47" s="487">
        <f t="shared" ca="1" si="31"/>
        <v>0</v>
      </c>
      <c r="AC47" s="487">
        <f t="shared" ca="1" si="31"/>
        <v>0</v>
      </c>
      <c r="AD47" s="487">
        <f t="shared" ca="1" si="31"/>
        <v>0</v>
      </c>
      <c r="AE47" s="490">
        <f t="shared" ca="1" si="22"/>
        <v>0</v>
      </c>
      <c r="AF47" s="487">
        <f t="shared" ca="1" si="32"/>
        <v>0</v>
      </c>
      <c r="AG47" s="487">
        <f t="shared" ca="1" si="32"/>
        <v>0</v>
      </c>
      <c r="AH47" s="487">
        <f t="shared" ca="1" si="32"/>
        <v>0</v>
      </c>
      <c r="AI47" s="487">
        <f t="shared" ca="1" si="32"/>
        <v>0</v>
      </c>
      <c r="AJ47" s="487">
        <f t="shared" ca="1" si="32"/>
        <v>0</v>
      </c>
      <c r="AK47" s="487">
        <f t="shared" ca="1" si="32"/>
        <v>0</v>
      </c>
      <c r="AL47" s="490">
        <f t="shared" ca="1" si="23"/>
        <v>0</v>
      </c>
      <c r="AM47" s="494">
        <f t="shared" ca="1" si="24"/>
        <v>0</v>
      </c>
    </row>
    <row r="48" spans="1:39" ht="16">
      <c r="A48" s="709" t="str">
        <f t="shared" si="18"/>
        <v/>
      </c>
      <c r="B48" s="200">
        <v>24</v>
      </c>
      <c r="C48" s="471" t="str">
        <f t="array" ref="C48">IFERROR(INDEX(Descendent,MATCH(0,
IF((Nivel=$A$23),
COUNTIF($C$24:C47,Descendent),""),0)),"")</f>
        <v/>
      </c>
      <c r="D48" s="462">
        <f t="shared" ca="1" si="29"/>
        <v>0</v>
      </c>
      <c r="E48" s="463">
        <f t="shared" ca="1" si="29"/>
        <v>0</v>
      </c>
      <c r="F48" s="463">
        <f t="shared" ca="1" si="29"/>
        <v>0</v>
      </c>
      <c r="G48" s="485">
        <f t="shared" ca="1" si="29"/>
        <v>0</v>
      </c>
      <c r="H48" s="485">
        <f t="shared" ca="1" si="29"/>
        <v>0</v>
      </c>
      <c r="I48" s="485">
        <f t="shared" ca="1" si="29"/>
        <v>0</v>
      </c>
      <c r="J48" s="490">
        <f t="shared" ca="1" si="19"/>
        <v>0</v>
      </c>
      <c r="K48" s="487">
        <f t="shared" ca="1" si="14"/>
        <v>0</v>
      </c>
      <c r="L48" s="463">
        <f t="shared" ca="1" si="14"/>
        <v>0</v>
      </c>
      <c r="M48" s="463">
        <f t="shared" ca="1" si="14"/>
        <v>0</v>
      </c>
      <c r="N48" s="485">
        <f t="shared" ca="1" si="14"/>
        <v>0</v>
      </c>
      <c r="O48" s="485">
        <f t="shared" ca="1" si="14"/>
        <v>0</v>
      </c>
      <c r="P48" s="485">
        <f t="shared" ca="1" si="14"/>
        <v>0</v>
      </c>
      <c r="Q48" s="490">
        <f t="shared" ca="1" si="20"/>
        <v>0</v>
      </c>
      <c r="R48" s="487">
        <f t="shared" ca="1" si="30"/>
        <v>0</v>
      </c>
      <c r="S48" s="487">
        <f t="shared" ca="1" si="30"/>
        <v>0</v>
      </c>
      <c r="T48" s="487">
        <f t="shared" ca="1" si="30"/>
        <v>0</v>
      </c>
      <c r="U48" s="487">
        <f t="shared" ca="1" si="30"/>
        <v>0</v>
      </c>
      <c r="V48" s="487">
        <f t="shared" ca="1" si="30"/>
        <v>0</v>
      </c>
      <c r="W48" s="487">
        <f t="shared" ca="1" si="30"/>
        <v>0</v>
      </c>
      <c r="X48" s="490">
        <f t="shared" ca="1" si="21"/>
        <v>0</v>
      </c>
      <c r="Y48" s="487">
        <f t="shared" ca="1" si="31"/>
        <v>0</v>
      </c>
      <c r="Z48" s="487">
        <f t="shared" ca="1" si="31"/>
        <v>0</v>
      </c>
      <c r="AA48" s="487">
        <f t="shared" ca="1" si="31"/>
        <v>0</v>
      </c>
      <c r="AB48" s="487">
        <f t="shared" ca="1" si="31"/>
        <v>0</v>
      </c>
      <c r="AC48" s="487">
        <f t="shared" ca="1" si="31"/>
        <v>0</v>
      </c>
      <c r="AD48" s="487">
        <f t="shared" ca="1" si="31"/>
        <v>0</v>
      </c>
      <c r="AE48" s="490">
        <f t="shared" ca="1" si="22"/>
        <v>0</v>
      </c>
      <c r="AF48" s="487">
        <f t="shared" ca="1" si="32"/>
        <v>0</v>
      </c>
      <c r="AG48" s="487">
        <f t="shared" ca="1" si="32"/>
        <v>0</v>
      </c>
      <c r="AH48" s="487">
        <f t="shared" ca="1" si="32"/>
        <v>0</v>
      </c>
      <c r="AI48" s="487">
        <f t="shared" ca="1" si="32"/>
        <v>0</v>
      </c>
      <c r="AJ48" s="487">
        <f t="shared" ca="1" si="32"/>
        <v>0</v>
      </c>
      <c r="AK48" s="487">
        <f t="shared" ca="1" si="32"/>
        <v>0</v>
      </c>
      <c r="AL48" s="490">
        <f t="shared" ca="1" si="23"/>
        <v>0</v>
      </c>
      <c r="AM48" s="494">
        <f t="shared" ca="1" si="24"/>
        <v>0</v>
      </c>
    </row>
    <row r="49" spans="1:46" ht="16">
      <c r="A49" s="709" t="str">
        <f t="shared" si="18"/>
        <v/>
      </c>
      <c r="B49" s="200">
        <v>25</v>
      </c>
      <c r="C49" s="471" t="str">
        <f t="array" ref="C49">IFERROR(INDEX(Descendent,MATCH(0,
IF((Nivel=$A$23),
COUNTIF($C$24:C48,Descendent),""),0)),"")</f>
        <v/>
      </c>
      <c r="D49" s="462">
        <f t="shared" ca="1" si="29"/>
        <v>0</v>
      </c>
      <c r="E49" s="463">
        <f t="shared" ca="1" si="29"/>
        <v>0</v>
      </c>
      <c r="F49" s="463">
        <f t="shared" ca="1" si="29"/>
        <v>0</v>
      </c>
      <c r="G49" s="485">
        <f t="shared" ca="1" si="29"/>
        <v>0</v>
      </c>
      <c r="H49" s="485">
        <f t="shared" ca="1" si="29"/>
        <v>0</v>
      </c>
      <c r="I49" s="485">
        <f t="shared" ca="1" si="29"/>
        <v>0</v>
      </c>
      <c r="J49" s="490">
        <f t="shared" ca="1" si="19"/>
        <v>0</v>
      </c>
      <c r="K49" s="487">
        <f t="shared" ca="1" si="14"/>
        <v>0</v>
      </c>
      <c r="L49" s="463">
        <f t="shared" ca="1" si="14"/>
        <v>0</v>
      </c>
      <c r="M49" s="463">
        <f t="shared" ca="1" si="14"/>
        <v>0</v>
      </c>
      <c r="N49" s="485">
        <f t="shared" ca="1" si="14"/>
        <v>0</v>
      </c>
      <c r="O49" s="485">
        <f t="shared" ca="1" si="14"/>
        <v>0</v>
      </c>
      <c r="P49" s="485">
        <f t="shared" ca="1" si="14"/>
        <v>0</v>
      </c>
      <c r="Q49" s="490">
        <f t="shared" ca="1" si="20"/>
        <v>0</v>
      </c>
      <c r="R49" s="487">
        <f t="shared" ca="1" si="30"/>
        <v>0</v>
      </c>
      <c r="S49" s="487">
        <f t="shared" ca="1" si="30"/>
        <v>0</v>
      </c>
      <c r="T49" s="487">
        <f t="shared" ca="1" si="30"/>
        <v>0</v>
      </c>
      <c r="U49" s="487">
        <f t="shared" ca="1" si="30"/>
        <v>0</v>
      </c>
      <c r="V49" s="487">
        <f t="shared" ca="1" si="30"/>
        <v>0</v>
      </c>
      <c r="W49" s="487">
        <f t="shared" ca="1" si="30"/>
        <v>0</v>
      </c>
      <c r="X49" s="490">
        <f t="shared" ca="1" si="21"/>
        <v>0</v>
      </c>
      <c r="Y49" s="487">
        <f t="shared" ca="1" si="31"/>
        <v>0</v>
      </c>
      <c r="Z49" s="487">
        <f t="shared" ca="1" si="31"/>
        <v>0</v>
      </c>
      <c r="AA49" s="487">
        <f t="shared" ca="1" si="31"/>
        <v>0</v>
      </c>
      <c r="AB49" s="487">
        <f t="shared" ca="1" si="31"/>
        <v>0</v>
      </c>
      <c r="AC49" s="487">
        <f t="shared" ca="1" si="31"/>
        <v>0</v>
      </c>
      <c r="AD49" s="487">
        <f t="shared" ca="1" si="31"/>
        <v>0</v>
      </c>
      <c r="AE49" s="490">
        <f t="shared" ca="1" si="22"/>
        <v>0</v>
      </c>
      <c r="AF49" s="487">
        <f t="shared" ca="1" si="32"/>
        <v>0</v>
      </c>
      <c r="AG49" s="487">
        <f t="shared" ca="1" si="32"/>
        <v>0</v>
      </c>
      <c r="AH49" s="487">
        <f t="shared" ca="1" si="32"/>
        <v>0</v>
      </c>
      <c r="AI49" s="487">
        <f t="shared" ca="1" si="32"/>
        <v>0</v>
      </c>
      <c r="AJ49" s="487">
        <f t="shared" ca="1" si="32"/>
        <v>0</v>
      </c>
      <c r="AK49" s="487">
        <f t="shared" ca="1" si="32"/>
        <v>0</v>
      </c>
      <c r="AL49" s="490">
        <f t="shared" ca="1" si="23"/>
        <v>0</v>
      </c>
      <c r="AM49" s="494">
        <f t="shared" ca="1" si="24"/>
        <v>0</v>
      </c>
    </row>
    <row r="50" spans="1:46" ht="16">
      <c r="A50" s="709" t="str">
        <f t="shared" si="18"/>
        <v/>
      </c>
      <c r="B50" s="200">
        <v>26</v>
      </c>
      <c r="C50" s="471" t="str">
        <f t="array" ref="C50">IFERROR(INDEX(Descendent,MATCH(0,
IF((Nivel=$A$23),
COUNTIF($C$24:C49,Descendent),""),0)),"")</f>
        <v/>
      </c>
      <c r="D50" s="462">
        <f t="shared" ca="1" si="29"/>
        <v>0</v>
      </c>
      <c r="E50" s="463">
        <f t="shared" ca="1" si="29"/>
        <v>0</v>
      </c>
      <c r="F50" s="463">
        <f t="shared" ca="1" si="29"/>
        <v>0</v>
      </c>
      <c r="G50" s="485">
        <f t="shared" ca="1" si="29"/>
        <v>0</v>
      </c>
      <c r="H50" s="485">
        <f t="shared" ca="1" si="29"/>
        <v>0</v>
      </c>
      <c r="I50" s="485">
        <f t="shared" ca="1" si="29"/>
        <v>0</v>
      </c>
      <c r="J50" s="490">
        <f t="shared" ca="1" si="19"/>
        <v>0</v>
      </c>
      <c r="K50" s="487">
        <f t="shared" ca="1" si="14"/>
        <v>0</v>
      </c>
      <c r="L50" s="463">
        <f t="shared" ca="1" si="14"/>
        <v>0</v>
      </c>
      <c r="M50" s="463">
        <f t="shared" ca="1" si="14"/>
        <v>0</v>
      </c>
      <c r="N50" s="485">
        <f t="shared" ca="1" si="14"/>
        <v>0</v>
      </c>
      <c r="O50" s="485">
        <f t="shared" ca="1" si="14"/>
        <v>0</v>
      </c>
      <c r="P50" s="485">
        <f t="shared" ca="1" si="14"/>
        <v>0</v>
      </c>
      <c r="Q50" s="490">
        <f t="shared" ca="1" si="20"/>
        <v>0</v>
      </c>
      <c r="R50" s="487">
        <f t="shared" ca="1" si="30"/>
        <v>0</v>
      </c>
      <c r="S50" s="487">
        <f t="shared" ca="1" si="30"/>
        <v>0</v>
      </c>
      <c r="T50" s="487">
        <f t="shared" ca="1" si="30"/>
        <v>0</v>
      </c>
      <c r="U50" s="487">
        <f t="shared" ca="1" si="30"/>
        <v>0</v>
      </c>
      <c r="V50" s="487">
        <f t="shared" ca="1" si="30"/>
        <v>0</v>
      </c>
      <c r="W50" s="487">
        <f t="shared" ca="1" si="30"/>
        <v>0</v>
      </c>
      <c r="X50" s="490">
        <f t="shared" ca="1" si="21"/>
        <v>0</v>
      </c>
      <c r="Y50" s="487">
        <f t="shared" ca="1" si="31"/>
        <v>0</v>
      </c>
      <c r="Z50" s="487">
        <f t="shared" ca="1" si="31"/>
        <v>0</v>
      </c>
      <c r="AA50" s="487">
        <f t="shared" ca="1" si="31"/>
        <v>0</v>
      </c>
      <c r="AB50" s="487">
        <f t="shared" ca="1" si="31"/>
        <v>0</v>
      </c>
      <c r="AC50" s="487">
        <f t="shared" ca="1" si="31"/>
        <v>0</v>
      </c>
      <c r="AD50" s="487">
        <f t="shared" ca="1" si="31"/>
        <v>0</v>
      </c>
      <c r="AE50" s="490">
        <f t="shared" ca="1" si="22"/>
        <v>0</v>
      </c>
      <c r="AF50" s="487">
        <f t="shared" ca="1" si="32"/>
        <v>0</v>
      </c>
      <c r="AG50" s="487">
        <f t="shared" ca="1" si="32"/>
        <v>0</v>
      </c>
      <c r="AH50" s="487">
        <f t="shared" ca="1" si="32"/>
        <v>0</v>
      </c>
      <c r="AI50" s="487">
        <f t="shared" ca="1" si="32"/>
        <v>0</v>
      </c>
      <c r="AJ50" s="487">
        <f t="shared" ca="1" si="32"/>
        <v>0</v>
      </c>
      <c r="AK50" s="487">
        <f t="shared" ca="1" si="32"/>
        <v>0</v>
      </c>
      <c r="AL50" s="490">
        <f t="shared" ca="1" si="23"/>
        <v>0</v>
      </c>
      <c r="AM50" s="494">
        <f t="shared" ca="1" si="24"/>
        <v>0</v>
      </c>
    </row>
    <row r="51" spans="1:46" ht="16">
      <c r="A51" s="709" t="str">
        <f t="shared" si="18"/>
        <v/>
      </c>
      <c r="B51" s="200">
        <v>27</v>
      </c>
      <c r="C51" s="471" t="str">
        <f t="array" ref="C51">IFERROR(INDEX(Descendent,MATCH(0,
IF((Nivel=$A$23),
COUNTIF($C$24:C50,Descendent),""),0)),"")</f>
        <v/>
      </c>
      <c r="D51" s="462">
        <f t="shared" ca="1" si="29"/>
        <v>0</v>
      </c>
      <c r="E51" s="463">
        <f t="shared" ca="1" si="29"/>
        <v>0</v>
      </c>
      <c r="F51" s="463">
        <f t="shared" ca="1" si="29"/>
        <v>0</v>
      </c>
      <c r="G51" s="485">
        <f t="shared" ca="1" si="29"/>
        <v>0</v>
      </c>
      <c r="H51" s="485">
        <f t="shared" ca="1" si="29"/>
        <v>0</v>
      </c>
      <c r="I51" s="485">
        <f t="shared" ca="1" si="29"/>
        <v>0</v>
      </c>
      <c r="J51" s="490">
        <f t="shared" ca="1" si="19"/>
        <v>0</v>
      </c>
      <c r="K51" s="487">
        <f t="shared" ca="1" si="14"/>
        <v>0</v>
      </c>
      <c r="L51" s="463">
        <f t="shared" ca="1" si="14"/>
        <v>0</v>
      </c>
      <c r="M51" s="463">
        <f t="shared" ca="1" si="14"/>
        <v>0</v>
      </c>
      <c r="N51" s="485">
        <f t="shared" ca="1" si="14"/>
        <v>0</v>
      </c>
      <c r="O51" s="485">
        <f t="shared" ca="1" si="14"/>
        <v>0</v>
      </c>
      <c r="P51" s="485">
        <f t="shared" ca="1" si="14"/>
        <v>0</v>
      </c>
      <c r="Q51" s="490">
        <f t="shared" ca="1" si="20"/>
        <v>0</v>
      </c>
      <c r="R51" s="487">
        <f t="shared" ca="1" si="30"/>
        <v>0</v>
      </c>
      <c r="S51" s="487">
        <f t="shared" ca="1" si="30"/>
        <v>0</v>
      </c>
      <c r="T51" s="487">
        <f t="shared" ca="1" si="30"/>
        <v>0</v>
      </c>
      <c r="U51" s="487">
        <f t="shared" ca="1" si="30"/>
        <v>0</v>
      </c>
      <c r="V51" s="487">
        <f t="shared" ca="1" si="30"/>
        <v>0</v>
      </c>
      <c r="W51" s="487">
        <f t="shared" ca="1" si="30"/>
        <v>0</v>
      </c>
      <c r="X51" s="490">
        <f t="shared" ca="1" si="21"/>
        <v>0</v>
      </c>
      <c r="Y51" s="487">
        <f t="shared" ca="1" si="31"/>
        <v>0</v>
      </c>
      <c r="Z51" s="487">
        <f t="shared" ca="1" si="31"/>
        <v>0</v>
      </c>
      <c r="AA51" s="487">
        <f t="shared" ca="1" si="31"/>
        <v>0</v>
      </c>
      <c r="AB51" s="487">
        <f t="shared" ca="1" si="31"/>
        <v>0</v>
      </c>
      <c r="AC51" s="487">
        <f t="shared" ca="1" si="31"/>
        <v>0</v>
      </c>
      <c r="AD51" s="487">
        <f t="shared" ca="1" si="31"/>
        <v>0</v>
      </c>
      <c r="AE51" s="490">
        <f ca="1">SUM(Y51:AD51)</f>
        <v>0</v>
      </c>
      <c r="AF51" s="487">
        <f t="shared" ca="1" si="32"/>
        <v>0</v>
      </c>
      <c r="AG51" s="487">
        <f t="shared" ca="1" si="32"/>
        <v>0</v>
      </c>
      <c r="AH51" s="487">
        <f t="shared" ca="1" si="32"/>
        <v>0</v>
      </c>
      <c r="AI51" s="487">
        <f t="shared" ca="1" si="32"/>
        <v>0</v>
      </c>
      <c r="AJ51" s="487">
        <f t="shared" ca="1" si="32"/>
        <v>0</v>
      </c>
      <c r="AK51" s="487">
        <f t="shared" ca="1" si="32"/>
        <v>0</v>
      </c>
      <c r="AL51" s="490">
        <f t="shared" ca="1" si="23"/>
        <v>0</v>
      </c>
      <c r="AM51" s="494">
        <f t="shared" ca="1" si="24"/>
        <v>0</v>
      </c>
    </row>
    <row r="52" spans="1:46" ht="16">
      <c r="A52" s="709" t="str">
        <f t="shared" si="18"/>
        <v/>
      </c>
      <c r="B52" s="200">
        <v>28</v>
      </c>
      <c r="C52" s="471" t="str">
        <f t="array" ref="C52">IFERROR(INDEX(Descendent,MATCH(0,
IF((Nivel=$A$23),
COUNTIF($C$24:C51,Descendent),""),0)),"")</f>
        <v/>
      </c>
      <c r="D52" s="462">
        <f t="shared" ca="1" si="29"/>
        <v>0</v>
      </c>
      <c r="E52" s="463">
        <f t="shared" ca="1" si="29"/>
        <v>0</v>
      </c>
      <c r="F52" s="463">
        <f t="shared" ca="1" si="29"/>
        <v>0</v>
      </c>
      <c r="G52" s="485">
        <f t="shared" ca="1" si="29"/>
        <v>0</v>
      </c>
      <c r="H52" s="485">
        <f t="shared" ca="1" si="29"/>
        <v>0</v>
      </c>
      <c r="I52" s="485">
        <f t="shared" ca="1" si="29"/>
        <v>0</v>
      </c>
      <c r="J52" s="490">
        <f t="shared" ca="1" si="19"/>
        <v>0</v>
      </c>
      <c r="K52" s="487">
        <f t="shared" ca="1" si="14"/>
        <v>0</v>
      </c>
      <c r="L52" s="463">
        <f t="shared" ca="1" si="14"/>
        <v>0</v>
      </c>
      <c r="M52" s="463">
        <f t="shared" ca="1" si="14"/>
        <v>0</v>
      </c>
      <c r="N52" s="485">
        <f t="shared" ca="1" si="14"/>
        <v>0</v>
      </c>
      <c r="O52" s="485">
        <f t="shared" ca="1" si="14"/>
        <v>0</v>
      </c>
      <c r="P52" s="485">
        <f t="shared" ca="1" si="14"/>
        <v>0</v>
      </c>
      <c r="Q52" s="490">
        <f t="shared" ca="1" si="20"/>
        <v>0</v>
      </c>
      <c r="R52" s="487">
        <f t="shared" ca="1" si="30"/>
        <v>0</v>
      </c>
      <c r="S52" s="487">
        <f t="shared" ca="1" si="30"/>
        <v>0</v>
      </c>
      <c r="T52" s="487">
        <f t="shared" ca="1" si="30"/>
        <v>0</v>
      </c>
      <c r="U52" s="487">
        <f t="shared" ca="1" si="30"/>
        <v>0</v>
      </c>
      <c r="V52" s="487">
        <f t="shared" ca="1" si="30"/>
        <v>0</v>
      </c>
      <c r="W52" s="487">
        <f t="shared" ca="1" si="30"/>
        <v>0</v>
      </c>
      <c r="X52" s="490">
        <f t="shared" ca="1" si="21"/>
        <v>0</v>
      </c>
      <c r="Y52" s="487">
        <f t="shared" ca="1" si="31"/>
        <v>0</v>
      </c>
      <c r="Z52" s="487">
        <f t="shared" ca="1" si="31"/>
        <v>0</v>
      </c>
      <c r="AA52" s="487">
        <f t="shared" ca="1" si="31"/>
        <v>0</v>
      </c>
      <c r="AB52" s="487">
        <f t="shared" ca="1" si="31"/>
        <v>0</v>
      </c>
      <c r="AC52" s="487">
        <f t="shared" ca="1" si="31"/>
        <v>0</v>
      </c>
      <c r="AD52" s="487">
        <f t="shared" ca="1" si="31"/>
        <v>0</v>
      </c>
      <c r="AE52" s="490">
        <f t="shared" ca="1" si="22"/>
        <v>0</v>
      </c>
      <c r="AF52" s="487">
        <f t="shared" ca="1" si="32"/>
        <v>0</v>
      </c>
      <c r="AG52" s="487">
        <f t="shared" ca="1" si="32"/>
        <v>0</v>
      </c>
      <c r="AH52" s="487">
        <f t="shared" ca="1" si="32"/>
        <v>0</v>
      </c>
      <c r="AI52" s="487">
        <f t="shared" ca="1" si="32"/>
        <v>0</v>
      </c>
      <c r="AJ52" s="487">
        <f t="shared" ca="1" si="32"/>
        <v>0</v>
      </c>
      <c r="AK52" s="487">
        <f t="shared" ca="1" si="32"/>
        <v>0</v>
      </c>
      <c r="AL52" s="490">
        <f t="shared" ca="1" si="23"/>
        <v>0</v>
      </c>
      <c r="AM52" s="494">
        <f t="shared" ca="1" si="24"/>
        <v>0</v>
      </c>
    </row>
    <row r="53" spans="1:46" ht="16">
      <c r="A53" s="709" t="str">
        <f t="shared" si="18"/>
        <v/>
      </c>
      <c r="B53" s="200">
        <v>29</v>
      </c>
      <c r="C53" s="471" t="str">
        <f t="array" ref="C53">IFERROR(INDEX(Descendent,MATCH(0,
IF((Nivel=$A$23),
COUNTIF($C$24:C52,Descendent),""),0)),"")</f>
        <v/>
      </c>
      <c r="D53" s="462">
        <f t="shared" ca="1" si="29"/>
        <v>0</v>
      </c>
      <c r="E53" s="463">
        <f t="shared" ca="1" si="29"/>
        <v>0</v>
      </c>
      <c r="F53" s="463">
        <f t="shared" ca="1" si="29"/>
        <v>0</v>
      </c>
      <c r="G53" s="485">
        <f t="shared" ca="1" si="29"/>
        <v>0</v>
      </c>
      <c r="H53" s="485">
        <f t="shared" ca="1" si="29"/>
        <v>0</v>
      </c>
      <c r="I53" s="485">
        <f t="shared" ca="1" si="29"/>
        <v>0</v>
      </c>
      <c r="J53" s="490">
        <f t="shared" ca="1" si="19"/>
        <v>0</v>
      </c>
      <c r="K53" s="487">
        <f t="shared" ca="1" si="14"/>
        <v>0</v>
      </c>
      <c r="L53" s="463">
        <f t="shared" ca="1" si="14"/>
        <v>0</v>
      </c>
      <c r="M53" s="463">
        <f t="shared" ca="1" si="14"/>
        <v>0</v>
      </c>
      <c r="N53" s="485">
        <f t="shared" ca="1" si="14"/>
        <v>0</v>
      </c>
      <c r="O53" s="485">
        <f t="shared" ca="1" si="14"/>
        <v>0</v>
      </c>
      <c r="P53" s="485">
        <f t="shared" ca="1" si="14"/>
        <v>0</v>
      </c>
      <c r="Q53" s="490">
        <f t="shared" ca="1" si="20"/>
        <v>0</v>
      </c>
      <c r="R53" s="487">
        <f t="shared" ca="1" si="30"/>
        <v>0</v>
      </c>
      <c r="S53" s="487">
        <f t="shared" ca="1" si="30"/>
        <v>0</v>
      </c>
      <c r="T53" s="487">
        <f t="shared" ca="1" si="30"/>
        <v>0</v>
      </c>
      <c r="U53" s="487">
        <f t="shared" ca="1" si="30"/>
        <v>0</v>
      </c>
      <c r="V53" s="487">
        <f t="shared" ca="1" si="30"/>
        <v>0</v>
      </c>
      <c r="W53" s="487">
        <f t="shared" ca="1" si="30"/>
        <v>0</v>
      </c>
      <c r="X53" s="490">
        <f t="shared" ca="1" si="21"/>
        <v>0</v>
      </c>
      <c r="Y53" s="487">
        <f t="shared" ca="1" si="31"/>
        <v>0</v>
      </c>
      <c r="Z53" s="487">
        <f t="shared" ca="1" si="31"/>
        <v>0</v>
      </c>
      <c r="AA53" s="487">
        <f t="shared" ca="1" si="31"/>
        <v>0</v>
      </c>
      <c r="AB53" s="487">
        <f t="shared" ca="1" si="31"/>
        <v>0</v>
      </c>
      <c r="AC53" s="487">
        <f t="shared" ca="1" si="31"/>
        <v>0</v>
      </c>
      <c r="AD53" s="487">
        <f t="shared" ca="1" si="31"/>
        <v>0</v>
      </c>
      <c r="AE53" s="490">
        <f t="shared" ca="1" si="22"/>
        <v>0</v>
      </c>
      <c r="AF53" s="487">
        <f t="shared" ca="1" si="32"/>
        <v>0</v>
      </c>
      <c r="AG53" s="487">
        <f t="shared" ca="1" si="32"/>
        <v>0</v>
      </c>
      <c r="AH53" s="487">
        <f t="shared" ca="1" si="32"/>
        <v>0</v>
      </c>
      <c r="AI53" s="487">
        <f t="shared" ca="1" si="32"/>
        <v>0</v>
      </c>
      <c r="AJ53" s="487">
        <f t="shared" ca="1" si="32"/>
        <v>0</v>
      </c>
      <c r="AK53" s="487">
        <f t="shared" ca="1" si="32"/>
        <v>0</v>
      </c>
      <c r="AL53" s="490">
        <f t="shared" ca="1" si="23"/>
        <v>0</v>
      </c>
      <c r="AM53" s="494">
        <f t="shared" ca="1" si="24"/>
        <v>0</v>
      </c>
    </row>
    <row r="54" spans="1:46" ht="17" thickBot="1">
      <c r="A54" s="709" t="str">
        <f t="shared" si="18"/>
        <v/>
      </c>
      <c r="B54" s="472">
        <v>30</v>
      </c>
      <c r="C54" s="471" t="str">
        <f t="array" ref="C54">IFERROR(INDEX(Descendent,MATCH(0,
IF((Nivel=$A$23),
COUNTIF($C$24:C53,Descendent),""),0)),"")</f>
        <v/>
      </c>
      <c r="D54" s="473">
        <f t="shared" ca="1" si="29"/>
        <v>0</v>
      </c>
      <c r="E54" s="474">
        <f t="shared" ca="1" si="29"/>
        <v>0</v>
      </c>
      <c r="F54" s="474">
        <f t="shared" ca="1" si="29"/>
        <v>0</v>
      </c>
      <c r="G54" s="492">
        <f t="shared" ca="1" si="29"/>
        <v>0</v>
      </c>
      <c r="H54" s="492">
        <f t="shared" ca="1" si="29"/>
        <v>0</v>
      </c>
      <c r="I54" s="492">
        <f t="shared" ca="1" si="29"/>
        <v>0</v>
      </c>
      <c r="J54" s="490">
        <f t="shared" ca="1" si="19"/>
        <v>0</v>
      </c>
      <c r="K54" s="493">
        <f t="shared" ca="1" si="14"/>
        <v>0</v>
      </c>
      <c r="L54" s="474">
        <f t="shared" ca="1" si="14"/>
        <v>0</v>
      </c>
      <c r="M54" s="474">
        <f t="shared" ca="1" si="14"/>
        <v>0</v>
      </c>
      <c r="N54" s="492">
        <f t="shared" ca="1" si="14"/>
        <v>0</v>
      </c>
      <c r="O54" s="492">
        <f t="shared" ca="1" si="14"/>
        <v>0</v>
      </c>
      <c r="P54" s="492">
        <f t="shared" ca="1" si="14"/>
        <v>0</v>
      </c>
      <c r="Q54" s="490">
        <f t="shared" ca="1" si="20"/>
        <v>0</v>
      </c>
      <c r="R54" s="487">
        <f t="shared" ca="1" si="30"/>
        <v>0</v>
      </c>
      <c r="S54" s="487">
        <f t="shared" ca="1" si="30"/>
        <v>0</v>
      </c>
      <c r="T54" s="487">
        <f t="shared" ca="1" si="30"/>
        <v>0</v>
      </c>
      <c r="U54" s="487">
        <f t="shared" ca="1" si="30"/>
        <v>0</v>
      </c>
      <c r="V54" s="487">
        <f t="shared" ca="1" si="30"/>
        <v>0</v>
      </c>
      <c r="W54" s="487">
        <f t="shared" ca="1" si="30"/>
        <v>0</v>
      </c>
      <c r="X54" s="490">
        <f t="shared" ca="1" si="21"/>
        <v>0</v>
      </c>
      <c r="Y54" s="487">
        <f t="shared" ca="1" si="31"/>
        <v>0</v>
      </c>
      <c r="Z54" s="487">
        <f t="shared" ca="1" si="31"/>
        <v>0</v>
      </c>
      <c r="AA54" s="487">
        <f t="shared" ca="1" si="31"/>
        <v>0</v>
      </c>
      <c r="AB54" s="487">
        <f t="shared" ca="1" si="31"/>
        <v>0</v>
      </c>
      <c r="AC54" s="487">
        <f t="shared" ca="1" si="31"/>
        <v>0</v>
      </c>
      <c r="AD54" s="487">
        <f t="shared" ca="1" si="31"/>
        <v>0</v>
      </c>
      <c r="AE54" s="490">
        <f t="shared" ca="1" si="22"/>
        <v>0</v>
      </c>
      <c r="AF54" s="487">
        <f t="shared" ca="1" si="32"/>
        <v>0</v>
      </c>
      <c r="AG54" s="487">
        <f t="shared" ca="1" si="32"/>
        <v>0</v>
      </c>
      <c r="AH54" s="487">
        <f t="shared" ca="1" si="32"/>
        <v>0</v>
      </c>
      <c r="AI54" s="487">
        <f t="shared" ca="1" si="32"/>
        <v>0</v>
      </c>
      <c r="AJ54" s="487">
        <f t="shared" ca="1" si="32"/>
        <v>0</v>
      </c>
      <c r="AK54" s="487">
        <f t="shared" ca="1" si="32"/>
        <v>0</v>
      </c>
      <c r="AL54" s="490">
        <f t="shared" ca="1" si="23"/>
        <v>0</v>
      </c>
      <c r="AM54" s="494">
        <f t="shared" ca="1" si="24"/>
        <v>0</v>
      </c>
    </row>
    <row r="55" spans="1:46" ht="17" thickBot="1">
      <c r="B55" s="466"/>
      <c r="C55" s="467" t="s">
        <v>97</v>
      </c>
      <c r="D55" s="468">
        <f ca="1">SUM(D25:D54)</f>
        <v>181818189.36000001</v>
      </c>
      <c r="E55" s="468">
        <f t="shared" ref="E55:AM55" ca="1" si="33">SUM(E25:E54)</f>
        <v>30041261.554580003</v>
      </c>
      <c r="F55" s="468">
        <f t="shared" ca="1" si="33"/>
        <v>485355.19</v>
      </c>
      <c r="G55" s="468">
        <f t="shared" ca="1" si="33"/>
        <v>54780138.637565508</v>
      </c>
      <c r="H55" s="468">
        <f t="shared" ca="1" si="33"/>
        <v>2984862.4174200003</v>
      </c>
      <c r="I55" s="468">
        <f t="shared" ca="1" si="33"/>
        <v>0</v>
      </c>
      <c r="J55" s="468">
        <f t="shared" ca="1" si="33"/>
        <v>270109807.15956545</v>
      </c>
      <c r="K55" s="468">
        <f t="shared" ca="1" si="33"/>
        <v>181063897.03999999</v>
      </c>
      <c r="L55" s="468">
        <f t="shared" ca="1" si="33"/>
        <v>32120834.436999999</v>
      </c>
      <c r="M55" s="468">
        <f t="shared" ca="1" si="33"/>
        <v>541137.46</v>
      </c>
      <c r="N55" s="468">
        <f t="shared" ca="1" si="33"/>
        <v>56671006.391867436</v>
      </c>
      <c r="O55" s="468">
        <f t="shared" ca="1" si="33"/>
        <v>3125678.9321000003</v>
      </c>
      <c r="P55" s="468">
        <f t="shared" ca="1" si="33"/>
        <v>0</v>
      </c>
      <c r="Q55" s="468">
        <f t="shared" ca="1" si="33"/>
        <v>273522554.26096743</v>
      </c>
      <c r="R55" s="468">
        <f t="shared" ca="1" si="33"/>
        <v>180230184.63999999</v>
      </c>
      <c r="S55" s="468">
        <f t="shared" ca="1" si="33"/>
        <v>34034934.106179997</v>
      </c>
      <c r="T55" s="468">
        <f t="shared" ca="1" si="33"/>
        <v>593520.01</v>
      </c>
      <c r="U55" s="468">
        <f t="shared" ca="1" si="33"/>
        <v>55480565.79991328</v>
      </c>
      <c r="V55" s="468">
        <f t="shared" ca="1" si="33"/>
        <v>3209322.5770800007</v>
      </c>
      <c r="W55" s="468">
        <f t="shared" ca="1" si="33"/>
        <v>0</v>
      </c>
      <c r="X55" s="468">
        <f t="shared" ca="1" si="33"/>
        <v>273548527.13317323</v>
      </c>
      <c r="Y55" s="468">
        <f t="shared" ca="1" si="33"/>
        <v>191006363.18247184</v>
      </c>
      <c r="Z55" s="468">
        <f t="shared" ca="1" si="33"/>
        <v>44250382.719919994</v>
      </c>
      <c r="AA55" s="468">
        <f t="shared" ca="1" si="33"/>
        <v>810787.16999999993</v>
      </c>
      <c r="AB55" s="468">
        <f t="shared" ca="1" si="33"/>
        <v>-1.0512720014048682E-2</v>
      </c>
      <c r="AC55" s="468">
        <f t="shared" ca="1" si="33"/>
        <v>22152337.537599999</v>
      </c>
      <c r="AD55" s="468">
        <f t="shared" ca="1" si="33"/>
        <v>0</v>
      </c>
      <c r="AE55" s="468">
        <f ca="1">SUM(AE25:AE54)</f>
        <v>258219870.59947914</v>
      </c>
      <c r="AF55" s="468">
        <f t="shared" ca="1" si="33"/>
        <v>191022243.87747186</v>
      </c>
      <c r="AG55" s="468">
        <f t="shared" ca="1" si="33"/>
        <v>47062962.1347</v>
      </c>
      <c r="AH55" s="468">
        <f t="shared" ca="1" si="33"/>
        <v>813234.92999999993</v>
      </c>
      <c r="AI55" s="468">
        <f t="shared" ca="1" si="33"/>
        <v>-8.000000030733645E-3</v>
      </c>
      <c r="AJ55" s="468">
        <f t="shared" ca="1" si="33"/>
        <v>22743774.549319994</v>
      </c>
      <c r="AK55" s="468">
        <f t="shared" ca="1" si="33"/>
        <v>0</v>
      </c>
      <c r="AL55" s="468">
        <f ca="1">SUM(AL25:AL54)</f>
        <v>261642215.4834919</v>
      </c>
      <c r="AM55" s="468">
        <f t="shared" ca="1" si="33"/>
        <v>1337042974.6366773</v>
      </c>
    </row>
    <row r="58" spans="1:46">
      <c r="E58"/>
      <c r="F58"/>
      <c r="G58"/>
      <c r="H58"/>
      <c r="I58"/>
      <c r="J58"/>
      <c r="K58"/>
      <c r="AL58"/>
      <c r="AM58"/>
    </row>
    <row r="59" spans="1:46">
      <c r="E59"/>
      <c r="F59"/>
      <c r="G59"/>
      <c r="H59"/>
      <c r="I59"/>
      <c r="J59"/>
      <c r="K59"/>
      <c r="AL59"/>
      <c r="AM59"/>
    </row>
    <row r="61" spans="1:46" ht="16" thickBot="1"/>
    <row r="62" spans="1:46" s="818" customFormat="1" ht="21" thickBot="1">
      <c r="A62" s="814"/>
      <c r="B62" s="815"/>
      <c r="C62" s="816"/>
      <c r="D62" s="819" t="s">
        <v>338</v>
      </c>
      <c r="E62" s="820" t="s">
        <v>338</v>
      </c>
      <c r="F62" s="820" t="s">
        <v>338</v>
      </c>
      <c r="G62" s="820" t="s">
        <v>338</v>
      </c>
      <c r="H62" s="820" t="s">
        <v>338</v>
      </c>
      <c r="I62" s="821"/>
      <c r="J62" s="817" t="s">
        <v>338</v>
      </c>
      <c r="K62" s="819" t="s">
        <v>349</v>
      </c>
      <c r="L62" s="820" t="s">
        <v>349</v>
      </c>
      <c r="M62" s="820" t="s">
        <v>349</v>
      </c>
      <c r="N62" s="820" t="s">
        <v>349</v>
      </c>
      <c r="O62" s="820" t="s">
        <v>349</v>
      </c>
      <c r="P62" s="821"/>
      <c r="Q62" s="817" t="s">
        <v>349</v>
      </c>
      <c r="R62" s="819" t="s">
        <v>350</v>
      </c>
      <c r="S62" s="820" t="s">
        <v>350</v>
      </c>
      <c r="T62" s="820" t="s">
        <v>350</v>
      </c>
      <c r="U62" s="820" t="s">
        <v>350</v>
      </c>
      <c r="V62" s="820" t="s">
        <v>350</v>
      </c>
      <c r="W62" s="821" t="s">
        <v>350</v>
      </c>
      <c r="X62" s="817" t="s">
        <v>350</v>
      </c>
      <c r="Y62" s="819" t="s">
        <v>351</v>
      </c>
      <c r="Z62" s="820" t="s">
        <v>351</v>
      </c>
      <c r="AA62" s="820" t="s">
        <v>351</v>
      </c>
      <c r="AB62" s="820" t="s">
        <v>351</v>
      </c>
      <c r="AC62" s="820" t="s">
        <v>351</v>
      </c>
      <c r="AD62" s="821" t="s">
        <v>351</v>
      </c>
      <c r="AE62" s="817" t="s">
        <v>351</v>
      </c>
      <c r="AF62" s="819" t="s">
        <v>513</v>
      </c>
      <c r="AG62" s="820" t="s">
        <v>513</v>
      </c>
      <c r="AH62" s="820" t="s">
        <v>513</v>
      </c>
      <c r="AI62" s="820" t="s">
        <v>513</v>
      </c>
      <c r="AJ62" s="820" t="s">
        <v>513</v>
      </c>
      <c r="AK62" s="821" t="s">
        <v>513</v>
      </c>
      <c r="AL62" s="817" t="s">
        <v>513</v>
      </c>
      <c r="AM62" s="819" t="s">
        <v>514</v>
      </c>
      <c r="AN62" s="820" t="s">
        <v>514</v>
      </c>
      <c r="AO62" s="820" t="s">
        <v>514</v>
      </c>
      <c r="AP62" s="820" t="s">
        <v>514</v>
      </c>
      <c r="AQ62" s="820" t="s">
        <v>514</v>
      </c>
      <c r="AR62" s="821" t="s">
        <v>514</v>
      </c>
      <c r="AS62" s="817" t="s">
        <v>514</v>
      </c>
      <c r="AT62" s="728" t="s">
        <v>519</v>
      </c>
    </row>
    <row r="63" spans="1:46" ht="21" thickBot="1">
      <c r="B63" s="456"/>
      <c r="C63" s="457" t="s">
        <v>336</v>
      </c>
      <c r="D63" s="824">
        <v>2021</v>
      </c>
      <c r="E63" s="812">
        <v>2022</v>
      </c>
      <c r="F63" s="812">
        <v>2023</v>
      </c>
      <c r="G63" s="812">
        <v>2024</v>
      </c>
      <c r="H63" s="812">
        <v>2025</v>
      </c>
      <c r="I63" s="822"/>
      <c r="J63" s="494" t="s">
        <v>97</v>
      </c>
      <c r="K63" s="824">
        <v>2021</v>
      </c>
      <c r="L63" s="812">
        <v>2022</v>
      </c>
      <c r="M63" s="812">
        <v>2023</v>
      </c>
      <c r="N63" s="812">
        <v>2024</v>
      </c>
      <c r="O63" s="812">
        <v>2025</v>
      </c>
      <c r="P63" s="822"/>
      <c r="Q63" s="494" t="s">
        <v>97</v>
      </c>
      <c r="R63" s="824">
        <v>2021</v>
      </c>
      <c r="S63" s="812">
        <v>2022</v>
      </c>
      <c r="T63" s="812">
        <v>2023</v>
      </c>
      <c r="U63" s="812">
        <v>2024</v>
      </c>
      <c r="V63" s="812">
        <v>2025</v>
      </c>
      <c r="W63" s="822"/>
      <c r="X63" s="494" t="s">
        <v>97</v>
      </c>
      <c r="Y63" s="824">
        <v>2021</v>
      </c>
      <c r="Z63" s="812">
        <v>2022</v>
      </c>
      <c r="AA63" s="812">
        <v>2023</v>
      </c>
      <c r="AB63" s="812">
        <v>2024</v>
      </c>
      <c r="AC63" s="812">
        <v>2025</v>
      </c>
      <c r="AD63" s="822"/>
      <c r="AE63" s="494" t="s">
        <v>97</v>
      </c>
      <c r="AF63" s="824">
        <v>2021</v>
      </c>
      <c r="AG63" s="812">
        <v>2022</v>
      </c>
      <c r="AH63" s="812">
        <v>2023</v>
      </c>
      <c r="AI63" s="812">
        <v>2024</v>
      </c>
      <c r="AJ63" s="812">
        <v>2025</v>
      </c>
      <c r="AK63" s="822"/>
      <c r="AL63" s="494" t="s">
        <v>97</v>
      </c>
      <c r="AM63" s="824">
        <v>2021</v>
      </c>
      <c r="AN63" s="812">
        <v>2022</v>
      </c>
      <c r="AO63" s="812">
        <v>2023</v>
      </c>
      <c r="AP63" s="812">
        <v>2024</v>
      </c>
      <c r="AQ63" s="812">
        <v>2025</v>
      </c>
      <c r="AR63" s="822"/>
      <c r="AS63" s="494" t="s">
        <v>97</v>
      </c>
      <c r="AT63" s="728" t="s">
        <v>1807</v>
      </c>
    </row>
    <row r="64" spans="1:46" ht="16">
      <c r="B64" s="200">
        <v>1</v>
      </c>
      <c r="C64" s="471" t="str">
        <f>C25</f>
        <v>1.1.  Depistarea activă a TB în grupurile cu risc și vigilență sporită pentru TB</v>
      </c>
      <c r="D64" s="462">
        <f t="shared" ref="D64:D93" ca="1" si="34">SUMIFS(_2021_Total,Buget_detal_sursa,D$62,Buget_detal_dir_act,$C64)</f>
        <v>41709892.800000004</v>
      </c>
      <c r="E64" s="463">
        <f t="shared" ref="E64:E93" ca="1" si="35">SUMIFS(_2022_Total,Buget_detal_sursa,E$62,Buget_detal_dir_act,$C64)</f>
        <v>41179937.280000001</v>
      </c>
      <c r="F64" s="463">
        <f t="shared" ref="F64:F93" ca="1" si="36">SUMIFS(_2023_Total,Buget_detal_sursa,F$62,Buget_detal_dir_act,$C64)</f>
        <v>40647300.480000004</v>
      </c>
      <c r="G64" s="485">
        <f t="shared" ref="G64:G93" ca="1" si="37">SUMIFS(_2024_Total,Buget_detal_sursa,G$62,Buget_detal_dir_act,$C64)</f>
        <v>48311824.800000004</v>
      </c>
      <c r="H64" s="485">
        <f t="shared" ref="H64:H93" ca="1" si="38">SUMIFS(_2025_Total,Buget_detal_sursa,H$62,Buget_detal_dir_act,$C64)</f>
        <v>47691271.200000003</v>
      </c>
      <c r="I64" s="823"/>
      <c r="J64" s="490">
        <f ca="1">SUM(D64:I64)</f>
        <v>219540226.56</v>
      </c>
      <c r="K64" s="462">
        <f t="shared" ref="K64:K93" ca="1" si="39">SUMIFS(_2021_Total,Buget_detal_sursa,K$62,Buget_detal_dir_act,$C64)</f>
        <v>0</v>
      </c>
      <c r="L64" s="463">
        <f t="shared" ref="L64:L93" ca="1" si="40">SUMIFS(_2022_Total,Buget_detal_sursa,L$62,Buget_detal_dir_act,$C64)</f>
        <v>0</v>
      </c>
      <c r="M64" s="463">
        <f t="shared" ref="M64:M93" ca="1" si="41">SUMIFS(_2023_Total,Buget_detal_sursa,M$62,Buget_detal_dir_act,$C64)</f>
        <v>0</v>
      </c>
      <c r="N64" s="485">
        <f t="shared" ref="N64:N93" ca="1" si="42">SUMIFS(_2024_Total,Buget_detal_sursa,N$62,Buget_detal_dir_act,$C64)</f>
        <v>0</v>
      </c>
      <c r="O64" s="485">
        <f t="shared" ref="O64:O93" ca="1" si="43">SUMIFS(_2025_Total,Buget_detal_sursa,O$62,Buget_detal_dir_act,$C64)</f>
        <v>0</v>
      </c>
      <c r="P64" s="823"/>
      <c r="Q64" s="490">
        <f ca="1">SUM(K64:P64)</f>
        <v>0</v>
      </c>
      <c r="R64" s="462">
        <f t="shared" ref="R64:R93" ca="1" si="44">SUMIFS(_2021_Total,Buget_detal_sursa,R$62,Buget_detal_dir_act,$C64)</f>
        <v>0</v>
      </c>
      <c r="S64" s="463">
        <f t="shared" ref="S64:S93" ca="1" si="45">SUMIFS(_2022_Total,Buget_detal_sursa,S$62,Buget_detal_dir_act,$C64)</f>
        <v>0</v>
      </c>
      <c r="T64" s="463">
        <f t="shared" ref="T64:T93" ca="1" si="46">SUMIFS(_2023_Total,Buget_detal_sursa,T$62,Buget_detal_dir_act,$C64)</f>
        <v>0</v>
      </c>
      <c r="U64" s="485">
        <f t="shared" ref="U64:U93" ca="1" si="47">SUMIFS(_2024_Total,Buget_detal_sursa,U$62,Buget_detal_dir_act,$C64)</f>
        <v>0</v>
      </c>
      <c r="V64" s="485">
        <f t="shared" ref="V64:V93" ca="1" si="48">SUMIFS(_2025_Total,Buget_detal_sursa,V$62,Buget_detal_dir_act,$C64)</f>
        <v>0</v>
      </c>
      <c r="W64" s="823"/>
      <c r="X64" s="490">
        <f ca="1">SUM(R64:W64)</f>
        <v>0</v>
      </c>
      <c r="Y64" s="462">
        <f t="shared" ref="Y64:Y93" ca="1" si="49">SUMIFS(_2021_Total,Buget_detal_sursa,Y$62,Buget_detal_dir_act,$C64)</f>
        <v>7726942.6300000008</v>
      </c>
      <c r="Z64" s="463">
        <f t="shared" ref="Z64:Z93" ca="1" si="50">SUMIFS(_2022_Total,Buget_detal_sursa,Z$62,Buget_detal_dir_act,$C64)</f>
        <v>10872169.390000001</v>
      </c>
      <c r="AA64" s="463">
        <f t="shared" ref="AA64:AA93" ca="1" si="51">SUMIFS(_2023_Total,Buget_detal_sursa,AA$62,Buget_detal_dir_act,$C64)</f>
        <v>11350225.120000001</v>
      </c>
      <c r="AB64" s="2056">
        <f t="shared" ref="AB64:AB93" ca="1" si="52">SUMIFS(_2024_Total,Buget_detal_sursa,AB$62,Buget_detal_dir_act,$C64)</f>
        <v>0</v>
      </c>
      <c r="AC64" s="2056">
        <f t="shared" ref="AC64:AC93" ca="1" si="53">SUMIFS(_2025_Total,Buget_detal_sursa,AC$62,Buget_detal_dir_act,$C64)</f>
        <v>0</v>
      </c>
      <c r="AD64" s="823"/>
      <c r="AE64" s="490">
        <f ca="1">SUM(Y64:AD64)</f>
        <v>29949337.140000004</v>
      </c>
      <c r="AF64" s="462">
        <f t="shared" ref="AF64:AF93" ca="1" si="54">SUMIFS(_2021_Total,Buget_detal_sursa,AF$62,Buget_detal_dir_act,$C64)</f>
        <v>0</v>
      </c>
      <c r="AG64" s="463">
        <f t="shared" ref="AG64:AG93" ca="1" si="55">SUMIFS(_2022_Total,Buget_detal_sursa,AG$62,Buget_detal_dir_act,$C64)</f>
        <v>0</v>
      </c>
      <c r="AH64" s="463">
        <f t="shared" ref="AH64:AH93" ca="1" si="56">SUMIFS(_2023_Total,Buget_detal_sursa,AH$62,Buget_detal_dir_act,$C64)</f>
        <v>0</v>
      </c>
      <c r="AI64" s="485">
        <f t="shared" ref="AI64:AI93" ca="1" si="57">SUMIFS(_2024_Total,Buget_detal_sursa,AI$62,Buget_detal_dir_act,$C64)</f>
        <v>2822004</v>
      </c>
      <c r="AJ64" s="485">
        <f t="shared" ref="AJ64:AJ93" ca="1" si="58">SUMIFS(_2025_Total,Buget_detal_sursa,AJ$62,Buget_detal_dir_act,$C64)</f>
        <v>2822004</v>
      </c>
      <c r="AK64" s="823"/>
      <c r="AL64" s="490">
        <f ca="1">SUM(AF64:AK64)</f>
        <v>5644008</v>
      </c>
      <c r="AM64" s="462">
        <f t="shared" ref="AM64:AM93" ca="1" si="59">SUMIFS(_2021_Total,Buget_detal_sursa,AM$62,Buget_detal_dir_act,$C64)</f>
        <v>0</v>
      </c>
      <c r="AN64" s="463">
        <f t="shared" ref="AN64:AN93" ca="1" si="60">SUMIFS(_2022_Total,Buget_detal_sursa,AN$62,Buget_detal_dir_act,$C64)</f>
        <v>0</v>
      </c>
      <c r="AO64" s="463">
        <f t="shared" ref="AO64:AO93" ca="1" si="61">SUMIFS(_2023_Total,Buget_detal_sursa,AO$62,Buget_detal_dir_act,$C64)</f>
        <v>0</v>
      </c>
      <c r="AP64" s="485">
        <f t="shared" ref="AP64:AP93" ca="1" si="62">SUMIFS(_2024_Total,Buget_detal_sursa,AP$62,Buget_detal_dir_act,$C64)</f>
        <v>0</v>
      </c>
      <c r="AQ64" s="485">
        <f t="shared" ref="AQ64:AQ93" ca="1" si="63">SUMIFS(_2025_Total,Buget_detal_sursa,AQ$62,Buget_detal_dir_act,$C64)</f>
        <v>0</v>
      </c>
      <c r="AR64" s="823"/>
      <c r="AS64" s="490">
        <f ca="1">SUM(AM64:AR64)</f>
        <v>0</v>
      </c>
      <c r="AT64" s="496">
        <f ca="1">J64+Q64+X64+AE64+AL64+AS64</f>
        <v>255133571.70000002</v>
      </c>
    </row>
    <row r="65" spans="2:46" ht="32">
      <c r="B65" s="200">
        <v>2</v>
      </c>
      <c r="C65" s="471" t="str">
        <f t="shared" ref="C65:C93" si="64">C26</f>
        <v xml:space="preserve">2.1.  Asigurarea depistării TB prin aplicarea constantă și extinderea metodelor microbiologice rapide de diagnostic </v>
      </c>
      <c r="D65" s="462">
        <f t="shared" ca="1" si="34"/>
        <v>0</v>
      </c>
      <c r="E65" s="463">
        <f t="shared" ca="1" si="35"/>
        <v>0</v>
      </c>
      <c r="F65" s="463">
        <f t="shared" ca="1" si="36"/>
        <v>0</v>
      </c>
      <c r="G65" s="485">
        <f t="shared" ca="1" si="37"/>
        <v>0</v>
      </c>
      <c r="H65" s="485">
        <f t="shared" ca="1" si="38"/>
        <v>0</v>
      </c>
      <c r="I65" s="823"/>
      <c r="J65" s="490">
        <f t="shared" ref="J65:J93" ca="1" si="65">SUM(D65:I65)</f>
        <v>0</v>
      </c>
      <c r="K65" s="462">
        <f t="shared" ca="1" si="39"/>
        <v>2521760.48</v>
      </c>
      <c r="L65" s="463">
        <f t="shared" ca="1" si="40"/>
        <v>2882838.4</v>
      </c>
      <c r="M65" s="463">
        <f t="shared" ca="1" si="41"/>
        <v>3256209.36</v>
      </c>
      <c r="N65" s="485">
        <f t="shared" ca="1" si="42"/>
        <v>6067217.8399999999</v>
      </c>
      <c r="O65" s="485">
        <f t="shared" ca="1" si="43"/>
        <v>5896320.4799999995</v>
      </c>
      <c r="P65" s="823"/>
      <c r="Q65" s="490">
        <f t="shared" ref="Q65:Q93" ca="1" si="66">SUM(K65:P65)</f>
        <v>20624346.559999999</v>
      </c>
      <c r="R65" s="462">
        <f t="shared" ca="1" si="44"/>
        <v>0</v>
      </c>
      <c r="S65" s="463">
        <f t="shared" ca="1" si="45"/>
        <v>0</v>
      </c>
      <c r="T65" s="463">
        <f t="shared" ca="1" si="46"/>
        <v>0</v>
      </c>
      <c r="U65" s="485">
        <f t="shared" ca="1" si="47"/>
        <v>0</v>
      </c>
      <c r="V65" s="485">
        <f t="shared" ca="1" si="48"/>
        <v>0</v>
      </c>
      <c r="W65" s="823"/>
      <c r="X65" s="490">
        <f t="shared" ref="X65:X93" ca="1" si="67">SUM(R65:W65)</f>
        <v>0</v>
      </c>
      <c r="Y65" s="462">
        <f t="shared" ca="1" si="49"/>
        <v>5894525.3199044997</v>
      </c>
      <c r="Z65" s="463">
        <f t="shared" ca="1" si="50"/>
        <v>3217531.3501088996</v>
      </c>
      <c r="AA65" s="463">
        <f t="shared" ca="1" si="51"/>
        <v>3110075.6800104994</v>
      </c>
      <c r="AB65" s="2056">
        <f t="shared" ca="1" si="52"/>
        <v>0</v>
      </c>
      <c r="AC65" s="2056">
        <f t="shared" ca="1" si="53"/>
        <v>0</v>
      </c>
      <c r="AD65" s="823"/>
      <c r="AE65" s="490">
        <f t="shared" ref="AE65:AE93" ca="1" si="68">SUM(Y65:AD65)</f>
        <v>12222132.350023899</v>
      </c>
      <c r="AF65" s="462">
        <f t="shared" ca="1" si="54"/>
        <v>0</v>
      </c>
      <c r="AG65" s="463">
        <f t="shared" ca="1" si="55"/>
        <v>0</v>
      </c>
      <c r="AH65" s="463">
        <f t="shared" ca="1" si="56"/>
        <v>0</v>
      </c>
      <c r="AI65" s="485">
        <f t="shared" ca="1" si="57"/>
        <v>1577606.8</v>
      </c>
      <c r="AJ65" s="485">
        <f t="shared" ca="1" si="58"/>
        <v>1577606.8</v>
      </c>
      <c r="AK65" s="823"/>
      <c r="AL65" s="490">
        <f t="shared" ref="AL65:AL93" ca="1" si="69">SUM(AF65:AK65)</f>
        <v>3155213.6</v>
      </c>
      <c r="AM65" s="462">
        <f t="shared" ca="1" si="59"/>
        <v>0</v>
      </c>
      <c r="AN65" s="463">
        <f t="shared" ca="1" si="60"/>
        <v>0</v>
      </c>
      <c r="AO65" s="463">
        <f t="shared" ca="1" si="61"/>
        <v>0</v>
      </c>
      <c r="AP65" s="485">
        <f t="shared" ca="1" si="62"/>
        <v>0</v>
      </c>
      <c r="AQ65" s="485">
        <f t="shared" ca="1" si="63"/>
        <v>0</v>
      </c>
      <c r="AR65" s="823"/>
      <c r="AS65" s="490">
        <f t="shared" ref="AS65:AS93" ca="1" si="70">SUM(AM65:AR65)</f>
        <v>0</v>
      </c>
      <c r="AT65" s="490">
        <f t="shared" ref="AT65:AT93" ca="1" si="71">J65+Q65+X65+AE65+AL65+AS65</f>
        <v>36001692.510023899</v>
      </c>
    </row>
    <row r="66" spans="2:46" ht="64">
      <c r="B66" s="200">
        <v>3</v>
      </c>
      <c r="C66" s="471" t="str">
        <f t="shared" si="64"/>
        <v>2.2.  Fortificarea rețelei de laborator prin asigurarea controlului calității și biosecurității în conformitate cu standardele naționale și internaționale în cadrul rețelei naționale de laboratoare implicate în diagnosticul microbiologic al TB</v>
      </c>
      <c r="D66" s="462">
        <f t="shared" ca="1" si="34"/>
        <v>47866.17</v>
      </c>
      <c r="E66" s="463">
        <f t="shared" ca="1" si="35"/>
        <v>52652.79</v>
      </c>
      <c r="F66" s="463">
        <f t="shared" ca="1" si="36"/>
        <v>57439.4</v>
      </c>
      <c r="G66" s="485">
        <f t="shared" ca="1" si="37"/>
        <v>124560.04747185</v>
      </c>
      <c r="H66" s="485">
        <f t="shared" ca="1" si="38"/>
        <v>124560.04747185</v>
      </c>
      <c r="I66" s="823"/>
      <c r="J66" s="490">
        <f t="shared" ca="1" si="65"/>
        <v>407078.4549437</v>
      </c>
      <c r="K66" s="462">
        <f t="shared" ca="1" si="39"/>
        <v>0</v>
      </c>
      <c r="L66" s="463">
        <f t="shared" ca="1" si="40"/>
        <v>0</v>
      </c>
      <c r="M66" s="463">
        <f t="shared" ca="1" si="41"/>
        <v>0</v>
      </c>
      <c r="N66" s="485">
        <f t="shared" ca="1" si="42"/>
        <v>0</v>
      </c>
      <c r="O66" s="485">
        <f t="shared" ca="1" si="43"/>
        <v>0</v>
      </c>
      <c r="P66" s="823"/>
      <c r="Q66" s="490">
        <f t="shared" ca="1" si="66"/>
        <v>0</v>
      </c>
      <c r="R66" s="462">
        <f t="shared" ca="1" si="44"/>
        <v>0</v>
      </c>
      <c r="S66" s="463">
        <f t="shared" ca="1" si="45"/>
        <v>0</v>
      </c>
      <c r="T66" s="463">
        <f t="shared" ca="1" si="46"/>
        <v>0</v>
      </c>
      <c r="U66" s="485">
        <f t="shared" ca="1" si="47"/>
        <v>0</v>
      </c>
      <c r="V66" s="485">
        <f t="shared" ca="1" si="48"/>
        <v>0</v>
      </c>
      <c r="W66" s="823"/>
      <c r="X66" s="490">
        <f t="shared" ca="1" si="67"/>
        <v>0</v>
      </c>
      <c r="Y66" s="462">
        <f t="shared" ca="1" si="49"/>
        <v>633343.09747184999</v>
      </c>
      <c r="Z66" s="463">
        <f t="shared" ca="1" si="50"/>
        <v>208632.04416083999</v>
      </c>
      <c r="AA66" s="463">
        <f t="shared" ca="1" si="51"/>
        <v>143059.12747184999</v>
      </c>
      <c r="AB66" s="2056">
        <f t="shared" ca="1" si="52"/>
        <v>0</v>
      </c>
      <c r="AC66" s="2056">
        <f t="shared" ca="1" si="53"/>
        <v>0</v>
      </c>
      <c r="AD66" s="823"/>
      <c r="AE66" s="490">
        <f t="shared" ca="1" si="68"/>
        <v>985034.26910454</v>
      </c>
      <c r="AF66" s="462">
        <f t="shared" ca="1" si="54"/>
        <v>3553.7</v>
      </c>
      <c r="AG66" s="463">
        <f t="shared" ca="1" si="55"/>
        <v>3909.07</v>
      </c>
      <c r="AH66" s="463">
        <f t="shared" ca="1" si="56"/>
        <v>4264.4399999999996</v>
      </c>
      <c r="AI66" s="485">
        <f t="shared" ca="1" si="57"/>
        <v>7107.4</v>
      </c>
      <c r="AJ66" s="485">
        <f t="shared" ca="1" si="58"/>
        <v>7107.4</v>
      </c>
      <c r="AK66" s="823"/>
      <c r="AL66" s="490">
        <f t="shared" ca="1" si="69"/>
        <v>25942.010000000002</v>
      </c>
      <c r="AM66" s="462">
        <f t="shared" ca="1" si="59"/>
        <v>0</v>
      </c>
      <c r="AN66" s="463">
        <f t="shared" ca="1" si="60"/>
        <v>0</v>
      </c>
      <c r="AO66" s="463">
        <f t="shared" ca="1" si="61"/>
        <v>0</v>
      </c>
      <c r="AP66" s="485">
        <f t="shared" ca="1" si="62"/>
        <v>0</v>
      </c>
      <c r="AQ66" s="485">
        <f t="shared" ca="1" si="63"/>
        <v>0</v>
      </c>
      <c r="AR66" s="823"/>
      <c r="AS66" s="490">
        <f t="shared" ca="1" si="70"/>
        <v>0</v>
      </c>
      <c r="AT66" s="490">
        <f t="shared" ca="1" si="71"/>
        <v>1418054.7340482401</v>
      </c>
    </row>
    <row r="67" spans="2:46" ht="32">
      <c r="B67" s="200">
        <v>4</v>
      </c>
      <c r="C67" s="471" t="str">
        <f t="shared" si="64"/>
        <v>2.3.  Asigurarea monitorizării tratamentului pacienților cu TB și TB MDR cu supravegherea rezistenței M. tuberculosis către medicamente</v>
      </c>
      <c r="D67" s="462">
        <f t="shared" ca="1" si="34"/>
        <v>33202.21</v>
      </c>
      <c r="E67" s="463">
        <f t="shared" ca="1" si="35"/>
        <v>166011.06</v>
      </c>
      <c r="F67" s="463">
        <f t="shared" ca="1" si="36"/>
        <v>265617.69</v>
      </c>
      <c r="G67" s="485">
        <f t="shared" ca="1" si="37"/>
        <v>332022.11</v>
      </c>
      <c r="H67" s="485">
        <f t="shared" ca="1" si="38"/>
        <v>332022.11</v>
      </c>
      <c r="I67" s="823"/>
      <c r="J67" s="490">
        <f t="shared" ca="1" si="65"/>
        <v>1128875.18</v>
      </c>
      <c r="K67" s="462">
        <f t="shared" ca="1" si="39"/>
        <v>9992617.8345800005</v>
      </c>
      <c r="L67" s="463">
        <f t="shared" ca="1" si="40"/>
        <v>10136361.856999999</v>
      </c>
      <c r="M67" s="463">
        <f t="shared" ca="1" si="41"/>
        <v>10152673.266179999</v>
      </c>
      <c r="N67" s="485">
        <f t="shared" ca="1" si="42"/>
        <v>11084010.81992</v>
      </c>
      <c r="O67" s="485">
        <f t="shared" ca="1" si="43"/>
        <v>14483733.714700002</v>
      </c>
      <c r="P67" s="823"/>
      <c r="Q67" s="490">
        <f t="shared" ca="1" si="66"/>
        <v>55849397.492379993</v>
      </c>
      <c r="R67" s="462">
        <f t="shared" ca="1" si="44"/>
        <v>0</v>
      </c>
      <c r="S67" s="463">
        <f t="shared" ca="1" si="45"/>
        <v>0</v>
      </c>
      <c r="T67" s="463">
        <f t="shared" ca="1" si="46"/>
        <v>0</v>
      </c>
      <c r="U67" s="485">
        <f t="shared" ca="1" si="47"/>
        <v>0</v>
      </c>
      <c r="V67" s="485">
        <f t="shared" ca="1" si="48"/>
        <v>0</v>
      </c>
      <c r="W67" s="823"/>
      <c r="X67" s="490">
        <f t="shared" ca="1" si="67"/>
        <v>0</v>
      </c>
      <c r="Y67" s="462">
        <f t="shared" ca="1" si="49"/>
        <v>5314686.3847867502</v>
      </c>
      <c r="Z67" s="463">
        <f t="shared" ca="1" si="50"/>
        <v>4023483.5245577702</v>
      </c>
      <c r="AA67" s="463">
        <f t="shared" ca="1" si="51"/>
        <v>5868405.6983632995</v>
      </c>
      <c r="AB67" s="2056">
        <f t="shared" ca="1" si="52"/>
        <v>0</v>
      </c>
      <c r="AC67" s="2056">
        <f t="shared" ca="1" si="53"/>
        <v>0</v>
      </c>
      <c r="AD67" s="823"/>
      <c r="AE67" s="490">
        <f t="shared" ca="1" si="68"/>
        <v>15206575.607707821</v>
      </c>
      <c r="AF67" s="462">
        <f t="shared" ca="1" si="54"/>
        <v>2046196.4274200003</v>
      </c>
      <c r="AG67" s="463">
        <f t="shared" ca="1" si="55"/>
        <v>2176598.8021000004</v>
      </c>
      <c r="AH67" s="463">
        <f t="shared" ca="1" si="56"/>
        <v>2252213.7370800003</v>
      </c>
      <c r="AI67" s="485">
        <f t="shared" ca="1" si="57"/>
        <v>3081605.2226000004</v>
      </c>
      <c r="AJ67" s="485">
        <f t="shared" ca="1" si="58"/>
        <v>3494963.1793200001</v>
      </c>
      <c r="AK67" s="823"/>
      <c r="AL67" s="490">
        <f t="shared" ca="1" si="69"/>
        <v>13051577.368520001</v>
      </c>
      <c r="AM67" s="462">
        <f t="shared" ca="1" si="59"/>
        <v>0</v>
      </c>
      <c r="AN67" s="463">
        <f t="shared" ca="1" si="60"/>
        <v>0</v>
      </c>
      <c r="AO67" s="463">
        <f t="shared" ca="1" si="61"/>
        <v>0</v>
      </c>
      <c r="AP67" s="485">
        <f t="shared" ca="1" si="62"/>
        <v>0</v>
      </c>
      <c r="AQ67" s="485">
        <f t="shared" ca="1" si="63"/>
        <v>0</v>
      </c>
      <c r="AR67" s="823"/>
      <c r="AS67" s="490">
        <f t="shared" ca="1" si="70"/>
        <v>0</v>
      </c>
      <c r="AT67" s="490">
        <f t="shared" ca="1" si="71"/>
        <v>85236425.64860782</v>
      </c>
    </row>
    <row r="68" spans="2:46" ht="16">
      <c r="B68" s="200">
        <v>5</v>
      </c>
      <c r="C68" s="471" t="str">
        <f t="shared" si="64"/>
        <v>3.1.  Asigurarea continuă cu medicamente TB</v>
      </c>
      <c r="D68" s="462">
        <f t="shared" ca="1" si="34"/>
        <v>17926.32</v>
      </c>
      <c r="E68" s="463">
        <f t="shared" ca="1" si="35"/>
        <v>89631.58</v>
      </c>
      <c r="F68" s="463">
        <f t="shared" ca="1" si="36"/>
        <v>143410.53</v>
      </c>
      <c r="G68" s="485">
        <f t="shared" ca="1" si="37"/>
        <v>179263.17</v>
      </c>
      <c r="H68" s="485">
        <f t="shared" ca="1" si="38"/>
        <v>593096.37</v>
      </c>
      <c r="I68" s="823"/>
      <c r="J68" s="490">
        <f t="shared" ca="1" si="65"/>
        <v>1023327.97</v>
      </c>
      <c r="K68" s="462">
        <f t="shared" ca="1" si="39"/>
        <v>11265781.270000001</v>
      </c>
      <c r="L68" s="463">
        <f t="shared" ca="1" si="40"/>
        <v>12423890.82</v>
      </c>
      <c r="M68" s="463">
        <f t="shared" ca="1" si="41"/>
        <v>13587528.559999999</v>
      </c>
      <c r="N68" s="485">
        <f t="shared" ca="1" si="42"/>
        <v>17830421.159999996</v>
      </c>
      <c r="O68" s="485">
        <f t="shared" ca="1" si="43"/>
        <v>17308169.100000001</v>
      </c>
      <c r="P68" s="823"/>
      <c r="Q68" s="490">
        <f t="shared" ca="1" si="66"/>
        <v>72415790.909999996</v>
      </c>
      <c r="R68" s="462">
        <f t="shared" ca="1" si="44"/>
        <v>348396.37</v>
      </c>
      <c r="S68" s="463">
        <f t="shared" ca="1" si="45"/>
        <v>384905.68</v>
      </c>
      <c r="T68" s="463">
        <f t="shared" ca="1" si="46"/>
        <v>413910.31</v>
      </c>
      <c r="U68" s="485">
        <f t="shared" ca="1" si="47"/>
        <v>513312.04999999993</v>
      </c>
      <c r="V68" s="485">
        <f t="shared" ca="1" si="48"/>
        <v>511740.04999999993</v>
      </c>
      <c r="W68" s="823"/>
      <c r="X68" s="490">
        <f t="shared" ca="1" si="67"/>
        <v>2172264.46</v>
      </c>
      <c r="Y68" s="462">
        <f t="shared" ca="1" si="49"/>
        <v>12377843.375074934</v>
      </c>
      <c r="Z68" s="463">
        <f t="shared" ca="1" si="50"/>
        <v>20100255.18240685</v>
      </c>
      <c r="AA68" s="463">
        <f t="shared" ca="1" si="51"/>
        <v>18087910.518080581</v>
      </c>
      <c r="AB68" s="2056">
        <f t="shared" ca="1" si="52"/>
        <v>0</v>
      </c>
      <c r="AC68" s="2056">
        <f t="shared" ca="1" si="53"/>
        <v>0</v>
      </c>
      <c r="AD68" s="823"/>
      <c r="AE68" s="490">
        <f t="shared" ca="1" si="68"/>
        <v>50566009.075562365</v>
      </c>
      <c r="AF68" s="462">
        <f t="shared" ca="1" si="54"/>
        <v>507608.22000000003</v>
      </c>
      <c r="AG68" s="463">
        <f t="shared" ca="1" si="55"/>
        <v>501569.69</v>
      </c>
      <c r="AH68" s="463">
        <f t="shared" ca="1" si="56"/>
        <v>495358.55000000005</v>
      </c>
      <c r="AI68" s="485">
        <f t="shared" ca="1" si="57"/>
        <v>9548211.5199999996</v>
      </c>
      <c r="AJ68" s="485">
        <f t="shared" ca="1" si="58"/>
        <v>9714626.8199999966</v>
      </c>
      <c r="AK68" s="823"/>
      <c r="AL68" s="490">
        <f t="shared" ca="1" si="69"/>
        <v>20767374.799999997</v>
      </c>
      <c r="AM68" s="462">
        <f t="shared" ca="1" si="59"/>
        <v>0</v>
      </c>
      <c r="AN68" s="463">
        <f t="shared" ca="1" si="60"/>
        <v>0</v>
      </c>
      <c r="AO68" s="463">
        <f t="shared" ca="1" si="61"/>
        <v>0</v>
      </c>
      <c r="AP68" s="485">
        <f t="shared" ca="1" si="62"/>
        <v>0</v>
      </c>
      <c r="AQ68" s="485">
        <f t="shared" ca="1" si="63"/>
        <v>0</v>
      </c>
      <c r="AR68" s="823"/>
      <c r="AS68" s="490">
        <f t="shared" ca="1" si="70"/>
        <v>0</v>
      </c>
      <c r="AT68" s="490">
        <f t="shared" ca="1" si="71"/>
        <v>146944767.21556234</v>
      </c>
    </row>
    <row r="69" spans="2:46" ht="32">
      <c r="B69" s="200">
        <v>6</v>
      </c>
      <c r="C69" s="471" t="str">
        <f t="shared" si="64"/>
        <v>3.2.  Asigurarea monitorizării tratamentului, managementului și prevenirii reacțiilor adverse la medicamente TB</v>
      </c>
      <c r="D69" s="462">
        <f t="shared" ca="1" si="34"/>
        <v>0</v>
      </c>
      <c r="E69" s="463">
        <f t="shared" ca="1" si="35"/>
        <v>0</v>
      </c>
      <c r="F69" s="463">
        <f t="shared" ca="1" si="36"/>
        <v>0</v>
      </c>
      <c r="G69" s="485">
        <f t="shared" ca="1" si="37"/>
        <v>0</v>
      </c>
      <c r="H69" s="485">
        <f t="shared" ca="1" si="38"/>
        <v>413833.19999999995</v>
      </c>
      <c r="I69" s="823"/>
      <c r="J69" s="490">
        <f t="shared" ca="1" si="65"/>
        <v>413833.19999999995</v>
      </c>
      <c r="K69" s="462">
        <f t="shared" ca="1" si="39"/>
        <v>0</v>
      </c>
      <c r="L69" s="463">
        <f t="shared" ca="1" si="40"/>
        <v>0</v>
      </c>
      <c r="M69" s="463">
        <f t="shared" ca="1" si="41"/>
        <v>0</v>
      </c>
      <c r="N69" s="485">
        <f t="shared" ca="1" si="42"/>
        <v>0</v>
      </c>
      <c r="O69" s="485">
        <f t="shared" ca="1" si="43"/>
        <v>0</v>
      </c>
      <c r="P69" s="823"/>
      <c r="Q69" s="490">
        <f t="shared" ca="1" si="66"/>
        <v>0</v>
      </c>
      <c r="R69" s="462">
        <f t="shared" ca="1" si="44"/>
        <v>0</v>
      </c>
      <c r="S69" s="463">
        <f t="shared" ca="1" si="45"/>
        <v>0</v>
      </c>
      <c r="T69" s="463">
        <f t="shared" ca="1" si="46"/>
        <v>0</v>
      </c>
      <c r="U69" s="485">
        <f t="shared" ca="1" si="47"/>
        <v>0</v>
      </c>
      <c r="V69" s="485">
        <f t="shared" ca="1" si="48"/>
        <v>0</v>
      </c>
      <c r="W69" s="823"/>
      <c r="X69" s="490">
        <f t="shared" ca="1" si="67"/>
        <v>0</v>
      </c>
      <c r="Y69" s="462">
        <f t="shared" ca="1" si="49"/>
        <v>80000</v>
      </c>
      <c r="Z69" s="463">
        <f t="shared" ca="1" si="50"/>
        <v>79152.570000000007</v>
      </c>
      <c r="AA69" s="463">
        <f t="shared" ca="1" si="51"/>
        <v>376212</v>
      </c>
      <c r="AB69" s="2056">
        <f t="shared" ca="1" si="52"/>
        <v>0</v>
      </c>
      <c r="AC69" s="2056">
        <f t="shared" ca="1" si="53"/>
        <v>0</v>
      </c>
      <c r="AD69" s="823"/>
      <c r="AE69" s="490">
        <f t="shared" ca="1" si="68"/>
        <v>535364.57000000007</v>
      </c>
      <c r="AF69" s="462">
        <f t="shared" ca="1" si="54"/>
        <v>0</v>
      </c>
      <c r="AG69" s="463">
        <f t="shared" ca="1" si="55"/>
        <v>0</v>
      </c>
      <c r="AH69" s="463">
        <f t="shared" ca="1" si="56"/>
        <v>0</v>
      </c>
      <c r="AI69" s="485">
        <f t="shared" ca="1" si="57"/>
        <v>0</v>
      </c>
      <c r="AJ69" s="485">
        <f t="shared" ca="1" si="58"/>
        <v>0</v>
      </c>
      <c r="AK69" s="823"/>
      <c r="AL69" s="490">
        <f t="shared" ca="1" si="69"/>
        <v>0</v>
      </c>
      <c r="AM69" s="462">
        <f t="shared" ca="1" si="59"/>
        <v>0</v>
      </c>
      <c r="AN69" s="463">
        <f t="shared" ca="1" si="60"/>
        <v>0</v>
      </c>
      <c r="AO69" s="463">
        <f t="shared" ca="1" si="61"/>
        <v>0</v>
      </c>
      <c r="AP69" s="485">
        <f t="shared" ca="1" si="62"/>
        <v>0</v>
      </c>
      <c r="AQ69" s="485">
        <f t="shared" ca="1" si="63"/>
        <v>0</v>
      </c>
      <c r="AR69" s="823"/>
      <c r="AS69" s="490">
        <f t="shared" ca="1" si="70"/>
        <v>0</v>
      </c>
      <c r="AT69" s="490">
        <f t="shared" ca="1" si="71"/>
        <v>949197.77</v>
      </c>
    </row>
    <row r="70" spans="2:46" ht="32">
      <c r="B70" s="200">
        <v>7</v>
      </c>
      <c r="C70" s="471" t="str">
        <f t="shared" si="64"/>
        <v>3.3.  Asigurarea aderenței la tratament, inclusiv prin utilizarea metodelor inovative, centrate pe persoană</v>
      </c>
      <c r="D70" s="462">
        <f t="shared" ca="1" si="34"/>
        <v>15316701</v>
      </c>
      <c r="E70" s="463">
        <f t="shared" ca="1" si="35"/>
        <v>14874271.049999999</v>
      </c>
      <c r="F70" s="463">
        <f t="shared" ca="1" si="36"/>
        <v>14406230.85</v>
      </c>
      <c r="G70" s="485">
        <f t="shared" ca="1" si="37"/>
        <v>13972465.799999999</v>
      </c>
      <c r="H70" s="485">
        <f t="shared" ca="1" si="38"/>
        <v>13581240.15</v>
      </c>
      <c r="I70" s="823"/>
      <c r="J70" s="490">
        <f t="shared" ca="1" si="65"/>
        <v>72150908.849999994</v>
      </c>
      <c r="K70" s="462">
        <f t="shared" ca="1" si="39"/>
        <v>0</v>
      </c>
      <c r="L70" s="463">
        <f t="shared" ca="1" si="40"/>
        <v>0</v>
      </c>
      <c r="M70" s="463">
        <f t="shared" ca="1" si="41"/>
        <v>0</v>
      </c>
      <c r="N70" s="485">
        <f t="shared" ca="1" si="42"/>
        <v>0</v>
      </c>
      <c r="O70" s="485">
        <f t="shared" ca="1" si="43"/>
        <v>0</v>
      </c>
      <c r="P70" s="823"/>
      <c r="Q70" s="490">
        <f t="shared" ca="1" si="66"/>
        <v>0</v>
      </c>
      <c r="R70" s="462">
        <f t="shared" ca="1" si="44"/>
        <v>0</v>
      </c>
      <c r="S70" s="463">
        <f t="shared" ca="1" si="45"/>
        <v>0</v>
      </c>
      <c r="T70" s="463">
        <f t="shared" ca="1" si="46"/>
        <v>0</v>
      </c>
      <c r="U70" s="485">
        <f t="shared" ca="1" si="47"/>
        <v>0</v>
      </c>
      <c r="V70" s="485">
        <f t="shared" ca="1" si="48"/>
        <v>0</v>
      </c>
      <c r="W70" s="823"/>
      <c r="X70" s="490">
        <f t="shared" ca="1" si="67"/>
        <v>0</v>
      </c>
      <c r="Y70" s="462">
        <f t="shared" ca="1" si="49"/>
        <v>6519900.0750000002</v>
      </c>
      <c r="Z70" s="463">
        <f t="shared" ca="1" si="50"/>
        <v>5556674.0750000002</v>
      </c>
      <c r="AA70" s="463">
        <f t="shared" ca="1" si="51"/>
        <v>5307843.8899999997</v>
      </c>
      <c r="AB70" s="2056">
        <f t="shared" ca="1" si="52"/>
        <v>0</v>
      </c>
      <c r="AC70" s="2056">
        <f t="shared" ca="1" si="53"/>
        <v>0</v>
      </c>
      <c r="AD70" s="823"/>
      <c r="AE70" s="490">
        <f t="shared" ca="1" si="68"/>
        <v>17384418.039999999</v>
      </c>
      <c r="AF70" s="462">
        <f t="shared" ca="1" si="54"/>
        <v>0</v>
      </c>
      <c r="AG70" s="463">
        <f t="shared" ca="1" si="55"/>
        <v>0</v>
      </c>
      <c r="AH70" s="463">
        <f t="shared" ca="1" si="56"/>
        <v>0</v>
      </c>
      <c r="AI70" s="485">
        <f t="shared" ca="1" si="57"/>
        <v>3657340.02</v>
      </c>
      <c r="AJ70" s="485">
        <f t="shared" ca="1" si="58"/>
        <v>3679531.86</v>
      </c>
      <c r="AK70" s="823"/>
      <c r="AL70" s="490">
        <f t="shared" ca="1" si="69"/>
        <v>7336871.8799999999</v>
      </c>
      <c r="AM70" s="462">
        <f t="shared" ca="1" si="59"/>
        <v>0</v>
      </c>
      <c r="AN70" s="463">
        <f t="shared" ca="1" si="60"/>
        <v>0</v>
      </c>
      <c r="AO70" s="463">
        <f t="shared" ca="1" si="61"/>
        <v>0</v>
      </c>
      <c r="AP70" s="485">
        <f t="shared" ca="1" si="62"/>
        <v>0</v>
      </c>
      <c r="AQ70" s="485">
        <f t="shared" ca="1" si="63"/>
        <v>0</v>
      </c>
      <c r="AR70" s="823"/>
      <c r="AS70" s="490">
        <f t="shared" ca="1" si="70"/>
        <v>0</v>
      </c>
      <c r="AT70" s="490">
        <f t="shared" ca="1" si="71"/>
        <v>96872198.769999981</v>
      </c>
    </row>
    <row r="71" spans="2:46" ht="32">
      <c r="B71" s="200">
        <v>8</v>
      </c>
      <c r="C71" s="471" t="str">
        <f t="shared" si="64"/>
        <v>4.1.  Consolidarea capacităților pentru realizarea unui control eficient al co-infecţiei TB/HIV</v>
      </c>
      <c r="D71" s="462">
        <f t="shared" ca="1" si="34"/>
        <v>0</v>
      </c>
      <c r="E71" s="463">
        <f t="shared" ca="1" si="35"/>
        <v>0</v>
      </c>
      <c r="F71" s="463">
        <f t="shared" ca="1" si="36"/>
        <v>0</v>
      </c>
      <c r="G71" s="485">
        <f t="shared" ca="1" si="37"/>
        <v>0</v>
      </c>
      <c r="H71" s="485">
        <f t="shared" ca="1" si="38"/>
        <v>0</v>
      </c>
      <c r="I71" s="823"/>
      <c r="J71" s="490">
        <f t="shared" ca="1" si="65"/>
        <v>0</v>
      </c>
      <c r="K71" s="462">
        <f t="shared" ca="1" si="39"/>
        <v>40454.5</v>
      </c>
      <c r="L71" s="463">
        <f t="shared" ca="1" si="40"/>
        <v>39249</v>
      </c>
      <c r="M71" s="463">
        <f t="shared" ca="1" si="41"/>
        <v>38160.5</v>
      </c>
      <c r="N71" s="485">
        <f t="shared" ca="1" si="42"/>
        <v>36892.5</v>
      </c>
      <c r="O71" s="485">
        <f t="shared" ca="1" si="43"/>
        <v>35893</v>
      </c>
      <c r="P71" s="823"/>
      <c r="Q71" s="490">
        <f t="shared" ca="1" si="66"/>
        <v>190649.5</v>
      </c>
      <c r="R71" s="462">
        <f t="shared" ca="1" si="44"/>
        <v>1300.5</v>
      </c>
      <c r="S71" s="463">
        <f t="shared" ca="1" si="45"/>
        <v>1264.5</v>
      </c>
      <c r="T71" s="463">
        <f t="shared" ca="1" si="46"/>
        <v>1264.5</v>
      </c>
      <c r="U71" s="485">
        <f t="shared" ca="1" si="47"/>
        <v>1048</v>
      </c>
      <c r="V71" s="485">
        <f t="shared" ca="1" si="48"/>
        <v>1048</v>
      </c>
      <c r="W71" s="823"/>
      <c r="X71" s="490">
        <f t="shared" ca="1" si="67"/>
        <v>5925.5</v>
      </c>
      <c r="Y71" s="462">
        <f t="shared" ca="1" si="49"/>
        <v>147740</v>
      </c>
      <c r="Z71" s="463">
        <f t="shared" ca="1" si="50"/>
        <v>0</v>
      </c>
      <c r="AA71" s="463">
        <f t="shared" ca="1" si="51"/>
        <v>0</v>
      </c>
      <c r="AB71" s="2056">
        <f t="shared" ca="1" si="52"/>
        <v>0</v>
      </c>
      <c r="AC71" s="2056">
        <f t="shared" ca="1" si="53"/>
        <v>0</v>
      </c>
      <c r="AD71" s="823"/>
      <c r="AE71" s="490">
        <f t="shared" ca="1" si="68"/>
        <v>147740</v>
      </c>
      <c r="AF71" s="462">
        <f t="shared" ca="1" si="54"/>
        <v>26470</v>
      </c>
      <c r="AG71" s="463">
        <f t="shared" ca="1" si="55"/>
        <v>26110</v>
      </c>
      <c r="AH71" s="463">
        <f t="shared" ca="1" si="56"/>
        <v>26360</v>
      </c>
      <c r="AI71" s="485">
        <f t="shared" ca="1" si="57"/>
        <v>26607.5</v>
      </c>
      <c r="AJ71" s="485">
        <f t="shared" ca="1" si="58"/>
        <v>26822.5</v>
      </c>
      <c r="AK71" s="823"/>
      <c r="AL71" s="490">
        <f t="shared" ca="1" si="69"/>
        <v>132370</v>
      </c>
      <c r="AM71" s="462">
        <f t="shared" ca="1" si="59"/>
        <v>0</v>
      </c>
      <c r="AN71" s="463">
        <f t="shared" ca="1" si="60"/>
        <v>0</v>
      </c>
      <c r="AO71" s="463">
        <f t="shared" ca="1" si="61"/>
        <v>0</v>
      </c>
      <c r="AP71" s="485">
        <f t="shared" ca="1" si="62"/>
        <v>0</v>
      </c>
      <c r="AQ71" s="485">
        <f t="shared" ca="1" si="63"/>
        <v>0</v>
      </c>
      <c r="AR71" s="823"/>
      <c r="AS71" s="490">
        <f t="shared" ca="1" si="70"/>
        <v>0</v>
      </c>
      <c r="AT71" s="490">
        <f t="shared" ca="1" si="71"/>
        <v>476685</v>
      </c>
    </row>
    <row r="72" spans="2:46" ht="32">
      <c r="B72" s="200">
        <v>9</v>
      </c>
      <c r="C72" s="471" t="str">
        <f t="shared" si="64"/>
        <v>4.2.  Consolidarea acțiunilor colaborative în controlul TB cu alte programe naționale</v>
      </c>
      <c r="D72" s="462">
        <f t="shared" ca="1" si="34"/>
        <v>0</v>
      </c>
      <c r="E72" s="463">
        <f t="shared" ca="1" si="35"/>
        <v>0</v>
      </c>
      <c r="F72" s="463">
        <f t="shared" ca="1" si="36"/>
        <v>0</v>
      </c>
      <c r="G72" s="485">
        <f t="shared" ca="1" si="37"/>
        <v>0</v>
      </c>
      <c r="H72" s="485">
        <f t="shared" ca="1" si="38"/>
        <v>0</v>
      </c>
      <c r="I72" s="823"/>
      <c r="J72" s="490">
        <f t="shared" ca="1" si="65"/>
        <v>0</v>
      </c>
      <c r="K72" s="462">
        <f t="shared" ca="1" si="39"/>
        <v>0</v>
      </c>
      <c r="L72" s="463">
        <f t="shared" ca="1" si="40"/>
        <v>0</v>
      </c>
      <c r="M72" s="463">
        <f t="shared" ca="1" si="41"/>
        <v>0</v>
      </c>
      <c r="N72" s="485">
        <f t="shared" ca="1" si="42"/>
        <v>0</v>
      </c>
      <c r="O72" s="485">
        <f t="shared" ca="1" si="43"/>
        <v>0</v>
      </c>
      <c r="P72" s="823"/>
      <c r="Q72" s="490">
        <f t="shared" ca="1" si="66"/>
        <v>0</v>
      </c>
      <c r="R72" s="462">
        <f t="shared" ca="1" si="44"/>
        <v>0</v>
      </c>
      <c r="S72" s="463">
        <f t="shared" ca="1" si="45"/>
        <v>0</v>
      </c>
      <c r="T72" s="463">
        <f t="shared" ca="1" si="46"/>
        <v>0</v>
      </c>
      <c r="U72" s="485">
        <f t="shared" ca="1" si="47"/>
        <v>0</v>
      </c>
      <c r="V72" s="485">
        <f t="shared" ca="1" si="48"/>
        <v>0</v>
      </c>
      <c r="W72" s="823"/>
      <c r="X72" s="490">
        <f t="shared" ca="1" si="67"/>
        <v>0</v>
      </c>
      <c r="Y72" s="462">
        <f t="shared" ca="1" si="49"/>
        <v>150192</v>
      </c>
      <c r="Z72" s="463">
        <f t="shared" ca="1" si="50"/>
        <v>164266.4</v>
      </c>
      <c r="AA72" s="463">
        <f t="shared" ca="1" si="51"/>
        <v>164266.4</v>
      </c>
      <c r="AB72" s="2056">
        <f t="shared" ca="1" si="52"/>
        <v>0</v>
      </c>
      <c r="AC72" s="2056">
        <f t="shared" ca="1" si="53"/>
        <v>0</v>
      </c>
      <c r="AD72" s="823"/>
      <c r="AE72" s="490">
        <f t="shared" ca="1" si="68"/>
        <v>478724.80000000005</v>
      </c>
      <c r="AF72" s="462">
        <f t="shared" ca="1" si="54"/>
        <v>0</v>
      </c>
      <c r="AG72" s="463">
        <f t="shared" ca="1" si="55"/>
        <v>0</v>
      </c>
      <c r="AH72" s="463">
        <f t="shared" ca="1" si="56"/>
        <v>0</v>
      </c>
      <c r="AI72" s="485">
        <f t="shared" ca="1" si="57"/>
        <v>0</v>
      </c>
      <c r="AJ72" s="485">
        <f t="shared" ca="1" si="58"/>
        <v>0</v>
      </c>
      <c r="AK72" s="823"/>
      <c r="AL72" s="490">
        <f t="shared" ca="1" si="69"/>
        <v>0</v>
      </c>
      <c r="AM72" s="462">
        <f t="shared" ca="1" si="59"/>
        <v>0</v>
      </c>
      <c r="AN72" s="463">
        <f t="shared" ca="1" si="60"/>
        <v>0</v>
      </c>
      <c r="AO72" s="463">
        <f t="shared" ca="1" si="61"/>
        <v>0</v>
      </c>
      <c r="AP72" s="485">
        <f t="shared" ca="1" si="62"/>
        <v>0</v>
      </c>
      <c r="AQ72" s="485">
        <f t="shared" ca="1" si="63"/>
        <v>0</v>
      </c>
      <c r="AR72" s="823"/>
      <c r="AS72" s="490">
        <f t="shared" ca="1" si="70"/>
        <v>0</v>
      </c>
      <c r="AT72" s="490">
        <f t="shared" ca="1" si="71"/>
        <v>478724.80000000005</v>
      </c>
    </row>
    <row r="73" spans="2:46" ht="16">
      <c r="B73" s="200">
        <v>10</v>
      </c>
      <c r="C73" s="471" t="str">
        <f t="shared" si="64"/>
        <v>5.1.  Asigurarea măsurilor de profilaxie specifică</v>
      </c>
      <c r="D73" s="462">
        <f t="shared" ca="1" si="34"/>
        <v>0</v>
      </c>
      <c r="E73" s="463">
        <f t="shared" ca="1" si="35"/>
        <v>0</v>
      </c>
      <c r="F73" s="463">
        <f t="shared" ca="1" si="36"/>
        <v>0</v>
      </c>
      <c r="G73" s="485">
        <f t="shared" ca="1" si="37"/>
        <v>0</v>
      </c>
      <c r="H73" s="485">
        <f t="shared" ca="1" si="38"/>
        <v>0</v>
      </c>
      <c r="I73" s="823"/>
      <c r="J73" s="490">
        <f t="shared" ca="1" si="65"/>
        <v>0</v>
      </c>
      <c r="K73" s="462">
        <f t="shared" ca="1" si="39"/>
        <v>3443552.47</v>
      </c>
      <c r="L73" s="463">
        <f t="shared" ca="1" si="40"/>
        <v>3625963.3599999994</v>
      </c>
      <c r="M73" s="463">
        <f t="shared" ca="1" si="41"/>
        <v>3786624.42</v>
      </c>
      <c r="N73" s="485">
        <f t="shared" ca="1" si="42"/>
        <v>5299327.5699999994</v>
      </c>
      <c r="O73" s="485">
        <f t="shared" ca="1" si="43"/>
        <v>5183642.0099999988</v>
      </c>
      <c r="P73" s="823"/>
      <c r="Q73" s="490">
        <f t="shared" ca="1" si="66"/>
        <v>21339109.829999998</v>
      </c>
      <c r="R73" s="462">
        <f t="shared" ca="1" si="44"/>
        <v>135658.32</v>
      </c>
      <c r="S73" s="463">
        <f t="shared" ca="1" si="45"/>
        <v>154967.28</v>
      </c>
      <c r="T73" s="463">
        <f t="shared" ca="1" si="46"/>
        <v>178345.2</v>
      </c>
      <c r="U73" s="485">
        <f t="shared" ca="1" si="47"/>
        <v>296427.12</v>
      </c>
      <c r="V73" s="485">
        <f t="shared" ca="1" si="48"/>
        <v>300446.88</v>
      </c>
      <c r="W73" s="823"/>
      <c r="X73" s="490">
        <f t="shared" ca="1" si="67"/>
        <v>1065844.7999999998</v>
      </c>
      <c r="Y73" s="462">
        <f t="shared" ca="1" si="49"/>
        <v>2733263.5047807158</v>
      </c>
      <c r="Z73" s="463">
        <f t="shared" ca="1" si="50"/>
        <v>2473047.1446863213</v>
      </c>
      <c r="AA73" s="463">
        <f t="shared" ca="1" si="51"/>
        <v>2014305.1850403051</v>
      </c>
      <c r="AB73" s="2056">
        <f t="shared" ca="1" si="52"/>
        <v>0</v>
      </c>
      <c r="AC73" s="2056">
        <f t="shared" ca="1" si="53"/>
        <v>0</v>
      </c>
      <c r="AD73" s="823"/>
      <c r="AE73" s="490">
        <f t="shared" ca="1" si="68"/>
        <v>7220615.8345073424</v>
      </c>
      <c r="AF73" s="462">
        <f t="shared" ca="1" si="54"/>
        <v>390547.01999999996</v>
      </c>
      <c r="AG73" s="463">
        <f t="shared" ca="1" si="55"/>
        <v>405955.62</v>
      </c>
      <c r="AH73" s="463">
        <f t="shared" ca="1" si="56"/>
        <v>418541.4</v>
      </c>
      <c r="AI73" s="485">
        <f t="shared" ca="1" si="57"/>
        <v>565465.26</v>
      </c>
      <c r="AJ73" s="485">
        <f t="shared" ca="1" si="58"/>
        <v>553322.57999999996</v>
      </c>
      <c r="AK73" s="823"/>
      <c r="AL73" s="490">
        <f t="shared" ca="1" si="69"/>
        <v>2333831.88</v>
      </c>
      <c r="AM73" s="462">
        <f t="shared" ca="1" si="59"/>
        <v>0</v>
      </c>
      <c r="AN73" s="463">
        <f t="shared" ca="1" si="60"/>
        <v>0</v>
      </c>
      <c r="AO73" s="463">
        <f t="shared" ca="1" si="61"/>
        <v>0</v>
      </c>
      <c r="AP73" s="485">
        <f t="shared" ca="1" si="62"/>
        <v>0</v>
      </c>
      <c r="AQ73" s="485">
        <f t="shared" ca="1" si="63"/>
        <v>0</v>
      </c>
      <c r="AR73" s="823"/>
      <c r="AS73" s="490">
        <f t="shared" ca="1" si="70"/>
        <v>0</v>
      </c>
      <c r="AT73" s="490">
        <f t="shared" ca="1" si="71"/>
        <v>31959402.34450734</v>
      </c>
    </row>
    <row r="74" spans="2:46" ht="32">
      <c r="B74" s="200">
        <v>11</v>
      </c>
      <c r="C74" s="471" t="str">
        <f t="shared" si="64"/>
        <v>5.2.  Asigurarea informării privind respectarea măsurilor de control al infecției  pentru reducerea riscului de transmitere a TB în societate</v>
      </c>
      <c r="D74" s="462">
        <f t="shared" ca="1" si="34"/>
        <v>0</v>
      </c>
      <c r="E74" s="463">
        <f t="shared" ca="1" si="35"/>
        <v>0</v>
      </c>
      <c r="F74" s="463">
        <f t="shared" ca="1" si="36"/>
        <v>0</v>
      </c>
      <c r="G74" s="485">
        <f t="shared" ca="1" si="37"/>
        <v>0</v>
      </c>
      <c r="H74" s="485">
        <f t="shared" ca="1" si="38"/>
        <v>0</v>
      </c>
      <c r="I74" s="823"/>
      <c r="J74" s="490">
        <f t="shared" ca="1" si="65"/>
        <v>0</v>
      </c>
      <c r="K74" s="462">
        <f t="shared" ca="1" si="39"/>
        <v>0</v>
      </c>
      <c r="L74" s="463">
        <f t="shared" ca="1" si="40"/>
        <v>0</v>
      </c>
      <c r="M74" s="463">
        <f t="shared" ca="1" si="41"/>
        <v>0</v>
      </c>
      <c r="N74" s="485">
        <f t="shared" ca="1" si="42"/>
        <v>0</v>
      </c>
      <c r="O74" s="485">
        <f t="shared" ca="1" si="43"/>
        <v>0</v>
      </c>
      <c r="P74" s="823"/>
      <c r="Q74" s="490">
        <f t="shared" ca="1" si="66"/>
        <v>0</v>
      </c>
      <c r="R74" s="462">
        <f t="shared" ca="1" si="44"/>
        <v>0</v>
      </c>
      <c r="S74" s="463">
        <f t="shared" ca="1" si="45"/>
        <v>0</v>
      </c>
      <c r="T74" s="463">
        <f t="shared" ca="1" si="46"/>
        <v>0</v>
      </c>
      <c r="U74" s="485">
        <f t="shared" ca="1" si="47"/>
        <v>0</v>
      </c>
      <c r="V74" s="485">
        <f t="shared" ca="1" si="48"/>
        <v>0</v>
      </c>
      <c r="W74" s="823"/>
      <c r="X74" s="490">
        <f t="shared" ca="1" si="67"/>
        <v>0</v>
      </c>
      <c r="Y74" s="462">
        <f t="shared" ca="1" si="49"/>
        <v>1160270.27</v>
      </c>
      <c r="Z74" s="463">
        <f t="shared" ca="1" si="50"/>
        <v>858960.6</v>
      </c>
      <c r="AA74" s="463">
        <f t="shared" ca="1" si="51"/>
        <v>875990.6</v>
      </c>
      <c r="AB74" s="2056">
        <f t="shared" ca="1" si="52"/>
        <v>0</v>
      </c>
      <c r="AC74" s="2056">
        <f t="shared" ca="1" si="53"/>
        <v>0</v>
      </c>
      <c r="AD74" s="823"/>
      <c r="AE74" s="490">
        <f t="shared" ca="1" si="68"/>
        <v>2895221.47</v>
      </c>
      <c r="AF74" s="462">
        <f t="shared" ca="1" si="54"/>
        <v>0</v>
      </c>
      <c r="AG74" s="463">
        <f t="shared" ca="1" si="55"/>
        <v>0</v>
      </c>
      <c r="AH74" s="463">
        <f t="shared" ca="1" si="56"/>
        <v>0</v>
      </c>
      <c r="AI74" s="485">
        <f t="shared" ca="1" si="57"/>
        <v>0</v>
      </c>
      <c r="AJ74" s="485">
        <f t="shared" ca="1" si="58"/>
        <v>0</v>
      </c>
      <c r="AK74" s="823"/>
      <c r="AL74" s="490">
        <f t="shared" ca="1" si="69"/>
        <v>0</v>
      </c>
      <c r="AM74" s="462">
        <f t="shared" ca="1" si="59"/>
        <v>0</v>
      </c>
      <c r="AN74" s="463">
        <f t="shared" ca="1" si="60"/>
        <v>0</v>
      </c>
      <c r="AO74" s="463">
        <f t="shared" ca="1" si="61"/>
        <v>0</v>
      </c>
      <c r="AP74" s="485">
        <f t="shared" ca="1" si="62"/>
        <v>0</v>
      </c>
      <c r="AQ74" s="485">
        <f t="shared" ca="1" si="63"/>
        <v>0</v>
      </c>
      <c r="AR74" s="823"/>
      <c r="AS74" s="490">
        <f t="shared" ca="1" si="70"/>
        <v>0</v>
      </c>
      <c r="AT74" s="490">
        <f t="shared" ca="1" si="71"/>
        <v>2895221.47</v>
      </c>
    </row>
    <row r="75" spans="2:46" ht="32">
      <c r="B75" s="200">
        <v>12</v>
      </c>
      <c r="C75" s="471" t="str">
        <f t="shared" si="64"/>
        <v>5.3.  Asigurarea controlului infecției în IMSP și alte AP cu rețele sanitare proprii</v>
      </c>
      <c r="D75" s="462">
        <f t="shared" ca="1" si="34"/>
        <v>0</v>
      </c>
      <c r="E75" s="463">
        <f t="shared" ca="1" si="35"/>
        <v>0</v>
      </c>
      <c r="F75" s="463">
        <f t="shared" ca="1" si="36"/>
        <v>0</v>
      </c>
      <c r="G75" s="485">
        <f t="shared" ca="1" si="37"/>
        <v>0</v>
      </c>
      <c r="H75" s="485">
        <f t="shared" ca="1" si="38"/>
        <v>0</v>
      </c>
      <c r="I75" s="823"/>
      <c r="J75" s="490">
        <f t="shared" ca="1" si="65"/>
        <v>0</v>
      </c>
      <c r="K75" s="462">
        <f t="shared" ca="1" si="39"/>
        <v>0</v>
      </c>
      <c r="L75" s="463">
        <f t="shared" ca="1" si="40"/>
        <v>0</v>
      </c>
      <c r="M75" s="463">
        <f t="shared" ca="1" si="41"/>
        <v>0</v>
      </c>
      <c r="N75" s="485">
        <f t="shared" ca="1" si="42"/>
        <v>0</v>
      </c>
      <c r="O75" s="485">
        <f t="shared" ca="1" si="43"/>
        <v>0</v>
      </c>
      <c r="P75" s="823"/>
      <c r="Q75" s="490">
        <f t="shared" ca="1" si="66"/>
        <v>0</v>
      </c>
      <c r="R75" s="462">
        <f t="shared" ca="1" si="44"/>
        <v>0</v>
      </c>
      <c r="S75" s="463">
        <f t="shared" ca="1" si="45"/>
        <v>0</v>
      </c>
      <c r="T75" s="463">
        <f t="shared" ca="1" si="46"/>
        <v>0</v>
      </c>
      <c r="U75" s="485">
        <f t="shared" ca="1" si="47"/>
        <v>0</v>
      </c>
      <c r="V75" s="485">
        <f t="shared" ca="1" si="48"/>
        <v>0</v>
      </c>
      <c r="W75" s="823"/>
      <c r="X75" s="490">
        <f t="shared" ca="1" si="67"/>
        <v>0</v>
      </c>
      <c r="Y75" s="462">
        <f t="shared" ca="1" si="49"/>
        <v>0</v>
      </c>
      <c r="Z75" s="463">
        <f t="shared" ca="1" si="50"/>
        <v>0</v>
      </c>
      <c r="AA75" s="463">
        <f t="shared" ca="1" si="51"/>
        <v>0</v>
      </c>
      <c r="AB75" s="2056">
        <f t="shared" ca="1" si="52"/>
        <v>0</v>
      </c>
      <c r="AC75" s="2056">
        <f t="shared" ca="1" si="53"/>
        <v>0</v>
      </c>
      <c r="AD75" s="823"/>
      <c r="AE75" s="490">
        <f t="shared" ca="1" si="68"/>
        <v>0</v>
      </c>
      <c r="AF75" s="462">
        <f t="shared" ca="1" si="54"/>
        <v>0</v>
      </c>
      <c r="AG75" s="463">
        <f t="shared" ca="1" si="55"/>
        <v>0</v>
      </c>
      <c r="AH75" s="463">
        <f t="shared" ca="1" si="56"/>
        <v>0</v>
      </c>
      <c r="AI75" s="485">
        <f t="shared" ca="1" si="57"/>
        <v>0</v>
      </c>
      <c r="AJ75" s="485">
        <f t="shared" ca="1" si="58"/>
        <v>0</v>
      </c>
      <c r="AK75" s="823"/>
      <c r="AL75" s="490">
        <f t="shared" ca="1" si="69"/>
        <v>0</v>
      </c>
      <c r="AM75" s="462">
        <f t="shared" ca="1" si="59"/>
        <v>0</v>
      </c>
      <c r="AN75" s="463">
        <f t="shared" ca="1" si="60"/>
        <v>0</v>
      </c>
      <c r="AO75" s="463">
        <f t="shared" ca="1" si="61"/>
        <v>0</v>
      </c>
      <c r="AP75" s="485">
        <f t="shared" ca="1" si="62"/>
        <v>0</v>
      </c>
      <c r="AQ75" s="485">
        <f t="shared" ca="1" si="63"/>
        <v>0</v>
      </c>
      <c r="AR75" s="823"/>
      <c r="AS75" s="490">
        <f t="shared" ca="1" si="70"/>
        <v>0</v>
      </c>
      <c r="AT75" s="490">
        <f t="shared" ca="1" si="71"/>
        <v>0</v>
      </c>
    </row>
    <row r="76" spans="2:46" ht="16">
      <c r="B76" s="200">
        <v>13</v>
      </c>
      <c r="C76" s="471" t="str">
        <f t="shared" si="64"/>
        <v>6.1.  Consolidarea capacităților pentru managementul eficient al PNCT</v>
      </c>
      <c r="D76" s="462">
        <f t="shared" ca="1" si="34"/>
        <v>87924.22</v>
      </c>
      <c r="E76" s="463">
        <f t="shared" ca="1" si="35"/>
        <v>96716.64</v>
      </c>
      <c r="F76" s="463">
        <f t="shared" ca="1" si="36"/>
        <v>105509.04999999999</v>
      </c>
      <c r="G76" s="485">
        <f t="shared" ca="1" si="37"/>
        <v>775839.45</v>
      </c>
      <c r="H76" s="485">
        <f t="shared" ca="1" si="38"/>
        <v>775839.45</v>
      </c>
      <c r="I76" s="823"/>
      <c r="J76" s="490">
        <f t="shared" ca="1" si="65"/>
        <v>1841828.8099999998</v>
      </c>
      <c r="K76" s="462">
        <f t="shared" ca="1" si="39"/>
        <v>0</v>
      </c>
      <c r="L76" s="463">
        <f t="shared" ca="1" si="40"/>
        <v>0</v>
      </c>
      <c r="M76" s="463">
        <f t="shared" ca="1" si="41"/>
        <v>0</v>
      </c>
      <c r="N76" s="485">
        <f t="shared" ca="1" si="42"/>
        <v>0</v>
      </c>
      <c r="O76" s="485">
        <f t="shared" ca="1" si="43"/>
        <v>0</v>
      </c>
      <c r="P76" s="823"/>
      <c r="Q76" s="490">
        <f t="shared" ca="1" si="66"/>
        <v>0</v>
      </c>
      <c r="R76" s="462">
        <f t="shared" ca="1" si="44"/>
        <v>0</v>
      </c>
      <c r="S76" s="463">
        <f t="shared" ca="1" si="45"/>
        <v>0</v>
      </c>
      <c r="T76" s="463">
        <f t="shared" ca="1" si="46"/>
        <v>0</v>
      </c>
      <c r="U76" s="485">
        <f t="shared" ca="1" si="47"/>
        <v>0</v>
      </c>
      <c r="V76" s="485">
        <f t="shared" ca="1" si="48"/>
        <v>0</v>
      </c>
      <c r="W76" s="823"/>
      <c r="X76" s="490">
        <f t="shared" ca="1" si="67"/>
        <v>0</v>
      </c>
      <c r="Y76" s="462">
        <f t="shared" ca="1" si="49"/>
        <v>4429751.52837798</v>
      </c>
      <c r="Z76" s="463">
        <f t="shared" ca="1" si="50"/>
        <v>2510581.42337798</v>
      </c>
      <c r="AA76" s="463">
        <f t="shared" ca="1" si="51"/>
        <v>1320740.3133779799</v>
      </c>
      <c r="AB76" s="2056">
        <f t="shared" ca="1" si="52"/>
        <v>0</v>
      </c>
      <c r="AC76" s="2056">
        <f t="shared" ca="1" si="53"/>
        <v>0</v>
      </c>
      <c r="AD76" s="823"/>
      <c r="AE76" s="490">
        <f t="shared" ca="1" si="68"/>
        <v>8261073.2651339397</v>
      </c>
      <c r="AF76" s="462">
        <f t="shared" ca="1" si="54"/>
        <v>10487.05</v>
      </c>
      <c r="AG76" s="463">
        <f t="shared" ca="1" si="55"/>
        <v>11535.75</v>
      </c>
      <c r="AH76" s="463">
        <f t="shared" ca="1" si="56"/>
        <v>12584.45</v>
      </c>
      <c r="AI76" s="485">
        <f t="shared" ca="1" si="57"/>
        <v>20974.09</v>
      </c>
      <c r="AJ76" s="485">
        <f t="shared" ca="1" si="58"/>
        <v>20974.09</v>
      </c>
      <c r="AK76" s="823"/>
      <c r="AL76" s="490">
        <f t="shared" ca="1" si="69"/>
        <v>76555.429999999993</v>
      </c>
      <c r="AM76" s="462">
        <f t="shared" ca="1" si="59"/>
        <v>0</v>
      </c>
      <c r="AN76" s="463">
        <f t="shared" ca="1" si="60"/>
        <v>0</v>
      </c>
      <c r="AO76" s="463">
        <f t="shared" ca="1" si="61"/>
        <v>0</v>
      </c>
      <c r="AP76" s="485">
        <f t="shared" ca="1" si="62"/>
        <v>0</v>
      </c>
      <c r="AQ76" s="485">
        <f t="shared" ca="1" si="63"/>
        <v>0</v>
      </c>
      <c r="AR76" s="823"/>
      <c r="AS76" s="490">
        <f t="shared" ca="1" si="70"/>
        <v>0</v>
      </c>
      <c r="AT76" s="490">
        <f t="shared" ca="1" si="71"/>
        <v>10179457.50513394</v>
      </c>
    </row>
    <row r="77" spans="2:46" ht="32">
      <c r="B77" s="200">
        <v>14</v>
      </c>
      <c r="C77" s="471" t="str">
        <f t="shared" si="64"/>
        <v>6.2.  Consolidarea sistemelor de sănătate prin mecanisme de finanțare bine aliniate pentru TB</v>
      </c>
      <c r="D77" s="462">
        <f t="shared" ca="1" si="34"/>
        <v>124604676.64</v>
      </c>
      <c r="E77" s="463">
        <f t="shared" ca="1" si="35"/>
        <v>124604676.64</v>
      </c>
      <c r="F77" s="463">
        <f t="shared" ca="1" si="36"/>
        <v>124604676.64</v>
      </c>
      <c r="G77" s="485">
        <f t="shared" ca="1" si="37"/>
        <v>125408784.08</v>
      </c>
      <c r="H77" s="485">
        <f t="shared" ca="1" si="38"/>
        <v>125408784.08</v>
      </c>
      <c r="I77" s="823"/>
      <c r="J77" s="490">
        <f t="shared" ca="1" si="65"/>
        <v>624631598.08000004</v>
      </c>
      <c r="K77" s="462">
        <f t="shared" ca="1" si="39"/>
        <v>0</v>
      </c>
      <c r="L77" s="463">
        <f t="shared" ca="1" si="40"/>
        <v>0</v>
      </c>
      <c r="M77" s="463">
        <f t="shared" ca="1" si="41"/>
        <v>0</v>
      </c>
      <c r="N77" s="485">
        <f t="shared" ca="1" si="42"/>
        <v>490332.83</v>
      </c>
      <c r="O77" s="485">
        <f t="shared" ca="1" si="43"/>
        <v>490332.83</v>
      </c>
      <c r="P77" s="823"/>
      <c r="Q77" s="490">
        <f t="shared" ca="1" si="66"/>
        <v>980665.66</v>
      </c>
      <c r="R77" s="462">
        <f t="shared" ca="1" si="44"/>
        <v>0</v>
      </c>
      <c r="S77" s="463">
        <f t="shared" ca="1" si="45"/>
        <v>0</v>
      </c>
      <c r="T77" s="463">
        <f t="shared" ca="1" si="46"/>
        <v>0</v>
      </c>
      <c r="U77" s="485">
        <f t="shared" ca="1" si="47"/>
        <v>0</v>
      </c>
      <c r="V77" s="485">
        <f t="shared" ca="1" si="48"/>
        <v>0</v>
      </c>
      <c r="W77" s="823"/>
      <c r="X77" s="490">
        <f t="shared" ca="1" si="67"/>
        <v>0</v>
      </c>
      <c r="Y77" s="462">
        <f t="shared" ca="1" si="49"/>
        <v>1849587.9140872799</v>
      </c>
      <c r="Z77" s="463">
        <f t="shared" ca="1" si="50"/>
        <v>1587702.2144872805</v>
      </c>
      <c r="AA77" s="463">
        <f t="shared" ca="1" si="51"/>
        <v>1587702.2144872805</v>
      </c>
      <c r="AB77" s="2056">
        <f t="shared" ca="1" si="52"/>
        <v>-1.0512720014048682E-2</v>
      </c>
      <c r="AC77" s="2056">
        <f t="shared" ca="1" si="53"/>
        <v>-8.000000030733645E-3</v>
      </c>
      <c r="AD77" s="823"/>
      <c r="AE77" s="490">
        <f t="shared" ca="1" si="68"/>
        <v>5024992.3245491209</v>
      </c>
      <c r="AF77" s="462">
        <f t="shared" ca="1" si="54"/>
        <v>0</v>
      </c>
      <c r="AG77" s="463">
        <f t="shared" ca="1" si="55"/>
        <v>0</v>
      </c>
      <c r="AH77" s="463">
        <f t="shared" ca="1" si="56"/>
        <v>0</v>
      </c>
      <c r="AI77" s="485">
        <f t="shared" ca="1" si="57"/>
        <v>227027.16499999998</v>
      </c>
      <c r="AJ77" s="485">
        <f t="shared" ca="1" si="58"/>
        <v>227027.16499999998</v>
      </c>
      <c r="AK77" s="823"/>
      <c r="AL77" s="490">
        <f t="shared" ca="1" si="69"/>
        <v>454054.32999999996</v>
      </c>
      <c r="AM77" s="462">
        <f t="shared" ca="1" si="59"/>
        <v>0</v>
      </c>
      <c r="AN77" s="463">
        <f t="shared" ca="1" si="60"/>
        <v>0</v>
      </c>
      <c r="AO77" s="463">
        <f t="shared" ca="1" si="61"/>
        <v>0</v>
      </c>
      <c r="AP77" s="485">
        <f t="shared" ca="1" si="62"/>
        <v>0</v>
      </c>
      <c r="AQ77" s="485">
        <f t="shared" ca="1" si="63"/>
        <v>0</v>
      </c>
      <c r="AR77" s="823"/>
      <c r="AS77" s="490">
        <f t="shared" ca="1" si="70"/>
        <v>0</v>
      </c>
      <c r="AT77" s="490">
        <f t="shared" ca="1" si="71"/>
        <v>631091310.39454913</v>
      </c>
    </row>
    <row r="78" spans="2:46" ht="16">
      <c r="B78" s="200">
        <v>15</v>
      </c>
      <c r="C78" s="471" t="str">
        <f t="shared" si="64"/>
        <v>6.3.  Consolidarea capacităților resurselor umane implicate în controlul TB</v>
      </c>
      <c r="D78" s="462">
        <f t="shared" ca="1" si="34"/>
        <v>0</v>
      </c>
      <c r="E78" s="463">
        <f t="shared" ca="1" si="35"/>
        <v>0</v>
      </c>
      <c r="F78" s="463">
        <f t="shared" ca="1" si="36"/>
        <v>0</v>
      </c>
      <c r="G78" s="485">
        <f t="shared" ca="1" si="37"/>
        <v>0</v>
      </c>
      <c r="H78" s="485">
        <f t="shared" ca="1" si="38"/>
        <v>0</v>
      </c>
      <c r="I78" s="823"/>
      <c r="J78" s="490">
        <f t="shared" ca="1" si="65"/>
        <v>0</v>
      </c>
      <c r="K78" s="462">
        <f t="shared" ca="1" si="39"/>
        <v>588371</v>
      </c>
      <c r="L78" s="463">
        <f t="shared" ca="1" si="40"/>
        <v>588371</v>
      </c>
      <c r="M78" s="463">
        <f t="shared" ca="1" si="41"/>
        <v>588371</v>
      </c>
      <c r="N78" s="485">
        <f t="shared" ca="1" si="42"/>
        <v>588371</v>
      </c>
      <c r="O78" s="485">
        <f t="shared" ca="1" si="43"/>
        <v>588371</v>
      </c>
      <c r="P78" s="823"/>
      <c r="Q78" s="490">
        <f t="shared" ca="1" si="66"/>
        <v>2941855</v>
      </c>
      <c r="R78" s="462">
        <f t="shared" ca="1" si="44"/>
        <v>0</v>
      </c>
      <c r="S78" s="463">
        <f t="shared" ca="1" si="45"/>
        <v>0</v>
      </c>
      <c r="T78" s="463">
        <f t="shared" ca="1" si="46"/>
        <v>0</v>
      </c>
      <c r="U78" s="485">
        <f t="shared" ca="1" si="47"/>
        <v>0</v>
      </c>
      <c r="V78" s="485">
        <f t="shared" ca="1" si="48"/>
        <v>0</v>
      </c>
      <c r="W78" s="823"/>
      <c r="X78" s="490">
        <f t="shared" ca="1" si="67"/>
        <v>0</v>
      </c>
      <c r="Y78" s="462">
        <f t="shared" ca="1" si="49"/>
        <v>1305072.9630814898</v>
      </c>
      <c r="Z78" s="463">
        <f t="shared" ca="1" si="50"/>
        <v>610619.81308148999</v>
      </c>
      <c r="AA78" s="463">
        <f t="shared" ca="1" si="51"/>
        <v>570619.81308148999</v>
      </c>
      <c r="AB78" s="2056">
        <f t="shared" ca="1" si="52"/>
        <v>0</v>
      </c>
      <c r="AC78" s="2056">
        <f t="shared" ca="1" si="53"/>
        <v>0</v>
      </c>
      <c r="AD78" s="823"/>
      <c r="AE78" s="490">
        <f t="shared" ca="1" si="68"/>
        <v>2486312.5892444695</v>
      </c>
      <c r="AF78" s="462">
        <f t="shared" ca="1" si="54"/>
        <v>0</v>
      </c>
      <c r="AG78" s="463">
        <f t="shared" ca="1" si="55"/>
        <v>0</v>
      </c>
      <c r="AH78" s="463">
        <f t="shared" ca="1" si="56"/>
        <v>0</v>
      </c>
      <c r="AI78" s="485">
        <f t="shared" ca="1" si="57"/>
        <v>0</v>
      </c>
      <c r="AJ78" s="485">
        <f t="shared" ca="1" si="58"/>
        <v>0</v>
      </c>
      <c r="AK78" s="823"/>
      <c r="AL78" s="490">
        <f t="shared" ca="1" si="69"/>
        <v>0</v>
      </c>
      <c r="AM78" s="462">
        <f t="shared" ca="1" si="59"/>
        <v>0</v>
      </c>
      <c r="AN78" s="463">
        <f t="shared" ca="1" si="60"/>
        <v>0</v>
      </c>
      <c r="AO78" s="463">
        <f t="shared" ca="1" si="61"/>
        <v>0</v>
      </c>
      <c r="AP78" s="485">
        <f t="shared" ca="1" si="62"/>
        <v>0</v>
      </c>
      <c r="AQ78" s="485">
        <f t="shared" ca="1" si="63"/>
        <v>0</v>
      </c>
      <c r="AR78" s="823"/>
      <c r="AS78" s="490">
        <f t="shared" ca="1" si="70"/>
        <v>0</v>
      </c>
      <c r="AT78" s="490">
        <f t="shared" ca="1" si="71"/>
        <v>5428167.58924447</v>
      </c>
    </row>
    <row r="79" spans="2:46" ht="48">
      <c r="B79" s="200">
        <v>16</v>
      </c>
      <c r="C79" s="471" t="str">
        <f t="shared" si="64"/>
        <v>6.4.  Elaborarea actelor normative pentru supravegherea bazată pe date individuale,  îmbunătățind calitatea înregistrării actelor de stare civilă, calitatea și utilizarea rațională a medicamentelor și farmacovigilența</v>
      </c>
      <c r="D79" s="462">
        <f t="shared" ca="1" si="34"/>
        <v>0</v>
      </c>
      <c r="E79" s="463">
        <f t="shared" ca="1" si="35"/>
        <v>0</v>
      </c>
      <c r="F79" s="463">
        <f t="shared" ca="1" si="36"/>
        <v>0</v>
      </c>
      <c r="G79" s="485">
        <f t="shared" ca="1" si="37"/>
        <v>0</v>
      </c>
      <c r="H79" s="485">
        <f t="shared" ca="1" si="38"/>
        <v>0</v>
      </c>
      <c r="I79" s="823"/>
      <c r="J79" s="490">
        <f t="shared" ca="1" si="65"/>
        <v>0</v>
      </c>
      <c r="K79" s="462">
        <f t="shared" ca="1" si="39"/>
        <v>0</v>
      </c>
      <c r="L79" s="463">
        <f t="shared" ca="1" si="40"/>
        <v>0</v>
      </c>
      <c r="M79" s="463">
        <f t="shared" ca="1" si="41"/>
        <v>0</v>
      </c>
      <c r="N79" s="485">
        <f t="shared" ca="1" si="42"/>
        <v>0</v>
      </c>
      <c r="O79" s="485">
        <f t="shared" ca="1" si="43"/>
        <v>0</v>
      </c>
      <c r="P79" s="823"/>
      <c r="Q79" s="490">
        <f t="shared" ca="1" si="66"/>
        <v>0</v>
      </c>
      <c r="R79" s="462">
        <f t="shared" ca="1" si="44"/>
        <v>0</v>
      </c>
      <c r="S79" s="463">
        <f t="shared" ca="1" si="45"/>
        <v>0</v>
      </c>
      <c r="T79" s="463">
        <f t="shared" ca="1" si="46"/>
        <v>0</v>
      </c>
      <c r="U79" s="485">
        <f t="shared" ca="1" si="47"/>
        <v>0</v>
      </c>
      <c r="V79" s="485">
        <f t="shared" ca="1" si="48"/>
        <v>0</v>
      </c>
      <c r="W79" s="823"/>
      <c r="X79" s="490">
        <f t="shared" ca="1" si="67"/>
        <v>0</v>
      </c>
      <c r="Y79" s="462">
        <f t="shared" ca="1" si="49"/>
        <v>0</v>
      </c>
      <c r="Z79" s="463">
        <f t="shared" ca="1" si="50"/>
        <v>0</v>
      </c>
      <c r="AA79" s="463">
        <f t="shared" ca="1" si="51"/>
        <v>0</v>
      </c>
      <c r="AB79" s="2056">
        <f t="shared" ca="1" si="52"/>
        <v>0</v>
      </c>
      <c r="AC79" s="2056">
        <f t="shared" ca="1" si="53"/>
        <v>0</v>
      </c>
      <c r="AD79" s="823"/>
      <c r="AE79" s="490">
        <f t="shared" ca="1" si="68"/>
        <v>0</v>
      </c>
      <c r="AF79" s="462">
        <f t="shared" ca="1" si="54"/>
        <v>0</v>
      </c>
      <c r="AG79" s="463">
        <f t="shared" ca="1" si="55"/>
        <v>0</v>
      </c>
      <c r="AH79" s="463">
        <f t="shared" ca="1" si="56"/>
        <v>0</v>
      </c>
      <c r="AI79" s="485">
        <f t="shared" ca="1" si="57"/>
        <v>0</v>
      </c>
      <c r="AJ79" s="485">
        <f t="shared" ca="1" si="58"/>
        <v>0</v>
      </c>
      <c r="AK79" s="823"/>
      <c r="AL79" s="490">
        <f t="shared" ca="1" si="69"/>
        <v>0</v>
      </c>
      <c r="AM79" s="462">
        <f t="shared" ca="1" si="59"/>
        <v>0</v>
      </c>
      <c r="AN79" s="463">
        <f t="shared" ca="1" si="60"/>
        <v>0</v>
      </c>
      <c r="AO79" s="463">
        <f t="shared" ca="1" si="61"/>
        <v>0</v>
      </c>
      <c r="AP79" s="485">
        <f t="shared" ca="1" si="62"/>
        <v>0</v>
      </c>
      <c r="AQ79" s="485">
        <f t="shared" ca="1" si="63"/>
        <v>0</v>
      </c>
      <c r="AR79" s="823"/>
      <c r="AS79" s="490">
        <f t="shared" ca="1" si="70"/>
        <v>0</v>
      </c>
      <c r="AT79" s="490">
        <f t="shared" ca="1" si="71"/>
        <v>0</v>
      </c>
    </row>
    <row r="80" spans="2:46" ht="32">
      <c r="B80" s="200">
        <v>17</v>
      </c>
      <c r="C80" s="471" t="str">
        <f t="shared" si="64"/>
        <v>6.5.  Fortificarea implicării comunității și OSC în controlul TB prin abordare centrată pe persoană</v>
      </c>
      <c r="D80" s="462">
        <f t="shared" ca="1" si="34"/>
        <v>0</v>
      </c>
      <c r="E80" s="463">
        <f t="shared" ca="1" si="35"/>
        <v>0</v>
      </c>
      <c r="F80" s="463">
        <f t="shared" ca="1" si="36"/>
        <v>0</v>
      </c>
      <c r="G80" s="485">
        <f t="shared" ca="1" si="37"/>
        <v>1901603.7250000001</v>
      </c>
      <c r="H80" s="485">
        <f t="shared" ca="1" si="38"/>
        <v>1845597.27</v>
      </c>
      <c r="I80" s="823"/>
      <c r="J80" s="490">
        <f t="shared" ca="1" si="65"/>
        <v>3747200.9950000001</v>
      </c>
      <c r="K80" s="462">
        <f t="shared" ca="1" si="39"/>
        <v>0</v>
      </c>
      <c r="L80" s="463">
        <f t="shared" ca="1" si="40"/>
        <v>0</v>
      </c>
      <c r="M80" s="463">
        <f t="shared" ca="1" si="41"/>
        <v>0</v>
      </c>
      <c r="N80" s="485">
        <f t="shared" ca="1" si="42"/>
        <v>0</v>
      </c>
      <c r="O80" s="485">
        <f t="shared" ca="1" si="43"/>
        <v>0</v>
      </c>
      <c r="P80" s="823"/>
      <c r="Q80" s="490">
        <f t="shared" ca="1" si="66"/>
        <v>0</v>
      </c>
      <c r="R80" s="462">
        <f t="shared" ca="1" si="44"/>
        <v>0</v>
      </c>
      <c r="S80" s="463">
        <f t="shared" ca="1" si="45"/>
        <v>0</v>
      </c>
      <c r="T80" s="463">
        <f t="shared" ca="1" si="46"/>
        <v>0</v>
      </c>
      <c r="U80" s="485">
        <f t="shared" ca="1" si="47"/>
        <v>0</v>
      </c>
      <c r="V80" s="485">
        <f t="shared" ca="1" si="48"/>
        <v>0</v>
      </c>
      <c r="W80" s="823"/>
      <c r="X80" s="490">
        <f t="shared" ca="1" si="67"/>
        <v>0</v>
      </c>
      <c r="Y80" s="462">
        <f t="shared" ca="1" si="49"/>
        <v>3179779.5350000001</v>
      </c>
      <c r="Z80" s="463">
        <f t="shared" ca="1" si="50"/>
        <v>3586111.89</v>
      </c>
      <c r="AA80" s="463">
        <f t="shared" ca="1" si="51"/>
        <v>3925262.5300000003</v>
      </c>
      <c r="AB80" s="2056">
        <f t="shared" ca="1" si="52"/>
        <v>0</v>
      </c>
      <c r="AC80" s="2056">
        <f t="shared" ca="1" si="53"/>
        <v>0</v>
      </c>
      <c r="AD80" s="823"/>
      <c r="AE80" s="490">
        <f t="shared" ca="1" si="68"/>
        <v>10691153.955000002</v>
      </c>
      <c r="AF80" s="462">
        <f t="shared" ca="1" si="54"/>
        <v>0</v>
      </c>
      <c r="AG80" s="463">
        <f t="shared" ca="1" si="55"/>
        <v>0</v>
      </c>
      <c r="AH80" s="463">
        <f t="shared" ca="1" si="56"/>
        <v>0</v>
      </c>
      <c r="AI80" s="485">
        <f t="shared" ca="1" si="57"/>
        <v>618388.56000000006</v>
      </c>
      <c r="AJ80" s="485">
        <f t="shared" ca="1" si="58"/>
        <v>619788.15500000003</v>
      </c>
      <c r="AK80" s="823"/>
      <c r="AL80" s="490">
        <f t="shared" ca="1" si="69"/>
        <v>1238176.7150000001</v>
      </c>
      <c r="AM80" s="462">
        <f t="shared" ca="1" si="59"/>
        <v>0</v>
      </c>
      <c r="AN80" s="463">
        <f t="shared" ca="1" si="60"/>
        <v>0</v>
      </c>
      <c r="AO80" s="463">
        <f t="shared" ca="1" si="61"/>
        <v>0</v>
      </c>
      <c r="AP80" s="485">
        <f t="shared" ca="1" si="62"/>
        <v>0</v>
      </c>
      <c r="AQ80" s="485">
        <f t="shared" ca="1" si="63"/>
        <v>0</v>
      </c>
      <c r="AR80" s="823"/>
      <c r="AS80" s="490">
        <f t="shared" ca="1" si="70"/>
        <v>0</v>
      </c>
      <c r="AT80" s="490">
        <f t="shared" ca="1" si="71"/>
        <v>15676531.665000003</v>
      </c>
    </row>
    <row r="81" spans="2:46" ht="32">
      <c r="B81" s="200">
        <v>18</v>
      </c>
      <c r="C81" s="471" t="str">
        <f t="shared" si="64"/>
        <v xml:space="preserve">6.6.  Protecția socială, reducerea sărăciei și acțiuni asupra altor factori determinanți ai TB, inclusiv printre migranți si deținuți </v>
      </c>
      <c r="D81" s="462">
        <f t="shared" ca="1" si="34"/>
        <v>0</v>
      </c>
      <c r="E81" s="463">
        <f t="shared" ca="1" si="35"/>
        <v>0</v>
      </c>
      <c r="F81" s="463">
        <f t="shared" ca="1" si="36"/>
        <v>0</v>
      </c>
      <c r="G81" s="485">
        <f t="shared" ca="1" si="37"/>
        <v>0</v>
      </c>
      <c r="H81" s="485">
        <f t="shared" ca="1" si="38"/>
        <v>0</v>
      </c>
      <c r="I81" s="823"/>
      <c r="J81" s="490">
        <f t="shared" ca="1" si="65"/>
        <v>0</v>
      </c>
      <c r="K81" s="462">
        <f t="shared" ca="1" si="39"/>
        <v>0</v>
      </c>
      <c r="L81" s="463">
        <f t="shared" ca="1" si="40"/>
        <v>0</v>
      </c>
      <c r="M81" s="463">
        <f t="shared" ca="1" si="41"/>
        <v>0</v>
      </c>
      <c r="N81" s="485">
        <f t="shared" ca="1" si="42"/>
        <v>0</v>
      </c>
      <c r="O81" s="485">
        <f t="shared" ca="1" si="43"/>
        <v>0</v>
      </c>
      <c r="P81" s="823"/>
      <c r="Q81" s="490">
        <f t="shared" ca="1" si="66"/>
        <v>0</v>
      </c>
      <c r="R81" s="462">
        <f t="shared" ca="1" si="44"/>
        <v>0</v>
      </c>
      <c r="S81" s="463">
        <f t="shared" ca="1" si="45"/>
        <v>0</v>
      </c>
      <c r="T81" s="463">
        <f t="shared" ca="1" si="46"/>
        <v>0</v>
      </c>
      <c r="U81" s="485">
        <f t="shared" ca="1" si="47"/>
        <v>0</v>
      </c>
      <c r="V81" s="485">
        <f t="shared" ca="1" si="48"/>
        <v>0</v>
      </c>
      <c r="W81" s="823"/>
      <c r="X81" s="490">
        <f t="shared" ca="1" si="67"/>
        <v>0</v>
      </c>
      <c r="Y81" s="462">
        <f t="shared" ca="1" si="49"/>
        <v>439288.83999999997</v>
      </c>
      <c r="Z81" s="463">
        <f t="shared" ca="1" si="50"/>
        <v>391877.57</v>
      </c>
      <c r="AA81" s="463">
        <f t="shared" ca="1" si="51"/>
        <v>385553.51</v>
      </c>
      <c r="AB81" s="2056">
        <f t="shared" ca="1" si="52"/>
        <v>0</v>
      </c>
      <c r="AC81" s="2056">
        <f t="shared" ca="1" si="53"/>
        <v>0</v>
      </c>
      <c r="AD81" s="823"/>
      <c r="AE81" s="490">
        <f t="shared" ca="1" si="68"/>
        <v>1216719.92</v>
      </c>
      <c r="AF81" s="462">
        <f t="shared" ca="1" si="54"/>
        <v>0</v>
      </c>
      <c r="AG81" s="463">
        <f t="shared" ca="1" si="55"/>
        <v>0</v>
      </c>
      <c r="AH81" s="463">
        <f t="shared" ca="1" si="56"/>
        <v>0</v>
      </c>
      <c r="AI81" s="485">
        <f t="shared" ca="1" si="57"/>
        <v>0</v>
      </c>
      <c r="AJ81" s="485">
        <f t="shared" ca="1" si="58"/>
        <v>0</v>
      </c>
      <c r="AK81" s="823"/>
      <c r="AL81" s="490">
        <f t="shared" ca="1" si="69"/>
        <v>0</v>
      </c>
      <c r="AM81" s="462">
        <f t="shared" ca="1" si="59"/>
        <v>0</v>
      </c>
      <c r="AN81" s="463">
        <f t="shared" ca="1" si="60"/>
        <v>0</v>
      </c>
      <c r="AO81" s="463">
        <f t="shared" ca="1" si="61"/>
        <v>0</v>
      </c>
      <c r="AP81" s="485">
        <f t="shared" ca="1" si="62"/>
        <v>0</v>
      </c>
      <c r="AQ81" s="485">
        <f t="shared" ca="1" si="63"/>
        <v>0</v>
      </c>
      <c r="AR81" s="823"/>
      <c r="AS81" s="490">
        <f t="shared" ca="1" si="70"/>
        <v>0</v>
      </c>
      <c r="AT81" s="490">
        <f t="shared" ca="1" si="71"/>
        <v>1216719.92</v>
      </c>
    </row>
    <row r="82" spans="2:46" ht="48">
      <c r="B82" s="200">
        <v>19</v>
      </c>
      <c r="C82" s="471" t="str">
        <f t="shared" si="64"/>
        <v>6.7.  Realizarea Strategiei de pledoarie, comunicare și mobilizare socială în controlul TB, inclusiv prin reducerea stigmei și discriminării, cu alocarea resurselor necesare</v>
      </c>
      <c r="D82" s="462">
        <f t="shared" ca="1" si="34"/>
        <v>0</v>
      </c>
      <c r="E82" s="463">
        <f t="shared" ca="1" si="35"/>
        <v>0</v>
      </c>
      <c r="F82" s="463">
        <f t="shared" ca="1" si="36"/>
        <v>0</v>
      </c>
      <c r="G82" s="485">
        <f t="shared" ca="1" si="37"/>
        <v>0</v>
      </c>
      <c r="H82" s="485">
        <f t="shared" ca="1" si="38"/>
        <v>0</v>
      </c>
      <c r="I82" s="823"/>
      <c r="J82" s="490">
        <f t="shared" ca="1" si="65"/>
        <v>0</v>
      </c>
      <c r="K82" s="462">
        <f t="shared" ca="1" si="39"/>
        <v>0</v>
      </c>
      <c r="L82" s="463">
        <f t="shared" ca="1" si="40"/>
        <v>0</v>
      </c>
      <c r="M82" s="463">
        <f t="shared" ca="1" si="41"/>
        <v>0</v>
      </c>
      <c r="N82" s="485">
        <f t="shared" ca="1" si="42"/>
        <v>0</v>
      </c>
      <c r="O82" s="485">
        <f t="shared" ca="1" si="43"/>
        <v>0</v>
      </c>
      <c r="P82" s="823"/>
      <c r="Q82" s="490">
        <f t="shared" ca="1" si="66"/>
        <v>0</v>
      </c>
      <c r="R82" s="462">
        <f t="shared" ca="1" si="44"/>
        <v>0</v>
      </c>
      <c r="S82" s="463">
        <f t="shared" ca="1" si="45"/>
        <v>0</v>
      </c>
      <c r="T82" s="463">
        <f t="shared" ca="1" si="46"/>
        <v>0</v>
      </c>
      <c r="U82" s="485">
        <f t="shared" ca="1" si="47"/>
        <v>0</v>
      </c>
      <c r="V82" s="485">
        <f t="shared" ca="1" si="48"/>
        <v>0</v>
      </c>
      <c r="W82" s="823"/>
      <c r="X82" s="490">
        <f t="shared" ca="1" si="67"/>
        <v>0</v>
      </c>
      <c r="Y82" s="462">
        <f t="shared" ca="1" si="49"/>
        <v>279201.2</v>
      </c>
      <c r="Z82" s="463">
        <f t="shared" ca="1" si="50"/>
        <v>173941.2</v>
      </c>
      <c r="AA82" s="463">
        <f t="shared" ca="1" si="51"/>
        <v>136393.20000000001</v>
      </c>
      <c r="AB82" s="2056">
        <f t="shared" ca="1" si="52"/>
        <v>0</v>
      </c>
      <c r="AC82" s="2056">
        <f t="shared" ca="1" si="53"/>
        <v>0</v>
      </c>
      <c r="AD82" s="823"/>
      <c r="AE82" s="490">
        <f t="shared" ca="1" si="68"/>
        <v>589535.60000000009</v>
      </c>
      <c r="AF82" s="462">
        <f t="shared" ca="1" si="54"/>
        <v>0</v>
      </c>
      <c r="AG82" s="463">
        <f t="shared" ca="1" si="55"/>
        <v>0</v>
      </c>
      <c r="AH82" s="463">
        <f t="shared" ca="1" si="56"/>
        <v>0</v>
      </c>
      <c r="AI82" s="485">
        <f t="shared" ca="1" si="57"/>
        <v>0</v>
      </c>
      <c r="AJ82" s="485">
        <f t="shared" ca="1" si="58"/>
        <v>0</v>
      </c>
      <c r="AK82" s="823"/>
      <c r="AL82" s="490">
        <f t="shared" ca="1" si="69"/>
        <v>0</v>
      </c>
      <c r="AM82" s="462">
        <f t="shared" ca="1" si="59"/>
        <v>0</v>
      </c>
      <c r="AN82" s="463">
        <f t="shared" ca="1" si="60"/>
        <v>0</v>
      </c>
      <c r="AO82" s="463">
        <f t="shared" ca="1" si="61"/>
        <v>0</v>
      </c>
      <c r="AP82" s="485">
        <f t="shared" ca="1" si="62"/>
        <v>0</v>
      </c>
      <c r="AQ82" s="485">
        <f t="shared" ca="1" si="63"/>
        <v>0</v>
      </c>
      <c r="AR82" s="823"/>
      <c r="AS82" s="490">
        <f t="shared" ca="1" si="70"/>
        <v>0</v>
      </c>
      <c r="AT82" s="490">
        <f t="shared" ca="1" si="71"/>
        <v>589535.60000000009</v>
      </c>
    </row>
    <row r="83" spans="2:46" ht="16">
      <c r="B83" s="200">
        <v>20</v>
      </c>
      <c r="C83" s="471" t="str">
        <f t="shared" si="64"/>
        <v>7.1.  Efectuarea cercetărilor științifice aplicative</v>
      </c>
      <c r="D83" s="462">
        <f t="shared" ca="1" si="34"/>
        <v>0</v>
      </c>
      <c r="E83" s="463">
        <f t="shared" ca="1" si="35"/>
        <v>0</v>
      </c>
      <c r="F83" s="463">
        <f t="shared" ca="1" si="36"/>
        <v>0</v>
      </c>
      <c r="G83" s="485">
        <f t="shared" ca="1" si="37"/>
        <v>0</v>
      </c>
      <c r="H83" s="485">
        <f t="shared" ca="1" si="38"/>
        <v>0</v>
      </c>
      <c r="I83" s="823"/>
      <c r="J83" s="490">
        <f t="shared" ca="1" si="65"/>
        <v>0</v>
      </c>
      <c r="K83" s="462">
        <f t="shared" ca="1" si="39"/>
        <v>2188724</v>
      </c>
      <c r="L83" s="463">
        <f t="shared" ca="1" si="40"/>
        <v>2424160</v>
      </c>
      <c r="M83" s="463">
        <f t="shared" ca="1" si="41"/>
        <v>2625367</v>
      </c>
      <c r="N83" s="485">
        <f t="shared" ca="1" si="42"/>
        <v>2853809</v>
      </c>
      <c r="O83" s="485">
        <f t="shared" ca="1" si="43"/>
        <v>3076500</v>
      </c>
      <c r="P83" s="823"/>
      <c r="Q83" s="490">
        <f t="shared" ca="1" si="66"/>
        <v>13168560</v>
      </c>
      <c r="R83" s="462">
        <f t="shared" ca="1" si="44"/>
        <v>0</v>
      </c>
      <c r="S83" s="463">
        <f t="shared" ca="1" si="45"/>
        <v>0</v>
      </c>
      <c r="T83" s="463">
        <f t="shared" ca="1" si="46"/>
        <v>0</v>
      </c>
      <c r="U83" s="485">
        <f t="shared" ca="1" si="47"/>
        <v>0</v>
      </c>
      <c r="V83" s="485">
        <f t="shared" ca="1" si="48"/>
        <v>0</v>
      </c>
      <c r="W83" s="823"/>
      <c r="X83" s="490">
        <f t="shared" ca="1" si="67"/>
        <v>0</v>
      </c>
      <c r="Y83" s="462">
        <f t="shared" ca="1" si="49"/>
        <v>0</v>
      </c>
      <c r="Z83" s="463">
        <f t="shared" ca="1" si="50"/>
        <v>0</v>
      </c>
      <c r="AA83" s="463">
        <f t="shared" ca="1" si="51"/>
        <v>0</v>
      </c>
      <c r="AB83" s="2056">
        <f t="shared" ca="1" si="52"/>
        <v>0</v>
      </c>
      <c r="AC83" s="2056">
        <f t="shared" ca="1" si="53"/>
        <v>0</v>
      </c>
      <c r="AD83" s="823"/>
      <c r="AE83" s="490">
        <f t="shared" ca="1" si="68"/>
        <v>0</v>
      </c>
      <c r="AF83" s="462">
        <f t="shared" ca="1" si="54"/>
        <v>0</v>
      </c>
      <c r="AG83" s="463">
        <f t="shared" ca="1" si="55"/>
        <v>0</v>
      </c>
      <c r="AH83" s="463">
        <f t="shared" ca="1" si="56"/>
        <v>0</v>
      </c>
      <c r="AI83" s="485">
        <f t="shared" ca="1" si="57"/>
        <v>0</v>
      </c>
      <c r="AJ83" s="485">
        <f t="shared" ca="1" si="58"/>
        <v>0</v>
      </c>
      <c r="AK83" s="823"/>
      <c r="AL83" s="490">
        <f t="shared" ca="1" si="69"/>
        <v>0</v>
      </c>
      <c r="AM83" s="462">
        <f t="shared" ca="1" si="59"/>
        <v>0</v>
      </c>
      <c r="AN83" s="463">
        <f t="shared" ca="1" si="60"/>
        <v>0</v>
      </c>
      <c r="AO83" s="463">
        <f t="shared" ca="1" si="61"/>
        <v>0</v>
      </c>
      <c r="AP83" s="485">
        <f t="shared" ca="1" si="62"/>
        <v>0</v>
      </c>
      <c r="AQ83" s="485">
        <f t="shared" ca="1" si="63"/>
        <v>0</v>
      </c>
      <c r="AR83" s="823"/>
      <c r="AS83" s="490">
        <f t="shared" ca="1" si="70"/>
        <v>0</v>
      </c>
      <c r="AT83" s="490">
        <f t="shared" ca="1" si="71"/>
        <v>13168560</v>
      </c>
    </row>
    <row r="84" spans="2:46" ht="16">
      <c r="B84" s="200">
        <v>21</v>
      </c>
      <c r="C84" s="471" t="str">
        <f t="shared" si="64"/>
        <v>7.2.  Realizarea studiilor operaționale</v>
      </c>
      <c r="D84" s="462">
        <f t="shared" ca="1" si="34"/>
        <v>0</v>
      </c>
      <c r="E84" s="463">
        <f t="shared" ca="1" si="35"/>
        <v>0</v>
      </c>
      <c r="F84" s="463">
        <f t="shared" ca="1" si="36"/>
        <v>0</v>
      </c>
      <c r="G84" s="485">
        <f t="shared" ca="1" si="37"/>
        <v>0</v>
      </c>
      <c r="H84" s="485">
        <f t="shared" ca="1" si="38"/>
        <v>256000</v>
      </c>
      <c r="I84" s="823"/>
      <c r="J84" s="490">
        <f t="shared" ca="1" si="65"/>
        <v>256000</v>
      </c>
      <c r="K84" s="462">
        <f t="shared" ca="1" si="39"/>
        <v>0</v>
      </c>
      <c r="L84" s="463">
        <f t="shared" ca="1" si="40"/>
        <v>0</v>
      </c>
      <c r="M84" s="463">
        <f t="shared" ca="1" si="41"/>
        <v>0</v>
      </c>
      <c r="N84" s="485">
        <f t="shared" ca="1" si="42"/>
        <v>0</v>
      </c>
      <c r="O84" s="485">
        <f t="shared" ca="1" si="43"/>
        <v>0</v>
      </c>
      <c r="P84" s="823"/>
      <c r="Q84" s="490">
        <f t="shared" ca="1" si="66"/>
        <v>0</v>
      </c>
      <c r="R84" s="462">
        <f t="shared" ca="1" si="44"/>
        <v>0</v>
      </c>
      <c r="S84" s="463">
        <f t="shared" ca="1" si="45"/>
        <v>0</v>
      </c>
      <c r="T84" s="463">
        <f t="shared" ca="1" si="46"/>
        <v>0</v>
      </c>
      <c r="U84" s="485">
        <f t="shared" ca="1" si="47"/>
        <v>0</v>
      </c>
      <c r="V84" s="485">
        <f t="shared" ca="1" si="48"/>
        <v>0</v>
      </c>
      <c r="W84" s="823"/>
      <c r="X84" s="490">
        <f t="shared" ca="1" si="67"/>
        <v>0</v>
      </c>
      <c r="Y84" s="462">
        <f t="shared" ca="1" si="49"/>
        <v>558750</v>
      </c>
      <c r="Z84" s="463">
        <f t="shared" ca="1" si="50"/>
        <v>256000</v>
      </c>
      <c r="AA84" s="463">
        <f t="shared" ca="1" si="51"/>
        <v>256000</v>
      </c>
      <c r="AB84" s="2056">
        <f t="shared" ca="1" si="52"/>
        <v>0</v>
      </c>
      <c r="AC84" s="2056">
        <f t="shared" ca="1" si="53"/>
        <v>0</v>
      </c>
      <c r="AD84" s="823"/>
      <c r="AE84" s="490">
        <f t="shared" ca="1" si="68"/>
        <v>1070750</v>
      </c>
      <c r="AF84" s="462">
        <f t="shared" ca="1" si="54"/>
        <v>0</v>
      </c>
      <c r="AG84" s="463">
        <f t="shared" ca="1" si="55"/>
        <v>0</v>
      </c>
      <c r="AH84" s="463">
        <f t="shared" ca="1" si="56"/>
        <v>0</v>
      </c>
      <c r="AI84" s="485">
        <f t="shared" ca="1" si="57"/>
        <v>0</v>
      </c>
      <c r="AJ84" s="485">
        <f t="shared" ca="1" si="58"/>
        <v>0</v>
      </c>
      <c r="AK84" s="823"/>
      <c r="AL84" s="490">
        <f t="shared" ca="1" si="69"/>
        <v>0</v>
      </c>
      <c r="AM84" s="462">
        <f t="shared" ca="1" si="59"/>
        <v>0</v>
      </c>
      <c r="AN84" s="463">
        <f t="shared" ca="1" si="60"/>
        <v>0</v>
      </c>
      <c r="AO84" s="463">
        <f t="shared" ca="1" si="61"/>
        <v>0</v>
      </c>
      <c r="AP84" s="485">
        <f t="shared" ca="1" si="62"/>
        <v>0</v>
      </c>
      <c r="AQ84" s="485">
        <f t="shared" ca="1" si="63"/>
        <v>0</v>
      </c>
      <c r="AR84" s="823"/>
      <c r="AS84" s="490">
        <f t="shared" ca="1" si="70"/>
        <v>0</v>
      </c>
      <c r="AT84" s="490">
        <f t="shared" ca="1" si="71"/>
        <v>1326750</v>
      </c>
    </row>
    <row r="85" spans="2:46" ht="16">
      <c r="B85" s="200">
        <v>22</v>
      </c>
      <c r="C85" s="471" t="str">
        <f t="shared" si="64"/>
        <v/>
      </c>
      <c r="D85" s="462">
        <f t="shared" ca="1" si="34"/>
        <v>0</v>
      </c>
      <c r="E85" s="463">
        <f t="shared" ca="1" si="35"/>
        <v>0</v>
      </c>
      <c r="F85" s="463">
        <f t="shared" ca="1" si="36"/>
        <v>0</v>
      </c>
      <c r="G85" s="485">
        <f t="shared" ca="1" si="37"/>
        <v>0</v>
      </c>
      <c r="H85" s="485">
        <f t="shared" ca="1" si="38"/>
        <v>0</v>
      </c>
      <c r="I85" s="823"/>
      <c r="J85" s="490">
        <f t="shared" ca="1" si="65"/>
        <v>0</v>
      </c>
      <c r="K85" s="462">
        <f t="shared" ca="1" si="39"/>
        <v>0</v>
      </c>
      <c r="L85" s="463">
        <f t="shared" ca="1" si="40"/>
        <v>0</v>
      </c>
      <c r="M85" s="463">
        <f t="shared" ca="1" si="41"/>
        <v>0</v>
      </c>
      <c r="N85" s="485">
        <f t="shared" ca="1" si="42"/>
        <v>0</v>
      </c>
      <c r="O85" s="485">
        <f t="shared" ca="1" si="43"/>
        <v>0</v>
      </c>
      <c r="P85" s="823"/>
      <c r="Q85" s="490">
        <f t="shared" ca="1" si="66"/>
        <v>0</v>
      </c>
      <c r="R85" s="462">
        <f t="shared" ca="1" si="44"/>
        <v>0</v>
      </c>
      <c r="S85" s="463">
        <f t="shared" ca="1" si="45"/>
        <v>0</v>
      </c>
      <c r="T85" s="463">
        <f t="shared" ca="1" si="46"/>
        <v>0</v>
      </c>
      <c r="U85" s="485">
        <f t="shared" ca="1" si="47"/>
        <v>0</v>
      </c>
      <c r="V85" s="485">
        <f t="shared" ca="1" si="48"/>
        <v>0</v>
      </c>
      <c r="W85" s="823"/>
      <c r="X85" s="490">
        <f t="shared" ca="1" si="67"/>
        <v>0</v>
      </c>
      <c r="Y85" s="462">
        <f t="shared" ca="1" si="49"/>
        <v>0</v>
      </c>
      <c r="Z85" s="463">
        <f t="shared" ca="1" si="50"/>
        <v>0</v>
      </c>
      <c r="AA85" s="463">
        <f t="shared" ca="1" si="51"/>
        <v>0</v>
      </c>
      <c r="AB85" s="2056">
        <f t="shared" ca="1" si="52"/>
        <v>0</v>
      </c>
      <c r="AC85" s="2056">
        <f t="shared" ca="1" si="53"/>
        <v>0</v>
      </c>
      <c r="AD85" s="823"/>
      <c r="AE85" s="490">
        <f t="shared" ca="1" si="68"/>
        <v>0</v>
      </c>
      <c r="AF85" s="462">
        <f t="shared" ca="1" si="54"/>
        <v>0</v>
      </c>
      <c r="AG85" s="463">
        <f t="shared" ca="1" si="55"/>
        <v>0</v>
      </c>
      <c r="AH85" s="463">
        <f t="shared" ca="1" si="56"/>
        <v>0</v>
      </c>
      <c r="AI85" s="485">
        <f t="shared" ca="1" si="57"/>
        <v>0</v>
      </c>
      <c r="AJ85" s="485">
        <f t="shared" ca="1" si="58"/>
        <v>0</v>
      </c>
      <c r="AK85" s="823"/>
      <c r="AL85" s="490">
        <f t="shared" ca="1" si="69"/>
        <v>0</v>
      </c>
      <c r="AM85" s="462">
        <f t="shared" ca="1" si="59"/>
        <v>0</v>
      </c>
      <c r="AN85" s="463">
        <f t="shared" ca="1" si="60"/>
        <v>0</v>
      </c>
      <c r="AO85" s="463">
        <f t="shared" ca="1" si="61"/>
        <v>0</v>
      </c>
      <c r="AP85" s="485">
        <f t="shared" ca="1" si="62"/>
        <v>0</v>
      </c>
      <c r="AQ85" s="485">
        <f t="shared" ca="1" si="63"/>
        <v>0</v>
      </c>
      <c r="AR85" s="823"/>
      <c r="AS85" s="490">
        <f t="shared" ca="1" si="70"/>
        <v>0</v>
      </c>
      <c r="AT85" s="490">
        <f t="shared" ca="1" si="71"/>
        <v>0</v>
      </c>
    </row>
    <row r="86" spans="2:46" ht="16">
      <c r="B86" s="200">
        <v>24</v>
      </c>
      <c r="C86" s="471" t="str">
        <f t="shared" si="64"/>
        <v/>
      </c>
      <c r="D86" s="462">
        <f t="shared" ca="1" si="34"/>
        <v>0</v>
      </c>
      <c r="E86" s="463">
        <f t="shared" ca="1" si="35"/>
        <v>0</v>
      </c>
      <c r="F86" s="463">
        <f t="shared" ca="1" si="36"/>
        <v>0</v>
      </c>
      <c r="G86" s="485">
        <f t="shared" ca="1" si="37"/>
        <v>0</v>
      </c>
      <c r="H86" s="485">
        <f t="shared" ca="1" si="38"/>
        <v>0</v>
      </c>
      <c r="I86" s="823"/>
      <c r="J86" s="490">
        <f t="shared" ca="1" si="65"/>
        <v>0</v>
      </c>
      <c r="K86" s="462">
        <f t="shared" ca="1" si="39"/>
        <v>0</v>
      </c>
      <c r="L86" s="463">
        <f t="shared" ca="1" si="40"/>
        <v>0</v>
      </c>
      <c r="M86" s="463">
        <f t="shared" ca="1" si="41"/>
        <v>0</v>
      </c>
      <c r="N86" s="485">
        <f t="shared" ca="1" si="42"/>
        <v>0</v>
      </c>
      <c r="O86" s="485">
        <f t="shared" ca="1" si="43"/>
        <v>0</v>
      </c>
      <c r="P86" s="823"/>
      <c r="Q86" s="490">
        <f t="shared" ca="1" si="66"/>
        <v>0</v>
      </c>
      <c r="R86" s="462">
        <f t="shared" ca="1" si="44"/>
        <v>0</v>
      </c>
      <c r="S86" s="463">
        <f t="shared" ca="1" si="45"/>
        <v>0</v>
      </c>
      <c r="T86" s="463">
        <f t="shared" ca="1" si="46"/>
        <v>0</v>
      </c>
      <c r="U86" s="485">
        <f t="shared" ca="1" si="47"/>
        <v>0</v>
      </c>
      <c r="V86" s="485">
        <f t="shared" ca="1" si="48"/>
        <v>0</v>
      </c>
      <c r="W86" s="823"/>
      <c r="X86" s="490">
        <f t="shared" ca="1" si="67"/>
        <v>0</v>
      </c>
      <c r="Y86" s="462">
        <f t="shared" ca="1" si="49"/>
        <v>0</v>
      </c>
      <c r="Z86" s="463">
        <f t="shared" ca="1" si="50"/>
        <v>0</v>
      </c>
      <c r="AA86" s="463">
        <f t="shared" ca="1" si="51"/>
        <v>0</v>
      </c>
      <c r="AB86" s="2056">
        <f t="shared" ca="1" si="52"/>
        <v>0</v>
      </c>
      <c r="AC86" s="2056">
        <f t="shared" ca="1" si="53"/>
        <v>0</v>
      </c>
      <c r="AD86" s="823"/>
      <c r="AE86" s="490">
        <f t="shared" ca="1" si="68"/>
        <v>0</v>
      </c>
      <c r="AF86" s="462">
        <f t="shared" ca="1" si="54"/>
        <v>0</v>
      </c>
      <c r="AG86" s="463">
        <f t="shared" ca="1" si="55"/>
        <v>0</v>
      </c>
      <c r="AH86" s="463">
        <f t="shared" ca="1" si="56"/>
        <v>0</v>
      </c>
      <c r="AI86" s="485">
        <f t="shared" ca="1" si="57"/>
        <v>0</v>
      </c>
      <c r="AJ86" s="485">
        <f t="shared" ca="1" si="58"/>
        <v>0</v>
      </c>
      <c r="AK86" s="823"/>
      <c r="AL86" s="490">
        <f t="shared" ca="1" si="69"/>
        <v>0</v>
      </c>
      <c r="AM86" s="462">
        <f t="shared" ca="1" si="59"/>
        <v>0</v>
      </c>
      <c r="AN86" s="463">
        <f t="shared" ca="1" si="60"/>
        <v>0</v>
      </c>
      <c r="AO86" s="463">
        <f t="shared" ca="1" si="61"/>
        <v>0</v>
      </c>
      <c r="AP86" s="485">
        <f t="shared" ca="1" si="62"/>
        <v>0</v>
      </c>
      <c r="AQ86" s="485">
        <f t="shared" ca="1" si="63"/>
        <v>0</v>
      </c>
      <c r="AR86" s="823"/>
      <c r="AS86" s="490">
        <f t="shared" ca="1" si="70"/>
        <v>0</v>
      </c>
      <c r="AT86" s="490">
        <f t="shared" ca="1" si="71"/>
        <v>0</v>
      </c>
    </row>
    <row r="87" spans="2:46" ht="16">
      <c r="B87" s="200">
        <v>24</v>
      </c>
      <c r="C87" s="471" t="str">
        <f t="shared" si="64"/>
        <v/>
      </c>
      <c r="D87" s="462">
        <f t="shared" ca="1" si="34"/>
        <v>0</v>
      </c>
      <c r="E87" s="463">
        <f t="shared" ca="1" si="35"/>
        <v>0</v>
      </c>
      <c r="F87" s="463">
        <f t="shared" ca="1" si="36"/>
        <v>0</v>
      </c>
      <c r="G87" s="485">
        <f t="shared" ca="1" si="37"/>
        <v>0</v>
      </c>
      <c r="H87" s="485">
        <f t="shared" ca="1" si="38"/>
        <v>0</v>
      </c>
      <c r="I87" s="823"/>
      <c r="J87" s="490">
        <f t="shared" ca="1" si="65"/>
        <v>0</v>
      </c>
      <c r="K87" s="462">
        <f t="shared" ca="1" si="39"/>
        <v>0</v>
      </c>
      <c r="L87" s="463">
        <f t="shared" ca="1" si="40"/>
        <v>0</v>
      </c>
      <c r="M87" s="463">
        <f t="shared" ca="1" si="41"/>
        <v>0</v>
      </c>
      <c r="N87" s="485">
        <f t="shared" ca="1" si="42"/>
        <v>0</v>
      </c>
      <c r="O87" s="485">
        <f t="shared" ca="1" si="43"/>
        <v>0</v>
      </c>
      <c r="P87" s="823"/>
      <c r="Q87" s="490">
        <f t="shared" ca="1" si="66"/>
        <v>0</v>
      </c>
      <c r="R87" s="462">
        <f t="shared" ca="1" si="44"/>
        <v>0</v>
      </c>
      <c r="S87" s="463">
        <f t="shared" ca="1" si="45"/>
        <v>0</v>
      </c>
      <c r="T87" s="463">
        <f t="shared" ca="1" si="46"/>
        <v>0</v>
      </c>
      <c r="U87" s="485">
        <f t="shared" ca="1" si="47"/>
        <v>0</v>
      </c>
      <c r="V87" s="485">
        <f t="shared" ca="1" si="48"/>
        <v>0</v>
      </c>
      <c r="W87" s="823"/>
      <c r="X87" s="490">
        <f t="shared" ca="1" si="67"/>
        <v>0</v>
      </c>
      <c r="Y87" s="462">
        <f t="shared" ca="1" si="49"/>
        <v>0</v>
      </c>
      <c r="Z87" s="463">
        <f t="shared" ca="1" si="50"/>
        <v>0</v>
      </c>
      <c r="AA87" s="463">
        <f t="shared" ca="1" si="51"/>
        <v>0</v>
      </c>
      <c r="AB87" s="2056">
        <f t="shared" ca="1" si="52"/>
        <v>0</v>
      </c>
      <c r="AC87" s="2056">
        <f t="shared" ca="1" si="53"/>
        <v>0</v>
      </c>
      <c r="AD87" s="823"/>
      <c r="AE87" s="490">
        <f t="shared" ca="1" si="68"/>
        <v>0</v>
      </c>
      <c r="AF87" s="462">
        <f t="shared" ca="1" si="54"/>
        <v>0</v>
      </c>
      <c r="AG87" s="463">
        <f t="shared" ca="1" si="55"/>
        <v>0</v>
      </c>
      <c r="AH87" s="463">
        <f t="shared" ca="1" si="56"/>
        <v>0</v>
      </c>
      <c r="AI87" s="485">
        <f t="shared" ca="1" si="57"/>
        <v>0</v>
      </c>
      <c r="AJ87" s="485">
        <f t="shared" ca="1" si="58"/>
        <v>0</v>
      </c>
      <c r="AK87" s="823"/>
      <c r="AL87" s="490">
        <f t="shared" ca="1" si="69"/>
        <v>0</v>
      </c>
      <c r="AM87" s="462">
        <f t="shared" ca="1" si="59"/>
        <v>0</v>
      </c>
      <c r="AN87" s="463">
        <f t="shared" ca="1" si="60"/>
        <v>0</v>
      </c>
      <c r="AO87" s="463">
        <f t="shared" ca="1" si="61"/>
        <v>0</v>
      </c>
      <c r="AP87" s="485">
        <f t="shared" ca="1" si="62"/>
        <v>0</v>
      </c>
      <c r="AQ87" s="485">
        <f t="shared" ca="1" si="63"/>
        <v>0</v>
      </c>
      <c r="AR87" s="823"/>
      <c r="AS87" s="490">
        <f t="shared" ca="1" si="70"/>
        <v>0</v>
      </c>
      <c r="AT87" s="490">
        <f t="shared" ca="1" si="71"/>
        <v>0</v>
      </c>
    </row>
    <row r="88" spans="2:46" ht="16">
      <c r="B88" s="200">
        <v>25</v>
      </c>
      <c r="C88" s="471" t="str">
        <f t="shared" si="64"/>
        <v/>
      </c>
      <c r="D88" s="462">
        <f t="shared" ca="1" si="34"/>
        <v>0</v>
      </c>
      <c r="E88" s="463">
        <f t="shared" ca="1" si="35"/>
        <v>0</v>
      </c>
      <c r="F88" s="463">
        <f t="shared" ca="1" si="36"/>
        <v>0</v>
      </c>
      <c r="G88" s="485">
        <f t="shared" ca="1" si="37"/>
        <v>0</v>
      </c>
      <c r="H88" s="485">
        <f t="shared" ca="1" si="38"/>
        <v>0</v>
      </c>
      <c r="I88" s="823"/>
      <c r="J88" s="490">
        <f t="shared" ca="1" si="65"/>
        <v>0</v>
      </c>
      <c r="K88" s="462">
        <f t="shared" ca="1" si="39"/>
        <v>0</v>
      </c>
      <c r="L88" s="463">
        <f t="shared" ca="1" si="40"/>
        <v>0</v>
      </c>
      <c r="M88" s="463">
        <f t="shared" ca="1" si="41"/>
        <v>0</v>
      </c>
      <c r="N88" s="485">
        <f t="shared" ca="1" si="42"/>
        <v>0</v>
      </c>
      <c r="O88" s="485">
        <f t="shared" ca="1" si="43"/>
        <v>0</v>
      </c>
      <c r="P88" s="823"/>
      <c r="Q88" s="490">
        <f t="shared" ca="1" si="66"/>
        <v>0</v>
      </c>
      <c r="R88" s="462">
        <f t="shared" ca="1" si="44"/>
        <v>0</v>
      </c>
      <c r="S88" s="463">
        <f t="shared" ca="1" si="45"/>
        <v>0</v>
      </c>
      <c r="T88" s="463">
        <f t="shared" ca="1" si="46"/>
        <v>0</v>
      </c>
      <c r="U88" s="485">
        <f t="shared" ca="1" si="47"/>
        <v>0</v>
      </c>
      <c r="V88" s="485">
        <f t="shared" ca="1" si="48"/>
        <v>0</v>
      </c>
      <c r="W88" s="823"/>
      <c r="X88" s="490">
        <f t="shared" ca="1" si="67"/>
        <v>0</v>
      </c>
      <c r="Y88" s="462">
        <f t="shared" ca="1" si="49"/>
        <v>0</v>
      </c>
      <c r="Z88" s="463">
        <f t="shared" ca="1" si="50"/>
        <v>0</v>
      </c>
      <c r="AA88" s="463">
        <f t="shared" ca="1" si="51"/>
        <v>0</v>
      </c>
      <c r="AB88" s="2056">
        <f t="shared" ca="1" si="52"/>
        <v>0</v>
      </c>
      <c r="AC88" s="2056">
        <f t="shared" ca="1" si="53"/>
        <v>0</v>
      </c>
      <c r="AD88" s="823"/>
      <c r="AE88" s="490">
        <f t="shared" ca="1" si="68"/>
        <v>0</v>
      </c>
      <c r="AF88" s="462">
        <f t="shared" ca="1" si="54"/>
        <v>0</v>
      </c>
      <c r="AG88" s="463">
        <f t="shared" ca="1" si="55"/>
        <v>0</v>
      </c>
      <c r="AH88" s="463">
        <f t="shared" ca="1" si="56"/>
        <v>0</v>
      </c>
      <c r="AI88" s="485">
        <f t="shared" ca="1" si="57"/>
        <v>0</v>
      </c>
      <c r="AJ88" s="485">
        <f t="shared" ca="1" si="58"/>
        <v>0</v>
      </c>
      <c r="AK88" s="823"/>
      <c r="AL88" s="490">
        <f t="shared" ca="1" si="69"/>
        <v>0</v>
      </c>
      <c r="AM88" s="462">
        <f t="shared" ca="1" si="59"/>
        <v>0</v>
      </c>
      <c r="AN88" s="463">
        <f t="shared" ca="1" si="60"/>
        <v>0</v>
      </c>
      <c r="AO88" s="463">
        <f t="shared" ca="1" si="61"/>
        <v>0</v>
      </c>
      <c r="AP88" s="485">
        <f t="shared" ca="1" si="62"/>
        <v>0</v>
      </c>
      <c r="AQ88" s="485">
        <f t="shared" ca="1" si="63"/>
        <v>0</v>
      </c>
      <c r="AR88" s="823"/>
      <c r="AS88" s="490">
        <f t="shared" ca="1" si="70"/>
        <v>0</v>
      </c>
      <c r="AT88" s="490">
        <f t="shared" ca="1" si="71"/>
        <v>0</v>
      </c>
    </row>
    <row r="89" spans="2:46" ht="16">
      <c r="B89" s="200">
        <v>26</v>
      </c>
      <c r="C89" s="471" t="str">
        <f t="shared" si="64"/>
        <v/>
      </c>
      <c r="D89" s="462">
        <f t="shared" ca="1" si="34"/>
        <v>0</v>
      </c>
      <c r="E89" s="463">
        <f t="shared" ca="1" si="35"/>
        <v>0</v>
      </c>
      <c r="F89" s="463">
        <f t="shared" ca="1" si="36"/>
        <v>0</v>
      </c>
      <c r="G89" s="485">
        <f t="shared" ca="1" si="37"/>
        <v>0</v>
      </c>
      <c r="H89" s="485">
        <f t="shared" ca="1" si="38"/>
        <v>0</v>
      </c>
      <c r="I89" s="823"/>
      <c r="J89" s="490">
        <f t="shared" ca="1" si="65"/>
        <v>0</v>
      </c>
      <c r="K89" s="462">
        <f t="shared" ca="1" si="39"/>
        <v>0</v>
      </c>
      <c r="L89" s="463">
        <f t="shared" ca="1" si="40"/>
        <v>0</v>
      </c>
      <c r="M89" s="463">
        <f t="shared" ca="1" si="41"/>
        <v>0</v>
      </c>
      <c r="N89" s="485">
        <f t="shared" ca="1" si="42"/>
        <v>0</v>
      </c>
      <c r="O89" s="485">
        <f t="shared" ca="1" si="43"/>
        <v>0</v>
      </c>
      <c r="P89" s="823"/>
      <c r="Q89" s="490">
        <f t="shared" ca="1" si="66"/>
        <v>0</v>
      </c>
      <c r="R89" s="462">
        <f t="shared" ca="1" si="44"/>
        <v>0</v>
      </c>
      <c r="S89" s="463">
        <f t="shared" ca="1" si="45"/>
        <v>0</v>
      </c>
      <c r="T89" s="463">
        <f t="shared" ca="1" si="46"/>
        <v>0</v>
      </c>
      <c r="U89" s="485">
        <f t="shared" ca="1" si="47"/>
        <v>0</v>
      </c>
      <c r="V89" s="485">
        <f t="shared" ca="1" si="48"/>
        <v>0</v>
      </c>
      <c r="W89" s="823"/>
      <c r="X89" s="490">
        <f t="shared" ca="1" si="67"/>
        <v>0</v>
      </c>
      <c r="Y89" s="462">
        <f t="shared" ca="1" si="49"/>
        <v>0</v>
      </c>
      <c r="Z89" s="463">
        <f t="shared" ca="1" si="50"/>
        <v>0</v>
      </c>
      <c r="AA89" s="463">
        <f t="shared" ca="1" si="51"/>
        <v>0</v>
      </c>
      <c r="AB89" s="485">
        <f t="shared" ca="1" si="52"/>
        <v>0</v>
      </c>
      <c r="AC89" s="485">
        <f t="shared" ca="1" si="53"/>
        <v>0</v>
      </c>
      <c r="AD89" s="823"/>
      <c r="AE89" s="490">
        <f t="shared" ca="1" si="68"/>
        <v>0</v>
      </c>
      <c r="AF89" s="462">
        <f t="shared" ca="1" si="54"/>
        <v>0</v>
      </c>
      <c r="AG89" s="463">
        <f t="shared" ca="1" si="55"/>
        <v>0</v>
      </c>
      <c r="AH89" s="463">
        <f t="shared" ca="1" si="56"/>
        <v>0</v>
      </c>
      <c r="AI89" s="485">
        <f t="shared" ca="1" si="57"/>
        <v>0</v>
      </c>
      <c r="AJ89" s="485">
        <f t="shared" ca="1" si="58"/>
        <v>0</v>
      </c>
      <c r="AK89" s="823"/>
      <c r="AL89" s="490">
        <f t="shared" ca="1" si="69"/>
        <v>0</v>
      </c>
      <c r="AM89" s="462">
        <f t="shared" ca="1" si="59"/>
        <v>0</v>
      </c>
      <c r="AN89" s="463">
        <f t="shared" ca="1" si="60"/>
        <v>0</v>
      </c>
      <c r="AO89" s="463">
        <f t="shared" ca="1" si="61"/>
        <v>0</v>
      </c>
      <c r="AP89" s="485">
        <f t="shared" ca="1" si="62"/>
        <v>0</v>
      </c>
      <c r="AQ89" s="485">
        <f t="shared" ca="1" si="63"/>
        <v>0</v>
      </c>
      <c r="AR89" s="823"/>
      <c r="AS89" s="490">
        <f t="shared" ca="1" si="70"/>
        <v>0</v>
      </c>
      <c r="AT89" s="490">
        <f t="shared" ca="1" si="71"/>
        <v>0</v>
      </c>
    </row>
    <row r="90" spans="2:46" ht="16">
      <c r="B90" s="200">
        <v>27</v>
      </c>
      <c r="C90" s="471" t="str">
        <f t="shared" si="64"/>
        <v/>
      </c>
      <c r="D90" s="462">
        <f t="shared" ca="1" si="34"/>
        <v>0</v>
      </c>
      <c r="E90" s="463">
        <f t="shared" ca="1" si="35"/>
        <v>0</v>
      </c>
      <c r="F90" s="463">
        <f t="shared" ca="1" si="36"/>
        <v>0</v>
      </c>
      <c r="G90" s="485">
        <f t="shared" ca="1" si="37"/>
        <v>0</v>
      </c>
      <c r="H90" s="485">
        <f t="shared" ca="1" si="38"/>
        <v>0</v>
      </c>
      <c r="I90" s="823"/>
      <c r="J90" s="490">
        <f t="shared" ca="1" si="65"/>
        <v>0</v>
      </c>
      <c r="K90" s="462">
        <f t="shared" ca="1" si="39"/>
        <v>0</v>
      </c>
      <c r="L90" s="463">
        <f t="shared" ca="1" si="40"/>
        <v>0</v>
      </c>
      <c r="M90" s="463">
        <f t="shared" ca="1" si="41"/>
        <v>0</v>
      </c>
      <c r="N90" s="485">
        <f t="shared" ca="1" si="42"/>
        <v>0</v>
      </c>
      <c r="O90" s="485">
        <f t="shared" ca="1" si="43"/>
        <v>0</v>
      </c>
      <c r="P90" s="823"/>
      <c r="Q90" s="490">
        <f t="shared" ca="1" si="66"/>
        <v>0</v>
      </c>
      <c r="R90" s="462">
        <f t="shared" ca="1" si="44"/>
        <v>0</v>
      </c>
      <c r="S90" s="463">
        <f t="shared" ca="1" si="45"/>
        <v>0</v>
      </c>
      <c r="T90" s="463">
        <f t="shared" ca="1" si="46"/>
        <v>0</v>
      </c>
      <c r="U90" s="485">
        <f t="shared" ca="1" si="47"/>
        <v>0</v>
      </c>
      <c r="V90" s="485">
        <f t="shared" ca="1" si="48"/>
        <v>0</v>
      </c>
      <c r="W90" s="823"/>
      <c r="X90" s="490">
        <f t="shared" ca="1" si="67"/>
        <v>0</v>
      </c>
      <c r="Y90" s="462">
        <f t="shared" ca="1" si="49"/>
        <v>0</v>
      </c>
      <c r="Z90" s="463">
        <f t="shared" ca="1" si="50"/>
        <v>0</v>
      </c>
      <c r="AA90" s="463">
        <f t="shared" ca="1" si="51"/>
        <v>0</v>
      </c>
      <c r="AB90" s="485">
        <f t="shared" ca="1" si="52"/>
        <v>0</v>
      </c>
      <c r="AC90" s="485">
        <f t="shared" ca="1" si="53"/>
        <v>0</v>
      </c>
      <c r="AD90" s="823"/>
      <c r="AE90" s="490">
        <f t="shared" ca="1" si="68"/>
        <v>0</v>
      </c>
      <c r="AF90" s="462">
        <f t="shared" ca="1" si="54"/>
        <v>0</v>
      </c>
      <c r="AG90" s="463">
        <f t="shared" ca="1" si="55"/>
        <v>0</v>
      </c>
      <c r="AH90" s="463">
        <f t="shared" ca="1" si="56"/>
        <v>0</v>
      </c>
      <c r="AI90" s="485">
        <f t="shared" ca="1" si="57"/>
        <v>0</v>
      </c>
      <c r="AJ90" s="485">
        <f t="shared" ca="1" si="58"/>
        <v>0</v>
      </c>
      <c r="AK90" s="823"/>
      <c r="AL90" s="490">
        <f t="shared" ca="1" si="69"/>
        <v>0</v>
      </c>
      <c r="AM90" s="462">
        <f t="shared" ca="1" si="59"/>
        <v>0</v>
      </c>
      <c r="AN90" s="463">
        <f t="shared" ca="1" si="60"/>
        <v>0</v>
      </c>
      <c r="AO90" s="463">
        <f t="shared" ca="1" si="61"/>
        <v>0</v>
      </c>
      <c r="AP90" s="485">
        <f t="shared" ca="1" si="62"/>
        <v>0</v>
      </c>
      <c r="AQ90" s="485">
        <f t="shared" ca="1" si="63"/>
        <v>0</v>
      </c>
      <c r="AR90" s="823"/>
      <c r="AS90" s="490">
        <f t="shared" ca="1" si="70"/>
        <v>0</v>
      </c>
      <c r="AT90" s="490">
        <f t="shared" ca="1" si="71"/>
        <v>0</v>
      </c>
    </row>
    <row r="91" spans="2:46" ht="16">
      <c r="B91" s="200">
        <v>28</v>
      </c>
      <c r="C91" s="471" t="str">
        <f t="shared" si="64"/>
        <v/>
      </c>
      <c r="D91" s="462">
        <f t="shared" ca="1" si="34"/>
        <v>0</v>
      </c>
      <c r="E91" s="463">
        <f t="shared" ca="1" si="35"/>
        <v>0</v>
      </c>
      <c r="F91" s="463">
        <f t="shared" ca="1" si="36"/>
        <v>0</v>
      </c>
      <c r="G91" s="485">
        <f t="shared" ca="1" si="37"/>
        <v>0</v>
      </c>
      <c r="H91" s="485">
        <f t="shared" ca="1" si="38"/>
        <v>0</v>
      </c>
      <c r="I91" s="823"/>
      <c r="J91" s="490">
        <f t="shared" ca="1" si="65"/>
        <v>0</v>
      </c>
      <c r="K91" s="462">
        <f t="shared" ca="1" si="39"/>
        <v>0</v>
      </c>
      <c r="L91" s="463">
        <f t="shared" ca="1" si="40"/>
        <v>0</v>
      </c>
      <c r="M91" s="463">
        <f t="shared" ca="1" si="41"/>
        <v>0</v>
      </c>
      <c r="N91" s="485">
        <f t="shared" ca="1" si="42"/>
        <v>0</v>
      </c>
      <c r="O91" s="485">
        <f t="shared" ca="1" si="43"/>
        <v>0</v>
      </c>
      <c r="P91" s="823"/>
      <c r="Q91" s="490">
        <f t="shared" ca="1" si="66"/>
        <v>0</v>
      </c>
      <c r="R91" s="462">
        <f t="shared" ca="1" si="44"/>
        <v>0</v>
      </c>
      <c r="S91" s="463">
        <f t="shared" ca="1" si="45"/>
        <v>0</v>
      </c>
      <c r="T91" s="463">
        <f t="shared" ca="1" si="46"/>
        <v>0</v>
      </c>
      <c r="U91" s="485">
        <f t="shared" ca="1" si="47"/>
        <v>0</v>
      </c>
      <c r="V91" s="485">
        <f t="shared" ca="1" si="48"/>
        <v>0</v>
      </c>
      <c r="W91" s="823"/>
      <c r="X91" s="490">
        <f t="shared" ca="1" si="67"/>
        <v>0</v>
      </c>
      <c r="Y91" s="462">
        <f t="shared" ca="1" si="49"/>
        <v>0</v>
      </c>
      <c r="Z91" s="463">
        <f t="shared" ca="1" si="50"/>
        <v>0</v>
      </c>
      <c r="AA91" s="463">
        <f t="shared" ca="1" si="51"/>
        <v>0</v>
      </c>
      <c r="AB91" s="485">
        <f t="shared" ca="1" si="52"/>
        <v>0</v>
      </c>
      <c r="AC91" s="485">
        <f t="shared" ca="1" si="53"/>
        <v>0</v>
      </c>
      <c r="AD91" s="823"/>
      <c r="AE91" s="490">
        <f t="shared" ca="1" si="68"/>
        <v>0</v>
      </c>
      <c r="AF91" s="462">
        <f t="shared" ca="1" si="54"/>
        <v>0</v>
      </c>
      <c r="AG91" s="463">
        <f t="shared" ca="1" si="55"/>
        <v>0</v>
      </c>
      <c r="AH91" s="463">
        <f t="shared" ca="1" si="56"/>
        <v>0</v>
      </c>
      <c r="AI91" s="485">
        <f t="shared" ca="1" si="57"/>
        <v>0</v>
      </c>
      <c r="AJ91" s="485">
        <f t="shared" ca="1" si="58"/>
        <v>0</v>
      </c>
      <c r="AK91" s="823"/>
      <c r="AL91" s="490">
        <f t="shared" ca="1" si="69"/>
        <v>0</v>
      </c>
      <c r="AM91" s="462">
        <f t="shared" ca="1" si="59"/>
        <v>0</v>
      </c>
      <c r="AN91" s="463">
        <f t="shared" ca="1" si="60"/>
        <v>0</v>
      </c>
      <c r="AO91" s="463">
        <f t="shared" ca="1" si="61"/>
        <v>0</v>
      </c>
      <c r="AP91" s="485">
        <f t="shared" ca="1" si="62"/>
        <v>0</v>
      </c>
      <c r="AQ91" s="485">
        <f t="shared" ca="1" si="63"/>
        <v>0</v>
      </c>
      <c r="AR91" s="823"/>
      <c r="AS91" s="490">
        <f t="shared" ca="1" si="70"/>
        <v>0</v>
      </c>
      <c r="AT91" s="490">
        <f t="shared" ca="1" si="71"/>
        <v>0</v>
      </c>
    </row>
    <row r="92" spans="2:46" ht="16">
      <c r="B92" s="200">
        <v>29</v>
      </c>
      <c r="C92" s="471" t="str">
        <f t="shared" si="64"/>
        <v/>
      </c>
      <c r="D92" s="462">
        <f t="shared" ca="1" si="34"/>
        <v>0</v>
      </c>
      <c r="E92" s="463">
        <f t="shared" ca="1" si="35"/>
        <v>0</v>
      </c>
      <c r="F92" s="463">
        <f t="shared" ca="1" si="36"/>
        <v>0</v>
      </c>
      <c r="G92" s="485">
        <f t="shared" ca="1" si="37"/>
        <v>0</v>
      </c>
      <c r="H92" s="485">
        <f t="shared" ca="1" si="38"/>
        <v>0</v>
      </c>
      <c r="I92" s="823"/>
      <c r="J92" s="490">
        <f t="shared" ca="1" si="65"/>
        <v>0</v>
      </c>
      <c r="K92" s="462">
        <f t="shared" ca="1" si="39"/>
        <v>0</v>
      </c>
      <c r="L92" s="463">
        <f t="shared" ca="1" si="40"/>
        <v>0</v>
      </c>
      <c r="M92" s="463">
        <f t="shared" ca="1" si="41"/>
        <v>0</v>
      </c>
      <c r="N92" s="485">
        <f t="shared" ca="1" si="42"/>
        <v>0</v>
      </c>
      <c r="O92" s="485">
        <f t="shared" ca="1" si="43"/>
        <v>0</v>
      </c>
      <c r="P92" s="823"/>
      <c r="Q92" s="490">
        <f t="shared" ca="1" si="66"/>
        <v>0</v>
      </c>
      <c r="R92" s="462">
        <f t="shared" ca="1" si="44"/>
        <v>0</v>
      </c>
      <c r="S92" s="463">
        <f t="shared" ca="1" si="45"/>
        <v>0</v>
      </c>
      <c r="T92" s="463">
        <f t="shared" ca="1" si="46"/>
        <v>0</v>
      </c>
      <c r="U92" s="485">
        <f t="shared" ca="1" si="47"/>
        <v>0</v>
      </c>
      <c r="V92" s="485">
        <f t="shared" ca="1" si="48"/>
        <v>0</v>
      </c>
      <c r="W92" s="823"/>
      <c r="X92" s="490">
        <f t="shared" ca="1" si="67"/>
        <v>0</v>
      </c>
      <c r="Y92" s="462">
        <f t="shared" ca="1" si="49"/>
        <v>0</v>
      </c>
      <c r="Z92" s="463">
        <f t="shared" ca="1" si="50"/>
        <v>0</v>
      </c>
      <c r="AA92" s="463">
        <f t="shared" ca="1" si="51"/>
        <v>0</v>
      </c>
      <c r="AB92" s="485">
        <f t="shared" ca="1" si="52"/>
        <v>0</v>
      </c>
      <c r="AC92" s="485">
        <f t="shared" ca="1" si="53"/>
        <v>0</v>
      </c>
      <c r="AD92" s="823"/>
      <c r="AE92" s="490">
        <f t="shared" ca="1" si="68"/>
        <v>0</v>
      </c>
      <c r="AF92" s="462">
        <f t="shared" ca="1" si="54"/>
        <v>0</v>
      </c>
      <c r="AG92" s="463">
        <f t="shared" ca="1" si="55"/>
        <v>0</v>
      </c>
      <c r="AH92" s="463">
        <f t="shared" ca="1" si="56"/>
        <v>0</v>
      </c>
      <c r="AI92" s="485">
        <f t="shared" ca="1" si="57"/>
        <v>0</v>
      </c>
      <c r="AJ92" s="485">
        <f t="shared" ca="1" si="58"/>
        <v>0</v>
      </c>
      <c r="AK92" s="823"/>
      <c r="AL92" s="490">
        <f t="shared" ca="1" si="69"/>
        <v>0</v>
      </c>
      <c r="AM92" s="462">
        <f t="shared" ca="1" si="59"/>
        <v>0</v>
      </c>
      <c r="AN92" s="463">
        <f t="shared" ca="1" si="60"/>
        <v>0</v>
      </c>
      <c r="AO92" s="463">
        <f t="shared" ca="1" si="61"/>
        <v>0</v>
      </c>
      <c r="AP92" s="485">
        <f t="shared" ca="1" si="62"/>
        <v>0</v>
      </c>
      <c r="AQ92" s="485">
        <f t="shared" ca="1" si="63"/>
        <v>0</v>
      </c>
      <c r="AR92" s="823"/>
      <c r="AS92" s="490">
        <f t="shared" ca="1" si="70"/>
        <v>0</v>
      </c>
      <c r="AT92" s="490">
        <f t="shared" ca="1" si="71"/>
        <v>0</v>
      </c>
    </row>
    <row r="93" spans="2:46" ht="17" thickBot="1">
      <c r="B93" s="472">
        <v>30</v>
      </c>
      <c r="C93" s="471" t="str">
        <f t="shared" si="64"/>
        <v/>
      </c>
      <c r="D93" s="462">
        <f t="shared" ca="1" si="34"/>
        <v>0</v>
      </c>
      <c r="E93" s="463">
        <f t="shared" ca="1" si="35"/>
        <v>0</v>
      </c>
      <c r="F93" s="463">
        <f t="shared" ca="1" si="36"/>
        <v>0</v>
      </c>
      <c r="G93" s="485">
        <f t="shared" ca="1" si="37"/>
        <v>0</v>
      </c>
      <c r="H93" s="485">
        <f t="shared" ca="1" si="38"/>
        <v>0</v>
      </c>
      <c r="I93" s="823"/>
      <c r="J93" s="490">
        <f t="shared" ca="1" si="65"/>
        <v>0</v>
      </c>
      <c r="K93" s="462">
        <f t="shared" ca="1" si="39"/>
        <v>0</v>
      </c>
      <c r="L93" s="463">
        <f t="shared" ca="1" si="40"/>
        <v>0</v>
      </c>
      <c r="M93" s="463">
        <f t="shared" ca="1" si="41"/>
        <v>0</v>
      </c>
      <c r="N93" s="485">
        <f t="shared" ca="1" si="42"/>
        <v>0</v>
      </c>
      <c r="O93" s="485">
        <f t="shared" ca="1" si="43"/>
        <v>0</v>
      </c>
      <c r="P93" s="823"/>
      <c r="Q93" s="490">
        <f t="shared" ca="1" si="66"/>
        <v>0</v>
      </c>
      <c r="R93" s="462">
        <f t="shared" ca="1" si="44"/>
        <v>0</v>
      </c>
      <c r="S93" s="463">
        <f t="shared" ca="1" si="45"/>
        <v>0</v>
      </c>
      <c r="T93" s="463">
        <f t="shared" ca="1" si="46"/>
        <v>0</v>
      </c>
      <c r="U93" s="485">
        <f t="shared" ca="1" si="47"/>
        <v>0</v>
      </c>
      <c r="V93" s="485">
        <f t="shared" ca="1" si="48"/>
        <v>0</v>
      </c>
      <c r="W93" s="823"/>
      <c r="X93" s="490">
        <f t="shared" ca="1" si="67"/>
        <v>0</v>
      </c>
      <c r="Y93" s="462">
        <f t="shared" ca="1" si="49"/>
        <v>0</v>
      </c>
      <c r="Z93" s="463">
        <f t="shared" ca="1" si="50"/>
        <v>0</v>
      </c>
      <c r="AA93" s="463">
        <f t="shared" ca="1" si="51"/>
        <v>0</v>
      </c>
      <c r="AB93" s="485">
        <f t="shared" ca="1" si="52"/>
        <v>0</v>
      </c>
      <c r="AC93" s="485">
        <f t="shared" ca="1" si="53"/>
        <v>0</v>
      </c>
      <c r="AD93" s="823"/>
      <c r="AE93" s="490">
        <f t="shared" ca="1" si="68"/>
        <v>0</v>
      </c>
      <c r="AF93" s="462">
        <f t="shared" ca="1" si="54"/>
        <v>0</v>
      </c>
      <c r="AG93" s="463">
        <f t="shared" ca="1" si="55"/>
        <v>0</v>
      </c>
      <c r="AH93" s="463">
        <f t="shared" ca="1" si="56"/>
        <v>0</v>
      </c>
      <c r="AI93" s="485">
        <f t="shared" ca="1" si="57"/>
        <v>0</v>
      </c>
      <c r="AJ93" s="485">
        <f t="shared" ca="1" si="58"/>
        <v>0</v>
      </c>
      <c r="AK93" s="823"/>
      <c r="AL93" s="490">
        <f t="shared" ca="1" si="69"/>
        <v>0</v>
      </c>
      <c r="AM93" s="462">
        <f t="shared" ca="1" si="59"/>
        <v>0</v>
      </c>
      <c r="AN93" s="463">
        <f t="shared" ca="1" si="60"/>
        <v>0</v>
      </c>
      <c r="AO93" s="463">
        <f t="shared" ca="1" si="61"/>
        <v>0</v>
      </c>
      <c r="AP93" s="485">
        <f t="shared" ca="1" si="62"/>
        <v>0</v>
      </c>
      <c r="AQ93" s="485">
        <f t="shared" ca="1" si="63"/>
        <v>0</v>
      </c>
      <c r="AR93" s="823"/>
      <c r="AS93" s="490">
        <f t="shared" ca="1" si="70"/>
        <v>0</v>
      </c>
      <c r="AT93" s="490">
        <f t="shared" ca="1" si="71"/>
        <v>0</v>
      </c>
    </row>
    <row r="94" spans="2:46" ht="17" thickBot="1">
      <c r="B94" s="466"/>
      <c r="C94" s="467" t="s">
        <v>97</v>
      </c>
      <c r="D94" s="468">
        <f ca="1">SUM(D64:D93)</f>
        <v>181818189.36000001</v>
      </c>
      <c r="E94" s="468">
        <f t="shared" ref="E94:AT94" ca="1" si="72">SUM(E64:E93)</f>
        <v>181063897.03999999</v>
      </c>
      <c r="F94" s="468">
        <f t="shared" ca="1" si="72"/>
        <v>180230184.63999999</v>
      </c>
      <c r="G94" s="468">
        <f t="shared" ca="1" si="72"/>
        <v>191006363.18247184</v>
      </c>
      <c r="H94" s="468">
        <f t="shared" ca="1" si="72"/>
        <v>191022243.87747186</v>
      </c>
      <c r="I94" s="468">
        <f t="shared" si="72"/>
        <v>0</v>
      </c>
      <c r="J94" s="468">
        <f t="shared" ca="1" si="72"/>
        <v>925140878.09994376</v>
      </c>
      <c r="K94" s="468">
        <f t="shared" ca="1" si="72"/>
        <v>30041261.554580003</v>
      </c>
      <c r="L94" s="468">
        <f t="shared" ca="1" si="72"/>
        <v>32120834.436999999</v>
      </c>
      <c r="M94" s="468">
        <f t="shared" ca="1" si="72"/>
        <v>34034934.106179997</v>
      </c>
      <c r="N94" s="468">
        <f t="shared" ca="1" si="72"/>
        <v>44250382.719919994</v>
      </c>
      <c r="O94" s="468">
        <f t="shared" ca="1" si="72"/>
        <v>47062962.1347</v>
      </c>
      <c r="P94" s="468">
        <f t="shared" si="72"/>
        <v>0</v>
      </c>
      <c r="Q94" s="468">
        <f t="shared" ca="1" si="72"/>
        <v>187510374.95237997</v>
      </c>
      <c r="R94" s="468">
        <f t="shared" ca="1" si="72"/>
        <v>485355.19</v>
      </c>
      <c r="S94" s="468">
        <f t="shared" ca="1" si="72"/>
        <v>541137.46</v>
      </c>
      <c r="T94" s="468">
        <f t="shared" ca="1" si="72"/>
        <v>593520.01</v>
      </c>
      <c r="U94" s="468">
        <f t="shared" ca="1" si="72"/>
        <v>810787.16999999993</v>
      </c>
      <c r="V94" s="468">
        <f t="shared" ca="1" si="72"/>
        <v>813234.92999999993</v>
      </c>
      <c r="W94" s="468">
        <f t="shared" si="72"/>
        <v>0</v>
      </c>
      <c r="X94" s="468">
        <f t="shared" ca="1" si="72"/>
        <v>3244034.76</v>
      </c>
      <c r="Y94" s="468">
        <f t="shared" ca="1" si="72"/>
        <v>54780138.637565508</v>
      </c>
      <c r="Z94" s="468">
        <f t="shared" ca="1" si="72"/>
        <v>56671006.391867436</v>
      </c>
      <c r="AA94" s="468">
        <f t="shared" ca="1" si="72"/>
        <v>55480565.79991328</v>
      </c>
      <c r="AB94" s="468">
        <f t="shared" ca="1" si="72"/>
        <v>-1.0512720014048682E-2</v>
      </c>
      <c r="AC94" s="468">
        <f t="shared" ca="1" si="72"/>
        <v>-8.000000030733645E-3</v>
      </c>
      <c r="AD94" s="468">
        <f t="shared" si="72"/>
        <v>0</v>
      </c>
      <c r="AE94" s="468">
        <f t="shared" ca="1" si="72"/>
        <v>166931710.81083345</v>
      </c>
      <c r="AF94" s="468">
        <f t="shared" ca="1" si="72"/>
        <v>2984862.4174200003</v>
      </c>
      <c r="AG94" s="468">
        <f t="shared" ca="1" si="72"/>
        <v>3125678.9321000003</v>
      </c>
      <c r="AH94" s="468">
        <f t="shared" ca="1" si="72"/>
        <v>3209322.5770800007</v>
      </c>
      <c r="AI94" s="468">
        <f t="shared" ca="1" si="72"/>
        <v>22152337.537599999</v>
      </c>
      <c r="AJ94" s="468">
        <f t="shared" ca="1" si="72"/>
        <v>22743774.549319994</v>
      </c>
      <c r="AK94" s="468">
        <f t="shared" si="72"/>
        <v>0</v>
      </c>
      <c r="AL94" s="468">
        <f t="shared" ca="1" si="72"/>
        <v>54215976.013520002</v>
      </c>
      <c r="AM94" s="468">
        <f t="shared" ca="1" si="72"/>
        <v>0</v>
      </c>
      <c r="AN94" s="468">
        <f t="shared" ca="1" si="72"/>
        <v>0</v>
      </c>
      <c r="AO94" s="468">
        <f t="shared" ca="1" si="72"/>
        <v>0</v>
      </c>
      <c r="AP94" s="468">
        <f t="shared" ca="1" si="72"/>
        <v>0</v>
      </c>
      <c r="AQ94" s="468">
        <f t="shared" ca="1" si="72"/>
        <v>0</v>
      </c>
      <c r="AR94" s="468">
        <f t="shared" si="72"/>
        <v>0</v>
      </c>
      <c r="AS94" s="468">
        <f t="shared" ca="1" si="72"/>
        <v>0</v>
      </c>
      <c r="AT94" s="468">
        <f t="shared" ca="1" si="72"/>
        <v>1337042974.636677</v>
      </c>
    </row>
    <row r="104" spans="4:8">
      <c r="D104" s="813">
        <f ca="1">D94+K94+R94+Y94+AF94+AM94</f>
        <v>270109807.15956557</v>
      </c>
      <c r="E104" s="813">
        <f t="shared" ref="E104:H104" ca="1" si="73">E94+L94+S94+Z94+AG94+AN94</f>
        <v>273522554.26096743</v>
      </c>
      <c r="F104" s="813">
        <f t="shared" ca="1" si="73"/>
        <v>273548527.13317329</v>
      </c>
      <c r="G104" s="813">
        <f t="shared" ca="1" si="73"/>
        <v>258219870.59947914</v>
      </c>
      <c r="H104" s="813">
        <f t="shared" ca="1" si="73"/>
        <v>261642215.48349187</v>
      </c>
    </row>
  </sheetData>
  <sheetProtection formatColumns="0" formatRows="0"/>
  <phoneticPr fontId="66" type="noConversion"/>
  <pageMargins left="0.7" right="0.7" top="0.75" bottom="0.75" header="0.3" footer="0.3"/>
</worksheet>
</file>

<file path=xl/worksheets/sheet4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dimension ref="A1:F1000"/>
  <sheetViews>
    <sheetView zoomScale="70" zoomScaleNormal="70" workbookViewId="0">
      <selection activeCell="B2" sqref="B2"/>
    </sheetView>
  </sheetViews>
  <sheetFormatPr baseColWidth="10" defaultColWidth="13.6640625" defaultRowHeight="15"/>
  <cols>
    <col min="1" max="1" width="4.5" bestFit="1" customWidth="1"/>
    <col min="2" max="2" width="65.33203125" bestFit="1" customWidth="1"/>
    <col min="3" max="3" width="49.1640625" bestFit="1" customWidth="1"/>
    <col min="4" max="4" width="50.83203125" bestFit="1" customWidth="1"/>
    <col min="5" max="5" width="65.33203125" bestFit="1" customWidth="1"/>
    <col min="6" max="6" width="5.33203125" bestFit="1" customWidth="1"/>
    <col min="7" max="26" width="10.5" customWidth="1"/>
  </cols>
  <sheetData>
    <row r="1" spans="1:6" ht="15.75" customHeight="1" thickBot="1">
      <c r="A1" s="1" t="s">
        <v>0</v>
      </c>
      <c r="B1" s="2" t="s">
        <v>1</v>
      </c>
      <c r="C1" s="3" t="s">
        <v>2</v>
      </c>
      <c r="D1" s="3" t="s">
        <v>3</v>
      </c>
      <c r="E1" s="2" t="s">
        <v>1</v>
      </c>
      <c r="F1" s="2" t="s">
        <v>4</v>
      </c>
    </row>
    <row r="2" spans="1:6" ht="15.75" customHeight="1">
      <c r="A2" s="4">
        <v>1</v>
      </c>
      <c r="B2" s="5" t="s">
        <v>5</v>
      </c>
      <c r="C2" s="5" t="s">
        <v>5</v>
      </c>
      <c r="D2" s="5" t="s">
        <v>6</v>
      </c>
      <c r="E2" s="5" t="s">
        <v>5</v>
      </c>
      <c r="F2" s="5" t="s">
        <v>7</v>
      </c>
    </row>
    <row r="3" spans="1:6" ht="15.75" customHeight="1">
      <c r="A3" s="4">
        <v>1.1000000000000001</v>
      </c>
      <c r="B3" s="6" t="s">
        <v>8</v>
      </c>
      <c r="C3" s="6" t="s">
        <v>5</v>
      </c>
      <c r="D3" s="6" t="s">
        <v>6</v>
      </c>
      <c r="E3" s="6" t="s">
        <v>8</v>
      </c>
      <c r="F3" s="6" t="s">
        <v>7</v>
      </c>
    </row>
    <row r="4" spans="1:6" ht="15.75" customHeight="1">
      <c r="A4" s="4">
        <v>1.2</v>
      </c>
      <c r="B4" s="7" t="s">
        <v>9</v>
      </c>
      <c r="C4" s="7" t="s">
        <v>5</v>
      </c>
      <c r="D4" s="7" t="s">
        <v>10</v>
      </c>
      <c r="E4" s="7" t="s">
        <v>9</v>
      </c>
      <c r="F4" s="7" t="s">
        <v>7</v>
      </c>
    </row>
    <row r="5" spans="1:6" ht="15.75" customHeight="1">
      <c r="A5" s="4">
        <v>1.3</v>
      </c>
      <c r="B5" s="7" t="s">
        <v>11</v>
      </c>
      <c r="C5" s="7" t="s">
        <v>5</v>
      </c>
      <c r="D5" s="7" t="s">
        <v>10</v>
      </c>
      <c r="E5" s="7" t="s">
        <v>11</v>
      </c>
      <c r="F5" s="7" t="s">
        <v>7</v>
      </c>
    </row>
    <row r="6" spans="1:6" ht="15.75" customHeight="1">
      <c r="A6" s="4">
        <v>1.4</v>
      </c>
      <c r="B6" s="7" t="s">
        <v>12</v>
      </c>
      <c r="C6" s="7" t="s">
        <v>5</v>
      </c>
      <c r="D6" s="6" t="s">
        <v>6</v>
      </c>
      <c r="E6" s="7" t="s">
        <v>12</v>
      </c>
      <c r="F6" s="7" t="s">
        <v>7</v>
      </c>
    </row>
    <row r="7" spans="1:6" ht="15.75" customHeight="1">
      <c r="A7" s="4">
        <v>2</v>
      </c>
      <c r="B7" s="8" t="s">
        <v>13</v>
      </c>
      <c r="C7" s="8" t="s">
        <v>14</v>
      </c>
      <c r="D7" s="8" t="s">
        <v>10</v>
      </c>
      <c r="E7" s="8" t="s">
        <v>14</v>
      </c>
      <c r="F7" s="8" t="s">
        <v>7</v>
      </c>
    </row>
    <row r="8" spans="1:6" ht="15.75" customHeight="1">
      <c r="A8" s="4">
        <v>2.1</v>
      </c>
      <c r="B8" s="9" t="s">
        <v>15</v>
      </c>
      <c r="C8" s="9" t="s">
        <v>14</v>
      </c>
      <c r="D8" s="9" t="s">
        <v>10</v>
      </c>
      <c r="E8" s="9" t="s">
        <v>15</v>
      </c>
      <c r="F8" s="9" t="s">
        <v>7</v>
      </c>
    </row>
    <row r="9" spans="1:6" ht="15.75" customHeight="1">
      <c r="A9" s="4">
        <v>2.2000000000000002</v>
      </c>
      <c r="B9" s="9" t="s">
        <v>16</v>
      </c>
      <c r="C9" s="9" t="s">
        <v>14</v>
      </c>
      <c r="D9" s="9" t="s">
        <v>10</v>
      </c>
      <c r="E9" s="9" t="s">
        <v>16</v>
      </c>
      <c r="F9" s="9" t="s">
        <v>7</v>
      </c>
    </row>
    <row r="10" spans="1:6" ht="15.75" customHeight="1">
      <c r="A10" s="4">
        <v>2.2999999999999998</v>
      </c>
      <c r="B10" s="9" t="s">
        <v>17</v>
      </c>
      <c r="C10" s="9" t="s">
        <v>14</v>
      </c>
      <c r="D10" s="9" t="s">
        <v>10</v>
      </c>
      <c r="E10" s="9" t="s">
        <v>17</v>
      </c>
      <c r="F10" s="9" t="s">
        <v>7</v>
      </c>
    </row>
    <row r="11" spans="1:6" ht="15.75" customHeight="1">
      <c r="A11" s="4">
        <v>2.4</v>
      </c>
      <c r="B11" s="9" t="s">
        <v>18</v>
      </c>
      <c r="C11" s="9" t="s">
        <v>14</v>
      </c>
      <c r="D11" s="9" t="s">
        <v>6</v>
      </c>
      <c r="E11" s="9" t="s">
        <v>19</v>
      </c>
      <c r="F11" s="9" t="s">
        <v>7</v>
      </c>
    </row>
    <row r="12" spans="1:6" ht="15.75" customHeight="1">
      <c r="A12" s="4">
        <v>2.5</v>
      </c>
      <c r="B12" s="9" t="s">
        <v>20</v>
      </c>
      <c r="C12" s="9" t="s">
        <v>14</v>
      </c>
      <c r="D12" s="9" t="s">
        <v>10</v>
      </c>
      <c r="E12" s="9" t="s">
        <v>20</v>
      </c>
      <c r="F12" s="9" t="s">
        <v>7</v>
      </c>
    </row>
    <row r="13" spans="1:6" ht="15.75" customHeight="1">
      <c r="A13" s="4">
        <v>3</v>
      </c>
      <c r="B13" s="10" t="s">
        <v>21</v>
      </c>
      <c r="C13" s="10" t="s">
        <v>21</v>
      </c>
      <c r="D13" s="10" t="s">
        <v>10</v>
      </c>
      <c r="E13" s="10" t="s">
        <v>21</v>
      </c>
      <c r="F13" s="10" t="s">
        <v>7</v>
      </c>
    </row>
    <row r="14" spans="1:6" ht="15.75" customHeight="1">
      <c r="A14" s="4">
        <v>3.1</v>
      </c>
      <c r="B14" s="7" t="s">
        <v>22</v>
      </c>
      <c r="C14" s="7" t="s">
        <v>21</v>
      </c>
      <c r="D14" s="7" t="s">
        <v>10</v>
      </c>
      <c r="E14" s="7" t="s">
        <v>22</v>
      </c>
      <c r="F14" s="7" t="s">
        <v>7</v>
      </c>
    </row>
    <row r="15" spans="1:6" ht="15.75" customHeight="1">
      <c r="A15" s="4">
        <v>3.2</v>
      </c>
      <c r="B15" s="11" t="s">
        <v>23</v>
      </c>
      <c r="C15" s="7" t="s">
        <v>21</v>
      </c>
      <c r="D15" s="11" t="s">
        <v>10</v>
      </c>
      <c r="E15" s="11" t="s">
        <v>23</v>
      </c>
      <c r="F15" s="11" t="s">
        <v>7</v>
      </c>
    </row>
    <row r="16" spans="1:6" ht="15.75" customHeight="1">
      <c r="A16" s="4">
        <v>3.3</v>
      </c>
      <c r="B16" s="11" t="s">
        <v>24</v>
      </c>
      <c r="C16" s="7" t="s">
        <v>21</v>
      </c>
      <c r="D16" s="11" t="s">
        <v>6</v>
      </c>
      <c r="E16" s="11" t="s">
        <v>24</v>
      </c>
      <c r="F16" s="11" t="s">
        <v>7</v>
      </c>
    </row>
    <row r="17" spans="1:6" ht="15.75" customHeight="1">
      <c r="A17" s="4">
        <v>3.4</v>
      </c>
      <c r="B17" s="7" t="s">
        <v>25</v>
      </c>
      <c r="C17" s="7" t="s">
        <v>21</v>
      </c>
      <c r="D17" s="7" t="s">
        <v>10</v>
      </c>
      <c r="E17" s="7" t="s">
        <v>25</v>
      </c>
      <c r="F17" s="7" t="s">
        <v>7</v>
      </c>
    </row>
    <row r="18" spans="1:6" ht="15.75" customHeight="1">
      <c r="A18" s="4">
        <v>3.5</v>
      </c>
      <c r="B18" s="12" t="s">
        <v>26</v>
      </c>
      <c r="C18" s="7" t="s">
        <v>21</v>
      </c>
      <c r="D18" s="7" t="s">
        <v>10</v>
      </c>
      <c r="E18" s="12" t="s">
        <v>26</v>
      </c>
      <c r="F18" s="12" t="s">
        <v>7</v>
      </c>
    </row>
    <row r="19" spans="1:6" ht="15.75" customHeight="1">
      <c r="A19" s="4">
        <v>4</v>
      </c>
      <c r="B19" s="8" t="s">
        <v>27</v>
      </c>
      <c r="C19" s="8" t="s">
        <v>27</v>
      </c>
      <c r="D19" s="8" t="s">
        <v>10</v>
      </c>
      <c r="E19" s="8" t="s">
        <v>27</v>
      </c>
      <c r="F19" s="8" t="s">
        <v>28</v>
      </c>
    </row>
    <row r="20" spans="1:6" ht="15.75" customHeight="1">
      <c r="A20" s="4">
        <v>4.0999999999999996</v>
      </c>
      <c r="B20" s="9" t="s">
        <v>29</v>
      </c>
      <c r="C20" s="9" t="s">
        <v>27</v>
      </c>
      <c r="D20" s="9" t="s">
        <v>10</v>
      </c>
      <c r="E20" s="9" t="s">
        <v>29</v>
      </c>
      <c r="F20" s="8" t="s">
        <v>28</v>
      </c>
    </row>
    <row r="21" spans="1:6" ht="15.75" customHeight="1">
      <c r="A21" s="4">
        <v>4.2</v>
      </c>
      <c r="B21" s="9" t="s">
        <v>30</v>
      </c>
      <c r="C21" s="9" t="s">
        <v>27</v>
      </c>
      <c r="D21" s="9" t="s">
        <v>10</v>
      </c>
      <c r="E21" s="9" t="s">
        <v>30</v>
      </c>
      <c r="F21" s="8" t="s">
        <v>28</v>
      </c>
    </row>
    <row r="22" spans="1:6" ht="15.75" customHeight="1">
      <c r="A22" s="4">
        <v>4.3</v>
      </c>
      <c r="B22" s="9" t="s">
        <v>31</v>
      </c>
      <c r="C22" s="9" t="s">
        <v>27</v>
      </c>
      <c r="D22" s="9" t="s">
        <v>10</v>
      </c>
      <c r="E22" s="9" t="s">
        <v>31</v>
      </c>
      <c r="F22" s="8" t="s">
        <v>28</v>
      </c>
    </row>
    <row r="23" spans="1:6" ht="15.75" customHeight="1">
      <c r="A23" s="4">
        <v>4.4000000000000004</v>
      </c>
      <c r="B23" s="9" t="s">
        <v>32</v>
      </c>
      <c r="C23" s="9" t="s">
        <v>27</v>
      </c>
      <c r="D23" s="9" t="s">
        <v>10</v>
      </c>
      <c r="E23" s="9" t="s">
        <v>32</v>
      </c>
      <c r="F23" s="8" t="s">
        <v>28</v>
      </c>
    </row>
    <row r="24" spans="1:6" ht="15.75" customHeight="1">
      <c r="A24" s="4">
        <v>4.5</v>
      </c>
      <c r="B24" s="9" t="s">
        <v>33</v>
      </c>
      <c r="C24" s="9" t="s">
        <v>27</v>
      </c>
      <c r="D24" s="9" t="s">
        <v>10</v>
      </c>
      <c r="E24" s="9" t="s">
        <v>33</v>
      </c>
      <c r="F24" s="8" t="s">
        <v>28</v>
      </c>
    </row>
    <row r="25" spans="1:6" ht="15.75" customHeight="1">
      <c r="A25" s="4">
        <v>4.5999999999999996</v>
      </c>
      <c r="B25" s="9" t="s">
        <v>34</v>
      </c>
      <c r="C25" s="9" t="s">
        <v>27</v>
      </c>
      <c r="D25" s="9" t="s">
        <v>10</v>
      </c>
      <c r="E25" s="9" t="s">
        <v>34</v>
      </c>
      <c r="F25" s="8" t="s">
        <v>28</v>
      </c>
    </row>
    <row r="26" spans="1:6" ht="15.75" customHeight="1">
      <c r="A26" s="4">
        <v>4.7</v>
      </c>
      <c r="B26" s="9" t="s">
        <v>35</v>
      </c>
      <c r="C26" s="9" t="s">
        <v>27</v>
      </c>
      <c r="D26" s="9" t="s">
        <v>10</v>
      </c>
      <c r="E26" s="9" t="s">
        <v>35</v>
      </c>
      <c r="F26" s="8" t="s">
        <v>28</v>
      </c>
    </row>
    <row r="27" spans="1:6" ht="15.75" customHeight="1">
      <c r="A27" s="4">
        <v>5</v>
      </c>
      <c r="B27" s="10" t="s">
        <v>36</v>
      </c>
      <c r="C27" s="10" t="s">
        <v>36</v>
      </c>
      <c r="D27" s="10" t="s">
        <v>10</v>
      </c>
      <c r="E27" s="10" t="s">
        <v>36</v>
      </c>
      <c r="F27" s="8" t="s">
        <v>28</v>
      </c>
    </row>
    <row r="28" spans="1:6" ht="15.75" customHeight="1">
      <c r="A28" s="4">
        <v>5.0999999999999996</v>
      </c>
      <c r="B28" s="7" t="s">
        <v>37</v>
      </c>
      <c r="C28" s="7" t="s">
        <v>36</v>
      </c>
      <c r="D28" s="7" t="s">
        <v>10</v>
      </c>
      <c r="E28" s="7" t="s">
        <v>37</v>
      </c>
      <c r="F28" s="8" t="s">
        <v>28</v>
      </c>
    </row>
    <row r="29" spans="1:6" ht="15.75" customHeight="1">
      <c r="A29" s="4">
        <v>5.2</v>
      </c>
      <c r="B29" s="7" t="s">
        <v>38</v>
      </c>
      <c r="C29" s="7" t="s">
        <v>36</v>
      </c>
      <c r="D29" s="7" t="s">
        <v>10</v>
      </c>
      <c r="E29" s="7" t="s">
        <v>38</v>
      </c>
      <c r="F29" s="8" t="s">
        <v>28</v>
      </c>
    </row>
    <row r="30" spans="1:6" ht="15.75" customHeight="1">
      <c r="A30" s="4">
        <v>5.3</v>
      </c>
      <c r="B30" s="7" t="s">
        <v>39</v>
      </c>
      <c r="C30" s="7" t="s">
        <v>36</v>
      </c>
      <c r="D30" s="7" t="s">
        <v>10</v>
      </c>
      <c r="E30" s="7" t="s">
        <v>39</v>
      </c>
      <c r="F30" s="8" t="s">
        <v>28</v>
      </c>
    </row>
    <row r="31" spans="1:6" ht="15.75" customHeight="1">
      <c r="A31" s="4">
        <v>5.4</v>
      </c>
      <c r="B31" s="7" t="s">
        <v>40</v>
      </c>
      <c r="C31" s="7" t="s">
        <v>36</v>
      </c>
      <c r="D31" s="7" t="s">
        <v>10</v>
      </c>
      <c r="E31" s="7" t="s">
        <v>40</v>
      </c>
      <c r="F31" s="8" t="s">
        <v>28</v>
      </c>
    </row>
    <row r="32" spans="1:6" ht="15.75" customHeight="1">
      <c r="A32" s="4">
        <v>5.5</v>
      </c>
      <c r="B32" s="7" t="s">
        <v>41</v>
      </c>
      <c r="C32" s="7" t="s">
        <v>36</v>
      </c>
      <c r="D32" s="7" t="s">
        <v>10</v>
      </c>
      <c r="E32" s="7" t="s">
        <v>41</v>
      </c>
      <c r="F32" s="8" t="s">
        <v>28</v>
      </c>
    </row>
    <row r="33" spans="1:6" ht="15.75" customHeight="1">
      <c r="A33" s="4">
        <v>5.6</v>
      </c>
      <c r="B33" s="7" t="s">
        <v>42</v>
      </c>
      <c r="C33" s="7" t="s">
        <v>36</v>
      </c>
      <c r="D33" s="7" t="s">
        <v>10</v>
      </c>
      <c r="E33" s="7" t="s">
        <v>42</v>
      </c>
      <c r="F33" s="8" t="s">
        <v>28</v>
      </c>
    </row>
    <row r="34" spans="1:6" ht="15.75" customHeight="1">
      <c r="A34" s="4">
        <v>5.7</v>
      </c>
      <c r="B34" s="7" t="s">
        <v>43</v>
      </c>
      <c r="C34" s="7" t="s">
        <v>36</v>
      </c>
      <c r="D34" s="7" t="s">
        <v>10</v>
      </c>
      <c r="E34" s="7" t="s">
        <v>43</v>
      </c>
      <c r="F34" s="8" t="s">
        <v>28</v>
      </c>
    </row>
    <row r="35" spans="1:6" ht="15.75" customHeight="1">
      <c r="A35" s="4">
        <v>5.8</v>
      </c>
      <c r="B35" s="7" t="s">
        <v>44</v>
      </c>
      <c r="C35" s="7" t="s">
        <v>36</v>
      </c>
      <c r="D35" s="7" t="s">
        <v>10</v>
      </c>
      <c r="E35" s="7" t="s">
        <v>44</v>
      </c>
      <c r="F35" s="8" t="s">
        <v>28</v>
      </c>
    </row>
    <row r="36" spans="1:6" ht="15.75" customHeight="1">
      <c r="A36" s="4">
        <v>5.9</v>
      </c>
      <c r="B36" s="12" t="s">
        <v>45</v>
      </c>
      <c r="C36" s="7" t="s">
        <v>36</v>
      </c>
      <c r="D36" s="7" t="s">
        <v>10</v>
      </c>
      <c r="E36" s="12" t="s">
        <v>45</v>
      </c>
      <c r="F36" s="8" t="s">
        <v>28</v>
      </c>
    </row>
    <row r="37" spans="1:6" ht="15.75" customHeight="1">
      <c r="A37" s="4">
        <v>6</v>
      </c>
      <c r="B37" s="8" t="s">
        <v>46</v>
      </c>
      <c r="C37" s="8" t="s">
        <v>46</v>
      </c>
      <c r="D37" s="8" t="s">
        <v>10</v>
      </c>
      <c r="E37" s="8" t="s">
        <v>46</v>
      </c>
      <c r="F37" s="8" t="s">
        <v>28</v>
      </c>
    </row>
    <row r="38" spans="1:6" ht="15.75" customHeight="1">
      <c r="A38" s="4">
        <v>6.1</v>
      </c>
      <c r="B38" s="9" t="s">
        <v>47</v>
      </c>
      <c r="C38" s="9" t="s">
        <v>46</v>
      </c>
      <c r="D38" s="9" t="s">
        <v>10</v>
      </c>
      <c r="E38" s="9" t="s">
        <v>47</v>
      </c>
      <c r="F38" s="8" t="s">
        <v>28</v>
      </c>
    </row>
    <row r="39" spans="1:6" ht="15.75" customHeight="1">
      <c r="A39" s="4">
        <v>6.2</v>
      </c>
      <c r="B39" s="9" t="s">
        <v>48</v>
      </c>
      <c r="C39" s="9" t="s">
        <v>46</v>
      </c>
      <c r="D39" s="9" t="s">
        <v>10</v>
      </c>
      <c r="E39" s="9" t="s">
        <v>48</v>
      </c>
      <c r="F39" s="8" t="s">
        <v>28</v>
      </c>
    </row>
    <row r="40" spans="1:6" ht="15.75" customHeight="1">
      <c r="A40" s="4">
        <v>6.3</v>
      </c>
      <c r="B40" s="9" t="s">
        <v>49</v>
      </c>
      <c r="C40" s="9" t="s">
        <v>46</v>
      </c>
      <c r="D40" s="9" t="s">
        <v>10</v>
      </c>
      <c r="E40" s="9" t="s">
        <v>49</v>
      </c>
      <c r="F40" s="8" t="s">
        <v>28</v>
      </c>
    </row>
    <row r="41" spans="1:6" ht="15.75" customHeight="1">
      <c r="A41" s="4">
        <v>6.4</v>
      </c>
      <c r="B41" s="9" t="s">
        <v>50</v>
      </c>
      <c r="C41" s="9" t="s">
        <v>46</v>
      </c>
      <c r="D41" s="9" t="s">
        <v>10</v>
      </c>
      <c r="E41" s="9" t="s">
        <v>50</v>
      </c>
      <c r="F41" s="8" t="s">
        <v>28</v>
      </c>
    </row>
    <row r="42" spans="1:6" ht="15.75" customHeight="1">
      <c r="A42" s="4">
        <v>6.5</v>
      </c>
      <c r="B42" s="9" t="s">
        <v>51</v>
      </c>
      <c r="C42" s="9" t="s">
        <v>46</v>
      </c>
      <c r="D42" s="9" t="s">
        <v>10</v>
      </c>
      <c r="E42" s="9" t="s">
        <v>51</v>
      </c>
      <c r="F42" s="8" t="s">
        <v>28</v>
      </c>
    </row>
    <row r="43" spans="1:6" ht="15.75" customHeight="1">
      <c r="A43" s="4">
        <v>6.6</v>
      </c>
      <c r="B43" s="9" t="s">
        <v>52</v>
      </c>
      <c r="C43" s="9" t="s">
        <v>46</v>
      </c>
      <c r="D43" s="9" t="s">
        <v>10</v>
      </c>
      <c r="E43" s="9" t="s">
        <v>52</v>
      </c>
      <c r="F43" s="8" t="s">
        <v>28</v>
      </c>
    </row>
    <row r="44" spans="1:6" ht="15.75" customHeight="1">
      <c r="A44" s="4">
        <v>7</v>
      </c>
      <c r="B44" s="10" t="s">
        <v>53</v>
      </c>
      <c r="C44" s="10" t="s">
        <v>53</v>
      </c>
      <c r="D44" s="10" t="s">
        <v>10</v>
      </c>
      <c r="E44" s="10" t="s">
        <v>53</v>
      </c>
      <c r="F44" s="8" t="s">
        <v>28</v>
      </c>
    </row>
    <row r="45" spans="1:6" ht="15.75" customHeight="1">
      <c r="A45" s="4">
        <v>7.1</v>
      </c>
      <c r="B45" s="7" t="s">
        <v>54</v>
      </c>
      <c r="C45" s="7" t="s">
        <v>53</v>
      </c>
      <c r="D45" s="7" t="s">
        <v>10</v>
      </c>
      <c r="E45" s="7" t="s">
        <v>54</v>
      </c>
      <c r="F45" s="8" t="s">
        <v>28</v>
      </c>
    </row>
    <row r="46" spans="1:6" ht="15.75" customHeight="1">
      <c r="A46" s="4">
        <v>7.2</v>
      </c>
      <c r="B46" s="7" t="s">
        <v>55</v>
      </c>
      <c r="C46" s="7" t="s">
        <v>53</v>
      </c>
      <c r="D46" s="7" t="s">
        <v>10</v>
      </c>
      <c r="E46" s="7" t="s">
        <v>55</v>
      </c>
      <c r="F46" s="8" t="s">
        <v>28</v>
      </c>
    </row>
    <row r="47" spans="1:6" ht="15.75" customHeight="1">
      <c r="A47" s="4">
        <v>7.3</v>
      </c>
      <c r="B47" s="7" t="s">
        <v>56</v>
      </c>
      <c r="C47" s="7" t="s">
        <v>53</v>
      </c>
      <c r="D47" s="7" t="s">
        <v>10</v>
      </c>
      <c r="E47" s="7" t="s">
        <v>56</v>
      </c>
      <c r="F47" s="8" t="s">
        <v>28</v>
      </c>
    </row>
    <row r="48" spans="1:6" ht="15.75" customHeight="1">
      <c r="A48" s="4">
        <v>7.4</v>
      </c>
      <c r="B48" s="7" t="s">
        <v>57</v>
      </c>
      <c r="C48" s="7" t="s">
        <v>53</v>
      </c>
      <c r="D48" s="7" t="s">
        <v>10</v>
      </c>
      <c r="E48" s="7" t="s">
        <v>57</v>
      </c>
      <c r="F48" s="8" t="s">
        <v>28</v>
      </c>
    </row>
    <row r="49" spans="1:6" ht="15.75" customHeight="1">
      <c r="A49" s="4">
        <v>7.5</v>
      </c>
      <c r="B49" s="7" t="s">
        <v>58</v>
      </c>
      <c r="C49" s="7" t="s">
        <v>53</v>
      </c>
      <c r="D49" s="7" t="s">
        <v>10</v>
      </c>
      <c r="E49" s="7" t="s">
        <v>58</v>
      </c>
      <c r="F49" s="8" t="s">
        <v>28</v>
      </c>
    </row>
    <row r="50" spans="1:6" ht="15.75" customHeight="1">
      <c r="A50" s="4">
        <v>7.6</v>
      </c>
      <c r="B50" s="7" t="s">
        <v>59</v>
      </c>
      <c r="C50" s="7" t="s">
        <v>53</v>
      </c>
      <c r="D50" s="7" t="s">
        <v>10</v>
      </c>
      <c r="E50" s="7" t="s">
        <v>59</v>
      </c>
      <c r="F50" s="8" t="s">
        <v>28</v>
      </c>
    </row>
    <row r="51" spans="1:6" ht="15.75" customHeight="1">
      <c r="A51" s="4">
        <v>7.7</v>
      </c>
      <c r="B51" s="7" t="s">
        <v>60</v>
      </c>
      <c r="C51" s="7" t="s">
        <v>53</v>
      </c>
      <c r="D51" s="7" t="s">
        <v>10</v>
      </c>
      <c r="E51" s="7" t="s">
        <v>60</v>
      </c>
      <c r="F51" s="8" t="s">
        <v>28</v>
      </c>
    </row>
    <row r="52" spans="1:6" ht="15.75" customHeight="1">
      <c r="A52" s="4">
        <v>8</v>
      </c>
      <c r="B52" s="8" t="s">
        <v>61</v>
      </c>
      <c r="C52" s="8" t="s">
        <v>61</v>
      </c>
      <c r="D52" s="8" t="s">
        <v>6</v>
      </c>
      <c r="E52" s="8" t="s">
        <v>61</v>
      </c>
      <c r="F52" s="8" t="s">
        <v>7</v>
      </c>
    </row>
    <row r="53" spans="1:6" ht="15.75" customHeight="1">
      <c r="A53" s="4">
        <v>8.1</v>
      </c>
      <c r="B53" s="9" t="s">
        <v>62</v>
      </c>
      <c r="C53" s="9" t="s">
        <v>61</v>
      </c>
      <c r="D53" s="9" t="s">
        <v>6</v>
      </c>
      <c r="E53" s="9" t="s">
        <v>62</v>
      </c>
      <c r="F53" s="9" t="s">
        <v>7</v>
      </c>
    </row>
    <row r="54" spans="1:6" ht="15.75" customHeight="1">
      <c r="A54" s="4">
        <v>8.1999999999999993</v>
      </c>
      <c r="B54" s="9" t="s">
        <v>63</v>
      </c>
      <c r="C54" s="9" t="s">
        <v>61</v>
      </c>
      <c r="D54" s="9" t="s">
        <v>10</v>
      </c>
      <c r="E54" s="9" t="s">
        <v>63</v>
      </c>
      <c r="F54" s="9" t="s">
        <v>7</v>
      </c>
    </row>
    <row r="55" spans="1:6" ht="15.75" customHeight="1">
      <c r="A55" s="4">
        <v>8.3000000000000007</v>
      </c>
      <c r="B55" s="9" t="s">
        <v>64</v>
      </c>
      <c r="C55" s="9" t="s">
        <v>61</v>
      </c>
      <c r="D55" s="9" t="s">
        <v>6</v>
      </c>
      <c r="E55" s="9" t="s">
        <v>64</v>
      </c>
      <c r="F55" s="9" t="s">
        <v>7</v>
      </c>
    </row>
    <row r="56" spans="1:6" ht="15.75" customHeight="1">
      <c r="A56" s="4">
        <v>9</v>
      </c>
      <c r="B56" s="10" t="s">
        <v>65</v>
      </c>
      <c r="C56" s="10" t="s">
        <v>66</v>
      </c>
      <c r="D56" s="10" t="s">
        <v>6</v>
      </c>
      <c r="E56" s="10" t="s">
        <v>66</v>
      </c>
      <c r="F56" s="10" t="s">
        <v>7</v>
      </c>
    </row>
    <row r="57" spans="1:6" ht="15.75" customHeight="1">
      <c r="A57" s="4">
        <v>9.1</v>
      </c>
      <c r="B57" s="7" t="s">
        <v>67</v>
      </c>
      <c r="C57" s="7" t="s">
        <v>66</v>
      </c>
      <c r="D57" s="7" t="s">
        <v>6</v>
      </c>
      <c r="E57" s="7" t="s">
        <v>67</v>
      </c>
      <c r="F57" s="7" t="s">
        <v>7</v>
      </c>
    </row>
    <row r="58" spans="1:6" ht="15.75" customHeight="1">
      <c r="A58" s="4">
        <v>9.1999999999999993</v>
      </c>
      <c r="B58" s="7" t="s">
        <v>68</v>
      </c>
      <c r="C58" s="7" t="s">
        <v>66</v>
      </c>
      <c r="D58" s="7" t="s">
        <v>10</v>
      </c>
      <c r="E58" s="7" t="s">
        <v>68</v>
      </c>
      <c r="F58" s="7" t="s">
        <v>7</v>
      </c>
    </row>
    <row r="59" spans="1:6" ht="15.75" customHeight="1">
      <c r="A59" s="4">
        <v>9.3000000000000007</v>
      </c>
      <c r="B59" s="7" t="s">
        <v>69</v>
      </c>
      <c r="C59" s="7" t="s">
        <v>66</v>
      </c>
      <c r="D59" s="7" t="s">
        <v>6</v>
      </c>
      <c r="E59" s="7" t="s">
        <v>70</v>
      </c>
      <c r="F59" s="7" t="s">
        <v>7</v>
      </c>
    </row>
    <row r="60" spans="1:6" ht="15.75" customHeight="1">
      <c r="A60" s="4">
        <v>9.4</v>
      </c>
      <c r="B60" s="7" t="s">
        <v>71</v>
      </c>
      <c r="C60" s="7" t="s">
        <v>66</v>
      </c>
      <c r="D60" s="7" t="s">
        <v>6</v>
      </c>
      <c r="E60" s="7" t="s">
        <v>72</v>
      </c>
      <c r="F60" s="7" t="s">
        <v>7</v>
      </c>
    </row>
    <row r="61" spans="1:6" ht="15.75" customHeight="1">
      <c r="A61" s="4">
        <v>10</v>
      </c>
      <c r="B61" s="8" t="s">
        <v>73</v>
      </c>
      <c r="C61" s="8" t="s">
        <v>73</v>
      </c>
      <c r="D61" s="8" t="s">
        <v>10</v>
      </c>
      <c r="E61" s="8" t="s">
        <v>73</v>
      </c>
      <c r="F61" s="8" t="s">
        <v>7</v>
      </c>
    </row>
    <row r="62" spans="1:6" ht="15.75" customHeight="1">
      <c r="A62" s="4">
        <v>10.1</v>
      </c>
      <c r="B62" s="9" t="s">
        <v>74</v>
      </c>
      <c r="C62" s="9" t="s">
        <v>73</v>
      </c>
      <c r="D62" s="9" t="s">
        <v>10</v>
      </c>
      <c r="E62" s="9" t="s">
        <v>75</v>
      </c>
      <c r="F62" s="9" t="s">
        <v>7</v>
      </c>
    </row>
    <row r="63" spans="1:6" ht="15.75" customHeight="1">
      <c r="A63" s="4">
        <v>10.199999999999999</v>
      </c>
      <c r="B63" s="9" t="s">
        <v>76</v>
      </c>
      <c r="C63" s="9" t="s">
        <v>73</v>
      </c>
      <c r="D63" s="9" t="s">
        <v>10</v>
      </c>
      <c r="E63" s="9" t="s">
        <v>76</v>
      </c>
      <c r="F63" s="9" t="s">
        <v>7</v>
      </c>
    </row>
    <row r="64" spans="1:6" ht="15.75" customHeight="1">
      <c r="A64" s="4">
        <v>10.3</v>
      </c>
      <c r="B64" s="9" t="s">
        <v>77</v>
      </c>
      <c r="C64" s="9" t="s">
        <v>73</v>
      </c>
      <c r="D64" s="9" t="s">
        <v>10</v>
      </c>
      <c r="E64" s="9" t="s">
        <v>78</v>
      </c>
      <c r="F64" s="9" t="s">
        <v>7</v>
      </c>
    </row>
    <row r="65" spans="1:6" ht="15.75" customHeight="1">
      <c r="A65" s="4">
        <v>11</v>
      </c>
      <c r="B65" s="10" t="s">
        <v>79</v>
      </c>
      <c r="C65" s="10" t="s">
        <v>79</v>
      </c>
      <c r="D65" s="10" t="s">
        <v>6</v>
      </c>
      <c r="E65" s="10" t="s">
        <v>79</v>
      </c>
      <c r="F65" s="10" t="s">
        <v>7</v>
      </c>
    </row>
    <row r="66" spans="1:6" ht="15.75" customHeight="1">
      <c r="A66" s="4">
        <v>11.1</v>
      </c>
      <c r="B66" s="7" t="s">
        <v>80</v>
      </c>
      <c r="C66" s="7" t="s">
        <v>79</v>
      </c>
      <c r="D66" s="7" t="s">
        <v>6</v>
      </c>
      <c r="E66" s="7" t="s">
        <v>80</v>
      </c>
      <c r="F66" s="7" t="s">
        <v>7</v>
      </c>
    </row>
    <row r="67" spans="1:6" ht="15.75" customHeight="1">
      <c r="A67" s="4">
        <v>11.2</v>
      </c>
      <c r="B67" s="7" t="s">
        <v>81</v>
      </c>
      <c r="C67" s="7" t="s">
        <v>79</v>
      </c>
      <c r="D67" s="7" t="s">
        <v>6</v>
      </c>
      <c r="E67" s="7" t="s">
        <v>81</v>
      </c>
      <c r="F67" s="7" t="s">
        <v>7</v>
      </c>
    </row>
    <row r="68" spans="1:6" ht="15.75" customHeight="1">
      <c r="A68" s="4">
        <v>11.3</v>
      </c>
      <c r="B68" s="7" t="s">
        <v>82</v>
      </c>
      <c r="C68" s="7" t="s">
        <v>79</v>
      </c>
      <c r="D68" s="7" t="s">
        <v>6</v>
      </c>
      <c r="E68" s="7" t="s">
        <v>82</v>
      </c>
      <c r="F68" s="7" t="s">
        <v>7</v>
      </c>
    </row>
    <row r="69" spans="1:6" ht="15.75" customHeight="1">
      <c r="A69" s="4">
        <v>11.4</v>
      </c>
      <c r="B69" s="7" t="s">
        <v>83</v>
      </c>
      <c r="C69" s="7" t="s">
        <v>79</v>
      </c>
      <c r="D69" s="7" t="s">
        <v>6</v>
      </c>
      <c r="E69" s="7" t="s">
        <v>83</v>
      </c>
      <c r="F69" s="7" t="s">
        <v>7</v>
      </c>
    </row>
    <row r="70" spans="1:6" ht="15.75" customHeight="1">
      <c r="A70" s="4">
        <v>12</v>
      </c>
      <c r="B70" s="8" t="s">
        <v>84</v>
      </c>
      <c r="C70" s="8" t="s">
        <v>84</v>
      </c>
      <c r="D70" s="8" t="s">
        <v>10</v>
      </c>
      <c r="E70" s="8" t="s">
        <v>84</v>
      </c>
      <c r="F70" s="8" t="s">
        <v>7</v>
      </c>
    </row>
    <row r="71" spans="1:6" ht="15.75" customHeight="1">
      <c r="A71" s="4">
        <v>12.1</v>
      </c>
      <c r="B71" s="9" t="s">
        <v>85</v>
      </c>
      <c r="C71" s="9" t="s">
        <v>84</v>
      </c>
      <c r="D71" s="9" t="s">
        <v>10</v>
      </c>
      <c r="E71" s="9" t="s">
        <v>85</v>
      </c>
      <c r="F71" s="9" t="s">
        <v>7</v>
      </c>
    </row>
    <row r="72" spans="1:6" ht="15.75" customHeight="1">
      <c r="A72" s="4">
        <v>12.2</v>
      </c>
      <c r="B72" s="9" t="s">
        <v>86</v>
      </c>
      <c r="C72" s="9" t="s">
        <v>84</v>
      </c>
      <c r="D72" s="9" t="s">
        <v>10</v>
      </c>
      <c r="E72" s="9" t="s">
        <v>86</v>
      </c>
      <c r="F72" s="9" t="s">
        <v>7</v>
      </c>
    </row>
    <row r="73" spans="1:6" ht="15.75" customHeight="1">
      <c r="A73" s="4">
        <v>12.3</v>
      </c>
      <c r="B73" s="9" t="s">
        <v>87</v>
      </c>
      <c r="C73" s="9" t="s">
        <v>84</v>
      </c>
      <c r="D73" s="9" t="s">
        <v>10</v>
      </c>
      <c r="E73" s="9" t="s">
        <v>87</v>
      </c>
      <c r="F73" s="9" t="s">
        <v>7</v>
      </c>
    </row>
    <row r="74" spans="1:6" ht="15.75" customHeight="1">
      <c r="A74" s="4">
        <v>12.4</v>
      </c>
      <c r="B74" s="9" t="s">
        <v>88</v>
      </c>
      <c r="C74" s="9" t="s">
        <v>84</v>
      </c>
      <c r="D74" s="9" t="s">
        <v>10</v>
      </c>
      <c r="E74" s="9" t="s">
        <v>88</v>
      </c>
      <c r="F74" s="9" t="s">
        <v>7</v>
      </c>
    </row>
    <row r="75" spans="1:6" ht="15.75" customHeight="1">
      <c r="A75" s="4">
        <v>12.5</v>
      </c>
      <c r="B75" s="9" t="s">
        <v>89</v>
      </c>
      <c r="C75" s="9" t="s">
        <v>84</v>
      </c>
      <c r="D75" s="9" t="s">
        <v>10</v>
      </c>
      <c r="E75" s="9" t="s">
        <v>89</v>
      </c>
      <c r="F75" s="9" t="s">
        <v>7</v>
      </c>
    </row>
    <row r="76" spans="1:6" ht="15.75" customHeight="1">
      <c r="A76" s="4">
        <v>13</v>
      </c>
      <c r="B76" s="10" t="s">
        <v>90</v>
      </c>
      <c r="C76" s="10" t="s">
        <v>90</v>
      </c>
      <c r="D76" s="10" t="s">
        <v>10</v>
      </c>
      <c r="E76" s="10" t="s">
        <v>90</v>
      </c>
      <c r="F76" s="10" t="s">
        <v>7</v>
      </c>
    </row>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3" footer="0.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J324"/>
  <sheetViews>
    <sheetView zoomScale="70" zoomScaleNormal="70" workbookViewId="0">
      <pane xSplit="2" ySplit="3" topLeftCell="H4" activePane="bottomRight" state="frozen"/>
      <selection pane="topRight" activeCell="C1" sqref="C1"/>
      <selection pane="bottomLeft" activeCell="A4" sqref="A4"/>
      <selection pane="bottomRight" activeCell="J25" sqref="J25"/>
    </sheetView>
  </sheetViews>
  <sheetFormatPr baseColWidth="10" defaultColWidth="8.83203125" defaultRowHeight="16" outlineLevelRow="1"/>
  <cols>
    <col min="1" max="1" width="29.1640625" style="1862" customWidth="1"/>
    <col min="2" max="2" width="223.83203125" style="1863" bestFit="1" customWidth="1"/>
    <col min="3" max="5" width="15.33203125" style="1862" bestFit="1" customWidth="1"/>
    <col min="6" max="6" width="13.1640625" style="1862" bestFit="1" customWidth="1"/>
    <col min="7" max="7" width="13.1640625" style="1865" bestFit="1" customWidth="1"/>
    <col min="8" max="8" width="40.5" style="1861" bestFit="1" customWidth="1"/>
    <col min="9" max="9" width="16.33203125" style="1868" customWidth="1"/>
    <col min="10" max="10" width="56.5" style="1868" customWidth="1"/>
    <col min="11" max="16384" width="8.83203125" style="1868"/>
  </cols>
  <sheetData>
    <row r="1" spans="1:10">
      <c r="B1" s="1861" t="s">
        <v>3718</v>
      </c>
      <c r="C1" s="1861" t="s">
        <v>3717</v>
      </c>
    </row>
    <row r="2" spans="1:10">
      <c r="A2" s="2093" t="s">
        <v>356</v>
      </c>
    </row>
    <row r="3" spans="1:10" ht="17">
      <c r="A3" s="2094" t="s">
        <v>3249</v>
      </c>
      <c r="B3" s="1863" t="s">
        <v>3240</v>
      </c>
      <c r="C3" s="1862" t="s">
        <v>3243</v>
      </c>
      <c r="D3" s="1862" t="s">
        <v>3244</v>
      </c>
      <c r="E3" s="1862" t="s">
        <v>3245</v>
      </c>
      <c r="F3" s="1862" t="s">
        <v>3246</v>
      </c>
      <c r="G3" s="1862" t="s">
        <v>3247</v>
      </c>
      <c r="H3" s="1993" t="s">
        <v>3248</v>
      </c>
      <c r="I3" s="1808"/>
      <c r="J3" s="1867"/>
    </row>
    <row r="4" spans="1:10" ht="17" outlineLevel="1">
      <c r="B4" s="1864" t="s">
        <v>246</v>
      </c>
      <c r="C4" s="1866">
        <v>4738644.8000000007</v>
      </c>
      <c r="D4" s="1866">
        <v>8556352.3200000003</v>
      </c>
      <c r="E4" s="1866">
        <v>9136405.120000001</v>
      </c>
      <c r="F4" s="1866">
        <v>0</v>
      </c>
      <c r="G4" s="1866">
        <v>0</v>
      </c>
      <c r="H4" s="2185">
        <v>22431402.240000002</v>
      </c>
      <c r="I4" s="1808"/>
      <c r="J4" s="1867"/>
    </row>
    <row r="5" spans="1:10" ht="17" outlineLevel="1">
      <c r="A5" s="1862" t="str">
        <f ca="1">IFERROR(VLOOKUP(B5,Buget_detaliat!F:I,4,0),"")</f>
        <v/>
      </c>
      <c r="B5" s="1864" t="s">
        <v>389</v>
      </c>
      <c r="C5" s="1866">
        <v>4738644.8000000007</v>
      </c>
      <c r="D5" s="1866">
        <v>8556352.3200000003</v>
      </c>
      <c r="E5" s="1866">
        <v>9136405.120000001</v>
      </c>
      <c r="F5" s="1866">
        <v>0</v>
      </c>
      <c r="G5" s="1866">
        <v>0</v>
      </c>
      <c r="H5" s="2101">
        <v>22431402.240000002</v>
      </c>
      <c r="I5" s="1808"/>
      <c r="J5" s="1867"/>
    </row>
    <row r="6" spans="1:10" ht="17" outlineLevel="1">
      <c r="A6" s="1862" t="str">
        <f ca="1">IFERROR(VLOOKUP(B6,Buget_detaliat!F:I,4,0),"")</f>
        <v/>
      </c>
      <c r="B6" s="1864" t="s">
        <v>2925</v>
      </c>
      <c r="C6" s="1866">
        <v>4738644.8000000007</v>
      </c>
      <c r="D6" s="1866">
        <v>8556352.3200000003</v>
      </c>
      <c r="E6" s="1866">
        <v>9136405.120000001</v>
      </c>
      <c r="F6" s="1866">
        <v>0</v>
      </c>
      <c r="G6" s="1866">
        <v>0</v>
      </c>
      <c r="H6" s="2101">
        <v>22431402.240000002</v>
      </c>
      <c r="I6" s="1808"/>
      <c r="J6" s="1867"/>
    </row>
    <row r="7" spans="1:10" outlineLevel="1">
      <c r="A7" s="1862" t="str">
        <f ca="1">IFERROR(IF(B7="","",VLOOKUP(B7,Buget_detaliat!F:I,4,0)),"")</f>
        <v>ONG_TB</v>
      </c>
      <c r="B7" s="2092" t="s">
        <v>3887</v>
      </c>
      <c r="C7" s="1866">
        <v>2746060.8000000003</v>
      </c>
      <c r="D7" s="1866">
        <v>6308584.3200000003</v>
      </c>
      <c r="E7" s="1866">
        <v>6817341.1200000001</v>
      </c>
      <c r="F7" s="1866">
        <v>0</v>
      </c>
      <c r="G7" s="1866">
        <v>0</v>
      </c>
      <c r="H7" s="2101">
        <v>15871986.240000002</v>
      </c>
      <c r="I7" s="1808"/>
      <c r="J7" s="1867"/>
    </row>
    <row r="8" spans="1:10">
      <c r="A8" s="1862" t="str">
        <f ca="1">IFERROR(IF(B8="","",VLOOKUP(B8,Buget_detaliat!F:I,4,0)),"")</f>
        <v>ONG_TB</v>
      </c>
      <c r="B8" s="2092" t="s">
        <v>3888</v>
      </c>
      <c r="C8" s="1866">
        <v>1777584</v>
      </c>
      <c r="D8" s="1866">
        <v>2022768.0000000002</v>
      </c>
      <c r="E8" s="1866">
        <v>2084064.0000000002</v>
      </c>
      <c r="F8" s="1866">
        <v>0</v>
      </c>
      <c r="G8" s="1866">
        <v>0</v>
      </c>
      <c r="H8" s="2101">
        <v>5884416</v>
      </c>
      <c r="I8" s="1808"/>
      <c r="J8" s="1867"/>
    </row>
    <row r="9" spans="1:10">
      <c r="A9" s="1862" t="str">
        <f ca="1">IFERROR(IF(B9="","",VLOOKUP(B9,Buget_detaliat!F:I,4,0)),"")</f>
        <v>ONG_TB</v>
      </c>
      <c r="B9" s="2092" t="s">
        <v>3935</v>
      </c>
      <c r="C9" s="1866">
        <v>215000</v>
      </c>
      <c r="D9" s="1866">
        <v>225000</v>
      </c>
      <c r="E9" s="1866">
        <v>235000</v>
      </c>
      <c r="F9" s="1866">
        <v>0</v>
      </c>
      <c r="G9" s="1866">
        <v>0</v>
      </c>
      <c r="H9" s="2101">
        <v>675000</v>
      </c>
      <c r="I9" s="1808"/>
      <c r="J9" s="1867"/>
    </row>
    <row r="10" spans="1:10">
      <c r="A10" s="1862" t="str">
        <f>IFERROR(IF(B10="","",VLOOKUP(B10,Buget_detaliat!F:I,4,0)),"")</f>
        <v/>
      </c>
      <c r="B10" s="2092"/>
      <c r="C10" s="1866"/>
      <c r="D10" s="1866"/>
      <c r="E10" s="1866"/>
      <c r="F10" s="1866"/>
      <c r="G10" s="1866"/>
      <c r="H10" s="2101"/>
      <c r="I10" s="1808"/>
      <c r="J10" s="1867"/>
    </row>
    <row r="11" spans="1:10" ht="33" customHeight="1">
      <c r="A11" s="1862" t="str">
        <f ca="1">IFERROR(IF(B11="","",VLOOKUP(B11,Buget_detaliat!F:I,4,0)),"")</f>
        <v/>
      </c>
      <c r="B11" s="1864" t="s">
        <v>248</v>
      </c>
      <c r="C11" s="1866">
        <v>3525747.2600000002</v>
      </c>
      <c r="D11" s="1866">
        <v>3493356.14</v>
      </c>
      <c r="E11" s="1866">
        <v>3506768.38</v>
      </c>
      <c r="F11" s="1866">
        <v>0</v>
      </c>
      <c r="G11" s="1866">
        <v>0</v>
      </c>
      <c r="H11" s="2101">
        <v>10525871.780000001</v>
      </c>
      <c r="I11" s="1808"/>
      <c r="J11" s="1867"/>
    </row>
    <row r="12" spans="1:10" ht="17">
      <c r="A12" s="1862" t="str">
        <f ca="1">IFERROR(IF(B12="","",VLOOKUP(B12,Buget_detaliat!F:I,4,0)),"")</f>
        <v/>
      </c>
      <c r="B12" s="1864" t="s">
        <v>339</v>
      </c>
      <c r="C12" s="1866">
        <v>3525747.2600000002</v>
      </c>
      <c r="D12" s="1866">
        <v>3493356.14</v>
      </c>
      <c r="E12" s="1866">
        <v>3506768.38</v>
      </c>
      <c r="F12" s="1866">
        <v>0</v>
      </c>
      <c r="G12" s="1866">
        <v>0</v>
      </c>
      <c r="H12" s="2101">
        <v>10525871.780000001</v>
      </c>
      <c r="I12"/>
      <c r="J12" s="1867"/>
    </row>
    <row r="13" spans="1:10" ht="17">
      <c r="A13" s="1862" t="str">
        <f ca="1">IFERROR(IF(B13="","",VLOOKUP(B13,Buget_detaliat!F:I,4,0)),"")</f>
        <v/>
      </c>
      <c r="B13" s="1864" t="s">
        <v>2942</v>
      </c>
      <c r="C13" s="1866">
        <v>3525747.2600000002</v>
      </c>
      <c r="D13" s="1866">
        <v>3493356.14</v>
      </c>
      <c r="E13" s="1866">
        <v>3506768.38</v>
      </c>
      <c r="F13" s="1866">
        <v>0</v>
      </c>
      <c r="G13" s="1866">
        <v>0</v>
      </c>
      <c r="H13" s="2101">
        <v>10525871.780000001</v>
      </c>
      <c r="I13" s="1808"/>
      <c r="J13" s="1867"/>
    </row>
    <row r="14" spans="1:10">
      <c r="A14" s="1862" t="str">
        <f ca="1">IFERROR(IF(B14="","",VLOOKUP(B14,Buget_detaliat!F:I,4,0)),"")</f>
        <v>Aderenta_VOT</v>
      </c>
      <c r="B14" s="2092" t="s">
        <v>3976</v>
      </c>
      <c r="C14" s="1866">
        <v>3525747.2600000002</v>
      </c>
      <c r="D14" s="1866">
        <v>3493356.14</v>
      </c>
      <c r="E14" s="1866">
        <v>3506768.38</v>
      </c>
      <c r="F14" s="1866">
        <v>0</v>
      </c>
      <c r="G14" s="1866">
        <v>0</v>
      </c>
      <c r="H14" s="2101">
        <v>10525871.780000001</v>
      </c>
      <c r="I14" s="1808"/>
      <c r="J14" s="1867"/>
    </row>
    <row r="15" spans="1:10">
      <c r="A15" s="1862" t="str">
        <f>IFERROR(IF(B15="","",VLOOKUP(B15,Buget_detaliat!F:I,4,0)),"")</f>
        <v/>
      </c>
      <c r="B15" s="2092"/>
      <c r="C15" s="1866"/>
      <c r="D15" s="1866"/>
      <c r="E15" s="1866"/>
      <c r="F15" s="1866"/>
      <c r="G15" s="1866"/>
      <c r="H15" s="2101"/>
      <c r="I15" s="1808"/>
      <c r="J15" s="1867"/>
    </row>
    <row r="16" spans="1:10" ht="17">
      <c r="A16" s="1862" t="str">
        <f ca="1">IFERROR(IF(B16="","",VLOOKUP(B16,Buget_detaliat!F:I,4,0)),"")</f>
        <v/>
      </c>
      <c r="B16" s="1864" t="s">
        <v>2297</v>
      </c>
      <c r="C16" s="1866">
        <v>3223068.375</v>
      </c>
      <c r="D16" s="1866">
        <v>3937989.46</v>
      </c>
      <c r="E16" s="1866">
        <v>4310816.04</v>
      </c>
      <c r="F16" s="1866">
        <v>0</v>
      </c>
      <c r="G16" s="1866">
        <v>0</v>
      </c>
      <c r="H16" s="2101">
        <v>11471873.875000002</v>
      </c>
      <c r="I16" s="1808"/>
      <c r="J16" s="1867"/>
    </row>
    <row r="17" spans="1:10" ht="17">
      <c r="A17" s="1862" t="str">
        <f ca="1">IFERROR(IF(B17="","",VLOOKUP(B17,Buget_detaliat!F:I,4,0)),"")</f>
        <v/>
      </c>
      <c r="B17" s="1864" t="s">
        <v>393</v>
      </c>
      <c r="C17" s="1866">
        <v>2823779.5350000001</v>
      </c>
      <c r="D17" s="1866">
        <v>3546111.89</v>
      </c>
      <c r="E17" s="1866">
        <v>3925262.5300000003</v>
      </c>
      <c r="F17" s="1866">
        <v>0</v>
      </c>
      <c r="G17" s="1866">
        <v>0</v>
      </c>
      <c r="H17" s="2101">
        <v>10295153.955000002</v>
      </c>
      <c r="I17" s="1808"/>
      <c r="J17" s="1867"/>
    </row>
    <row r="18" spans="1:10" ht="17">
      <c r="A18" s="1862" t="str">
        <f ca="1">IFERROR(IF(B18="","",VLOOKUP(B18,Buget_detaliat!F:I,4,0)),"")</f>
        <v/>
      </c>
      <c r="B18" s="1864" t="s">
        <v>2976</v>
      </c>
      <c r="C18" s="1866">
        <v>1799204.5350000001</v>
      </c>
      <c r="D18" s="1866">
        <v>2192006.89</v>
      </c>
      <c r="E18" s="1866">
        <v>2571157.5300000003</v>
      </c>
      <c r="F18" s="1866">
        <v>0</v>
      </c>
      <c r="G18" s="1866">
        <v>0</v>
      </c>
      <c r="H18" s="2101">
        <v>6562368.955000001</v>
      </c>
      <c r="I18" s="1808"/>
      <c r="J18" s="1867"/>
    </row>
    <row r="19" spans="1:10">
      <c r="A19" s="1862" t="str">
        <f ca="1">IFERROR(IF(B19="","",VLOOKUP(B19,Buget_detaliat!F:I,4,0)),"")</f>
        <v>ONG_TB</v>
      </c>
      <c r="B19" s="2092" t="s">
        <v>3980</v>
      </c>
      <c r="C19" s="1866">
        <v>406270.625</v>
      </c>
      <c r="D19" s="1866">
        <v>504104.14</v>
      </c>
      <c r="E19" s="1866">
        <v>609463.31000000006</v>
      </c>
      <c r="F19" s="1866">
        <v>0</v>
      </c>
      <c r="G19" s="1866">
        <v>0</v>
      </c>
      <c r="H19" s="2101">
        <v>1519838.0750000002</v>
      </c>
      <c r="I19" s="1808"/>
      <c r="J19" s="1867"/>
    </row>
    <row r="20" spans="1:10">
      <c r="A20" s="1862" t="str">
        <f ca="1">IFERROR(IF(B20="","",VLOOKUP(B20,Buget_detaliat!F:I,4,0)),"")</f>
        <v>ONG_TB</v>
      </c>
      <c r="B20" s="2092" t="s">
        <v>3981</v>
      </c>
      <c r="C20" s="1866">
        <v>1392933.9100000001</v>
      </c>
      <c r="D20" s="1866">
        <v>1687902.75</v>
      </c>
      <c r="E20" s="1866">
        <v>1961694.2200000002</v>
      </c>
      <c r="F20" s="1866">
        <v>0</v>
      </c>
      <c r="G20" s="1866">
        <v>0</v>
      </c>
      <c r="H20" s="2101">
        <v>5042530.8800000008</v>
      </c>
      <c r="I20" s="1808"/>
      <c r="J20" s="1867"/>
    </row>
    <row r="21" spans="1:10">
      <c r="A21" s="1862" t="str">
        <f>IFERROR(IF(B21="","",VLOOKUP(B21,Buget_detaliat!F:I,4,0)),"")</f>
        <v/>
      </c>
      <c r="B21" s="2092"/>
      <c r="C21" s="1866"/>
      <c r="D21" s="1866"/>
      <c r="E21" s="1866"/>
      <c r="F21" s="1866"/>
      <c r="G21" s="1866"/>
      <c r="H21" s="2101"/>
      <c r="I21" s="1808"/>
      <c r="J21" s="1867"/>
    </row>
    <row r="22" spans="1:10" ht="17">
      <c r="A22" s="1862" t="str">
        <f ca="1">IFERROR(IF(B22="","",VLOOKUP(B22,Buget_detaliat!F:I,4,0)),"")</f>
        <v/>
      </c>
      <c r="B22" s="1864" t="s">
        <v>2978</v>
      </c>
      <c r="C22" s="1866">
        <v>1024575</v>
      </c>
      <c r="D22" s="1866">
        <v>1354105</v>
      </c>
      <c r="E22" s="1866">
        <v>1354105</v>
      </c>
      <c r="F22" s="1866">
        <v>0</v>
      </c>
      <c r="G22" s="1866">
        <v>0</v>
      </c>
      <c r="H22" s="2101">
        <v>3732785</v>
      </c>
      <c r="I22" s="1808"/>
      <c r="J22" s="1867"/>
    </row>
    <row r="23" spans="1:10" ht="17">
      <c r="A23" s="1862" t="str">
        <f ca="1">IFERROR(IF(B23="","",VLOOKUP(B23,Buget_detaliat!F:I,4,0)),"")</f>
        <v>ONG_TB</v>
      </c>
      <c r="B23" s="1864" t="s">
        <v>3518</v>
      </c>
      <c r="C23" s="1866">
        <v>0</v>
      </c>
      <c r="D23" s="1866">
        <v>490618</v>
      </c>
      <c r="E23" s="1866">
        <v>490618</v>
      </c>
      <c r="F23" s="1866">
        <v>0</v>
      </c>
      <c r="G23" s="1866">
        <v>0</v>
      </c>
      <c r="H23" s="2101">
        <v>981236</v>
      </c>
      <c r="I23" s="1808"/>
      <c r="J23" s="1867"/>
    </row>
    <row r="24" spans="1:10">
      <c r="A24" s="1862" t="str">
        <f ca="1">IFERROR(IF(B24="","",VLOOKUP(B24,Buget_detaliat!F:I,4,0)),"")</f>
        <v>ONG_TB</v>
      </c>
      <c r="B24" s="2092" t="s">
        <v>3931</v>
      </c>
      <c r="C24" s="1866">
        <v>863487</v>
      </c>
      <c r="D24" s="1866">
        <v>863487</v>
      </c>
      <c r="E24" s="1866">
        <v>863487</v>
      </c>
      <c r="F24" s="1866">
        <v>0</v>
      </c>
      <c r="G24" s="1866">
        <v>0</v>
      </c>
      <c r="H24" s="2101">
        <v>2590461</v>
      </c>
      <c r="I24" s="1808"/>
      <c r="J24" s="1867">
        <f>GETPIVOTDATA("Sum of Cost sumar activitate 2021-2025",$B$3,"Obiectiv_abr","6.","Direcții de acțiuni ","6.5.  Fortificarea implicării comunității și OSC în controlul TB prin abordare centrată pe persoană","Intervenții","6.5.4. Implicarea OSC în reducerea barierelor și asigurarea accesului grupurilor cheie la servicii TB","Descriere succinta interventie","6.5.4.3 Grant pentru fundraising")/EUR</f>
        <v>0</v>
      </c>
    </row>
    <row r="25" spans="1:10">
      <c r="A25" s="1862" t="str">
        <f ca="1">IFERROR(IF(B25="","",VLOOKUP(B25,Buget_detaliat!F:I,4,0)),"")</f>
        <v>ONG_TB</v>
      </c>
      <c r="B25" s="2092" t="s">
        <v>3930</v>
      </c>
      <c r="C25" s="1866">
        <v>0</v>
      </c>
      <c r="D25" s="1866">
        <v>0</v>
      </c>
      <c r="E25" s="1866">
        <v>0</v>
      </c>
      <c r="F25" s="1866">
        <v>0</v>
      </c>
      <c r="G25" s="1866">
        <v>0</v>
      </c>
      <c r="H25" s="2101">
        <v>0</v>
      </c>
      <c r="I25" s="1867"/>
      <c r="J25" s="1867"/>
    </row>
    <row r="26" spans="1:10">
      <c r="A26" s="1862" t="str">
        <f ca="1">IFERROR(IF(B26="","",VLOOKUP(B26,Buget_detaliat!F:I,4,0)),"")</f>
        <v>ONG_TB</v>
      </c>
      <c r="B26" s="2092" t="s">
        <v>3951</v>
      </c>
      <c r="C26" s="1866">
        <v>100000</v>
      </c>
      <c r="D26" s="1866">
        <v>0</v>
      </c>
      <c r="E26" s="1866">
        <v>0</v>
      </c>
      <c r="F26" s="1866">
        <v>0</v>
      </c>
      <c r="G26" s="1866">
        <v>0</v>
      </c>
      <c r="H26" s="2101">
        <v>100000</v>
      </c>
      <c r="I26" s="1867"/>
      <c r="J26" s="1867"/>
    </row>
    <row r="27" spans="1:10">
      <c r="A27" s="1862" t="str">
        <f ca="1">IFERROR(IF(B27="","",VLOOKUP(B27,Buget_detaliat!F:I,4,0)),"")</f>
        <v>ONG_TB</v>
      </c>
      <c r="B27" s="2092" t="s">
        <v>3952</v>
      </c>
      <c r="C27" s="1866">
        <v>41088</v>
      </c>
      <c r="D27" s="1866">
        <v>0</v>
      </c>
      <c r="E27" s="1866">
        <v>0</v>
      </c>
      <c r="F27" s="1866">
        <v>0</v>
      </c>
      <c r="G27" s="1866">
        <v>0</v>
      </c>
      <c r="H27" s="2101">
        <v>41088</v>
      </c>
      <c r="I27" s="2109"/>
      <c r="J27" s="1867"/>
    </row>
    <row r="28" spans="1:10">
      <c r="A28" s="1862" t="str">
        <f ca="1">IFERROR(IF(B28="","",VLOOKUP(B28,Buget_detaliat!F:I,4,0)),"")</f>
        <v>ONG_TB</v>
      </c>
      <c r="B28" s="2092" t="s">
        <v>3953</v>
      </c>
      <c r="C28" s="1866">
        <v>20000</v>
      </c>
      <c r="D28" s="1866">
        <v>0</v>
      </c>
      <c r="E28" s="1866">
        <v>0</v>
      </c>
      <c r="F28" s="1866">
        <v>0</v>
      </c>
      <c r="G28" s="1866">
        <v>0</v>
      </c>
      <c r="H28" s="2101">
        <v>20000</v>
      </c>
      <c r="I28" s="1808"/>
      <c r="J28" s="1867"/>
    </row>
    <row r="29" spans="1:10">
      <c r="A29" s="1862" t="str">
        <f ca="1">IFERROR(IF(B29="","",VLOOKUP(B29,Buget_detaliat!F:I,4,0)),"")</f>
        <v>ONG_TB</v>
      </c>
      <c r="B29" s="2092" t="s">
        <v>3978</v>
      </c>
      <c r="C29" s="1866">
        <v>0</v>
      </c>
      <c r="D29" s="1866">
        <v>0</v>
      </c>
      <c r="E29" s="1866">
        <v>0</v>
      </c>
      <c r="F29" s="1866">
        <v>0</v>
      </c>
      <c r="G29" s="1866">
        <v>0</v>
      </c>
      <c r="H29" s="2101">
        <v>0</v>
      </c>
      <c r="I29" s="1808"/>
      <c r="J29" s="1867"/>
    </row>
    <row r="30" spans="1:10">
      <c r="A30" s="1862" t="str">
        <f ca="1">IFERROR(IF(B30="","",VLOOKUP(B30,Buget_detaliat!F:I,4,0)),"")</f>
        <v>ONG_TB</v>
      </c>
      <c r="B30" s="2092" t="s">
        <v>3979</v>
      </c>
      <c r="C30" s="1866">
        <v>0</v>
      </c>
      <c r="D30" s="1866">
        <v>0</v>
      </c>
      <c r="E30" s="1866">
        <v>0</v>
      </c>
      <c r="F30" s="1866">
        <v>0</v>
      </c>
      <c r="G30" s="1866">
        <v>0</v>
      </c>
      <c r="H30" s="2101">
        <v>0</v>
      </c>
      <c r="I30" s="1808"/>
      <c r="J30" s="1867"/>
    </row>
    <row r="31" spans="1:10">
      <c r="A31" s="1862" t="str">
        <f>IFERROR(IF(B31="","",VLOOKUP(B31,Buget_detaliat!F:I,4,0)),"")</f>
        <v/>
      </c>
      <c r="B31" s="2092"/>
      <c r="C31" s="1866"/>
      <c r="D31" s="1866"/>
      <c r="E31" s="1866"/>
      <c r="F31" s="1866"/>
      <c r="G31" s="1866"/>
      <c r="H31" s="2101"/>
      <c r="I31" s="1808"/>
      <c r="J31" s="1867"/>
    </row>
    <row r="32" spans="1:10" ht="17">
      <c r="A32" s="1862" t="str">
        <f ca="1">IFERROR(IF(B32="","",VLOOKUP(B32,Buget_detaliat!F:I,4,0)),"")</f>
        <v/>
      </c>
      <c r="B32" s="1864" t="s">
        <v>1854</v>
      </c>
      <c r="C32" s="1866">
        <v>399288.83999999997</v>
      </c>
      <c r="D32" s="1866">
        <v>391877.57</v>
      </c>
      <c r="E32" s="1866">
        <v>385553.51</v>
      </c>
      <c r="F32" s="1866">
        <v>0</v>
      </c>
      <c r="G32" s="1866">
        <v>0</v>
      </c>
      <c r="H32" s="2101">
        <v>1176719.92</v>
      </c>
      <c r="I32" s="1808"/>
      <c r="J32" s="1867"/>
    </row>
    <row r="33" spans="1:10" ht="17">
      <c r="A33" s="1862" t="str">
        <f ca="1">IFERROR(IF(B33="","",VLOOKUP(B33,Buget_detaliat!F:I,4,0)),"")</f>
        <v/>
      </c>
      <c r="B33" s="1864" t="s">
        <v>2979</v>
      </c>
      <c r="C33" s="1866">
        <v>399288.83999999997</v>
      </c>
      <c r="D33" s="1866">
        <v>391877.57</v>
      </c>
      <c r="E33" s="1866">
        <v>385553.51</v>
      </c>
      <c r="F33" s="1866">
        <v>0</v>
      </c>
      <c r="G33" s="1866">
        <v>0</v>
      </c>
      <c r="H33" s="2101">
        <v>1176719.92</v>
      </c>
      <c r="I33" s="1808"/>
      <c r="J33" s="1867"/>
    </row>
    <row r="34" spans="1:10" ht="17">
      <c r="A34" s="1862" t="str">
        <f ca="1">IFERROR(IF(B34="","",VLOOKUP(B34,Buget_detaliat!F:I,4,0)),"")</f>
        <v>ONG_TB</v>
      </c>
      <c r="B34" s="1864" t="s">
        <v>3519</v>
      </c>
      <c r="C34" s="1866">
        <v>399288.83999999997</v>
      </c>
      <c r="D34" s="1866">
        <v>391877.57</v>
      </c>
      <c r="E34" s="1866">
        <v>385553.51</v>
      </c>
      <c r="F34" s="1866">
        <v>0</v>
      </c>
      <c r="G34" s="1866">
        <v>0</v>
      </c>
      <c r="H34" s="2101">
        <v>1176719.92</v>
      </c>
      <c r="I34" s="1808"/>
      <c r="J34" s="1867"/>
    </row>
    <row r="35" spans="1:10">
      <c r="A35" s="1862" t="str">
        <f>IFERROR(IF(B35="","",VLOOKUP(B35,Buget_detaliat!F:I,4,0)),"")</f>
        <v/>
      </c>
      <c r="B35" s="2092"/>
      <c r="C35" s="1866"/>
      <c r="D35" s="1866"/>
      <c r="E35" s="1866"/>
      <c r="F35" s="1866"/>
      <c r="G35" s="1866"/>
      <c r="H35" s="2101"/>
      <c r="I35" s="1808"/>
      <c r="J35" s="1867"/>
    </row>
    <row r="36" spans="1:10" ht="17">
      <c r="A36" s="1862" t="str">
        <f ca="1">IFERROR(IF(B36="","",VLOOKUP(B36,Buget_detaliat!F:I,4,0)),"")</f>
        <v/>
      </c>
      <c r="B36" s="1864" t="s">
        <v>1883</v>
      </c>
      <c r="C36" s="1866">
        <v>11487460.435000001</v>
      </c>
      <c r="D36" s="1866">
        <v>15987697.920000002</v>
      </c>
      <c r="E36" s="1866">
        <v>16953989.540000003</v>
      </c>
      <c r="F36" s="1866">
        <v>0</v>
      </c>
      <c r="G36" s="1866">
        <v>0</v>
      </c>
      <c r="H36" s="2102">
        <v>44429147.895000011</v>
      </c>
      <c r="I36" s="1808"/>
      <c r="J36" s="1867"/>
    </row>
    <row r="37" spans="1:10">
      <c r="A37" s="1862" t="str">
        <f>IFERROR(IF(B37="","",VLOOKUP(B37,Buget_detaliat!F:I,4,0)),"")</f>
        <v/>
      </c>
      <c r="B37"/>
      <c r="C37"/>
      <c r="D37"/>
      <c r="E37"/>
      <c r="F37"/>
      <c r="G37"/>
      <c r="H37"/>
      <c r="I37" s="1808"/>
      <c r="J37" s="1867"/>
    </row>
    <row r="38" spans="1:10">
      <c r="A38" s="1862" t="str">
        <f>IFERROR(IF(B38="","",VLOOKUP(B38,Buget_detaliat!F:I,4,0)),"")</f>
        <v/>
      </c>
      <c r="B38"/>
      <c r="C38"/>
      <c r="D38"/>
      <c r="E38"/>
      <c r="F38"/>
      <c r="G38"/>
      <c r="H38"/>
      <c r="I38" s="1808"/>
      <c r="J38" s="1867"/>
    </row>
    <row r="39" spans="1:10">
      <c r="A39" s="1862" t="str">
        <f>IFERROR(IF(B39="","",VLOOKUP(B39,Buget_detaliat!F:I,4,0)),"")</f>
        <v/>
      </c>
      <c r="B39"/>
      <c r="C39"/>
      <c r="D39"/>
      <c r="E39"/>
      <c r="F39"/>
      <c r="G39"/>
      <c r="H39"/>
      <c r="I39" s="1808"/>
      <c r="J39" s="1867"/>
    </row>
    <row r="40" spans="1:10">
      <c r="A40" s="1862" t="str">
        <f>IFERROR(IF(B40="","",VLOOKUP(B40,Buget_detaliat!F:I,4,0)),"")</f>
        <v/>
      </c>
      <c r="B40"/>
      <c r="C40"/>
      <c r="D40"/>
      <c r="E40"/>
      <c r="F40"/>
      <c r="G40"/>
      <c r="H40"/>
      <c r="I40" s="1808"/>
      <c r="J40" s="1867"/>
    </row>
    <row r="41" spans="1:10">
      <c r="A41" s="1862" t="str">
        <f>IFERROR(IF(B41="","",VLOOKUP(B41,Buget_detaliat!F:I,4,0)),"")</f>
        <v/>
      </c>
      <c r="B41"/>
      <c r="C41"/>
      <c r="D41"/>
      <c r="E41"/>
      <c r="F41"/>
      <c r="G41"/>
      <c r="H41"/>
      <c r="I41" s="1808"/>
      <c r="J41" s="1867"/>
    </row>
    <row r="42" spans="1:10">
      <c r="A42" s="1862" t="str">
        <f>IFERROR(IF(B42="","",VLOOKUP(B42,Buget_detaliat!F:I,4,0)),"")</f>
        <v/>
      </c>
      <c r="B42"/>
      <c r="C42"/>
      <c r="D42"/>
      <c r="E42"/>
      <c r="F42"/>
      <c r="G42"/>
      <c r="H42"/>
      <c r="I42" s="1808"/>
      <c r="J42" s="1867"/>
    </row>
    <row r="43" spans="1:10">
      <c r="A43" s="1862" t="str">
        <f>IFERROR(IF(B43="","",VLOOKUP(B43,Buget_detaliat!F:I,4,0)),"")</f>
        <v/>
      </c>
      <c r="B43"/>
      <c r="C43"/>
      <c r="D43"/>
      <c r="E43"/>
      <c r="F43"/>
      <c r="G43"/>
      <c r="H43"/>
      <c r="I43" s="1808"/>
      <c r="J43" s="1867"/>
    </row>
    <row r="44" spans="1:10">
      <c r="A44" s="1862" t="str">
        <f>IFERROR(IF(B44="","",VLOOKUP(B44,Buget_detaliat!F:I,4,0)),"")</f>
        <v/>
      </c>
      <c r="B44"/>
      <c r="C44"/>
      <c r="D44"/>
      <c r="E44"/>
      <c r="F44"/>
      <c r="G44"/>
      <c r="H44"/>
      <c r="I44" s="1808"/>
      <c r="J44" s="1867"/>
    </row>
    <row r="45" spans="1:10">
      <c r="A45" s="1862" t="str">
        <f>IFERROR(IF(B45="","",VLOOKUP(B45,Buget_detaliat!F:I,4,0)),"")</f>
        <v/>
      </c>
      <c r="B45"/>
      <c r="C45"/>
      <c r="D45"/>
      <c r="E45"/>
      <c r="F45"/>
      <c r="G45"/>
      <c r="H45"/>
      <c r="I45" s="1808"/>
      <c r="J45" s="1867"/>
    </row>
    <row r="46" spans="1:10">
      <c r="A46" s="1862" t="str">
        <f>IFERROR(IF(B46="","",VLOOKUP(B46,Buget_detaliat!F:I,4,0)),"")</f>
        <v/>
      </c>
      <c r="B46"/>
      <c r="C46"/>
      <c r="D46"/>
      <c r="E46"/>
      <c r="F46"/>
      <c r="G46"/>
      <c r="H46"/>
      <c r="I46" s="1808"/>
      <c r="J46" s="1867"/>
    </row>
    <row r="47" spans="1:10">
      <c r="A47" s="1862" t="str">
        <f>IFERROR(IF(B47="","",VLOOKUP(B47,Buget_detaliat!F:I,4,0)),"")</f>
        <v/>
      </c>
      <c r="B47"/>
      <c r="C47"/>
      <c r="D47"/>
      <c r="E47"/>
      <c r="F47"/>
      <c r="G47"/>
      <c r="H47"/>
      <c r="I47" s="1808"/>
      <c r="J47" s="1867"/>
    </row>
    <row r="48" spans="1:10">
      <c r="A48" s="1862" t="str">
        <f>IFERROR(IF(B48="","",VLOOKUP(B48,Buget_detaliat!F:I,4,0)),"")</f>
        <v/>
      </c>
      <c r="B48"/>
      <c r="C48"/>
      <c r="D48"/>
      <c r="E48"/>
      <c r="F48"/>
      <c r="G48"/>
      <c r="H48"/>
      <c r="I48" s="1808"/>
      <c r="J48" s="1867"/>
    </row>
    <row r="49" spans="1:10">
      <c r="A49" s="1862" t="str">
        <f>IFERROR(IF(B49="","",VLOOKUP(B49,Buget_detaliat!F:I,4,0)),"")</f>
        <v/>
      </c>
      <c r="B49"/>
      <c r="C49"/>
      <c r="D49"/>
      <c r="E49"/>
      <c r="F49"/>
      <c r="G49"/>
      <c r="H49"/>
      <c r="I49" s="1808"/>
      <c r="J49" s="1867"/>
    </row>
    <row r="50" spans="1:10">
      <c r="A50" s="1862" t="str">
        <f>IFERROR(IF(B50="","",VLOOKUP(B50,Buget_detaliat!F:I,4,0)),"")</f>
        <v/>
      </c>
      <c r="B50"/>
      <c r="C50"/>
      <c r="D50"/>
      <c r="E50"/>
      <c r="F50"/>
      <c r="G50"/>
      <c r="H50"/>
      <c r="I50" s="1808"/>
      <c r="J50" s="1867"/>
    </row>
    <row r="51" spans="1:10">
      <c r="A51" s="1862" t="str">
        <f>IFERROR(IF(B51="","",VLOOKUP(B51,Buget_detaliat!F:I,4,0)),"")</f>
        <v/>
      </c>
      <c r="B51"/>
      <c r="C51"/>
      <c r="D51"/>
      <c r="E51"/>
      <c r="F51"/>
      <c r="G51"/>
      <c r="H51"/>
      <c r="I51" s="1808"/>
      <c r="J51" s="1867"/>
    </row>
    <row r="52" spans="1:10">
      <c r="A52" s="1862" t="str">
        <f>IFERROR(IF(B52="","",VLOOKUP(B52,Buget_detaliat!F:I,4,0)),"")</f>
        <v/>
      </c>
      <c r="B52"/>
      <c r="C52"/>
      <c r="D52"/>
      <c r="E52"/>
      <c r="F52"/>
      <c r="G52"/>
      <c r="H52"/>
      <c r="I52" s="1808"/>
      <c r="J52" s="1867"/>
    </row>
    <row r="53" spans="1:10">
      <c r="A53" s="1862" t="str">
        <f>IFERROR(IF(B53="","",VLOOKUP(B53,Buget_detaliat!F:I,4,0)),"")</f>
        <v/>
      </c>
      <c r="B53"/>
      <c r="C53"/>
      <c r="D53"/>
      <c r="E53"/>
      <c r="F53"/>
      <c r="G53"/>
      <c r="H53"/>
      <c r="I53" s="1808"/>
      <c r="J53" s="1867"/>
    </row>
    <row r="54" spans="1:10">
      <c r="A54" s="1862" t="str">
        <f>IFERROR(IF(B54="","",VLOOKUP(B54,Buget_detaliat!F:I,4,0)),"")</f>
        <v/>
      </c>
      <c r="B54"/>
      <c r="C54"/>
      <c r="D54"/>
      <c r="E54"/>
      <c r="F54"/>
      <c r="G54"/>
      <c r="H54"/>
      <c r="I54" s="1808"/>
      <c r="J54" s="1867"/>
    </row>
    <row r="55" spans="1:10">
      <c r="A55" s="1862" t="str">
        <f>IFERROR(IF(B55="","",VLOOKUP(B55,Buget_detaliat!F:I,4,0)),"")</f>
        <v/>
      </c>
      <c r="B55"/>
      <c r="C55"/>
      <c r="D55"/>
      <c r="E55"/>
      <c r="F55"/>
      <c r="G55"/>
      <c r="H55"/>
      <c r="I55" s="1808"/>
      <c r="J55" s="1867"/>
    </row>
    <row r="56" spans="1:10">
      <c r="A56" s="1862" t="str">
        <f>IFERROR(IF(B56="","",VLOOKUP(B56,Buget_detaliat!F:I,4,0)),"")</f>
        <v/>
      </c>
      <c r="B56"/>
      <c r="C56"/>
      <c r="D56"/>
      <c r="E56"/>
      <c r="F56"/>
      <c r="G56"/>
      <c r="H56"/>
      <c r="I56" s="1808"/>
      <c r="J56" s="1867"/>
    </row>
    <row r="57" spans="1:10">
      <c r="A57" s="1862" t="str">
        <f>IFERROR(IF(B57="","",VLOOKUP(B57,Buget_detaliat!F:I,4,0)),"")</f>
        <v/>
      </c>
      <c r="B57"/>
      <c r="C57"/>
      <c r="D57"/>
      <c r="E57"/>
      <c r="F57"/>
      <c r="G57"/>
      <c r="H57"/>
      <c r="I57" s="1808"/>
      <c r="J57" s="1867"/>
    </row>
    <row r="58" spans="1:10">
      <c r="A58" s="1862" t="str">
        <f>IFERROR(IF(B58="","",VLOOKUP(B58,Buget_detaliat!F:I,4,0)),"")</f>
        <v/>
      </c>
      <c r="B58"/>
      <c r="C58"/>
      <c r="D58"/>
      <c r="E58"/>
      <c r="F58"/>
      <c r="G58"/>
      <c r="H58"/>
      <c r="I58" s="1808"/>
      <c r="J58" s="1867"/>
    </row>
    <row r="59" spans="1:10">
      <c r="A59" s="1862" t="str">
        <f>IFERROR(IF(B59="","",VLOOKUP(B59,Buget_detaliat!F:I,4,0)),"")</f>
        <v/>
      </c>
      <c r="B59"/>
      <c r="C59"/>
      <c r="D59"/>
      <c r="E59"/>
      <c r="F59"/>
      <c r="G59"/>
      <c r="H59"/>
      <c r="I59" s="1808"/>
      <c r="J59" s="1867"/>
    </row>
    <row r="60" spans="1:10">
      <c r="A60" s="1862" t="str">
        <f>IFERROR(IF(B60="","",VLOOKUP(B60,Buget_detaliat!F:I,4,0)),"")</f>
        <v/>
      </c>
      <c r="B60"/>
      <c r="C60"/>
      <c r="D60"/>
      <c r="E60"/>
      <c r="F60"/>
      <c r="G60"/>
      <c r="H60"/>
      <c r="I60" s="1808"/>
      <c r="J60" s="1867"/>
    </row>
    <row r="61" spans="1:10">
      <c r="A61" s="1862" t="str">
        <f>IFERROR(IF(B61="","",VLOOKUP(B61,Buget_detaliat!F:I,4,0)),"")</f>
        <v/>
      </c>
      <c r="B61"/>
      <c r="C61"/>
      <c r="D61"/>
      <c r="E61"/>
      <c r="F61"/>
      <c r="G61"/>
      <c r="H61"/>
      <c r="I61" s="1808"/>
      <c r="J61" s="1867"/>
    </row>
    <row r="62" spans="1:10">
      <c r="A62" s="1862" t="str">
        <f>IFERROR(IF(B62="","",VLOOKUP(B62,Buget_detaliat!F:I,4,0)),"")</f>
        <v/>
      </c>
      <c r="B62"/>
      <c r="C62"/>
      <c r="D62"/>
      <c r="E62"/>
      <c r="F62"/>
      <c r="G62"/>
      <c r="H62"/>
      <c r="I62" s="1808"/>
      <c r="J62" s="1867"/>
    </row>
    <row r="63" spans="1:10">
      <c r="A63" s="1862" t="str">
        <f>IFERROR(IF(B63="","",VLOOKUP(B63,Buget_detaliat!F:I,4,0)),"")</f>
        <v/>
      </c>
      <c r="B63"/>
      <c r="C63"/>
      <c r="D63"/>
      <c r="E63"/>
      <c r="F63"/>
      <c r="G63"/>
      <c r="H63"/>
      <c r="I63" s="1808"/>
      <c r="J63" s="1867"/>
    </row>
    <row r="64" spans="1:10">
      <c r="A64" s="1862" t="str">
        <f>IFERROR(IF(B64="","",VLOOKUP(B64,Buget_detaliat!F:I,4,0)),"")</f>
        <v/>
      </c>
      <c r="B64"/>
      <c r="C64"/>
      <c r="D64"/>
      <c r="E64"/>
      <c r="F64"/>
      <c r="G64"/>
      <c r="H64"/>
      <c r="I64" s="1808"/>
      <c r="J64" s="1867"/>
    </row>
    <row r="65" spans="1:10">
      <c r="A65" s="1862" t="str">
        <f>IFERROR(IF(B65="","",VLOOKUP(B65,Buget_detaliat!F:I,4,0)),"")</f>
        <v/>
      </c>
      <c r="B65"/>
      <c r="C65"/>
      <c r="D65"/>
      <c r="E65"/>
      <c r="F65"/>
      <c r="G65"/>
      <c r="H65"/>
      <c r="I65" s="1808"/>
      <c r="J65" s="1867"/>
    </row>
    <row r="66" spans="1:10">
      <c r="A66" s="1862" t="str">
        <f>IFERROR(IF(B66="","",VLOOKUP(B66,Buget_detaliat!F:I,4,0)),"")</f>
        <v/>
      </c>
      <c r="B66"/>
      <c r="C66"/>
      <c r="D66"/>
      <c r="E66"/>
      <c r="F66"/>
      <c r="G66"/>
      <c r="H66"/>
      <c r="I66" s="1808"/>
      <c r="J66" s="1867"/>
    </row>
    <row r="67" spans="1:10">
      <c r="A67" s="1862" t="str">
        <f>IFERROR(IF(B67="","",VLOOKUP(B67,Buget_detaliat!F:I,4,0)),"")</f>
        <v/>
      </c>
      <c r="B67"/>
      <c r="C67"/>
      <c r="D67"/>
      <c r="E67"/>
      <c r="F67"/>
      <c r="G67"/>
      <c r="H67"/>
      <c r="I67" s="1808"/>
      <c r="J67" s="1867"/>
    </row>
    <row r="68" spans="1:10">
      <c r="A68" s="1862" t="str">
        <f>IFERROR(IF(B68="","",VLOOKUP(B68,Buget_detaliat!F:I,4,0)),"")</f>
        <v/>
      </c>
      <c r="B68"/>
      <c r="C68"/>
      <c r="D68"/>
      <c r="E68"/>
      <c r="F68"/>
      <c r="G68"/>
      <c r="H68"/>
      <c r="I68" s="1808"/>
      <c r="J68" s="1867"/>
    </row>
    <row r="69" spans="1:10">
      <c r="A69" s="1862" t="str">
        <f>IFERROR(IF(B69="","",VLOOKUP(B69,Buget_detaliat!F:I,4,0)),"")</f>
        <v/>
      </c>
      <c r="B69"/>
      <c r="C69"/>
      <c r="D69"/>
      <c r="E69"/>
      <c r="F69"/>
      <c r="G69"/>
      <c r="H69"/>
      <c r="I69" s="1808"/>
      <c r="J69" s="1867"/>
    </row>
    <row r="70" spans="1:10">
      <c r="A70" s="1862" t="str">
        <f>IFERROR(IF(B70="","",VLOOKUP(B70,Buget_detaliat!F:I,4,0)),"")</f>
        <v/>
      </c>
      <c r="B70"/>
      <c r="C70"/>
      <c r="D70"/>
      <c r="E70"/>
      <c r="F70"/>
      <c r="G70"/>
      <c r="H70"/>
      <c r="I70" s="1808"/>
      <c r="J70" s="1867"/>
    </row>
    <row r="71" spans="1:10">
      <c r="A71" s="1862" t="str">
        <f>IFERROR(IF(B71="","",VLOOKUP(B71,Buget_detaliat!F:I,4,0)),"")</f>
        <v/>
      </c>
      <c r="B71"/>
      <c r="C71"/>
      <c r="D71"/>
      <c r="E71"/>
      <c r="F71"/>
      <c r="G71"/>
      <c r="H71"/>
      <c r="I71" s="1808"/>
      <c r="J71" s="1867"/>
    </row>
    <row r="72" spans="1:10">
      <c r="A72" s="1862" t="str">
        <f>IFERROR(IF(B72="","",VLOOKUP(B72,Buget_detaliat!F:I,4,0)),"")</f>
        <v/>
      </c>
      <c r="B72"/>
      <c r="C72"/>
      <c r="D72"/>
      <c r="E72"/>
      <c r="F72"/>
      <c r="G72"/>
      <c r="H72"/>
      <c r="I72" s="1808"/>
      <c r="J72" s="1867"/>
    </row>
    <row r="73" spans="1:10">
      <c r="A73" s="1862" t="str">
        <f>IFERROR(IF(B73="","",VLOOKUP(B73,Buget_detaliat!F:I,4,0)),"")</f>
        <v/>
      </c>
      <c r="B73"/>
      <c r="C73"/>
      <c r="D73"/>
      <c r="E73"/>
      <c r="F73"/>
      <c r="G73"/>
      <c r="H73"/>
      <c r="I73" s="1808"/>
      <c r="J73" s="1867"/>
    </row>
    <row r="74" spans="1:10">
      <c r="A74" s="1862" t="str">
        <f>IFERROR(IF(B74="","",VLOOKUP(B74,Buget_detaliat!F:I,4,0)),"")</f>
        <v/>
      </c>
      <c r="B74"/>
      <c r="C74"/>
      <c r="D74"/>
      <c r="E74"/>
      <c r="F74"/>
      <c r="G74"/>
      <c r="H74"/>
      <c r="I74" s="1808"/>
      <c r="J74" s="1867"/>
    </row>
    <row r="75" spans="1:10">
      <c r="A75" s="1862" t="str">
        <f>IFERROR(IF(B75="","",VLOOKUP(B75,Buget_detaliat!F:I,4,0)),"")</f>
        <v/>
      </c>
      <c r="B75"/>
      <c r="C75"/>
      <c r="D75"/>
      <c r="E75"/>
      <c r="F75"/>
      <c r="G75"/>
      <c r="H75"/>
      <c r="I75" s="1808"/>
      <c r="J75" s="1867"/>
    </row>
    <row r="76" spans="1:10">
      <c r="A76" s="1862" t="str">
        <f>IFERROR(IF(B76="","",VLOOKUP(B76,Buget_detaliat!F:I,4,0)),"")</f>
        <v/>
      </c>
      <c r="B76"/>
      <c r="C76"/>
      <c r="D76"/>
      <c r="E76"/>
      <c r="F76"/>
      <c r="G76"/>
      <c r="H76"/>
      <c r="I76" s="1808"/>
      <c r="J76" s="1867"/>
    </row>
    <row r="77" spans="1:10">
      <c r="A77" s="1862" t="str">
        <f>IFERROR(IF(B77="","",VLOOKUP(B77,Buget_detaliat!F:I,4,0)),"")</f>
        <v/>
      </c>
      <c r="B77"/>
      <c r="C77"/>
      <c r="D77"/>
      <c r="E77"/>
      <c r="F77"/>
      <c r="G77"/>
      <c r="H77"/>
      <c r="I77" s="1808"/>
      <c r="J77" s="1867"/>
    </row>
    <row r="78" spans="1:10">
      <c r="A78" s="1862" t="str">
        <f>IFERROR(IF(B78="","",VLOOKUP(B78,Buget_detaliat!F:I,4,0)),"")</f>
        <v/>
      </c>
      <c r="B78"/>
      <c r="C78"/>
      <c r="D78"/>
      <c r="E78"/>
      <c r="F78"/>
      <c r="G78"/>
      <c r="H78"/>
      <c r="I78" s="1808"/>
      <c r="J78" s="1867"/>
    </row>
    <row r="79" spans="1:10">
      <c r="A79" s="1862" t="str">
        <f>IFERROR(IF(B79="","",VLOOKUP(B79,Buget_detaliat!F:I,4,0)),"")</f>
        <v/>
      </c>
      <c r="B79"/>
      <c r="C79"/>
      <c r="D79"/>
      <c r="E79"/>
      <c r="F79"/>
      <c r="G79"/>
      <c r="H79"/>
      <c r="I79" s="1808"/>
      <c r="J79" s="1867"/>
    </row>
    <row r="80" spans="1:10">
      <c r="A80" s="1862" t="str">
        <f>IFERROR(IF(B80="","",VLOOKUP(B80,Buget_detaliat!F:I,4,0)),"")</f>
        <v/>
      </c>
      <c r="B80"/>
      <c r="C80"/>
      <c r="D80"/>
      <c r="E80"/>
      <c r="F80"/>
      <c r="G80"/>
      <c r="H80"/>
      <c r="I80" s="1808"/>
      <c r="J80" s="1867"/>
    </row>
    <row r="81" spans="1:10">
      <c r="A81" s="1862" t="str">
        <f>IFERROR(IF(B81="","",VLOOKUP(B81,Buget_detaliat!F:I,4,0)),"")</f>
        <v/>
      </c>
      <c r="B81"/>
      <c r="C81"/>
      <c r="D81"/>
      <c r="E81"/>
      <c r="F81"/>
      <c r="G81"/>
      <c r="H81"/>
      <c r="I81" s="1808"/>
      <c r="J81" s="1867"/>
    </row>
    <row r="82" spans="1:10">
      <c r="A82" s="1862" t="str">
        <f>IFERROR(IF(B82="","",VLOOKUP(B82,Buget_detaliat!F:I,4,0)),"")</f>
        <v/>
      </c>
      <c r="B82"/>
      <c r="C82"/>
      <c r="D82"/>
      <c r="E82"/>
      <c r="F82"/>
      <c r="G82"/>
      <c r="H82"/>
      <c r="I82" s="1808"/>
      <c r="J82" s="1867"/>
    </row>
    <row r="83" spans="1:10">
      <c r="A83" s="1862" t="str">
        <f>IFERROR(IF(B83="","",VLOOKUP(B83,Buget_detaliat!F:I,4,0)),"")</f>
        <v/>
      </c>
      <c r="B83"/>
      <c r="C83"/>
      <c r="D83"/>
      <c r="E83"/>
      <c r="F83"/>
      <c r="G83"/>
      <c r="H83"/>
      <c r="I83" s="1808"/>
      <c r="J83" s="1867"/>
    </row>
    <row r="84" spans="1:10">
      <c r="A84" s="1862" t="str">
        <f>IFERROR(IF(B84="","",VLOOKUP(B84,Buget_detaliat!F:I,4,0)),"")</f>
        <v/>
      </c>
      <c r="B84"/>
      <c r="C84"/>
      <c r="D84"/>
      <c r="E84"/>
      <c r="F84"/>
      <c r="G84"/>
      <c r="H84"/>
      <c r="I84" s="1808"/>
      <c r="J84" s="1867"/>
    </row>
    <row r="85" spans="1:10">
      <c r="A85" s="1862" t="str">
        <f>IFERROR(IF(B85="","",VLOOKUP(B85,Buget_detaliat!F:I,4,0)),"")</f>
        <v/>
      </c>
      <c r="B85"/>
      <c r="C85"/>
      <c r="D85"/>
      <c r="E85"/>
      <c r="F85"/>
      <c r="G85"/>
      <c r="H85"/>
      <c r="I85" s="1808"/>
      <c r="J85" s="1867"/>
    </row>
    <row r="86" spans="1:10">
      <c r="A86" s="1862" t="str">
        <f>IFERROR(IF(B86="","",VLOOKUP(B86,Buget_detaliat!F:I,4,0)),"")</f>
        <v/>
      </c>
      <c r="B86"/>
      <c r="C86"/>
      <c r="D86"/>
      <c r="E86"/>
      <c r="F86"/>
      <c r="G86"/>
      <c r="H86"/>
      <c r="I86" s="1808"/>
      <c r="J86" s="1867"/>
    </row>
    <row r="87" spans="1:10">
      <c r="A87" s="1862" t="str">
        <f>IFERROR(IF(B87="","",VLOOKUP(B87,Buget_detaliat!F:I,4,0)),"")</f>
        <v/>
      </c>
      <c r="B87"/>
      <c r="C87"/>
      <c r="D87"/>
      <c r="E87"/>
      <c r="F87"/>
      <c r="G87"/>
      <c r="H87"/>
      <c r="I87" s="1808"/>
      <c r="J87" s="1867"/>
    </row>
    <row r="88" spans="1:10">
      <c r="A88" s="1862" t="str">
        <f>IFERROR(IF(B88="","",VLOOKUP(B88,Buget_detaliat!F:I,4,0)),"")</f>
        <v/>
      </c>
      <c r="B88"/>
      <c r="C88"/>
      <c r="D88"/>
      <c r="E88"/>
      <c r="F88"/>
      <c r="G88"/>
      <c r="H88"/>
      <c r="I88" s="1808"/>
      <c r="J88" s="1867"/>
    </row>
    <row r="89" spans="1:10">
      <c r="A89" s="1862" t="str">
        <f>IFERROR(IF(B89="","",VLOOKUP(B89,Buget_detaliat!F:I,4,0)),"")</f>
        <v/>
      </c>
      <c r="B89"/>
      <c r="C89"/>
      <c r="D89"/>
      <c r="E89"/>
      <c r="F89"/>
      <c r="G89"/>
      <c r="H89"/>
      <c r="I89" s="1808"/>
      <c r="J89" s="1867"/>
    </row>
    <row r="90" spans="1:10">
      <c r="A90" s="1862" t="str">
        <f>IFERROR(IF(B90="","",VLOOKUP(B90,Buget_detaliat!F:I,4,0)),"")</f>
        <v/>
      </c>
      <c r="B90"/>
      <c r="C90"/>
      <c r="D90"/>
      <c r="E90"/>
      <c r="F90"/>
      <c r="G90"/>
      <c r="H90"/>
      <c r="I90" s="1808"/>
      <c r="J90" s="1867"/>
    </row>
    <row r="91" spans="1:10">
      <c r="A91" s="1862" t="str">
        <f>IFERROR(IF(B91="","",VLOOKUP(B91,Buget_detaliat!F:I,4,0)),"")</f>
        <v/>
      </c>
      <c r="B91"/>
      <c r="C91"/>
      <c r="D91"/>
      <c r="E91"/>
      <c r="F91"/>
      <c r="G91"/>
      <c r="H91"/>
      <c r="I91" s="1808"/>
      <c r="J91" s="1867"/>
    </row>
    <row r="92" spans="1:10">
      <c r="A92" s="1862" t="str">
        <f>IFERROR(IF(B92="","",VLOOKUP(B92,Buget_detaliat!F:I,4,0)),"")</f>
        <v/>
      </c>
      <c r="B92"/>
      <c r="C92"/>
      <c r="D92"/>
      <c r="E92"/>
      <c r="F92"/>
      <c r="G92"/>
      <c r="H92"/>
      <c r="I92" s="1808"/>
      <c r="J92" s="1867"/>
    </row>
    <row r="93" spans="1:10">
      <c r="A93" s="1862" t="str">
        <f>IFERROR(IF(B93="","",VLOOKUP(B93,Buget_detaliat!F:I,4,0)),"")</f>
        <v/>
      </c>
      <c r="B93"/>
      <c r="C93"/>
      <c r="D93"/>
      <c r="E93"/>
      <c r="F93"/>
      <c r="G93"/>
      <c r="H93"/>
      <c r="I93" s="1808"/>
      <c r="J93" s="1867"/>
    </row>
    <row r="94" spans="1:10">
      <c r="A94" s="1862" t="str">
        <f>IFERROR(IF(B94="","",VLOOKUP(B94,Buget_detaliat!F:I,4,0)),"")</f>
        <v/>
      </c>
      <c r="B94"/>
      <c r="C94"/>
      <c r="D94"/>
      <c r="E94"/>
      <c r="F94"/>
      <c r="G94"/>
      <c r="H94"/>
      <c r="I94" s="1808"/>
      <c r="J94" s="1867"/>
    </row>
    <row r="95" spans="1:10">
      <c r="A95" s="1862" t="str">
        <f>IFERROR(IF(B95="","",VLOOKUP(B95,Buget_detaliat!F:I,4,0)),"")</f>
        <v/>
      </c>
      <c r="B95"/>
      <c r="C95"/>
      <c r="D95"/>
      <c r="E95"/>
      <c r="F95"/>
      <c r="G95"/>
      <c r="H95"/>
      <c r="I95" s="1808"/>
      <c r="J95" s="1867"/>
    </row>
    <row r="96" spans="1:10">
      <c r="A96" s="1862" t="str">
        <f>IFERROR(IF(B96="","",VLOOKUP(B96,Buget_detaliat!F:I,4,0)),"")</f>
        <v/>
      </c>
      <c r="B96"/>
      <c r="C96"/>
      <c r="D96"/>
      <c r="E96"/>
      <c r="F96"/>
      <c r="G96"/>
      <c r="H96"/>
      <c r="I96" s="1808"/>
      <c r="J96" s="1867"/>
    </row>
    <row r="97" spans="1:10">
      <c r="A97" s="1862" t="str">
        <f>IFERROR(IF(B97="","",VLOOKUP(B97,Buget_detaliat!F:I,4,0)),"")</f>
        <v/>
      </c>
      <c r="B97"/>
      <c r="C97"/>
      <c r="D97"/>
      <c r="E97"/>
      <c r="F97"/>
      <c r="G97"/>
      <c r="H97"/>
      <c r="I97" s="1808"/>
      <c r="J97" s="1867"/>
    </row>
    <row r="98" spans="1:10">
      <c r="A98" s="1862" t="str">
        <f>IFERROR(IF(B98="","",VLOOKUP(B98,Buget_detaliat!F:I,4,0)),"")</f>
        <v/>
      </c>
      <c r="B98"/>
      <c r="C98"/>
      <c r="D98"/>
      <c r="E98"/>
      <c r="F98"/>
      <c r="G98"/>
      <c r="H98"/>
      <c r="I98" s="1808"/>
      <c r="J98" s="1867"/>
    </row>
    <row r="99" spans="1:10">
      <c r="A99" s="1862" t="str">
        <f>IFERROR(IF(B99="","",VLOOKUP(B99,Buget_detaliat!F:I,4,0)),"")</f>
        <v/>
      </c>
      <c r="B99"/>
      <c r="C99"/>
      <c r="D99"/>
      <c r="E99"/>
      <c r="F99"/>
      <c r="G99"/>
      <c r="H99"/>
      <c r="I99" s="1808"/>
      <c r="J99" s="1867"/>
    </row>
    <row r="100" spans="1:10">
      <c r="A100" s="1862" t="str">
        <f>IFERROR(IF(B100="","",VLOOKUP(B100,Buget_detaliat!F:I,4,0)),"")</f>
        <v/>
      </c>
      <c r="B100"/>
      <c r="C100"/>
      <c r="D100"/>
      <c r="E100"/>
      <c r="F100"/>
      <c r="G100"/>
      <c r="H100"/>
      <c r="I100" s="1808"/>
      <c r="J100" s="1867"/>
    </row>
    <row r="101" spans="1:10">
      <c r="A101" s="1862" t="str">
        <f>IFERROR(IF(B101="","",VLOOKUP(B101,Buget_detaliat!F:I,4,0)),"")</f>
        <v/>
      </c>
      <c r="B101"/>
      <c r="C101"/>
      <c r="D101"/>
      <c r="E101"/>
      <c r="F101"/>
      <c r="G101"/>
      <c r="H101"/>
      <c r="I101" s="1808"/>
      <c r="J101" s="1867"/>
    </row>
    <row r="102" spans="1:10">
      <c r="A102" s="1862" t="str">
        <f>IFERROR(IF(B102="","",VLOOKUP(B102,Buget_detaliat!F:I,4,0)),"")</f>
        <v/>
      </c>
      <c r="B102"/>
      <c r="C102"/>
      <c r="D102"/>
      <c r="E102"/>
      <c r="F102"/>
      <c r="G102"/>
      <c r="H102"/>
      <c r="I102" s="1808"/>
      <c r="J102" s="1867"/>
    </row>
    <row r="103" spans="1:10">
      <c r="A103" s="1862" t="str">
        <f>IFERROR(IF(B103="","",VLOOKUP(B103,Buget_detaliat!F:I,4,0)),"")</f>
        <v/>
      </c>
      <c r="B103"/>
      <c r="C103"/>
      <c r="D103"/>
      <c r="E103"/>
      <c r="F103"/>
      <c r="G103"/>
      <c r="H103"/>
      <c r="I103" s="1808"/>
      <c r="J103" s="1867"/>
    </row>
    <row r="104" spans="1:10">
      <c r="A104" s="1862" t="str">
        <f>IFERROR(IF(B104="","",VLOOKUP(B104,Buget_detaliat!F:I,4,0)),"")</f>
        <v/>
      </c>
      <c r="B104"/>
      <c r="C104"/>
      <c r="D104"/>
      <c r="E104"/>
      <c r="F104"/>
      <c r="G104"/>
      <c r="H104"/>
      <c r="I104" s="1808"/>
      <c r="J104" s="1867"/>
    </row>
    <row r="105" spans="1:10">
      <c r="A105" s="1862" t="str">
        <f>IFERROR(IF(B105="","",VLOOKUP(B105,Buget_detaliat!F:I,4,0)),"")</f>
        <v/>
      </c>
      <c r="B105"/>
      <c r="C105"/>
      <c r="D105"/>
      <c r="E105"/>
      <c r="F105"/>
      <c r="G105"/>
      <c r="H105"/>
      <c r="I105" s="1808"/>
      <c r="J105" s="1867"/>
    </row>
    <row r="106" spans="1:10">
      <c r="A106" s="1862" t="str">
        <f>IFERROR(IF(B106="","",VLOOKUP(B106,Buget_detaliat!F:I,4,0)),"")</f>
        <v/>
      </c>
      <c r="B106"/>
      <c r="C106"/>
      <c r="D106"/>
      <c r="E106"/>
      <c r="F106"/>
      <c r="G106"/>
      <c r="H106"/>
      <c r="I106" s="1808"/>
      <c r="J106" s="1867"/>
    </row>
    <row r="107" spans="1:10">
      <c r="A107" s="1862" t="str">
        <f>IFERROR(IF(B107="","",VLOOKUP(B107,Buget_detaliat!F:I,4,0)),"")</f>
        <v/>
      </c>
      <c r="B107"/>
      <c r="C107"/>
      <c r="D107"/>
      <c r="E107"/>
      <c r="F107"/>
      <c r="G107"/>
      <c r="H107"/>
      <c r="I107" s="1808"/>
      <c r="J107" s="1867"/>
    </row>
    <row r="108" spans="1:10">
      <c r="A108" s="1862" t="str">
        <f>IFERROR(IF(B108="","",VLOOKUP(B108,Buget_detaliat!F:I,4,0)),"")</f>
        <v/>
      </c>
      <c r="B108"/>
      <c r="C108"/>
      <c r="D108"/>
      <c r="E108"/>
      <c r="F108"/>
      <c r="G108"/>
      <c r="H108"/>
      <c r="I108" s="1808"/>
      <c r="J108" s="1867"/>
    </row>
    <row r="109" spans="1:10">
      <c r="A109" s="1862" t="str">
        <f>IFERROR(IF(B109="","",VLOOKUP(B109,Buget_detaliat!F:I,4,0)),"")</f>
        <v/>
      </c>
      <c r="B109"/>
      <c r="C109"/>
      <c r="D109"/>
      <c r="E109"/>
      <c r="F109"/>
      <c r="G109"/>
      <c r="H109"/>
      <c r="I109" s="1808"/>
      <c r="J109" s="1867"/>
    </row>
    <row r="110" spans="1:10">
      <c r="A110" s="1862" t="str">
        <f>IFERROR(IF(B110="","",VLOOKUP(B110,Buget_detaliat!F:I,4,0)),"")</f>
        <v/>
      </c>
      <c r="B110"/>
      <c r="C110"/>
      <c r="D110"/>
      <c r="E110"/>
      <c r="F110"/>
      <c r="G110"/>
      <c r="H110"/>
      <c r="I110" s="1808"/>
      <c r="J110" s="1867"/>
    </row>
    <row r="111" spans="1:10">
      <c r="A111" s="1862" t="str">
        <f>IFERROR(IF(B111="","",VLOOKUP(B111,Buget_detaliat!F:I,4,0)),"")</f>
        <v/>
      </c>
      <c r="B111"/>
      <c r="C111"/>
      <c r="D111"/>
      <c r="E111"/>
      <c r="F111"/>
      <c r="G111"/>
      <c r="H111"/>
      <c r="I111" s="1808"/>
      <c r="J111" s="1867"/>
    </row>
    <row r="112" spans="1:10">
      <c r="A112" s="1862" t="str">
        <f>IFERROR(IF(B112="","",VLOOKUP(B112,Buget_detaliat!F:I,4,0)),"")</f>
        <v/>
      </c>
      <c r="B112"/>
      <c r="C112"/>
      <c r="D112"/>
      <c r="E112"/>
      <c r="F112"/>
      <c r="G112"/>
      <c r="H112"/>
      <c r="I112" s="1808"/>
      <c r="J112" s="1867"/>
    </row>
    <row r="113" spans="1:10">
      <c r="A113" s="1862" t="str">
        <f>IFERROR(IF(B113="","",VLOOKUP(B113,Buget_detaliat!F:I,4,0)),"")</f>
        <v/>
      </c>
      <c r="B113"/>
      <c r="C113"/>
      <c r="D113"/>
      <c r="E113"/>
      <c r="F113"/>
      <c r="G113"/>
      <c r="H113"/>
      <c r="I113" s="1808"/>
      <c r="J113" s="1867"/>
    </row>
    <row r="114" spans="1:10">
      <c r="A114" s="1862" t="str">
        <f>IFERROR(IF(B114="","",VLOOKUP(B114,Buget_detaliat!F:I,4,0)),"")</f>
        <v/>
      </c>
      <c r="B114"/>
      <c r="C114"/>
      <c r="D114"/>
      <c r="E114"/>
      <c r="F114"/>
      <c r="G114"/>
      <c r="H114"/>
      <c r="I114" s="1808"/>
      <c r="J114" s="1867"/>
    </row>
    <row r="115" spans="1:10">
      <c r="A115" s="1862" t="str">
        <f>IFERROR(IF(B115="","",VLOOKUP(B115,Buget_detaliat!F:I,4,0)),"")</f>
        <v/>
      </c>
      <c r="B115"/>
      <c r="C115"/>
      <c r="D115"/>
      <c r="E115"/>
      <c r="F115"/>
      <c r="G115"/>
      <c r="H115"/>
      <c r="I115" s="1808"/>
      <c r="J115" s="1867"/>
    </row>
    <row r="116" spans="1:10">
      <c r="A116" s="1862" t="str">
        <f>IFERROR(IF(B116="","",VLOOKUP(B116,Buget_detaliat!F:I,4,0)),"")</f>
        <v/>
      </c>
      <c r="B116"/>
      <c r="C116"/>
      <c r="D116"/>
      <c r="E116"/>
      <c r="F116"/>
      <c r="G116"/>
      <c r="H116"/>
      <c r="I116" s="1808"/>
      <c r="J116" s="1867"/>
    </row>
    <row r="117" spans="1:10">
      <c r="A117" s="1862" t="str">
        <f>IFERROR(IF(B117="","",VLOOKUP(B117,Buget_detaliat!F:I,4,0)),"")</f>
        <v/>
      </c>
      <c r="B117"/>
      <c r="C117"/>
      <c r="D117"/>
      <c r="E117"/>
      <c r="F117"/>
      <c r="G117"/>
      <c r="H117"/>
      <c r="I117" s="1808"/>
      <c r="J117" s="1867"/>
    </row>
    <row r="118" spans="1:10">
      <c r="A118" s="1862" t="str">
        <f>IFERROR(IF(B118="","",VLOOKUP(B118,Buget_detaliat!F:I,4,0)),"")</f>
        <v/>
      </c>
      <c r="B118"/>
      <c r="C118"/>
      <c r="D118"/>
      <c r="E118"/>
      <c r="F118"/>
      <c r="G118"/>
      <c r="H118"/>
      <c r="I118" s="1808"/>
      <c r="J118" s="1867"/>
    </row>
    <row r="119" spans="1:10">
      <c r="A119" s="1862" t="str">
        <f>IFERROR(IF(B119="","",VLOOKUP(B119,Buget_detaliat!F:I,4,0)),"")</f>
        <v/>
      </c>
      <c r="B119"/>
      <c r="C119"/>
      <c r="D119"/>
      <c r="E119"/>
      <c r="F119"/>
      <c r="G119"/>
      <c r="H119"/>
      <c r="I119" s="1808"/>
      <c r="J119" s="1867"/>
    </row>
    <row r="120" spans="1:10">
      <c r="A120" s="1862" t="str">
        <f>IFERROR(IF(B120="","",VLOOKUP(B120,Buget_detaliat!F:I,4,0)),"")</f>
        <v/>
      </c>
      <c r="B120"/>
      <c r="C120"/>
      <c r="D120"/>
      <c r="E120"/>
      <c r="F120"/>
      <c r="G120"/>
      <c r="H120"/>
      <c r="I120" s="1808"/>
      <c r="J120" s="1867"/>
    </row>
    <row r="121" spans="1:10">
      <c r="A121" s="1862" t="str">
        <f>IFERROR(IF(B121="","",VLOOKUP(B121,Buget_detaliat!F:I,4,0)),"")</f>
        <v/>
      </c>
      <c r="B121"/>
      <c r="C121"/>
      <c r="D121"/>
      <c r="E121"/>
      <c r="F121"/>
      <c r="G121"/>
      <c r="H121"/>
      <c r="I121" s="1808"/>
      <c r="J121" s="1867"/>
    </row>
    <row r="122" spans="1:10">
      <c r="A122" s="1862" t="str">
        <f>IFERROR(IF(B122="","",VLOOKUP(B122,Buget_detaliat!F:I,4,0)),"")</f>
        <v/>
      </c>
      <c r="B122"/>
      <c r="C122"/>
      <c r="D122"/>
      <c r="E122"/>
      <c r="F122"/>
      <c r="G122"/>
      <c r="H122"/>
      <c r="I122" s="1808"/>
      <c r="J122" s="1867"/>
    </row>
    <row r="123" spans="1:10">
      <c r="A123" s="1862" t="str">
        <f>IFERROR(IF(B123="","",VLOOKUP(B123,Buget_detaliat!F:I,4,0)),"")</f>
        <v/>
      </c>
      <c r="B123"/>
      <c r="C123"/>
      <c r="D123"/>
      <c r="E123"/>
      <c r="F123"/>
      <c r="G123"/>
      <c r="H123"/>
      <c r="I123" s="1808"/>
      <c r="J123" s="1867"/>
    </row>
    <row r="124" spans="1:10">
      <c r="A124" s="1862" t="str">
        <f>IFERROR(IF(B124="","",VLOOKUP(B124,Buget_detaliat!F:I,4,0)),"")</f>
        <v/>
      </c>
      <c r="B124"/>
      <c r="C124"/>
      <c r="D124"/>
      <c r="E124"/>
      <c r="F124"/>
      <c r="G124"/>
      <c r="H124"/>
      <c r="I124" s="1808"/>
      <c r="J124" s="1867"/>
    </row>
    <row r="125" spans="1:10">
      <c r="A125" s="1862" t="str">
        <f>IFERROR(IF(B125="","",VLOOKUP(B125,Buget_detaliat!F:I,4,0)),"")</f>
        <v/>
      </c>
      <c r="B125"/>
      <c r="C125"/>
      <c r="D125"/>
      <c r="E125"/>
      <c r="F125"/>
      <c r="G125"/>
      <c r="H125"/>
      <c r="I125" s="1808"/>
      <c r="J125" s="1867"/>
    </row>
    <row r="126" spans="1:10">
      <c r="A126" s="1862" t="str">
        <f>IFERROR(IF(B126="","",VLOOKUP(B126,Buget_detaliat!F:I,4,0)),"")</f>
        <v/>
      </c>
      <c r="B126"/>
      <c r="C126"/>
      <c r="D126"/>
      <c r="E126"/>
      <c r="F126"/>
      <c r="G126"/>
      <c r="H126"/>
      <c r="I126" s="1808"/>
      <c r="J126" s="1867"/>
    </row>
    <row r="127" spans="1:10">
      <c r="A127" s="1862" t="str">
        <f>IFERROR(IF(B127="","",VLOOKUP(B127,Buget_detaliat!F:I,4,0)),"")</f>
        <v/>
      </c>
      <c r="B127"/>
      <c r="C127"/>
      <c r="D127"/>
      <c r="E127"/>
      <c r="F127"/>
      <c r="G127"/>
      <c r="H127"/>
      <c r="I127" s="1808"/>
      <c r="J127" s="1867"/>
    </row>
    <row r="128" spans="1:10">
      <c r="A128" s="1862" t="str">
        <f>IFERROR(IF(B128="","",VLOOKUP(B128,Buget_detaliat!F:I,4,0)),"")</f>
        <v/>
      </c>
      <c r="B128"/>
      <c r="C128"/>
      <c r="D128"/>
      <c r="E128"/>
      <c r="F128"/>
      <c r="G128"/>
      <c r="H128"/>
      <c r="I128" s="1808"/>
      <c r="J128" s="1867"/>
    </row>
    <row r="129" spans="1:10">
      <c r="A129" s="1862" t="str">
        <f>IFERROR(IF(B129="","",VLOOKUP(B129,Buget_detaliat!F:I,4,0)),"")</f>
        <v/>
      </c>
      <c r="B129"/>
      <c r="C129"/>
      <c r="D129"/>
      <c r="E129"/>
      <c r="F129"/>
      <c r="G129"/>
      <c r="H129"/>
      <c r="I129" s="1808"/>
      <c r="J129" s="1867"/>
    </row>
    <row r="130" spans="1:10">
      <c r="A130" s="1862" t="str">
        <f>IFERROR(IF(B130="","",VLOOKUP(B130,Buget_detaliat!F:I,4,0)),"")</f>
        <v/>
      </c>
      <c r="B130"/>
      <c r="C130"/>
      <c r="D130"/>
      <c r="E130"/>
      <c r="F130"/>
      <c r="G130"/>
      <c r="H130"/>
      <c r="I130" s="1808"/>
      <c r="J130" s="1867"/>
    </row>
    <row r="131" spans="1:10">
      <c r="A131" s="1862" t="str">
        <f>IFERROR(IF(B131="","",VLOOKUP(B131,Buget_detaliat!F:I,4,0)),"")</f>
        <v/>
      </c>
      <c r="B131"/>
      <c r="C131"/>
      <c r="D131"/>
      <c r="E131"/>
      <c r="F131"/>
      <c r="G131"/>
      <c r="H131"/>
      <c r="I131" s="1808"/>
      <c r="J131" s="1867"/>
    </row>
    <row r="132" spans="1:10">
      <c r="A132" s="1862" t="str">
        <f>IFERROR(IF(B132="","",VLOOKUP(B132,Buget_detaliat!F:I,4,0)),"")</f>
        <v/>
      </c>
      <c r="B132"/>
      <c r="C132"/>
      <c r="D132"/>
      <c r="E132"/>
      <c r="F132"/>
      <c r="G132"/>
      <c r="H132"/>
      <c r="I132" s="1808"/>
      <c r="J132" s="1867"/>
    </row>
    <row r="133" spans="1:10">
      <c r="A133" s="1862" t="str">
        <f>IFERROR(IF(B133="","",VLOOKUP(B133,Buget_detaliat!F:I,4,0)),"")</f>
        <v/>
      </c>
      <c r="B133"/>
      <c r="C133"/>
      <c r="D133"/>
      <c r="E133"/>
      <c r="F133"/>
      <c r="G133"/>
      <c r="H133"/>
      <c r="I133" s="1808"/>
      <c r="J133" s="1867"/>
    </row>
    <row r="134" spans="1:10">
      <c r="A134" s="1862" t="str">
        <f>IFERROR(IF(B134="","",VLOOKUP(B134,Buget_detaliat!F:I,4,0)),"")</f>
        <v/>
      </c>
      <c r="B134"/>
      <c r="C134"/>
      <c r="D134"/>
      <c r="E134"/>
      <c r="F134"/>
      <c r="G134"/>
      <c r="H134"/>
      <c r="I134" s="1808"/>
      <c r="J134" s="1867"/>
    </row>
    <row r="135" spans="1:10">
      <c r="A135" s="1862" t="str">
        <f>IFERROR(IF(B135="","",VLOOKUP(B135,Buget_detaliat!F:I,4,0)),"")</f>
        <v/>
      </c>
      <c r="B135"/>
      <c r="C135"/>
      <c r="D135"/>
      <c r="E135"/>
      <c r="F135"/>
      <c r="G135"/>
      <c r="H135"/>
      <c r="I135" s="1808"/>
      <c r="J135" s="1867"/>
    </row>
    <row r="136" spans="1:10">
      <c r="A136" s="1862" t="str">
        <f>IFERROR(IF(B136="","",VLOOKUP(B136,Buget_detaliat!F:I,4,0)),"")</f>
        <v/>
      </c>
      <c r="B136"/>
      <c r="C136"/>
      <c r="D136"/>
      <c r="E136"/>
      <c r="F136"/>
      <c r="G136"/>
      <c r="H136"/>
      <c r="I136" s="1808"/>
      <c r="J136" s="1867"/>
    </row>
    <row r="137" spans="1:10">
      <c r="A137" s="1862" t="str">
        <f>IFERROR(IF(B137="","",VLOOKUP(B137,Buget_detaliat!F:I,4,0)),"")</f>
        <v/>
      </c>
      <c r="B137"/>
      <c r="C137"/>
      <c r="D137"/>
      <c r="E137"/>
      <c r="F137"/>
      <c r="G137"/>
      <c r="H137"/>
      <c r="I137" s="1808"/>
      <c r="J137" s="1867"/>
    </row>
    <row r="138" spans="1:10">
      <c r="A138" s="1862" t="str">
        <f>IFERROR(IF(B138="","",VLOOKUP(B138,Buget_detaliat!F:I,4,0)),"")</f>
        <v/>
      </c>
      <c r="B138"/>
      <c r="C138"/>
      <c r="D138"/>
      <c r="E138"/>
      <c r="F138"/>
      <c r="G138"/>
      <c r="H138"/>
      <c r="I138" s="1808"/>
      <c r="J138" s="1867"/>
    </row>
    <row r="139" spans="1:10">
      <c r="A139" s="1862" t="str">
        <f>IFERROR(IF(B139="","",VLOOKUP(B139,Buget_detaliat!F:I,4,0)),"")</f>
        <v/>
      </c>
      <c r="B139"/>
      <c r="C139"/>
      <c r="D139"/>
      <c r="E139"/>
      <c r="F139"/>
      <c r="G139"/>
      <c r="H139"/>
      <c r="I139" s="1808"/>
      <c r="J139" s="1867"/>
    </row>
    <row r="140" spans="1:10">
      <c r="A140" s="1862" t="str">
        <f>IFERROR(IF(B140="","",VLOOKUP(B140,Buget_detaliat!F:I,4,0)),"")</f>
        <v/>
      </c>
      <c r="B140"/>
      <c r="C140"/>
      <c r="D140"/>
      <c r="E140"/>
      <c r="F140"/>
      <c r="G140"/>
      <c r="H140"/>
      <c r="I140" s="1808"/>
      <c r="J140" s="1867"/>
    </row>
    <row r="141" spans="1:10">
      <c r="A141" s="1862" t="str">
        <f>IFERROR(IF(B141="","",VLOOKUP(B141,Buget_detaliat!F:I,4,0)),"")</f>
        <v/>
      </c>
      <c r="B141"/>
      <c r="C141"/>
      <c r="D141"/>
      <c r="E141"/>
      <c r="F141"/>
      <c r="G141"/>
      <c r="H141"/>
    </row>
    <row r="142" spans="1:10">
      <c r="A142" s="1862" t="str">
        <f>IFERROR(IF(B142="","",VLOOKUP(B142,Buget_detaliat!F:I,4,0)),"")</f>
        <v/>
      </c>
      <c r="B142"/>
      <c r="C142"/>
      <c r="D142"/>
      <c r="E142"/>
      <c r="F142"/>
      <c r="G142"/>
      <c r="H142"/>
    </row>
    <row r="143" spans="1:10">
      <c r="A143" s="1862" t="str">
        <f>IFERROR(IF(B143="","",VLOOKUP(B143,Buget_detaliat!F:I,4,0)),"")</f>
        <v/>
      </c>
      <c r="B143"/>
      <c r="C143"/>
      <c r="D143"/>
      <c r="E143"/>
      <c r="F143"/>
      <c r="G143"/>
      <c r="H143"/>
    </row>
    <row r="144" spans="1:10">
      <c r="A144" s="1862" t="str">
        <f>IFERROR(IF(B144="","",VLOOKUP(B144,Buget_detaliat!F:I,4,0)),"")</f>
        <v/>
      </c>
      <c r="B144"/>
      <c r="C144"/>
      <c r="D144"/>
      <c r="E144"/>
      <c r="F144"/>
      <c r="G144"/>
      <c r="H144"/>
      <c r="I144" s="2110"/>
    </row>
    <row r="145" spans="1:10">
      <c r="A145" s="1862" t="str">
        <f>IFERROR(IF(B145="","",VLOOKUP(B145,Buget_detaliat!F:I,4,0)),"")</f>
        <v/>
      </c>
      <c r="B145"/>
      <c r="C145"/>
      <c r="D145"/>
      <c r="E145"/>
      <c r="F145"/>
      <c r="G145"/>
      <c r="H145"/>
      <c r="I145" s="2110"/>
    </row>
    <row r="146" spans="1:10">
      <c r="A146" s="1862" t="str">
        <f>IFERROR(IF(B146="","",VLOOKUP(B146,Buget_detaliat!F:I,4,0)),"")</f>
        <v/>
      </c>
      <c r="B146"/>
      <c r="C146"/>
      <c r="D146"/>
      <c r="E146"/>
      <c r="F146"/>
      <c r="G146"/>
      <c r="H146"/>
    </row>
    <row r="147" spans="1:10">
      <c r="A147" s="1862" t="str">
        <f>IFERROR(IF(B147="","",VLOOKUP(B147,Buget_detaliat!F:I,4,0)),"")</f>
        <v/>
      </c>
      <c r="B147"/>
      <c r="C147"/>
      <c r="D147"/>
      <c r="E147"/>
      <c r="F147"/>
      <c r="G147"/>
      <c r="H147"/>
    </row>
    <row r="148" spans="1:10">
      <c r="A148" s="1862" t="str">
        <f>IFERROR(IF(B148="","",VLOOKUP(B148,Buget_detaliat!F:I,4,0)),"")</f>
        <v/>
      </c>
      <c r="B148"/>
      <c r="C148"/>
      <c r="D148"/>
      <c r="E148"/>
      <c r="F148"/>
      <c r="G148"/>
      <c r="H148"/>
    </row>
    <row r="149" spans="1:10">
      <c r="A149" s="1862" t="str">
        <f>IFERROR(IF(B149="","",VLOOKUP(B149,Buget_detaliat!F:I,4,0)),"")</f>
        <v/>
      </c>
      <c r="B149"/>
      <c r="C149"/>
      <c r="D149"/>
      <c r="E149"/>
      <c r="F149"/>
      <c r="G149"/>
      <c r="H149"/>
    </row>
    <row r="150" spans="1:10">
      <c r="A150" s="1862" t="str">
        <f>IFERROR(IF(B150="","",VLOOKUP(B150,Buget_detaliat!F:I,4,0)),"")</f>
        <v/>
      </c>
      <c r="B150"/>
      <c r="C150"/>
      <c r="D150"/>
      <c r="E150"/>
      <c r="F150"/>
      <c r="G150"/>
      <c r="H150"/>
    </row>
    <row r="151" spans="1:10" s="1861" customFormat="1">
      <c r="A151" s="1862" t="str">
        <f>IFERROR(IF(B151="","",VLOOKUP(B151,Buget_detaliat!F:I,4,0)),"")</f>
        <v/>
      </c>
      <c r="B151"/>
      <c r="C151"/>
      <c r="D151"/>
      <c r="E151"/>
      <c r="F151"/>
      <c r="G151"/>
      <c r="H151"/>
    </row>
    <row r="152" spans="1:10" s="1861" customFormat="1">
      <c r="A152" s="1862" t="str">
        <f>IFERROR(IF(B152="","",VLOOKUP(B152,Buget_detaliat!F:I,4,0)),"")</f>
        <v/>
      </c>
      <c r="B152"/>
      <c r="C152"/>
      <c r="D152"/>
      <c r="E152"/>
      <c r="F152"/>
      <c r="G152"/>
      <c r="H152"/>
    </row>
    <row r="153" spans="1:10" s="1861" customFormat="1">
      <c r="A153" s="1862" t="str">
        <f>IFERROR(IF(B153="","",VLOOKUP(B153,Buget_detaliat!F:I,4,0)),"")</f>
        <v/>
      </c>
      <c r="B153"/>
      <c r="C153"/>
      <c r="D153"/>
      <c r="E153"/>
      <c r="F153"/>
      <c r="G153"/>
      <c r="H153"/>
    </row>
    <row r="154" spans="1:10">
      <c r="A154" s="1862" t="str">
        <f>IFERROR(IF(B154="","",VLOOKUP(B154,Buget_detaliat!F:I,4,0)),"")</f>
        <v/>
      </c>
      <c r="B154"/>
      <c r="C154"/>
      <c r="D154"/>
      <c r="E154"/>
      <c r="F154"/>
      <c r="G154"/>
      <c r="H154"/>
    </row>
    <row r="155" spans="1:10" s="1861" customFormat="1">
      <c r="A155" s="1862" t="str">
        <f>IFERROR(IF(B155="","",VLOOKUP(B155,Buget_detaliat!F:I,4,0)),"")</f>
        <v/>
      </c>
      <c r="B155"/>
      <c r="C155"/>
      <c r="D155"/>
      <c r="E155"/>
      <c r="F155"/>
      <c r="G155"/>
      <c r="H155"/>
      <c r="J155" s="2111" t="s">
        <v>3619</v>
      </c>
    </row>
    <row r="156" spans="1:10" s="1861" customFormat="1">
      <c r="A156" s="1862" t="str">
        <f>IFERROR(IF(B156="","",VLOOKUP(B156,Buget_detaliat!F:I,4,0)),"")</f>
        <v/>
      </c>
      <c r="B156"/>
      <c r="C156"/>
      <c r="D156"/>
      <c r="E156"/>
      <c r="F156"/>
      <c r="G156"/>
      <c r="H156"/>
    </row>
    <row r="157" spans="1:10" s="1861" customFormat="1">
      <c r="A157" s="1862" t="str">
        <f>IFERROR(IF(B157="","",VLOOKUP(B157,Buget_detaliat!F:I,4,0)),"")</f>
        <v/>
      </c>
      <c r="B157"/>
      <c r="C157"/>
      <c r="D157"/>
      <c r="E157"/>
      <c r="F157"/>
      <c r="G157"/>
      <c r="H157"/>
    </row>
    <row r="158" spans="1:10">
      <c r="A158" s="1862" t="str">
        <f>IFERROR(IF(B158="","",VLOOKUP(B158,Buget_detaliat!F:I,4,0)),"")</f>
        <v/>
      </c>
      <c r="B158"/>
      <c r="C158"/>
      <c r="D158"/>
      <c r="E158"/>
      <c r="F158"/>
      <c r="G158"/>
      <c r="H158"/>
    </row>
    <row r="159" spans="1:10">
      <c r="A159" s="1862" t="str">
        <f>IFERROR(IF(B159="","",VLOOKUP(B159,Buget_detaliat!F:I,4,0)),"")</f>
        <v/>
      </c>
      <c r="B159"/>
      <c r="C159"/>
      <c r="D159"/>
      <c r="E159"/>
      <c r="F159"/>
      <c r="G159"/>
      <c r="H159"/>
    </row>
    <row r="160" spans="1:10">
      <c r="A160" s="1862" t="str">
        <f>IFERROR(IF(B160="","",VLOOKUP(B160,Buget_detaliat!F:I,4,0)),"")</f>
        <v/>
      </c>
      <c r="B160"/>
      <c r="C160"/>
      <c r="D160"/>
      <c r="E160"/>
      <c r="F160"/>
      <c r="G160"/>
      <c r="H160"/>
    </row>
    <row r="161" spans="1:8">
      <c r="A161" s="1862" t="str">
        <f>IFERROR(IF(B161="","",VLOOKUP(B161,Buget_detaliat!F:I,4,0)),"")</f>
        <v/>
      </c>
      <c r="B161"/>
      <c r="C161"/>
      <c r="D161"/>
      <c r="E161"/>
      <c r="F161"/>
      <c r="G161"/>
      <c r="H161"/>
    </row>
    <row r="162" spans="1:8">
      <c r="A162" s="1862" t="str">
        <f>IFERROR(IF(B162="","",VLOOKUP(B162,Buget_detaliat!F:I,4,0)),"")</f>
        <v/>
      </c>
      <c r="B162"/>
      <c r="C162"/>
      <c r="D162"/>
      <c r="E162"/>
      <c r="F162"/>
      <c r="G162"/>
      <c r="H162"/>
    </row>
    <row r="163" spans="1:8">
      <c r="A163" s="1862" t="str">
        <f>IFERROR(IF(B163="","",VLOOKUP(B163,Buget_detaliat!F:I,4,0)),"")</f>
        <v/>
      </c>
      <c r="B163"/>
      <c r="C163"/>
      <c r="D163"/>
      <c r="E163"/>
      <c r="F163"/>
      <c r="G163"/>
      <c r="H163"/>
    </row>
    <row r="164" spans="1:8">
      <c r="A164" s="1862" t="str">
        <f>IFERROR(IF(B164="","",VLOOKUP(B164,Buget_detaliat!F:I,4,0)),"")</f>
        <v/>
      </c>
      <c r="B164"/>
      <c r="C164"/>
      <c r="D164"/>
      <c r="E164"/>
      <c r="F164"/>
      <c r="G164"/>
      <c r="H164"/>
    </row>
    <row r="165" spans="1:8">
      <c r="A165" s="1862" t="str">
        <f>IFERROR(IF(B165="","",VLOOKUP(B165,Buget_detaliat!F:I,4,0)),"")</f>
        <v/>
      </c>
      <c r="B165"/>
      <c r="C165"/>
      <c r="D165"/>
      <c r="E165"/>
      <c r="F165"/>
      <c r="G165"/>
      <c r="H165"/>
    </row>
    <row r="166" spans="1:8">
      <c r="A166" s="1862" t="str">
        <f>IFERROR(IF(B166="","",VLOOKUP(B166,Buget_detaliat!F:I,4,0)),"")</f>
        <v/>
      </c>
      <c r="B166"/>
      <c r="C166"/>
      <c r="D166"/>
      <c r="E166"/>
      <c r="F166"/>
      <c r="G166"/>
      <c r="H166"/>
    </row>
    <row r="167" spans="1:8">
      <c r="A167" s="1862" t="str">
        <f>IFERROR(IF(B167="","",VLOOKUP(B167,Buget_detaliat!F:I,4,0)),"")</f>
        <v/>
      </c>
      <c r="B167"/>
      <c r="C167"/>
      <c r="D167"/>
      <c r="E167"/>
      <c r="F167"/>
      <c r="G167"/>
      <c r="H167"/>
    </row>
    <row r="168" spans="1:8">
      <c r="A168" s="1862" t="str">
        <f>IFERROR(IF(B168="","",VLOOKUP(B168,Buget_detaliat!F:I,4,0)),"")</f>
        <v/>
      </c>
      <c r="B168"/>
      <c r="C168"/>
      <c r="D168"/>
      <c r="E168"/>
      <c r="F168"/>
      <c r="G168"/>
      <c r="H168"/>
    </row>
    <row r="169" spans="1:8">
      <c r="A169" s="1862" t="str">
        <f>IFERROR(IF(B169="","",VLOOKUP(B169,Buget_detaliat!F:I,4,0)),"")</f>
        <v/>
      </c>
      <c r="B169"/>
      <c r="C169"/>
      <c r="D169"/>
      <c r="E169"/>
      <c r="F169"/>
      <c r="G169"/>
      <c r="H169"/>
    </row>
    <row r="170" spans="1:8">
      <c r="A170" s="1862" t="str">
        <f>IFERROR(IF(B170="","",VLOOKUP(B170,Buget_detaliat!F:I,4,0)),"")</f>
        <v/>
      </c>
      <c r="B170"/>
      <c r="C170"/>
      <c r="D170"/>
      <c r="E170"/>
      <c r="F170"/>
      <c r="G170"/>
      <c r="H170"/>
    </row>
    <row r="171" spans="1:8">
      <c r="A171" s="1862" t="str">
        <f>IFERROR(IF(B171="","",VLOOKUP(B171,Buget_detaliat!F:I,4,0)),"")</f>
        <v/>
      </c>
      <c r="B171"/>
      <c r="C171"/>
      <c r="D171"/>
      <c r="E171"/>
      <c r="F171"/>
      <c r="G171"/>
      <c r="H171"/>
    </row>
    <row r="172" spans="1:8">
      <c r="A172" s="1862" t="str">
        <f>IFERROR(IF(B172="","",VLOOKUP(B172,Buget_detaliat!F:I,4,0)),"")</f>
        <v/>
      </c>
      <c r="B172"/>
      <c r="C172"/>
      <c r="D172"/>
      <c r="E172"/>
      <c r="F172"/>
      <c r="G172"/>
      <c r="H172"/>
    </row>
    <row r="173" spans="1:8">
      <c r="A173" s="1862" t="str">
        <f>IFERROR(IF(B173="","",VLOOKUP(B173,Buget_detaliat!F:I,4,0)),"")</f>
        <v/>
      </c>
      <c r="B173"/>
      <c r="C173"/>
      <c r="D173"/>
      <c r="E173"/>
      <c r="F173"/>
      <c r="G173"/>
      <c r="H173"/>
    </row>
    <row r="174" spans="1:8">
      <c r="A174" s="1862" t="str">
        <f>IFERROR(IF(B174="","",VLOOKUP(B174,Buget_detaliat!F:I,4,0)),"")</f>
        <v/>
      </c>
      <c r="B174"/>
      <c r="C174"/>
      <c r="D174"/>
      <c r="E174"/>
      <c r="F174"/>
      <c r="G174"/>
      <c r="H174"/>
    </row>
    <row r="175" spans="1:8">
      <c r="A175" s="1862" t="str">
        <f>IFERROR(IF(B175="","",VLOOKUP(B175,Buget_detaliat!F:I,4,0)),"")</f>
        <v/>
      </c>
      <c r="B175"/>
      <c r="C175"/>
      <c r="D175"/>
      <c r="E175"/>
      <c r="F175"/>
      <c r="G175"/>
      <c r="H175"/>
    </row>
    <row r="176" spans="1:8">
      <c r="A176" s="1862" t="str">
        <f>IFERROR(IF(B176="","",VLOOKUP(B176,Buget_detaliat!F:I,4,0)),"")</f>
        <v/>
      </c>
      <c r="B176"/>
      <c r="C176"/>
      <c r="D176"/>
      <c r="E176"/>
      <c r="F176"/>
      <c r="G176"/>
      <c r="H176"/>
    </row>
    <row r="177" spans="1:8">
      <c r="A177" s="1862" t="str">
        <f>IFERROR(IF(B177="","",VLOOKUP(B177,Buget_detaliat!F:I,4,0)),"")</f>
        <v/>
      </c>
      <c r="B177"/>
      <c r="C177"/>
      <c r="D177"/>
      <c r="E177"/>
      <c r="F177"/>
      <c r="G177"/>
      <c r="H177"/>
    </row>
    <row r="178" spans="1:8">
      <c r="A178" s="1862" t="str">
        <f>IFERROR(IF(B178="","",VLOOKUP(B178,Buget_detaliat!F:I,4,0)),"")</f>
        <v/>
      </c>
      <c r="B178"/>
      <c r="C178"/>
      <c r="D178"/>
      <c r="E178"/>
      <c r="F178"/>
      <c r="G178"/>
      <c r="H178"/>
    </row>
    <row r="179" spans="1:8">
      <c r="A179" s="1862" t="str">
        <f>IFERROR(IF(B179="","",VLOOKUP(B179,Buget_detaliat!F:I,4,0)),"")</f>
        <v/>
      </c>
      <c r="B179"/>
      <c r="C179"/>
      <c r="D179"/>
      <c r="E179"/>
      <c r="F179"/>
      <c r="G179"/>
      <c r="H179"/>
    </row>
    <row r="180" spans="1:8">
      <c r="A180" s="1862" t="str">
        <f>IFERROR(IF(B180="","",VLOOKUP(B180,Buget_detaliat!F:I,4,0)),"")</f>
        <v/>
      </c>
      <c r="B180"/>
      <c r="C180"/>
      <c r="D180"/>
      <c r="E180"/>
      <c r="F180"/>
      <c r="G180"/>
      <c r="H180"/>
    </row>
    <row r="181" spans="1:8">
      <c r="A181" s="1862" t="str">
        <f>IFERROR(IF(B181="","",VLOOKUP(B181,Buget_detaliat!F:I,4,0)),"")</f>
        <v/>
      </c>
      <c r="B181"/>
      <c r="C181"/>
      <c r="D181"/>
      <c r="E181"/>
      <c r="F181"/>
      <c r="G181"/>
      <c r="H181"/>
    </row>
    <row r="182" spans="1:8">
      <c r="A182" s="1862" t="str">
        <f>IFERROR(IF(B182="","",VLOOKUP(B182,Buget_detaliat!F:I,4,0)),"")</f>
        <v/>
      </c>
      <c r="B182"/>
      <c r="C182"/>
      <c r="D182"/>
      <c r="E182"/>
      <c r="F182"/>
      <c r="G182"/>
      <c r="H182"/>
    </row>
    <row r="183" spans="1:8">
      <c r="A183" s="1862" t="str">
        <f>IFERROR(IF(B183="","",VLOOKUP(B183,Buget_detaliat!F:I,4,0)),"")</f>
        <v/>
      </c>
      <c r="B183"/>
      <c r="C183"/>
      <c r="D183"/>
      <c r="E183"/>
      <c r="F183"/>
      <c r="G183"/>
      <c r="H183"/>
    </row>
    <row r="184" spans="1:8">
      <c r="A184" s="1862" t="str">
        <f>IFERROR(IF(B184="","",VLOOKUP(B184,Buget_detaliat!F:I,4,0)),"")</f>
        <v/>
      </c>
      <c r="B184"/>
      <c r="C184"/>
      <c r="D184"/>
      <c r="E184"/>
      <c r="F184"/>
      <c r="G184"/>
      <c r="H184"/>
    </row>
    <row r="185" spans="1:8">
      <c r="A185" s="1862" t="str">
        <f>IFERROR(IF(B185="","",VLOOKUP(B185,Buget_detaliat!F:I,4,0)),"")</f>
        <v/>
      </c>
      <c r="B185"/>
      <c r="C185"/>
      <c r="D185"/>
      <c r="E185"/>
      <c r="F185"/>
      <c r="G185"/>
      <c r="H185"/>
    </row>
    <row r="186" spans="1:8">
      <c r="A186" s="1862" t="str">
        <f>IFERROR(IF(B186="","",VLOOKUP(B186,Buget_detaliat!F:I,4,0)),"")</f>
        <v/>
      </c>
      <c r="B186"/>
      <c r="C186"/>
      <c r="D186"/>
      <c r="E186"/>
      <c r="F186"/>
      <c r="G186"/>
      <c r="H186"/>
    </row>
    <row r="187" spans="1:8">
      <c r="A187" s="1862" t="str">
        <f>IFERROR(IF(B187="","",VLOOKUP(B187,Buget_detaliat!F:I,4,0)),"")</f>
        <v/>
      </c>
      <c r="B187"/>
      <c r="C187"/>
      <c r="D187"/>
      <c r="E187"/>
      <c r="F187"/>
      <c r="G187"/>
      <c r="H187"/>
    </row>
    <row r="188" spans="1:8">
      <c r="A188" s="1862" t="str">
        <f>IFERROR(IF(B188="","",VLOOKUP(B188,Buget_detaliat!F:I,4,0)),"")</f>
        <v/>
      </c>
      <c r="B188"/>
      <c r="C188"/>
      <c r="D188"/>
      <c r="E188"/>
      <c r="F188"/>
      <c r="G188"/>
      <c r="H188"/>
    </row>
    <row r="189" spans="1:8">
      <c r="A189" s="1862" t="str">
        <f>IFERROR(IF(B189="","",VLOOKUP(B189,Buget_detaliat!F:I,4,0)),"")</f>
        <v/>
      </c>
      <c r="B189"/>
      <c r="C189"/>
      <c r="D189"/>
      <c r="E189"/>
      <c r="F189"/>
      <c r="G189"/>
      <c r="H189"/>
    </row>
    <row r="190" spans="1:8">
      <c r="A190" s="1862" t="str">
        <f>IFERROR(IF(B190="","",VLOOKUP(B190,Buget_detaliat!F:I,4,0)),"")</f>
        <v/>
      </c>
      <c r="B190"/>
      <c r="C190"/>
      <c r="D190"/>
      <c r="E190"/>
      <c r="F190"/>
      <c r="G190"/>
      <c r="H190"/>
    </row>
    <row r="191" spans="1:8">
      <c r="A191" s="1862" t="str">
        <f>IFERROR(IF(B191="","",VLOOKUP(B191,Buget_detaliat!F:I,4,0)),"")</f>
        <v/>
      </c>
      <c r="B191"/>
      <c r="C191"/>
      <c r="D191"/>
      <c r="E191"/>
      <c r="F191"/>
      <c r="G191"/>
      <c r="H191"/>
    </row>
    <row r="192" spans="1:8">
      <c r="A192" s="1862" t="str">
        <f>IFERROR(IF(B192="","",VLOOKUP(B192,Buget_detaliat!F:I,4,0)),"")</f>
        <v/>
      </c>
      <c r="B192"/>
      <c r="C192"/>
      <c r="D192"/>
      <c r="E192"/>
      <c r="F192"/>
      <c r="G192"/>
      <c r="H192"/>
    </row>
    <row r="193" spans="1:10" s="1861" customFormat="1">
      <c r="A193" s="1862" t="str">
        <f>IFERROR(IF(B193="","",VLOOKUP(B193,Buget_detaliat!F:I,4,0)),"")</f>
        <v/>
      </c>
      <c r="B193"/>
      <c r="C193"/>
      <c r="D193"/>
      <c r="E193"/>
      <c r="F193"/>
      <c r="G193"/>
      <c r="H193"/>
      <c r="J193" s="2111"/>
    </row>
    <row r="194" spans="1:10">
      <c r="A194" s="1862" t="str">
        <f>IFERROR(IF(B194="","",VLOOKUP(B194,Buget_detaliat!F:I,4,0)),"")</f>
        <v/>
      </c>
      <c r="B194"/>
      <c r="C194"/>
      <c r="D194"/>
      <c r="E194"/>
      <c r="F194"/>
      <c r="G194"/>
      <c r="H194"/>
    </row>
    <row r="195" spans="1:10">
      <c r="A195" s="1862" t="str">
        <f>IFERROR(IF(B195="","",VLOOKUP(B195,Buget_detaliat!F:I,4,0)),"")</f>
        <v/>
      </c>
      <c r="B195"/>
      <c r="C195"/>
      <c r="D195"/>
      <c r="E195"/>
      <c r="F195"/>
      <c r="G195"/>
      <c r="H195"/>
    </row>
    <row r="196" spans="1:10">
      <c r="A196" s="1862" t="str">
        <f>IFERROR(IF(B196="","",VLOOKUP(B196,Buget_detaliat!F:I,4,0)),"")</f>
        <v/>
      </c>
      <c r="B196"/>
      <c r="C196"/>
      <c r="D196"/>
      <c r="E196"/>
      <c r="F196"/>
      <c r="G196"/>
      <c r="H196"/>
    </row>
    <row r="197" spans="1:10">
      <c r="A197" s="1862" t="str">
        <f>IFERROR(IF(B197="","",VLOOKUP(B197,Buget_detaliat!F:I,4,0)),"")</f>
        <v/>
      </c>
      <c r="B197"/>
      <c r="C197"/>
      <c r="D197"/>
      <c r="E197"/>
      <c r="F197"/>
      <c r="G197"/>
      <c r="H197"/>
    </row>
    <row r="198" spans="1:10">
      <c r="A198" s="1862" t="str">
        <f>IFERROR(IF(B198="","",VLOOKUP(B198,Buget_detaliat!F:I,4,0)),"")</f>
        <v/>
      </c>
      <c r="B198"/>
      <c r="C198"/>
      <c r="D198"/>
      <c r="E198"/>
      <c r="F198"/>
      <c r="G198"/>
      <c r="H198"/>
    </row>
    <row r="199" spans="1:10">
      <c r="A199" s="1862" t="str">
        <f>IFERROR(IF(B199="","",VLOOKUP(B199,Buget_detaliat!F:I,4,0)),"")</f>
        <v/>
      </c>
      <c r="B199"/>
      <c r="C199"/>
      <c r="D199"/>
      <c r="E199"/>
      <c r="F199"/>
      <c r="G199"/>
      <c r="H199"/>
    </row>
    <row r="200" spans="1:10">
      <c r="A200" s="1862" t="str">
        <f>IFERROR(IF(B200="","",VLOOKUP(B200,Buget_detaliat!F:I,4,0)),"")</f>
        <v/>
      </c>
      <c r="B200"/>
      <c r="C200"/>
      <c r="D200"/>
      <c r="E200"/>
      <c r="F200"/>
      <c r="G200"/>
      <c r="H200"/>
    </row>
    <row r="201" spans="1:10">
      <c r="A201" s="1862" t="str">
        <f>IFERROR(IF(B201="","",VLOOKUP(B201,Buget_detaliat!F:I,4,0)),"")</f>
        <v/>
      </c>
      <c r="B201"/>
      <c r="C201"/>
      <c r="D201"/>
      <c r="E201"/>
      <c r="F201"/>
      <c r="G201"/>
      <c r="H201"/>
    </row>
    <row r="202" spans="1:10">
      <c r="A202" s="1862" t="str">
        <f>IFERROR(IF(B202="","",VLOOKUP(B202,Buget_detaliat!F:I,4,0)),"")</f>
        <v/>
      </c>
      <c r="B202"/>
      <c r="C202"/>
      <c r="D202"/>
      <c r="E202"/>
      <c r="F202"/>
      <c r="G202"/>
      <c r="H202"/>
    </row>
    <row r="203" spans="1:10">
      <c r="A203" s="1862" t="str">
        <f>IFERROR(IF(B203="","",VLOOKUP(B203,Buget_detaliat!F:I,4,0)),"")</f>
        <v/>
      </c>
      <c r="B203"/>
      <c r="C203"/>
      <c r="D203"/>
      <c r="E203"/>
      <c r="F203"/>
      <c r="G203"/>
      <c r="H203"/>
    </row>
    <row r="204" spans="1:10">
      <c r="A204" s="1862" t="str">
        <f>IFERROR(IF(B204="","",VLOOKUP(B204,Buget_detaliat!F:I,4,0)),"")</f>
        <v/>
      </c>
      <c r="B204"/>
      <c r="C204"/>
      <c r="D204"/>
      <c r="E204"/>
      <c r="F204"/>
      <c r="G204"/>
      <c r="H204"/>
    </row>
    <row r="205" spans="1:10">
      <c r="A205" s="1862" t="str">
        <f>IFERROR(IF(B205="","",VLOOKUP(B205,Buget_detaliat!F:I,4,0)),"")</f>
        <v/>
      </c>
      <c r="B205"/>
      <c r="C205"/>
      <c r="D205"/>
      <c r="E205"/>
      <c r="F205"/>
      <c r="G205"/>
      <c r="H205"/>
    </row>
    <row r="206" spans="1:10">
      <c r="A206" s="1862" t="str">
        <f>IFERROR(IF(B206="","",VLOOKUP(B206,Buget_detaliat!F:I,4,0)),"")</f>
        <v/>
      </c>
      <c r="B206"/>
      <c r="C206"/>
      <c r="D206"/>
      <c r="E206"/>
      <c r="F206"/>
      <c r="G206"/>
      <c r="H206"/>
    </row>
    <row r="207" spans="1:10">
      <c r="A207" s="1862" t="str">
        <f>IFERROR(IF(B207="","",VLOOKUP(B207,Buget_detaliat!F:I,4,0)),"")</f>
        <v/>
      </c>
      <c r="B207"/>
      <c r="C207"/>
      <c r="D207"/>
      <c r="E207"/>
      <c r="F207"/>
      <c r="G207"/>
      <c r="H207"/>
    </row>
    <row r="208" spans="1:10">
      <c r="A208" s="1862" t="str">
        <f>IFERROR(IF(B208="","",VLOOKUP(B208,Buget_detaliat!F:I,4,0)),"")</f>
        <v/>
      </c>
      <c r="B208"/>
      <c r="C208"/>
      <c r="D208"/>
      <c r="E208"/>
      <c r="F208"/>
      <c r="G208"/>
      <c r="H208"/>
    </row>
    <row r="209" spans="1:8">
      <c r="A209" s="1862" t="str">
        <f>IFERROR(IF(B209="","",VLOOKUP(B209,Buget_detaliat!F:I,4,0)),"")</f>
        <v/>
      </c>
      <c r="B209"/>
      <c r="C209"/>
      <c r="D209"/>
      <c r="E209"/>
      <c r="F209"/>
      <c r="G209"/>
      <c r="H209"/>
    </row>
    <row r="210" spans="1:8">
      <c r="A210" s="1862" t="str">
        <f>IFERROR(IF(B210="","",VLOOKUP(B210,Buget_detaliat!F:I,4,0)),"")</f>
        <v/>
      </c>
      <c r="B210"/>
      <c r="C210"/>
      <c r="D210"/>
      <c r="E210"/>
      <c r="F210"/>
      <c r="G210"/>
      <c r="H210"/>
    </row>
    <row r="211" spans="1:8">
      <c r="A211" s="1862" t="str">
        <f>IFERROR(IF(B211="","",VLOOKUP(B211,Buget_detaliat!F:I,4,0)),"")</f>
        <v/>
      </c>
      <c r="B211"/>
      <c r="C211"/>
      <c r="D211"/>
      <c r="E211"/>
      <c r="F211"/>
      <c r="G211"/>
      <c r="H211"/>
    </row>
    <row r="212" spans="1:8">
      <c r="A212" s="1862" t="str">
        <f>IFERROR(IF(B212="","",VLOOKUP(B212,Buget_detaliat!F:I,4,0)),"")</f>
        <v/>
      </c>
      <c r="B212"/>
      <c r="C212"/>
      <c r="D212"/>
      <c r="E212"/>
      <c r="F212"/>
      <c r="G212"/>
      <c r="H212"/>
    </row>
    <row r="213" spans="1:8">
      <c r="A213" s="1862" t="str">
        <f>IFERROR(IF(B213="","",VLOOKUP(B213,Buget_detaliat!F:I,4,0)),"")</f>
        <v/>
      </c>
      <c r="B213"/>
      <c r="C213"/>
      <c r="D213"/>
      <c r="E213"/>
      <c r="F213"/>
      <c r="G213"/>
      <c r="H213"/>
    </row>
    <row r="214" spans="1:8">
      <c r="A214" s="1862" t="str">
        <f>IFERROR(IF(B214="","",VLOOKUP(B214,Buget_detaliat!F:I,4,0)),"")</f>
        <v/>
      </c>
      <c r="B214"/>
      <c r="C214"/>
      <c r="D214"/>
      <c r="E214"/>
      <c r="F214"/>
      <c r="G214"/>
      <c r="H214"/>
    </row>
    <row r="215" spans="1:8">
      <c r="A215" s="1862" t="str">
        <f>IFERROR(IF(B215="","",VLOOKUP(B215,Buget_detaliat!F:I,4,0)),"")</f>
        <v/>
      </c>
      <c r="B215"/>
      <c r="C215"/>
      <c r="D215"/>
      <c r="E215"/>
      <c r="F215"/>
      <c r="G215"/>
      <c r="H215"/>
    </row>
    <row r="216" spans="1:8">
      <c r="A216" s="1862" t="str">
        <f>IFERROR(IF(B216="","",VLOOKUP(B216,Buget_detaliat!F:I,4,0)),"")</f>
        <v/>
      </c>
      <c r="B216"/>
      <c r="C216"/>
      <c r="D216"/>
      <c r="E216"/>
      <c r="F216"/>
      <c r="G216"/>
      <c r="H216"/>
    </row>
    <row r="217" spans="1:8">
      <c r="A217" s="1862" t="str">
        <f>IFERROR(IF(B217="","",VLOOKUP(B217,Buget_detaliat!F:I,4,0)),"")</f>
        <v/>
      </c>
      <c r="B217"/>
      <c r="C217"/>
      <c r="D217"/>
      <c r="E217"/>
      <c r="F217"/>
      <c r="G217"/>
      <c r="H217"/>
    </row>
    <row r="218" spans="1:8">
      <c r="A218" s="1862" t="str">
        <f>IFERROR(IF(B218="","",VLOOKUP(B218,Buget_detaliat!F:I,4,0)),"")</f>
        <v/>
      </c>
      <c r="B218"/>
      <c r="C218"/>
      <c r="D218"/>
      <c r="E218"/>
      <c r="F218"/>
      <c r="G218"/>
      <c r="H218"/>
    </row>
    <row r="219" spans="1:8">
      <c r="A219" s="1862" t="str">
        <f>IFERROR(IF(B219="","",VLOOKUP(B219,Buget_detaliat!F:I,4,0)),"")</f>
        <v/>
      </c>
      <c r="B219"/>
      <c r="C219"/>
      <c r="D219"/>
      <c r="E219"/>
      <c r="F219"/>
      <c r="G219"/>
      <c r="H219"/>
    </row>
    <row r="220" spans="1:8">
      <c r="A220" s="1862" t="str">
        <f>IFERROR(IF(B220="","",VLOOKUP(B220,Buget_detaliat!F:I,4,0)),"")</f>
        <v/>
      </c>
      <c r="B220"/>
      <c r="C220"/>
      <c r="D220"/>
      <c r="E220"/>
      <c r="F220"/>
      <c r="G220"/>
      <c r="H220"/>
    </row>
    <row r="221" spans="1:8">
      <c r="A221" s="1862" t="str">
        <f>IFERROR(IF(B221="","",VLOOKUP(B221,Buget_detaliat!F:I,4,0)),"")</f>
        <v/>
      </c>
      <c r="B221"/>
      <c r="C221"/>
      <c r="D221"/>
      <c r="E221"/>
      <c r="F221"/>
      <c r="G221"/>
      <c r="H221"/>
    </row>
    <row r="222" spans="1:8">
      <c r="A222" s="1862" t="str">
        <f>IFERROR(IF(B222="","",VLOOKUP(B222,Buget_detaliat!F:I,4,0)),"")</f>
        <v/>
      </c>
      <c r="B222"/>
      <c r="C222"/>
      <c r="D222"/>
      <c r="E222"/>
      <c r="F222"/>
      <c r="G222"/>
      <c r="H222"/>
    </row>
    <row r="223" spans="1:8">
      <c r="A223" s="1862" t="str">
        <f>IFERROR(IF(B223="","",VLOOKUP(B223,Buget_detaliat!F:I,4,0)),"")</f>
        <v/>
      </c>
      <c r="B223"/>
      <c r="C223"/>
      <c r="D223"/>
      <c r="E223"/>
      <c r="F223"/>
      <c r="G223"/>
      <c r="H223"/>
    </row>
    <row r="224" spans="1:8">
      <c r="A224" s="1862" t="str">
        <f>IFERROR(IF(B224="","",VLOOKUP(B224,Buget_detaliat!F:I,4,0)),"")</f>
        <v/>
      </c>
      <c r="B224"/>
      <c r="C224"/>
      <c r="D224"/>
      <c r="E224"/>
      <c r="F224"/>
      <c r="G224"/>
      <c r="H224"/>
    </row>
    <row r="225" spans="1:8">
      <c r="A225" s="1862" t="str">
        <f>IFERROR(IF(B225="","",VLOOKUP(B225,Buget_detaliat!F:I,4,0)),"")</f>
        <v/>
      </c>
      <c r="B225"/>
      <c r="C225"/>
      <c r="D225"/>
      <c r="E225"/>
      <c r="F225"/>
      <c r="G225"/>
      <c r="H225"/>
    </row>
    <row r="226" spans="1:8">
      <c r="A226" s="1862" t="str">
        <f>IFERROR(IF(B226="","",VLOOKUP(B226,Buget_detaliat!F:I,4,0)),"")</f>
        <v/>
      </c>
      <c r="B226"/>
      <c r="C226"/>
      <c r="D226"/>
      <c r="E226"/>
      <c r="F226"/>
      <c r="G226"/>
      <c r="H226"/>
    </row>
    <row r="227" spans="1:8">
      <c r="A227" s="1862" t="str">
        <f>IFERROR(IF(B227="","",VLOOKUP(B227,Buget_detaliat!F:I,4,0)),"")</f>
        <v/>
      </c>
      <c r="B227"/>
      <c r="C227"/>
      <c r="D227"/>
      <c r="E227"/>
      <c r="F227"/>
      <c r="G227"/>
      <c r="H227"/>
    </row>
    <row r="228" spans="1:8">
      <c r="A228" s="1862" t="str">
        <f>IFERROR(IF(B228="","",VLOOKUP(B228,Buget_detaliat!F:I,4,0)),"")</f>
        <v/>
      </c>
      <c r="B228"/>
      <c r="C228"/>
      <c r="D228"/>
      <c r="E228"/>
      <c r="F228"/>
      <c r="G228"/>
      <c r="H228"/>
    </row>
    <row r="229" spans="1:8">
      <c r="A229" s="1862" t="str">
        <f>IFERROR(IF(B229="","",VLOOKUP(B229,Buget_detaliat!F:I,4,0)),"")</f>
        <v/>
      </c>
      <c r="B229"/>
      <c r="C229"/>
      <c r="D229"/>
      <c r="E229"/>
      <c r="F229"/>
      <c r="G229"/>
      <c r="H229"/>
    </row>
    <row r="230" spans="1:8">
      <c r="A230" s="1862" t="str">
        <f>IFERROR(IF(B230="","",VLOOKUP(B230,Buget_detaliat!F:I,4,0)),"")</f>
        <v/>
      </c>
      <c r="B230"/>
      <c r="C230"/>
      <c r="D230"/>
      <c r="E230"/>
      <c r="F230"/>
      <c r="G230"/>
      <c r="H230"/>
    </row>
    <row r="231" spans="1:8">
      <c r="A231" s="1862" t="str">
        <f>IFERROR(IF(B231="","",VLOOKUP(B231,Buget_detaliat!F:I,4,0)),"")</f>
        <v/>
      </c>
      <c r="B231"/>
      <c r="C231"/>
      <c r="D231"/>
      <c r="E231"/>
      <c r="F231"/>
      <c r="G231"/>
      <c r="H231"/>
    </row>
    <row r="232" spans="1:8">
      <c r="A232" s="1862" t="str">
        <f>IFERROR(IF(B232="","",VLOOKUP(B232,Buget_detaliat!F:I,4,0)),"")</f>
        <v/>
      </c>
      <c r="B232"/>
      <c r="C232"/>
      <c r="D232"/>
      <c r="E232"/>
      <c r="F232"/>
      <c r="G232"/>
      <c r="H232"/>
    </row>
    <row r="233" spans="1:8">
      <c r="A233" s="1862" t="str">
        <f>IFERROR(IF(B233="","",VLOOKUP(B233,Buget_detaliat!F:I,4,0)),"")</f>
        <v/>
      </c>
      <c r="B233"/>
      <c r="C233"/>
      <c r="D233"/>
      <c r="E233"/>
      <c r="F233"/>
      <c r="G233"/>
      <c r="H233"/>
    </row>
    <row r="234" spans="1:8">
      <c r="A234" s="1862" t="str">
        <f>IFERROR(IF(B234="","",VLOOKUP(B234,Buget_detaliat!F:I,4,0)),"")</f>
        <v/>
      </c>
      <c r="B234"/>
      <c r="C234"/>
      <c r="D234"/>
      <c r="E234"/>
      <c r="F234"/>
      <c r="G234"/>
      <c r="H234"/>
    </row>
    <row r="235" spans="1:8">
      <c r="A235" s="1862" t="str">
        <f>IFERROR(IF(B235="","",VLOOKUP(B235,Buget_detaliat!F:I,4,0)),"")</f>
        <v/>
      </c>
      <c r="B235"/>
      <c r="C235"/>
      <c r="D235"/>
      <c r="E235"/>
      <c r="F235"/>
      <c r="G235"/>
      <c r="H235"/>
    </row>
    <row r="236" spans="1:8">
      <c r="A236" s="1862" t="str">
        <f>IFERROR(IF(B236="","",VLOOKUP(B236,Buget_detaliat!F:I,4,0)),"")</f>
        <v/>
      </c>
      <c r="B236"/>
      <c r="C236"/>
      <c r="D236"/>
      <c r="E236"/>
      <c r="F236"/>
      <c r="G236"/>
      <c r="H236"/>
    </row>
    <row r="237" spans="1:8">
      <c r="A237" s="1862" t="str">
        <f>IFERROR(IF(B237="","",VLOOKUP(B237,Buget_detaliat!F:I,4,0)),"")</f>
        <v/>
      </c>
      <c r="B237"/>
      <c r="C237"/>
      <c r="D237"/>
      <c r="E237"/>
      <c r="F237"/>
      <c r="G237"/>
      <c r="H237"/>
    </row>
    <row r="238" spans="1:8">
      <c r="A238" s="1862" t="str">
        <f>IFERROR(IF(B238="","",VLOOKUP(B238,Buget_detaliat!F:I,4,0)),"")</f>
        <v/>
      </c>
      <c r="B238"/>
      <c r="C238"/>
      <c r="D238"/>
      <c r="E238"/>
      <c r="F238"/>
      <c r="G238"/>
      <c r="H238"/>
    </row>
    <row r="239" spans="1:8">
      <c r="A239" s="1862" t="str">
        <f>IFERROR(IF(B239="","",VLOOKUP(B239,Buget_detaliat!F:I,4,0)),"")</f>
        <v/>
      </c>
      <c r="B239"/>
      <c r="C239"/>
      <c r="D239"/>
      <c r="E239"/>
      <c r="F239"/>
      <c r="G239"/>
      <c r="H239"/>
    </row>
    <row r="240" spans="1:8">
      <c r="A240" s="1862" t="str">
        <f>IFERROR(IF(B240="","",VLOOKUP(B240,Buget_detaliat!F:I,4,0)),"")</f>
        <v/>
      </c>
      <c r="B240"/>
      <c r="C240"/>
      <c r="D240"/>
      <c r="E240"/>
      <c r="F240"/>
      <c r="G240"/>
      <c r="H240"/>
    </row>
    <row r="241" spans="1:10">
      <c r="A241" s="1862" t="str">
        <f>IFERROR(IF(B241="","",VLOOKUP(B241,Buget_detaliat!F:I,4,0)),"")</f>
        <v/>
      </c>
      <c r="B241"/>
      <c r="C241"/>
      <c r="D241"/>
      <c r="E241"/>
      <c r="F241"/>
      <c r="G241"/>
      <c r="H241"/>
    </row>
    <row r="242" spans="1:10">
      <c r="A242" s="1862" t="str">
        <f>IFERROR(IF(B242="","",VLOOKUP(B242,Buget_detaliat!F:I,4,0)),"")</f>
        <v/>
      </c>
      <c r="B242"/>
      <c r="C242"/>
      <c r="D242"/>
      <c r="E242"/>
      <c r="F242"/>
      <c r="G242"/>
      <c r="H242"/>
    </row>
    <row r="243" spans="1:10">
      <c r="A243" s="1862" t="str">
        <f>IFERROR(IF(B243="","",VLOOKUP(B243,Buget_detaliat!F:I,4,0)),"")</f>
        <v/>
      </c>
      <c r="B243"/>
      <c r="C243"/>
      <c r="D243"/>
      <c r="E243"/>
      <c r="F243"/>
      <c r="G243"/>
      <c r="H243"/>
    </row>
    <row r="244" spans="1:10">
      <c r="A244" s="1862" t="str">
        <f>IFERROR(IF(B244="","",VLOOKUP(B244,Buget_detaliat!F:I,4,0)),"")</f>
        <v/>
      </c>
      <c r="B244"/>
      <c r="C244"/>
      <c r="D244"/>
      <c r="E244"/>
      <c r="F244"/>
      <c r="G244"/>
      <c r="H244"/>
    </row>
    <row r="245" spans="1:10">
      <c r="A245" s="1862" t="str">
        <f>IFERROR(IF(B245="","",VLOOKUP(B245,Buget_detaliat!F:I,4,0)),"")</f>
        <v/>
      </c>
      <c r="B245"/>
      <c r="C245"/>
      <c r="D245"/>
      <c r="E245"/>
      <c r="F245"/>
      <c r="G245"/>
      <c r="H245"/>
    </row>
    <row r="246" spans="1:10">
      <c r="A246" s="1862" t="str">
        <f>IFERROR(IF(B246="","",VLOOKUP(B246,Buget_detaliat!F:I,4,0)),"")</f>
        <v/>
      </c>
      <c r="B246"/>
      <c r="C246"/>
      <c r="D246"/>
      <c r="E246"/>
      <c r="F246"/>
      <c r="G246"/>
      <c r="H246"/>
      <c r="J246" s="1868" t="s">
        <v>3616</v>
      </c>
    </row>
    <row r="247" spans="1:10">
      <c r="A247" s="1862" t="str">
        <f>IFERROR(IF(B247="","",VLOOKUP(B247,Buget_detaliat!F:I,4,0)),"")</f>
        <v/>
      </c>
      <c r="B247"/>
      <c r="C247"/>
      <c r="D247"/>
      <c r="E247"/>
      <c r="F247"/>
      <c r="G247"/>
      <c r="H247"/>
      <c r="I247" s="1868" t="s">
        <v>1982</v>
      </c>
      <c r="J247" s="1868" t="s">
        <v>3615</v>
      </c>
    </row>
    <row r="248" spans="1:10">
      <c r="A248" s="1862" t="str">
        <f>IFERROR(IF(B248="","",VLOOKUP(B248,Buget_detaliat!F:I,4,0)),"")</f>
        <v/>
      </c>
      <c r="B248"/>
      <c r="C248"/>
      <c r="D248"/>
      <c r="E248"/>
      <c r="F248"/>
      <c r="G248"/>
      <c r="H248"/>
      <c r="J248" s="1868" t="s">
        <v>3617</v>
      </c>
    </row>
    <row r="249" spans="1:10">
      <c r="A249" s="1862" t="str">
        <f>IFERROR(IF(B249="","",VLOOKUP(B249,Buget_detaliat!F:I,4,0)),"")</f>
        <v/>
      </c>
      <c r="B249"/>
      <c r="C249"/>
      <c r="D249"/>
      <c r="E249"/>
      <c r="F249"/>
      <c r="G249"/>
      <c r="H249"/>
    </row>
    <row r="250" spans="1:10">
      <c r="A250" s="1862" t="str">
        <f>IFERROR(IF(B250="","",VLOOKUP(B250,Buget_detaliat!F:I,4,0)),"")</f>
        <v/>
      </c>
      <c r="B250"/>
      <c r="C250"/>
      <c r="D250"/>
      <c r="E250"/>
      <c r="F250"/>
      <c r="G250"/>
      <c r="H250"/>
    </row>
    <row r="251" spans="1:10">
      <c r="A251" s="1862" t="str">
        <f>IFERROR(IF(B251="","",VLOOKUP(B251,Buget_detaliat!F:I,4,0)),"")</f>
        <v/>
      </c>
      <c r="B251"/>
      <c r="C251"/>
      <c r="D251"/>
      <c r="E251"/>
      <c r="F251"/>
      <c r="G251"/>
      <c r="H251"/>
    </row>
    <row r="252" spans="1:10">
      <c r="A252" s="1862" t="str">
        <f>IFERROR(IF(B252="","",VLOOKUP(B252,Buget_detaliat!F:I,4,0)),"")</f>
        <v/>
      </c>
      <c r="B252"/>
      <c r="C252"/>
      <c r="D252"/>
      <c r="E252"/>
      <c r="F252"/>
      <c r="G252"/>
      <c r="H252"/>
    </row>
    <row r="253" spans="1:10">
      <c r="A253" s="1862" t="str">
        <f>IFERROR(IF(B253="","",VLOOKUP(B253,Buget_detaliat!F:I,4,0)),"")</f>
        <v/>
      </c>
      <c r="B253"/>
      <c r="C253"/>
      <c r="D253"/>
      <c r="E253"/>
      <c r="F253"/>
      <c r="G253"/>
      <c r="H253"/>
    </row>
    <row r="254" spans="1:10">
      <c r="A254" s="1862" t="str">
        <f>IFERROR(IF(B254="","",VLOOKUP(B254,Buget_detaliat!F:I,4,0)),"")</f>
        <v/>
      </c>
      <c r="B254"/>
      <c r="C254"/>
      <c r="D254"/>
      <c r="E254"/>
      <c r="F254"/>
      <c r="G254"/>
      <c r="H254"/>
    </row>
    <row r="255" spans="1:10">
      <c r="A255" s="1862" t="str">
        <f>IFERROR(IF(B255="","",VLOOKUP(B255,Buget_detaliat!F:I,4,0)),"")</f>
        <v/>
      </c>
      <c r="B255"/>
      <c r="C255"/>
      <c r="D255"/>
      <c r="E255"/>
      <c r="F255"/>
      <c r="G255"/>
      <c r="H255"/>
    </row>
    <row r="256" spans="1:10">
      <c r="A256" s="1862" t="str">
        <f>IFERROR(IF(B256="","",VLOOKUP(B256,Buget_detaliat!F:I,4,0)),"")</f>
        <v/>
      </c>
      <c r="B256"/>
      <c r="C256"/>
      <c r="D256"/>
      <c r="E256"/>
      <c r="F256"/>
      <c r="G256"/>
      <c r="H256"/>
    </row>
    <row r="257" spans="1:9">
      <c r="A257" s="1862" t="str">
        <f>IFERROR(IF(B257="","",VLOOKUP(B257,Buget_detaliat!F:I,4,0)),"")</f>
        <v/>
      </c>
      <c r="B257"/>
      <c r="C257"/>
      <c r="D257"/>
      <c r="E257"/>
      <c r="F257"/>
      <c r="G257"/>
      <c r="H257"/>
    </row>
    <row r="258" spans="1:9">
      <c r="A258" s="1862" t="str">
        <f>IFERROR(IF(B258="","",VLOOKUP(B258,Buget_detaliat!F:I,4,0)),"")</f>
        <v/>
      </c>
      <c r="B258"/>
      <c r="C258"/>
      <c r="D258"/>
      <c r="E258"/>
      <c r="F258"/>
      <c r="G258"/>
      <c r="H258"/>
    </row>
    <row r="259" spans="1:9">
      <c r="A259" s="1862" t="str">
        <f>IFERROR(IF(B259="","",VLOOKUP(B259,Buget_detaliat!F:I,4,0)),"")</f>
        <v/>
      </c>
      <c r="B259"/>
      <c r="C259"/>
      <c r="D259"/>
      <c r="E259"/>
      <c r="F259"/>
      <c r="G259"/>
      <c r="H259"/>
    </row>
    <row r="260" spans="1:9">
      <c r="A260" s="1862" t="str">
        <f>IFERROR(IF(B260="","",VLOOKUP(B260,Buget_detaliat!F:I,4,0)),"")</f>
        <v/>
      </c>
      <c r="B260"/>
      <c r="C260"/>
      <c r="D260"/>
      <c r="E260"/>
      <c r="F260"/>
      <c r="G260"/>
      <c r="H260"/>
    </row>
    <row r="261" spans="1:9">
      <c r="A261" s="1862" t="str">
        <f>IFERROR(IF(B261="","",VLOOKUP(B261,Buget_detaliat!F:I,4,0)),"")</f>
        <v/>
      </c>
      <c r="B261"/>
      <c r="C261"/>
      <c r="D261"/>
      <c r="E261"/>
      <c r="F261"/>
      <c r="G261"/>
      <c r="H261"/>
    </row>
    <row r="262" spans="1:9">
      <c r="A262" s="1862" t="str">
        <f>IFERROR(IF(B262="","",VLOOKUP(B262,Buget_detaliat!F:I,4,0)),"")</f>
        <v/>
      </c>
      <c r="B262"/>
      <c r="C262"/>
      <c r="D262"/>
      <c r="E262"/>
      <c r="F262"/>
      <c r="G262"/>
      <c r="H262"/>
      <c r="I262" s="2110"/>
    </row>
    <row r="263" spans="1:9">
      <c r="A263" s="1862" t="str">
        <f>IFERROR(IF(B263="","",VLOOKUP(B263,Buget_detaliat!F:I,4,0)),"")</f>
        <v/>
      </c>
      <c r="B263"/>
      <c r="C263"/>
      <c r="D263"/>
      <c r="E263"/>
      <c r="F263"/>
      <c r="G263"/>
      <c r="H263"/>
      <c r="I263" s="2110"/>
    </row>
    <row r="264" spans="1:9">
      <c r="A264" s="1862" t="str">
        <f>IFERROR(IF(B264="","",VLOOKUP(B264,Buget_detaliat!F:I,4,0)),"")</f>
        <v/>
      </c>
      <c r="B264"/>
      <c r="C264"/>
      <c r="D264"/>
      <c r="E264"/>
      <c r="F264"/>
      <c r="G264"/>
      <c r="H264"/>
      <c r="I264" s="2110"/>
    </row>
    <row r="265" spans="1:9">
      <c r="A265" s="1862" t="str">
        <f>IFERROR(IF(B265="","",VLOOKUP(B265,Buget_detaliat!F:I,4,0)),"")</f>
        <v/>
      </c>
      <c r="B265"/>
      <c r="C265"/>
      <c r="D265"/>
      <c r="E265"/>
      <c r="F265"/>
      <c r="G265"/>
      <c r="H265"/>
    </row>
    <row r="266" spans="1:9">
      <c r="A266" s="1862" t="str">
        <f>IFERROR(IF(B266="","",VLOOKUP(B266,Buget_detaliat!F:I,4,0)),"")</f>
        <v/>
      </c>
      <c r="B266"/>
      <c r="C266"/>
      <c r="D266"/>
      <c r="E266"/>
      <c r="F266"/>
      <c r="G266"/>
      <c r="H266"/>
    </row>
    <row r="267" spans="1:9">
      <c r="A267" s="1862" t="str">
        <f>IFERROR(IF(B267="","",VLOOKUP(B267,Buget_detaliat!F:I,4,0)),"")</f>
        <v/>
      </c>
      <c r="B267"/>
      <c r="C267"/>
      <c r="D267"/>
      <c r="E267"/>
      <c r="F267"/>
      <c r="G267"/>
      <c r="H267"/>
    </row>
    <row r="268" spans="1:9">
      <c r="A268" s="1862" t="str">
        <f>IFERROR(IF(B268="","",VLOOKUP(B268,Buget_detaliat!F:I,4,0)),"")</f>
        <v/>
      </c>
      <c r="B268"/>
      <c r="C268"/>
      <c r="D268"/>
      <c r="E268"/>
      <c r="F268"/>
      <c r="G268"/>
      <c r="H268"/>
    </row>
    <row r="269" spans="1:9">
      <c r="A269" s="1862" t="str">
        <f>IFERROR(IF(B269="","",VLOOKUP(B269,Buget_detaliat!F:I,4,0)),"")</f>
        <v/>
      </c>
      <c r="B269"/>
      <c r="C269"/>
      <c r="D269"/>
      <c r="E269"/>
      <c r="F269"/>
      <c r="G269"/>
      <c r="H269"/>
    </row>
    <row r="270" spans="1:9">
      <c r="A270" s="1862" t="str">
        <f>IFERROR(IF(B270="","",VLOOKUP(B270,Buget_detaliat!F:I,4,0)),"")</f>
        <v/>
      </c>
      <c r="B270"/>
      <c r="C270"/>
      <c r="D270"/>
      <c r="E270"/>
      <c r="F270"/>
      <c r="G270"/>
      <c r="H270"/>
      <c r="I270" s="2110"/>
    </row>
    <row r="271" spans="1:9">
      <c r="A271" s="1862" t="str">
        <f>IFERROR(IF(B271="","",VLOOKUP(B271,Buget_detaliat!F:I,4,0)),"")</f>
        <v/>
      </c>
      <c r="B271"/>
      <c r="C271"/>
      <c r="D271"/>
      <c r="E271"/>
      <c r="F271"/>
      <c r="G271"/>
      <c r="H271"/>
      <c r="I271" s="2110"/>
    </row>
    <row r="272" spans="1:9">
      <c r="A272" s="1862" t="str">
        <f>IFERROR(IF(B272="","",VLOOKUP(B272,Buget_detaliat!F:I,4,0)),"")</f>
        <v/>
      </c>
      <c r="B272"/>
      <c r="C272"/>
      <c r="D272"/>
      <c r="E272"/>
      <c r="F272"/>
      <c r="G272"/>
      <c r="H272"/>
    </row>
    <row r="273" spans="1:10">
      <c r="A273" s="1862" t="str">
        <f>IFERROR(IF(B273="","",VLOOKUP(B273,Buget_detaliat!F:I,4,0)),"")</f>
        <v/>
      </c>
      <c r="B273"/>
      <c r="C273"/>
      <c r="D273"/>
      <c r="E273"/>
      <c r="F273"/>
      <c r="G273"/>
      <c r="H273"/>
      <c r="I273" s="2110"/>
    </row>
    <row r="274" spans="1:10">
      <c r="A274" s="1862" t="str">
        <f>IFERROR(IF(B274="","",VLOOKUP(B274,Buget_detaliat!F:I,4,0)),"")</f>
        <v/>
      </c>
      <c r="B274"/>
      <c r="C274"/>
      <c r="D274"/>
      <c r="E274"/>
      <c r="F274"/>
      <c r="G274"/>
      <c r="H274"/>
      <c r="I274" s="2110"/>
    </row>
    <row r="275" spans="1:10">
      <c r="A275" s="1862" t="str">
        <f>IFERROR(IF(B275="","",VLOOKUP(B275,Buget_detaliat!F:I,4,0)),"")</f>
        <v/>
      </c>
      <c r="B275"/>
      <c r="C275"/>
      <c r="D275"/>
      <c r="E275"/>
      <c r="F275"/>
      <c r="G275"/>
      <c r="H275"/>
    </row>
    <row r="276" spans="1:10">
      <c r="A276" s="1862" t="str">
        <f>IFERROR(IF(B276="","",VLOOKUP(B276,Buget_detaliat!F:I,4,0)),"")</f>
        <v/>
      </c>
      <c r="B276"/>
      <c r="C276"/>
      <c r="D276"/>
      <c r="E276"/>
      <c r="F276"/>
      <c r="G276"/>
      <c r="H276"/>
    </row>
    <row r="277" spans="1:10">
      <c r="A277" s="1862" t="str">
        <f>IFERROR(IF(B277="","",VLOOKUP(B277,Buget_detaliat!F:I,4,0)),"")</f>
        <v/>
      </c>
      <c r="B277"/>
      <c r="C277"/>
      <c r="D277"/>
      <c r="E277"/>
      <c r="F277"/>
      <c r="G277"/>
      <c r="H277"/>
    </row>
    <row r="278" spans="1:10">
      <c r="A278" s="1862" t="str">
        <f>IFERROR(IF(B278="","",VLOOKUP(B278,Buget_detaliat!F:I,4,0)),"")</f>
        <v/>
      </c>
      <c r="B278"/>
      <c r="C278"/>
      <c r="D278"/>
      <c r="E278"/>
      <c r="F278"/>
      <c r="G278"/>
      <c r="H278"/>
    </row>
    <row r="279" spans="1:10">
      <c r="A279" s="1862" t="str">
        <f>IFERROR(IF(B279="","",VLOOKUP(B279,Buget_detaliat!F:I,4,0)),"")</f>
        <v/>
      </c>
      <c r="B279"/>
      <c r="C279"/>
      <c r="D279"/>
      <c r="E279"/>
      <c r="F279"/>
      <c r="G279"/>
      <c r="H279"/>
    </row>
    <row r="280" spans="1:10">
      <c r="A280" s="1862" t="str">
        <f>IFERROR(IF(B280="","",VLOOKUP(B280,Buget_detaliat!F:I,4,0)),"")</f>
        <v/>
      </c>
      <c r="B280"/>
      <c r="C280"/>
      <c r="D280"/>
      <c r="E280"/>
      <c r="F280"/>
      <c r="G280"/>
      <c r="H280"/>
    </row>
    <row r="281" spans="1:10">
      <c r="A281" s="1862" t="str">
        <f>IFERROR(IF(B281="","",VLOOKUP(B281,Buget_detaliat!F:I,4,0)),"")</f>
        <v/>
      </c>
      <c r="B281"/>
      <c r="C281"/>
      <c r="D281"/>
      <c r="E281"/>
      <c r="F281"/>
      <c r="G281"/>
      <c r="H281"/>
      <c r="J281" s="2112" t="s">
        <v>3621</v>
      </c>
    </row>
    <row r="282" spans="1:10">
      <c r="A282" s="1862" t="str">
        <f>IFERROR(IF(B282="","",VLOOKUP(B282,Buget_detaliat!F:I,4,0)),"")</f>
        <v/>
      </c>
      <c r="B282"/>
      <c r="C282"/>
      <c r="D282"/>
      <c r="E282"/>
      <c r="F282"/>
      <c r="G282"/>
      <c r="H282"/>
    </row>
    <row r="283" spans="1:10">
      <c r="A283" s="1862" t="str">
        <f>IFERROR(IF(B283="","",VLOOKUP(B283,Buget_detaliat!F:I,4,0)),"")</f>
        <v/>
      </c>
      <c r="B283"/>
      <c r="C283"/>
      <c r="D283"/>
      <c r="E283"/>
      <c r="F283"/>
      <c r="G283"/>
      <c r="H283"/>
    </row>
    <row r="284" spans="1:10">
      <c r="A284" s="1862" t="str">
        <f>IFERROR(IF(B284="","",VLOOKUP(B284,Buget_detaliat!F:I,4,0)),"")</f>
        <v/>
      </c>
      <c r="B284"/>
      <c r="C284"/>
      <c r="D284"/>
      <c r="E284"/>
      <c r="F284"/>
      <c r="G284"/>
      <c r="H284"/>
    </row>
    <row r="285" spans="1:10">
      <c r="A285" s="1862" t="str">
        <f>IFERROR(IF(B285="","",VLOOKUP(B285,Buget_detaliat!F:I,4,0)),"")</f>
        <v/>
      </c>
      <c r="B285"/>
      <c r="C285"/>
      <c r="D285"/>
      <c r="E285"/>
      <c r="F285"/>
      <c r="G285"/>
      <c r="H285"/>
    </row>
    <row r="286" spans="1:10">
      <c r="A286" s="2163" t="str">
        <f>IFERROR(IF(B286="","",VLOOKUP(B286,Buget_detaliat!F:I,4,0)),"")</f>
        <v/>
      </c>
      <c r="B286"/>
      <c r="C286"/>
      <c r="D286"/>
      <c r="E286"/>
      <c r="F286"/>
      <c r="G286"/>
      <c r="H286"/>
    </row>
    <row r="287" spans="1:10">
      <c r="A287" s="1862" t="str">
        <f>IFERROR(IF(B287="","",VLOOKUP(B287,Buget_detaliat!F:I,4,0)),"")</f>
        <v/>
      </c>
      <c r="B287"/>
      <c r="C287"/>
      <c r="D287"/>
      <c r="E287"/>
      <c r="F287"/>
      <c r="G287"/>
      <c r="H287"/>
    </row>
    <row r="288" spans="1:10">
      <c r="A288" s="1862" t="str">
        <f>IFERROR(IF(B288="","",VLOOKUP(B288,Buget_detaliat!F:I,4,0)),"")</f>
        <v/>
      </c>
      <c r="B288"/>
      <c r="C288"/>
      <c r="D288"/>
      <c r="E288"/>
      <c r="F288"/>
      <c r="G288"/>
      <c r="H288"/>
      <c r="J288" s="2112" t="s">
        <v>3620</v>
      </c>
    </row>
    <row r="289" spans="1:10">
      <c r="A289" s="1862" t="str">
        <f>IFERROR(IF(B289="","",VLOOKUP(B289,Buget_detaliat!F:I,4,0)),"")</f>
        <v/>
      </c>
      <c r="B289"/>
      <c r="C289"/>
      <c r="D289"/>
      <c r="E289"/>
      <c r="F289"/>
      <c r="G289"/>
      <c r="H289"/>
    </row>
    <row r="290" spans="1:10">
      <c r="A290" s="1862" t="str">
        <f>IFERROR(IF(B290="","",VLOOKUP(B290,Buget_detaliat!F:I,4,0)),"")</f>
        <v/>
      </c>
      <c r="B290"/>
      <c r="C290"/>
      <c r="D290"/>
      <c r="E290"/>
      <c r="F290"/>
      <c r="G290"/>
      <c r="H290"/>
    </row>
    <row r="291" spans="1:10">
      <c r="A291" s="1862" t="str">
        <f>IFERROR(IF(B291="","",VLOOKUP(B291,Buget_detaliat!F:I,4,0)),"")</f>
        <v/>
      </c>
      <c r="B291"/>
      <c r="C291"/>
      <c r="D291"/>
      <c r="E291"/>
      <c r="F291"/>
      <c r="G291"/>
      <c r="H291"/>
    </row>
    <row r="292" spans="1:10">
      <c r="A292" s="1862" t="str">
        <f>IFERROR(IF(B292="","",VLOOKUP(B292,Buget_detaliat!F:I,4,0)),"")</f>
        <v/>
      </c>
      <c r="B292"/>
      <c r="C292"/>
      <c r="D292"/>
      <c r="E292"/>
      <c r="F292"/>
      <c r="G292"/>
      <c r="H292"/>
    </row>
    <row r="293" spans="1:10">
      <c r="A293" s="1862" t="str">
        <f>IFERROR(IF(B293="","",VLOOKUP(B293,Buget_detaliat!F:I,4,0)),"")</f>
        <v/>
      </c>
      <c r="B293"/>
      <c r="C293"/>
      <c r="D293"/>
      <c r="E293"/>
      <c r="F293"/>
      <c r="G293"/>
      <c r="H293"/>
    </row>
    <row r="294" spans="1:10">
      <c r="A294" s="1862" t="str">
        <f>IFERROR(IF(B294="","",VLOOKUP(B294,Buget_detaliat!F:I,4,0)),"")</f>
        <v/>
      </c>
      <c r="B294"/>
      <c r="C294"/>
      <c r="D294"/>
      <c r="E294"/>
      <c r="F294"/>
      <c r="G294"/>
      <c r="H294"/>
    </row>
    <row r="295" spans="1:10">
      <c r="A295" s="1862" t="str">
        <f>IFERROR(IF(B295="","",VLOOKUP(B295,Buget_detaliat!F:I,4,0)),"")</f>
        <v/>
      </c>
      <c r="B295"/>
      <c r="C295"/>
      <c r="D295"/>
      <c r="E295"/>
      <c r="F295"/>
      <c r="G295"/>
      <c r="H295"/>
    </row>
    <row r="296" spans="1:10">
      <c r="A296" s="1862" t="str">
        <f>IFERROR(IF(B296="","",VLOOKUP(B296,Buget_detaliat!F:I,4,0)),"")</f>
        <v/>
      </c>
      <c r="B296"/>
      <c r="C296"/>
      <c r="D296"/>
      <c r="E296"/>
      <c r="F296"/>
      <c r="G296"/>
      <c r="H296"/>
    </row>
    <row r="297" spans="1:10">
      <c r="A297" s="1862" t="str">
        <f>IFERROR(IF(B297="","",VLOOKUP(B297,Buget_detaliat!F:I,4,0)),"")</f>
        <v/>
      </c>
      <c r="B297"/>
      <c r="C297"/>
      <c r="D297"/>
      <c r="E297"/>
      <c r="F297"/>
      <c r="G297"/>
      <c r="H297"/>
    </row>
    <row r="298" spans="1:10">
      <c r="A298" s="1862" t="str">
        <f>IFERROR(IF(B298="","",VLOOKUP(B298,Buget_detaliat!F:I,4,0)),"")</f>
        <v/>
      </c>
      <c r="B298"/>
      <c r="C298"/>
      <c r="D298"/>
      <c r="E298"/>
      <c r="F298"/>
      <c r="G298"/>
      <c r="H298"/>
    </row>
    <row r="299" spans="1:10">
      <c r="A299" s="1862" t="str">
        <f>IFERROR(IF(B299="","",VLOOKUP(B299,Buget_detaliat!F:I,4,0)),"")</f>
        <v/>
      </c>
      <c r="B299"/>
      <c r="C299"/>
      <c r="D299"/>
      <c r="E299"/>
      <c r="F299"/>
      <c r="G299"/>
      <c r="H299"/>
    </row>
    <row r="300" spans="1:10">
      <c r="A300" s="1862" t="str">
        <f>IFERROR(IF(B300="","",VLOOKUP(B300,Buget_detaliat!F:I,4,0)),"")</f>
        <v/>
      </c>
      <c r="B300"/>
      <c r="C300"/>
      <c r="D300"/>
      <c r="E300"/>
      <c r="F300"/>
      <c r="G300"/>
      <c r="H300"/>
    </row>
    <row r="301" spans="1:10">
      <c r="A301" s="1862" t="str">
        <f>IFERROR(IF(B301="","",VLOOKUP(B301,Buget_detaliat!F:I,4,0)),"")</f>
        <v/>
      </c>
      <c r="B301"/>
      <c r="C301"/>
      <c r="D301"/>
      <c r="E301"/>
      <c r="F301"/>
      <c r="G301"/>
      <c r="H301"/>
    </row>
    <row r="302" spans="1:10">
      <c r="A302" s="1862" t="str">
        <f>IFERROR(IF(B302="","",VLOOKUP(B302,Buget_detaliat!F:I,4,0)),"")</f>
        <v/>
      </c>
      <c r="B302"/>
      <c r="C302"/>
      <c r="D302"/>
      <c r="E302"/>
      <c r="F302"/>
      <c r="G302"/>
      <c r="H302"/>
      <c r="J302" s="1868" t="s">
        <v>3622</v>
      </c>
    </row>
    <row r="303" spans="1:10">
      <c r="A303" s="1862" t="str">
        <f>IFERROR(IF(B303="","",VLOOKUP(B303,Buget_detaliat!F:I,4,0)),"")</f>
        <v/>
      </c>
      <c r="B303"/>
      <c r="C303"/>
      <c r="D303"/>
      <c r="E303"/>
      <c r="F303"/>
      <c r="G303"/>
      <c r="H303"/>
    </row>
    <row r="304" spans="1:10">
      <c r="A304" s="1862" t="str">
        <f>IFERROR(IF(B304="","",VLOOKUP(B304,Buget_detaliat!F:I,4,0)),"")</f>
        <v/>
      </c>
      <c r="B304"/>
      <c r="C304"/>
      <c r="D304"/>
      <c r="E304"/>
      <c r="F304"/>
      <c r="G304"/>
      <c r="H304"/>
    </row>
    <row r="305" spans="1:10">
      <c r="A305" s="1862" t="str">
        <f>IFERROR(IF(B305="","",VLOOKUP(B305,Buget_detaliat!F:I,4,0)),"")</f>
        <v/>
      </c>
      <c r="B305"/>
      <c r="C305"/>
      <c r="D305"/>
      <c r="E305"/>
      <c r="F305"/>
      <c r="G305"/>
      <c r="H305"/>
    </row>
    <row r="306" spans="1:10">
      <c r="A306" s="1862" t="str">
        <f>IFERROR(IF(B306="","",VLOOKUP(B306,Buget_detaliat!F:I,4,0)),"")</f>
        <v/>
      </c>
      <c r="B306"/>
      <c r="C306"/>
      <c r="D306"/>
      <c r="E306"/>
      <c r="F306"/>
      <c r="G306"/>
      <c r="H306"/>
    </row>
    <row r="307" spans="1:10">
      <c r="A307" s="1862" t="str">
        <f>IFERROR(IF(B307="","",VLOOKUP(B307,Buget_detaliat!F:I,4,0)),"")</f>
        <v/>
      </c>
      <c r="B307"/>
      <c r="C307"/>
      <c r="D307"/>
      <c r="E307"/>
      <c r="F307"/>
      <c r="G307"/>
      <c r="H307"/>
    </row>
    <row r="308" spans="1:10">
      <c r="A308" s="1862" t="str">
        <f>IFERROR(IF(B308="","",VLOOKUP(B308,Buget_detaliat!F:I,4,0)),"")</f>
        <v/>
      </c>
      <c r="B308"/>
      <c r="C308"/>
      <c r="D308"/>
      <c r="E308"/>
      <c r="F308"/>
      <c r="G308"/>
      <c r="H308"/>
    </row>
    <row r="309" spans="1:10">
      <c r="A309" s="1862" t="str">
        <f>IFERROR(IF(B309="","",VLOOKUP(B309,Buget_detaliat!F:I,4,0)),"")</f>
        <v/>
      </c>
      <c r="B309"/>
      <c r="C309"/>
      <c r="D309"/>
      <c r="E309"/>
      <c r="F309"/>
      <c r="G309"/>
      <c r="H309"/>
    </row>
    <row r="310" spans="1:10">
      <c r="A310" s="1862" t="str">
        <f>IFERROR(IF(B310="","",VLOOKUP(B310,Buget_detaliat!F:I,4,0)),"")</f>
        <v/>
      </c>
      <c r="B310"/>
      <c r="C310"/>
      <c r="D310"/>
      <c r="E310"/>
      <c r="F310"/>
      <c r="G310"/>
      <c r="H310"/>
      <c r="J310" s="2112" t="s">
        <v>3624</v>
      </c>
    </row>
    <row r="311" spans="1:10">
      <c r="A311" s="1862" t="str">
        <f>IFERROR(IF(B311="","",VLOOKUP(B311,Buget_detaliat!F:I,4,0)),"")</f>
        <v/>
      </c>
      <c r="B311"/>
      <c r="C311"/>
      <c r="D311"/>
      <c r="E311"/>
      <c r="F311"/>
      <c r="G311"/>
      <c r="H311"/>
    </row>
    <row r="312" spans="1:10">
      <c r="A312" s="1862" t="str">
        <f>IFERROR(IF(B312="","",VLOOKUP(B312,Buget_detaliat!F:I,4,0)),"")</f>
        <v/>
      </c>
      <c r="B312"/>
      <c r="C312"/>
      <c r="D312"/>
      <c r="E312"/>
      <c r="F312"/>
      <c r="G312"/>
      <c r="H312"/>
    </row>
    <row r="313" spans="1:10">
      <c r="A313" s="1862" t="str">
        <f>IFERROR(IF(B313="","",VLOOKUP(B313,Buget_detaliat!F:I,4,0)),"")</f>
        <v/>
      </c>
      <c r="B313"/>
      <c r="C313"/>
      <c r="D313"/>
      <c r="E313"/>
      <c r="F313"/>
      <c r="G313"/>
      <c r="H313"/>
    </row>
    <row r="314" spans="1:10">
      <c r="A314" s="1862" t="str">
        <f>IFERROR(IF(B314="","",VLOOKUP(B314,Buget_detaliat!F:I,4,0)),"")</f>
        <v/>
      </c>
      <c r="B314"/>
      <c r="C314"/>
      <c r="D314"/>
      <c r="E314"/>
      <c r="F314"/>
      <c r="G314"/>
      <c r="H314"/>
    </row>
    <row r="315" spans="1:10">
      <c r="A315" s="1862" t="str">
        <f>IFERROR(IF(B315="","",VLOOKUP(B315,Buget_detaliat!F:I,4,0)),"")</f>
        <v/>
      </c>
      <c r="B315"/>
      <c r="C315"/>
      <c r="D315"/>
      <c r="E315"/>
      <c r="F315"/>
      <c r="G315"/>
      <c r="H315"/>
    </row>
    <row r="316" spans="1:10">
      <c r="A316" s="1862" t="str">
        <f>IFERROR(IF(B316="","",VLOOKUP(B316,Buget_detaliat!F:I,4,0)),"")</f>
        <v/>
      </c>
      <c r="B316"/>
      <c r="C316"/>
      <c r="D316"/>
      <c r="E316"/>
      <c r="F316"/>
      <c r="G316"/>
      <c r="H316"/>
    </row>
    <row r="317" spans="1:10">
      <c r="A317" s="1862" t="str">
        <f>IFERROR(IF(B317="","",VLOOKUP(B317,Buget_detaliat!F:I,4,0)),"")</f>
        <v/>
      </c>
      <c r="B317"/>
      <c r="C317"/>
      <c r="D317"/>
      <c r="E317"/>
      <c r="F317"/>
      <c r="G317"/>
      <c r="H317"/>
    </row>
    <row r="318" spans="1:10">
      <c r="A318" s="1862" t="str">
        <f>IFERROR(IF(B318="","",VLOOKUP(B318,Buget_detaliat!F:I,4,0)),"")</f>
        <v/>
      </c>
      <c r="B318"/>
      <c r="C318"/>
      <c r="D318"/>
      <c r="E318"/>
      <c r="F318"/>
      <c r="G318"/>
      <c r="H318"/>
    </row>
    <row r="319" spans="1:10">
      <c r="A319" s="1862" t="str">
        <f>IFERROR(IF(B319="","",VLOOKUP(B319,Buget_detaliat!F:I,4,0)),"")</f>
        <v/>
      </c>
      <c r="B319"/>
      <c r="C319"/>
      <c r="D319"/>
      <c r="E319"/>
      <c r="F319"/>
      <c r="G319"/>
      <c r="H319"/>
    </row>
    <row r="320" spans="1:10">
      <c r="A320" s="1862" t="str">
        <f>IFERROR(IF(B320="","",VLOOKUP(B320,Buget_detaliat!F:I,4,0)),"")</f>
        <v/>
      </c>
      <c r="B320"/>
      <c r="C320"/>
      <c r="D320"/>
      <c r="E320"/>
      <c r="F320"/>
      <c r="G320"/>
      <c r="H320"/>
    </row>
    <row r="321" spans="1:8">
      <c r="A321" s="1862" t="str">
        <f>IFERROR(IF(B321="","",VLOOKUP(B321,Buget_detaliat!F:I,4,0)),"")</f>
        <v/>
      </c>
      <c r="B321"/>
      <c r="C321"/>
      <c r="D321"/>
      <c r="E321"/>
      <c r="F321"/>
      <c r="G321"/>
      <c r="H321"/>
    </row>
    <row r="322" spans="1:8">
      <c r="A322" s="1862" t="str">
        <f>IFERROR(IF(B322="","",VLOOKUP(B322,Buget_detaliat!F:I,4,0)),"")</f>
        <v/>
      </c>
      <c r="B322"/>
      <c r="C322"/>
      <c r="D322"/>
      <c r="E322"/>
      <c r="F322"/>
      <c r="G322"/>
      <c r="H322"/>
    </row>
    <row r="323" spans="1:8">
      <c r="A323" s="1862" t="str">
        <f>IFERROR(IF(B323="","",VLOOKUP(B323,Buget_detaliat!F:I,4,0)),"")</f>
        <v/>
      </c>
      <c r="B323"/>
      <c r="C323"/>
      <c r="D323"/>
      <c r="E323"/>
      <c r="F323"/>
      <c r="G323"/>
      <c r="H323"/>
    </row>
    <row r="324" spans="1:8">
      <c r="B324"/>
      <c r="C324"/>
      <c r="D324"/>
      <c r="E324"/>
      <c r="F324"/>
      <c r="G324"/>
      <c r="H324"/>
    </row>
  </sheetData>
  <conditionalFormatting sqref="A4:A634">
    <cfRule type="containsText" dxfId="1704" priority="1" operator="containsText" text="ONG_TB">
      <formula>NOT(ISERROR(SEARCH("ONG_TB",A4)))</formula>
    </cfRule>
  </conditionalFormatting>
  <hyperlinks>
    <hyperlink ref="A2" location="CUPRINS!A1" display="CUPRINS" xr:uid="{00000000-0004-0000-0400-000000000000}"/>
  </hyperlinks>
  <pageMargins left="0.7" right="0.7" top="0.75" bottom="0.75" header="0.3" footer="0.3"/>
  <pageSetup paperSize="9" orientation="portrait" r:id="rId2"/>
</worksheet>
</file>

<file path=xl/worksheets/sheet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R319"/>
  <sheetViews>
    <sheetView zoomScale="70" zoomScaleNormal="70" workbookViewId="0">
      <pane xSplit="2" ySplit="3" topLeftCell="C73" activePane="bottomRight" state="frozen"/>
      <selection pane="topRight" activeCell="C1" sqref="C1"/>
      <selection pane="bottomLeft" activeCell="A4" sqref="A4"/>
      <selection pane="bottomRight" activeCell="P128" sqref="P128"/>
    </sheetView>
  </sheetViews>
  <sheetFormatPr baseColWidth="10" defaultColWidth="8.83203125" defaultRowHeight="16" outlineLevelRow="1"/>
  <cols>
    <col min="1" max="1" width="35.33203125" style="1862" customWidth="1"/>
    <col min="2" max="2" width="127.33203125" style="1863" customWidth="1"/>
    <col min="3" max="5" width="15.33203125" style="1862" bestFit="1" customWidth="1"/>
    <col min="6" max="6" width="13.1640625" style="1862" bestFit="1" customWidth="1"/>
    <col min="7" max="7" width="13.1640625" style="1865" bestFit="1" customWidth="1"/>
    <col min="8" max="8" width="40.5" style="1861" bestFit="1" customWidth="1"/>
    <col min="9" max="9" width="10.1640625" style="1868" customWidth="1"/>
    <col min="10" max="12" width="15.1640625" bestFit="1" customWidth="1"/>
    <col min="13" max="13" width="14.5" hidden="1" customWidth="1"/>
    <col min="14" max="14" width="16.1640625" hidden="1" customWidth="1"/>
    <col min="15" max="15" width="16.5" bestFit="1" customWidth="1"/>
    <col min="16" max="16" width="15.33203125" bestFit="1" customWidth="1"/>
    <col min="17" max="17" width="16" style="1862" customWidth="1"/>
    <col min="18" max="18" width="13.5" style="1868" bestFit="1" customWidth="1"/>
    <col min="19" max="22" width="8.83203125" style="1868"/>
    <col min="23" max="23" width="15" style="1868" bestFit="1" customWidth="1"/>
    <col min="24" max="16384" width="8.83203125" style="1868"/>
  </cols>
  <sheetData>
    <row r="1" spans="1:9">
      <c r="B1"/>
      <c r="C1"/>
    </row>
    <row r="2" spans="1:9">
      <c r="A2" s="2093" t="s">
        <v>356</v>
      </c>
      <c r="B2" s="1861" t="s">
        <v>358</v>
      </c>
      <c r="C2" s="1861" t="s">
        <v>351</v>
      </c>
    </row>
    <row r="3" spans="1:9">
      <c r="A3" s="2094" t="s">
        <v>3249</v>
      </c>
      <c r="B3"/>
      <c r="C3"/>
      <c r="D3"/>
      <c r="E3"/>
      <c r="F3"/>
      <c r="G3"/>
      <c r="H3"/>
      <c r="I3" s="1808"/>
    </row>
    <row r="4" spans="1:9" ht="17" outlineLevel="1">
      <c r="B4" s="1863" t="s">
        <v>3240</v>
      </c>
      <c r="C4" s="1862" t="s">
        <v>3243</v>
      </c>
      <c r="D4" s="1862" t="s">
        <v>3244</v>
      </c>
      <c r="E4" s="1862" t="s">
        <v>3245</v>
      </c>
      <c r="F4" s="1862" t="s">
        <v>3246</v>
      </c>
      <c r="G4" s="1862" t="s">
        <v>3247</v>
      </c>
      <c r="H4" s="1993" t="s">
        <v>3248</v>
      </c>
      <c r="I4" s="1808"/>
    </row>
    <row r="5" spans="1:9" ht="17" outlineLevel="1">
      <c r="A5" s="1862" t="str">
        <f ca="1">IFERROR(VLOOKUP(B5,Buget_detaliat!F:I,4,0),"")</f>
        <v/>
      </c>
      <c r="B5" s="1864" t="s">
        <v>246</v>
      </c>
      <c r="C5" s="1866">
        <v>7726942.6300000008</v>
      </c>
      <c r="D5" s="1866">
        <v>10872169.390000001</v>
      </c>
      <c r="E5" s="1866">
        <v>11350225.120000001</v>
      </c>
      <c r="F5" s="1866">
        <v>0</v>
      </c>
      <c r="G5" s="1866">
        <v>0</v>
      </c>
      <c r="H5" s="2185">
        <v>29949337.140000001</v>
      </c>
      <c r="I5" s="1808"/>
    </row>
    <row r="6" spans="1:9" ht="17" outlineLevel="1">
      <c r="A6" s="1862" t="str">
        <f ca="1">IFERROR(VLOOKUP(B6,Buget_detaliat!F:I,4,0),"")</f>
        <v/>
      </c>
      <c r="B6" s="1864" t="s">
        <v>389</v>
      </c>
      <c r="C6" s="1866">
        <v>7726942.6300000008</v>
      </c>
      <c r="D6" s="1866">
        <v>10872169.390000001</v>
      </c>
      <c r="E6" s="1866">
        <v>11350225.120000001</v>
      </c>
      <c r="F6" s="1866">
        <v>0</v>
      </c>
      <c r="G6" s="1866">
        <v>0</v>
      </c>
      <c r="H6" s="2101">
        <v>29949337.140000001</v>
      </c>
      <c r="I6" s="1808"/>
    </row>
    <row r="7" spans="1:9" ht="34" outlineLevel="1">
      <c r="A7" s="1862" t="str">
        <f ca="1">IFERROR(VLOOKUP(B7,Buget_detaliat!F:I,4,0),"")</f>
        <v/>
      </c>
      <c r="B7" s="1864" t="s">
        <v>2925</v>
      </c>
      <c r="C7" s="1866">
        <v>7726942.6300000008</v>
      </c>
      <c r="D7" s="1866">
        <v>10872169.390000001</v>
      </c>
      <c r="E7" s="1866">
        <v>11350225.120000001</v>
      </c>
      <c r="F7" s="1866">
        <v>0</v>
      </c>
      <c r="G7" s="1866">
        <v>0</v>
      </c>
      <c r="H7" s="2101">
        <v>29949337.140000001</v>
      </c>
      <c r="I7" s="1808"/>
    </row>
    <row r="8" spans="1:9" ht="34">
      <c r="A8" s="1862" t="str">
        <f ca="1">IFERROR(VLOOKUP(B8,Buget_detaliat!F:I,4,0),"")</f>
        <v>Exam_grup_risc</v>
      </c>
      <c r="B8" s="1864" t="s">
        <v>3045</v>
      </c>
      <c r="C8" s="1866">
        <v>2846300.7600000002</v>
      </c>
      <c r="D8" s="1866">
        <v>2213820</v>
      </c>
      <c r="E8" s="1866">
        <v>2213820</v>
      </c>
      <c r="F8" s="1866">
        <v>0</v>
      </c>
      <c r="G8" s="1866">
        <v>0</v>
      </c>
      <c r="H8" s="2101">
        <v>7273940.7599999998</v>
      </c>
    </row>
    <row r="9" spans="1:9" ht="34">
      <c r="A9" s="1862" t="str">
        <f ca="1">IFERROR(VLOOKUP(B9,Buget_detaliat!F:I,4,0),"")</f>
        <v>Exam_grup_risc</v>
      </c>
      <c r="B9" s="1864" t="s">
        <v>3046</v>
      </c>
      <c r="C9" s="1866">
        <v>101997.07</v>
      </c>
      <c r="D9" s="1866">
        <v>101997.07</v>
      </c>
      <c r="E9" s="1866">
        <v>0</v>
      </c>
      <c r="F9" s="1866">
        <v>0</v>
      </c>
      <c r="G9" s="1866">
        <v>0</v>
      </c>
      <c r="H9" s="2101">
        <v>203994.14</v>
      </c>
      <c r="I9" s="1808"/>
    </row>
    <row r="10" spans="1:9" ht="17">
      <c r="A10" s="1862" t="str">
        <f ca="1">IFERROR(VLOOKUP(B10,Buget_detaliat!F:I,4,0),"")</f>
        <v>Exam_grup_risc</v>
      </c>
      <c r="B10" s="1864" t="s">
        <v>3047</v>
      </c>
      <c r="C10" s="1866">
        <v>40000</v>
      </c>
      <c r="D10" s="1866">
        <v>0</v>
      </c>
      <c r="E10" s="1866">
        <v>0</v>
      </c>
      <c r="F10" s="1866">
        <v>0</v>
      </c>
      <c r="G10" s="1866">
        <v>0</v>
      </c>
      <c r="H10" s="2101">
        <v>40000</v>
      </c>
      <c r="I10" s="1808"/>
    </row>
    <row r="11" spans="1:9">
      <c r="A11" s="1862" t="str">
        <f ca="1">IFERROR(VLOOKUP(B11,Buget_detaliat!F:I,4,0),"")</f>
        <v>ONG_TB</v>
      </c>
      <c r="B11" s="2092" t="s">
        <v>3887</v>
      </c>
      <c r="C11" s="1866">
        <v>2746060.8000000003</v>
      </c>
      <c r="D11" s="1866">
        <v>6308584.3200000003</v>
      </c>
      <c r="E11" s="1866">
        <v>6817341.1200000001</v>
      </c>
      <c r="F11" s="1866">
        <v>0</v>
      </c>
      <c r="G11" s="1866">
        <v>0</v>
      </c>
      <c r="H11" s="2101">
        <v>15871986.240000002</v>
      </c>
      <c r="I11" s="1808"/>
    </row>
    <row r="12" spans="1:9">
      <c r="A12" s="1862" t="str">
        <f ca="1">IFERROR(VLOOKUP(B12,Buget_detaliat!F:I,4,0),"")</f>
        <v>ONG_TB</v>
      </c>
      <c r="B12" s="2092" t="s">
        <v>3888</v>
      </c>
      <c r="C12" s="1866">
        <v>1777584</v>
      </c>
      <c r="D12" s="1866">
        <v>2022768.0000000002</v>
      </c>
      <c r="E12" s="1866">
        <v>2084064.0000000002</v>
      </c>
      <c r="F12" s="1866">
        <v>0</v>
      </c>
      <c r="G12" s="1866">
        <v>0</v>
      </c>
      <c r="H12" s="2101">
        <v>5884416</v>
      </c>
      <c r="I12" s="1808"/>
    </row>
    <row r="13" spans="1:9">
      <c r="A13" s="1862" t="str">
        <f ca="1">IFERROR(VLOOKUP(B13,Buget_detaliat!F:I,4,0),"")</f>
        <v>ONG_TB</v>
      </c>
      <c r="B13" s="2092" t="s">
        <v>3935</v>
      </c>
      <c r="C13" s="1866">
        <v>215000</v>
      </c>
      <c r="D13" s="1866">
        <v>225000</v>
      </c>
      <c r="E13" s="1866">
        <v>235000</v>
      </c>
      <c r="F13" s="1866">
        <v>0</v>
      </c>
      <c r="G13" s="1866">
        <v>0</v>
      </c>
      <c r="H13" s="2101">
        <v>675000</v>
      </c>
      <c r="I13" s="1808"/>
    </row>
    <row r="14" spans="1:9">
      <c r="A14" s="1862">
        <f ca="1">IFERROR(VLOOKUP(B14,Buget_detaliat!F:I,4,0),"")</f>
        <v>0</v>
      </c>
      <c r="B14" s="2092"/>
      <c r="C14" s="1866"/>
      <c r="D14" s="1866"/>
      <c r="E14" s="1866"/>
      <c r="F14" s="1866"/>
      <c r="G14" s="1866"/>
      <c r="H14" s="2101"/>
      <c r="I14" s="1808"/>
    </row>
    <row r="15" spans="1:9" ht="17">
      <c r="A15" s="1862" t="str">
        <f ca="1">IFERROR(VLOOKUP(B15,Buget_detaliat!F:I,4,0),"")</f>
        <v/>
      </c>
      <c r="B15" s="1864" t="s">
        <v>247</v>
      </c>
      <c r="C15" s="1866">
        <v>11842554.802163098</v>
      </c>
      <c r="D15" s="1866">
        <v>7449646.9188275095</v>
      </c>
      <c r="E15" s="1866">
        <v>9121540.5058456473</v>
      </c>
      <c r="F15" s="1866">
        <v>0</v>
      </c>
      <c r="G15" s="1866">
        <v>0</v>
      </c>
      <c r="H15" s="2101">
        <v>28413742.22683626</v>
      </c>
      <c r="I15" s="1808"/>
    </row>
    <row r="16" spans="1:9" ht="17">
      <c r="A16" s="1862" t="str">
        <f ca="1">IFERROR(VLOOKUP(B16,Buget_detaliat!F:I,4,0),"")</f>
        <v/>
      </c>
      <c r="B16" s="1864" t="s">
        <v>1849</v>
      </c>
      <c r="C16" s="1866">
        <v>5894525.3199044997</v>
      </c>
      <c r="D16" s="1866">
        <v>3217531.3501088996</v>
      </c>
      <c r="E16" s="1866">
        <v>3110075.6800104994</v>
      </c>
      <c r="F16" s="1866">
        <v>0</v>
      </c>
      <c r="G16" s="1866">
        <v>0</v>
      </c>
      <c r="H16" s="2101">
        <v>12222132.350023901</v>
      </c>
      <c r="I16" s="1808"/>
    </row>
    <row r="17" spans="1:17" ht="17">
      <c r="A17" s="1862" t="str">
        <f ca="1">IFERROR(VLOOKUP(B17,Buget_detaliat!F:I,4,0),"")</f>
        <v/>
      </c>
      <c r="B17" s="1864" t="s">
        <v>2927</v>
      </c>
      <c r="C17" s="1866">
        <v>5894525.3199044997</v>
      </c>
      <c r="D17" s="1866">
        <v>3217531.3501088996</v>
      </c>
      <c r="E17" s="1866">
        <v>3110075.6800104994</v>
      </c>
      <c r="F17" s="1866">
        <v>0</v>
      </c>
      <c r="G17" s="1866">
        <v>0</v>
      </c>
      <c r="H17" s="2101">
        <v>12222132.350023901</v>
      </c>
      <c r="I17" s="1808"/>
    </row>
    <row r="18" spans="1:17">
      <c r="A18" s="1862" t="str">
        <f ca="1">IFERROR(VLOOKUP(B18,Buget_detaliat!F:I,4,0),"")</f>
        <v>Estimare_lab_2</v>
      </c>
      <c r="B18" s="2092" t="s">
        <v>4092</v>
      </c>
      <c r="C18" s="1866">
        <v>2309304.7907679002</v>
      </c>
      <c r="D18" s="1866">
        <v>2159950.2570341998</v>
      </c>
      <c r="E18" s="1866">
        <v>1995967.4974562998</v>
      </c>
      <c r="F18" s="1866">
        <v>0</v>
      </c>
      <c r="G18" s="1866">
        <v>0</v>
      </c>
      <c r="H18" s="2101">
        <v>6465222.5452584</v>
      </c>
      <c r="I18" s="1808"/>
      <c r="Q18" s="1866"/>
    </row>
    <row r="19" spans="1:17">
      <c r="A19" s="1862" t="str">
        <f ca="1">IFERROR(VLOOKUP(B19,Buget_detaliat!F:I,4,0),"")</f>
        <v>Estimare_lab_2</v>
      </c>
      <c r="B19" s="2092" t="s">
        <v>4093</v>
      </c>
      <c r="C19" s="1866">
        <v>1010264.3289735999</v>
      </c>
      <c r="D19" s="1866">
        <v>1057581.0930746999</v>
      </c>
      <c r="E19" s="1866">
        <v>1114108.1825541998</v>
      </c>
      <c r="F19" s="1866">
        <v>0</v>
      </c>
      <c r="G19" s="1866">
        <v>0</v>
      </c>
      <c r="H19" s="2101">
        <v>3181953.6046024999</v>
      </c>
      <c r="I19" s="1808"/>
    </row>
    <row r="20" spans="1:17">
      <c r="A20" s="1862" t="str">
        <f ca="1">IFERROR(VLOOKUP(B20,Buget_detaliat!F:I,4,0),"")</f>
        <v>Estimare_laborator</v>
      </c>
      <c r="B20" s="2092" t="s">
        <v>4094</v>
      </c>
      <c r="C20" s="1866">
        <v>1507412.48</v>
      </c>
      <c r="D20" s="1866">
        <v>0</v>
      </c>
      <c r="E20" s="1866">
        <v>0</v>
      </c>
      <c r="F20" s="1866">
        <v>0</v>
      </c>
      <c r="G20" s="1866">
        <v>0</v>
      </c>
      <c r="H20" s="2101">
        <v>1507412.48</v>
      </c>
      <c r="I20" s="1808"/>
    </row>
    <row r="21" spans="1:17">
      <c r="A21" s="1862" t="str">
        <f ca="1">IFERROR(VLOOKUP(B21,Buget_detaliat!F:I,4,0),"")</f>
        <v>Estimare_laborator</v>
      </c>
      <c r="B21" s="2092" t="s">
        <v>4095</v>
      </c>
      <c r="C21" s="1866">
        <v>1067543.720163</v>
      </c>
      <c r="D21" s="1866">
        <v>0</v>
      </c>
      <c r="E21" s="1866">
        <v>0</v>
      </c>
      <c r="F21" s="1866">
        <v>0</v>
      </c>
      <c r="G21" s="1866">
        <v>0</v>
      </c>
      <c r="H21" s="2101">
        <v>1067543.720163</v>
      </c>
      <c r="I21" s="1808"/>
    </row>
    <row r="22" spans="1:17">
      <c r="A22" s="1862">
        <f ca="1">IFERROR(VLOOKUP(B22,Buget_detaliat!F:I,4,0),"")</f>
        <v>0</v>
      </c>
      <c r="B22" s="2092"/>
      <c r="C22" s="1866"/>
      <c r="D22" s="1866"/>
      <c r="E22" s="1866"/>
      <c r="F22" s="1866"/>
      <c r="G22" s="1866"/>
      <c r="H22" s="2101"/>
      <c r="I22" s="1808"/>
    </row>
    <row r="23" spans="1:17" ht="34">
      <c r="A23" s="1862" t="str">
        <f ca="1">IFERROR(VLOOKUP(B23,Buget_detaliat!F:I,4,0),"")</f>
        <v/>
      </c>
      <c r="B23" s="1864" t="s">
        <v>2220</v>
      </c>
      <c r="C23" s="1866">
        <v>633343.09747184999</v>
      </c>
      <c r="D23" s="1866">
        <v>208632.04416083999</v>
      </c>
      <c r="E23" s="1866">
        <v>143059.12747185002</v>
      </c>
      <c r="F23" s="1866">
        <v>0</v>
      </c>
      <c r="G23" s="1866">
        <v>0</v>
      </c>
      <c r="H23" s="2101">
        <v>985034.26910454</v>
      </c>
      <c r="I23" s="1808"/>
    </row>
    <row r="24" spans="1:17" ht="17">
      <c r="A24" s="1862" t="str">
        <f ca="1">IFERROR(VLOOKUP(B24,Buget_detaliat!F:I,4,0),"")</f>
        <v/>
      </c>
      <c r="B24" s="1864" t="s">
        <v>2928</v>
      </c>
      <c r="C24" s="1866">
        <v>124515.39</v>
      </c>
      <c r="D24" s="1866">
        <v>119373.40000000001</v>
      </c>
      <c r="E24" s="1866">
        <v>114231.42000000001</v>
      </c>
      <c r="F24" s="1866">
        <v>0</v>
      </c>
      <c r="G24" s="1866">
        <v>0</v>
      </c>
      <c r="H24" s="2101">
        <v>358120.21000000008</v>
      </c>
      <c r="I24" s="1808"/>
    </row>
    <row r="25" spans="1:17" ht="17">
      <c r="A25" s="1862" t="str">
        <f ca="1">IFERROR(VLOOKUP(B25,Buget_detaliat!F:I,4,0),"")</f>
        <v>Vizite_monitorizare</v>
      </c>
      <c r="B25" s="1864" t="s">
        <v>3095</v>
      </c>
      <c r="C25" s="1866">
        <v>47866.17</v>
      </c>
      <c r="D25" s="1866">
        <v>43079.55</v>
      </c>
      <c r="E25" s="1866">
        <v>38292.94</v>
      </c>
      <c r="F25" s="1866">
        <v>0</v>
      </c>
      <c r="G25" s="1866">
        <v>0</v>
      </c>
      <c r="H25" s="2101">
        <v>129238.66</v>
      </c>
      <c r="I25" s="1808"/>
    </row>
    <row r="26" spans="1:17" ht="17">
      <c r="A26" s="1862" t="str">
        <f ca="1">IFERROR(VLOOKUP(B26,Buget_detaliat!F:I,4,0),"")</f>
        <v>Vizite_monitorizare</v>
      </c>
      <c r="B26" s="1864" t="s">
        <v>3098</v>
      </c>
      <c r="C26" s="1866">
        <v>3553.7</v>
      </c>
      <c r="D26" s="1866">
        <v>3198.33</v>
      </c>
      <c r="E26" s="1866">
        <v>2842.96</v>
      </c>
      <c r="F26" s="1866">
        <v>0</v>
      </c>
      <c r="G26" s="1866">
        <v>0</v>
      </c>
      <c r="H26" s="2101">
        <v>9594.99</v>
      </c>
      <c r="I26" s="1808"/>
    </row>
    <row r="27" spans="1:17" ht="17">
      <c r="A27" s="1862" t="str">
        <f ca="1">IFERROR(VLOOKUP(B27,Buget_detaliat!F:I,4,0),"")</f>
        <v>Vizite_monitorizare</v>
      </c>
      <c r="B27" s="1864" t="s">
        <v>3097</v>
      </c>
      <c r="C27" s="1866">
        <v>64842.8</v>
      </c>
      <c r="D27" s="1866">
        <v>64842.8</v>
      </c>
      <c r="E27" s="1866">
        <v>64842.8</v>
      </c>
      <c r="F27" s="1866">
        <v>0</v>
      </c>
      <c r="G27" s="1866">
        <v>0</v>
      </c>
      <c r="H27" s="2101">
        <v>194528.40000000002</v>
      </c>
      <c r="I27" s="1808"/>
    </row>
    <row r="28" spans="1:17" ht="17">
      <c r="A28" s="1862" t="str">
        <f ca="1">IFERROR(VLOOKUP(B28,Buget_detaliat!F:I,4,0),"")</f>
        <v>Vizite_monitorizare</v>
      </c>
      <c r="B28" s="1864" t="s">
        <v>3100</v>
      </c>
      <c r="C28" s="1866">
        <v>8252.7200000000012</v>
      </c>
      <c r="D28" s="1866">
        <v>8252.7200000000012</v>
      </c>
      <c r="E28" s="1866">
        <v>8252.7200000000012</v>
      </c>
      <c r="F28" s="1866">
        <v>0</v>
      </c>
      <c r="G28" s="1866">
        <v>0</v>
      </c>
      <c r="H28" s="2101">
        <v>24758.160000000003</v>
      </c>
      <c r="I28" s="1808"/>
    </row>
    <row r="29" spans="1:17">
      <c r="A29" s="1862">
        <f ca="1">IFERROR(VLOOKUP(B29,Buget_detaliat!F:I,4,0),"")</f>
        <v>0</v>
      </c>
      <c r="B29" s="2092"/>
      <c r="C29" s="1866"/>
      <c r="D29" s="1866"/>
      <c r="E29" s="1866"/>
      <c r="F29" s="1866"/>
      <c r="G29" s="1866"/>
      <c r="H29" s="2101"/>
      <c r="I29" s="1808"/>
    </row>
    <row r="30" spans="1:17" ht="17">
      <c r="A30" s="1862" t="str">
        <f ca="1">IFERROR(VLOOKUP(B30,Buget_detaliat!F:I,4,0),"")</f>
        <v/>
      </c>
      <c r="B30" s="1864" t="s">
        <v>2929</v>
      </c>
      <c r="C30" s="1866">
        <v>28827.707471850001</v>
      </c>
      <c r="D30" s="1866">
        <v>28827.707471850001</v>
      </c>
      <c r="E30" s="1866">
        <v>28827.707471850001</v>
      </c>
      <c r="F30" s="1866">
        <v>0</v>
      </c>
      <c r="G30" s="1866">
        <v>0</v>
      </c>
      <c r="H30" s="2101">
        <v>86483.122415549995</v>
      </c>
      <c r="I30" s="1808"/>
    </row>
    <row r="31" spans="1:17" ht="17">
      <c r="A31" s="1862" t="str">
        <f ca="1">IFERROR(VLOOKUP(B31,Buget_detaliat!F:I,4,0),"")</f>
        <v>Estimare_laborator</v>
      </c>
      <c r="B31" s="1864" t="s">
        <v>3116</v>
      </c>
      <c r="C31" s="1866">
        <v>4728.5721878499999</v>
      </c>
      <c r="D31" s="1866">
        <v>4728.5721878499999</v>
      </c>
      <c r="E31" s="1866">
        <v>4728.5721878499999</v>
      </c>
      <c r="F31" s="1866">
        <v>0</v>
      </c>
      <c r="G31" s="1866">
        <v>0</v>
      </c>
      <c r="H31" s="2101">
        <v>14185.716563549999</v>
      </c>
      <c r="I31" s="1808"/>
    </row>
    <row r="32" spans="1:17" ht="17">
      <c r="A32" s="1862" t="str">
        <f ca="1">IFERROR(VLOOKUP(B32,Buget_detaliat!F:I,4,0),"")</f>
        <v>Estimare_laborator</v>
      </c>
      <c r="B32" s="1864" t="s">
        <v>3115</v>
      </c>
      <c r="C32" s="1866">
        <v>24099.135284</v>
      </c>
      <c r="D32" s="1866">
        <v>24099.135284</v>
      </c>
      <c r="E32" s="1866">
        <v>24099.135284</v>
      </c>
      <c r="F32" s="1866">
        <v>0</v>
      </c>
      <c r="G32" s="1866">
        <v>0</v>
      </c>
      <c r="H32" s="2101">
        <v>72297.405851999996</v>
      </c>
      <c r="I32" s="1808"/>
    </row>
    <row r="33" spans="1:9">
      <c r="A33" s="1862">
        <f ca="1">IFERROR(VLOOKUP(B33,Buget_detaliat!F:I,4,0),"")</f>
        <v>0</v>
      </c>
      <c r="B33" s="2092"/>
      <c r="C33" s="1866"/>
      <c r="D33" s="1866"/>
      <c r="E33" s="1866"/>
      <c r="F33" s="1866"/>
      <c r="G33" s="1866"/>
      <c r="H33" s="2101"/>
      <c r="I33" s="1808"/>
    </row>
    <row r="34" spans="1:9" ht="17">
      <c r="A34" s="1862" t="str">
        <f ca="1">IFERROR(VLOOKUP(B34,Buget_detaliat!F:I,4,0),"")</f>
        <v/>
      </c>
      <c r="B34" s="1864" t="s">
        <v>2930</v>
      </c>
      <c r="C34" s="1866">
        <v>480000</v>
      </c>
      <c r="D34" s="1866">
        <v>60430.936688989997</v>
      </c>
      <c r="E34" s="1866">
        <v>0</v>
      </c>
      <c r="F34" s="1866">
        <v>0</v>
      </c>
      <c r="G34" s="1866">
        <v>0</v>
      </c>
      <c r="H34" s="2101">
        <v>540430.93668898998</v>
      </c>
      <c r="I34" s="1808"/>
    </row>
    <row r="35" spans="1:9" ht="17">
      <c r="A35" s="1862" t="str">
        <f ca="1">IFERROR(VLOOKUP(B35,Buget_detaliat!F:I,4,0),"")</f>
        <v>Estimare_laborator</v>
      </c>
      <c r="B35" s="1864" t="s">
        <v>3208</v>
      </c>
      <c r="C35" s="1866">
        <v>480000</v>
      </c>
      <c r="D35" s="1866">
        <v>0</v>
      </c>
      <c r="E35" s="1866">
        <v>0</v>
      </c>
      <c r="F35" s="1866">
        <v>0</v>
      </c>
      <c r="G35" s="1866">
        <v>0</v>
      </c>
      <c r="H35" s="2101">
        <v>480000</v>
      </c>
      <c r="I35" s="1808"/>
    </row>
    <row r="36" spans="1:9" ht="17">
      <c r="A36" s="1862" t="str">
        <f ca="1">IFERROR(VLOOKUP(B36,Buget_detaliat!F:I,4,0),"")</f>
        <v>Estimare_laborator</v>
      </c>
      <c r="B36" s="1864" t="s">
        <v>3210</v>
      </c>
      <c r="C36" s="1866">
        <v>0</v>
      </c>
      <c r="D36" s="1866">
        <v>60430.936688989997</v>
      </c>
      <c r="E36" s="1866">
        <v>0</v>
      </c>
      <c r="F36" s="1866">
        <v>0</v>
      </c>
      <c r="G36" s="1866">
        <v>0</v>
      </c>
      <c r="H36" s="2101">
        <v>60430.936688989997</v>
      </c>
      <c r="I36" s="1808"/>
    </row>
    <row r="37" spans="1:9">
      <c r="A37" s="1862">
        <f ca="1">IFERROR(VLOOKUP(B37,Buget_detaliat!F:I,4,0),"")</f>
        <v>0</v>
      </c>
      <c r="B37" s="2092"/>
      <c r="C37" s="1866"/>
      <c r="D37" s="1866"/>
      <c r="E37" s="1866"/>
      <c r="F37" s="1866"/>
      <c r="G37" s="1866"/>
      <c r="H37" s="2101"/>
      <c r="I37" s="1808"/>
    </row>
    <row r="38" spans="1:9" ht="17">
      <c r="A38" s="1862" t="str">
        <f ca="1">IFERROR(VLOOKUP(B38,Buget_detaliat!F:I,4,0),"")</f>
        <v/>
      </c>
      <c r="B38" s="1864" t="s">
        <v>3141</v>
      </c>
      <c r="C38" s="1866">
        <v>5314686.3847867502</v>
      </c>
      <c r="D38" s="1866">
        <v>4023483.5245577702</v>
      </c>
      <c r="E38" s="1866">
        <v>5868405.6983632995</v>
      </c>
      <c r="F38" s="1866">
        <v>0</v>
      </c>
      <c r="G38" s="1866">
        <v>0</v>
      </c>
      <c r="H38" s="2101">
        <v>15206575.607707821</v>
      </c>
      <c r="I38" s="1808"/>
    </row>
    <row r="39" spans="1:9" ht="34">
      <c r="A39" s="1862" t="str">
        <f ca="1">IFERROR(VLOOKUP(B39,Buget_detaliat!F:I,4,0),"")</f>
        <v/>
      </c>
      <c r="B39" s="1864" t="s">
        <v>2931</v>
      </c>
      <c r="C39" s="1866">
        <v>4862905.2057867497</v>
      </c>
      <c r="D39" s="1866">
        <v>3713142.9955577701</v>
      </c>
      <c r="E39" s="1866">
        <v>5664145.6593632996</v>
      </c>
      <c r="F39" s="1866">
        <v>0</v>
      </c>
      <c r="G39" s="1866">
        <v>0</v>
      </c>
      <c r="H39" s="2101">
        <v>14240193.860707819</v>
      </c>
      <c r="I39" s="1808"/>
    </row>
    <row r="40" spans="1:9" ht="17">
      <c r="A40" s="1862" t="str">
        <f ca="1">IFERROR(VLOOKUP(B40,Buget_detaliat!F:I,4,0),"")</f>
        <v>Estimare_lab_2</v>
      </c>
      <c r="B40" s="1864" t="s">
        <v>3223</v>
      </c>
      <c r="C40" s="1866">
        <v>3392726.8771122</v>
      </c>
      <c r="D40" s="1866">
        <v>2467330.6668266403</v>
      </c>
      <c r="E40" s="1866">
        <v>3948853.4793260694</v>
      </c>
      <c r="F40" s="1866">
        <v>0</v>
      </c>
      <c r="G40" s="1866">
        <v>0</v>
      </c>
      <c r="H40" s="2101">
        <v>9808911.0232649092</v>
      </c>
      <c r="I40" s="1808"/>
    </row>
    <row r="41" spans="1:9" ht="17">
      <c r="A41" s="1862" t="str">
        <f ca="1">IFERROR(VLOOKUP(B41,Buget_detaliat!F:I,4,0),"")</f>
        <v>Estimare_lab_2</v>
      </c>
      <c r="B41" s="1864" t="s">
        <v>3224</v>
      </c>
      <c r="C41" s="1866">
        <v>1470178.3286745499</v>
      </c>
      <c r="D41" s="1866">
        <v>1245812.3287311299</v>
      </c>
      <c r="E41" s="1866">
        <v>1715292.18003723</v>
      </c>
      <c r="F41" s="1866">
        <v>0</v>
      </c>
      <c r="G41" s="1866">
        <v>0</v>
      </c>
      <c r="H41" s="2101">
        <v>4431282.8374429103</v>
      </c>
      <c r="I41" s="1808"/>
    </row>
    <row r="42" spans="1:9">
      <c r="A42" s="1862">
        <f ca="1">IFERROR(VLOOKUP(B42,Buget_detaliat!F:I,4,0),"")</f>
        <v>0</v>
      </c>
      <c r="B42" s="2092"/>
      <c r="C42" s="1866"/>
      <c r="D42" s="1866"/>
      <c r="E42" s="1866"/>
      <c r="F42" s="1866"/>
      <c r="G42" s="1866"/>
      <c r="H42" s="2101"/>
      <c r="I42" s="1808"/>
    </row>
    <row r="43" spans="1:9" ht="34">
      <c r="A43" s="1862" t="str">
        <f ca="1">IFERROR(VLOOKUP(B43,Buget_detaliat!F:I,4,0),"")</f>
        <v/>
      </c>
      <c r="B43" s="1864" t="s">
        <v>2932</v>
      </c>
      <c r="C43" s="1866">
        <v>0</v>
      </c>
      <c r="D43" s="1866">
        <v>0</v>
      </c>
      <c r="E43" s="1866">
        <v>0</v>
      </c>
      <c r="F43" s="1866">
        <v>0</v>
      </c>
      <c r="G43" s="1866">
        <v>0</v>
      </c>
      <c r="H43" s="2101">
        <v>0</v>
      </c>
      <c r="I43" s="1808"/>
    </row>
    <row r="44" spans="1:9" ht="17">
      <c r="A44" s="1862" t="str">
        <f ca="1">IFERROR(VLOOKUP(B44,Buget_detaliat!F:I,4,0),"")</f>
        <v>Estimare_laborator</v>
      </c>
      <c r="B44" s="1864" t="s">
        <v>2377</v>
      </c>
      <c r="C44" s="1866">
        <v>0</v>
      </c>
      <c r="D44" s="1866">
        <v>0</v>
      </c>
      <c r="E44" s="1866">
        <v>0</v>
      </c>
      <c r="F44" s="1866">
        <v>0</v>
      </c>
      <c r="G44" s="1866">
        <v>0</v>
      </c>
      <c r="H44" s="2101">
        <v>0</v>
      </c>
      <c r="I44" s="1808"/>
    </row>
    <row r="45" spans="1:9">
      <c r="A45" s="1862">
        <f ca="1">IFERROR(VLOOKUP(B45,Buget_detaliat!F:I,4,0),"")</f>
        <v>0</v>
      </c>
      <c r="B45" s="2092"/>
      <c r="C45" s="1866"/>
      <c r="D45" s="1866"/>
      <c r="E45" s="1866"/>
      <c r="F45" s="1866"/>
      <c r="G45" s="1866"/>
      <c r="H45" s="2101"/>
      <c r="I45" s="1808"/>
    </row>
    <row r="46" spans="1:9" ht="17">
      <c r="A46" s="1862" t="str">
        <f ca="1">IFERROR(VLOOKUP(B46,Buget_detaliat!F:I,4,0),"")</f>
        <v/>
      </c>
      <c r="B46" s="1864" t="s">
        <v>2933</v>
      </c>
      <c r="C46" s="1866">
        <v>451781.179</v>
      </c>
      <c r="D46" s="1866">
        <v>310340.52899999998</v>
      </c>
      <c r="E46" s="1866">
        <v>204260.03899999999</v>
      </c>
      <c r="F46" s="1866">
        <v>0</v>
      </c>
      <c r="G46" s="1866">
        <v>0</v>
      </c>
      <c r="H46" s="2101">
        <v>966381.74699999997</v>
      </c>
      <c r="I46" s="1808"/>
    </row>
    <row r="47" spans="1:9" ht="17">
      <c r="A47" s="1862" t="str">
        <f ca="1">IFERROR(VLOOKUP(B47,Buget_detaliat!F:I,4,0),"")</f>
        <v>Curierat_sputa_medic</v>
      </c>
      <c r="B47" s="1864" t="s">
        <v>2435</v>
      </c>
      <c r="C47" s="1866">
        <v>120219.099</v>
      </c>
      <c r="D47" s="1866">
        <v>120219.099</v>
      </c>
      <c r="E47" s="1866">
        <v>120219.099</v>
      </c>
      <c r="F47" s="1866">
        <v>0</v>
      </c>
      <c r="G47" s="1866">
        <v>0</v>
      </c>
      <c r="H47" s="2101">
        <v>360657.29700000002</v>
      </c>
      <c r="I47" s="1808"/>
    </row>
    <row r="48" spans="1:9" ht="17">
      <c r="A48" s="1862" t="str">
        <f ca="1">IFERROR(VLOOKUP(B48,Buget_detaliat!F:I,4,0),"")</f>
        <v>Curierat_sputa_medic</v>
      </c>
      <c r="B48" s="1864" t="s">
        <v>2445</v>
      </c>
      <c r="C48" s="1866">
        <v>24342.18</v>
      </c>
      <c r="D48" s="1866">
        <v>15710.369999999999</v>
      </c>
      <c r="E48" s="1866">
        <v>9236.52</v>
      </c>
      <c r="F48" s="1866">
        <v>0</v>
      </c>
      <c r="G48" s="1866">
        <v>0</v>
      </c>
      <c r="H48" s="2101">
        <v>49289.070000000007</v>
      </c>
      <c r="I48" s="1808"/>
    </row>
    <row r="49" spans="1:18" ht="17">
      <c r="A49" s="1862" t="str">
        <f ca="1">IFERROR(VLOOKUP(B49,Buget_detaliat!F:I,4,0),"")</f>
        <v>Curierat_sputa_medic</v>
      </c>
      <c r="B49" s="1864" t="s">
        <v>2446</v>
      </c>
      <c r="C49" s="1866">
        <v>8400</v>
      </c>
      <c r="D49" s="1866">
        <v>8400</v>
      </c>
      <c r="E49" s="1866">
        <v>8400</v>
      </c>
      <c r="F49" s="1866">
        <v>0</v>
      </c>
      <c r="G49" s="1866">
        <v>0</v>
      </c>
      <c r="H49" s="2101">
        <v>25200</v>
      </c>
      <c r="I49" s="1808"/>
    </row>
    <row r="50" spans="1:18" ht="17">
      <c r="A50" s="1862" t="str">
        <f ca="1">IFERROR(VLOOKUP(B50,Buget_detaliat!F:I,4,0),"")</f>
        <v>Curierat_sputa_medic</v>
      </c>
      <c r="B50" s="1864" t="s">
        <v>2436</v>
      </c>
      <c r="C50" s="1866">
        <v>298819.90000000002</v>
      </c>
      <c r="D50" s="1866">
        <v>166011.06</v>
      </c>
      <c r="E50" s="1866">
        <v>66404.42</v>
      </c>
      <c r="F50" s="1866">
        <v>0</v>
      </c>
      <c r="G50" s="1866">
        <v>0</v>
      </c>
      <c r="H50" s="2101">
        <v>531235.38</v>
      </c>
      <c r="I50" s="1808"/>
    </row>
    <row r="51" spans="1:18">
      <c r="A51" s="1862">
        <f ca="1">IFERROR(VLOOKUP(B51,Buget_detaliat!F:I,4,0),"")</f>
        <v>0</v>
      </c>
      <c r="B51" s="2092"/>
      <c r="C51" s="1866"/>
      <c r="D51" s="1866"/>
      <c r="E51" s="1866"/>
      <c r="F51" s="1866"/>
      <c r="G51" s="1866"/>
      <c r="H51" s="2101"/>
      <c r="I51" s="1808"/>
    </row>
    <row r="52" spans="1:18" ht="17">
      <c r="A52" s="1862" t="str">
        <f ca="1">IFERROR(VLOOKUP(B52,Buget_detaliat!F:I,4,0),"")</f>
        <v/>
      </c>
      <c r="B52" s="1864" t="s">
        <v>248</v>
      </c>
      <c r="C52" s="1866">
        <v>18977743.450074933</v>
      </c>
      <c r="D52" s="1866">
        <v>25736081.827406853</v>
      </c>
      <c r="E52" s="1866">
        <v>23771966.408080578</v>
      </c>
      <c r="F52" s="1866">
        <v>0</v>
      </c>
      <c r="G52" s="1866">
        <v>0</v>
      </c>
      <c r="H52" s="2101">
        <v>68485791.685562357</v>
      </c>
      <c r="I52" s="1808"/>
    </row>
    <row r="53" spans="1:18" ht="17">
      <c r="A53" s="1862" t="str">
        <f ca="1">IFERROR(VLOOKUP(B53,Buget_detaliat!F:I,4,0),"")</f>
        <v/>
      </c>
      <c r="B53" s="1864" t="s">
        <v>1850</v>
      </c>
      <c r="C53" s="1866">
        <v>12377843.375074932</v>
      </c>
      <c r="D53" s="1866">
        <v>20100255.182406854</v>
      </c>
      <c r="E53" s="1866">
        <v>18087910.518080577</v>
      </c>
      <c r="F53" s="1866">
        <v>0</v>
      </c>
      <c r="G53" s="1866">
        <v>0</v>
      </c>
      <c r="H53" s="2101">
        <v>50566009.075562365</v>
      </c>
      <c r="I53" s="1808"/>
    </row>
    <row r="54" spans="1:18" ht="17">
      <c r="A54" s="1862" t="str">
        <f ca="1">IFERROR(VLOOKUP(B54,Buget_detaliat!F:I,4,0),"")</f>
        <v/>
      </c>
      <c r="B54" s="1864" t="s">
        <v>2935</v>
      </c>
      <c r="C54" s="1866">
        <v>10693328.16486115</v>
      </c>
      <c r="D54" s="1866">
        <v>18148126.417041697</v>
      </c>
      <c r="E54" s="1866">
        <v>16126643.935240274</v>
      </c>
      <c r="F54" s="1866">
        <v>0</v>
      </c>
      <c r="G54" s="1866">
        <v>0</v>
      </c>
      <c r="H54" s="2101">
        <v>44968098.517143115</v>
      </c>
      <c r="I54" s="1808"/>
    </row>
    <row r="55" spans="1:18" ht="17">
      <c r="A55" s="1862" t="str">
        <f ca="1">IFERROR(VLOOKUP(B55,Buget_detaliat!F:I,4,0),"")</f>
        <v>Tratament_FLD_SLD</v>
      </c>
      <c r="B55" s="1864" t="s">
        <v>505</v>
      </c>
      <c r="C55" s="1866">
        <v>4477089.1902702311</v>
      </c>
      <c r="D55" s="1866">
        <v>6763836.1190237645</v>
      </c>
      <c r="E55" s="1866">
        <v>4655490.6678460948</v>
      </c>
      <c r="F55" s="1866">
        <v>0</v>
      </c>
      <c r="G55" s="1866">
        <v>0</v>
      </c>
      <c r="H55" s="2101">
        <v>15896415.977140091</v>
      </c>
      <c r="I55" s="1808"/>
    </row>
    <row r="56" spans="1:18" ht="17">
      <c r="A56" s="1862" t="str">
        <f ca="1">IFERROR(VLOOKUP(B56,Buget_detaliat!F:I,4,0),"")</f>
        <v>Tratament_FLD_SLD</v>
      </c>
      <c r="B56" s="1864" t="s">
        <v>507</v>
      </c>
      <c r="C56" s="1866">
        <v>169534.04285704184</v>
      </c>
      <c r="D56" s="1866">
        <v>204213.90286452681</v>
      </c>
      <c r="E56" s="1866">
        <v>169534.04285704184</v>
      </c>
      <c r="F56" s="1866">
        <v>0</v>
      </c>
      <c r="G56" s="1866">
        <v>0</v>
      </c>
      <c r="H56" s="2101">
        <v>543281.98857861047</v>
      </c>
      <c r="I56" s="1808"/>
    </row>
    <row r="57" spans="1:18" ht="17">
      <c r="A57" s="1862" t="str">
        <f ca="1">IFERROR(VLOOKUP(B57,Buget_detaliat!F:I,4,0),"")</f>
        <v>Tratament_FLD_SLD</v>
      </c>
      <c r="B57" s="1864" t="s">
        <v>509</v>
      </c>
      <c r="C57" s="1866">
        <v>5168259.4317338774</v>
      </c>
      <c r="D57" s="1866">
        <v>10301630.895153403</v>
      </c>
      <c r="E57" s="1866">
        <v>10423173.724537138</v>
      </c>
      <c r="F57" s="1866">
        <v>0</v>
      </c>
      <c r="G57" s="1866">
        <v>0</v>
      </c>
      <c r="H57" s="2101">
        <v>25893064.051424418</v>
      </c>
      <c r="I57" s="1808"/>
      <c r="R57" s="2533"/>
    </row>
    <row r="58" spans="1:18">
      <c r="A58" s="1862" t="str">
        <f ca="1">IFERROR(VLOOKUP(B58,Buget_detaliat!F:I,4,0),"")</f>
        <v>PNCT</v>
      </c>
      <c r="B58" s="2092" t="s">
        <v>3986</v>
      </c>
      <c r="C58" s="1866">
        <v>878445.5</v>
      </c>
      <c r="D58" s="1866">
        <v>878445.5</v>
      </c>
      <c r="E58" s="1866">
        <v>878445.5</v>
      </c>
      <c r="F58" s="1866">
        <v>0</v>
      </c>
      <c r="G58" s="1866">
        <v>0</v>
      </c>
      <c r="H58" s="2101">
        <v>2635336.5</v>
      </c>
      <c r="I58" s="1808"/>
    </row>
    <row r="59" spans="1:18">
      <c r="A59" s="1862">
        <f ca="1">IFERROR(VLOOKUP(B59,Buget_detaliat!F:I,4,0),"")</f>
        <v>0</v>
      </c>
      <c r="B59" s="2092"/>
      <c r="C59" s="1866"/>
      <c r="D59" s="1866"/>
      <c r="E59" s="1866"/>
      <c r="F59" s="1866"/>
      <c r="G59" s="1866"/>
      <c r="H59" s="2101"/>
      <c r="I59" s="1808"/>
    </row>
    <row r="60" spans="1:18" ht="17">
      <c r="A60" s="1862" t="str">
        <f ca="1">IFERROR(VLOOKUP(B60,Buget_detaliat!F:I,4,0),"")</f>
        <v/>
      </c>
      <c r="B60" s="1864" t="s">
        <v>2936</v>
      </c>
      <c r="C60" s="1866">
        <v>868376.11641378503</v>
      </c>
      <c r="D60" s="1866">
        <v>1536357.5351651562</v>
      </c>
      <c r="E60" s="1866">
        <v>1469559.2378403035</v>
      </c>
      <c r="F60" s="1866">
        <v>0</v>
      </c>
      <c r="G60" s="1866">
        <v>0</v>
      </c>
      <c r="H60" s="2101">
        <v>3874292.8894192446</v>
      </c>
      <c r="I60" s="1808"/>
    </row>
    <row r="61" spans="1:18" ht="17">
      <c r="A61" s="1862" t="str">
        <f ca="1">IFERROR(VLOOKUP(B61,Buget_detaliat!F:I,4,0),"")</f>
        <v>Tratament_FLD_SLD</v>
      </c>
      <c r="B61" s="1864" t="s">
        <v>506</v>
      </c>
      <c r="C61" s="1866">
        <v>734779.71607622399</v>
      </c>
      <c r="D61" s="1866">
        <v>1335963.031814887</v>
      </c>
      <c r="E61" s="1866">
        <v>1269164.7344900342</v>
      </c>
      <c r="F61" s="1866">
        <v>0</v>
      </c>
      <c r="G61" s="1866">
        <v>0</v>
      </c>
      <c r="H61" s="2101">
        <v>3339907.482381145</v>
      </c>
      <c r="I61" s="1808"/>
    </row>
    <row r="62" spans="1:18" ht="17">
      <c r="A62" s="1862" t="str">
        <f ca="1">IFERROR(VLOOKUP(B62,Buget_detaliat!F:I,4,0),"")</f>
        <v>Tratament_FLD_SLD</v>
      </c>
      <c r="B62" s="1864" t="s">
        <v>508</v>
      </c>
      <c r="C62" s="1866">
        <v>133596.400337561</v>
      </c>
      <c r="D62" s="1866">
        <v>200394.50335026922</v>
      </c>
      <c r="E62" s="1866">
        <v>200394.50335026922</v>
      </c>
      <c r="F62" s="1866">
        <v>0</v>
      </c>
      <c r="G62" s="1866">
        <v>0</v>
      </c>
      <c r="H62" s="2101">
        <v>534385.40703809937</v>
      </c>
      <c r="I62" s="1808"/>
    </row>
    <row r="63" spans="1:18">
      <c r="A63" s="1862">
        <f ca="1">IFERROR(VLOOKUP(B63,Buget_detaliat!F:I,4,0),"")</f>
        <v>0</v>
      </c>
      <c r="B63" s="2092"/>
      <c r="C63" s="1866"/>
      <c r="D63" s="1866"/>
      <c r="E63" s="1866"/>
      <c r="F63" s="1866"/>
      <c r="G63" s="1866"/>
      <c r="H63" s="2101"/>
      <c r="I63" s="1808"/>
    </row>
    <row r="64" spans="1:18" ht="17">
      <c r="A64" s="1862" t="str">
        <f ca="1">IFERROR(VLOOKUP(B64,Buget_detaliat!F:I,4,0),"")</f>
        <v/>
      </c>
      <c r="B64" s="1864" t="s">
        <v>2937</v>
      </c>
      <c r="C64" s="1866">
        <v>251339.69499999998</v>
      </c>
      <c r="D64" s="1866">
        <v>173714.345</v>
      </c>
      <c r="E64" s="1866">
        <v>115495.345</v>
      </c>
      <c r="F64" s="1866">
        <v>0</v>
      </c>
      <c r="G64" s="1866">
        <v>0</v>
      </c>
      <c r="H64" s="2101">
        <v>540549.38500000001</v>
      </c>
      <c r="I64" s="1808"/>
    </row>
    <row r="65" spans="1:17">
      <c r="A65" s="1862" t="str">
        <f ca="1">IFERROR(VLOOKUP(B65,Buget_detaliat!F:I,4,0),"")</f>
        <v>Curierat_sputa_medic</v>
      </c>
      <c r="B65" s="2092" t="s">
        <v>2447</v>
      </c>
      <c r="C65" s="1866">
        <v>16694.95</v>
      </c>
      <c r="D65" s="1866">
        <v>10774.87</v>
      </c>
      <c r="E65" s="1866">
        <v>6334.82</v>
      </c>
      <c r="F65" s="1866">
        <v>0</v>
      </c>
      <c r="G65" s="1866">
        <v>0</v>
      </c>
      <c r="H65" s="2101">
        <v>33804.639999999999</v>
      </c>
      <c r="I65" s="1808"/>
    </row>
    <row r="66" spans="1:17">
      <c r="A66" s="1862" t="str">
        <f ca="1">IFERROR(VLOOKUP(B66,Buget_detaliat!F:I,4,0),"")</f>
        <v>Curierat_sputa_medic</v>
      </c>
      <c r="B66" s="2092" t="s">
        <v>2448</v>
      </c>
      <c r="C66" s="1866">
        <v>8400</v>
      </c>
      <c r="D66" s="1866">
        <v>8400</v>
      </c>
      <c r="E66" s="1866">
        <v>8400</v>
      </c>
      <c r="F66" s="1866">
        <v>0</v>
      </c>
      <c r="G66" s="1866">
        <v>0</v>
      </c>
      <c r="H66" s="2101">
        <v>25200</v>
      </c>
      <c r="I66" s="1808"/>
    </row>
    <row r="67" spans="1:17" ht="17">
      <c r="A67" s="1862" t="str">
        <f ca="1">IFERROR(VLOOKUP(B67,Buget_detaliat!F:I,4,0),"")</f>
        <v>Curierat_sputa_medic</v>
      </c>
      <c r="B67" s="1864" t="s">
        <v>2438</v>
      </c>
      <c r="C67" s="1866">
        <v>161336.84999999998</v>
      </c>
      <c r="D67" s="1866">
        <v>89631.58</v>
      </c>
      <c r="E67" s="1866">
        <v>35852.629999999997</v>
      </c>
      <c r="F67" s="1866">
        <v>0</v>
      </c>
      <c r="G67" s="1866">
        <v>0</v>
      </c>
      <c r="H67" s="2101">
        <v>286821.06</v>
      </c>
      <c r="I67" s="1808"/>
    </row>
    <row r="68" spans="1:17" ht="17">
      <c r="A68" s="1862" t="str">
        <f ca="1">IFERROR(VLOOKUP(B68,Buget_detaliat!F:I,4,0),"")</f>
        <v>Curierat_sputa_medic</v>
      </c>
      <c r="B68" s="1864" t="s">
        <v>2437</v>
      </c>
      <c r="C68" s="1866">
        <v>64907.894999999997</v>
      </c>
      <c r="D68" s="1866">
        <v>64907.894999999997</v>
      </c>
      <c r="E68" s="1866">
        <v>64907.894999999997</v>
      </c>
      <c r="F68" s="1866">
        <v>0</v>
      </c>
      <c r="G68" s="1866">
        <v>0</v>
      </c>
      <c r="H68" s="2101">
        <v>194723.685</v>
      </c>
      <c r="I68" s="1808"/>
    </row>
    <row r="69" spans="1:17">
      <c r="A69" s="1862">
        <f ca="1">IFERROR(VLOOKUP(B69,Buget_detaliat!F:I,4,0),"")</f>
        <v>0</v>
      </c>
      <c r="B69" s="2092"/>
      <c r="C69" s="1866"/>
      <c r="D69" s="1866"/>
      <c r="E69" s="1866"/>
      <c r="F69" s="1866"/>
      <c r="G69" s="1866"/>
      <c r="H69" s="2101"/>
      <c r="I69" s="1808"/>
    </row>
    <row r="70" spans="1:17" ht="34">
      <c r="A70" s="1862" t="str">
        <f ca="1">IFERROR(VLOOKUP(B70,Buget_detaliat!F:I,4,0),"")</f>
        <v/>
      </c>
      <c r="B70" s="1864" t="s">
        <v>2938</v>
      </c>
      <c r="C70" s="1866">
        <v>564799.39879999997</v>
      </c>
      <c r="D70" s="1866">
        <v>242056.88520000002</v>
      </c>
      <c r="E70" s="1866">
        <v>376212</v>
      </c>
      <c r="F70" s="1866">
        <v>0</v>
      </c>
      <c r="G70" s="1866">
        <v>0</v>
      </c>
      <c r="H70" s="2101">
        <v>1183068.284</v>
      </c>
      <c r="I70" s="1808"/>
    </row>
    <row r="71" spans="1:17" ht="17">
      <c r="A71" s="1862" t="str">
        <f ca="1">IFERROR(VLOOKUP(B71,Buget_detaliat!F:I,4,0),"")</f>
        <v>Tratament_Scheme_scurte</v>
      </c>
      <c r="B71" s="1864" t="s">
        <v>3250</v>
      </c>
      <c r="C71" s="1866">
        <v>0</v>
      </c>
      <c r="D71" s="1866">
        <v>0</v>
      </c>
      <c r="E71" s="1866">
        <v>376212</v>
      </c>
      <c r="F71" s="1866">
        <v>0</v>
      </c>
      <c r="G71" s="1866">
        <v>0</v>
      </c>
      <c r="H71" s="2101">
        <v>376212</v>
      </c>
      <c r="I71" s="1808"/>
    </row>
    <row r="72" spans="1:17" ht="17">
      <c r="A72" s="1862" t="str">
        <f ca="1">IFERROR(VLOOKUP(B72,Buget_detaliat!F:I,4,0),"")</f>
        <v>Tratament_Scheme_scurte</v>
      </c>
      <c r="B72" s="1864" t="s">
        <v>3169</v>
      </c>
      <c r="C72" s="1866">
        <v>564799.39879999997</v>
      </c>
      <c r="D72" s="1866">
        <v>242056.88520000002</v>
      </c>
      <c r="E72" s="1866">
        <v>0</v>
      </c>
      <c r="F72" s="1866">
        <v>0</v>
      </c>
      <c r="G72" s="1866">
        <v>0</v>
      </c>
      <c r="H72" s="2101">
        <v>806856.28399999999</v>
      </c>
      <c r="I72" s="1808"/>
    </row>
    <row r="73" spans="1:17">
      <c r="A73" s="1862">
        <f ca="1">IFERROR(VLOOKUP(B73,Buget_detaliat!F:I,4,0),"")</f>
        <v>0</v>
      </c>
      <c r="B73" s="2092"/>
      <c r="C73" s="1866"/>
      <c r="D73" s="1866"/>
      <c r="E73" s="1866"/>
      <c r="F73" s="1866"/>
      <c r="G73" s="1866"/>
      <c r="H73" s="2101"/>
      <c r="I73" s="1808"/>
    </row>
    <row r="74" spans="1:17" ht="17">
      <c r="A74" s="1862" t="str">
        <f ca="1">IFERROR(VLOOKUP(B74,Buget_detaliat!F:I,4,0),"")</f>
        <v/>
      </c>
      <c r="B74" s="1864" t="s">
        <v>1851</v>
      </c>
      <c r="C74" s="1866">
        <v>80000</v>
      </c>
      <c r="D74" s="1866">
        <v>79152.570000000007</v>
      </c>
      <c r="E74" s="1866">
        <v>376212</v>
      </c>
      <c r="F74" s="1866">
        <v>0</v>
      </c>
      <c r="G74" s="1866">
        <v>0</v>
      </c>
      <c r="H74" s="2101">
        <v>535364.57000000007</v>
      </c>
      <c r="I74" s="1808"/>
    </row>
    <row r="75" spans="1:17" ht="34">
      <c r="A75" s="1862" t="str">
        <f ca="1">IFERROR(VLOOKUP(B75,Buget_detaliat!F:I,4,0),"")</f>
        <v/>
      </c>
      <c r="B75" s="1864" t="s">
        <v>2939</v>
      </c>
      <c r="C75" s="1866">
        <v>40000</v>
      </c>
      <c r="D75" s="1866">
        <v>79152.570000000007</v>
      </c>
      <c r="E75" s="1866">
        <v>376212</v>
      </c>
      <c r="F75" s="1866">
        <v>0</v>
      </c>
      <c r="G75" s="1866">
        <v>0</v>
      </c>
      <c r="H75" s="2101">
        <v>495364.57</v>
      </c>
      <c r="I75" s="1808"/>
      <c r="Q75" s="1866"/>
    </row>
    <row r="76" spans="1:17" ht="34">
      <c r="A76" s="1862" t="str">
        <f ca="1">IFERROR(VLOOKUP(B76,Buget_detaliat!F:I,4,0),"")</f>
        <v>RA_farmacovigilenta</v>
      </c>
      <c r="B76" s="1864" t="s">
        <v>3085</v>
      </c>
      <c r="C76" s="1866">
        <v>40000</v>
      </c>
      <c r="D76" s="1866">
        <v>0</v>
      </c>
      <c r="E76" s="1866">
        <v>0</v>
      </c>
      <c r="F76" s="1866">
        <v>0</v>
      </c>
      <c r="G76" s="1866">
        <v>0</v>
      </c>
      <c r="H76" s="2101">
        <v>40000</v>
      </c>
      <c r="I76" s="1808"/>
    </row>
    <row r="77" spans="1:17" ht="17">
      <c r="A77" s="1862" t="str">
        <f ca="1">IFERROR(VLOOKUP(B77,Buget_detaliat!F:I,4,0),"")</f>
        <v>RA_farmacovigilenta</v>
      </c>
      <c r="B77" s="1864" t="s">
        <v>3086</v>
      </c>
      <c r="C77" s="1866">
        <v>0</v>
      </c>
      <c r="D77" s="1866">
        <v>79152.570000000007</v>
      </c>
      <c r="E77" s="1866">
        <v>0</v>
      </c>
      <c r="F77" s="1866">
        <v>0</v>
      </c>
      <c r="G77" s="1866">
        <v>0</v>
      </c>
      <c r="H77" s="2101">
        <v>79152.570000000007</v>
      </c>
      <c r="I77" s="1808"/>
    </row>
    <row r="78" spans="1:17" ht="17">
      <c r="A78" s="1862" t="str">
        <f ca="1">IFERROR(VLOOKUP(B78,Buget_detaliat!F:I,4,0),"")</f>
        <v>RA_farmacovigilenta</v>
      </c>
      <c r="B78" s="1864" t="s">
        <v>3087</v>
      </c>
      <c r="C78" s="1866">
        <v>0</v>
      </c>
      <c r="D78" s="1866">
        <v>0</v>
      </c>
      <c r="E78" s="1866">
        <v>376212</v>
      </c>
      <c r="F78" s="1866">
        <v>0</v>
      </c>
      <c r="G78" s="1866">
        <v>0</v>
      </c>
      <c r="H78" s="2101">
        <v>376212</v>
      </c>
      <c r="I78" s="1808"/>
    </row>
    <row r="79" spans="1:17">
      <c r="A79" s="1862">
        <f ca="1">IFERROR(VLOOKUP(B79,Buget_detaliat!F:I,4,0),"")</f>
        <v>0</v>
      </c>
      <c r="B79" s="2092"/>
      <c r="C79" s="1866"/>
      <c r="D79" s="1866"/>
      <c r="E79" s="1866"/>
      <c r="F79" s="1866"/>
      <c r="G79" s="1866"/>
      <c r="H79" s="2101"/>
      <c r="I79" s="1808"/>
    </row>
    <row r="80" spans="1:17" ht="17">
      <c r="A80" s="1862" t="str">
        <f ca="1">IFERROR(VLOOKUP(B80,Buget_detaliat!F:I,4,0),"")</f>
        <v/>
      </c>
      <c r="B80" s="1864" t="s">
        <v>2940</v>
      </c>
      <c r="C80" s="1866">
        <v>40000</v>
      </c>
      <c r="D80" s="1866">
        <v>0</v>
      </c>
      <c r="E80" s="1866">
        <v>0</v>
      </c>
      <c r="F80" s="1866">
        <v>0</v>
      </c>
      <c r="G80" s="1866">
        <v>0</v>
      </c>
      <c r="H80" s="2101">
        <v>40000</v>
      </c>
      <c r="I80" s="1808"/>
    </row>
    <row r="81" spans="1:17" ht="17">
      <c r="A81" s="1862" t="str">
        <f ca="1">IFERROR(VLOOKUP(B81,Buget_detaliat!F:I,4,0),"")</f>
        <v>RA_farmacovigilenta</v>
      </c>
      <c r="B81" s="1864" t="s">
        <v>3581</v>
      </c>
      <c r="C81" s="1866">
        <v>40000</v>
      </c>
      <c r="D81" s="1866">
        <v>0</v>
      </c>
      <c r="E81" s="1866">
        <v>0</v>
      </c>
      <c r="F81" s="1866">
        <v>0</v>
      </c>
      <c r="G81" s="1866">
        <v>0</v>
      </c>
      <c r="H81" s="2101">
        <v>40000</v>
      </c>
      <c r="I81" s="1808"/>
    </row>
    <row r="82" spans="1:17">
      <c r="A82" s="1862">
        <f ca="1">IFERROR(VLOOKUP(B82,Buget_detaliat!F:I,4,0),"")</f>
        <v>0</v>
      </c>
      <c r="B82" s="2092"/>
      <c r="C82" s="1866"/>
      <c r="D82" s="1866"/>
      <c r="E82" s="1866"/>
      <c r="F82" s="1866"/>
      <c r="G82" s="1866"/>
      <c r="H82" s="2101"/>
      <c r="I82" s="1808"/>
    </row>
    <row r="83" spans="1:17">
      <c r="A83" s="1862" t="str">
        <f ca="1">IFERROR(VLOOKUP(B83,Buget_detaliat!F:I,4,0),"")</f>
        <v/>
      </c>
      <c r="B83" s="2092" t="s">
        <v>3127</v>
      </c>
      <c r="C83" s="1866">
        <v>0</v>
      </c>
      <c r="D83" s="1866">
        <v>0</v>
      </c>
      <c r="E83" s="1866">
        <v>0</v>
      </c>
      <c r="F83" s="1866">
        <v>0</v>
      </c>
      <c r="G83" s="1866">
        <v>0</v>
      </c>
      <c r="H83" s="2101">
        <v>0</v>
      </c>
      <c r="I83" s="1808"/>
    </row>
    <row r="84" spans="1:17">
      <c r="A84" s="1862" t="str">
        <f ca="1">IFERROR(VLOOKUP(B84,Buget_detaliat!F:I,4,0),"")</f>
        <v>RA_farmacovigilenta</v>
      </c>
      <c r="B84" s="2092" t="s">
        <v>3722</v>
      </c>
      <c r="C84" s="1866">
        <v>0</v>
      </c>
      <c r="D84" s="1866">
        <v>0</v>
      </c>
      <c r="E84" s="1866">
        <v>0</v>
      </c>
      <c r="F84" s="1866">
        <v>0</v>
      </c>
      <c r="G84" s="1866">
        <v>0</v>
      </c>
      <c r="H84" s="2101">
        <v>0</v>
      </c>
      <c r="I84" s="1808"/>
    </row>
    <row r="85" spans="1:17">
      <c r="A85" s="1862">
        <f ca="1">IFERROR(VLOOKUP(B85,Buget_detaliat!F:I,4,0),"")</f>
        <v>0</v>
      </c>
      <c r="B85" s="2092"/>
      <c r="C85" s="1866"/>
      <c r="D85" s="1866"/>
      <c r="E85" s="1866"/>
      <c r="F85" s="1866"/>
      <c r="G85" s="1866"/>
      <c r="H85" s="2101"/>
      <c r="I85" s="1808"/>
    </row>
    <row r="86" spans="1:17" ht="17">
      <c r="A86" s="1862" t="str">
        <f ca="1">IFERROR(VLOOKUP(B86,Buget_detaliat!F:I,4,0),"")</f>
        <v/>
      </c>
      <c r="B86" s="1864" t="s">
        <v>339</v>
      </c>
      <c r="C86" s="1866">
        <v>6519900.0750000002</v>
      </c>
      <c r="D86" s="1866">
        <v>5556674.0750000002</v>
      </c>
      <c r="E86" s="1866">
        <v>5307843.8899999997</v>
      </c>
      <c r="F86" s="1866">
        <v>0</v>
      </c>
      <c r="G86" s="1866">
        <v>0</v>
      </c>
      <c r="H86" s="2101">
        <v>17384418.040000003</v>
      </c>
      <c r="I86" s="1808"/>
    </row>
    <row r="87" spans="1:17" ht="34">
      <c r="A87" s="1862" t="str">
        <f ca="1">IFERROR(VLOOKUP(B87,Buget_detaliat!F:I,4,0),"")</f>
        <v/>
      </c>
      <c r="B87" s="1864" t="s">
        <v>2941</v>
      </c>
      <c r="C87" s="1866">
        <v>1689662.0150000001</v>
      </c>
      <c r="D87" s="1866">
        <v>1131317.9350000001</v>
      </c>
      <c r="E87" s="1866">
        <v>1130675.51</v>
      </c>
      <c r="F87" s="1866">
        <v>0</v>
      </c>
      <c r="G87" s="1866">
        <v>0</v>
      </c>
      <c r="H87" s="2101">
        <v>3951655.46</v>
      </c>
      <c r="I87" s="1808"/>
      <c r="Q87" s="1866"/>
    </row>
    <row r="88" spans="1:17" ht="17">
      <c r="A88" s="1862" t="str">
        <f ca="1">IFERROR(VLOOKUP(B88,Buget_detaliat!F:I,4,0),"")</f>
        <v>Aderenta_VOT</v>
      </c>
      <c r="B88" s="1864" t="s">
        <v>3279</v>
      </c>
      <c r="C88" s="1866">
        <v>1023902.0150000001</v>
      </c>
      <c r="D88" s="1866">
        <v>1015733.9350000001</v>
      </c>
      <c r="E88" s="1866">
        <v>1015091.51</v>
      </c>
      <c r="F88" s="1866">
        <v>0</v>
      </c>
      <c r="G88" s="1866">
        <v>0</v>
      </c>
      <c r="H88" s="2101">
        <v>3054727.46</v>
      </c>
      <c r="I88" s="1808"/>
    </row>
    <row r="89" spans="1:17" ht="17">
      <c r="A89" s="1862" t="str">
        <f ca="1">IFERROR(VLOOKUP(B89,Buget_detaliat!F:I,4,0),"")</f>
        <v>Aderenta_VOT</v>
      </c>
      <c r="B89" s="1864" t="s">
        <v>3255</v>
      </c>
      <c r="C89" s="1866">
        <v>115584</v>
      </c>
      <c r="D89" s="1866">
        <v>115584</v>
      </c>
      <c r="E89" s="1866">
        <v>115584</v>
      </c>
      <c r="F89" s="1866">
        <v>0</v>
      </c>
      <c r="G89" s="1866">
        <v>0</v>
      </c>
      <c r="H89" s="2101">
        <v>346752</v>
      </c>
      <c r="I89" s="1808"/>
    </row>
    <row r="90" spans="1:17" ht="17">
      <c r="A90" s="1862" t="str">
        <f ca="1">IFERROR(VLOOKUP(B90,Buget_detaliat!F:I,4,0),"")</f>
        <v>Aderenta_VOT</v>
      </c>
      <c r="B90" s="1864" t="s">
        <v>3280</v>
      </c>
      <c r="C90" s="1866">
        <v>40000</v>
      </c>
      <c r="D90" s="1866">
        <v>0</v>
      </c>
      <c r="E90" s="1866">
        <v>0</v>
      </c>
      <c r="F90" s="1866">
        <v>0</v>
      </c>
      <c r="G90" s="1866">
        <v>0</v>
      </c>
      <c r="H90" s="2101">
        <v>40000</v>
      </c>
      <c r="I90" s="1808"/>
    </row>
    <row r="91" spans="1:17" ht="17">
      <c r="A91" s="1862" t="str">
        <f ca="1">IFERROR(VLOOKUP(B91,Buget_detaliat!F:I,4,0),"")</f>
        <v>Aderenta_VOT</v>
      </c>
      <c r="B91" s="1864" t="s">
        <v>3533</v>
      </c>
      <c r="C91" s="1866">
        <v>510176</v>
      </c>
      <c r="D91" s="1866">
        <v>0</v>
      </c>
      <c r="E91" s="1866">
        <v>0</v>
      </c>
      <c r="F91" s="1866">
        <v>0</v>
      </c>
      <c r="G91" s="1866">
        <v>0</v>
      </c>
      <c r="H91" s="2101">
        <v>510176</v>
      </c>
      <c r="I91" s="1808"/>
    </row>
    <row r="92" spans="1:17">
      <c r="A92" s="1862">
        <f ca="1">IFERROR(VLOOKUP(B92,Buget_detaliat!F:I,4,0),"")</f>
        <v>0</v>
      </c>
      <c r="B92" s="2092"/>
      <c r="C92" s="1866"/>
      <c r="D92" s="1866"/>
      <c r="E92" s="1866"/>
      <c r="F92" s="1866"/>
      <c r="G92" s="1866"/>
      <c r="H92" s="2101"/>
      <c r="I92" s="1808"/>
    </row>
    <row r="93" spans="1:17" ht="17">
      <c r="A93" s="1862" t="str">
        <f ca="1">IFERROR(VLOOKUP(B93,Buget_detaliat!F:I,4,0),"")</f>
        <v/>
      </c>
      <c r="B93" s="1864" t="s">
        <v>2942</v>
      </c>
      <c r="C93" s="1866">
        <v>3525747.2600000002</v>
      </c>
      <c r="D93" s="1866">
        <v>3493356.14</v>
      </c>
      <c r="E93" s="1866">
        <v>3506768.38</v>
      </c>
      <c r="F93" s="1866">
        <v>0</v>
      </c>
      <c r="G93" s="1866">
        <v>0</v>
      </c>
      <c r="H93" s="2101">
        <v>10525871.780000001</v>
      </c>
      <c r="I93" s="1808"/>
    </row>
    <row r="94" spans="1:17">
      <c r="A94" s="1862" t="str">
        <f ca="1">IFERROR(VLOOKUP(B94,Buget_detaliat!F:I,4,0),"")</f>
        <v>Aderenta_VOT</v>
      </c>
      <c r="B94" s="2092" t="s">
        <v>3976</v>
      </c>
      <c r="C94" s="1866">
        <v>3525747.2600000002</v>
      </c>
      <c r="D94" s="1866">
        <v>3493356.14</v>
      </c>
      <c r="E94" s="1866">
        <v>3506768.38</v>
      </c>
      <c r="F94" s="1866">
        <v>0</v>
      </c>
      <c r="G94" s="1866">
        <v>0</v>
      </c>
      <c r="H94" s="2101">
        <v>10525871.780000001</v>
      </c>
      <c r="I94" s="1808"/>
    </row>
    <row r="95" spans="1:17">
      <c r="A95" s="1862">
        <f ca="1">IFERROR(VLOOKUP(B95,Buget_detaliat!F:I,4,0),"")</f>
        <v>0</v>
      </c>
      <c r="B95" s="2092"/>
      <c r="C95" s="1866"/>
      <c r="D95" s="1866"/>
      <c r="E95" s="1866"/>
      <c r="F95" s="1866"/>
      <c r="G95" s="1866"/>
      <c r="H95" s="2101"/>
      <c r="I95" s="1808"/>
    </row>
    <row r="96" spans="1:17" ht="17">
      <c r="A96" s="1862" t="str">
        <f ca="1">IFERROR(VLOOKUP(B96,Buget_detaliat!F:I,4,0),"")</f>
        <v/>
      </c>
      <c r="B96" s="1864" t="s">
        <v>2943</v>
      </c>
      <c r="C96" s="1866">
        <v>1304490.8</v>
      </c>
      <c r="D96" s="1866">
        <v>932000</v>
      </c>
      <c r="E96" s="1866">
        <v>670400</v>
      </c>
      <c r="F96" s="1866">
        <v>0</v>
      </c>
      <c r="G96" s="1866">
        <v>0</v>
      </c>
      <c r="H96" s="2101">
        <v>2906890.8</v>
      </c>
      <c r="I96" s="1808"/>
    </row>
    <row r="97" spans="1:9" ht="17">
      <c r="A97" s="1862" t="str">
        <f ca="1">IFERROR(VLOOKUP(B97,Buget_detaliat!F:I,4,0),"")</f>
        <v>Aderenta_VOT</v>
      </c>
      <c r="B97" s="1864" t="s">
        <v>3302</v>
      </c>
      <c r="C97" s="1866">
        <v>1005600</v>
      </c>
      <c r="D97" s="1866">
        <v>838000</v>
      </c>
      <c r="E97" s="1866">
        <v>670400</v>
      </c>
      <c r="F97" s="1866">
        <v>0</v>
      </c>
      <c r="G97" s="1866">
        <v>0</v>
      </c>
      <c r="H97" s="2101">
        <v>2514000</v>
      </c>
      <c r="I97" s="1808"/>
    </row>
    <row r="98" spans="1:9" ht="17">
      <c r="A98" s="1862" t="str">
        <f ca="1">IFERROR(VLOOKUP(B98,Buget_detaliat!F:I,4,0),"")</f>
        <v>Aderenta_VOT</v>
      </c>
      <c r="B98" s="1864" t="s">
        <v>3303</v>
      </c>
      <c r="C98" s="1866">
        <v>0</v>
      </c>
      <c r="D98" s="1866">
        <v>94000</v>
      </c>
      <c r="E98" s="1866">
        <v>0</v>
      </c>
      <c r="F98" s="1866">
        <v>0</v>
      </c>
      <c r="G98" s="1866">
        <v>0</v>
      </c>
      <c r="H98" s="2101">
        <v>94000</v>
      </c>
      <c r="I98" s="1808"/>
    </row>
    <row r="99" spans="1:9" ht="17">
      <c r="A99" s="1862" t="str">
        <f ca="1">IFERROR(VLOOKUP(B99,Buget_detaliat!F:I,4,0),"")</f>
        <v>Aderenta_VOT</v>
      </c>
      <c r="B99" s="1864" t="s">
        <v>3308</v>
      </c>
      <c r="C99" s="1866">
        <v>120000</v>
      </c>
      <c r="D99" s="1866">
        <v>0</v>
      </c>
      <c r="E99" s="1866">
        <v>0</v>
      </c>
      <c r="F99" s="1866">
        <v>0</v>
      </c>
      <c r="G99" s="1866">
        <v>0</v>
      </c>
      <c r="H99" s="2101">
        <v>120000</v>
      </c>
      <c r="I99" s="1808"/>
    </row>
    <row r="100" spans="1:9" ht="17">
      <c r="A100" s="1862" t="str">
        <f ca="1">IFERROR(VLOOKUP(B100,Buget_detaliat!F:I,4,0),"")</f>
        <v>Aderenta_VOT</v>
      </c>
      <c r="B100" s="1864" t="s">
        <v>3306</v>
      </c>
      <c r="C100" s="1866">
        <v>81790.8</v>
      </c>
      <c r="D100" s="1866">
        <v>0</v>
      </c>
      <c r="E100" s="1866">
        <v>0</v>
      </c>
      <c r="F100" s="1866">
        <v>0</v>
      </c>
      <c r="G100" s="1866">
        <v>0</v>
      </c>
      <c r="H100" s="2101">
        <v>81790.8</v>
      </c>
      <c r="I100" s="1808"/>
    </row>
    <row r="101" spans="1:9">
      <c r="A101" s="1862" t="str">
        <f ca="1">IFERROR(VLOOKUP(B101,Buget_detaliat!F:I,4,0),"")</f>
        <v>Aderenta_VOT</v>
      </c>
      <c r="B101" s="2092" t="s">
        <v>3721</v>
      </c>
      <c r="C101" s="1866">
        <v>97100</v>
      </c>
      <c r="D101" s="1866">
        <v>0</v>
      </c>
      <c r="E101" s="1866">
        <v>0</v>
      </c>
      <c r="F101" s="1866">
        <v>0</v>
      </c>
      <c r="G101" s="1866">
        <v>0</v>
      </c>
      <c r="H101" s="2101">
        <v>97100</v>
      </c>
      <c r="I101" s="1808"/>
    </row>
    <row r="102" spans="1:9">
      <c r="A102" s="1862">
        <f ca="1">IFERROR(VLOOKUP(B102,Buget_detaliat!F:I,4,0),"")</f>
        <v>0</v>
      </c>
      <c r="B102" s="2092"/>
      <c r="C102" s="1866"/>
      <c r="D102" s="1866"/>
      <c r="E102" s="1866"/>
      <c r="F102" s="1866"/>
      <c r="G102" s="1866"/>
      <c r="H102" s="2101"/>
      <c r="I102" s="1808"/>
    </row>
    <row r="103" spans="1:9" ht="17">
      <c r="A103" s="1862" t="str">
        <f ca="1">IFERROR(VLOOKUP(B103,Buget_detaliat!F:I,4,0),"")</f>
        <v/>
      </c>
      <c r="B103" s="1864" t="s">
        <v>252</v>
      </c>
      <c r="C103" s="1866">
        <v>297932</v>
      </c>
      <c r="D103" s="1866">
        <v>164266.4</v>
      </c>
      <c r="E103" s="1866">
        <v>164266.4</v>
      </c>
      <c r="F103" s="1866">
        <v>0</v>
      </c>
      <c r="G103" s="1866">
        <v>0</v>
      </c>
      <c r="H103" s="2101">
        <v>626464.80000000005</v>
      </c>
      <c r="I103" s="1808"/>
    </row>
    <row r="104" spans="1:9" ht="17">
      <c r="A104" s="1862" t="str">
        <f ca="1">IFERROR(VLOOKUP(B104,Buget_detaliat!F:I,4,0),"")</f>
        <v/>
      </c>
      <c r="B104" s="1864" t="s">
        <v>340</v>
      </c>
      <c r="C104" s="1866">
        <v>147740</v>
      </c>
      <c r="D104" s="1866">
        <v>0</v>
      </c>
      <c r="E104" s="1866">
        <v>0</v>
      </c>
      <c r="F104" s="1866">
        <v>0</v>
      </c>
      <c r="G104" s="1866">
        <v>0</v>
      </c>
      <c r="H104" s="2101">
        <v>147740</v>
      </c>
      <c r="I104" s="1808"/>
    </row>
    <row r="105" spans="1:9" ht="17">
      <c r="A105" s="1862" t="str">
        <f ca="1">IFERROR(VLOOKUP(B105,Buget_detaliat!F:I,4,0),"")</f>
        <v/>
      </c>
      <c r="B105" s="1864" t="s">
        <v>2945</v>
      </c>
      <c r="C105" s="1866">
        <v>110192</v>
      </c>
      <c r="D105" s="1866">
        <v>0</v>
      </c>
      <c r="E105" s="1866">
        <v>0</v>
      </c>
      <c r="F105" s="1866">
        <v>0</v>
      </c>
      <c r="G105" s="1866">
        <v>0</v>
      </c>
      <c r="H105" s="2101">
        <v>110192</v>
      </c>
      <c r="I105" s="1808"/>
    </row>
    <row r="106" spans="1:9" ht="17">
      <c r="A106" s="1862" t="str">
        <f ca="1">IFERROR(VLOOKUP(B106,Buget_detaliat!F:I,4,0),"")</f>
        <v>Activ_colaborative</v>
      </c>
      <c r="B106" s="1864" t="s">
        <v>3313</v>
      </c>
      <c r="C106" s="1866">
        <v>40000</v>
      </c>
      <c r="D106" s="1866">
        <v>0</v>
      </c>
      <c r="E106" s="1866">
        <v>0</v>
      </c>
      <c r="F106" s="1866">
        <v>0</v>
      </c>
      <c r="G106" s="1866">
        <v>0</v>
      </c>
      <c r="H106" s="2101">
        <v>40000</v>
      </c>
      <c r="I106" s="1808"/>
    </row>
    <row r="107" spans="1:9" ht="17">
      <c r="A107" s="1862" t="str">
        <f ca="1">IFERROR(VLOOKUP(B107,Buget_detaliat!F:I,4,0),"")</f>
        <v>Activ_colaborative</v>
      </c>
      <c r="B107" s="1864" t="s">
        <v>3314</v>
      </c>
      <c r="C107" s="1866">
        <v>70192</v>
      </c>
      <c r="D107" s="1866">
        <v>0</v>
      </c>
      <c r="E107" s="1866">
        <v>0</v>
      </c>
      <c r="F107" s="1866">
        <v>0</v>
      </c>
      <c r="G107" s="1866">
        <v>0</v>
      </c>
      <c r="H107" s="2101">
        <v>70192</v>
      </c>
      <c r="I107" s="1808"/>
    </row>
    <row r="108" spans="1:9">
      <c r="A108" s="1862">
        <f ca="1">IFERROR(VLOOKUP(B108,Buget_detaliat!F:I,4,0),"")</f>
        <v>0</v>
      </c>
      <c r="B108" s="2092"/>
      <c r="C108" s="1866"/>
      <c r="D108" s="1866"/>
      <c r="E108" s="1866"/>
      <c r="F108" s="1866"/>
      <c r="G108" s="1866"/>
      <c r="H108" s="2101"/>
      <c r="I108" s="1808"/>
    </row>
    <row r="109" spans="1:9" ht="17">
      <c r="A109" s="1862" t="str">
        <f ca="1">IFERROR(VLOOKUP(B109,Buget_detaliat!F:I,4,0),"")</f>
        <v/>
      </c>
      <c r="B109" s="1864" t="s">
        <v>2946</v>
      </c>
      <c r="C109" s="1866">
        <v>37548</v>
      </c>
      <c r="D109" s="1866">
        <v>0</v>
      </c>
      <c r="E109" s="1866">
        <v>0</v>
      </c>
      <c r="F109" s="1866">
        <v>0</v>
      </c>
      <c r="G109" s="1866">
        <v>0</v>
      </c>
      <c r="H109" s="2101">
        <v>37548</v>
      </c>
      <c r="I109" s="1808"/>
    </row>
    <row r="110" spans="1:9" ht="17">
      <c r="A110" s="1862" t="str">
        <f ca="1">IFERROR(VLOOKUP(B110,Buget_detaliat!F:I,4,0),"")</f>
        <v>Activ_colaborative</v>
      </c>
      <c r="B110" s="1864" t="s">
        <v>3316</v>
      </c>
      <c r="C110" s="1866">
        <v>20000</v>
      </c>
      <c r="D110" s="1866">
        <v>0</v>
      </c>
      <c r="E110" s="1866">
        <v>0</v>
      </c>
      <c r="F110" s="1866">
        <v>0</v>
      </c>
      <c r="G110" s="1866">
        <v>0</v>
      </c>
      <c r="H110" s="2101">
        <v>20000</v>
      </c>
      <c r="I110" s="1808"/>
    </row>
    <row r="111" spans="1:9" ht="17">
      <c r="A111" s="1862" t="str">
        <f ca="1">IFERROR(VLOOKUP(B111,Buget_detaliat!F:I,4,0),"")</f>
        <v>Activ_colaborative</v>
      </c>
      <c r="B111" s="1864" t="s">
        <v>3317</v>
      </c>
      <c r="C111" s="1866">
        <v>17548</v>
      </c>
      <c r="D111" s="1866">
        <v>0</v>
      </c>
      <c r="E111" s="1866">
        <v>0</v>
      </c>
      <c r="F111" s="1866">
        <v>0</v>
      </c>
      <c r="G111" s="1866">
        <v>0</v>
      </c>
      <c r="H111" s="2101">
        <v>17548</v>
      </c>
      <c r="I111" s="1808"/>
    </row>
    <row r="112" spans="1:9">
      <c r="A112" s="1862">
        <f ca="1">IFERROR(VLOOKUP(B112,Buget_detaliat!F:I,4,0),"")</f>
        <v>0</v>
      </c>
      <c r="B112" s="2092"/>
      <c r="C112" s="1866"/>
      <c r="D112" s="1866"/>
      <c r="E112" s="1866"/>
      <c r="F112" s="1866"/>
      <c r="G112" s="1866"/>
      <c r="H112" s="2101"/>
      <c r="I112" s="1808"/>
    </row>
    <row r="113" spans="1:9" ht="17">
      <c r="A113" s="1862" t="str">
        <f ca="1">IFERROR(VLOOKUP(B113,Buget_detaliat!F:I,4,0),"")</f>
        <v/>
      </c>
      <c r="B113" s="1864" t="s">
        <v>390</v>
      </c>
      <c r="C113" s="1866">
        <v>150192</v>
      </c>
      <c r="D113" s="1866">
        <v>164266.4</v>
      </c>
      <c r="E113" s="1866">
        <v>164266.4</v>
      </c>
      <c r="F113" s="1866">
        <v>0</v>
      </c>
      <c r="G113" s="1866">
        <v>0</v>
      </c>
      <c r="H113" s="2101">
        <v>478724.8</v>
      </c>
      <c r="I113" s="1808"/>
    </row>
    <row r="114" spans="1:9" ht="17">
      <c r="A114" s="1862" t="str">
        <f ca="1">IFERROR(VLOOKUP(B114,Buget_detaliat!F:I,4,0),"")</f>
        <v/>
      </c>
      <c r="B114" s="1864" t="s">
        <v>2953</v>
      </c>
      <c r="C114" s="1866">
        <v>150192</v>
      </c>
      <c r="D114" s="1866">
        <v>0</v>
      </c>
      <c r="E114" s="1866">
        <v>0</v>
      </c>
      <c r="F114" s="1866">
        <v>0</v>
      </c>
      <c r="G114" s="1866">
        <v>0</v>
      </c>
      <c r="H114" s="2101">
        <v>150192</v>
      </c>
      <c r="I114" s="1808"/>
    </row>
    <row r="115" spans="1:9" ht="17">
      <c r="A115" s="1862" t="str">
        <f ca="1">IFERROR(VLOOKUP(B115,Buget_detaliat!F:I,4,0),"")</f>
        <v>Activ_colaborative</v>
      </c>
      <c r="B115" s="1864" t="s">
        <v>3319</v>
      </c>
      <c r="C115" s="1866">
        <v>80000</v>
      </c>
      <c r="D115" s="1866">
        <v>0</v>
      </c>
      <c r="E115" s="1866">
        <v>0</v>
      </c>
      <c r="F115" s="1866">
        <v>0</v>
      </c>
      <c r="G115" s="1866">
        <v>0</v>
      </c>
      <c r="H115" s="2101">
        <v>80000</v>
      </c>
      <c r="I115" s="1808"/>
    </row>
    <row r="116" spans="1:9" ht="17">
      <c r="A116" s="1862" t="str">
        <f ca="1">IFERROR(VLOOKUP(B116,Buget_detaliat!F:I,4,0),"")</f>
        <v>Activ_colaborative</v>
      </c>
      <c r="B116" s="1864" t="s">
        <v>3320</v>
      </c>
      <c r="C116" s="1866">
        <v>70192</v>
      </c>
      <c r="D116" s="1866">
        <v>0</v>
      </c>
      <c r="E116" s="1866">
        <v>0</v>
      </c>
      <c r="F116" s="1866">
        <v>0</v>
      </c>
      <c r="G116" s="1866">
        <v>0</v>
      </c>
      <c r="H116" s="2101">
        <v>70192</v>
      </c>
      <c r="I116" s="1808"/>
    </row>
    <row r="117" spans="1:9">
      <c r="A117" s="1862">
        <f ca="1">IFERROR(VLOOKUP(B117,Buget_detaliat!F:I,4,0),"")</f>
        <v>0</v>
      </c>
      <c r="B117" s="2092"/>
      <c r="C117" s="1866"/>
      <c r="D117" s="1866"/>
      <c r="E117" s="1866"/>
      <c r="F117" s="1866"/>
      <c r="G117" s="1866"/>
      <c r="H117" s="2101"/>
      <c r="I117" s="1808"/>
    </row>
    <row r="118" spans="1:9" ht="34">
      <c r="A118" s="1862" t="str">
        <f ca="1">IFERROR(VLOOKUP(B118,Buget_detaliat!F:I,4,0),"")</f>
        <v/>
      </c>
      <c r="B118" s="1864" t="s">
        <v>2955</v>
      </c>
      <c r="C118" s="1866">
        <v>0</v>
      </c>
      <c r="D118" s="1866">
        <v>0</v>
      </c>
      <c r="E118" s="1866">
        <v>0</v>
      </c>
      <c r="F118" s="1866">
        <v>0</v>
      </c>
      <c r="G118" s="1866">
        <v>0</v>
      </c>
      <c r="H118" s="2101">
        <v>0</v>
      </c>
      <c r="I118" s="1808"/>
    </row>
    <row r="119" spans="1:9" ht="17">
      <c r="A119" s="1862" t="str">
        <f ca="1">IFERROR(VLOOKUP(B119,Buget_detaliat!F:I,4,0),"")</f>
        <v>Activ_colaborative</v>
      </c>
      <c r="B119" s="1864" t="s">
        <v>3369</v>
      </c>
      <c r="C119" s="1866">
        <v>0</v>
      </c>
      <c r="D119" s="1866">
        <v>0</v>
      </c>
      <c r="E119" s="1866">
        <v>0</v>
      </c>
      <c r="F119" s="1866">
        <v>0</v>
      </c>
      <c r="G119" s="1866">
        <v>0</v>
      </c>
      <c r="H119" s="2101">
        <v>0</v>
      </c>
      <c r="I119" s="1808"/>
    </row>
    <row r="120" spans="1:9" ht="17">
      <c r="A120" s="1862" t="str">
        <f ca="1">IFERROR(VLOOKUP(B120,Buget_detaliat!F:I,4,0),"")</f>
        <v>Activ_colaborative</v>
      </c>
      <c r="B120" s="1864" t="s">
        <v>3370</v>
      </c>
      <c r="C120" s="1866">
        <v>0</v>
      </c>
      <c r="D120" s="1866">
        <v>0</v>
      </c>
      <c r="E120" s="1866">
        <v>0</v>
      </c>
      <c r="F120" s="1866">
        <v>0</v>
      </c>
      <c r="G120" s="1866">
        <v>0</v>
      </c>
      <c r="H120" s="2101">
        <v>0</v>
      </c>
      <c r="I120" s="1808"/>
    </row>
    <row r="121" spans="1:9" ht="17">
      <c r="A121" s="1862" t="str">
        <f ca="1">IFERROR(VLOOKUP(B121,Buget_detaliat!F:I,4,0),"")</f>
        <v>Activ_colaborative</v>
      </c>
      <c r="B121" s="1864" t="s">
        <v>3371</v>
      </c>
      <c r="C121" s="1866">
        <v>0</v>
      </c>
      <c r="D121" s="1866">
        <v>0</v>
      </c>
      <c r="E121" s="1866">
        <v>0</v>
      </c>
      <c r="F121" s="1866">
        <v>0</v>
      </c>
      <c r="G121" s="1866">
        <v>0</v>
      </c>
      <c r="H121" s="2101">
        <v>0</v>
      </c>
      <c r="I121" s="1808"/>
    </row>
    <row r="122" spans="1:9">
      <c r="A122" s="1862">
        <f ca="1">IFERROR(VLOOKUP(B122,Buget_detaliat!F:I,4,0),"")</f>
        <v>0</v>
      </c>
      <c r="B122" s="2092"/>
      <c r="C122" s="1866"/>
      <c r="D122" s="1866"/>
      <c r="E122" s="1866"/>
      <c r="F122" s="1866"/>
      <c r="G122" s="1866"/>
      <c r="H122" s="2101"/>
      <c r="I122" s="1808"/>
    </row>
    <row r="123" spans="1:9" ht="34">
      <c r="A123" s="1862" t="str">
        <f ca="1">IFERROR(VLOOKUP(B123,Buget_detaliat!F:I,4,0),"")</f>
        <v/>
      </c>
      <c r="B123" s="1864" t="s">
        <v>3372</v>
      </c>
      <c r="C123" s="1866">
        <v>0</v>
      </c>
      <c r="D123" s="1866">
        <v>164266.4</v>
      </c>
      <c r="E123" s="1866">
        <v>164266.4</v>
      </c>
      <c r="F123" s="1866">
        <v>0</v>
      </c>
      <c r="G123" s="1866">
        <v>0</v>
      </c>
      <c r="H123" s="2101">
        <v>328532.8</v>
      </c>
      <c r="I123" s="1808"/>
    </row>
    <row r="124" spans="1:9" ht="34">
      <c r="A124" s="1862" t="str">
        <f ca="1">IFERROR(VLOOKUP(B124,Buget_detaliat!F:I,4,0),"")</f>
        <v>Activ_colaborative</v>
      </c>
      <c r="B124" s="1864" t="s">
        <v>3325</v>
      </c>
      <c r="C124" s="1866">
        <v>0</v>
      </c>
      <c r="D124" s="1866">
        <v>4280</v>
      </c>
      <c r="E124" s="1866">
        <v>4280</v>
      </c>
      <c r="F124" s="1866">
        <v>0</v>
      </c>
      <c r="G124" s="1866">
        <v>0</v>
      </c>
      <c r="H124" s="2101">
        <v>8560</v>
      </c>
      <c r="I124" s="1808"/>
    </row>
    <row r="125" spans="1:9" ht="34">
      <c r="A125" s="1862" t="str">
        <f ca="1">IFERROR(VLOOKUP(B125,Buget_detaliat!F:I,4,0),"")</f>
        <v>Activ_colaborative</v>
      </c>
      <c r="B125" s="1864" t="s">
        <v>3326</v>
      </c>
      <c r="C125" s="1866">
        <v>0</v>
      </c>
      <c r="D125" s="1866">
        <v>159986.4</v>
      </c>
      <c r="E125" s="1866">
        <v>159986.4</v>
      </c>
      <c r="F125" s="1866">
        <v>0</v>
      </c>
      <c r="G125" s="1866">
        <v>0</v>
      </c>
      <c r="H125" s="2101">
        <v>319972.8</v>
      </c>
      <c r="I125" s="1808"/>
    </row>
    <row r="126" spans="1:9">
      <c r="A126" s="1862">
        <f ca="1">IFERROR(VLOOKUP(B126,Buget_detaliat!F:I,4,0),"")</f>
        <v>0</v>
      </c>
      <c r="B126" s="2092"/>
      <c r="C126" s="1866"/>
      <c r="D126" s="1866"/>
      <c r="E126" s="1866"/>
      <c r="F126" s="1866"/>
      <c r="G126" s="1866"/>
      <c r="H126" s="2101"/>
      <c r="I126" s="1808"/>
    </row>
    <row r="127" spans="1:9" ht="17">
      <c r="A127" s="1862" t="str">
        <f ca="1">IFERROR(VLOOKUP(B127,Buget_detaliat!F:I,4,0),"")</f>
        <v/>
      </c>
      <c r="B127" s="1864" t="s">
        <v>2247</v>
      </c>
      <c r="C127" s="1866">
        <v>3893533.7747807154</v>
      </c>
      <c r="D127" s="1866">
        <v>3332007.7446863214</v>
      </c>
      <c r="E127" s="1866">
        <v>2890295.7850403055</v>
      </c>
      <c r="F127" s="1866">
        <v>0</v>
      </c>
      <c r="G127" s="1866">
        <v>0</v>
      </c>
      <c r="H127" s="2101">
        <v>10115837.304507341</v>
      </c>
      <c r="I127" s="1808"/>
    </row>
    <row r="128" spans="1:9" ht="17">
      <c r="A128" s="1862" t="str">
        <f ca="1">IFERROR(VLOOKUP(B128,Buget_detaliat!F:I,4,0),"")</f>
        <v/>
      </c>
      <c r="B128" s="1864" t="s">
        <v>341</v>
      </c>
      <c r="C128" s="1866">
        <v>2733263.5047807153</v>
      </c>
      <c r="D128" s="1866">
        <v>2473047.1446863213</v>
      </c>
      <c r="E128" s="1866">
        <v>2014305.1850403051</v>
      </c>
      <c r="F128" s="1866">
        <v>0</v>
      </c>
      <c r="G128" s="1866">
        <v>0</v>
      </c>
      <c r="H128" s="2101">
        <v>7220615.8345073415</v>
      </c>
      <c r="I128" s="1808"/>
    </row>
    <row r="129" spans="1:17" ht="17">
      <c r="A129" s="1862" t="str">
        <f ca="1">IFERROR(VLOOKUP(B129,Buget_detaliat!F:I,4,0),"")</f>
        <v/>
      </c>
      <c r="B129" s="1864" t="s">
        <v>2957</v>
      </c>
      <c r="C129" s="1866">
        <v>0</v>
      </c>
      <c r="D129" s="1866">
        <v>97500</v>
      </c>
      <c r="E129" s="1866">
        <v>0</v>
      </c>
      <c r="F129" s="1866">
        <v>0</v>
      </c>
      <c r="G129" s="1866">
        <v>0</v>
      </c>
      <c r="H129" s="2101">
        <v>97500</v>
      </c>
      <c r="I129" s="1808"/>
      <c r="Q129" s="1866"/>
    </row>
    <row r="130" spans="1:17" ht="17">
      <c r="A130" s="1862" t="str">
        <f ca="1">IFERROR(VLOOKUP(B130,Buget_detaliat!F:I,4,0),"")</f>
        <v>ITL</v>
      </c>
      <c r="B130" s="1864" t="s">
        <v>3083</v>
      </c>
      <c r="C130" s="1866">
        <v>0</v>
      </c>
      <c r="D130" s="1866">
        <v>97500</v>
      </c>
      <c r="E130" s="1866">
        <v>0</v>
      </c>
      <c r="F130" s="1866">
        <v>0</v>
      </c>
      <c r="G130" s="1866">
        <v>0</v>
      </c>
      <c r="H130" s="2101">
        <v>97500</v>
      </c>
      <c r="I130" s="1808"/>
    </row>
    <row r="131" spans="1:17" ht="17">
      <c r="A131" s="1862" t="str">
        <f ca="1">IFERROR(VLOOKUP(B131,Buget_detaliat!F:I,4,0),"")</f>
        <v>ITL</v>
      </c>
      <c r="B131" s="1864" t="s">
        <v>3084</v>
      </c>
      <c r="C131" s="1866">
        <v>0</v>
      </c>
      <c r="D131" s="1866">
        <v>0</v>
      </c>
      <c r="E131" s="1866">
        <v>0</v>
      </c>
      <c r="F131" s="1866">
        <v>0</v>
      </c>
      <c r="G131" s="1866">
        <v>0</v>
      </c>
      <c r="H131" s="2101">
        <v>0</v>
      </c>
      <c r="I131" s="1808"/>
    </row>
    <row r="132" spans="1:17">
      <c r="A132" s="1862">
        <f ca="1">IFERROR(VLOOKUP(B132,Buget_detaliat!F:I,4,0),"")</f>
        <v>0</v>
      </c>
      <c r="B132" s="2092"/>
      <c r="C132" s="1866"/>
      <c r="D132" s="1866"/>
      <c r="E132" s="1866"/>
      <c r="F132" s="1866"/>
      <c r="G132" s="1866"/>
      <c r="H132" s="2101"/>
      <c r="I132" s="1808"/>
    </row>
    <row r="133" spans="1:17" ht="17">
      <c r="A133" s="1862" t="str">
        <f ca="1">IFERROR(VLOOKUP(B133,Buget_detaliat!F:I,4,0),"")</f>
        <v/>
      </c>
      <c r="B133" s="1864" t="s">
        <v>2959</v>
      </c>
      <c r="C133" s="1866">
        <v>411950</v>
      </c>
      <c r="D133" s="1866">
        <v>368012</v>
      </c>
      <c r="E133" s="1866">
        <v>324074</v>
      </c>
      <c r="F133" s="1866">
        <v>0</v>
      </c>
      <c r="G133" s="1866">
        <v>0</v>
      </c>
      <c r="H133" s="2101">
        <v>1104036</v>
      </c>
      <c r="I133" s="1808"/>
    </row>
    <row r="134" spans="1:17" ht="17">
      <c r="A134" s="1862" t="str">
        <f ca="1">IFERROR(VLOOKUP(B134,Buget_detaliat!F:I,4,0),"")</f>
        <v>ITL</v>
      </c>
      <c r="B134" s="1864" t="s">
        <v>3089</v>
      </c>
      <c r="C134" s="1866">
        <v>411950</v>
      </c>
      <c r="D134" s="1866">
        <v>368012</v>
      </c>
      <c r="E134" s="1866">
        <v>324074</v>
      </c>
      <c r="F134" s="1866">
        <v>0</v>
      </c>
      <c r="G134" s="1866">
        <v>0</v>
      </c>
      <c r="H134" s="2101">
        <v>1104036</v>
      </c>
      <c r="I134" s="1808"/>
    </row>
    <row r="135" spans="1:17">
      <c r="A135" s="1862">
        <f ca="1">IFERROR(VLOOKUP(B135,Buget_detaliat!F:I,4,0),"")</f>
        <v>0</v>
      </c>
      <c r="B135" s="2092"/>
      <c r="C135" s="1866"/>
      <c r="D135" s="1866"/>
      <c r="E135" s="1866"/>
      <c r="F135" s="1866"/>
      <c r="G135" s="1866"/>
      <c r="H135" s="2101"/>
      <c r="I135" s="1808"/>
    </row>
    <row r="136" spans="1:17" ht="17">
      <c r="A136" s="1862" t="str">
        <f ca="1">IFERROR(VLOOKUP(B136,Buget_detaliat!F:I,4,0),"")</f>
        <v/>
      </c>
      <c r="B136" s="1864" t="s">
        <v>2960</v>
      </c>
      <c r="C136" s="1866">
        <v>397511.34944542561</v>
      </c>
      <c r="D136" s="1866">
        <v>363136.75381710718</v>
      </c>
      <c r="E136" s="1866">
        <v>311134.16043067677</v>
      </c>
      <c r="F136" s="1866">
        <v>0</v>
      </c>
      <c r="G136" s="1866">
        <v>0</v>
      </c>
      <c r="H136" s="2101">
        <v>1071782.2636932095</v>
      </c>
      <c r="I136" s="1808"/>
    </row>
    <row r="137" spans="1:17" ht="17">
      <c r="A137" s="1862" t="str">
        <f ca="1">IFERROR(VLOOKUP(B137,Buget_detaliat!F:I,4,0),"")</f>
        <v>ITL</v>
      </c>
      <c r="B137" s="1864" t="s">
        <v>2385</v>
      </c>
      <c r="C137" s="1866">
        <v>297913.16211209283</v>
      </c>
      <c r="D137" s="1866">
        <v>272352.56536283036</v>
      </c>
      <c r="E137" s="1866">
        <v>233570.97029498397</v>
      </c>
      <c r="F137" s="1866">
        <v>0</v>
      </c>
      <c r="G137" s="1866">
        <v>0</v>
      </c>
      <c r="H137" s="2101">
        <v>803836.69776990719</v>
      </c>
      <c r="I137" s="1808"/>
    </row>
    <row r="138" spans="1:17" ht="17">
      <c r="A138" s="1862" t="str">
        <f ca="1">IFERROR(VLOOKUP(B138,Buget_detaliat!F:I,4,0),"")</f>
        <v>ITL</v>
      </c>
      <c r="B138" s="1864" t="s">
        <v>2386</v>
      </c>
      <c r="C138" s="1866">
        <v>99598.187333332782</v>
      </c>
      <c r="D138" s="1866">
        <v>90784.188454276795</v>
      </c>
      <c r="E138" s="1866">
        <v>77563.190135692785</v>
      </c>
      <c r="F138" s="1866">
        <v>0</v>
      </c>
      <c r="G138" s="1866">
        <v>0</v>
      </c>
      <c r="H138" s="2101">
        <v>267945.56592330238</v>
      </c>
      <c r="I138" s="1808"/>
    </row>
    <row r="139" spans="1:17">
      <c r="A139" s="1862">
        <f ca="1">IFERROR(VLOOKUP(B139,Buget_detaliat!F:I,4,0),"")</f>
        <v>0</v>
      </c>
      <c r="B139" s="2092"/>
      <c r="C139" s="1866"/>
      <c r="D139" s="1866"/>
      <c r="E139" s="1866"/>
      <c r="F139" s="1866"/>
      <c r="G139" s="1866"/>
      <c r="H139" s="2101"/>
      <c r="I139" s="1808"/>
    </row>
    <row r="140" spans="1:17" ht="17">
      <c r="A140" s="1862" t="str">
        <f ca="1">IFERROR(VLOOKUP(B140,Buget_detaliat!F:I,4,0),"")</f>
        <v/>
      </c>
      <c r="B140" s="1864" t="s">
        <v>2961</v>
      </c>
      <c r="C140" s="1866">
        <v>1923802.1553352892</v>
      </c>
      <c r="D140" s="1866">
        <v>1644398.390869214</v>
      </c>
      <c r="E140" s="1866">
        <v>1379097.0246096284</v>
      </c>
      <c r="F140" s="1866">
        <v>0</v>
      </c>
      <c r="G140" s="1866">
        <v>0</v>
      </c>
      <c r="H140" s="2101">
        <v>4947297.5708141318</v>
      </c>
      <c r="I140" s="1808"/>
    </row>
    <row r="141" spans="1:17" ht="17">
      <c r="A141" s="1862" t="str">
        <f ca="1">IFERROR(VLOOKUP(B141,Buget_detaliat!F:I,4,0),"")</f>
        <v>ITL</v>
      </c>
      <c r="B141" s="1864" t="s">
        <v>2205</v>
      </c>
      <c r="C141" s="1866">
        <v>1511600.8077581038</v>
      </c>
      <c r="D141" s="1866">
        <v>1287137.6363048111</v>
      </c>
      <c r="E141" s="1866">
        <v>1074426.4633569261</v>
      </c>
      <c r="F141" s="1866">
        <v>0</v>
      </c>
      <c r="G141" s="1866">
        <v>0</v>
      </c>
      <c r="H141" s="2101">
        <v>3873164.9074198408</v>
      </c>
    </row>
    <row r="142" spans="1:17" ht="17">
      <c r="A142" s="1862" t="str">
        <f ca="1">IFERROR(VLOOKUP(B142,Buget_detaliat!F:I,4,0),"")</f>
        <v>ITL</v>
      </c>
      <c r="B142" s="1864" t="s">
        <v>2207</v>
      </c>
      <c r="C142" s="1866">
        <v>167465.97870206399</v>
      </c>
      <c r="D142" s="1866">
        <v>148956.58105604642</v>
      </c>
      <c r="E142" s="1866">
        <v>128684.38363421758</v>
      </c>
      <c r="F142" s="1866">
        <v>0</v>
      </c>
      <c r="G142" s="1866">
        <v>0</v>
      </c>
      <c r="H142" s="2101">
        <v>445106.94339232799</v>
      </c>
    </row>
    <row r="143" spans="1:17" ht="17">
      <c r="A143" s="1862" t="str">
        <f ca="1">IFERROR(VLOOKUP(B143,Buget_detaliat!F:I,4,0),"")</f>
        <v>ITL</v>
      </c>
      <c r="B143" s="1864" t="s">
        <v>2206</v>
      </c>
      <c r="C143" s="1866">
        <v>208597.97347099197</v>
      </c>
      <c r="D143" s="1866">
        <v>174810.97776794396</v>
      </c>
      <c r="E143" s="1866">
        <v>144255.7816538832</v>
      </c>
      <c r="F143" s="1866">
        <v>0</v>
      </c>
      <c r="G143" s="1866">
        <v>0</v>
      </c>
      <c r="H143" s="2101">
        <v>527664.7328928191</v>
      </c>
    </row>
    <row r="144" spans="1:17" ht="17">
      <c r="A144" s="1862" t="str">
        <f ca="1">IFERROR(VLOOKUP(B144,Buget_detaliat!F:I,4,0),"")</f>
        <v>ITL</v>
      </c>
      <c r="B144" s="1864" t="s">
        <v>2210</v>
      </c>
      <c r="C144" s="1866">
        <v>36137.395404129602</v>
      </c>
      <c r="D144" s="1866">
        <v>33493.195740412797</v>
      </c>
      <c r="E144" s="1866">
        <v>31730.395964601597</v>
      </c>
      <c r="F144" s="1866">
        <v>0</v>
      </c>
      <c r="G144" s="1866">
        <v>0</v>
      </c>
      <c r="H144" s="2101">
        <v>101360.987109144</v>
      </c>
    </row>
    <row r="145" spans="1:8">
      <c r="A145" s="1862">
        <f ca="1">IFERROR(VLOOKUP(B145,Buget_detaliat!F:I,4,0),"")</f>
        <v>0</v>
      </c>
      <c r="B145" s="2092"/>
      <c r="C145" s="1866"/>
      <c r="D145" s="1866"/>
      <c r="E145" s="1866"/>
      <c r="F145" s="1866"/>
      <c r="G145" s="1866"/>
      <c r="H145" s="2101"/>
    </row>
    <row r="146" spans="1:8" ht="17">
      <c r="A146" s="1862" t="str">
        <f ca="1">IFERROR(VLOOKUP(B146,Buget_detaliat!F:I,4,0),"")</f>
        <v/>
      </c>
      <c r="B146" s="1864" t="s">
        <v>1852</v>
      </c>
      <c r="C146" s="1866">
        <v>1160270.27</v>
      </c>
      <c r="D146" s="1866">
        <v>858960.6</v>
      </c>
      <c r="E146" s="1866">
        <v>875990.6</v>
      </c>
      <c r="F146" s="1866">
        <v>0</v>
      </c>
      <c r="G146" s="1866">
        <v>0</v>
      </c>
      <c r="H146" s="2101">
        <v>2895221.4699999997</v>
      </c>
    </row>
    <row r="147" spans="1:8" ht="17">
      <c r="A147" s="1862" t="str">
        <f ca="1">IFERROR(VLOOKUP(B147,Buget_detaliat!F:I,4,0),"")</f>
        <v/>
      </c>
      <c r="B147" s="1864" t="s">
        <v>2962</v>
      </c>
      <c r="C147" s="1866">
        <v>493960.6</v>
      </c>
      <c r="D147" s="1866">
        <v>493960.6</v>
      </c>
      <c r="E147" s="1866">
        <v>493960.6</v>
      </c>
      <c r="F147" s="1866">
        <v>0</v>
      </c>
      <c r="G147" s="1866">
        <v>0</v>
      </c>
      <c r="H147" s="2101">
        <v>1481881.8</v>
      </c>
    </row>
    <row r="148" spans="1:8" ht="17">
      <c r="A148" s="1862" t="str">
        <f ca="1">IFERROR(VLOOKUP(B148,Buget_detaliat!F:I,4,0),"")</f>
        <v>Informare</v>
      </c>
      <c r="B148" s="1864" t="s">
        <v>3377</v>
      </c>
      <c r="C148" s="1866">
        <v>298560</v>
      </c>
      <c r="D148" s="1866">
        <v>298560</v>
      </c>
      <c r="E148" s="1866">
        <v>298560</v>
      </c>
      <c r="F148" s="1866">
        <v>0</v>
      </c>
      <c r="G148" s="1866">
        <v>0</v>
      </c>
      <c r="H148" s="2101">
        <v>895680</v>
      </c>
    </row>
    <row r="149" spans="1:8" ht="17">
      <c r="A149" s="1862" t="str">
        <f ca="1">IFERROR(VLOOKUP(B149,Buget_detaliat!F:I,4,0),"")</f>
        <v>Informare</v>
      </c>
      <c r="B149" s="1864" t="s">
        <v>3388</v>
      </c>
      <c r="C149" s="1866">
        <v>0</v>
      </c>
      <c r="D149" s="1866">
        <v>0</v>
      </c>
      <c r="E149" s="1866">
        <v>0</v>
      </c>
      <c r="F149" s="1866">
        <v>0</v>
      </c>
      <c r="G149" s="1866">
        <v>0</v>
      </c>
      <c r="H149" s="2101">
        <v>0</v>
      </c>
    </row>
    <row r="150" spans="1:8" ht="17">
      <c r="A150" s="1862" t="str">
        <f ca="1">IFERROR(VLOOKUP(B150,Buget_detaliat!F:I,4,0),"")</f>
        <v>Informare</v>
      </c>
      <c r="B150" s="1864" t="s">
        <v>3389</v>
      </c>
      <c r="C150" s="1866">
        <v>0</v>
      </c>
      <c r="D150" s="1866">
        <v>0</v>
      </c>
      <c r="E150" s="1866">
        <v>0</v>
      </c>
      <c r="F150" s="1866">
        <v>0</v>
      </c>
      <c r="G150" s="1866">
        <v>0</v>
      </c>
      <c r="H150" s="2101">
        <v>0</v>
      </c>
    </row>
    <row r="151" spans="1:8" ht="17">
      <c r="A151" s="1862" t="str">
        <f ca="1">IFERROR(VLOOKUP(B151,Buget_detaliat!F:I,4,0),"")</f>
        <v>Informare</v>
      </c>
      <c r="B151" s="1864" t="s">
        <v>3390</v>
      </c>
      <c r="C151" s="1866">
        <v>165400.6</v>
      </c>
      <c r="D151" s="1866">
        <v>165400.6</v>
      </c>
      <c r="E151" s="1866">
        <v>165400.6</v>
      </c>
      <c r="F151" s="1866">
        <v>0</v>
      </c>
      <c r="G151" s="1866">
        <v>0</v>
      </c>
      <c r="H151" s="2101">
        <v>496201.80000000005</v>
      </c>
    </row>
    <row r="152" spans="1:8">
      <c r="A152" s="1862" t="str">
        <f ca="1">IFERROR(VLOOKUP(B152,Buget_detaliat!F:I,4,0),"")</f>
        <v>Informare</v>
      </c>
      <c r="B152" s="2092" t="s">
        <v>3937</v>
      </c>
      <c r="C152" s="1866">
        <v>30000</v>
      </c>
      <c r="D152" s="1866">
        <v>30000</v>
      </c>
      <c r="E152" s="1866">
        <v>30000</v>
      </c>
      <c r="F152" s="1866">
        <v>0</v>
      </c>
      <c r="G152" s="1866">
        <v>0</v>
      </c>
      <c r="H152" s="2101">
        <v>90000</v>
      </c>
    </row>
    <row r="153" spans="1:8">
      <c r="A153" s="1862">
        <f ca="1">IFERROR(VLOOKUP(B153,Buget_detaliat!F:I,4,0),"")</f>
        <v>0</v>
      </c>
      <c r="B153" s="2092"/>
      <c r="C153" s="1866"/>
      <c r="D153" s="1866"/>
      <c r="E153" s="1866"/>
      <c r="F153" s="1866"/>
      <c r="G153" s="1866"/>
      <c r="H153" s="2101"/>
    </row>
    <row r="154" spans="1:8" ht="17">
      <c r="A154" s="1862" t="str">
        <f ca="1">IFERROR(VLOOKUP(B154,Buget_detaliat!F:I,4,0),"")</f>
        <v/>
      </c>
      <c r="B154" s="1864" t="s">
        <v>2963</v>
      </c>
      <c r="C154" s="1866">
        <v>229309.66999999998</v>
      </c>
      <c r="D154" s="1866">
        <v>30000</v>
      </c>
      <c r="E154" s="1866">
        <v>47030</v>
      </c>
      <c r="F154" s="1866">
        <v>0</v>
      </c>
      <c r="G154" s="1866">
        <v>0</v>
      </c>
      <c r="H154" s="2101">
        <v>306339.67</v>
      </c>
    </row>
    <row r="155" spans="1:8" ht="17">
      <c r="A155" s="1862" t="str">
        <f ca="1">IFERROR(VLOOKUP(B155,Buget_detaliat!F:I,4,0),"")</f>
        <v>Informare</v>
      </c>
      <c r="B155" s="1864" t="s">
        <v>3391</v>
      </c>
      <c r="C155" s="1866">
        <v>30000</v>
      </c>
      <c r="D155" s="1866">
        <v>30000</v>
      </c>
      <c r="E155" s="1866">
        <v>30000</v>
      </c>
      <c r="F155" s="1866">
        <v>0</v>
      </c>
      <c r="G155" s="1866">
        <v>0</v>
      </c>
      <c r="H155" s="2101">
        <v>90000</v>
      </c>
    </row>
    <row r="156" spans="1:8" ht="17">
      <c r="A156" s="1862" t="str">
        <f ca="1">IFERROR(VLOOKUP(B156,Buget_detaliat!F:I,4,0),"")</f>
        <v>Informare</v>
      </c>
      <c r="B156" s="1864" t="s">
        <v>3458</v>
      </c>
      <c r="C156" s="1866">
        <v>199309.66999999998</v>
      </c>
      <c r="D156" s="1866">
        <v>0</v>
      </c>
      <c r="E156" s="1866">
        <v>17030</v>
      </c>
      <c r="F156" s="1866">
        <v>0</v>
      </c>
      <c r="G156" s="1866">
        <v>0</v>
      </c>
      <c r="H156" s="2101">
        <v>216339.66999999998</v>
      </c>
    </row>
    <row r="157" spans="1:8">
      <c r="A157" s="1862">
        <f ca="1">IFERROR(VLOOKUP(B157,Buget_detaliat!F:I,4,0),"")</f>
        <v>0</v>
      </c>
      <c r="B157" s="2092"/>
      <c r="C157" s="1866"/>
      <c r="D157" s="1866"/>
      <c r="E157" s="1866"/>
      <c r="F157" s="1866"/>
      <c r="G157" s="1866"/>
      <c r="H157" s="2101"/>
    </row>
    <row r="158" spans="1:8" ht="17">
      <c r="A158" s="1862" t="str">
        <f ca="1">IFERROR(VLOOKUP(B158,Buget_detaliat!F:I,4,0),"")</f>
        <v/>
      </c>
      <c r="B158" s="1864" t="s">
        <v>2964</v>
      </c>
      <c r="C158" s="1866">
        <v>437000</v>
      </c>
      <c r="D158" s="1866">
        <v>335000</v>
      </c>
      <c r="E158" s="1866">
        <v>335000</v>
      </c>
      <c r="F158" s="1866">
        <v>0</v>
      </c>
      <c r="G158" s="1866">
        <v>0</v>
      </c>
      <c r="H158" s="2101">
        <v>1107000</v>
      </c>
    </row>
    <row r="159" spans="1:8" ht="17">
      <c r="A159" s="1862" t="str">
        <f ca="1">IFERROR(VLOOKUP(B159,Buget_detaliat!F:I,4,0),"")</f>
        <v>Informare</v>
      </c>
      <c r="B159" s="1864" t="s">
        <v>3465</v>
      </c>
      <c r="C159" s="1866">
        <v>102000</v>
      </c>
      <c r="D159" s="1866">
        <v>0</v>
      </c>
      <c r="E159" s="1866">
        <v>0</v>
      </c>
      <c r="F159" s="1866">
        <v>0</v>
      </c>
      <c r="G159" s="1866">
        <v>0</v>
      </c>
      <c r="H159" s="2101">
        <v>102000</v>
      </c>
    </row>
    <row r="160" spans="1:8" ht="17">
      <c r="A160" s="1862" t="str">
        <f ca="1">IFERROR(VLOOKUP(B160,Buget_detaliat!F:I,4,0),"")</f>
        <v>Informare</v>
      </c>
      <c r="B160" s="2310" t="s">
        <v>3466</v>
      </c>
      <c r="C160" s="1866">
        <v>300000</v>
      </c>
      <c r="D160" s="1866">
        <v>300000</v>
      </c>
      <c r="E160" s="1866">
        <v>300000</v>
      </c>
      <c r="F160" s="1866">
        <v>0</v>
      </c>
      <c r="G160" s="1866">
        <v>0</v>
      </c>
      <c r="H160" s="2101">
        <v>900000</v>
      </c>
    </row>
    <row r="161" spans="1:8">
      <c r="A161" s="1862" t="str">
        <f ca="1">IFERROR(VLOOKUP(B161,Buget_detaliat!F:I,4,0),"")</f>
        <v>Informare</v>
      </c>
      <c r="B161" s="2092" t="s">
        <v>3939</v>
      </c>
      <c r="C161" s="1866">
        <v>35000</v>
      </c>
      <c r="D161" s="1866">
        <v>35000</v>
      </c>
      <c r="E161" s="1866">
        <v>35000</v>
      </c>
      <c r="F161" s="1866">
        <v>0</v>
      </c>
      <c r="G161" s="1866">
        <v>0</v>
      </c>
      <c r="H161" s="2101">
        <v>105000</v>
      </c>
    </row>
    <row r="162" spans="1:8">
      <c r="A162" s="1862">
        <f ca="1">IFERROR(VLOOKUP(B162,Buget_detaliat!F:I,4,0),"")</f>
        <v>0</v>
      </c>
      <c r="B162" s="2092"/>
      <c r="C162" s="1866"/>
      <c r="D162" s="1866"/>
      <c r="E162" s="1866"/>
      <c r="F162" s="1866"/>
      <c r="G162" s="1866"/>
      <c r="H162" s="2101"/>
    </row>
    <row r="163" spans="1:8" ht="17">
      <c r="A163" s="1862" t="str">
        <f ca="1">IFERROR(VLOOKUP(B163,Buget_detaliat!F:I,4,0),"")</f>
        <v/>
      </c>
      <c r="B163" s="1864" t="s">
        <v>2297</v>
      </c>
      <c r="C163" s="1866">
        <v>11662681.98054675</v>
      </c>
      <c r="D163" s="1866">
        <v>9220834.1109467484</v>
      </c>
      <c r="E163" s="1866">
        <v>8286271.58094675</v>
      </c>
      <c r="F163" s="1866">
        <v>-1.0512720014048682E-2</v>
      </c>
      <c r="G163" s="1866">
        <v>-8.000000030733645E-3</v>
      </c>
      <c r="H163" s="2101">
        <v>29169787.653927527</v>
      </c>
    </row>
    <row r="164" spans="1:8" ht="17">
      <c r="A164" s="1862" t="str">
        <f ca="1">IFERROR(VLOOKUP(B164,Buget_detaliat!F:I,4,0),"")</f>
        <v/>
      </c>
      <c r="B164" s="1864" t="s">
        <v>392</v>
      </c>
      <c r="C164" s="1866">
        <v>4609751.5283779791</v>
      </c>
      <c r="D164" s="1866">
        <v>2870581.42337798</v>
      </c>
      <c r="E164" s="1866">
        <v>1680740.3133779797</v>
      </c>
      <c r="F164" s="1866">
        <v>0</v>
      </c>
      <c r="G164" s="1866">
        <v>0</v>
      </c>
      <c r="H164" s="2101">
        <v>9161073.2651339378</v>
      </c>
    </row>
    <row r="165" spans="1:8" ht="17">
      <c r="A165" s="1862" t="str">
        <f ca="1">IFERROR(VLOOKUP(B165,Buget_detaliat!F:I,4,0),"")</f>
        <v/>
      </c>
      <c r="B165" s="1864" t="s">
        <v>2966</v>
      </c>
      <c r="C165" s="1866">
        <v>47500</v>
      </c>
      <c r="D165" s="1866">
        <v>0</v>
      </c>
      <c r="E165" s="1866">
        <v>0</v>
      </c>
      <c r="F165" s="1866">
        <v>0</v>
      </c>
      <c r="G165" s="1866">
        <v>0</v>
      </c>
      <c r="H165" s="2101">
        <v>47500</v>
      </c>
    </row>
    <row r="166" spans="1:8" ht="17">
      <c r="A166" s="1862" t="str">
        <f ca="1">IFERROR(VLOOKUP(B166,Buget_detaliat!F:I,4,0),"")</f>
        <v>PNCT</v>
      </c>
      <c r="B166" s="1864" t="s">
        <v>3299</v>
      </c>
      <c r="C166" s="1866">
        <v>47500</v>
      </c>
      <c r="D166" s="1866">
        <v>0</v>
      </c>
      <c r="E166" s="1866">
        <v>0</v>
      </c>
      <c r="F166" s="1866">
        <v>0</v>
      </c>
      <c r="G166" s="1866">
        <v>0</v>
      </c>
      <c r="H166" s="2101">
        <v>47500</v>
      </c>
    </row>
    <row r="167" spans="1:8">
      <c r="A167" s="1862">
        <f ca="1">IFERROR(VLOOKUP(B167,Buget_detaliat!F:I,4,0),"")</f>
        <v>0</v>
      </c>
      <c r="B167" s="2092"/>
      <c r="C167" s="1866"/>
      <c r="D167" s="1866"/>
      <c r="E167" s="1866"/>
      <c r="F167" s="1866"/>
      <c r="G167" s="1866"/>
      <c r="H167" s="2101"/>
    </row>
    <row r="168" spans="1:8" ht="34">
      <c r="A168" s="1862" t="str">
        <f ca="1">IFERROR(VLOOKUP(B168,Buget_detaliat!F:I,4,0),"")</f>
        <v/>
      </c>
      <c r="B168" s="1864" t="s">
        <v>3128</v>
      </c>
      <c r="C168" s="1866">
        <v>4088323.0249999999</v>
      </c>
      <c r="D168" s="1866">
        <v>2406494.06</v>
      </c>
      <c r="E168" s="1866">
        <v>1226494.06</v>
      </c>
      <c r="F168" s="1866">
        <v>0</v>
      </c>
      <c r="G168" s="1866">
        <v>0</v>
      </c>
      <c r="H168" s="2101">
        <v>7721311.1449999996</v>
      </c>
    </row>
    <row r="169" spans="1:8">
      <c r="A169" s="1862" t="str">
        <f ca="1">IFERROR(VLOOKUP(B169,Buget_detaliat!F:I,4,0),"")</f>
        <v>PNCT</v>
      </c>
      <c r="B169" s="2092" t="s">
        <v>4100</v>
      </c>
      <c r="C169" s="1866">
        <v>474000</v>
      </c>
      <c r="D169" s="1866">
        <v>474000</v>
      </c>
      <c r="E169" s="1866">
        <v>474000</v>
      </c>
      <c r="F169" s="1866">
        <v>0</v>
      </c>
      <c r="G169" s="1866">
        <v>0</v>
      </c>
      <c r="H169" s="2101">
        <v>1422000</v>
      </c>
    </row>
    <row r="170" spans="1:8">
      <c r="A170" s="1862" t="str">
        <f ca="1">IFERROR(VLOOKUP(B170,Buget_detaliat!F:I,4,0),"")</f>
        <v>PNCT</v>
      </c>
      <c r="B170" s="2092" t="s">
        <v>4096</v>
      </c>
      <c r="C170" s="1866">
        <v>3434323.0249999999</v>
      </c>
      <c r="D170" s="1866">
        <v>392494.06</v>
      </c>
      <c r="E170" s="1866">
        <v>392494.06</v>
      </c>
      <c r="F170" s="1866">
        <v>0</v>
      </c>
      <c r="G170" s="1866">
        <v>0</v>
      </c>
      <c r="H170" s="2101">
        <v>4219311.1449999996</v>
      </c>
    </row>
    <row r="171" spans="1:8">
      <c r="A171" s="1862" t="str">
        <f ca="1">IFERROR(VLOOKUP(B171,Buget_detaliat!F:I,4,0),"")</f>
        <v>PNCT</v>
      </c>
      <c r="B171" s="2092" t="s">
        <v>4098</v>
      </c>
      <c r="C171" s="1866">
        <v>0</v>
      </c>
      <c r="D171" s="1866">
        <v>1180000</v>
      </c>
      <c r="E171" s="1866">
        <v>0</v>
      </c>
      <c r="F171" s="1866">
        <v>0</v>
      </c>
      <c r="G171" s="1866">
        <v>0</v>
      </c>
      <c r="H171" s="2101">
        <v>1180000</v>
      </c>
    </row>
    <row r="172" spans="1:8">
      <c r="A172" s="1862" t="str">
        <f ca="1">IFERROR(VLOOKUP(B172,Buget_detaliat!F:I,4,0),"")</f>
        <v>PNCT</v>
      </c>
      <c r="B172" s="2092" t="s">
        <v>4097</v>
      </c>
      <c r="C172" s="1866">
        <v>180000</v>
      </c>
      <c r="D172" s="1866">
        <v>360000</v>
      </c>
      <c r="E172" s="1866">
        <v>360000</v>
      </c>
      <c r="F172" s="1866">
        <v>0</v>
      </c>
      <c r="G172" s="1866">
        <v>0</v>
      </c>
      <c r="H172" s="2101">
        <v>900000</v>
      </c>
    </row>
    <row r="173" spans="1:8">
      <c r="A173" s="1862">
        <f ca="1">IFERROR(VLOOKUP(B173,Buget_detaliat!F:I,4,0),"")</f>
        <v>0</v>
      </c>
      <c r="B173" s="2092"/>
      <c r="C173" s="1866"/>
      <c r="D173" s="1866"/>
      <c r="E173" s="1866"/>
      <c r="F173" s="1866"/>
      <c r="G173" s="1866"/>
      <c r="H173" s="2101"/>
    </row>
    <row r="174" spans="1:8" ht="17">
      <c r="A174" s="1862" t="str">
        <f ca="1">IFERROR(VLOOKUP(B174,Buget_detaliat!F:I,4,0),"")</f>
        <v/>
      </c>
      <c r="B174" s="1864" t="s">
        <v>3129</v>
      </c>
      <c r="C174" s="1866">
        <v>353066.62999999983</v>
      </c>
      <c r="D174" s="1866">
        <v>343225.48999999993</v>
      </c>
      <c r="E174" s="1866">
        <v>333384.37999999989</v>
      </c>
      <c r="F174" s="1866">
        <v>0</v>
      </c>
      <c r="G174" s="1866">
        <v>0</v>
      </c>
      <c r="H174" s="2101">
        <v>1029676.4999999997</v>
      </c>
    </row>
    <row r="175" spans="1:8" ht="17">
      <c r="A175" s="1862" t="str">
        <f ca="1">IFERROR(VLOOKUP(B175,Buget_detaliat!F:I,4,0),"")</f>
        <v>Vizite_monitorizare</v>
      </c>
      <c r="B175" s="1864" t="s">
        <v>3104</v>
      </c>
      <c r="C175" s="1866">
        <v>37726.720000000001</v>
      </c>
      <c r="D175" s="1866">
        <v>37726.720000000001</v>
      </c>
      <c r="E175" s="1866">
        <v>37726.720000000001</v>
      </c>
      <c r="F175" s="1866">
        <v>0</v>
      </c>
      <c r="G175" s="1866">
        <v>0</v>
      </c>
      <c r="H175" s="2101">
        <v>113180.16</v>
      </c>
    </row>
    <row r="176" spans="1:8" ht="17">
      <c r="A176" s="1862" t="str">
        <f ca="1">IFERROR(VLOOKUP(B176,Buget_detaliat!F:I,4,0),"")</f>
        <v>Vizite_monitorizare</v>
      </c>
      <c r="B176" s="1864" t="s">
        <v>3106</v>
      </c>
      <c r="C176" s="1866">
        <v>9431.68</v>
      </c>
      <c r="D176" s="1866">
        <v>9431.68</v>
      </c>
      <c r="E176" s="1866">
        <v>9431.68</v>
      </c>
      <c r="F176" s="1866">
        <v>0</v>
      </c>
      <c r="G176" s="1866">
        <v>0</v>
      </c>
      <c r="H176" s="2101">
        <v>28295.040000000001</v>
      </c>
    </row>
    <row r="177" spans="1:8" ht="17">
      <c r="A177" s="1862" t="str">
        <f ca="1">IFERROR(VLOOKUP(B177,Buget_detaliat!F:I,4,0),"")</f>
        <v>Vizite_monitorizare</v>
      </c>
      <c r="B177" s="1864" t="s">
        <v>3102</v>
      </c>
      <c r="C177" s="1866">
        <v>226696.95999999988</v>
      </c>
      <c r="D177" s="1866">
        <v>224776.95999999988</v>
      </c>
      <c r="E177" s="1866">
        <v>222856.95999999988</v>
      </c>
      <c r="F177" s="1866">
        <v>0</v>
      </c>
      <c r="G177" s="1866">
        <v>0</v>
      </c>
      <c r="H177" s="2101">
        <v>674330.87999999966</v>
      </c>
    </row>
    <row r="178" spans="1:8" ht="17">
      <c r="A178" s="1862" t="str">
        <f ca="1">IFERROR(VLOOKUP(B178,Buget_detaliat!F:I,4,0),"")</f>
        <v>Vizite_monitorizare</v>
      </c>
      <c r="B178" s="1864" t="s">
        <v>3103</v>
      </c>
      <c r="C178" s="1866">
        <v>10487.05</v>
      </c>
      <c r="D178" s="1866">
        <v>9438.34</v>
      </c>
      <c r="E178" s="1866">
        <v>8389.64</v>
      </c>
      <c r="F178" s="1866">
        <v>0</v>
      </c>
      <c r="G178" s="1866">
        <v>0</v>
      </c>
      <c r="H178" s="2101">
        <v>28315.03</v>
      </c>
    </row>
    <row r="179" spans="1:8" ht="17">
      <c r="A179" s="1862" t="str">
        <f ca="1">IFERROR(VLOOKUP(B179,Buget_detaliat!F:I,4,0),"")</f>
        <v>Vizite_monitorizare</v>
      </c>
      <c r="B179" s="1864" t="s">
        <v>3105</v>
      </c>
      <c r="C179" s="1866">
        <v>6273.37</v>
      </c>
      <c r="D179" s="1866">
        <v>5646.03</v>
      </c>
      <c r="E179" s="1866">
        <v>5018.7</v>
      </c>
      <c r="F179" s="1866">
        <v>0</v>
      </c>
      <c r="G179" s="1866">
        <v>0</v>
      </c>
      <c r="H179" s="2101">
        <v>16938.099999999999</v>
      </c>
    </row>
    <row r="180" spans="1:8" ht="17">
      <c r="A180" s="1862" t="str">
        <f ca="1">IFERROR(VLOOKUP(B180,Buget_detaliat!F:I,4,0),"")</f>
        <v>Vizite_monitorizare</v>
      </c>
      <c r="B180" s="1864" t="s">
        <v>3101</v>
      </c>
      <c r="C180" s="1866">
        <v>62450.85</v>
      </c>
      <c r="D180" s="1866">
        <v>56205.760000000002</v>
      </c>
      <c r="E180" s="1866">
        <v>49960.68</v>
      </c>
      <c r="F180" s="1866">
        <v>0</v>
      </c>
      <c r="G180" s="1866">
        <v>0</v>
      </c>
      <c r="H180" s="2101">
        <v>168617.29</v>
      </c>
    </row>
    <row r="181" spans="1:8">
      <c r="A181" s="1862">
        <f ca="1">IFERROR(VLOOKUP(B181,Buget_detaliat!F:I,4,0),"")</f>
        <v>0</v>
      </c>
      <c r="B181" s="2092"/>
      <c r="C181" s="1866"/>
      <c r="D181" s="1866"/>
      <c r="E181" s="1866"/>
      <c r="F181" s="1866"/>
      <c r="G181" s="1866"/>
      <c r="H181" s="2101"/>
    </row>
    <row r="182" spans="1:8" ht="17">
      <c r="A182" s="1862" t="str">
        <f ca="1">IFERROR(VLOOKUP(B182,Buget_detaliat!F:I,4,0),"")</f>
        <v/>
      </c>
      <c r="B182" s="1864" t="s">
        <v>3130</v>
      </c>
      <c r="C182" s="1866">
        <v>120861.87337797999</v>
      </c>
      <c r="D182" s="1866">
        <v>120861.87337797999</v>
      </c>
      <c r="E182" s="1866">
        <v>120861.87337797999</v>
      </c>
      <c r="F182" s="1866">
        <v>0</v>
      </c>
      <c r="G182" s="1866">
        <v>0</v>
      </c>
      <c r="H182" s="2101">
        <v>362585.62013394001</v>
      </c>
    </row>
    <row r="183" spans="1:8" ht="17">
      <c r="A183" s="1862" t="str">
        <f ca="1">IFERROR(VLOOKUP(B183,Buget_detaliat!F:I,4,0),"")</f>
        <v>PNCT</v>
      </c>
      <c r="B183" s="1864" t="s">
        <v>3122</v>
      </c>
      <c r="C183" s="1866">
        <v>120861.87337797999</v>
      </c>
      <c r="D183" s="1866">
        <v>120861.87337797999</v>
      </c>
      <c r="E183" s="1866">
        <v>120861.87337797999</v>
      </c>
      <c r="F183" s="1866">
        <v>0</v>
      </c>
      <c r="G183" s="1866">
        <v>0</v>
      </c>
      <c r="H183" s="2101">
        <v>362585.62013394001</v>
      </c>
    </row>
    <row r="184" spans="1:8">
      <c r="A184" s="1862">
        <f ca="1">IFERROR(VLOOKUP(B184,Buget_detaliat!F:I,4,0),"")</f>
        <v>0</v>
      </c>
      <c r="B184" s="2092"/>
      <c r="C184" s="1866"/>
      <c r="D184" s="1866"/>
      <c r="E184" s="1866"/>
      <c r="F184" s="1866"/>
      <c r="G184" s="1866"/>
      <c r="H184" s="2101"/>
    </row>
    <row r="185" spans="1:8" ht="17">
      <c r="A185" s="1862" t="str">
        <f ca="1">IFERROR(VLOOKUP(B185,Buget_detaliat!F:I,4,0),"")</f>
        <v/>
      </c>
      <c r="B185" s="1864" t="s">
        <v>1853</v>
      </c>
      <c r="C185" s="1866">
        <v>1849587.9140872797</v>
      </c>
      <c r="D185" s="1866">
        <v>1587702.21448728</v>
      </c>
      <c r="E185" s="1866">
        <v>1587702.21448728</v>
      </c>
      <c r="F185" s="1866">
        <v>-1.0512720014048682E-2</v>
      </c>
      <c r="G185" s="1866">
        <v>-8.000000030733645E-3</v>
      </c>
      <c r="H185" s="2101">
        <v>5024992.324549119</v>
      </c>
    </row>
    <row r="186" spans="1:8" ht="17">
      <c r="A186" s="1862" t="str">
        <f ca="1">IFERROR(VLOOKUP(B186,Buget_detaliat!F:I,4,0),"")</f>
        <v/>
      </c>
      <c r="B186" s="1864" t="s">
        <v>2967</v>
      </c>
      <c r="C186" s="1866">
        <v>161394.41999999998</v>
      </c>
      <c r="D186" s="1866">
        <v>0</v>
      </c>
      <c r="E186" s="1866">
        <v>0</v>
      </c>
      <c r="F186" s="1866">
        <v>0</v>
      </c>
      <c r="G186" s="1866">
        <v>0</v>
      </c>
      <c r="H186" s="2101">
        <v>161394.41999999998</v>
      </c>
    </row>
    <row r="187" spans="1:8" ht="34">
      <c r="A187" s="1862" t="str">
        <f ca="1">IFERROR(VLOOKUP(B187,Buget_detaliat!F:I,4,0),"")</f>
        <v>Sisteme_de_sanatate</v>
      </c>
      <c r="B187" s="1864" t="s">
        <v>3467</v>
      </c>
      <c r="C187" s="1866">
        <v>161394.41999999998</v>
      </c>
      <c r="D187" s="1866">
        <v>0</v>
      </c>
      <c r="E187" s="1866">
        <v>0</v>
      </c>
      <c r="F187" s="1866">
        <v>0</v>
      </c>
      <c r="G187" s="1866">
        <v>0</v>
      </c>
      <c r="H187" s="2101">
        <v>161394.41999999998</v>
      </c>
    </row>
    <row r="188" spans="1:8">
      <c r="A188" s="1862">
        <f ca="1">IFERROR(VLOOKUP(B188,Buget_detaliat!F:I,4,0),"")</f>
        <v>0</v>
      </c>
      <c r="B188" s="2092"/>
      <c r="C188" s="1866"/>
      <c r="D188" s="1866"/>
      <c r="E188" s="1866"/>
      <c r="F188" s="1866"/>
      <c r="G188" s="1866"/>
      <c r="H188" s="2101"/>
    </row>
    <row r="189" spans="1:8" ht="17">
      <c r="A189" s="1862" t="str">
        <f ca="1">IFERROR(VLOOKUP(B189,Buget_detaliat!F:I,4,0),"")</f>
        <v/>
      </c>
      <c r="B189" s="1864" t="s">
        <v>2969</v>
      </c>
      <c r="C189" s="1866">
        <v>40000</v>
      </c>
      <c r="D189" s="1866">
        <v>0</v>
      </c>
      <c r="E189" s="1866">
        <v>0</v>
      </c>
      <c r="F189" s="1866">
        <v>0</v>
      </c>
      <c r="G189" s="1866">
        <v>0</v>
      </c>
      <c r="H189" s="2101">
        <v>40000</v>
      </c>
    </row>
    <row r="190" spans="1:8" ht="34">
      <c r="A190" s="1862" t="str">
        <f ca="1">IFERROR(VLOOKUP(B190,Buget_detaliat!F:I,4,0),"")</f>
        <v>Sisteme_de_sanatate</v>
      </c>
      <c r="B190" s="1864" t="s">
        <v>3469</v>
      </c>
      <c r="C190" s="1866">
        <v>40000</v>
      </c>
      <c r="D190" s="1866">
        <v>0</v>
      </c>
      <c r="E190" s="1866">
        <v>0</v>
      </c>
      <c r="F190" s="1866">
        <v>0</v>
      </c>
      <c r="G190" s="1866">
        <v>0</v>
      </c>
      <c r="H190" s="2101">
        <v>40000</v>
      </c>
    </row>
    <row r="191" spans="1:8">
      <c r="A191" s="1862">
        <f ca="1">IFERROR(VLOOKUP(B191,Buget_detaliat!F:I,4,0),"")</f>
        <v>0</v>
      </c>
      <c r="B191" s="2092"/>
      <c r="C191" s="1866"/>
      <c r="D191" s="1866"/>
      <c r="E191" s="1866"/>
      <c r="F191" s="1866"/>
      <c r="G191" s="1866"/>
      <c r="H191" s="2101"/>
    </row>
    <row r="192" spans="1:8" ht="17">
      <c r="A192" s="1862" t="str">
        <f ca="1">IFERROR(VLOOKUP(B192,Buget_detaliat!F:I,4,0),"")</f>
        <v/>
      </c>
      <c r="B192" s="1864" t="s">
        <v>2971</v>
      </c>
      <c r="C192" s="1866">
        <v>1130763.7440872798</v>
      </c>
      <c r="D192" s="1866">
        <v>1213302.21448728</v>
      </c>
      <c r="E192" s="1866">
        <v>1213302.21448728</v>
      </c>
      <c r="F192" s="1866">
        <v>-1.0512720014048682E-2</v>
      </c>
      <c r="G192" s="1866">
        <v>-8.000000030733645E-3</v>
      </c>
      <c r="H192" s="2101">
        <v>3557368.1545491191</v>
      </c>
    </row>
    <row r="193" spans="1:8" ht="17">
      <c r="A193" s="1862" t="str">
        <f ca="1">IFERROR(VLOOKUP(B193,Buget_detaliat!F:I,4,0),"")</f>
        <v>Sisteme_de_sanatate</v>
      </c>
      <c r="B193" s="1864" t="s">
        <v>3482</v>
      </c>
      <c r="C193" s="1866">
        <v>0</v>
      </c>
      <c r="D193" s="1866">
        <v>0</v>
      </c>
      <c r="E193" s="1866">
        <v>0</v>
      </c>
      <c r="F193" s="1866">
        <v>0</v>
      </c>
      <c r="G193" s="1866">
        <v>0</v>
      </c>
      <c r="H193" s="2101">
        <v>0</v>
      </c>
    </row>
    <row r="194" spans="1:8">
      <c r="A194" s="1862" t="str">
        <f ca="1">IFERROR(VLOOKUP(B194,Buget_detaliat!F:I,4,0),"")</f>
        <v>Sisteme_de_sanatate</v>
      </c>
      <c r="B194" s="2092" t="s">
        <v>3719</v>
      </c>
      <c r="C194" s="1866">
        <v>326465.20999999996</v>
      </c>
      <c r="D194" s="1866">
        <v>326465.20999999996</v>
      </c>
      <c r="E194" s="1866">
        <v>326465.20999999996</v>
      </c>
      <c r="F194" s="1866">
        <v>0</v>
      </c>
      <c r="G194" s="1866">
        <v>0</v>
      </c>
      <c r="H194" s="2101">
        <v>979395.62999999989</v>
      </c>
    </row>
    <row r="195" spans="1:8">
      <c r="A195" s="1862" t="str">
        <f ca="1">IFERROR(VLOOKUP(B195,Buget_detaliat!F:I,4,0),"")</f>
        <v>Sisteme_de_sanatate</v>
      </c>
      <c r="B195" s="2092" t="s">
        <v>3720</v>
      </c>
      <c r="C195" s="1866">
        <v>107840.50748728002</v>
      </c>
      <c r="D195" s="1866">
        <v>107840.50748728002</v>
      </c>
      <c r="E195" s="1866">
        <v>107840.50748728002</v>
      </c>
      <c r="F195" s="1866">
        <v>-2.5127199833150371E-3</v>
      </c>
      <c r="G195" s="1866">
        <v>0</v>
      </c>
      <c r="H195" s="2101">
        <v>323521.51994912006</v>
      </c>
    </row>
    <row r="196" spans="1:8">
      <c r="A196" s="1862" t="str">
        <f ca="1">IFERROR(VLOOKUP(B196,Buget_detaliat!F:I,4,0),"")</f>
        <v>Sisteme_de_sanatate</v>
      </c>
      <c r="B196" s="2092" t="s">
        <v>4088</v>
      </c>
      <c r="C196" s="1866">
        <v>189744.22999999998</v>
      </c>
      <c r="D196" s="1866">
        <v>221368.27499999997</v>
      </c>
      <c r="E196" s="1866">
        <v>221368.27499999997</v>
      </c>
      <c r="F196" s="1866">
        <v>0</v>
      </c>
      <c r="G196" s="1866">
        <v>0</v>
      </c>
      <c r="H196" s="2101">
        <v>632480.77999999991</v>
      </c>
    </row>
    <row r="197" spans="1:8">
      <c r="A197" s="1862" t="str">
        <f ca="1">IFERROR(VLOOKUP(B197,Buget_detaliat!F:I,4,0),"")</f>
        <v>Sisteme_de_sanatate</v>
      </c>
      <c r="B197" s="2092" t="s">
        <v>4089</v>
      </c>
      <c r="C197" s="1866">
        <v>42165.38</v>
      </c>
      <c r="D197" s="1866">
        <v>52706.735000000001</v>
      </c>
      <c r="E197" s="1866">
        <v>52706.735000000001</v>
      </c>
      <c r="F197" s="1866">
        <v>-4.9999999973806553E-3</v>
      </c>
      <c r="G197" s="1866">
        <v>-4.9999999973806553E-3</v>
      </c>
      <c r="H197" s="2101">
        <v>147578.83999999997</v>
      </c>
    </row>
    <row r="198" spans="1:8">
      <c r="A198" s="1862" t="str">
        <f ca="1">IFERROR(VLOOKUP(B198,Buget_detaliat!F:I,4,0),"")</f>
        <v>Sisteme_de_sanatate</v>
      </c>
      <c r="B198" s="2092" t="s">
        <v>4090</v>
      </c>
      <c r="C198" s="1866">
        <v>392762.69479999994</v>
      </c>
      <c r="D198" s="1866">
        <v>425545.9976</v>
      </c>
      <c r="E198" s="1866">
        <v>425545.9976</v>
      </c>
      <c r="F198" s="1866">
        <v>-2.4000000266823918E-3</v>
      </c>
      <c r="G198" s="1866">
        <v>-2.4000000266823918E-3</v>
      </c>
      <c r="H198" s="2101">
        <v>1243854.6851999997</v>
      </c>
    </row>
    <row r="199" spans="1:8">
      <c r="A199" s="1862" t="str">
        <f ca="1">IFERROR(VLOOKUP(B199,Buget_detaliat!F:I,4,0),"")</f>
        <v>Sisteme_de_sanatate</v>
      </c>
      <c r="B199" s="2092" t="s">
        <v>4091</v>
      </c>
      <c r="C199" s="1866">
        <v>71785.721799999999</v>
      </c>
      <c r="D199" s="1866">
        <v>79375.489399999991</v>
      </c>
      <c r="E199" s="1866">
        <v>79375.489399999991</v>
      </c>
      <c r="F199" s="1866">
        <v>-6.0000000667059794E-4</v>
      </c>
      <c r="G199" s="1866">
        <v>-6.0000000667059794E-4</v>
      </c>
      <c r="H199" s="2101">
        <v>230536.69939999998</v>
      </c>
    </row>
    <row r="200" spans="1:8">
      <c r="A200" s="1862">
        <f ca="1">IFERROR(VLOOKUP(B200,Buget_detaliat!F:I,4,0),"")</f>
        <v>0</v>
      </c>
      <c r="B200" s="2092"/>
      <c r="C200" s="1866"/>
      <c r="D200" s="1866"/>
      <c r="E200" s="1866"/>
      <c r="F200" s="1866"/>
      <c r="G200" s="1866"/>
      <c r="H200" s="2101"/>
    </row>
    <row r="201" spans="1:8" ht="17">
      <c r="A201" s="1862" t="str">
        <f ca="1">IFERROR(VLOOKUP(B201,Buget_detaliat!F:I,4,0),"")</f>
        <v/>
      </c>
      <c r="B201" s="1864" t="s">
        <v>2972</v>
      </c>
      <c r="C201" s="1866">
        <v>143029.75</v>
      </c>
      <c r="D201" s="1866">
        <v>0</v>
      </c>
      <c r="E201" s="1866">
        <v>0</v>
      </c>
      <c r="F201" s="1866">
        <v>0</v>
      </c>
      <c r="G201" s="1866">
        <v>0</v>
      </c>
      <c r="H201" s="2101">
        <v>143029.75</v>
      </c>
    </row>
    <row r="202" spans="1:8" ht="34">
      <c r="A202" s="1862" t="str">
        <f ca="1">IFERROR(VLOOKUP(B202,Buget_detaliat!F:I,4,0),"")</f>
        <v>Sisteme_de_sanatate</v>
      </c>
      <c r="B202" s="1864" t="s">
        <v>3484</v>
      </c>
      <c r="C202" s="1866">
        <v>143029.75</v>
      </c>
      <c r="D202" s="1866">
        <v>0</v>
      </c>
      <c r="E202" s="1866">
        <v>0</v>
      </c>
      <c r="F202" s="1866">
        <v>0</v>
      </c>
      <c r="G202" s="1866">
        <v>0</v>
      </c>
      <c r="H202" s="2101">
        <v>143029.75</v>
      </c>
    </row>
    <row r="203" spans="1:8">
      <c r="A203" s="1862">
        <f ca="1">IFERROR(VLOOKUP(B203,Buget_detaliat!F:I,4,0),"")</f>
        <v>0</v>
      </c>
      <c r="B203" s="2092"/>
      <c r="C203" s="1866"/>
      <c r="D203" s="1866"/>
      <c r="E203" s="1866"/>
      <c r="F203" s="1866"/>
      <c r="G203" s="1866"/>
      <c r="H203" s="2101"/>
    </row>
    <row r="204" spans="1:8" ht="17">
      <c r="A204" s="1862" t="str">
        <f ca="1">IFERROR(VLOOKUP(B204,Buget_detaliat!F:I,4,0),"")</f>
        <v/>
      </c>
      <c r="B204" s="1864" t="s">
        <v>2973</v>
      </c>
      <c r="C204" s="1866">
        <v>374400</v>
      </c>
      <c r="D204" s="1866">
        <v>374400</v>
      </c>
      <c r="E204" s="1866">
        <v>374400</v>
      </c>
      <c r="F204" s="1866">
        <v>0</v>
      </c>
      <c r="G204" s="1866">
        <v>0</v>
      </c>
      <c r="H204" s="2101">
        <v>1123200</v>
      </c>
    </row>
    <row r="205" spans="1:8" ht="17">
      <c r="A205" s="1862" t="str">
        <f ca="1">IFERROR(VLOOKUP(B205,Buget_detaliat!F:I,4,0),"")</f>
        <v>PNCT</v>
      </c>
      <c r="B205" s="1864" t="s">
        <v>3125</v>
      </c>
      <c r="C205" s="1866">
        <v>374400</v>
      </c>
      <c r="D205" s="1866">
        <v>374400</v>
      </c>
      <c r="E205" s="1866">
        <v>374400</v>
      </c>
      <c r="F205" s="1866">
        <v>0</v>
      </c>
      <c r="G205" s="1866">
        <v>0</v>
      </c>
      <c r="H205" s="2101">
        <v>1123200</v>
      </c>
    </row>
    <row r="206" spans="1:8">
      <c r="A206" s="1862">
        <f ca="1">IFERROR(VLOOKUP(B206,Buget_detaliat!F:I,4,0),"")</f>
        <v>0</v>
      </c>
      <c r="B206" s="2092"/>
      <c r="C206" s="1866"/>
      <c r="D206" s="1866"/>
      <c r="E206" s="1866"/>
      <c r="F206" s="1866"/>
      <c r="G206" s="1866"/>
      <c r="H206" s="2101"/>
    </row>
    <row r="207" spans="1:8" ht="17">
      <c r="A207" s="1862" t="str">
        <f ca="1">IFERROR(VLOOKUP(B207,Buget_detaliat!F:I,4,0),"")</f>
        <v/>
      </c>
      <c r="B207" s="1864" t="s">
        <v>342</v>
      </c>
      <c r="C207" s="1866">
        <v>1305072.9630814898</v>
      </c>
      <c r="D207" s="1866">
        <v>610619.81308148999</v>
      </c>
      <c r="E207" s="1866">
        <v>570619.81308148999</v>
      </c>
      <c r="F207" s="1866">
        <v>0</v>
      </c>
      <c r="G207" s="1866">
        <v>0</v>
      </c>
      <c r="H207" s="2101">
        <v>2486312.58924447</v>
      </c>
    </row>
    <row r="208" spans="1:8" ht="34">
      <c r="A208" s="1862" t="str">
        <f ca="1">IFERROR(VLOOKUP(B208,Buget_detaliat!F:I,4,0),"")</f>
        <v/>
      </c>
      <c r="B208" s="1864" t="s">
        <v>3131</v>
      </c>
      <c r="C208" s="1866">
        <v>714453.15</v>
      </c>
      <c r="D208" s="1866">
        <v>40000</v>
      </c>
      <c r="E208" s="1866">
        <v>0</v>
      </c>
      <c r="F208" s="1866">
        <v>0</v>
      </c>
      <c r="G208" s="1866">
        <v>0</v>
      </c>
      <c r="H208" s="2101">
        <v>754453.15</v>
      </c>
    </row>
    <row r="209" spans="1:8">
      <c r="A209" s="1862" t="str">
        <f ca="1">IFERROR(VLOOKUP(B209,Buget_detaliat!F:I,4,0),"")</f>
        <v>Sisteme_de_sanatate</v>
      </c>
      <c r="B209" s="2092" t="s">
        <v>3706</v>
      </c>
      <c r="C209" s="1866">
        <v>264453.15000000002</v>
      </c>
      <c r="D209" s="1866">
        <v>0</v>
      </c>
      <c r="E209" s="1866">
        <v>0</v>
      </c>
      <c r="F209" s="1866">
        <v>0</v>
      </c>
      <c r="G209" s="1866">
        <v>0</v>
      </c>
      <c r="H209" s="2101">
        <v>264453.15000000002</v>
      </c>
    </row>
    <row r="210" spans="1:8">
      <c r="A210" s="1862" t="str">
        <f ca="1">IFERROR(VLOOKUP(B210,Buget_detaliat!F:I,4,0),"")</f>
        <v>Sisteme_de_sanatate</v>
      </c>
      <c r="B210" s="2092" t="s">
        <v>3707</v>
      </c>
      <c r="C210" s="1866">
        <v>0</v>
      </c>
      <c r="D210" s="1866">
        <v>40000</v>
      </c>
      <c r="E210" s="1866">
        <v>0</v>
      </c>
      <c r="F210" s="1866">
        <v>0</v>
      </c>
      <c r="G210" s="1866">
        <v>0</v>
      </c>
      <c r="H210" s="2101">
        <v>40000</v>
      </c>
    </row>
    <row r="211" spans="1:8">
      <c r="A211" s="1862" t="str">
        <f ca="1">IFERROR(VLOOKUP(B211,Buget_detaliat!F:I,4,0),"")</f>
        <v>Sisteme_de_sanatate</v>
      </c>
      <c r="B211" s="2092" t="s">
        <v>3705</v>
      </c>
      <c r="C211" s="1866">
        <v>450000</v>
      </c>
      <c r="D211" s="1866">
        <v>0</v>
      </c>
      <c r="E211" s="1866">
        <v>0</v>
      </c>
      <c r="F211" s="1866">
        <v>0</v>
      </c>
      <c r="G211" s="1866">
        <v>0</v>
      </c>
      <c r="H211" s="2101">
        <v>450000</v>
      </c>
    </row>
    <row r="212" spans="1:8">
      <c r="A212" s="1862">
        <f ca="1">IFERROR(VLOOKUP(B212,Buget_detaliat!F:I,4,0),"")</f>
        <v>0</v>
      </c>
      <c r="B212" s="2092"/>
      <c r="C212" s="1866"/>
      <c r="D212" s="1866"/>
      <c r="E212" s="1866"/>
      <c r="F212" s="1866"/>
      <c r="G212" s="1866"/>
      <c r="H212" s="2101"/>
    </row>
    <row r="213" spans="1:8" ht="17">
      <c r="A213" s="1862" t="str">
        <f ca="1">IFERROR(VLOOKUP(B213,Buget_detaliat!F:I,4,0),"")</f>
        <v/>
      </c>
      <c r="B213" s="1864" t="s">
        <v>3133</v>
      </c>
      <c r="C213" s="1866">
        <v>419440</v>
      </c>
      <c r="D213" s="1866">
        <v>419440</v>
      </c>
      <c r="E213" s="1866">
        <v>419440</v>
      </c>
      <c r="F213" s="1866">
        <v>0</v>
      </c>
      <c r="G213" s="1866">
        <v>0</v>
      </c>
      <c r="H213" s="2101">
        <v>1258320</v>
      </c>
    </row>
    <row r="214" spans="1:8" ht="17">
      <c r="A214" s="1862" t="str">
        <f ca="1">IFERROR(VLOOKUP(B214,Buget_detaliat!F:I,4,0),"")</f>
        <v>Sisteme_de_sanatate</v>
      </c>
      <c r="B214" s="1864" t="s">
        <v>3487</v>
      </c>
      <c r="C214" s="1866">
        <v>419440</v>
      </c>
      <c r="D214" s="1866">
        <v>419440</v>
      </c>
      <c r="E214" s="1866">
        <v>419440</v>
      </c>
      <c r="F214" s="1866">
        <v>0</v>
      </c>
      <c r="G214" s="1866">
        <v>0</v>
      </c>
      <c r="H214" s="2101">
        <v>1258320</v>
      </c>
    </row>
    <row r="215" spans="1:8">
      <c r="A215" s="1862">
        <f ca="1">IFERROR(VLOOKUP(B215,Buget_detaliat!F:I,4,0),"")</f>
        <v>0</v>
      </c>
      <c r="B215" s="2092"/>
      <c r="C215" s="1866"/>
      <c r="D215" s="1866"/>
      <c r="E215" s="1866"/>
      <c r="F215" s="1866"/>
      <c r="G215" s="1866"/>
      <c r="H215" s="2101"/>
    </row>
    <row r="216" spans="1:8" ht="34">
      <c r="A216" s="1862" t="str">
        <f ca="1">IFERROR(VLOOKUP(B216,Buget_detaliat!F:I,4,0),"")</f>
        <v/>
      </c>
      <c r="B216" s="1864" t="s">
        <v>3490</v>
      </c>
      <c r="C216" s="1866">
        <v>151179.81308148999</v>
      </c>
      <c r="D216" s="1866">
        <v>151179.81308148999</v>
      </c>
      <c r="E216" s="1866">
        <v>151179.81308148999</v>
      </c>
      <c r="F216" s="1866">
        <v>0</v>
      </c>
      <c r="G216" s="1866">
        <v>0</v>
      </c>
      <c r="H216" s="2101">
        <v>453539.43924446998</v>
      </c>
    </row>
    <row r="217" spans="1:8" ht="34">
      <c r="A217" s="1862" t="str">
        <f ca="1">IFERROR(VLOOKUP(B217,Buget_detaliat!F:I,4,0),"")</f>
        <v>Sisteme_de_sanatate</v>
      </c>
      <c r="B217" s="1864" t="s">
        <v>3488</v>
      </c>
      <c r="C217" s="1866">
        <v>70192</v>
      </c>
      <c r="D217" s="1866">
        <v>70192</v>
      </c>
      <c r="E217" s="1866">
        <v>70192</v>
      </c>
      <c r="F217" s="1866">
        <v>0</v>
      </c>
      <c r="G217" s="1866">
        <v>0</v>
      </c>
      <c r="H217" s="2101">
        <v>210576</v>
      </c>
    </row>
    <row r="218" spans="1:8" ht="34">
      <c r="A218" s="1862" t="str">
        <f ca="1">IFERROR(VLOOKUP(B218,Buget_detaliat!F:I,4,0),"")</f>
        <v>Sisteme_de_sanatate</v>
      </c>
      <c r="B218" s="1864" t="s">
        <v>3489</v>
      </c>
      <c r="C218" s="1866">
        <v>80987.813081489992</v>
      </c>
      <c r="D218" s="1866">
        <v>80987.813081489992</v>
      </c>
      <c r="E218" s="1866">
        <v>80987.813081489992</v>
      </c>
      <c r="F218" s="1866">
        <v>0</v>
      </c>
      <c r="G218" s="1866">
        <v>0</v>
      </c>
      <c r="H218" s="2101">
        <v>242963.43924446998</v>
      </c>
    </row>
    <row r="219" spans="1:8">
      <c r="A219" s="1862">
        <f ca="1">IFERROR(VLOOKUP(B219,Buget_detaliat!F:I,4,0),"")</f>
        <v>0</v>
      </c>
      <c r="B219" s="2092"/>
      <c r="C219" s="1866"/>
      <c r="D219" s="1866"/>
      <c r="E219" s="1866"/>
      <c r="F219" s="1866"/>
      <c r="G219" s="1866"/>
      <c r="H219" s="2101"/>
    </row>
    <row r="220" spans="1:8" ht="17">
      <c r="A220" s="1862" t="str">
        <f ca="1">IFERROR(VLOOKUP(B220,Buget_detaliat!F:I,4,0),"")</f>
        <v/>
      </c>
      <c r="B220" s="1864" t="s">
        <v>3136</v>
      </c>
      <c r="C220" s="1866">
        <v>20000</v>
      </c>
      <c r="D220" s="1866">
        <v>0</v>
      </c>
      <c r="E220" s="1866">
        <v>0</v>
      </c>
      <c r="F220" s="1866">
        <v>0</v>
      </c>
      <c r="G220" s="1866">
        <v>0</v>
      </c>
      <c r="H220" s="2101">
        <v>20000</v>
      </c>
    </row>
    <row r="221" spans="1:8" ht="17">
      <c r="A221" s="1862" t="str">
        <f ca="1">IFERROR(VLOOKUP(B221,Buget_detaliat!F:I,4,0),"")</f>
        <v>Sisteme_de_sanatate</v>
      </c>
      <c r="B221" s="1864" t="s">
        <v>3491</v>
      </c>
      <c r="C221" s="1866">
        <v>20000</v>
      </c>
      <c r="D221" s="1866">
        <v>0</v>
      </c>
      <c r="E221" s="1866">
        <v>0</v>
      </c>
      <c r="F221" s="1866">
        <v>0</v>
      </c>
      <c r="G221" s="1866">
        <v>0</v>
      </c>
      <c r="H221" s="2101">
        <v>20000</v>
      </c>
    </row>
    <row r="222" spans="1:8">
      <c r="A222" s="1862">
        <f ca="1">IFERROR(VLOOKUP(B222,Buget_detaliat!F:I,4,0),"")</f>
        <v>0</v>
      </c>
      <c r="B222" s="2092"/>
      <c r="C222" s="1866"/>
      <c r="D222" s="1866"/>
      <c r="E222" s="1866"/>
      <c r="F222" s="1866"/>
      <c r="G222" s="1866"/>
      <c r="H222" s="2101"/>
    </row>
    <row r="223" spans="1:8" ht="17">
      <c r="A223" s="1862" t="str">
        <f ca="1">IFERROR(VLOOKUP(B223,Buget_detaliat!F:I,4,0),"")</f>
        <v/>
      </c>
      <c r="B223" s="1864" t="s">
        <v>393</v>
      </c>
      <c r="C223" s="1866">
        <v>3179779.5350000001</v>
      </c>
      <c r="D223" s="1866">
        <v>3586111.89</v>
      </c>
      <c r="E223" s="1866">
        <v>3925262.5300000003</v>
      </c>
      <c r="F223" s="1866">
        <v>0</v>
      </c>
      <c r="G223" s="1866">
        <v>0</v>
      </c>
      <c r="H223" s="2101">
        <v>10691153.955000002</v>
      </c>
    </row>
    <row r="224" spans="1:8" ht="34">
      <c r="A224" s="1862" t="str">
        <f ca="1">IFERROR(VLOOKUP(B224,Buget_detaliat!F:I,4,0),"")</f>
        <v/>
      </c>
      <c r="B224" s="1864" t="s">
        <v>2975</v>
      </c>
      <c r="C224" s="1866">
        <v>0</v>
      </c>
      <c r="D224" s="1866">
        <v>40000</v>
      </c>
      <c r="E224" s="1866">
        <v>0</v>
      </c>
      <c r="F224" s="1866">
        <v>0</v>
      </c>
      <c r="G224" s="1866">
        <v>0</v>
      </c>
      <c r="H224" s="2101">
        <v>40000</v>
      </c>
    </row>
    <row r="225" spans="1:8" ht="34">
      <c r="A225" s="1862" t="str">
        <f ca="1">IFERROR(VLOOKUP(B225,Buget_detaliat!F:I,4,0),"")</f>
        <v>Sisteme_de_sanatate</v>
      </c>
      <c r="B225" s="1864" t="s">
        <v>3492</v>
      </c>
      <c r="C225" s="1866">
        <v>0</v>
      </c>
      <c r="D225" s="1866">
        <v>40000</v>
      </c>
      <c r="E225" s="1866">
        <v>0</v>
      </c>
      <c r="F225" s="1866">
        <v>0</v>
      </c>
      <c r="G225" s="1866">
        <v>0</v>
      </c>
      <c r="H225" s="2101">
        <v>40000</v>
      </c>
    </row>
    <row r="226" spans="1:8">
      <c r="A226" s="1862">
        <f ca="1">IFERROR(VLOOKUP(B226,Buget_detaliat!F:I,4,0),"")</f>
        <v>0</v>
      </c>
      <c r="B226" s="2092"/>
      <c r="C226" s="1866"/>
      <c r="D226" s="1866"/>
      <c r="E226" s="1866"/>
      <c r="F226" s="1866"/>
      <c r="G226" s="1866"/>
      <c r="H226" s="2101"/>
    </row>
    <row r="227" spans="1:8" ht="34">
      <c r="A227" s="1862" t="str">
        <f ca="1">IFERROR(VLOOKUP(B227,Buget_detaliat!F:I,4,0),"")</f>
        <v/>
      </c>
      <c r="B227" s="1864" t="s">
        <v>2976</v>
      </c>
      <c r="C227" s="1866">
        <v>1799204.5350000001</v>
      </c>
      <c r="D227" s="1866">
        <v>2192006.89</v>
      </c>
      <c r="E227" s="1866">
        <v>2571157.5300000003</v>
      </c>
      <c r="F227" s="1866">
        <v>0</v>
      </c>
      <c r="G227" s="1866">
        <v>0</v>
      </c>
      <c r="H227" s="2101">
        <v>6562368.955000001</v>
      </c>
    </row>
    <row r="228" spans="1:8">
      <c r="A228" s="1862" t="str">
        <f ca="1">IFERROR(VLOOKUP(B228,Buget_detaliat!F:I,4,0),"")</f>
        <v>ONG_TB</v>
      </c>
      <c r="B228" s="2092" t="s">
        <v>3981</v>
      </c>
      <c r="C228" s="1866">
        <v>1392933.9100000001</v>
      </c>
      <c r="D228" s="1866">
        <v>1687902.75</v>
      </c>
      <c r="E228" s="1866">
        <v>1961694.2200000002</v>
      </c>
      <c r="F228" s="1866">
        <v>0</v>
      </c>
      <c r="G228" s="1866">
        <v>0</v>
      </c>
      <c r="H228" s="2101">
        <v>5042530.8800000008</v>
      </c>
    </row>
    <row r="229" spans="1:8">
      <c r="A229" s="1862" t="str">
        <f ca="1">IFERROR(VLOOKUP(B229,Buget_detaliat!F:I,4,0),"")</f>
        <v>ONG_TB</v>
      </c>
      <c r="B229" s="2092" t="s">
        <v>3980</v>
      </c>
      <c r="C229" s="1866">
        <v>406270.625</v>
      </c>
      <c r="D229" s="1866">
        <v>504104.14</v>
      </c>
      <c r="E229" s="1866">
        <v>609463.31000000006</v>
      </c>
      <c r="F229" s="1866">
        <v>0</v>
      </c>
      <c r="G229" s="1866">
        <v>0</v>
      </c>
      <c r="H229" s="2101">
        <v>1519838.0750000002</v>
      </c>
    </row>
    <row r="230" spans="1:8">
      <c r="A230" s="1862">
        <f ca="1">IFERROR(VLOOKUP(B230,Buget_detaliat!F:I,4,0),"")</f>
        <v>0</v>
      </c>
      <c r="B230" s="2092"/>
      <c r="C230" s="1866"/>
      <c r="D230" s="1866"/>
      <c r="E230" s="1866"/>
      <c r="F230" s="1866"/>
      <c r="G230" s="1866"/>
      <c r="H230" s="2101"/>
    </row>
    <row r="231" spans="1:8" ht="17">
      <c r="A231" s="1862" t="str">
        <f ca="1">IFERROR(VLOOKUP(B231,Buget_detaliat!F:I,4,0),"")</f>
        <v/>
      </c>
      <c r="B231" s="1864" t="s">
        <v>2977</v>
      </c>
      <c r="C231" s="1866">
        <v>356000</v>
      </c>
      <c r="D231" s="1866">
        <v>0</v>
      </c>
      <c r="E231" s="1866">
        <v>0</v>
      </c>
      <c r="F231" s="1866">
        <v>0</v>
      </c>
      <c r="G231" s="1866">
        <v>0</v>
      </c>
      <c r="H231" s="2101">
        <v>356000</v>
      </c>
    </row>
    <row r="232" spans="1:8" ht="34">
      <c r="A232" s="1862" t="str">
        <f ca="1">IFERROR(VLOOKUP(B232,Buget_detaliat!F:I,4,0),"")</f>
        <v>Sisteme_de_sanatate</v>
      </c>
      <c r="B232" s="1864" t="s">
        <v>3514</v>
      </c>
      <c r="C232" s="1866">
        <v>256000</v>
      </c>
      <c r="D232" s="1866">
        <v>0</v>
      </c>
      <c r="E232" s="1866">
        <v>0</v>
      </c>
      <c r="F232" s="1866">
        <v>0</v>
      </c>
      <c r="G232" s="1866">
        <v>0</v>
      </c>
      <c r="H232" s="2101">
        <v>256000</v>
      </c>
    </row>
    <row r="233" spans="1:8" ht="17">
      <c r="A233" s="1862" t="str">
        <f ca="1">IFERROR(VLOOKUP(B233,Buget_detaliat!F:I,4,0),"")</f>
        <v>Sisteme_de_sanatate</v>
      </c>
      <c r="B233" s="1864" t="s">
        <v>3515</v>
      </c>
      <c r="C233" s="1866">
        <v>0</v>
      </c>
      <c r="D233" s="1866">
        <v>0</v>
      </c>
      <c r="E233" s="1866">
        <v>0</v>
      </c>
      <c r="F233" s="1866">
        <v>0</v>
      </c>
      <c r="G233" s="1866">
        <v>0</v>
      </c>
      <c r="H233" s="2101">
        <v>0</v>
      </c>
    </row>
    <row r="234" spans="1:8" ht="34">
      <c r="A234" s="1862" t="str">
        <f ca="1">IFERROR(VLOOKUP(B234,Buget_detaliat!F:I,4,0),"")</f>
        <v>Sisteme_de_sanatate</v>
      </c>
      <c r="B234" s="1864" t="s">
        <v>3516</v>
      </c>
      <c r="C234" s="1866">
        <v>60000</v>
      </c>
      <c r="D234" s="1866">
        <v>0</v>
      </c>
      <c r="E234" s="1866">
        <v>0</v>
      </c>
      <c r="F234" s="1866">
        <v>0</v>
      </c>
      <c r="G234" s="1866">
        <v>0</v>
      </c>
      <c r="H234" s="2101">
        <v>60000</v>
      </c>
    </row>
    <row r="235" spans="1:8" ht="17">
      <c r="A235" s="1862" t="str">
        <f ca="1">IFERROR(VLOOKUP(B235,Buget_detaliat!F:I,4,0),"")</f>
        <v>Sisteme_de_sanatate</v>
      </c>
      <c r="B235" s="1864" t="s">
        <v>3517</v>
      </c>
      <c r="C235" s="1866">
        <v>40000</v>
      </c>
      <c r="D235" s="1866">
        <v>0</v>
      </c>
      <c r="E235" s="1866">
        <v>0</v>
      </c>
      <c r="F235" s="1866">
        <v>0</v>
      </c>
      <c r="G235" s="1866">
        <v>0</v>
      </c>
      <c r="H235" s="2101">
        <v>40000</v>
      </c>
    </row>
    <row r="236" spans="1:8">
      <c r="A236" s="1862">
        <f ca="1">IFERROR(VLOOKUP(B236,Buget_detaliat!F:I,4,0),"")</f>
        <v>0</v>
      </c>
      <c r="B236" s="2092"/>
      <c r="C236" s="1866"/>
      <c r="D236" s="1866"/>
      <c r="E236" s="1866"/>
      <c r="F236" s="1866"/>
      <c r="G236" s="1866"/>
      <c r="H236" s="2101"/>
    </row>
    <row r="237" spans="1:8" ht="17">
      <c r="A237" s="1862" t="str">
        <f ca="1">IFERROR(VLOOKUP(B237,Buget_detaliat!F:I,4,0),"")</f>
        <v/>
      </c>
      <c r="B237" s="1864" t="s">
        <v>2978</v>
      </c>
      <c r="C237" s="1866">
        <v>1024575</v>
      </c>
      <c r="D237" s="1866">
        <v>1354105</v>
      </c>
      <c r="E237" s="1866">
        <v>1354105</v>
      </c>
      <c r="F237" s="1866">
        <v>0</v>
      </c>
      <c r="G237" s="1866">
        <v>0</v>
      </c>
      <c r="H237" s="2101">
        <v>3732785</v>
      </c>
    </row>
    <row r="238" spans="1:8" ht="17">
      <c r="A238" s="1862" t="str">
        <f ca="1">IFERROR(VLOOKUP(B238,Buget_detaliat!F:I,4,0),"")</f>
        <v>ONG_TB</v>
      </c>
      <c r="B238" s="1864" t="s">
        <v>3518</v>
      </c>
      <c r="C238" s="1866">
        <v>0</v>
      </c>
      <c r="D238" s="1866">
        <v>490618</v>
      </c>
      <c r="E238" s="1866">
        <v>490618</v>
      </c>
      <c r="F238" s="1866">
        <v>0</v>
      </c>
      <c r="G238" s="1866">
        <v>0</v>
      </c>
      <c r="H238" s="2101">
        <v>981236</v>
      </c>
    </row>
    <row r="239" spans="1:8">
      <c r="A239" s="1862" t="str">
        <f ca="1">IFERROR(VLOOKUP(B239,Buget_detaliat!F:I,4,0),"")</f>
        <v>ONG_TB</v>
      </c>
      <c r="B239" s="2092" t="s">
        <v>3931</v>
      </c>
      <c r="C239" s="1866">
        <v>863487</v>
      </c>
      <c r="D239" s="1866">
        <v>863487</v>
      </c>
      <c r="E239" s="1866">
        <v>863487</v>
      </c>
      <c r="F239" s="1866">
        <v>0</v>
      </c>
      <c r="G239" s="1866">
        <v>0</v>
      </c>
      <c r="H239" s="2101">
        <v>2590461</v>
      </c>
    </row>
    <row r="240" spans="1:8">
      <c r="A240" s="1862" t="str">
        <f ca="1">IFERROR(VLOOKUP(B240,Buget_detaliat!F:I,4,0),"")</f>
        <v>ONG_TB</v>
      </c>
      <c r="B240" s="2092" t="s">
        <v>3930</v>
      </c>
      <c r="C240" s="1866">
        <v>0</v>
      </c>
      <c r="D240" s="1866">
        <v>0</v>
      </c>
      <c r="E240" s="1866">
        <v>0</v>
      </c>
      <c r="F240" s="1866">
        <v>0</v>
      </c>
      <c r="G240" s="1866">
        <v>0</v>
      </c>
      <c r="H240" s="2101">
        <v>0</v>
      </c>
    </row>
    <row r="241" spans="1:8">
      <c r="A241" s="1862" t="str">
        <f ca="1">IFERROR(VLOOKUP(B241,Buget_detaliat!F:I,4,0),"")</f>
        <v>ONG_TB</v>
      </c>
      <c r="B241" s="2092" t="s">
        <v>3951</v>
      </c>
      <c r="C241" s="1866">
        <v>100000</v>
      </c>
      <c r="D241" s="1866">
        <v>0</v>
      </c>
      <c r="E241" s="1866">
        <v>0</v>
      </c>
      <c r="F241" s="1866">
        <v>0</v>
      </c>
      <c r="G241" s="1866">
        <v>0</v>
      </c>
      <c r="H241" s="2101">
        <v>100000</v>
      </c>
    </row>
    <row r="242" spans="1:8">
      <c r="A242" s="1862" t="str">
        <f ca="1">IFERROR(VLOOKUP(B242,Buget_detaliat!F:I,4,0),"")</f>
        <v>ONG_TB</v>
      </c>
      <c r="B242" s="2092" t="s">
        <v>3952</v>
      </c>
      <c r="C242" s="1866">
        <v>41088</v>
      </c>
      <c r="D242" s="1866">
        <v>0</v>
      </c>
      <c r="E242" s="1866">
        <v>0</v>
      </c>
      <c r="F242" s="1866">
        <v>0</v>
      </c>
      <c r="G242" s="1866">
        <v>0</v>
      </c>
      <c r="H242" s="2101">
        <v>41088</v>
      </c>
    </row>
    <row r="243" spans="1:8">
      <c r="A243" s="1862" t="str">
        <f ca="1">IFERROR(VLOOKUP(B243,Buget_detaliat!F:I,4,0),"")</f>
        <v>ONG_TB</v>
      </c>
      <c r="B243" s="2092" t="s">
        <v>3953</v>
      </c>
      <c r="C243" s="1866">
        <v>20000</v>
      </c>
      <c r="D243" s="1866">
        <v>0</v>
      </c>
      <c r="E243" s="1866">
        <v>0</v>
      </c>
      <c r="F243" s="1866">
        <v>0</v>
      </c>
      <c r="G243" s="1866">
        <v>0</v>
      </c>
      <c r="H243" s="2101">
        <v>20000</v>
      </c>
    </row>
    <row r="244" spans="1:8">
      <c r="A244" s="1862" t="str">
        <f ca="1">IFERROR(VLOOKUP(B244,Buget_detaliat!F:I,4,0),"")</f>
        <v>ONG_TB</v>
      </c>
      <c r="B244" s="2092" t="s">
        <v>3978</v>
      </c>
      <c r="C244" s="1866">
        <v>0</v>
      </c>
      <c r="D244" s="1866">
        <v>0</v>
      </c>
      <c r="E244" s="1866">
        <v>0</v>
      </c>
      <c r="F244" s="1866">
        <v>0</v>
      </c>
      <c r="G244" s="1866">
        <v>0</v>
      </c>
      <c r="H244" s="2101">
        <v>0</v>
      </c>
    </row>
    <row r="245" spans="1:8">
      <c r="A245" s="1862" t="str">
        <f ca="1">IFERROR(VLOOKUP(B245,Buget_detaliat!F:I,4,0),"")</f>
        <v>ONG_TB</v>
      </c>
      <c r="B245" s="2092" t="s">
        <v>3979</v>
      </c>
      <c r="C245" s="1866">
        <v>0</v>
      </c>
      <c r="D245" s="1866">
        <v>0</v>
      </c>
      <c r="E245" s="1866">
        <v>0</v>
      </c>
      <c r="F245" s="1866">
        <v>0</v>
      </c>
      <c r="G245" s="1866">
        <v>0</v>
      </c>
      <c r="H245" s="2101">
        <v>0</v>
      </c>
    </row>
    <row r="246" spans="1:8">
      <c r="A246" s="1862">
        <f ca="1">IFERROR(VLOOKUP(B246,Buget_detaliat!F:I,4,0),"")</f>
        <v>0</v>
      </c>
      <c r="B246" s="2092"/>
      <c r="C246" s="1866"/>
      <c r="D246" s="1866"/>
      <c r="E246" s="1866"/>
      <c r="F246" s="1866"/>
      <c r="G246" s="1866"/>
      <c r="H246" s="2101"/>
    </row>
    <row r="247" spans="1:8" ht="17">
      <c r="A247" s="1862" t="str">
        <f ca="1">IFERROR(VLOOKUP(B247,Buget_detaliat!F:I,4,0),"")</f>
        <v/>
      </c>
      <c r="B247" s="1864" t="s">
        <v>1854</v>
      </c>
      <c r="C247" s="1866">
        <v>439288.83999999997</v>
      </c>
      <c r="D247" s="1866">
        <v>391877.57</v>
      </c>
      <c r="E247" s="1866">
        <v>385553.51</v>
      </c>
      <c r="F247" s="1866">
        <v>0</v>
      </c>
      <c r="G247" s="1866">
        <v>0</v>
      </c>
      <c r="H247" s="2101">
        <v>1216719.92</v>
      </c>
    </row>
    <row r="248" spans="1:8" ht="34">
      <c r="A248" s="1862" t="str">
        <f ca="1">IFERROR(VLOOKUP(B248,Buget_detaliat!F:I,4,0),"")</f>
        <v/>
      </c>
      <c r="B248" s="1864" t="s">
        <v>2979</v>
      </c>
      <c r="C248" s="1866">
        <v>399288.83999999997</v>
      </c>
      <c r="D248" s="1866">
        <v>391877.57</v>
      </c>
      <c r="E248" s="1866">
        <v>385553.51</v>
      </c>
      <c r="F248" s="1866">
        <v>0</v>
      </c>
      <c r="G248" s="1866">
        <v>0</v>
      </c>
      <c r="H248" s="2101">
        <v>1176719.92</v>
      </c>
    </row>
    <row r="249" spans="1:8" ht="34">
      <c r="A249" s="1862" t="str">
        <f ca="1">IFERROR(VLOOKUP(B249,Buget_detaliat!F:I,4,0),"")</f>
        <v>ONG_TB</v>
      </c>
      <c r="B249" s="1864" t="s">
        <v>3519</v>
      </c>
      <c r="C249" s="1866">
        <v>399288.83999999997</v>
      </c>
      <c r="D249" s="1866">
        <v>391877.57</v>
      </c>
      <c r="E249" s="1866">
        <v>385553.51</v>
      </c>
      <c r="F249" s="1866">
        <v>0</v>
      </c>
      <c r="G249" s="1866">
        <v>0</v>
      </c>
      <c r="H249" s="2101">
        <v>1176719.92</v>
      </c>
    </row>
    <row r="250" spans="1:8">
      <c r="A250" s="1862">
        <f ca="1">IFERROR(VLOOKUP(B250,Buget_detaliat!F:I,4,0),"")</f>
        <v>0</v>
      </c>
      <c r="B250" s="2092"/>
      <c r="C250" s="1866"/>
      <c r="D250" s="1866"/>
      <c r="E250" s="1866"/>
      <c r="F250" s="1866"/>
      <c r="G250" s="1866"/>
      <c r="H250" s="2101"/>
    </row>
    <row r="251" spans="1:8" ht="17">
      <c r="A251" s="1862" t="str">
        <f ca="1">IFERROR(VLOOKUP(B251,Buget_detaliat!F:I,4,0),"")</f>
        <v/>
      </c>
      <c r="B251" s="1864" t="s">
        <v>2980</v>
      </c>
      <c r="C251" s="1866">
        <v>0</v>
      </c>
      <c r="D251" s="1866">
        <v>0</v>
      </c>
      <c r="E251" s="1866">
        <v>0</v>
      </c>
      <c r="F251" s="1866">
        <v>0</v>
      </c>
      <c r="G251" s="1866">
        <v>0</v>
      </c>
      <c r="H251" s="2101">
        <v>0</v>
      </c>
    </row>
    <row r="252" spans="1:8">
      <c r="A252" s="1862" t="str">
        <f ca="1">IFERROR(VLOOKUP(B252,Buget_detaliat!F:I,4,0),"")</f>
        <v>Sisteme_de_sanatate</v>
      </c>
      <c r="B252" s="2092" t="s">
        <v>3703</v>
      </c>
      <c r="C252" s="1866">
        <v>0</v>
      </c>
      <c r="D252" s="1866">
        <v>0</v>
      </c>
      <c r="E252" s="1866">
        <v>0</v>
      </c>
      <c r="F252" s="1866">
        <v>0</v>
      </c>
      <c r="G252" s="1866">
        <v>0</v>
      </c>
      <c r="H252" s="2101">
        <v>0</v>
      </c>
    </row>
    <row r="253" spans="1:8">
      <c r="A253" s="1862" t="str">
        <f ca="1">IFERROR(VLOOKUP(B253,Buget_detaliat!F:I,4,0),"")</f>
        <v>Sisteme_de_sanatate</v>
      </c>
      <c r="B253" s="2092" t="s">
        <v>3704</v>
      </c>
      <c r="C253" s="1866">
        <v>0</v>
      </c>
      <c r="D253" s="1866">
        <v>0</v>
      </c>
      <c r="E253" s="1866">
        <v>0</v>
      </c>
      <c r="F253" s="1866">
        <v>0</v>
      </c>
      <c r="G253" s="1866">
        <v>0</v>
      </c>
      <c r="H253" s="2101">
        <v>0</v>
      </c>
    </row>
    <row r="254" spans="1:8" ht="17">
      <c r="A254" s="1862" t="str">
        <f ca="1">IFERROR(VLOOKUP(B254,Buget_detaliat!F:I,4,0),"")</f>
        <v>Sisteme_de_sanatate</v>
      </c>
      <c r="B254" s="1864" t="s">
        <v>3520</v>
      </c>
      <c r="C254" s="1866">
        <v>0</v>
      </c>
      <c r="D254" s="1866">
        <v>0</v>
      </c>
      <c r="E254" s="1866">
        <v>0</v>
      </c>
      <c r="F254" s="1866">
        <v>0</v>
      </c>
      <c r="G254" s="1866">
        <v>0</v>
      </c>
      <c r="H254" s="2101">
        <v>0</v>
      </c>
    </row>
    <row r="255" spans="1:8">
      <c r="A255" s="1862">
        <f ca="1">IFERROR(VLOOKUP(B255,Buget_detaliat!F:I,4,0),"")</f>
        <v>0</v>
      </c>
      <c r="B255" s="2092"/>
      <c r="C255" s="1866"/>
      <c r="D255" s="1866"/>
      <c r="E255" s="1866"/>
      <c r="F255" s="1866"/>
      <c r="G255" s="1866"/>
      <c r="H255" s="2101"/>
    </row>
    <row r="256" spans="1:8" ht="17">
      <c r="A256" s="1862" t="str">
        <f ca="1">IFERROR(VLOOKUP(B256,Buget_detaliat!F:I,4,0),"")</f>
        <v/>
      </c>
      <c r="B256" s="1864" t="s">
        <v>2981</v>
      </c>
      <c r="C256" s="1866">
        <v>40000</v>
      </c>
      <c r="D256" s="1866">
        <v>0</v>
      </c>
      <c r="E256" s="1866">
        <v>0</v>
      </c>
      <c r="F256" s="1866">
        <v>0</v>
      </c>
      <c r="G256" s="1866">
        <v>0</v>
      </c>
      <c r="H256" s="2101">
        <v>40000</v>
      </c>
    </row>
    <row r="257" spans="1:8" ht="17">
      <c r="A257" s="1862" t="str">
        <f ca="1">IFERROR(VLOOKUP(B257,Buget_detaliat!F:I,4,0),"")</f>
        <v>Sisteme_de_sanatate</v>
      </c>
      <c r="B257" s="1864" t="s">
        <v>3521</v>
      </c>
      <c r="C257" s="1866">
        <v>40000</v>
      </c>
      <c r="D257" s="1866">
        <v>0</v>
      </c>
      <c r="E257" s="1866">
        <v>0</v>
      </c>
      <c r="F257" s="1866">
        <v>0</v>
      </c>
      <c r="G257" s="1866">
        <v>0</v>
      </c>
      <c r="H257" s="2101">
        <v>40000</v>
      </c>
    </row>
    <row r="258" spans="1:8">
      <c r="A258" s="1862">
        <f ca="1">IFERROR(VLOOKUP(B258,Buget_detaliat!F:I,4,0),"")</f>
        <v>0</v>
      </c>
      <c r="B258" s="2092"/>
      <c r="C258" s="1866"/>
      <c r="D258" s="1866"/>
      <c r="E258" s="1866"/>
      <c r="F258" s="1866"/>
      <c r="G258" s="1866"/>
      <c r="H258" s="2101"/>
    </row>
    <row r="259" spans="1:8" ht="34">
      <c r="A259" s="1862" t="str">
        <f ca="1">IFERROR(VLOOKUP(B259,Buget_detaliat!F:I,4,0),"")</f>
        <v/>
      </c>
      <c r="B259" s="1864" t="s">
        <v>394</v>
      </c>
      <c r="C259" s="1866">
        <v>279201.2</v>
      </c>
      <c r="D259" s="1866">
        <v>173941.2</v>
      </c>
      <c r="E259" s="1866">
        <v>136393.20000000001</v>
      </c>
      <c r="F259" s="1866">
        <v>0</v>
      </c>
      <c r="G259" s="1866">
        <v>0</v>
      </c>
      <c r="H259" s="2101">
        <v>589535.6</v>
      </c>
    </row>
    <row r="260" spans="1:8" ht="17">
      <c r="A260" s="1862" t="str">
        <f ca="1">IFERROR(VLOOKUP(B260,Buget_detaliat!F:I,4,0),"")</f>
        <v/>
      </c>
      <c r="B260" s="1864" t="s">
        <v>2983</v>
      </c>
      <c r="C260" s="1866">
        <v>0</v>
      </c>
      <c r="D260" s="1866">
        <v>0</v>
      </c>
      <c r="E260" s="1866">
        <v>0</v>
      </c>
      <c r="F260" s="1866">
        <v>0</v>
      </c>
      <c r="G260" s="1866">
        <v>0</v>
      </c>
      <c r="H260" s="2101">
        <v>0</v>
      </c>
    </row>
    <row r="261" spans="1:8" ht="17">
      <c r="A261" s="1862" t="str">
        <f ca="1">IFERROR(VLOOKUP(B261,Buget_detaliat!F:I,4,0),"")</f>
        <v>Sisteme_de_sanatate</v>
      </c>
      <c r="B261" s="1864" t="s">
        <v>3522</v>
      </c>
      <c r="C261" s="1866">
        <v>0</v>
      </c>
      <c r="D261" s="1866">
        <v>0</v>
      </c>
      <c r="E261" s="1866">
        <v>0</v>
      </c>
      <c r="F261" s="1866">
        <v>0</v>
      </c>
      <c r="G261" s="1866">
        <v>0</v>
      </c>
      <c r="H261" s="2101">
        <v>0</v>
      </c>
    </row>
    <row r="262" spans="1:8" ht="17">
      <c r="A262" s="1862" t="str">
        <f ca="1">IFERROR(VLOOKUP(B262,Buget_detaliat!F:I,4,0),"")</f>
        <v>Sisteme_de_sanatate</v>
      </c>
      <c r="B262" s="1864" t="s">
        <v>3523</v>
      </c>
      <c r="C262" s="1866">
        <v>0</v>
      </c>
      <c r="D262" s="1866">
        <v>0</v>
      </c>
      <c r="E262" s="1866">
        <v>0</v>
      </c>
      <c r="F262" s="1866">
        <v>0</v>
      </c>
      <c r="G262" s="1866">
        <v>0</v>
      </c>
      <c r="H262" s="2101">
        <v>0</v>
      </c>
    </row>
    <row r="263" spans="1:8">
      <c r="A263" s="1862">
        <f ca="1">IFERROR(VLOOKUP(B263,Buget_detaliat!F:I,4,0),"")</f>
        <v>0</v>
      </c>
      <c r="B263" s="2092"/>
      <c r="C263" s="1866"/>
      <c r="D263" s="1866"/>
      <c r="E263" s="1866"/>
      <c r="F263" s="1866"/>
      <c r="G263" s="1866"/>
      <c r="H263" s="2101"/>
    </row>
    <row r="264" spans="1:8" ht="17">
      <c r="A264" s="1862" t="str">
        <f ca="1">IFERROR(VLOOKUP(B264,Buget_detaliat!F:I,4,0),"")</f>
        <v/>
      </c>
      <c r="B264" s="1864" t="s">
        <v>2984</v>
      </c>
      <c r="C264" s="1866">
        <v>116508</v>
      </c>
      <c r="D264" s="1866">
        <v>0</v>
      </c>
      <c r="E264" s="1866">
        <v>0</v>
      </c>
      <c r="F264" s="1866">
        <v>0</v>
      </c>
      <c r="G264" s="1866">
        <v>0</v>
      </c>
      <c r="H264" s="2101">
        <v>116508</v>
      </c>
    </row>
    <row r="265" spans="1:8" ht="17">
      <c r="A265" s="1862" t="str">
        <f ca="1">IFERROR(VLOOKUP(B265,Buget_detaliat!F:I,4,0),"")</f>
        <v>Sisteme_de_sanatate</v>
      </c>
      <c r="B265" s="1864" t="s">
        <v>3524</v>
      </c>
      <c r="C265" s="1866">
        <v>116508</v>
      </c>
      <c r="D265" s="1866">
        <v>0</v>
      </c>
      <c r="E265" s="1866">
        <v>0</v>
      </c>
      <c r="F265" s="1866">
        <v>0</v>
      </c>
      <c r="G265" s="1866">
        <v>0</v>
      </c>
      <c r="H265" s="2101">
        <v>116508</v>
      </c>
    </row>
    <row r="266" spans="1:8">
      <c r="A266" s="1862">
        <f ca="1">IFERROR(VLOOKUP(B266,Buget_detaliat!F:I,4,0),"")</f>
        <v>0</v>
      </c>
      <c r="B266" s="2092"/>
      <c r="C266" s="1866"/>
      <c r="D266" s="1866"/>
      <c r="E266" s="1866"/>
      <c r="F266" s="1866"/>
      <c r="G266" s="1866"/>
      <c r="H266" s="2101"/>
    </row>
    <row r="267" spans="1:8" ht="17">
      <c r="A267" s="1862" t="str">
        <f ca="1">IFERROR(VLOOKUP(B267,Buget_detaliat!F:I,4,0),"")</f>
        <v/>
      </c>
      <c r="B267" s="1864" t="s">
        <v>2985</v>
      </c>
      <c r="C267" s="1866">
        <v>162693.20000000001</v>
      </c>
      <c r="D267" s="1866">
        <v>173941.2</v>
      </c>
      <c r="E267" s="1866">
        <v>136393.20000000001</v>
      </c>
      <c r="F267" s="1866">
        <v>0</v>
      </c>
      <c r="G267" s="1866">
        <v>0</v>
      </c>
      <c r="H267" s="2101">
        <v>473027.6</v>
      </c>
    </row>
    <row r="268" spans="1:8" ht="17">
      <c r="A268" s="1862" t="str">
        <f ca="1">IFERROR(VLOOKUP(B268,Buget_detaliat!F:I,4,0),"")</f>
        <v>Sisteme_de_sanatate</v>
      </c>
      <c r="B268" s="1864" t="s">
        <v>3526</v>
      </c>
      <c r="C268" s="1866">
        <v>83845.2</v>
      </c>
      <c r="D268" s="1866">
        <v>83845.2</v>
      </c>
      <c r="E268" s="1866">
        <v>83845.2</v>
      </c>
      <c r="F268" s="1866">
        <v>0</v>
      </c>
      <c r="G268" s="1866">
        <v>0</v>
      </c>
      <c r="H268" s="2101">
        <v>251535.59999999998</v>
      </c>
    </row>
    <row r="269" spans="1:8" ht="17">
      <c r="A269" s="1862" t="str">
        <f ca="1">IFERROR(VLOOKUP(B269,Buget_detaliat!F:I,4,0),"")</f>
        <v>Sisteme_de_sanatate</v>
      </c>
      <c r="B269" s="1864" t="s">
        <v>3527</v>
      </c>
      <c r="C269" s="1866">
        <v>35000</v>
      </c>
      <c r="D269" s="1866">
        <v>35000</v>
      </c>
      <c r="E269" s="1866">
        <v>35000</v>
      </c>
      <c r="F269" s="1866">
        <v>0</v>
      </c>
      <c r="G269" s="1866">
        <v>0</v>
      </c>
      <c r="H269" s="2101">
        <v>105000</v>
      </c>
    </row>
    <row r="270" spans="1:8" ht="34">
      <c r="A270" s="1862" t="str">
        <f ca="1">IFERROR(VLOOKUP(B270,Buget_detaliat!F:I,4,0),"")</f>
        <v>Sisteme_de_sanatate</v>
      </c>
      <c r="B270" s="1864" t="s">
        <v>3529</v>
      </c>
      <c r="C270" s="1866">
        <v>0</v>
      </c>
      <c r="D270" s="1866">
        <v>20000</v>
      </c>
      <c r="E270" s="1866">
        <v>0</v>
      </c>
      <c r="F270" s="1866">
        <v>0</v>
      </c>
      <c r="G270" s="1866">
        <v>0</v>
      </c>
      <c r="H270" s="2101">
        <v>20000</v>
      </c>
    </row>
    <row r="271" spans="1:8" ht="17">
      <c r="A271" s="1862" t="str">
        <f ca="1">IFERROR(VLOOKUP(B271,Buget_detaliat!F:I,4,0),"")</f>
        <v>Sisteme_de_sanatate</v>
      </c>
      <c r="B271" s="1864" t="s">
        <v>3528</v>
      </c>
      <c r="C271" s="1866">
        <v>17548</v>
      </c>
      <c r="D271" s="1866">
        <v>17548</v>
      </c>
      <c r="E271" s="1866">
        <v>17548</v>
      </c>
      <c r="F271" s="1866">
        <v>0</v>
      </c>
      <c r="G271" s="1866">
        <v>0</v>
      </c>
      <c r="H271" s="2101">
        <v>52644</v>
      </c>
    </row>
    <row r="272" spans="1:8">
      <c r="A272" s="1862" t="str">
        <f ca="1">IFERROR(VLOOKUP(B272,Buget_detaliat!F:I,4,0),"")</f>
        <v>Sisteme_de_sanatate</v>
      </c>
      <c r="B272" s="2092" t="s">
        <v>3725</v>
      </c>
      <c r="C272" s="1866">
        <v>26300</v>
      </c>
      <c r="D272" s="1866">
        <v>0</v>
      </c>
      <c r="E272" s="1866">
        <v>0</v>
      </c>
      <c r="F272" s="1866">
        <v>0</v>
      </c>
      <c r="G272" s="1866">
        <v>0</v>
      </c>
      <c r="H272" s="2101">
        <v>26300</v>
      </c>
    </row>
    <row r="273" spans="1:8">
      <c r="A273" s="1862" t="str">
        <f ca="1">IFERROR(VLOOKUP(B273,Buget_detaliat!F:I,4,0),"")</f>
        <v>Sisteme_de_sanatate</v>
      </c>
      <c r="B273" s="2092" t="s">
        <v>3724</v>
      </c>
      <c r="C273" s="1866">
        <v>0</v>
      </c>
      <c r="D273" s="1866">
        <v>17548</v>
      </c>
      <c r="E273" s="1866">
        <v>0</v>
      </c>
      <c r="F273" s="1866">
        <v>0</v>
      </c>
      <c r="G273" s="1866">
        <v>0</v>
      </c>
      <c r="H273" s="2101">
        <v>17548</v>
      </c>
    </row>
    <row r="274" spans="1:8">
      <c r="A274" s="1862">
        <f ca="1">IFERROR(VLOOKUP(B274,Buget_detaliat!F:I,4,0),"")</f>
        <v>0</v>
      </c>
      <c r="B274" s="2092"/>
      <c r="C274" s="1866"/>
      <c r="D274" s="1866"/>
      <c r="E274" s="1866"/>
      <c r="F274" s="1866"/>
      <c r="G274" s="1866"/>
      <c r="H274" s="2101"/>
    </row>
    <row r="275" spans="1:8" ht="17">
      <c r="A275" s="1862" t="str">
        <f ca="1">IFERROR(VLOOKUP(B275,Buget_detaliat!F:I,4,0),"")</f>
        <v/>
      </c>
      <c r="B275" s="1864" t="s">
        <v>3079</v>
      </c>
      <c r="C275" s="1866">
        <v>558750</v>
      </c>
      <c r="D275" s="1866">
        <v>256000</v>
      </c>
      <c r="E275" s="1866">
        <v>256000</v>
      </c>
      <c r="F275" s="1866">
        <v>0</v>
      </c>
      <c r="G275" s="1866">
        <v>0</v>
      </c>
      <c r="H275" s="2101">
        <v>1070750</v>
      </c>
    </row>
    <row r="276" spans="1:8" ht="17">
      <c r="A276" s="1862" t="str">
        <f ca="1">IFERROR(VLOOKUP(B276,Buget_detaliat!F:I,4,0),"")</f>
        <v/>
      </c>
      <c r="B276" s="1864" t="s">
        <v>1856</v>
      </c>
      <c r="C276" s="1866">
        <v>558750</v>
      </c>
      <c r="D276" s="1866">
        <v>256000</v>
      </c>
      <c r="E276" s="1866">
        <v>256000</v>
      </c>
      <c r="F276" s="1866">
        <v>0</v>
      </c>
      <c r="G276" s="1866">
        <v>0</v>
      </c>
      <c r="H276" s="2101">
        <v>1070750</v>
      </c>
    </row>
    <row r="277" spans="1:8" ht="17">
      <c r="A277" s="1862" t="str">
        <f ca="1">IFERROR(VLOOKUP(B277,Buget_detaliat!F:I,4,0),"")</f>
        <v/>
      </c>
      <c r="B277" s="1864" t="s">
        <v>2991</v>
      </c>
      <c r="C277" s="1866">
        <v>558750</v>
      </c>
      <c r="D277" s="1866">
        <v>256000</v>
      </c>
      <c r="E277" s="1866">
        <v>256000</v>
      </c>
      <c r="F277" s="1866">
        <v>0</v>
      </c>
      <c r="G277" s="1866">
        <v>0</v>
      </c>
      <c r="H277" s="2101">
        <v>1070750</v>
      </c>
    </row>
    <row r="278" spans="1:8">
      <c r="A278" s="1862" t="str">
        <f ca="1">IFERROR(VLOOKUP(B278,Buget_detaliat!F:I,4,0),"")</f>
        <v>Sisteme_de_sanatate</v>
      </c>
      <c r="B278" s="2092" t="s">
        <v>3726</v>
      </c>
      <c r="C278" s="1866">
        <v>0</v>
      </c>
      <c r="D278" s="1866">
        <v>0</v>
      </c>
      <c r="E278" s="1866">
        <v>256000</v>
      </c>
      <c r="F278" s="1866">
        <v>0</v>
      </c>
      <c r="G278" s="1866">
        <v>0</v>
      </c>
      <c r="H278" s="2101">
        <v>256000</v>
      </c>
    </row>
    <row r="279" spans="1:8">
      <c r="A279" s="1862" t="str">
        <f ca="1">IFERROR(VLOOKUP(B279,Buget_detaliat!F:I,4,0),"")</f>
        <v>Sisteme_de_sanatate</v>
      </c>
      <c r="B279" s="2092" t="s">
        <v>3727</v>
      </c>
      <c r="C279" s="1866">
        <v>256000</v>
      </c>
      <c r="D279" s="1866">
        <v>0</v>
      </c>
      <c r="E279" s="1866">
        <v>0</v>
      </c>
      <c r="F279" s="1866">
        <v>0</v>
      </c>
      <c r="G279" s="1866">
        <v>0</v>
      </c>
      <c r="H279" s="2101">
        <v>256000</v>
      </c>
    </row>
    <row r="280" spans="1:8">
      <c r="A280" s="1862" t="str">
        <f ca="1">IFERROR(VLOOKUP(B280,Buget_detaliat!F:I,4,0),"")</f>
        <v>Sisteme_de_sanatate</v>
      </c>
      <c r="B280" s="2092" t="s">
        <v>3728</v>
      </c>
      <c r="C280" s="1866">
        <v>302750</v>
      </c>
      <c r="D280" s="1866">
        <v>0</v>
      </c>
      <c r="E280" s="1866">
        <v>0</v>
      </c>
      <c r="F280" s="1866">
        <v>0</v>
      </c>
      <c r="G280" s="1866">
        <v>0</v>
      </c>
      <c r="H280" s="2101">
        <v>302750</v>
      </c>
    </row>
    <row r="281" spans="1:8">
      <c r="A281" s="1862" t="str">
        <f ca="1">IFERROR(VLOOKUP(B281,Buget_detaliat!F:I,4,0),"")</f>
        <v>Sisteme_de_sanatate</v>
      </c>
      <c r="B281" s="2092" t="s">
        <v>3729</v>
      </c>
      <c r="C281" s="1866">
        <v>0</v>
      </c>
      <c r="D281" s="1866">
        <v>256000</v>
      </c>
      <c r="E281" s="1866">
        <v>0</v>
      </c>
      <c r="F281" s="1866">
        <v>0</v>
      </c>
      <c r="G281" s="1866">
        <v>0</v>
      </c>
      <c r="H281" s="2101">
        <v>256000</v>
      </c>
    </row>
    <row r="282" spans="1:8">
      <c r="A282" s="1862">
        <f ca="1">IFERROR(VLOOKUP(B282,Buget_detaliat!F:I,4,0),"")</f>
        <v>0</v>
      </c>
      <c r="B282" s="2092"/>
      <c r="C282" s="1866"/>
      <c r="D282" s="1866"/>
      <c r="E282" s="1866"/>
      <c r="F282" s="1866"/>
      <c r="G282" s="1866"/>
      <c r="H282" s="2101"/>
    </row>
    <row r="283" spans="1:8" ht="17">
      <c r="A283" s="1862" t="str">
        <f ca="1">IFERROR(VLOOKUP(B283,Buget_detaliat!F:I,4,0),"")</f>
        <v/>
      </c>
      <c r="B283" s="1864" t="s">
        <v>1883</v>
      </c>
      <c r="C283" s="1866">
        <v>54960138.637565494</v>
      </c>
      <c r="D283" s="1866">
        <v>57031006.391867444</v>
      </c>
      <c r="E283" s="1866">
        <v>55840565.799913295</v>
      </c>
      <c r="F283" s="1866">
        <v>-1.0512720014048682E-2</v>
      </c>
      <c r="G283" s="1866">
        <v>-8.000000030733645E-3</v>
      </c>
      <c r="H283" s="2102">
        <v>167831710.81083342</v>
      </c>
    </row>
    <row r="284" spans="1:8">
      <c r="A284" s="1862">
        <f ca="1">IFERROR(VLOOKUP(B284,Buget_detaliat!F:I,4,0),"")</f>
        <v>0</v>
      </c>
      <c r="B284"/>
      <c r="C284"/>
      <c r="D284"/>
      <c r="E284"/>
      <c r="F284"/>
      <c r="G284"/>
      <c r="H284"/>
    </row>
    <row r="285" spans="1:8">
      <c r="A285" s="1862">
        <f ca="1">IFERROR(VLOOKUP(B285,Buget_detaliat!F:I,4,0),"")</f>
        <v>0</v>
      </c>
      <c r="B285"/>
      <c r="C285"/>
      <c r="D285"/>
      <c r="E285"/>
      <c r="F285"/>
      <c r="G285"/>
      <c r="H285"/>
    </row>
    <row r="286" spans="1:8">
      <c r="A286" s="1862">
        <f ca="1">IFERROR(VLOOKUP(B286,Buget_detaliat!F:I,4,0),"")</f>
        <v>0</v>
      </c>
      <c r="B286"/>
      <c r="C286"/>
      <c r="D286"/>
      <c r="E286"/>
      <c r="F286"/>
      <c r="G286"/>
      <c r="H286"/>
    </row>
    <row r="287" spans="1:8">
      <c r="A287" s="1862">
        <f ca="1">IFERROR(VLOOKUP(B287,Buget_detaliat!F:I,4,0),"")</f>
        <v>0</v>
      </c>
      <c r="B287"/>
      <c r="C287"/>
      <c r="D287"/>
      <c r="E287"/>
      <c r="F287"/>
      <c r="G287"/>
      <c r="H287"/>
    </row>
    <row r="288" spans="1:8">
      <c r="B288"/>
      <c r="C288"/>
      <c r="D288"/>
      <c r="E288"/>
      <c r="F288"/>
      <c r="G288"/>
      <c r="H288"/>
    </row>
    <row r="289" spans="2:8">
      <c r="B289"/>
      <c r="C289"/>
      <c r="D289"/>
      <c r="E289"/>
      <c r="F289"/>
      <c r="G289"/>
      <c r="H289"/>
    </row>
    <row r="290" spans="2:8">
      <c r="B290"/>
      <c r="C290"/>
      <c r="D290"/>
      <c r="E290"/>
      <c r="F290"/>
      <c r="G290"/>
      <c r="H290"/>
    </row>
    <row r="291" spans="2:8">
      <c r="B291"/>
      <c r="C291"/>
      <c r="D291"/>
      <c r="E291"/>
      <c r="F291"/>
      <c r="G291"/>
      <c r="H291"/>
    </row>
    <row r="292" spans="2:8">
      <c r="B292"/>
      <c r="C292"/>
      <c r="D292"/>
      <c r="E292"/>
      <c r="F292"/>
      <c r="G292"/>
      <c r="H292"/>
    </row>
    <row r="293" spans="2:8">
      <c r="B293"/>
      <c r="C293"/>
      <c r="D293"/>
      <c r="E293"/>
      <c r="F293"/>
      <c r="G293"/>
      <c r="H293"/>
    </row>
    <row r="294" spans="2:8">
      <c r="B294"/>
      <c r="C294"/>
      <c r="D294"/>
      <c r="E294"/>
      <c r="F294"/>
      <c r="G294"/>
      <c r="H294"/>
    </row>
    <row r="295" spans="2:8">
      <c r="B295"/>
      <c r="C295"/>
      <c r="D295"/>
      <c r="E295"/>
      <c r="F295"/>
      <c r="G295"/>
      <c r="H295"/>
    </row>
    <row r="296" spans="2:8">
      <c r="B296"/>
      <c r="C296"/>
      <c r="D296"/>
      <c r="E296"/>
      <c r="F296"/>
      <c r="G296"/>
      <c r="H296"/>
    </row>
    <row r="297" spans="2:8">
      <c r="B297"/>
      <c r="C297"/>
      <c r="D297"/>
      <c r="E297"/>
      <c r="F297"/>
      <c r="G297"/>
      <c r="H297"/>
    </row>
    <row r="298" spans="2:8">
      <c r="B298"/>
      <c r="C298"/>
      <c r="D298"/>
      <c r="E298"/>
      <c r="F298"/>
      <c r="G298"/>
      <c r="H298"/>
    </row>
    <row r="299" spans="2:8">
      <c r="B299"/>
      <c r="C299"/>
      <c r="D299"/>
      <c r="E299"/>
      <c r="F299"/>
      <c r="G299"/>
      <c r="H299"/>
    </row>
    <row r="300" spans="2:8">
      <c r="B300"/>
      <c r="C300"/>
      <c r="D300"/>
      <c r="E300"/>
      <c r="F300"/>
      <c r="G300"/>
      <c r="H300"/>
    </row>
    <row r="301" spans="2:8">
      <c r="B301"/>
      <c r="C301"/>
      <c r="D301"/>
      <c r="E301"/>
      <c r="F301"/>
      <c r="G301"/>
      <c r="H301"/>
    </row>
    <row r="302" spans="2:8">
      <c r="B302"/>
      <c r="C302"/>
      <c r="D302"/>
      <c r="E302"/>
      <c r="F302"/>
      <c r="G302"/>
      <c r="H302"/>
    </row>
    <row r="303" spans="2:8">
      <c r="B303"/>
      <c r="C303"/>
      <c r="D303"/>
      <c r="E303"/>
      <c r="F303"/>
      <c r="G303"/>
      <c r="H303"/>
    </row>
    <row r="304" spans="2:8">
      <c r="B304"/>
      <c r="C304"/>
      <c r="D304"/>
      <c r="E304"/>
      <c r="F304"/>
      <c r="G304"/>
      <c r="H304"/>
    </row>
    <row r="305" spans="2:8">
      <c r="B305"/>
      <c r="C305"/>
      <c r="D305"/>
      <c r="E305"/>
      <c r="F305"/>
      <c r="G305"/>
      <c r="H305"/>
    </row>
    <row r="306" spans="2:8">
      <c r="B306"/>
      <c r="C306"/>
      <c r="D306"/>
      <c r="E306"/>
      <c r="F306"/>
      <c r="G306"/>
      <c r="H306"/>
    </row>
    <row r="307" spans="2:8">
      <c r="B307"/>
      <c r="C307"/>
      <c r="D307"/>
      <c r="E307"/>
      <c r="F307"/>
      <c r="G307"/>
      <c r="H307"/>
    </row>
    <row r="308" spans="2:8">
      <c r="B308"/>
      <c r="C308"/>
      <c r="D308"/>
      <c r="E308"/>
      <c r="F308"/>
      <c r="G308"/>
      <c r="H308"/>
    </row>
    <row r="309" spans="2:8">
      <c r="B309"/>
      <c r="C309"/>
      <c r="D309"/>
      <c r="E309"/>
      <c r="F309"/>
      <c r="G309"/>
      <c r="H309"/>
    </row>
    <row r="310" spans="2:8">
      <c r="B310"/>
      <c r="C310"/>
      <c r="D310"/>
      <c r="E310"/>
      <c r="F310"/>
      <c r="G310"/>
      <c r="H310"/>
    </row>
    <row r="311" spans="2:8">
      <c r="B311"/>
      <c r="C311"/>
      <c r="D311"/>
      <c r="E311"/>
      <c r="F311"/>
      <c r="G311"/>
      <c r="H311"/>
    </row>
    <row r="312" spans="2:8">
      <c r="B312"/>
      <c r="C312"/>
      <c r="D312"/>
      <c r="E312"/>
      <c r="F312"/>
      <c r="G312"/>
      <c r="H312"/>
    </row>
    <row r="313" spans="2:8">
      <c r="B313"/>
      <c r="C313"/>
      <c r="D313"/>
      <c r="E313"/>
      <c r="F313"/>
      <c r="G313"/>
      <c r="H313"/>
    </row>
    <row r="314" spans="2:8">
      <c r="B314"/>
      <c r="C314"/>
      <c r="D314"/>
      <c r="E314"/>
      <c r="F314"/>
      <c r="G314"/>
      <c r="H314"/>
    </row>
    <row r="315" spans="2:8">
      <c r="B315"/>
      <c r="C315"/>
      <c r="D315"/>
      <c r="E315"/>
      <c r="F315"/>
      <c r="G315"/>
      <c r="H315"/>
    </row>
    <row r="316" spans="2:8">
      <c r="B316"/>
      <c r="C316"/>
      <c r="D316"/>
      <c r="E316"/>
      <c r="F316"/>
      <c r="G316"/>
      <c r="H316"/>
    </row>
    <row r="317" spans="2:8">
      <c r="B317"/>
      <c r="C317"/>
      <c r="D317"/>
      <c r="E317"/>
      <c r="F317"/>
      <c r="G317"/>
      <c r="H317"/>
    </row>
    <row r="318" spans="2:8">
      <c r="B318"/>
      <c r="C318"/>
      <c r="D318"/>
      <c r="E318"/>
      <c r="F318"/>
      <c r="G318"/>
      <c r="H318"/>
    </row>
    <row r="319" spans="2:8">
      <c r="B319"/>
      <c r="C319"/>
      <c r="D319"/>
      <c r="E319"/>
      <c r="F319"/>
      <c r="G319"/>
      <c r="H319"/>
    </row>
  </sheetData>
  <hyperlinks>
    <hyperlink ref="A2" location="CUPRINS!A1" display="CUPRINS" xr:uid="{00000000-0004-0000-0500-000000000000}"/>
  </hyperlinks>
  <pageMargins left="0.25" right="0.25" top="0.75" bottom="0.75" header="0.3" footer="0.3"/>
  <pageSetup paperSize="8" scale="28" fitToHeight="0" orientation="portrait" r:id="rId2"/>
  <drawing r:id="rId3"/>
  <mc:AlternateContent xmlns:mc="http://schemas.openxmlformats.org/markup-compatibility/2006">
    <mc:Choice Requires="v">
      <legacyDrawing r:id="rId4"/>
    </mc:Choice>
  </mc:AlternateContent>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L641"/>
  <sheetViews>
    <sheetView zoomScale="70" zoomScaleNormal="70" workbookViewId="0">
      <pane xSplit="2" ySplit="3" topLeftCell="C303" activePane="bottomRight" state="frozen"/>
      <selection pane="topRight" activeCell="C1" sqref="C1"/>
      <selection pane="bottomLeft" activeCell="A4" sqref="A4"/>
      <selection pane="bottomRight" activeCell="J20" sqref="J20"/>
    </sheetView>
  </sheetViews>
  <sheetFormatPr baseColWidth="10" defaultColWidth="8.83203125" defaultRowHeight="16" outlineLevelRow="1"/>
  <cols>
    <col min="1" max="1" width="29.33203125" style="1862" customWidth="1"/>
    <col min="2" max="2" width="255.6640625" style="1863" bestFit="1" customWidth="1"/>
    <col min="3" max="6" width="16.5" style="1862" bestFit="1" customWidth="1"/>
    <col min="7" max="7" width="16.5" style="1865" bestFit="1" customWidth="1"/>
    <col min="8" max="8" width="40.5" style="1861" bestFit="1" customWidth="1"/>
    <col min="9" max="9" width="16.33203125" style="1868" customWidth="1"/>
    <col min="10" max="10" width="56.5" style="1868" customWidth="1"/>
    <col min="11" max="12" width="14.83203125" style="1868" bestFit="1" customWidth="1"/>
    <col min="13" max="16384" width="8.83203125" style="1868"/>
  </cols>
  <sheetData>
    <row r="1" spans="1:10">
      <c r="D1" s="1862" t="s">
        <v>3731</v>
      </c>
    </row>
    <row r="2" spans="1:10">
      <c r="A2" s="2093" t="s">
        <v>356</v>
      </c>
      <c r="B2"/>
    </row>
    <row r="3" spans="1:10" ht="17">
      <c r="A3" s="2094" t="s">
        <v>3249</v>
      </c>
      <c r="B3" s="1863" t="s">
        <v>3240</v>
      </c>
      <c r="C3" s="1862" t="s">
        <v>3243</v>
      </c>
      <c r="D3" s="1862" t="s">
        <v>3244</v>
      </c>
      <c r="E3" s="1862" t="s">
        <v>3245</v>
      </c>
      <c r="F3" s="1862" t="s">
        <v>3246</v>
      </c>
      <c r="G3" s="1862" t="s">
        <v>3247</v>
      </c>
      <c r="H3" s="1993" t="s">
        <v>3248</v>
      </c>
      <c r="I3"/>
      <c r="J3" s="1867"/>
    </row>
    <row r="4" spans="1:10" ht="17" outlineLevel="1">
      <c r="B4" s="1864" t="s">
        <v>3241</v>
      </c>
      <c r="C4" s="1866">
        <v>0</v>
      </c>
      <c r="D4" s="1866">
        <v>0</v>
      </c>
      <c r="E4" s="1866">
        <v>0</v>
      </c>
      <c r="F4" s="1866">
        <v>0</v>
      </c>
      <c r="G4" s="1866">
        <v>0</v>
      </c>
      <c r="H4" s="2185">
        <v>0</v>
      </c>
      <c r="I4"/>
      <c r="J4" s="1867"/>
    </row>
    <row r="5" spans="1:10" ht="17" outlineLevel="1">
      <c r="A5" s="1862" t="str">
        <f ca="1">IFERROR(VLOOKUP(B5,Buget_detaliat!F:I,4,0),"")</f>
        <v/>
      </c>
      <c r="B5" s="1864" t="s">
        <v>3241</v>
      </c>
      <c r="C5" s="1866">
        <v>0</v>
      </c>
      <c r="D5" s="1866">
        <v>0</v>
      </c>
      <c r="E5" s="1866">
        <v>0</v>
      </c>
      <c r="F5" s="1866">
        <v>0</v>
      </c>
      <c r="G5" s="1866">
        <v>0</v>
      </c>
      <c r="H5" s="2101">
        <v>0</v>
      </c>
      <c r="I5"/>
      <c r="J5" s="1867"/>
    </row>
    <row r="6" spans="1:10" ht="17" outlineLevel="1">
      <c r="A6" s="1862" t="str">
        <f ca="1">IFERROR(VLOOKUP(B6,Buget_detaliat!F:I,4,0),"")</f>
        <v/>
      </c>
      <c r="B6" s="1864" t="s">
        <v>3241</v>
      </c>
      <c r="C6" s="1866">
        <v>0</v>
      </c>
      <c r="D6" s="1866">
        <v>0</v>
      </c>
      <c r="E6" s="1866">
        <v>0</v>
      </c>
      <c r="F6" s="1866">
        <v>0</v>
      </c>
      <c r="G6" s="1866">
        <v>0</v>
      </c>
      <c r="H6" s="2101">
        <v>0</v>
      </c>
      <c r="I6"/>
      <c r="J6" s="1867"/>
    </row>
    <row r="7" spans="1:10" outlineLevel="1">
      <c r="A7" s="1862">
        <f ca="1">IFERROR(IF(B7="","",VLOOKUP(B7,Buget_detaliat!F:I,4,0)),"")</f>
        <v>0</v>
      </c>
      <c r="B7" s="1864">
        <v>0</v>
      </c>
      <c r="C7" s="1866">
        <v>0</v>
      </c>
      <c r="D7" s="1866">
        <v>0</v>
      </c>
      <c r="E7" s="1866">
        <v>0</v>
      </c>
      <c r="F7" s="1866">
        <v>0</v>
      </c>
      <c r="G7" s="1866">
        <v>0</v>
      </c>
      <c r="H7" s="2101">
        <v>0</v>
      </c>
      <c r="I7"/>
      <c r="J7" s="1867"/>
    </row>
    <row r="8" spans="1:10">
      <c r="A8" s="1862" t="str">
        <f>IFERROR(IF(B8="","",VLOOKUP(B8,Buget_detaliat!F:I,4,0)),"")</f>
        <v/>
      </c>
      <c r="B8" s="2092"/>
      <c r="C8" s="1866"/>
      <c r="D8" s="1866"/>
      <c r="E8" s="1866"/>
      <c r="F8" s="1866"/>
      <c r="G8" s="1866"/>
      <c r="H8" s="2101"/>
      <c r="I8"/>
      <c r="J8" s="1867"/>
    </row>
    <row r="9" spans="1:10" ht="17">
      <c r="A9" s="1862" t="str">
        <f ca="1">IFERROR(IF(B9="","",VLOOKUP(B9,Buget_detaliat!F:I,4,0)),"")</f>
        <v/>
      </c>
      <c r="B9" s="1864" t="s">
        <v>246</v>
      </c>
      <c r="C9" s="1866">
        <v>49436835.43</v>
      </c>
      <c r="D9" s="1866">
        <v>52052106.670000002</v>
      </c>
      <c r="E9" s="1866">
        <v>51997525.600000001</v>
      </c>
      <c r="F9" s="1866">
        <v>51133828.800000004</v>
      </c>
      <c r="G9" s="1866">
        <v>50513275.200000003</v>
      </c>
      <c r="H9" s="2101">
        <v>255133571.69999999</v>
      </c>
      <c r="I9"/>
      <c r="J9" s="1867"/>
    </row>
    <row r="10" spans="1:10" ht="17">
      <c r="A10" s="1862" t="str">
        <f ca="1">IFERROR(IF(B10="","",VLOOKUP(B10,Buget_detaliat!F:I,4,0)),"")</f>
        <v/>
      </c>
      <c r="B10" s="1864" t="s">
        <v>389</v>
      </c>
      <c r="C10" s="1866">
        <v>49436835.43</v>
      </c>
      <c r="D10" s="1866">
        <v>52052106.670000002</v>
      </c>
      <c r="E10" s="1866">
        <v>51997525.600000001</v>
      </c>
      <c r="F10" s="1866">
        <v>51133828.800000004</v>
      </c>
      <c r="G10" s="1866">
        <v>50513275.200000003</v>
      </c>
      <c r="H10" s="2101">
        <v>255133571.69999999</v>
      </c>
      <c r="I10"/>
      <c r="J10" s="1867"/>
    </row>
    <row r="11" spans="1:10" ht="17">
      <c r="A11" s="1862" t="str">
        <f ca="1">IFERROR(IF(B11="","",VLOOKUP(B11,Buget_detaliat!F:I,4,0)),"")</f>
        <v>Exam_grup_risc</v>
      </c>
      <c r="B11" s="1864" t="s">
        <v>2923</v>
      </c>
      <c r="C11" s="1866">
        <v>27404304</v>
      </c>
      <c r="D11" s="1866">
        <v>26899182</v>
      </c>
      <c r="E11" s="1866">
        <v>26399280</v>
      </c>
      <c r="F11" s="1866">
        <v>25905468</v>
      </c>
      <c r="G11" s="1866">
        <v>25417050</v>
      </c>
      <c r="H11" s="2101">
        <v>132025284</v>
      </c>
      <c r="I11"/>
      <c r="J11" s="1867"/>
    </row>
    <row r="12" spans="1:10" ht="17">
      <c r="A12" s="1862" t="str">
        <f ca="1">IFERROR(IF(B12="","",VLOOKUP(B12,Buget_detaliat!F:I,4,0)),"")</f>
        <v>Exam_grup_risc</v>
      </c>
      <c r="B12" s="1864" t="s">
        <v>2923</v>
      </c>
      <c r="C12" s="1866">
        <v>27404304</v>
      </c>
      <c r="D12" s="1866">
        <v>26899182</v>
      </c>
      <c r="E12" s="1866">
        <v>26399280</v>
      </c>
      <c r="F12" s="1866">
        <v>25905468</v>
      </c>
      <c r="G12" s="1866">
        <v>25417050</v>
      </c>
      <c r="H12" s="2101">
        <v>132025284</v>
      </c>
      <c r="I12"/>
      <c r="J12" s="1867"/>
    </row>
    <row r="13" spans="1:10">
      <c r="A13" s="1862" t="str">
        <f>IFERROR(IF(B13="","",VLOOKUP(B13,Buget_detaliat!F:I,4,0)),"")</f>
        <v/>
      </c>
      <c r="B13" s="2092"/>
      <c r="C13" s="1866"/>
      <c r="D13" s="1866"/>
      <c r="E13" s="1866"/>
      <c r="F13" s="1866"/>
      <c r="G13" s="1866"/>
      <c r="H13" s="2101"/>
      <c r="I13"/>
      <c r="J13" s="1867"/>
    </row>
    <row r="14" spans="1:10" ht="17">
      <c r="A14" s="1862" t="str">
        <f ca="1">IFERROR(IF(B14="","",VLOOKUP(B14,Buget_detaliat!F:I,4,0)),"")</f>
        <v>Exam_grup_risc</v>
      </c>
      <c r="B14" s="1864" t="s">
        <v>2992</v>
      </c>
      <c r="C14" s="1866">
        <v>1213998</v>
      </c>
      <c r="D14" s="1866">
        <v>1181460</v>
      </c>
      <c r="E14" s="1866">
        <v>1150662</v>
      </c>
      <c r="F14" s="1866">
        <v>1120560</v>
      </c>
      <c r="G14" s="1866">
        <v>1091850</v>
      </c>
      <c r="H14" s="2101">
        <v>5758530</v>
      </c>
      <c r="I14"/>
      <c r="J14" s="1867"/>
    </row>
    <row r="15" spans="1:10" ht="17">
      <c r="A15" s="1862" t="str">
        <f ca="1">IFERROR(IF(B15="","",VLOOKUP(B15,Buget_detaliat!F:I,4,0)),"")</f>
        <v>Exam_grup_risc</v>
      </c>
      <c r="B15" s="1864" t="s">
        <v>2992</v>
      </c>
      <c r="C15" s="1866">
        <v>1213998</v>
      </c>
      <c r="D15" s="1866">
        <v>1181460</v>
      </c>
      <c r="E15" s="1866">
        <v>1150662</v>
      </c>
      <c r="F15" s="1866">
        <v>1120560</v>
      </c>
      <c r="G15" s="1866">
        <v>1091850</v>
      </c>
      <c r="H15" s="2101">
        <v>5758530</v>
      </c>
      <c r="I15"/>
      <c r="J15" s="1867"/>
    </row>
    <row r="16" spans="1:10">
      <c r="A16" s="1862" t="str">
        <f>IFERROR(IF(B16="","",VLOOKUP(B16,Buget_detaliat!F:I,4,0)),"")</f>
        <v/>
      </c>
      <c r="B16" s="2092"/>
      <c r="C16" s="1866"/>
      <c r="D16" s="1866"/>
      <c r="E16" s="1866"/>
      <c r="F16" s="1866"/>
      <c r="G16" s="1866"/>
      <c r="H16" s="2101"/>
      <c r="I16"/>
      <c r="J16" s="1867"/>
    </row>
    <row r="17" spans="1:10" ht="17">
      <c r="A17" s="1862" t="str">
        <f ca="1">IFERROR(IF(B17="","",VLOOKUP(B17,Buget_detaliat!F:I,4,0)),"")</f>
        <v>Exam_grup_risc</v>
      </c>
      <c r="B17" s="1864" t="s">
        <v>2924</v>
      </c>
      <c r="C17" s="1866">
        <v>8646860.4000000004</v>
      </c>
      <c r="D17" s="1866">
        <v>8539328.4000000004</v>
      </c>
      <c r="E17" s="1866">
        <v>8433188.4000000004</v>
      </c>
      <c r="F17" s="1866">
        <v>8328405.6000000006</v>
      </c>
      <c r="G17" s="1866">
        <v>8224980</v>
      </c>
      <c r="H17" s="2101">
        <v>42172762.800000004</v>
      </c>
      <c r="I17"/>
      <c r="J17" s="1867"/>
    </row>
    <row r="18" spans="1:10" ht="17">
      <c r="A18" s="1862" t="str">
        <f ca="1">IFERROR(IF(B18="","",VLOOKUP(B18,Buget_detaliat!F:I,4,0)),"")</f>
        <v>Exam_grup_risc</v>
      </c>
      <c r="B18" s="1864" t="s">
        <v>2924</v>
      </c>
      <c r="C18" s="1866">
        <v>8646860.4000000004</v>
      </c>
      <c r="D18" s="1866">
        <v>8539328.4000000004</v>
      </c>
      <c r="E18" s="1866">
        <v>8433188.4000000004</v>
      </c>
      <c r="F18" s="1866">
        <v>8328405.6000000006</v>
      </c>
      <c r="G18" s="1866">
        <v>8224980</v>
      </c>
      <c r="H18" s="2101">
        <v>42172762.800000004</v>
      </c>
      <c r="I18"/>
      <c r="J18" s="1867"/>
    </row>
    <row r="19" spans="1:10">
      <c r="A19" s="1862" t="str">
        <f>IFERROR(IF(B19="","",VLOOKUP(B19,Buget_detaliat!F:I,4,0)),"")</f>
        <v/>
      </c>
      <c r="B19" s="2092"/>
      <c r="C19" s="1866"/>
      <c r="D19" s="1866"/>
      <c r="E19" s="1866"/>
      <c r="F19" s="1866"/>
      <c r="G19" s="1866"/>
      <c r="H19" s="2101"/>
      <c r="I19"/>
      <c r="J19" s="1867"/>
    </row>
    <row r="20" spans="1:10" ht="17">
      <c r="A20" s="1862" t="str">
        <f ca="1">IFERROR(IF(B20="","",VLOOKUP(B20,Buget_detaliat!F:I,4,0)),"")</f>
        <v/>
      </c>
      <c r="B20" s="1864" t="s">
        <v>2925</v>
      </c>
      <c r="C20" s="1866">
        <v>12171673.030000001</v>
      </c>
      <c r="D20" s="1866">
        <v>15432136.270000001</v>
      </c>
      <c r="E20" s="1866">
        <v>16014395.200000001</v>
      </c>
      <c r="F20" s="1866">
        <v>15779395.200000003</v>
      </c>
      <c r="G20" s="1866">
        <v>15779395.200000003</v>
      </c>
      <c r="H20" s="2101">
        <v>75176994.900000006</v>
      </c>
      <c r="I20"/>
      <c r="J20" s="1867"/>
    </row>
    <row r="21" spans="1:10" ht="17">
      <c r="A21" s="1862" t="str">
        <f ca="1">IFERROR(IF(B21="","",VLOOKUP(B21,Buget_detaliat!F:I,4,0)),"")</f>
        <v>Exam_grup_risc</v>
      </c>
      <c r="B21" s="1864" t="s">
        <v>3045</v>
      </c>
      <c r="C21" s="1866">
        <v>2846300.7600000002</v>
      </c>
      <c r="D21" s="1866">
        <v>2213820</v>
      </c>
      <c r="E21" s="1866">
        <v>2213820</v>
      </c>
      <c r="F21" s="1866">
        <v>2213820</v>
      </c>
      <c r="G21" s="1866">
        <v>2213820</v>
      </c>
      <c r="H21" s="2101">
        <v>11701580.76</v>
      </c>
      <c r="I21"/>
      <c r="J21" s="1867"/>
    </row>
    <row r="22" spans="1:10" ht="17">
      <c r="A22" s="1862" t="str">
        <f ca="1">IFERROR(IF(B22="","",VLOOKUP(B22,Buget_detaliat!F:I,4,0)),"")</f>
        <v>Exam_grup_risc</v>
      </c>
      <c r="B22" s="1864" t="s">
        <v>3046</v>
      </c>
      <c r="C22" s="1866">
        <v>101997.07</v>
      </c>
      <c r="D22" s="1866">
        <v>101997.07</v>
      </c>
      <c r="E22" s="1866">
        <v>0</v>
      </c>
      <c r="F22" s="1866">
        <v>0</v>
      </c>
      <c r="G22" s="1866">
        <v>0</v>
      </c>
      <c r="H22" s="2101">
        <v>203994.14</v>
      </c>
      <c r="I22"/>
      <c r="J22" s="1867"/>
    </row>
    <row r="23" spans="1:10" ht="17">
      <c r="A23" s="1862" t="str">
        <f ca="1">IFERROR(IF(B23="","",VLOOKUP(B23,Buget_detaliat!F:I,4,0)),"")</f>
        <v>Exam_grup_risc</v>
      </c>
      <c r="B23" s="1864" t="s">
        <v>3047</v>
      </c>
      <c r="C23" s="1866">
        <v>40000</v>
      </c>
      <c r="D23" s="1866">
        <v>0</v>
      </c>
      <c r="E23" s="1866">
        <v>0</v>
      </c>
      <c r="F23" s="1866">
        <v>0</v>
      </c>
      <c r="G23" s="1866">
        <v>0</v>
      </c>
      <c r="H23" s="2101">
        <v>40000</v>
      </c>
      <c r="I23"/>
      <c r="J23" s="1867"/>
    </row>
    <row r="24" spans="1:10" ht="17">
      <c r="A24" s="1862" t="str">
        <f ca="1">IFERROR(IF(B24="","",VLOOKUP(B24,Buget_detaliat!F:I,4,0)),"")</f>
        <v>Exam_grup_risc</v>
      </c>
      <c r="B24" s="1864" t="s">
        <v>3070</v>
      </c>
      <c r="C24" s="1866">
        <v>3267847.2000000007</v>
      </c>
      <c r="D24" s="1866">
        <v>3267847.2000000007</v>
      </c>
      <c r="E24" s="1866">
        <v>3267847.2000000007</v>
      </c>
      <c r="F24" s="1866">
        <v>3267847.2000000007</v>
      </c>
      <c r="G24" s="1866">
        <v>3267847.2000000007</v>
      </c>
      <c r="H24" s="2101">
        <v>16339236.000000004</v>
      </c>
      <c r="I24"/>
      <c r="J24" s="1867"/>
    </row>
    <row r="25" spans="1:10" ht="34">
      <c r="A25" s="1862" t="str">
        <f ca="1">IFERROR(IF(B25="","",VLOOKUP(B25,Buget_detaliat!F:I,4,0)),"")</f>
        <v>ONG_TB</v>
      </c>
      <c r="B25" s="2113" t="s">
        <v>3625</v>
      </c>
      <c r="C25" s="1866">
        <v>1176883.2000000002</v>
      </c>
      <c r="D25" s="1866">
        <v>1292119.6800000002</v>
      </c>
      <c r="E25" s="1866">
        <v>1396322.8800000001</v>
      </c>
      <c r="F25" s="1866">
        <v>8213664.0000000009</v>
      </c>
      <c r="G25" s="1866">
        <v>8213664.0000000009</v>
      </c>
      <c r="H25" s="2101">
        <v>20292653.760000002</v>
      </c>
      <c r="I25" s="1867"/>
      <c r="J25" s="1867"/>
    </row>
    <row r="26" spans="1:10" ht="34">
      <c r="A26" s="1862" t="str">
        <f ca="1">IFERROR(IF(B26="","",VLOOKUP(B26,Buget_detaliat!F:I,4,0)),"")</f>
        <v>ONG_TB</v>
      </c>
      <c r="B26" s="1864" t="s">
        <v>3887</v>
      </c>
      <c r="C26" s="1866">
        <v>2746060.8000000003</v>
      </c>
      <c r="D26" s="1866">
        <v>6308584.3200000003</v>
      </c>
      <c r="E26" s="1866">
        <v>6817341.1200000001</v>
      </c>
      <c r="F26" s="1866">
        <v>0</v>
      </c>
      <c r="G26" s="1866">
        <v>0</v>
      </c>
      <c r="H26" s="2101">
        <v>15871986.240000002</v>
      </c>
      <c r="I26" s="1867"/>
      <c r="J26" s="1867"/>
    </row>
    <row r="27" spans="1:10" ht="34">
      <c r="A27" s="1862" t="str">
        <f ca="1">IFERROR(IF(B27="","",VLOOKUP(B27,Buget_detaliat!F:I,4,0)),"")</f>
        <v>ONG_TB</v>
      </c>
      <c r="B27" s="1864" t="s">
        <v>3888</v>
      </c>
      <c r="C27" s="1866">
        <v>1777584</v>
      </c>
      <c r="D27" s="1866">
        <v>2022768.0000000002</v>
      </c>
      <c r="E27" s="1866">
        <v>2084064.0000000002</v>
      </c>
      <c r="F27" s="1866">
        <v>2084064.0000000002</v>
      </c>
      <c r="G27" s="1866">
        <v>2084064.0000000002</v>
      </c>
      <c r="H27" s="2101">
        <v>10052544</v>
      </c>
      <c r="I27" s="2109"/>
      <c r="J27" s="1867"/>
    </row>
    <row r="28" spans="1:10">
      <c r="A28" s="1862" t="str">
        <f ca="1">IFERROR(IF(B28="","",VLOOKUP(B28,Buget_detaliat!F:I,4,0)),"")</f>
        <v>ONG_TB</v>
      </c>
      <c r="B28" s="2092" t="s">
        <v>3935</v>
      </c>
      <c r="C28" s="1866">
        <v>215000</v>
      </c>
      <c r="D28" s="1866">
        <v>225000</v>
      </c>
      <c r="E28" s="1866">
        <v>235000</v>
      </c>
      <c r="F28" s="1866">
        <v>0</v>
      </c>
      <c r="G28" s="1866">
        <v>0</v>
      </c>
      <c r="H28" s="2101">
        <v>675000</v>
      </c>
      <c r="I28"/>
      <c r="J28" s="1867"/>
    </row>
    <row r="29" spans="1:10">
      <c r="A29" s="1862" t="str">
        <f>IFERROR(IF(B29="","",VLOOKUP(B29,Buget_detaliat!F:I,4,0)),"")</f>
        <v/>
      </c>
      <c r="B29" s="2092"/>
      <c r="C29" s="1866"/>
      <c r="D29" s="1866"/>
      <c r="E29" s="1866"/>
      <c r="F29" s="1866"/>
      <c r="G29" s="1866"/>
      <c r="H29" s="2101"/>
      <c r="I29"/>
      <c r="J29" s="1867"/>
    </row>
    <row r="30" spans="1:10" ht="17">
      <c r="A30" s="1862" t="str">
        <f ca="1">IFERROR(IF(B30="","",VLOOKUP(B30,Buget_detaliat!F:I,4,0)),"")</f>
        <v/>
      </c>
      <c r="B30" s="1864" t="s">
        <v>247</v>
      </c>
      <c r="C30" s="1866">
        <v>26487751.624163102</v>
      </c>
      <c r="D30" s="1866">
        <v>22868018.897927511</v>
      </c>
      <c r="E30" s="1866">
        <v>25109958.399105646</v>
      </c>
      <c r="F30" s="1866">
        <v>22274130.239991847</v>
      </c>
      <c r="G30" s="1866">
        <v>25916313.731491853</v>
      </c>
      <c r="H30" s="2101">
        <v>122656172.89267996</v>
      </c>
      <c r="I30"/>
      <c r="J30" s="1867"/>
    </row>
    <row r="31" spans="1:10" ht="17">
      <c r="A31" s="1862" t="str">
        <f ca="1">IFERROR(IF(B31="","",VLOOKUP(B31,Buget_detaliat!F:I,4,0)),"")</f>
        <v/>
      </c>
      <c r="B31" s="1864" t="s">
        <v>1849</v>
      </c>
      <c r="C31" s="1866">
        <v>8416285.7999045011</v>
      </c>
      <c r="D31" s="1866">
        <v>6100369.7501088995</v>
      </c>
      <c r="E31" s="1866">
        <v>6366285.0400104988</v>
      </c>
      <c r="F31" s="1866">
        <v>7644824.6399999997</v>
      </c>
      <c r="G31" s="1866">
        <v>7473927.2799999993</v>
      </c>
      <c r="H31" s="2101">
        <v>36001692.510023899</v>
      </c>
      <c r="I31"/>
      <c r="J31" s="1867"/>
    </row>
    <row r="32" spans="1:10" ht="17">
      <c r="A32" s="1862" t="str">
        <f ca="1">IFERROR(IF(B32="","",VLOOKUP(B32,Buget_detaliat!F:I,4,0)),"")</f>
        <v/>
      </c>
      <c r="B32" s="1864" t="s">
        <v>2927</v>
      </c>
      <c r="C32" s="1866">
        <v>8416285.7999045011</v>
      </c>
      <c r="D32" s="1866">
        <v>6100369.7501088995</v>
      </c>
      <c r="E32" s="1866">
        <v>6366285.0400104988</v>
      </c>
      <c r="F32" s="1866">
        <v>7644824.6399999997</v>
      </c>
      <c r="G32" s="1866">
        <v>7473927.2799999993</v>
      </c>
      <c r="H32" s="2101">
        <v>36001692.510023899</v>
      </c>
      <c r="I32"/>
      <c r="J32" s="1867"/>
    </row>
    <row r="33" spans="1:10">
      <c r="A33" s="1862" t="str">
        <f ca="1">IFERROR(IF(B33="","",VLOOKUP(B33,Buget_detaliat!F:I,4,0)),"")</f>
        <v>Estimare_lab_2</v>
      </c>
      <c r="B33" s="2092" t="s">
        <v>4092</v>
      </c>
      <c r="C33" s="1866">
        <v>4831065.2707679002</v>
      </c>
      <c r="D33" s="1866">
        <v>5042788.6570341997</v>
      </c>
      <c r="E33" s="1866">
        <v>5252176.8574562995</v>
      </c>
      <c r="F33" s="1866">
        <v>6067217.8399999999</v>
      </c>
      <c r="G33" s="1866">
        <v>5896320.4799999995</v>
      </c>
      <c r="H33" s="2101">
        <v>27089569.105258398</v>
      </c>
      <c r="I33"/>
      <c r="J33" s="1867"/>
    </row>
    <row r="34" spans="1:10">
      <c r="A34" s="1862" t="str">
        <f ca="1">IFERROR(IF(B34="","",VLOOKUP(B34,Buget_detaliat!F:I,4,0)),"")</f>
        <v>Estimare_lab_2</v>
      </c>
      <c r="B34" s="2092" t="s">
        <v>4093</v>
      </c>
      <c r="C34" s="1866">
        <v>1010264.3289735999</v>
      </c>
      <c r="D34" s="1866">
        <v>1057581.0930746999</v>
      </c>
      <c r="E34" s="1866">
        <v>1114108.1825541998</v>
      </c>
      <c r="F34" s="1866">
        <v>1577606.8</v>
      </c>
      <c r="G34" s="1866">
        <v>1577606.8</v>
      </c>
      <c r="H34" s="2101">
        <v>6337167.2046025004</v>
      </c>
      <c r="I34"/>
      <c r="J34" s="1867"/>
    </row>
    <row r="35" spans="1:10">
      <c r="A35" s="1862" t="str">
        <f ca="1">IFERROR(IF(B35="","",VLOOKUP(B35,Buget_detaliat!F:I,4,0)),"")</f>
        <v>Estimare_laborator</v>
      </c>
      <c r="B35" s="2092" t="s">
        <v>4094</v>
      </c>
      <c r="C35" s="1866">
        <v>1507412.48</v>
      </c>
      <c r="D35" s="1866">
        <v>0</v>
      </c>
      <c r="E35" s="1866">
        <v>0</v>
      </c>
      <c r="F35" s="1866">
        <v>0</v>
      </c>
      <c r="G35" s="1866">
        <v>0</v>
      </c>
      <c r="H35" s="2101">
        <v>1507412.48</v>
      </c>
      <c r="I35"/>
      <c r="J35" s="1867"/>
    </row>
    <row r="36" spans="1:10">
      <c r="A36" s="1862" t="str">
        <f ca="1">IFERROR(IF(B36="","",VLOOKUP(B36,Buget_detaliat!F:I,4,0)),"")</f>
        <v>Estimare_laborator</v>
      </c>
      <c r="B36" s="2092" t="s">
        <v>4095</v>
      </c>
      <c r="C36" s="1866">
        <v>1067543.720163</v>
      </c>
      <c r="D36" s="1866">
        <v>0</v>
      </c>
      <c r="E36" s="1866">
        <v>0</v>
      </c>
      <c r="F36" s="1866">
        <v>0</v>
      </c>
      <c r="G36" s="1866">
        <v>0</v>
      </c>
      <c r="H36" s="2101">
        <v>1067543.720163</v>
      </c>
      <c r="I36"/>
      <c r="J36" s="1867"/>
    </row>
    <row r="37" spans="1:10">
      <c r="A37" s="1862" t="str">
        <f>IFERROR(IF(B37="","",VLOOKUP(B37,Buget_detaliat!F:I,4,0)),"")</f>
        <v/>
      </c>
      <c r="B37" s="2092"/>
      <c r="C37" s="1866"/>
      <c r="D37" s="1866"/>
      <c r="E37" s="1866"/>
      <c r="F37" s="1866"/>
      <c r="G37" s="1866"/>
      <c r="H37" s="2101"/>
      <c r="I37"/>
      <c r="J37" s="1867"/>
    </row>
    <row r="38" spans="1:10" ht="17">
      <c r="A38" s="1862" t="str">
        <f ca="1">IFERROR(IF(B38="","",VLOOKUP(B38,Buget_detaliat!F:I,4,0)),"")</f>
        <v/>
      </c>
      <c r="B38" s="1864" t="s">
        <v>2220</v>
      </c>
      <c r="C38" s="1866">
        <v>684762.96747184999</v>
      </c>
      <c r="D38" s="1866">
        <v>265193.90416083997</v>
      </c>
      <c r="E38" s="1866">
        <v>204762.96747184996</v>
      </c>
      <c r="F38" s="1866">
        <v>131667.44747185</v>
      </c>
      <c r="G38" s="1866">
        <v>131667.44747185</v>
      </c>
      <c r="H38" s="2101">
        <v>1418054.7340482401</v>
      </c>
      <c r="I38"/>
      <c r="J38" s="1867"/>
    </row>
    <row r="39" spans="1:10" ht="17">
      <c r="A39" s="1862" t="str">
        <f ca="1">IFERROR(IF(B39="","",VLOOKUP(B39,Buget_detaliat!F:I,4,0)),"")</f>
        <v/>
      </c>
      <c r="B39" s="1864" t="s">
        <v>2928</v>
      </c>
      <c r="C39" s="1866">
        <v>175935.25999999998</v>
      </c>
      <c r="D39" s="1866">
        <v>175935.25999999998</v>
      </c>
      <c r="E39" s="1866">
        <v>175935.25999999998</v>
      </c>
      <c r="F39" s="1866">
        <v>102839.73999999999</v>
      </c>
      <c r="G39" s="1866">
        <v>102839.73999999999</v>
      </c>
      <c r="H39" s="2101">
        <v>733485.26</v>
      </c>
      <c r="I39"/>
      <c r="J39" s="1867"/>
    </row>
    <row r="40" spans="1:10" ht="17">
      <c r="A40" s="1862" t="str">
        <f ca="1">IFERROR(IF(B40="","",VLOOKUP(B40,Buget_detaliat!F:I,4,0)),"")</f>
        <v>Vizite_monitorizare</v>
      </c>
      <c r="B40" s="1864" t="s">
        <v>3095</v>
      </c>
      <c r="C40" s="1866">
        <v>95732.34</v>
      </c>
      <c r="D40" s="1866">
        <v>95732.34</v>
      </c>
      <c r="E40" s="1866">
        <v>95732.34</v>
      </c>
      <c r="F40" s="1866">
        <v>95732.34</v>
      </c>
      <c r="G40" s="1866">
        <v>95732.34</v>
      </c>
      <c r="H40" s="2101">
        <v>478661.69999999995</v>
      </c>
      <c r="I40"/>
      <c r="J40" s="1867"/>
    </row>
    <row r="41" spans="1:10" ht="17">
      <c r="A41" s="1862" t="str">
        <f ca="1">IFERROR(IF(B41="","",VLOOKUP(B41,Buget_detaliat!F:I,4,0)),"")</f>
        <v>Vizite_monitorizare</v>
      </c>
      <c r="B41" s="1864" t="s">
        <v>3098</v>
      </c>
      <c r="C41" s="1866">
        <v>7107.4</v>
      </c>
      <c r="D41" s="1866">
        <v>7107.4</v>
      </c>
      <c r="E41" s="1866">
        <v>7107.4</v>
      </c>
      <c r="F41" s="1866">
        <v>7107.4</v>
      </c>
      <c r="G41" s="1866">
        <v>7107.4</v>
      </c>
      <c r="H41" s="2101">
        <v>35537</v>
      </c>
      <c r="I41"/>
      <c r="J41" s="1867"/>
    </row>
    <row r="42" spans="1:10" ht="17">
      <c r="A42" s="1862" t="str">
        <f ca="1">IFERROR(IF(B42="","",VLOOKUP(B42,Buget_detaliat!F:I,4,0)),"")</f>
        <v>Vizite_monitorizare</v>
      </c>
      <c r="B42" s="1864" t="s">
        <v>3096</v>
      </c>
      <c r="C42" s="1866">
        <v>0</v>
      </c>
      <c r="D42" s="1866">
        <v>0</v>
      </c>
      <c r="E42" s="1866">
        <v>0</v>
      </c>
      <c r="F42" s="1866">
        <v>0</v>
      </c>
      <c r="G42" s="1866">
        <v>0</v>
      </c>
      <c r="H42" s="2101">
        <v>0</v>
      </c>
      <c r="I42"/>
      <c r="J42" s="1867"/>
    </row>
    <row r="43" spans="1:10" ht="17">
      <c r="A43" s="1862" t="str">
        <f ca="1">IFERROR(IF(B43="","",VLOOKUP(B43,Buget_detaliat!F:I,4,0)),"")</f>
        <v>Vizite_monitorizare</v>
      </c>
      <c r="B43" s="1864" t="s">
        <v>3099</v>
      </c>
      <c r="C43" s="1866">
        <v>0</v>
      </c>
      <c r="D43" s="1866">
        <v>0</v>
      </c>
      <c r="E43" s="1866">
        <v>0</v>
      </c>
      <c r="F43" s="1866">
        <v>0</v>
      </c>
      <c r="G43" s="1866">
        <v>0</v>
      </c>
      <c r="H43" s="2101">
        <v>0</v>
      </c>
      <c r="I43"/>
      <c r="J43" s="1867"/>
    </row>
    <row r="44" spans="1:10" ht="17">
      <c r="A44" s="1862" t="str">
        <f ca="1">IFERROR(IF(B44="","",VLOOKUP(B44,Buget_detaliat!F:I,4,0)),"")</f>
        <v>Vizite_monitorizare</v>
      </c>
      <c r="B44" s="1864" t="s">
        <v>3097</v>
      </c>
      <c r="C44" s="1866">
        <v>64842.8</v>
      </c>
      <c r="D44" s="1866">
        <v>64842.8</v>
      </c>
      <c r="E44" s="1866">
        <v>64842.8</v>
      </c>
      <c r="F44" s="1866">
        <v>0</v>
      </c>
      <c r="G44" s="1866">
        <v>0</v>
      </c>
      <c r="H44" s="2101">
        <v>194528.40000000002</v>
      </c>
      <c r="I44"/>
      <c r="J44" s="1867"/>
    </row>
    <row r="45" spans="1:10" ht="17">
      <c r="A45" s="1862" t="str">
        <f ca="1">IFERROR(IF(B45="","",VLOOKUP(B45,Buget_detaliat!F:I,4,0)),"")</f>
        <v>Vizite_monitorizare</v>
      </c>
      <c r="B45" s="1864" t="s">
        <v>3100</v>
      </c>
      <c r="C45" s="1866">
        <v>8252.7200000000012</v>
      </c>
      <c r="D45" s="1866">
        <v>8252.7200000000012</v>
      </c>
      <c r="E45" s="1866">
        <v>8252.7200000000012</v>
      </c>
      <c r="F45" s="1866">
        <v>0</v>
      </c>
      <c r="G45" s="1866">
        <v>0</v>
      </c>
      <c r="H45" s="2101">
        <v>24758.160000000003</v>
      </c>
      <c r="I45"/>
      <c r="J45" s="1867"/>
    </row>
    <row r="46" spans="1:10">
      <c r="A46" s="1862" t="str">
        <f>IFERROR(IF(B46="","",VLOOKUP(B46,Buget_detaliat!F:I,4,0)),"")</f>
        <v/>
      </c>
      <c r="B46" s="2092"/>
      <c r="C46" s="1866"/>
      <c r="D46" s="1866"/>
      <c r="E46" s="1866"/>
      <c r="F46" s="1866"/>
      <c r="G46" s="1866"/>
      <c r="H46" s="2101"/>
      <c r="I46"/>
      <c r="J46" s="1867"/>
    </row>
    <row r="47" spans="1:10" ht="17">
      <c r="A47" s="1862" t="str">
        <f ca="1">IFERROR(IF(B47="","",VLOOKUP(B47,Buget_detaliat!F:I,4,0)),"")</f>
        <v/>
      </c>
      <c r="B47" s="1864" t="s">
        <v>2929</v>
      </c>
      <c r="C47" s="1866">
        <v>28827.707471850001</v>
      </c>
      <c r="D47" s="1866">
        <v>28827.707471850001</v>
      </c>
      <c r="E47" s="1866">
        <v>28827.707471850001</v>
      </c>
      <c r="F47" s="1866">
        <v>28827.707471850001</v>
      </c>
      <c r="G47" s="1866">
        <v>28827.707471850001</v>
      </c>
      <c r="H47" s="2101">
        <v>144138.53735925001</v>
      </c>
      <c r="I47"/>
      <c r="J47" s="1867"/>
    </row>
    <row r="48" spans="1:10" ht="17">
      <c r="A48" s="1862" t="str">
        <f ca="1">IFERROR(IF(B48="","",VLOOKUP(B48,Buget_detaliat!F:I,4,0)),"")</f>
        <v>Estimare_laborator</v>
      </c>
      <c r="B48" s="1864" t="s">
        <v>3116</v>
      </c>
      <c r="C48" s="1866">
        <v>4728.5721878499999</v>
      </c>
      <c r="D48" s="1866">
        <v>4728.5721878499999</v>
      </c>
      <c r="E48" s="1866">
        <v>4728.5721878499999</v>
      </c>
      <c r="F48" s="1866">
        <v>4728.5721878499999</v>
      </c>
      <c r="G48" s="1866">
        <v>4728.5721878499999</v>
      </c>
      <c r="H48" s="2101">
        <v>23642.86093925</v>
      </c>
      <c r="I48"/>
      <c r="J48" s="1867"/>
    </row>
    <row r="49" spans="1:10" ht="17">
      <c r="A49" s="1862" t="str">
        <f ca="1">IFERROR(IF(B49="","",VLOOKUP(B49,Buget_detaliat!F:I,4,0)),"")</f>
        <v>Estimare_laborator</v>
      </c>
      <c r="B49" s="1864" t="s">
        <v>3115</v>
      </c>
      <c r="C49" s="1866">
        <v>24099.135284</v>
      </c>
      <c r="D49" s="1866">
        <v>24099.135284</v>
      </c>
      <c r="E49" s="1866">
        <v>24099.135284</v>
      </c>
      <c r="F49" s="1866">
        <v>24099.135284</v>
      </c>
      <c r="G49" s="1866">
        <v>24099.135284</v>
      </c>
      <c r="H49" s="2101">
        <v>120495.67642</v>
      </c>
      <c r="I49"/>
      <c r="J49" s="1867"/>
    </row>
    <row r="50" spans="1:10">
      <c r="A50" s="1862" t="str">
        <f>IFERROR(IF(B50="","",VLOOKUP(B50,Buget_detaliat!F:I,4,0)),"")</f>
        <v/>
      </c>
      <c r="B50" s="2092"/>
      <c r="C50" s="1866"/>
      <c r="D50" s="1866"/>
      <c r="E50" s="1866"/>
      <c r="F50" s="1866"/>
      <c r="G50" s="1866"/>
      <c r="H50" s="2101"/>
      <c r="I50"/>
      <c r="J50" s="1867"/>
    </row>
    <row r="51" spans="1:10" ht="17">
      <c r="A51" s="1862" t="str">
        <f ca="1">IFERROR(IF(B51="","",VLOOKUP(B51,Buget_detaliat!F:I,4,0)),"")</f>
        <v/>
      </c>
      <c r="B51" s="1864" t="s">
        <v>2930</v>
      </c>
      <c r="C51" s="1866">
        <v>480000</v>
      </c>
      <c r="D51" s="1866">
        <v>60430.936688989997</v>
      </c>
      <c r="E51" s="1866">
        <v>0</v>
      </c>
      <c r="F51" s="1866">
        <v>0</v>
      </c>
      <c r="G51" s="1866">
        <v>0</v>
      </c>
      <c r="H51" s="2101">
        <v>540430.93668898998</v>
      </c>
      <c r="I51"/>
      <c r="J51" s="1867"/>
    </row>
    <row r="52" spans="1:10" ht="17">
      <c r="A52" s="1862" t="str">
        <f ca="1">IFERROR(IF(B52="","",VLOOKUP(B52,Buget_detaliat!F:I,4,0)),"")</f>
        <v>Estimare_laborator</v>
      </c>
      <c r="B52" s="1864" t="s">
        <v>3208</v>
      </c>
      <c r="C52" s="1866">
        <v>480000</v>
      </c>
      <c r="D52" s="1866">
        <v>0</v>
      </c>
      <c r="E52" s="1866">
        <v>0</v>
      </c>
      <c r="F52" s="1866">
        <v>0</v>
      </c>
      <c r="G52" s="1866">
        <v>0</v>
      </c>
      <c r="H52" s="2101">
        <v>480000</v>
      </c>
      <c r="I52"/>
      <c r="J52" s="1867"/>
    </row>
    <row r="53" spans="1:10" ht="17">
      <c r="A53" s="1862" t="str">
        <f ca="1">IFERROR(IF(B53="","",VLOOKUP(B53,Buget_detaliat!F:I,4,0)),"")</f>
        <v>Estimare_laborator</v>
      </c>
      <c r="B53" s="1864" t="s">
        <v>3210</v>
      </c>
      <c r="C53" s="1866">
        <v>0</v>
      </c>
      <c r="D53" s="1866">
        <v>60430.936688989997</v>
      </c>
      <c r="E53" s="1866">
        <v>0</v>
      </c>
      <c r="F53" s="1866">
        <v>0</v>
      </c>
      <c r="G53" s="1866">
        <v>0</v>
      </c>
      <c r="H53" s="2101">
        <v>60430.936688989997</v>
      </c>
      <c r="I53"/>
      <c r="J53" s="1867"/>
    </row>
    <row r="54" spans="1:10">
      <c r="A54" s="1862" t="str">
        <f>IFERROR(IF(B54="","",VLOOKUP(B54,Buget_detaliat!F:I,4,0)),"")</f>
        <v/>
      </c>
      <c r="B54" s="2092"/>
      <c r="C54" s="1866"/>
      <c r="D54" s="1866"/>
      <c r="E54" s="1866"/>
      <c r="F54" s="1866"/>
      <c r="G54" s="1866"/>
      <c r="H54" s="2101"/>
      <c r="I54"/>
      <c r="J54" s="1867"/>
    </row>
    <row r="55" spans="1:10" ht="17">
      <c r="A55" s="1862" t="str">
        <f ca="1">IFERROR(IF(B55="","",VLOOKUP(B55,Buget_detaliat!F:I,4,0)),"")</f>
        <v/>
      </c>
      <c r="B55" s="1864" t="s">
        <v>3141</v>
      </c>
      <c r="C55" s="1866">
        <v>17386702.85678675</v>
      </c>
      <c r="D55" s="1866">
        <v>16502455.243657768</v>
      </c>
      <c r="E55" s="1866">
        <v>18538910.391623296</v>
      </c>
      <c r="F55" s="1866">
        <v>14497638.152520001</v>
      </c>
      <c r="G55" s="1866">
        <v>18310719.004020002</v>
      </c>
      <c r="H55" s="2101">
        <v>85236425.64860782</v>
      </c>
      <c r="I55"/>
      <c r="J55" s="1867"/>
    </row>
    <row r="56" spans="1:10" ht="17">
      <c r="A56" s="1862" t="str">
        <f ca="1">IFERROR(IF(B56="","",VLOOKUP(B56,Buget_detaliat!F:I,4,0)),"")</f>
        <v/>
      </c>
      <c r="B56" s="1864" t="s">
        <v>2931</v>
      </c>
      <c r="C56" s="1866">
        <v>16899561.517786752</v>
      </c>
      <c r="D56" s="1866">
        <v>16015313.90465777</v>
      </c>
      <c r="E56" s="1866">
        <v>18051769.052623298</v>
      </c>
      <c r="F56" s="1866">
        <v>14139115.912520001</v>
      </c>
      <c r="G56" s="1866">
        <v>17952196.764020003</v>
      </c>
      <c r="H56" s="2101">
        <v>83057957.151607811</v>
      </c>
      <c r="I56"/>
      <c r="J56" s="1867"/>
    </row>
    <row r="57" spans="1:10" ht="17">
      <c r="A57" s="1862" t="str">
        <f ca="1">IFERROR(IF(B57="","",VLOOKUP(B57,Buget_detaliat!F:I,4,0)),"")</f>
        <v>Estimare_lab_2</v>
      </c>
      <c r="B57" s="1864" t="s">
        <v>3223</v>
      </c>
      <c r="C57" s="1866">
        <v>13385344.711692201</v>
      </c>
      <c r="D57" s="1866">
        <v>12603692.52382664</v>
      </c>
      <c r="E57" s="1866">
        <v>14101526.745506069</v>
      </c>
      <c r="F57" s="1866">
        <v>11084010.81992</v>
      </c>
      <c r="G57" s="1866">
        <v>14483733.714700002</v>
      </c>
      <c r="H57" s="2101">
        <v>65658308.515644901</v>
      </c>
      <c r="I57"/>
      <c r="J57" s="1867"/>
    </row>
    <row r="58" spans="1:10" ht="17">
      <c r="A58" s="1862" t="str">
        <f ca="1">IFERROR(IF(B58="","",VLOOKUP(B58,Buget_detaliat!F:I,4,0)),"")</f>
        <v>Estimare_lab_2</v>
      </c>
      <c r="B58" s="1864" t="s">
        <v>3224</v>
      </c>
      <c r="C58" s="1866">
        <v>3514216.8060945505</v>
      </c>
      <c r="D58" s="1866">
        <v>3411621.3808311303</v>
      </c>
      <c r="E58" s="1866">
        <v>3950242.3071172303</v>
      </c>
      <c r="F58" s="1866">
        <v>3055105.0926000006</v>
      </c>
      <c r="G58" s="1866">
        <v>3468463.0493200002</v>
      </c>
      <c r="H58" s="2101">
        <v>17399648.635962911</v>
      </c>
      <c r="I58"/>
      <c r="J58" s="1867"/>
    </row>
    <row r="59" spans="1:10">
      <c r="A59" s="1862" t="str">
        <f>IFERROR(IF(B59="","",VLOOKUP(B59,Buget_detaliat!F:I,4,0)),"")</f>
        <v/>
      </c>
      <c r="B59" s="2092"/>
      <c r="C59" s="1866"/>
      <c r="D59" s="1866"/>
      <c r="E59" s="1866"/>
      <c r="F59" s="1866"/>
      <c r="G59" s="1866"/>
      <c r="H59" s="2101"/>
      <c r="I59"/>
      <c r="J59" s="1867"/>
    </row>
    <row r="60" spans="1:10" ht="17">
      <c r="A60" s="1862" t="str">
        <f ca="1">IFERROR(IF(B60="","",VLOOKUP(B60,Buget_detaliat!F:I,4,0)),"")</f>
        <v/>
      </c>
      <c r="B60" s="1864" t="s">
        <v>2932</v>
      </c>
      <c r="C60" s="1866">
        <v>0</v>
      </c>
      <c r="D60" s="1866">
        <v>0</v>
      </c>
      <c r="E60" s="1866">
        <v>0</v>
      </c>
      <c r="F60" s="1866">
        <v>0</v>
      </c>
      <c r="G60" s="1866">
        <v>0</v>
      </c>
      <c r="H60" s="2101">
        <v>0</v>
      </c>
      <c r="I60"/>
      <c r="J60" s="1867"/>
    </row>
    <row r="61" spans="1:10" ht="17">
      <c r="A61" s="1862" t="str">
        <f ca="1">IFERROR(IF(B61="","",VLOOKUP(B61,Buget_detaliat!F:I,4,0)),"")</f>
        <v>Estimare_laborator</v>
      </c>
      <c r="B61" s="1864" t="s">
        <v>2377</v>
      </c>
      <c r="C61" s="1866">
        <v>0</v>
      </c>
      <c r="D61" s="1866">
        <v>0</v>
      </c>
      <c r="E61" s="1866">
        <v>0</v>
      </c>
      <c r="F61" s="1866">
        <v>0</v>
      </c>
      <c r="G61" s="1866">
        <v>0</v>
      </c>
      <c r="H61" s="2101">
        <v>0</v>
      </c>
      <c r="I61"/>
      <c r="J61" s="1867"/>
    </row>
    <row r="62" spans="1:10">
      <c r="A62" s="1862" t="str">
        <f>IFERROR(IF(B62="","",VLOOKUP(B62,Buget_detaliat!F:I,4,0)),"")</f>
        <v/>
      </c>
      <c r="B62" s="2092"/>
      <c r="C62" s="1866"/>
      <c r="D62" s="1866"/>
      <c r="E62" s="1866"/>
      <c r="F62" s="1866"/>
      <c r="G62" s="1866"/>
      <c r="H62" s="2101"/>
      <c r="I62"/>
      <c r="J62" s="1867"/>
    </row>
    <row r="63" spans="1:10" ht="17">
      <c r="A63" s="1862" t="str">
        <f ca="1">IFERROR(IF(B63="","",VLOOKUP(B63,Buget_detaliat!F:I,4,0)),"")</f>
        <v/>
      </c>
      <c r="B63" s="1864" t="s">
        <v>2933</v>
      </c>
      <c r="C63" s="1866">
        <v>487141.33900000004</v>
      </c>
      <c r="D63" s="1866">
        <v>487141.33900000004</v>
      </c>
      <c r="E63" s="1866">
        <v>487141.33899999998</v>
      </c>
      <c r="F63" s="1866">
        <v>358522.24</v>
      </c>
      <c r="G63" s="1866">
        <v>358522.24</v>
      </c>
      <c r="H63" s="2101">
        <v>2178468.497</v>
      </c>
      <c r="I63"/>
      <c r="J63" s="1867"/>
    </row>
    <row r="64" spans="1:10" ht="17">
      <c r="A64" s="1862" t="str">
        <f ca="1">IFERROR(IF(B64="","",VLOOKUP(B64,Buget_detaliat!F:I,4,0)),"")</f>
        <v>Curierat_sputa_medic</v>
      </c>
      <c r="B64" s="1864" t="s">
        <v>2435</v>
      </c>
      <c r="C64" s="1866">
        <v>120219.099</v>
      </c>
      <c r="D64" s="1866">
        <v>120219.099</v>
      </c>
      <c r="E64" s="1866">
        <v>120219.099</v>
      </c>
      <c r="F64" s="1866">
        <v>0</v>
      </c>
      <c r="G64" s="1866">
        <v>0</v>
      </c>
      <c r="H64" s="2101">
        <v>360657.29700000002</v>
      </c>
      <c r="I64"/>
      <c r="J64" s="1867"/>
    </row>
    <row r="65" spans="1:10" ht="17">
      <c r="A65" s="1862" t="str">
        <f ca="1">IFERROR(IF(B65="","",VLOOKUP(B65,Buget_detaliat!F:I,4,0)),"")</f>
        <v>Curierat_sputa_medic</v>
      </c>
      <c r="B65" s="1864" t="s">
        <v>2445</v>
      </c>
      <c r="C65" s="1866">
        <v>26500.13</v>
      </c>
      <c r="D65" s="1866">
        <v>26500.12</v>
      </c>
      <c r="E65" s="1866">
        <v>26500.13</v>
      </c>
      <c r="F65" s="1866">
        <v>26500.129999999997</v>
      </c>
      <c r="G65" s="1866">
        <v>26500.129999999997</v>
      </c>
      <c r="H65" s="2101">
        <v>132500.64000000001</v>
      </c>
      <c r="I65"/>
      <c r="J65" s="1867"/>
    </row>
    <row r="66" spans="1:10" ht="17">
      <c r="A66" s="1862" t="str">
        <f ca="1">IFERROR(IF(B66="","",VLOOKUP(B66,Buget_detaliat!F:I,4,0)),"")</f>
        <v>Curierat_sputa_medic</v>
      </c>
      <c r="B66" s="1864" t="s">
        <v>2446</v>
      </c>
      <c r="C66" s="1866">
        <v>8400</v>
      </c>
      <c r="D66" s="1866">
        <v>8400</v>
      </c>
      <c r="E66" s="1866">
        <v>8400</v>
      </c>
      <c r="F66" s="1866">
        <v>0</v>
      </c>
      <c r="G66" s="1866">
        <v>0</v>
      </c>
      <c r="H66" s="2101">
        <v>25200</v>
      </c>
      <c r="I66"/>
      <c r="J66" s="1867"/>
    </row>
    <row r="67" spans="1:10" ht="17">
      <c r="A67" s="1862" t="str">
        <f ca="1">IFERROR(IF(B67="","",VLOOKUP(B67,Buget_detaliat!F:I,4,0)),"")</f>
        <v>Curierat_sputa_medic</v>
      </c>
      <c r="B67" s="1864" t="s">
        <v>2436</v>
      </c>
      <c r="C67" s="1866">
        <v>332022.11000000004</v>
      </c>
      <c r="D67" s="1866">
        <v>332022.12</v>
      </c>
      <c r="E67" s="1866">
        <v>332022.11</v>
      </c>
      <c r="F67" s="1866">
        <v>332022.11</v>
      </c>
      <c r="G67" s="1866">
        <v>332022.11</v>
      </c>
      <c r="H67" s="2101">
        <v>1660110.56</v>
      </c>
      <c r="I67"/>
      <c r="J67" s="1867"/>
    </row>
    <row r="68" spans="1:10">
      <c r="A68" s="1862" t="str">
        <f>IFERROR(IF(B68="","",VLOOKUP(B68,Buget_detaliat!F:I,4,0)),"")</f>
        <v/>
      </c>
      <c r="B68" s="2092"/>
      <c r="C68" s="1866"/>
      <c r="D68" s="1866"/>
      <c r="E68" s="1866"/>
      <c r="F68" s="1866"/>
      <c r="G68" s="1866"/>
      <c r="H68" s="2101"/>
      <c r="I68"/>
      <c r="J68" s="1867"/>
    </row>
    <row r="69" spans="1:10" ht="17">
      <c r="A69" s="1862" t="str">
        <f ca="1">IFERROR(IF(B69="","",VLOOKUP(B69,Buget_detaliat!F:I,4,0)),"")</f>
        <v/>
      </c>
      <c r="B69" s="1864" t="s">
        <v>248</v>
      </c>
      <c r="C69" s="1866">
        <v>46434156.630074941</v>
      </c>
      <c r="D69" s="1866">
        <v>54010350.647406854</v>
      </c>
      <c r="E69" s="1866">
        <v>52818405.208080582</v>
      </c>
      <c r="F69" s="1866">
        <v>45701013.719999999</v>
      </c>
      <c r="G69" s="1866">
        <v>45802237.549999997</v>
      </c>
      <c r="H69" s="2101">
        <v>244766163.75556239</v>
      </c>
      <c r="I69"/>
      <c r="J69" s="1867"/>
    </row>
    <row r="70" spans="1:10" ht="17">
      <c r="A70" s="1862" t="str">
        <f ca="1">IFERROR(IF(B70="","",VLOOKUP(B70,Buget_detaliat!F:I,4,0)),"")</f>
        <v/>
      </c>
      <c r="B70" s="1864" t="s">
        <v>1850</v>
      </c>
      <c r="C70" s="1866">
        <v>24517555.555074941</v>
      </c>
      <c r="D70" s="1866">
        <v>33500252.952406853</v>
      </c>
      <c r="E70" s="1866">
        <v>32728118.468080577</v>
      </c>
      <c r="F70" s="1866">
        <v>28071207.900000002</v>
      </c>
      <c r="G70" s="1866">
        <v>28127632.34</v>
      </c>
      <c r="H70" s="2101">
        <v>146944767.2155624</v>
      </c>
      <c r="I70"/>
      <c r="J70" s="1867"/>
    </row>
    <row r="71" spans="1:10" ht="17">
      <c r="A71" s="1862" t="str">
        <f ca="1">IFERROR(IF(B71="","",VLOOKUP(B71,Buget_detaliat!F:I,4,0)),"")</f>
        <v/>
      </c>
      <c r="B71" s="1864" t="s">
        <v>2934</v>
      </c>
      <c r="C71" s="1866">
        <v>2667833.4000000004</v>
      </c>
      <c r="D71" s="1866">
        <v>2590719.0000000005</v>
      </c>
      <c r="E71" s="1866">
        <v>2518620.6</v>
      </c>
      <c r="F71" s="1866">
        <v>2461189.2000000002</v>
      </c>
      <c r="G71" s="1866">
        <v>2397777.0000000005</v>
      </c>
      <c r="H71" s="2101">
        <v>12636139.199999999</v>
      </c>
      <c r="I71"/>
      <c r="J71" s="1867"/>
    </row>
    <row r="72" spans="1:10" ht="17">
      <c r="A72" s="1862" t="str">
        <f ca="1">IFERROR(IF(B72="","",VLOOKUP(B72,Buget_detaliat!F:I,4,0)),"")</f>
        <v>Tratament_FLD_SLD</v>
      </c>
      <c r="B72" s="1864" t="s">
        <v>502</v>
      </c>
      <c r="C72" s="1866">
        <v>1576980</v>
      </c>
      <c r="D72" s="1866">
        <v>1528653.6</v>
      </c>
      <c r="E72" s="1866">
        <v>1482609.6</v>
      </c>
      <c r="F72" s="1866">
        <v>1439080.8</v>
      </c>
      <c r="G72" s="1866">
        <v>1398840</v>
      </c>
      <c r="H72" s="2101">
        <v>7426164</v>
      </c>
      <c r="I72"/>
      <c r="J72" s="1867"/>
    </row>
    <row r="73" spans="1:10" ht="17">
      <c r="A73" s="1862" t="str">
        <f ca="1">IFERROR(IF(B73="","",VLOOKUP(B73,Buget_detaliat!F:I,4,0)),"")</f>
        <v>Tratament_FLD_SLD</v>
      </c>
      <c r="B73" s="1864" t="s">
        <v>503</v>
      </c>
      <c r="C73" s="1866">
        <v>53268</v>
      </c>
      <c r="D73" s="1866">
        <v>52557.599999999999</v>
      </c>
      <c r="E73" s="1866">
        <v>50049.599999999999</v>
      </c>
      <c r="F73" s="1866">
        <v>49188</v>
      </c>
      <c r="G73" s="1866">
        <v>47616</v>
      </c>
      <c r="H73" s="2101">
        <v>252679.2</v>
      </c>
      <c r="I73"/>
      <c r="J73" s="1867"/>
    </row>
    <row r="74" spans="1:10" ht="17">
      <c r="A74" s="1862" t="str">
        <f ca="1">IFERROR(IF(B74="","",VLOOKUP(B74,Buget_detaliat!F:I,4,0)),"")</f>
        <v>Tratament_FLD_SLD</v>
      </c>
      <c r="B74" s="1864" t="s">
        <v>1815</v>
      </c>
      <c r="C74" s="1866">
        <v>392825.4</v>
      </c>
      <c r="D74" s="1866">
        <v>380866.8</v>
      </c>
      <c r="E74" s="1866">
        <v>373439.4</v>
      </c>
      <c r="F74" s="1866">
        <v>370069.8</v>
      </c>
      <c r="G74" s="1866">
        <v>361365.6</v>
      </c>
      <c r="H74" s="2101">
        <v>1878567</v>
      </c>
      <c r="I74"/>
      <c r="J74" s="1867"/>
    </row>
    <row r="75" spans="1:10" ht="17">
      <c r="A75" s="1862" t="str">
        <f ca="1">IFERROR(IF(B75="","",VLOOKUP(B75,Buget_detaliat!F:I,4,0)),"")</f>
        <v>Tratament_FLD_SLD</v>
      </c>
      <c r="B75" s="1864" t="s">
        <v>1819</v>
      </c>
      <c r="C75" s="1866">
        <v>535150.80000000005</v>
      </c>
      <c r="D75" s="1866">
        <v>519031.8</v>
      </c>
      <c r="E75" s="1866">
        <v>506136.6</v>
      </c>
      <c r="F75" s="1866">
        <v>493241.4</v>
      </c>
      <c r="G75" s="1866">
        <v>480346.2</v>
      </c>
      <c r="H75" s="2101">
        <v>2533906.8000000003</v>
      </c>
      <c r="I75"/>
      <c r="J75" s="1867"/>
    </row>
    <row r="76" spans="1:10" ht="17">
      <c r="A76" s="1862" t="str">
        <f ca="1">IFERROR(IF(B76="","",VLOOKUP(B76,Buget_detaliat!F:I,4,0)),"")</f>
        <v>Tratament_FLD_SLD</v>
      </c>
      <c r="B76" s="1864" t="s">
        <v>1824</v>
      </c>
      <c r="C76" s="1866">
        <v>109609.2</v>
      </c>
      <c r="D76" s="1866">
        <v>109609.2</v>
      </c>
      <c r="E76" s="1866">
        <v>106385.4</v>
      </c>
      <c r="F76" s="1866">
        <v>109609.2</v>
      </c>
      <c r="G76" s="1866">
        <v>109609.2</v>
      </c>
      <c r="H76" s="2101">
        <v>544822.19999999995</v>
      </c>
      <c r="I76"/>
      <c r="J76" s="1867"/>
    </row>
    <row r="77" spans="1:10">
      <c r="A77" s="1862" t="str">
        <f>IFERROR(IF(B77="","",VLOOKUP(B77,Buget_detaliat!F:I,4,0)),"")</f>
        <v/>
      </c>
      <c r="B77" s="2092"/>
      <c r="C77" s="1866"/>
      <c r="D77" s="1866"/>
      <c r="E77" s="1866"/>
      <c r="F77" s="1866"/>
      <c r="G77" s="1866"/>
      <c r="H77" s="2101"/>
      <c r="I77"/>
      <c r="J77" s="1867"/>
    </row>
    <row r="78" spans="1:10" ht="17">
      <c r="A78" s="1862" t="str">
        <f ca="1">IFERROR(IF(B78="","",VLOOKUP(B78,Buget_detaliat!F:I,4,0)),"")</f>
        <v/>
      </c>
      <c r="B78" s="1864" t="s">
        <v>2935</v>
      </c>
      <c r="C78" s="1866">
        <v>20069466.204861153</v>
      </c>
      <c r="D78" s="1866">
        <v>28786501.517041694</v>
      </c>
      <c r="E78" s="1866">
        <v>28021571.005240276</v>
      </c>
      <c r="F78" s="1866">
        <v>24226323.68</v>
      </c>
      <c r="G78" s="1866">
        <v>23985520.359999999</v>
      </c>
      <c r="H78" s="2101">
        <v>125089382.76714312</v>
      </c>
      <c r="I78"/>
      <c r="J78" s="1867"/>
    </row>
    <row r="79" spans="1:10" ht="17">
      <c r="A79" s="1862" t="str">
        <f ca="1">IFERROR(IF(B79="","",VLOOKUP(B79,Buget_detaliat!F:I,4,0)),"")</f>
        <v>Tratament_FLD_SLD</v>
      </c>
      <c r="B79" s="1864" t="s">
        <v>505</v>
      </c>
      <c r="C79" s="1866">
        <v>13558098.860270232</v>
      </c>
      <c r="D79" s="1866">
        <v>17069863.139023766</v>
      </c>
      <c r="E79" s="1866">
        <v>16186557.027846094</v>
      </c>
      <c r="F79" s="1866">
        <v>14867728.199999999</v>
      </c>
      <c r="G79" s="1866">
        <v>14451805.380000001</v>
      </c>
      <c r="H79" s="2101">
        <v>76134052.607140094</v>
      </c>
      <c r="I79"/>
      <c r="J79" s="1867"/>
    </row>
    <row r="80" spans="1:10" ht="17">
      <c r="A80" s="1862" t="str">
        <f ca="1">IFERROR(IF(B80="","",VLOOKUP(B80,Buget_detaliat!F:I,4,0)),"")</f>
        <v>Tratament_FLD_SLD</v>
      </c>
      <c r="B80" s="1864" t="s">
        <v>507</v>
      </c>
      <c r="C80" s="1866">
        <v>464662.41285704181</v>
      </c>
      <c r="D80" s="1866">
        <v>536561.9828645268</v>
      </c>
      <c r="E80" s="1866">
        <v>533394.75285704189</v>
      </c>
      <c r="F80" s="1866">
        <v>464124.04999999993</v>
      </c>
      <c r="G80" s="1866">
        <v>464124.04999999993</v>
      </c>
      <c r="H80" s="2101">
        <v>2462867.2485786104</v>
      </c>
      <c r="I80"/>
      <c r="J80" s="1867"/>
    </row>
    <row r="81" spans="1:10" ht="17">
      <c r="A81" s="1862" t="str">
        <f ca="1">IFERROR(IF(B81="","",VLOOKUP(B81,Buget_detaliat!F:I,4,0)),"")</f>
        <v>Tratament_FLD_SLD</v>
      </c>
      <c r="B81" s="1864" t="s">
        <v>509</v>
      </c>
      <c r="C81" s="1866">
        <v>5168259.4317338774</v>
      </c>
      <c r="D81" s="1866">
        <v>10301630.895153403</v>
      </c>
      <c r="E81" s="1866">
        <v>10423173.724537138</v>
      </c>
      <c r="F81" s="1866">
        <v>8894471.4299999997</v>
      </c>
      <c r="G81" s="1866">
        <v>9069590.9299999978</v>
      </c>
      <c r="H81" s="2101">
        <v>43857126.411424413</v>
      </c>
      <c r="I81"/>
      <c r="J81" s="1867"/>
    </row>
    <row r="82" spans="1:10">
      <c r="A82" s="1862" t="str">
        <f ca="1">IFERROR(IF(B82="","",VLOOKUP(B82,Buget_detaliat!F:I,4,0)),"")</f>
        <v>PNCT</v>
      </c>
      <c r="B82" s="2092" t="s">
        <v>3986</v>
      </c>
      <c r="C82" s="1866">
        <v>878445.5</v>
      </c>
      <c r="D82" s="1866">
        <v>878445.5</v>
      </c>
      <c r="E82" s="1866">
        <v>878445.5</v>
      </c>
      <c r="F82" s="1866">
        <v>0</v>
      </c>
      <c r="G82" s="1866">
        <v>0</v>
      </c>
      <c r="H82" s="2101">
        <v>2635336.5</v>
      </c>
      <c r="I82"/>
      <c r="J82" s="1867"/>
    </row>
    <row r="83" spans="1:10">
      <c r="A83" s="1862" t="str">
        <f>IFERROR(IF(B83="","",VLOOKUP(B83,Buget_detaliat!F:I,4,0)),"")</f>
        <v/>
      </c>
      <c r="B83" s="2092"/>
      <c r="C83" s="1866"/>
      <c r="D83" s="1866"/>
      <c r="E83" s="1866"/>
      <c r="F83" s="1866"/>
      <c r="G83" s="1866"/>
      <c r="H83" s="2101"/>
      <c r="I83"/>
      <c r="J83" s="1867"/>
    </row>
    <row r="84" spans="1:10" ht="17">
      <c r="A84" s="1862" t="str">
        <f ca="1">IFERROR(IF(B84="","",VLOOKUP(B84,Buget_detaliat!F:I,4,0)),"")</f>
        <v/>
      </c>
      <c r="B84" s="1864" t="s">
        <v>2936</v>
      </c>
      <c r="C84" s="1866">
        <v>944710.51641378505</v>
      </c>
      <c r="D84" s="1866">
        <v>1610229.5351651562</v>
      </c>
      <c r="E84" s="1866">
        <v>1540968.8378403035</v>
      </c>
      <c r="F84" s="1866">
        <v>1186256.8799999999</v>
      </c>
      <c r="G84" s="1866">
        <v>1133063.6399999999</v>
      </c>
      <c r="H84" s="2101">
        <v>6415229.4094192442</v>
      </c>
      <c r="I84"/>
      <c r="J84" s="1867"/>
    </row>
    <row r="85" spans="1:10" ht="17">
      <c r="A85" s="1862" t="str">
        <f ca="1">IFERROR(IF(B85="","",VLOOKUP(B85,Buget_detaliat!F:I,4,0)),"")</f>
        <v>Tratament_FLD_SLD</v>
      </c>
      <c r="B85" s="1864" t="s">
        <v>1813</v>
      </c>
      <c r="C85" s="1866">
        <v>3693.6</v>
      </c>
      <c r="D85" s="1866">
        <v>3693.6</v>
      </c>
      <c r="E85" s="1866">
        <v>3693.6</v>
      </c>
      <c r="F85" s="1866">
        <v>3693.6</v>
      </c>
      <c r="G85" s="1866">
        <v>3693.6</v>
      </c>
      <c r="H85" s="2101">
        <v>18468</v>
      </c>
      <c r="I85"/>
      <c r="J85" s="1867"/>
    </row>
    <row r="86" spans="1:10" ht="17">
      <c r="A86" s="1862" t="str">
        <f ca="1">IFERROR(IF(B86="","",VLOOKUP(B86,Buget_detaliat!F:I,4,0)),"")</f>
        <v>Tratament_FLD_SLD</v>
      </c>
      <c r="B86" s="1864" t="s">
        <v>1811</v>
      </c>
      <c r="C86" s="1866">
        <v>72640.800000000003</v>
      </c>
      <c r="D86" s="1866">
        <v>70178.399999999994</v>
      </c>
      <c r="E86" s="1866">
        <v>67716</v>
      </c>
      <c r="F86" s="1866">
        <v>66484.800000000003</v>
      </c>
      <c r="G86" s="1866">
        <v>64022.400000000001</v>
      </c>
      <c r="H86" s="2101">
        <v>341042.4</v>
      </c>
      <c r="I86"/>
      <c r="J86" s="1867"/>
    </row>
    <row r="87" spans="1:10" ht="17">
      <c r="A87" s="1862" t="str">
        <f ca="1">IFERROR(IF(B87="","",VLOOKUP(B87,Buget_detaliat!F:I,4,0)),"")</f>
        <v>Tratament_FLD_SLD</v>
      </c>
      <c r="B87" s="1864" t="s">
        <v>506</v>
      </c>
      <c r="C87" s="1866">
        <v>734779.71607622399</v>
      </c>
      <c r="D87" s="1866">
        <v>1335963.031814887</v>
      </c>
      <c r="E87" s="1866">
        <v>1269164.7344900342</v>
      </c>
      <c r="F87" s="1866">
        <v>963885.95999999985</v>
      </c>
      <c r="G87" s="1866">
        <v>913155.12</v>
      </c>
      <c r="H87" s="2101">
        <v>5216948.5623811446</v>
      </c>
      <c r="I87"/>
      <c r="J87" s="1867"/>
    </row>
    <row r="88" spans="1:10" ht="17">
      <c r="A88" s="1862" t="str">
        <f ca="1">IFERROR(IF(B88="","",VLOOKUP(B88,Buget_detaliat!F:I,4,0)),"")</f>
        <v>Tratament_FLD_SLD</v>
      </c>
      <c r="B88" s="1864" t="s">
        <v>508</v>
      </c>
      <c r="C88" s="1866">
        <v>133596.400337561</v>
      </c>
      <c r="D88" s="1866">
        <v>200394.50335026922</v>
      </c>
      <c r="E88" s="1866">
        <v>200394.50335026922</v>
      </c>
      <c r="F88" s="1866">
        <v>152192.51999999999</v>
      </c>
      <c r="G88" s="1866">
        <v>152192.51999999999</v>
      </c>
      <c r="H88" s="2101">
        <v>838770.4470380994</v>
      </c>
      <c r="I88"/>
      <c r="J88" s="1867"/>
    </row>
    <row r="89" spans="1:10">
      <c r="A89" s="1862" t="str">
        <f>IFERROR(IF(B89="","",VLOOKUP(B89,Buget_detaliat!F:I,4,0)),"")</f>
        <v/>
      </c>
      <c r="B89" s="2092"/>
      <c r="C89" s="1866"/>
      <c r="D89" s="1866"/>
      <c r="E89" s="1866"/>
      <c r="F89" s="1866"/>
      <c r="G89" s="1866"/>
      <c r="H89" s="2101"/>
      <c r="I89"/>
      <c r="J89" s="1867"/>
    </row>
    <row r="90" spans="1:10" ht="17">
      <c r="A90" s="1862" t="str">
        <f ca="1">IFERROR(IF(B90="","",VLOOKUP(B90,Buget_detaliat!F:I,4,0)),"")</f>
        <v/>
      </c>
      <c r="B90" s="1864" t="s">
        <v>2937</v>
      </c>
      <c r="C90" s="1866">
        <v>270746.03499999997</v>
      </c>
      <c r="D90" s="1866">
        <v>270746.01500000001</v>
      </c>
      <c r="E90" s="1866">
        <v>270746.02500000002</v>
      </c>
      <c r="F90" s="1866">
        <v>197438.14</v>
      </c>
      <c r="G90" s="1866">
        <v>197438.14</v>
      </c>
      <c r="H90" s="2101">
        <v>1207114.355</v>
      </c>
      <c r="I90"/>
      <c r="J90" s="1867"/>
    </row>
    <row r="91" spans="1:10">
      <c r="A91" s="1862" t="str">
        <f ca="1">IFERROR(IF(B91="","",VLOOKUP(B91,Buget_detaliat!F:I,4,0)),"")</f>
        <v>Curierat_sputa_medic</v>
      </c>
      <c r="B91" s="2092" t="s">
        <v>2447</v>
      </c>
      <c r="C91" s="1866">
        <v>18174.97</v>
      </c>
      <c r="D91" s="1866">
        <v>18174.96</v>
      </c>
      <c r="E91" s="1866">
        <v>18174.97</v>
      </c>
      <c r="F91" s="1866">
        <v>18174.97</v>
      </c>
      <c r="G91" s="1866">
        <v>18174.97</v>
      </c>
      <c r="H91" s="2101">
        <v>90874.84</v>
      </c>
      <c r="I91"/>
      <c r="J91" s="1867"/>
    </row>
    <row r="92" spans="1:10">
      <c r="A92" s="1862" t="str">
        <f ca="1">IFERROR(IF(B92="","",VLOOKUP(B92,Buget_detaliat!F:I,4,0)),"")</f>
        <v>Curierat_sputa_medic</v>
      </c>
      <c r="B92" s="2092" t="s">
        <v>2448</v>
      </c>
      <c r="C92" s="1866">
        <v>8400</v>
      </c>
      <c r="D92" s="1866">
        <v>8400</v>
      </c>
      <c r="E92" s="1866">
        <v>8400</v>
      </c>
      <c r="F92" s="1866">
        <v>0</v>
      </c>
      <c r="G92" s="1866">
        <v>0</v>
      </c>
      <c r="H92" s="2101">
        <v>25200</v>
      </c>
      <c r="I92"/>
      <c r="J92" s="1867"/>
    </row>
    <row r="93" spans="1:10" ht="17">
      <c r="A93" s="1862" t="str">
        <f ca="1">IFERROR(IF(B93="","",VLOOKUP(B93,Buget_detaliat!F:I,4,0)),"")</f>
        <v>Curierat_sputa_medic</v>
      </c>
      <c r="B93" s="1864" t="s">
        <v>2438</v>
      </c>
      <c r="C93" s="1866">
        <v>179263.16999999998</v>
      </c>
      <c r="D93" s="1866">
        <v>179263.16</v>
      </c>
      <c r="E93" s="1866">
        <v>179263.16</v>
      </c>
      <c r="F93" s="1866">
        <v>179263.17</v>
      </c>
      <c r="G93" s="1866">
        <v>179263.17</v>
      </c>
      <c r="H93" s="2101">
        <v>896315.83000000007</v>
      </c>
      <c r="I93"/>
      <c r="J93" s="1867"/>
    </row>
    <row r="94" spans="1:10" ht="17">
      <c r="A94" s="1862" t="str">
        <f ca="1">IFERROR(IF(B94="","",VLOOKUP(B94,Buget_detaliat!F:I,4,0)),"")</f>
        <v>Curierat_sputa_medic</v>
      </c>
      <c r="B94" s="1864" t="s">
        <v>2437</v>
      </c>
      <c r="C94" s="1866">
        <v>64907.894999999997</v>
      </c>
      <c r="D94" s="1866">
        <v>64907.894999999997</v>
      </c>
      <c r="E94" s="1866">
        <v>64907.894999999997</v>
      </c>
      <c r="F94" s="1866">
        <v>0</v>
      </c>
      <c r="G94" s="1866">
        <v>0</v>
      </c>
      <c r="H94" s="2101">
        <v>194723.685</v>
      </c>
      <c r="I94"/>
      <c r="J94" s="1867"/>
    </row>
    <row r="95" spans="1:10">
      <c r="A95" s="1862" t="str">
        <f>IFERROR(IF(B95="","",VLOOKUP(B95,Buget_detaliat!F:I,4,0)),"")</f>
        <v/>
      </c>
      <c r="B95" s="2092"/>
      <c r="C95" s="1866"/>
      <c r="D95" s="1866"/>
      <c r="E95" s="1866"/>
      <c r="F95" s="1866"/>
      <c r="G95" s="1866"/>
      <c r="H95" s="2101"/>
      <c r="I95"/>
      <c r="J95" s="1867"/>
    </row>
    <row r="96" spans="1:10" ht="17">
      <c r="A96" s="1862" t="str">
        <f ca="1">IFERROR(IF(B96="","",VLOOKUP(B96,Buget_detaliat!F:I,4,0)),"")</f>
        <v/>
      </c>
      <c r="B96" s="1864" t="s">
        <v>2938</v>
      </c>
      <c r="C96" s="1866">
        <v>564799.39879999997</v>
      </c>
      <c r="D96" s="1866">
        <v>242056.88520000002</v>
      </c>
      <c r="E96" s="1866">
        <v>376212</v>
      </c>
      <c r="F96" s="1866">
        <v>0</v>
      </c>
      <c r="G96" s="1866">
        <v>413833.19999999995</v>
      </c>
      <c r="H96" s="2101">
        <v>1596901.4839999999</v>
      </c>
      <c r="I96"/>
      <c r="J96" s="1867"/>
    </row>
    <row r="97" spans="1:10" ht="17">
      <c r="A97" s="1862" t="str">
        <f ca="1">IFERROR(IF(B97="","",VLOOKUP(B97,Buget_detaliat!F:I,4,0)),"")</f>
        <v>Tratament_Scheme_scurte</v>
      </c>
      <c r="B97" s="1864" t="s">
        <v>3250</v>
      </c>
      <c r="C97" s="1866">
        <v>0</v>
      </c>
      <c r="D97" s="1866">
        <v>0</v>
      </c>
      <c r="E97" s="1866">
        <v>376212</v>
      </c>
      <c r="F97" s="1866">
        <v>0</v>
      </c>
      <c r="G97" s="1866">
        <v>413833.19999999995</v>
      </c>
      <c r="H97" s="2101">
        <v>790045.2</v>
      </c>
      <c r="I97"/>
      <c r="J97" s="1867"/>
    </row>
    <row r="98" spans="1:10" ht="17">
      <c r="A98" s="1862" t="str">
        <f ca="1">IFERROR(IF(B98="","",VLOOKUP(B98,Buget_detaliat!F:I,4,0)),"")</f>
        <v>Tratament_Scheme_scurte</v>
      </c>
      <c r="B98" s="1864" t="s">
        <v>3169</v>
      </c>
      <c r="C98" s="1866">
        <v>564799.39879999997</v>
      </c>
      <c r="D98" s="1866">
        <v>242056.88520000002</v>
      </c>
      <c r="E98" s="1866">
        <v>0</v>
      </c>
      <c r="F98" s="1866">
        <v>0</v>
      </c>
      <c r="G98" s="1866">
        <v>0</v>
      </c>
      <c r="H98" s="2101">
        <v>806856.28399999999</v>
      </c>
      <c r="I98"/>
      <c r="J98" s="1867"/>
    </row>
    <row r="99" spans="1:10">
      <c r="A99" s="1862" t="str">
        <f>IFERROR(IF(B99="","",VLOOKUP(B99,Buget_detaliat!F:I,4,0)),"")</f>
        <v/>
      </c>
      <c r="B99" s="2092"/>
      <c r="C99" s="1866"/>
      <c r="D99" s="1866"/>
      <c r="E99" s="1866"/>
      <c r="F99" s="1866"/>
      <c r="G99" s="1866"/>
      <c r="H99" s="2101"/>
      <c r="I99"/>
      <c r="J99" s="1867"/>
    </row>
    <row r="100" spans="1:10" ht="17">
      <c r="A100" s="1862" t="str">
        <f ca="1">IFERROR(IF(B100="","",VLOOKUP(B100,Buget_detaliat!F:I,4,0)),"")</f>
        <v/>
      </c>
      <c r="B100" s="1864" t="s">
        <v>1851</v>
      </c>
      <c r="C100" s="1866">
        <v>80000</v>
      </c>
      <c r="D100" s="1866">
        <v>79152.570000000007</v>
      </c>
      <c r="E100" s="1866">
        <v>376212</v>
      </c>
      <c r="F100" s="1866">
        <v>0</v>
      </c>
      <c r="G100" s="1866">
        <v>413833.19999999995</v>
      </c>
      <c r="H100" s="2101">
        <v>949197.77</v>
      </c>
      <c r="I100"/>
      <c r="J100" s="1867"/>
    </row>
    <row r="101" spans="1:10" ht="17">
      <c r="A101" s="1862" t="str">
        <f ca="1">IFERROR(IF(B101="","",VLOOKUP(B101,Buget_detaliat!F:I,4,0)),"")</f>
        <v/>
      </c>
      <c r="B101" s="1864" t="s">
        <v>2939</v>
      </c>
      <c r="C101" s="1866">
        <v>40000</v>
      </c>
      <c r="D101" s="1866">
        <v>79152.570000000007</v>
      </c>
      <c r="E101" s="1866">
        <v>376212</v>
      </c>
      <c r="F101" s="1866">
        <v>0</v>
      </c>
      <c r="G101" s="1866">
        <v>413833.19999999995</v>
      </c>
      <c r="H101" s="2101">
        <v>909197.77</v>
      </c>
      <c r="I101"/>
      <c r="J101" s="1867"/>
    </row>
    <row r="102" spans="1:10" ht="17">
      <c r="A102" s="1862" t="str">
        <f ca="1">IFERROR(IF(B102="","",VLOOKUP(B102,Buget_detaliat!F:I,4,0)),"")</f>
        <v>RA_farmacovigilenta</v>
      </c>
      <c r="B102" s="1864" t="s">
        <v>3085</v>
      </c>
      <c r="C102" s="1866">
        <v>40000</v>
      </c>
      <c r="D102" s="1866">
        <v>0</v>
      </c>
      <c r="E102" s="1866">
        <v>0</v>
      </c>
      <c r="F102" s="1866">
        <v>0</v>
      </c>
      <c r="G102" s="1866">
        <v>0</v>
      </c>
      <c r="H102" s="2101">
        <v>40000</v>
      </c>
      <c r="I102"/>
      <c r="J102" s="1867"/>
    </row>
    <row r="103" spans="1:10" ht="17">
      <c r="A103" s="1862" t="str">
        <f ca="1">IFERROR(IF(B103="","",VLOOKUP(B103,Buget_detaliat!F:I,4,0)),"")</f>
        <v>RA_farmacovigilenta</v>
      </c>
      <c r="B103" s="1864" t="s">
        <v>3086</v>
      </c>
      <c r="C103" s="1866">
        <v>0</v>
      </c>
      <c r="D103" s="1866">
        <v>79152.570000000007</v>
      </c>
      <c r="E103" s="1866">
        <v>0</v>
      </c>
      <c r="F103" s="1866">
        <v>0</v>
      </c>
      <c r="G103" s="1866">
        <v>0</v>
      </c>
      <c r="H103" s="2101">
        <v>79152.570000000007</v>
      </c>
      <c r="I103"/>
      <c r="J103" s="1867"/>
    </row>
    <row r="104" spans="1:10" ht="17">
      <c r="A104" s="1862" t="str">
        <f ca="1">IFERROR(IF(B104="","",VLOOKUP(B104,Buget_detaliat!F:I,4,0)),"")</f>
        <v>RA_farmacovigilenta</v>
      </c>
      <c r="B104" s="1864" t="s">
        <v>3087</v>
      </c>
      <c r="C104" s="1866">
        <v>0</v>
      </c>
      <c r="D104" s="1866">
        <v>0</v>
      </c>
      <c r="E104" s="1866">
        <v>376212</v>
      </c>
      <c r="F104" s="1866">
        <v>0</v>
      </c>
      <c r="G104" s="1866">
        <v>413833.19999999995</v>
      </c>
      <c r="H104" s="2101">
        <v>790045.2</v>
      </c>
      <c r="I104"/>
      <c r="J104" s="1867"/>
    </row>
    <row r="105" spans="1:10">
      <c r="A105" s="1862" t="str">
        <f>IFERROR(IF(B105="","",VLOOKUP(B105,Buget_detaliat!F:I,4,0)),"")</f>
        <v/>
      </c>
      <c r="B105" s="2092"/>
      <c r="C105" s="1866"/>
      <c r="D105" s="1866"/>
      <c r="E105" s="1866"/>
      <c r="F105" s="1866"/>
      <c r="G105" s="1866"/>
      <c r="H105" s="2101"/>
      <c r="I105"/>
      <c r="J105" s="1867"/>
    </row>
    <row r="106" spans="1:10" ht="17">
      <c r="A106" s="1862" t="str">
        <f ca="1">IFERROR(IF(B106="","",VLOOKUP(B106,Buget_detaliat!F:I,4,0)),"")</f>
        <v/>
      </c>
      <c r="B106" s="1864" t="s">
        <v>2940</v>
      </c>
      <c r="C106" s="1866">
        <v>40000</v>
      </c>
      <c r="D106" s="1866">
        <v>0</v>
      </c>
      <c r="E106" s="1866">
        <v>0</v>
      </c>
      <c r="F106" s="1866">
        <v>0</v>
      </c>
      <c r="G106" s="1866">
        <v>0</v>
      </c>
      <c r="H106" s="2101">
        <v>40000</v>
      </c>
      <c r="I106"/>
      <c r="J106" s="1867"/>
    </row>
    <row r="107" spans="1:10" ht="17">
      <c r="A107" s="1862" t="str">
        <f ca="1">IFERROR(IF(B107="","",VLOOKUP(B107,Buget_detaliat!F:I,4,0)),"")</f>
        <v>RA_farmacovigilenta</v>
      </c>
      <c r="B107" s="1864" t="s">
        <v>3581</v>
      </c>
      <c r="C107" s="1866">
        <v>40000</v>
      </c>
      <c r="D107" s="1866">
        <v>0</v>
      </c>
      <c r="E107" s="1866">
        <v>0</v>
      </c>
      <c r="F107" s="1866">
        <v>0</v>
      </c>
      <c r="G107" s="1866">
        <v>0</v>
      </c>
      <c r="H107" s="2101">
        <v>40000</v>
      </c>
      <c r="I107"/>
      <c r="J107" s="1867"/>
    </row>
    <row r="108" spans="1:10">
      <c r="A108" s="1862" t="str">
        <f>IFERROR(IF(B108="","",VLOOKUP(B108,Buget_detaliat!F:I,4,0)),"")</f>
        <v/>
      </c>
      <c r="B108" s="2092"/>
      <c r="C108" s="1866"/>
      <c r="D108" s="1866"/>
      <c r="E108" s="1866"/>
      <c r="F108" s="1866"/>
      <c r="G108" s="1866"/>
      <c r="H108" s="2101"/>
      <c r="I108"/>
      <c r="J108" s="1867"/>
    </row>
    <row r="109" spans="1:10" ht="17">
      <c r="A109" s="1862" t="str">
        <f ca="1">IFERROR(IF(B109="","",VLOOKUP(B109,Buget_detaliat!F:I,4,0)),"")</f>
        <v/>
      </c>
      <c r="B109" s="1864" t="s">
        <v>3127</v>
      </c>
      <c r="C109" s="1866">
        <v>0</v>
      </c>
      <c r="D109" s="1866">
        <v>0</v>
      </c>
      <c r="E109" s="1866">
        <v>0</v>
      </c>
      <c r="F109" s="1866">
        <v>0</v>
      </c>
      <c r="G109" s="1866">
        <v>0</v>
      </c>
      <c r="H109" s="2101">
        <v>0</v>
      </c>
      <c r="I109"/>
      <c r="J109" s="1867"/>
    </row>
    <row r="110" spans="1:10" ht="17">
      <c r="A110" s="1862" t="str">
        <f ca="1">IFERROR(IF(B110="","",VLOOKUP(B110,Buget_detaliat!F:I,4,0)),"")</f>
        <v>RA_farmacovigilenta</v>
      </c>
      <c r="B110" s="1864" t="s">
        <v>3722</v>
      </c>
      <c r="C110" s="1866">
        <v>0</v>
      </c>
      <c r="D110" s="1866">
        <v>0</v>
      </c>
      <c r="E110" s="1866">
        <v>0</v>
      </c>
      <c r="F110" s="1866">
        <v>0</v>
      </c>
      <c r="G110" s="1866">
        <v>0</v>
      </c>
      <c r="H110" s="2101">
        <v>0</v>
      </c>
      <c r="I110"/>
      <c r="J110" s="1867"/>
    </row>
    <row r="111" spans="1:10">
      <c r="A111" s="1862" t="str">
        <f>IFERROR(IF(B111="","",VLOOKUP(B111,Buget_detaliat!F:I,4,0)),"")</f>
        <v/>
      </c>
      <c r="B111" s="2092"/>
      <c r="C111" s="1866"/>
      <c r="D111" s="1866"/>
      <c r="E111" s="1866"/>
      <c r="F111" s="1866"/>
      <c r="G111" s="1866"/>
      <c r="H111" s="2101"/>
      <c r="I111"/>
      <c r="J111" s="1867"/>
    </row>
    <row r="112" spans="1:10" ht="17">
      <c r="A112" s="1862" t="str">
        <f ca="1">IFERROR(IF(B112="","",VLOOKUP(B112,Buget_detaliat!F:I,4,0)),"")</f>
        <v/>
      </c>
      <c r="B112" s="1864" t="s">
        <v>339</v>
      </c>
      <c r="C112" s="1866">
        <v>21836601.075000003</v>
      </c>
      <c r="D112" s="1866">
        <v>20430945.125</v>
      </c>
      <c r="E112" s="1866">
        <v>19714074.740000002</v>
      </c>
      <c r="F112" s="1866">
        <v>17629805.819999997</v>
      </c>
      <c r="G112" s="1866">
        <v>17260772.009999998</v>
      </c>
      <c r="H112" s="2101">
        <v>96872198.769999981</v>
      </c>
      <c r="I112"/>
      <c r="J112" s="1867"/>
    </row>
    <row r="113" spans="1:10" ht="17">
      <c r="A113" s="1862" t="str">
        <f ca="1">IFERROR(IF(B113="","",VLOOKUP(B113,Buget_detaliat!F:I,4,0)),"")</f>
        <v/>
      </c>
      <c r="B113" s="1864" t="s">
        <v>2941</v>
      </c>
      <c r="C113" s="1866">
        <v>1689662.0150000001</v>
      </c>
      <c r="D113" s="1866">
        <v>1131317.9350000001</v>
      </c>
      <c r="E113" s="1866">
        <v>1130675.51</v>
      </c>
      <c r="F113" s="1866">
        <v>115584</v>
      </c>
      <c r="G113" s="1866">
        <v>115584</v>
      </c>
      <c r="H113" s="2101">
        <v>4182823.46</v>
      </c>
      <c r="I113"/>
      <c r="J113" s="1867"/>
    </row>
    <row r="114" spans="1:10" ht="17">
      <c r="A114" s="1862" t="str">
        <f ca="1">IFERROR(IF(B114="","",VLOOKUP(B114,Buget_detaliat!F:I,4,0)),"")</f>
        <v>Aderenta_VOT</v>
      </c>
      <c r="B114" s="1864" t="s">
        <v>3279</v>
      </c>
      <c r="C114" s="1866">
        <v>1023902.0150000001</v>
      </c>
      <c r="D114" s="1866">
        <v>1015733.9350000001</v>
      </c>
      <c r="E114" s="1866">
        <v>1015091.51</v>
      </c>
      <c r="F114" s="1866">
        <v>0</v>
      </c>
      <c r="G114" s="1866">
        <v>0</v>
      </c>
      <c r="H114" s="2101">
        <v>3054727.46</v>
      </c>
      <c r="I114"/>
      <c r="J114" s="1867"/>
    </row>
    <row r="115" spans="1:10" ht="17">
      <c r="A115" s="1862" t="str">
        <f ca="1">IFERROR(IF(B115="","",VLOOKUP(B115,Buget_detaliat!F:I,4,0)),"")</f>
        <v>Aderenta_VOT</v>
      </c>
      <c r="B115" s="2165" t="s">
        <v>3255</v>
      </c>
      <c r="C115" s="1866">
        <v>115584</v>
      </c>
      <c r="D115" s="1866">
        <v>115584</v>
      </c>
      <c r="E115" s="1866">
        <v>115584</v>
      </c>
      <c r="F115" s="1866">
        <v>115584</v>
      </c>
      <c r="G115" s="1866">
        <v>115584</v>
      </c>
      <c r="H115" s="2101">
        <v>577920</v>
      </c>
      <c r="I115"/>
      <c r="J115" s="1867"/>
    </row>
    <row r="116" spans="1:10" ht="17">
      <c r="A116" s="1862" t="str">
        <f ca="1">IFERROR(IF(B116="","",VLOOKUP(B116,Buget_detaliat!F:I,4,0)),"")</f>
        <v>Aderenta_VOT</v>
      </c>
      <c r="B116" s="1864" t="s">
        <v>3280</v>
      </c>
      <c r="C116" s="1866">
        <v>40000</v>
      </c>
      <c r="D116" s="1866">
        <v>0</v>
      </c>
      <c r="E116" s="1866">
        <v>0</v>
      </c>
      <c r="F116" s="1866">
        <v>0</v>
      </c>
      <c r="G116" s="1866">
        <v>0</v>
      </c>
      <c r="H116" s="2101">
        <v>40000</v>
      </c>
      <c r="I116"/>
      <c r="J116" s="1867"/>
    </row>
    <row r="117" spans="1:10" ht="17">
      <c r="A117" s="1862" t="str">
        <f ca="1">IFERROR(IF(B117="","",VLOOKUP(B117,Buget_detaliat!F:I,4,0)),"")</f>
        <v>Aderenta_VOT</v>
      </c>
      <c r="B117" s="1864" t="s">
        <v>3533</v>
      </c>
      <c r="C117" s="1866">
        <v>510176</v>
      </c>
      <c r="D117" s="1866">
        <v>0</v>
      </c>
      <c r="E117" s="1866">
        <v>0</v>
      </c>
      <c r="F117" s="1866">
        <v>0</v>
      </c>
      <c r="G117" s="1866">
        <v>0</v>
      </c>
      <c r="H117" s="2101">
        <v>510176</v>
      </c>
      <c r="I117"/>
      <c r="J117" s="1867"/>
    </row>
    <row r="118" spans="1:10">
      <c r="A118" s="1862" t="str">
        <f>IFERROR(IF(B118="","",VLOOKUP(B118,Buget_detaliat!F:I,4,0)),"")</f>
        <v/>
      </c>
      <c r="B118" s="2092"/>
      <c r="C118" s="1866"/>
      <c r="D118" s="1866"/>
      <c r="E118" s="1866"/>
      <c r="F118" s="1866"/>
      <c r="G118" s="1866"/>
      <c r="H118" s="2101"/>
      <c r="I118"/>
      <c r="J118" s="1867"/>
    </row>
    <row r="119" spans="1:10" ht="17">
      <c r="A119" s="1862" t="str">
        <f ca="1">IFERROR(IF(B119="","",VLOOKUP(B119,Buget_detaliat!F:I,4,0)),"")</f>
        <v/>
      </c>
      <c r="B119" s="1864" t="s">
        <v>2942</v>
      </c>
      <c r="C119" s="1866">
        <v>18842448.260000002</v>
      </c>
      <c r="D119" s="1866">
        <v>18306284.09</v>
      </c>
      <c r="E119" s="1866">
        <v>17851656.129999999</v>
      </c>
      <c r="F119" s="1866">
        <v>17473326.419999998</v>
      </c>
      <c r="G119" s="1866">
        <v>17104292.609999999</v>
      </c>
      <c r="H119" s="2101">
        <v>89578007.50999999</v>
      </c>
      <c r="I119"/>
      <c r="J119" s="1867"/>
    </row>
    <row r="120" spans="1:10" ht="17">
      <c r="A120" s="1862" t="str">
        <f ca="1">IFERROR(IF(B120="","",VLOOKUP(B120,Buget_detaliat!F:I,4,0)),"")</f>
        <v>Aderenta_VOT</v>
      </c>
      <c r="B120" s="1864" t="s">
        <v>3734</v>
      </c>
      <c r="C120" s="1866">
        <v>15316701</v>
      </c>
      <c r="D120" s="1866">
        <v>14812927.949999999</v>
      </c>
      <c r="E120" s="1866">
        <v>14344887.75</v>
      </c>
      <c r="F120" s="1866">
        <v>13931570.399999999</v>
      </c>
      <c r="G120" s="1866">
        <v>13540344.75</v>
      </c>
      <c r="H120" s="2101">
        <v>71946431.849999994</v>
      </c>
      <c r="I120"/>
      <c r="J120" s="1867"/>
    </row>
    <row r="121" spans="1:10">
      <c r="A121" s="1862" t="str">
        <f ca="1">IFERROR(IF(B121="","",VLOOKUP(B121,Buget_detaliat!F:I,4,0)),"")</f>
        <v>Aderenta_VOT</v>
      </c>
      <c r="B121" s="2092" t="s">
        <v>3976</v>
      </c>
      <c r="C121" s="1866">
        <v>3525747.2600000002</v>
      </c>
      <c r="D121" s="1866">
        <v>3493356.14</v>
      </c>
      <c r="E121" s="1866">
        <v>3506768.38</v>
      </c>
      <c r="F121" s="1866">
        <v>3541756.02</v>
      </c>
      <c r="G121" s="1866">
        <v>3563947.86</v>
      </c>
      <c r="H121" s="2101">
        <v>17631575.66</v>
      </c>
      <c r="I121"/>
      <c r="J121" s="1867"/>
    </row>
    <row r="122" spans="1:10">
      <c r="A122" s="1862" t="str">
        <f>IFERROR(IF(B122="","",VLOOKUP(B122,Buget_detaliat!F:I,4,0)),"")</f>
        <v/>
      </c>
      <c r="B122" s="2092"/>
      <c r="C122" s="1866"/>
      <c r="D122" s="1866"/>
      <c r="E122" s="1866"/>
      <c r="F122" s="1866"/>
      <c r="G122" s="1866"/>
      <c r="H122" s="2101"/>
      <c r="I122"/>
      <c r="J122" s="1867"/>
    </row>
    <row r="123" spans="1:10" ht="17">
      <c r="A123" s="1862" t="str">
        <f ca="1">IFERROR(IF(B123="","",VLOOKUP(B123,Buget_detaliat!F:I,4,0)),"")</f>
        <v/>
      </c>
      <c r="B123" s="1864" t="s">
        <v>2943</v>
      </c>
      <c r="C123" s="1866">
        <v>1304490.8</v>
      </c>
      <c r="D123" s="1866">
        <v>993343.1</v>
      </c>
      <c r="E123" s="1866">
        <v>731743.1</v>
      </c>
      <c r="F123" s="1866">
        <v>40895.4</v>
      </c>
      <c r="G123" s="1866">
        <v>40895.4</v>
      </c>
      <c r="H123" s="2101">
        <v>3111367.8</v>
      </c>
      <c r="I123"/>
      <c r="J123" s="1867"/>
    </row>
    <row r="124" spans="1:10" ht="17">
      <c r="A124" s="1862" t="str">
        <f ca="1">IFERROR(IF(B124="","",VLOOKUP(B124,Buget_detaliat!F:I,4,0)),"")</f>
        <v>Aderenta_VOT</v>
      </c>
      <c r="B124" s="1864" t="s">
        <v>3302</v>
      </c>
      <c r="C124" s="1866">
        <v>1005600</v>
      </c>
      <c r="D124" s="1866">
        <v>838000</v>
      </c>
      <c r="E124" s="1866">
        <v>670400</v>
      </c>
      <c r="F124" s="1866">
        <v>0</v>
      </c>
      <c r="G124" s="1866">
        <v>0</v>
      </c>
      <c r="H124" s="2101">
        <v>2514000</v>
      </c>
      <c r="I124"/>
      <c r="J124" s="1867"/>
    </row>
    <row r="125" spans="1:10" ht="17">
      <c r="A125" s="1862" t="str">
        <f ca="1">IFERROR(IF(B125="","",VLOOKUP(B125,Buget_detaliat!F:I,4,0)),"")</f>
        <v>Aderenta_VOT</v>
      </c>
      <c r="B125" s="1864" t="s">
        <v>3303</v>
      </c>
      <c r="C125" s="1866">
        <v>0</v>
      </c>
      <c r="D125" s="1866">
        <v>94000</v>
      </c>
      <c r="E125" s="1866">
        <v>0</v>
      </c>
      <c r="F125" s="1866">
        <v>0</v>
      </c>
      <c r="G125" s="1866">
        <v>0</v>
      </c>
      <c r="H125" s="2101">
        <v>94000</v>
      </c>
      <c r="I125"/>
      <c r="J125" s="1867"/>
    </row>
    <row r="126" spans="1:10" ht="17">
      <c r="A126" s="1862" t="str">
        <f ca="1">IFERROR(IF(B126="","",VLOOKUP(B126,Buget_detaliat!F:I,4,0)),"")</f>
        <v>Aderenta_VOT</v>
      </c>
      <c r="B126" s="1864" t="s">
        <v>3306</v>
      </c>
      <c r="C126" s="1866">
        <v>81790.8</v>
      </c>
      <c r="D126" s="1866">
        <v>61343.100000000006</v>
      </c>
      <c r="E126" s="1866">
        <v>61343.100000000006</v>
      </c>
      <c r="F126" s="1866">
        <v>40895.4</v>
      </c>
      <c r="G126" s="1866">
        <v>40895.4</v>
      </c>
      <c r="H126" s="2101">
        <v>286267.8</v>
      </c>
      <c r="I126"/>
      <c r="J126" s="1867"/>
    </row>
    <row r="127" spans="1:10" ht="17">
      <c r="A127" s="1862" t="str">
        <f ca="1">IFERROR(IF(B127="","",VLOOKUP(B127,Buget_detaliat!F:I,4,0)),"")</f>
        <v>Aderenta_VOT</v>
      </c>
      <c r="B127" s="1864" t="s">
        <v>3308</v>
      </c>
      <c r="C127" s="1866">
        <v>120000</v>
      </c>
      <c r="D127" s="1866">
        <v>0</v>
      </c>
      <c r="E127" s="1866">
        <v>0</v>
      </c>
      <c r="F127" s="1866">
        <v>0</v>
      </c>
      <c r="G127" s="1866">
        <v>0</v>
      </c>
      <c r="H127" s="2101">
        <v>120000</v>
      </c>
      <c r="I127"/>
      <c r="J127" s="1867"/>
    </row>
    <row r="128" spans="1:10" ht="17">
      <c r="A128" s="1862" t="str">
        <f ca="1">IFERROR(IF(B128="","",VLOOKUP(B128,Buget_detaliat!F:I,4,0)),"")</f>
        <v>Aderenta_VOT</v>
      </c>
      <c r="B128" s="1864" t="s">
        <v>3721</v>
      </c>
      <c r="C128" s="1866">
        <v>97100</v>
      </c>
      <c r="D128" s="1866">
        <v>0</v>
      </c>
      <c r="E128" s="1866">
        <v>0</v>
      </c>
      <c r="F128" s="1866">
        <v>0</v>
      </c>
      <c r="G128" s="1866">
        <v>0</v>
      </c>
      <c r="H128" s="2101">
        <v>97100</v>
      </c>
      <c r="I128"/>
      <c r="J128" s="1867"/>
    </row>
    <row r="129" spans="1:10">
      <c r="A129" s="1862" t="str">
        <f>IFERROR(IF(B129="","",VLOOKUP(B129,Buget_detaliat!F:I,4,0)),"")</f>
        <v/>
      </c>
      <c r="B129" s="2092"/>
      <c r="C129" s="1866"/>
      <c r="D129" s="1866"/>
      <c r="E129" s="1866"/>
      <c r="F129" s="1866"/>
      <c r="G129" s="1866"/>
      <c r="H129" s="2101"/>
      <c r="I129"/>
      <c r="J129" s="1867"/>
    </row>
    <row r="130" spans="1:10" ht="17">
      <c r="A130" s="1862" t="str">
        <f ca="1">IFERROR(IF(B130="","",VLOOKUP(B130,Buget_detaliat!F:I,4,0)),"")</f>
        <v/>
      </c>
      <c r="B130" s="1864" t="s">
        <v>252</v>
      </c>
      <c r="C130" s="1866">
        <v>366157</v>
      </c>
      <c r="D130" s="1866">
        <v>230889.9</v>
      </c>
      <c r="E130" s="1866">
        <v>230051.4</v>
      </c>
      <c r="F130" s="1866">
        <v>64548</v>
      </c>
      <c r="G130" s="1866">
        <v>63763.5</v>
      </c>
      <c r="H130" s="2101">
        <v>955409.8</v>
      </c>
      <c r="I130"/>
      <c r="J130" s="1867"/>
    </row>
    <row r="131" spans="1:10" ht="17">
      <c r="A131" s="1862" t="str">
        <f ca="1">IFERROR(IF(B131="","",VLOOKUP(B131,Buget_detaliat!F:I,4,0)),"")</f>
        <v/>
      </c>
      <c r="B131" s="1864" t="s">
        <v>340</v>
      </c>
      <c r="C131" s="1866">
        <v>215965</v>
      </c>
      <c r="D131" s="1866">
        <v>66623.5</v>
      </c>
      <c r="E131" s="1866">
        <v>65785</v>
      </c>
      <c r="F131" s="1866">
        <v>64548</v>
      </c>
      <c r="G131" s="1866">
        <v>63763.5</v>
      </c>
      <c r="H131" s="2101">
        <v>476685</v>
      </c>
      <c r="I131"/>
      <c r="J131" s="1867"/>
    </row>
    <row r="132" spans="1:10" ht="17">
      <c r="A132" s="1862" t="str">
        <f ca="1">IFERROR(IF(B132="","",VLOOKUP(B132,Buget_detaliat!F:I,4,0)),"")</f>
        <v/>
      </c>
      <c r="B132" s="1864" t="s">
        <v>2950</v>
      </c>
      <c r="C132" s="1866">
        <v>68225</v>
      </c>
      <c r="D132" s="1866">
        <v>66623.5</v>
      </c>
      <c r="E132" s="1866">
        <v>65785</v>
      </c>
      <c r="F132" s="1866">
        <v>64548</v>
      </c>
      <c r="G132" s="1866">
        <v>63763.5</v>
      </c>
      <c r="H132" s="2101">
        <v>328945</v>
      </c>
      <c r="I132"/>
      <c r="J132" s="1867"/>
    </row>
    <row r="133" spans="1:10" ht="17">
      <c r="A133" s="1862" t="str">
        <f ca="1">IFERROR(IF(B133="","",VLOOKUP(B133,Buget_detaliat!F:I,4,0)),"")</f>
        <v>Tratament_FLD_SLD</v>
      </c>
      <c r="B133" s="1864" t="s">
        <v>2405</v>
      </c>
      <c r="C133" s="1866">
        <v>19980</v>
      </c>
      <c r="D133" s="1866">
        <v>19440</v>
      </c>
      <c r="E133" s="1866">
        <v>18900</v>
      </c>
      <c r="F133" s="1866">
        <v>18360</v>
      </c>
      <c r="G133" s="1866">
        <v>17820</v>
      </c>
      <c r="H133" s="2101">
        <v>94500</v>
      </c>
      <c r="I133"/>
      <c r="J133" s="1867"/>
    </row>
    <row r="134" spans="1:10" ht="17">
      <c r="A134" s="1862" t="str">
        <f ca="1">IFERROR(IF(B134="","",VLOOKUP(B134,Buget_detaliat!F:I,4,0)),"")</f>
        <v>Tratament_FLD_SLD</v>
      </c>
      <c r="B134" s="1864" t="s">
        <v>2404</v>
      </c>
      <c r="C134" s="1866">
        <v>720</v>
      </c>
      <c r="D134" s="1866">
        <v>720</v>
      </c>
      <c r="E134" s="1866">
        <v>720</v>
      </c>
      <c r="F134" s="1866">
        <v>540</v>
      </c>
      <c r="G134" s="1866">
        <v>540</v>
      </c>
      <c r="H134" s="2101">
        <v>3240</v>
      </c>
      <c r="I134"/>
      <c r="J134" s="1867"/>
    </row>
    <row r="135" spans="1:10" ht="17">
      <c r="A135" s="1862" t="str">
        <f ca="1">IFERROR(IF(B135="","",VLOOKUP(B135,Buget_detaliat!F:I,4,0)),"")</f>
        <v>Tratament_FLD_SLD</v>
      </c>
      <c r="B135" s="1864" t="s">
        <v>2409</v>
      </c>
      <c r="C135" s="1866">
        <v>18134.5</v>
      </c>
      <c r="D135" s="1866">
        <v>17469</v>
      </c>
      <c r="E135" s="1866">
        <v>16920.5</v>
      </c>
      <c r="F135" s="1866">
        <v>16372.5</v>
      </c>
      <c r="G135" s="1866">
        <v>15913</v>
      </c>
      <c r="H135" s="2101">
        <v>84809.5</v>
      </c>
      <c r="I135"/>
      <c r="J135" s="1867"/>
    </row>
    <row r="136" spans="1:10" ht="17">
      <c r="A136" s="1862" t="str">
        <f ca="1">IFERROR(IF(B136="","",VLOOKUP(B136,Buget_detaliat!F:I,4,0)),"")</f>
        <v>Tratament_FLD_SLD</v>
      </c>
      <c r="B136" s="1864" t="s">
        <v>2410</v>
      </c>
      <c r="C136" s="1866">
        <v>580.5</v>
      </c>
      <c r="D136" s="1866">
        <v>544.5</v>
      </c>
      <c r="E136" s="1866">
        <v>544.5</v>
      </c>
      <c r="F136" s="1866">
        <v>508</v>
      </c>
      <c r="G136" s="1866">
        <v>508</v>
      </c>
      <c r="H136" s="2101">
        <v>2685.5</v>
      </c>
      <c r="I136"/>
      <c r="J136" s="1867"/>
    </row>
    <row r="137" spans="1:10" ht="17">
      <c r="A137" s="1862" t="str">
        <f ca="1">IFERROR(IF(B137="","",VLOOKUP(B137,Buget_detaliat!F:I,4,0)),"")</f>
        <v>Tratament_FLD_SLD</v>
      </c>
      <c r="B137" s="1864" t="s">
        <v>2413</v>
      </c>
      <c r="C137" s="1866">
        <v>1980</v>
      </c>
      <c r="D137" s="1866">
        <v>1980</v>
      </c>
      <c r="E137" s="1866">
        <v>1980</v>
      </c>
      <c r="F137" s="1866">
        <v>1800</v>
      </c>
      <c r="G137" s="1866">
        <v>1800</v>
      </c>
      <c r="H137" s="2101">
        <v>9540</v>
      </c>
      <c r="I137"/>
      <c r="J137" s="1867"/>
    </row>
    <row r="138" spans="1:10" ht="17">
      <c r="A138" s="1862" t="str">
        <f ca="1">IFERROR(IF(B138="","",VLOOKUP(B138,Buget_detaliat!F:I,4,0)),"")</f>
        <v>Tratament_FLD_SLD</v>
      </c>
      <c r="B138" s="1864" t="s">
        <v>2412</v>
      </c>
      <c r="C138" s="1866">
        <v>360</v>
      </c>
      <c r="D138" s="1866">
        <v>360</v>
      </c>
      <c r="E138" s="1866">
        <v>360</v>
      </c>
      <c r="F138" s="1866">
        <v>360</v>
      </c>
      <c r="G138" s="1866">
        <v>360</v>
      </c>
      <c r="H138" s="2101">
        <v>1800</v>
      </c>
      <c r="I138"/>
      <c r="J138" s="1867"/>
    </row>
    <row r="139" spans="1:10" ht="17">
      <c r="A139" s="1862" t="str">
        <f ca="1">IFERROR(IF(B139="","",VLOOKUP(B139,Buget_detaliat!F:I,4,0)),"")</f>
        <v>Tratament_FLD_SLD</v>
      </c>
      <c r="B139" s="1864" t="s">
        <v>3242</v>
      </c>
      <c r="C139" s="1866">
        <v>7560</v>
      </c>
      <c r="D139" s="1866">
        <v>7200</v>
      </c>
      <c r="E139" s="1866">
        <v>7200</v>
      </c>
      <c r="F139" s="1866">
        <v>7020</v>
      </c>
      <c r="G139" s="1866">
        <v>6840</v>
      </c>
      <c r="H139" s="2101">
        <v>35820</v>
      </c>
      <c r="I139"/>
      <c r="J139" s="1867"/>
    </row>
    <row r="140" spans="1:10" ht="17">
      <c r="A140" s="1862" t="str">
        <f ca="1">IFERROR(IF(B140="","",VLOOKUP(B140,Buget_detaliat!F:I,4,0)),"")</f>
        <v>Tratament_FLD_SLD</v>
      </c>
      <c r="B140" s="1864" t="s">
        <v>3732</v>
      </c>
      <c r="C140" s="1866">
        <v>18910</v>
      </c>
      <c r="D140" s="1866">
        <v>18910</v>
      </c>
      <c r="E140" s="1866">
        <v>19160</v>
      </c>
      <c r="F140" s="1866">
        <v>19587.5</v>
      </c>
      <c r="G140" s="1866">
        <v>19982.5</v>
      </c>
      <c r="H140" s="2101">
        <v>96550</v>
      </c>
      <c r="I140"/>
      <c r="J140" s="1867"/>
    </row>
    <row r="141" spans="1:10">
      <c r="A141" s="1862" t="str">
        <f>IFERROR(IF(B141="","",VLOOKUP(B141,Buget_detaliat!F:I,4,0)),"")</f>
        <v/>
      </c>
      <c r="B141" s="2092"/>
      <c r="C141" s="1866"/>
      <c r="D141" s="1866"/>
      <c r="E141" s="1866"/>
      <c r="F141" s="1866"/>
      <c r="G141" s="1866"/>
      <c r="H141" s="2101"/>
    </row>
    <row r="142" spans="1:10" ht="17">
      <c r="A142" s="1862" t="str">
        <f ca="1">IFERROR(IF(B142="","",VLOOKUP(B142,Buget_detaliat!F:I,4,0)),"")</f>
        <v/>
      </c>
      <c r="B142" s="1864" t="s">
        <v>2945</v>
      </c>
      <c r="C142" s="1866">
        <v>110192</v>
      </c>
      <c r="D142" s="1866">
        <v>0</v>
      </c>
      <c r="E142" s="1866">
        <v>0</v>
      </c>
      <c r="F142" s="1866">
        <v>0</v>
      </c>
      <c r="G142" s="1866">
        <v>0</v>
      </c>
      <c r="H142" s="2101">
        <v>110192</v>
      </c>
    </row>
    <row r="143" spans="1:10" ht="17">
      <c r="A143" s="1862" t="str">
        <f ca="1">IFERROR(IF(B143="","",VLOOKUP(B143,Buget_detaliat!F:I,4,0)),"")</f>
        <v>Activ_colaborative</v>
      </c>
      <c r="B143" s="1864" t="s">
        <v>3313</v>
      </c>
      <c r="C143" s="1866">
        <v>40000</v>
      </c>
      <c r="D143" s="1866">
        <v>0</v>
      </c>
      <c r="E143" s="1866">
        <v>0</v>
      </c>
      <c r="F143" s="1866">
        <v>0</v>
      </c>
      <c r="G143" s="1866">
        <v>0</v>
      </c>
      <c r="H143" s="2101">
        <v>40000</v>
      </c>
    </row>
    <row r="144" spans="1:10" ht="17">
      <c r="A144" s="1862" t="str">
        <f ca="1">IFERROR(IF(B144="","",VLOOKUP(B144,Buget_detaliat!F:I,4,0)),"")</f>
        <v>Activ_colaborative</v>
      </c>
      <c r="B144" s="1864" t="s">
        <v>3314</v>
      </c>
      <c r="C144" s="1866">
        <v>70192</v>
      </c>
      <c r="D144" s="1866">
        <v>0</v>
      </c>
      <c r="E144" s="1866">
        <v>0</v>
      </c>
      <c r="F144" s="1866">
        <v>0</v>
      </c>
      <c r="G144" s="1866">
        <v>0</v>
      </c>
      <c r="H144" s="2101">
        <v>70192</v>
      </c>
      <c r="I144" s="2110"/>
    </row>
    <row r="145" spans="1:10">
      <c r="A145" s="1862" t="str">
        <f>IFERROR(IF(B145="","",VLOOKUP(B145,Buget_detaliat!F:I,4,0)),"")</f>
        <v/>
      </c>
      <c r="B145" s="2092"/>
      <c r="C145" s="1866"/>
      <c r="D145" s="1866"/>
      <c r="E145" s="1866"/>
      <c r="F145" s="1866"/>
      <c r="G145" s="1866"/>
      <c r="H145" s="2101"/>
      <c r="I145" s="2110"/>
    </row>
    <row r="146" spans="1:10" ht="17">
      <c r="A146" s="1862" t="str">
        <f ca="1">IFERROR(IF(B146="","",VLOOKUP(B146,Buget_detaliat!F:I,4,0)),"")</f>
        <v/>
      </c>
      <c r="B146" s="1864" t="s">
        <v>2946</v>
      </c>
      <c r="C146" s="1866">
        <v>37548</v>
      </c>
      <c r="D146" s="1866">
        <v>0</v>
      </c>
      <c r="E146" s="1866">
        <v>0</v>
      </c>
      <c r="F146" s="1866">
        <v>0</v>
      </c>
      <c r="G146" s="1866">
        <v>0</v>
      </c>
      <c r="H146" s="2101">
        <v>37548</v>
      </c>
    </row>
    <row r="147" spans="1:10" ht="17">
      <c r="A147" s="1862" t="str">
        <f ca="1">IFERROR(IF(B147="","",VLOOKUP(B147,Buget_detaliat!F:I,4,0)),"")</f>
        <v>Activ_colaborative</v>
      </c>
      <c r="B147" s="1864" t="s">
        <v>3316</v>
      </c>
      <c r="C147" s="1866">
        <v>20000</v>
      </c>
      <c r="D147" s="1866">
        <v>0</v>
      </c>
      <c r="E147" s="1866">
        <v>0</v>
      </c>
      <c r="F147" s="1866">
        <v>0</v>
      </c>
      <c r="G147" s="1866">
        <v>0</v>
      </c>
      <c r="H147" s="2101">
        <v>20000</v>
      </c>
    </row>
    <row r="148" spans="1:10" ht="17">
      <c r="A148" s="1862" t="str">
        <f ca="1">IFERROR(IF(B148="","",VLOOKUP(B148,Buget_detaliat!F:I,4,0)),"")</f>
        <v>Activ_colaborative</v>
      </c>
      <c r="B148" s="1864" t="s">
        <v>3317</v>
      </c>
      <c r="C148" s="1866">
        <v>17548</v>
      </c>
      <c r="D148" s="1866">
        <v>0</v>
      </c>
      <c r="E148" s="1866">
        <v>0</v>
      </c>
      <c r="F148" s="1866">
        <v>0</v>
      </c>
      <c r="G148" s="1866">
        <v>0</v>
      </c>
      <c r="H148" s="2101">
        <v>17548</v>
      </c>
    </row>
    <row r="149" spans="1:10">
      <c r="A149" s="1862" t="str">
        <f>IFERROR(IF(B149="","",VLOOKUP(B149,Buget_detaliat!F:I,4,0)),"")</f>
        <v/>
      </c>
      <c r="B149" s="2092"/>
      <c r="C149" s="1866"/>
      <c r="D149" s="1866"/>
      <c r="E149" s="1866"/>
      <c r="F149" s="1866"/>
      <c r="G149" s="1866"/>
      <c r="H149" s="2101"/>
    </row>
    <row r="150" spans="1:10" ht="17">
      <c r="A150" s="1862" t="str">
        <f ca="1">IFERROR(IF(B150="","",VLOOKUP(B150,Buget_detaliat!F:I,4,0)),"")</f>
        <v/>
      </c>
      <c r="B150" s="1864" t="s">
        <v>390</v>
      </c>
      <c r="C150" s="1866">
        <v>150192</v>
      </c>
      <c r="D150" s="1866">
        <v>164266.4</v>
      </c>
      <c r="E150" s="1866">
        <v>164266.4</v>
      </c>
      <c r="F150" s="1866">
        <v>0</v>
      </c>
      <c r="G150" s="1866">
        <v>0</v>
      </c>
      <c r="H150" s="2101">
        <v>478724.8</v>
      </c>
    </row>
    <row r="151" spans="1:10" s="1861" customFormat="1" ht="17">
      <c r="A151" s="1862" t="str">
        <f ca="1">IFERROR(IF(B151="","",VLOOKUP(B151,Buget_detaliat!F:I,4,0)),"")</f>
        <v/>
      </c>
      <c r="B151" s="1864" t="s">
        <v>2953</v>
      </c>
      <c r="C151" s="1866">
        <v>150192</v>
      </c>
      <c r="D151" s="1866">
        <v>0</v>
      </c>
      <c r="E151" s="1866">
        <v>0</v>
      </c>
      <c r="F151" s="1866">
        <v>0</v>
      </c>
      <c r="G151" s="1866">
        <v>0</v>
      </c>
      <c r="H151" s="2101">
        <v>150192</v>
      </c>
    </row>
    <row r="152" spans="1:10" s="1861" customFormat="1" ht="17">
      <c r="A152" s="1862" t="str">
        <f ca="1">IFERROR(IF(B152="","",VLOOKUP(B152,Buget_detaliat!F:I,4,0)),"")</f>
        <v>Activ_colaborative</v>
      </c>
      <c r="B152" s="1864" t="s">
        <v>3319</v>
      </c>
      <c r="C152" s="1866">
        <v>80000</v>
      </c>
      <c r="D152" s="1866">
        <v>0</v>
      </c>
      <c r="E152" s="1866">
        <v>0</v>
      </c>
      <c r="F152" s="1866">
        <v>0</v>
      </c>
      <c r="G152" s="1866">
        <v>0</v>
      </c>
      <c r="H152" s="2101">
        <v>80000</v>
      </c>
    </row>
    <row r="153" spans="1:10" s="1861" customFormat="1" ht="17">
      <c r="A153" s="1862" t="str">
        <f ca="1">IFERROR(IF(B153="","",VLOOKUP(B153,Buget_detaliat!F:I,4,0)),"")</f>
        <v>Activ_colaborative</v>
      </c>
      <c r="B153" s="1864" t="s">
        <v>3320</v>
      </c>
      <c r="C153" s="1866">
        <v>70192</v>
      </c>
      <c r="D153" s="1866">
        <v>0</v>
      </c>
      <c r="E153" s="1866">
        <v>0</v>
      </c>
      <c r="F153" s="1866">
        <v>0</v>
      </c>
      <c r="G153" s="1866">
        <v>0</v>
      </c>
      <c r="H153" s="2101">
        <v>70192</v>
      </c>
    </row>
    <row r="154" spans="1:10">
      <c r="A154" s="1862" t="str">
        <f>IFERROR(IF(B154="","",VLOOKUP(B154,Buget_detaliat!F:I,4,0)),"")</f>
        <v/>
      </c>
      <c r="B154" s="2092"/>
      <c r="C154" s="1866"/>
      <c r="D154" s="1866"/>
      <c r="E154" s="1866"/>
      <c r="F154" s="1866"/>
      <c r="G154" s="1866"/>
      <c r="H154" s="2101"/>
    </row>
    <row r="155" spans="1:10" s="1861" customFormat="1" ht="17">
      <c r="A155" s="1862" t="str">
        <f ca="1">IFERROR(IF(B155="","",VLOOKUP(B155,Buget_detaliat!F:I,4,0)),"")</f>
        <v/>
      </c>
      <c r="B155" s="1864" t="s">
        <v>3372</v>
      </c>
      <c r="C155" s="1866">
        <v>0</v>
      </c>
      <c r="D155" s="1866">
        <v>164266.4</v>
      </c>
      <c r="E155" s="1866">
        <v>164266.4</v>
      </c>
      <c r="F155" s="1866">
        <v>0</v>
      </c>
      <c r="G155" s="1866">
        <v>0</v>
      </c>
      <c r="H155" s="2101">
        <v>328532.8</v>
      </c>
      <c r="J155" s="2111" t="s">
        <v>3619</v>
      </c>
    </row>
    <row r="156" spans="1:10" s="1861" customFormat="1" ht="17">
      <c r="A156" s="1862" t="str">
        <f ca="1">IFERROR(IF(B156="","",VLOOKUP(B156,Buget_detaliat!F:I,4,0)),"")</f>
        <v>Activ_colaborative</v>
      </c>
      <c r="B156" s="1864" t="s">
        <v>3325</v>
      </c>
      <c r="C156" s="1866">
        <v>0</v>
      </c>
      <c r="D156" s="1866">
        <v>4280</v>
      </c>
      <c r="E156" s="1866">
        <v>4280</v>
      </c>
      <c r="F156" s="1866">
        <v>0</v>
      </c>
      <c r="G156" s="1866">
        <v>0</v>
      </c>
      <c r="H156" s="2101">
        <v>8560</v>
      </c>
    </row>
    <row r="157" spans="1:10" s="1861" customFormat="1" ht="17">
      <c r="A157" s="1862" t="str">
        <f ca="1">IFERROR(IF(B157="","",VLOOKUP(B157,Buget_detaliat!F:I,4,0)),"")</f>
        <v>Activ_colaborative</v>
      </c>
      <c r="B157" s="1864" t="s">
        <v>3326</v>
      </c>
      <c r="C157" s="1866">
        <v>0</v>
      </c>
      <c r="D157" s="1866">
        <v>159986.4</v>
      </c>
      <c r="E157" s="1866">
        <v>159986.4</v>
      </c>
      <c r="F157" s="1866">
        <v>0</v>
      </c>
      <c r="G157" s="1866">
        <v>0</v>
      </c>
      <c r="H157" s="2101">
        <v>319972.8</v>
      </c>
    </row>
    <row r="158" spans="1:10">
      <c r="A158" s="1862" t="str">
        <f>IFERROR(IF(B158="","",VLOOKUP(B158,Buget_detaliat!F:I,4,0)),"")</f>
        <v/>
      </c>
      <c r="B158" s="2092"/>
      <c r="C158" s="1866"/>
      <c r="D158" s="1866"/>
      <c r="E158" s="1866"/>
      <c r="F158" s="1866"/>
      <c r="G158" s="1866"/>
      <c r="H158" s="2101"/>
    </row>
    <row r="159" spans="1:10" ht="17">
      <c r="A159" s="1862" t="str">
        <f ca="1">IFERROR(IF(B159="","",VLOOKUP(B159,Buget_detaliat!F:I,4,0)),"")</f>
        <v/>
      </c>
      <c r="B159" s="1864" t="s">
        <v>2955</v>
      </c>
      <c r="C159" s="1866">
        <v>0</v>
      </c>
      <c r="D159" s="1866">
        <v>0</v>
      </c>
      <c r="E159" s="1866">
        <v>0</v>
      </c>
      <c r="F159" s="1866">
        <v>0</v>
      </c>
      <c r="G159" s="1866">
        <v>0</v>
      </c>
      <c r="H159" s="2101">
        <v>0</v>
      </c>
    </row>
    <row r="160" spans="1:10" ht="17">
      <c r="A160" s="1862" t="str">
        <f ca="1">IFERROR(IF(B160="","",VLOOKUP(B160,Buget_detaliat!F:I,4,0)),"")</f>
        <v>Activ_colaborative</v>
      </c>
      <c r="B160" s="1864" t="s">
        <v>3369</v>
      </c>
      <c r="C160" s="1866">
        <v>0</v>
      </c>
      <c r="D160" s="1866">
        <v>0</v>
      </c>
      <c r="E160" s="1866">
        <v>0</v>
      </c>
      <c r="F160" s="1866">
        <v>0</v>
      </c>
      <c r="G160" s="1866">
        <v>0</v>
      </c>
      <c r="H160" s="2101">
        <v>0</v>
      </c>
    </row>
    <row r="161" spans="1:8" ht="17">
      <c r="A161" s="1862" t="str">
        <f ca="1">IFERROR(IF(B161="","",VLOOKUP(B161,Buget_detaliat!F:I,4,0)),"")</f>
        <v>Activ_colaborative</v>
      </c>
      <c r="B161" s="1864" t="s">
        <v>3370</v>
      </c>
      <c r="C161" s="1866">
        <v>0</v>
      </c>
      <c r="D161" s="1866">
        <v>0</v>
      </c>
      <c r="E161" s="1866">
        <v>0</v>
      </c>
      <c r="F161" s="1866">
        <v>0</v>
      </c>
      <c r="G161" s="1866">
        <v>0</v>
      </c>
      <c r="H161" s="2101">
        <v>0</v>
      </c>
    </row>
    <row r="162" spans="1:8" ht="17">
      <c r="A162" s="1862" t="str">
        <f ca="1">IFERROR(IF(B162="","",VLOOKUP(B162,Buget_detaliat!F:I,4,0)),"")</f>
        <v>Activ_colaborative</v>
      </c>
      <c r="B162" s="1864" t="s">
        <v>3371</v>
      </c>
      <c r="C162" s="1866">
        <v>0</v>
      </c>
      <c r="D162" s="1866">
        <v>0</v>
      </c>
      <c r="E162" s="1866">
        <v>0</v>
      </c>
      <c r="F162" s="1866">
        <v>0</v>
      </c>
      <c r="G162" s="1866">
        <v>0</v>
      </c>
      <c r="H162" s="2101">
        <v>0</v>
      </c>
    </row>
    <row r="163" spans="1:8">
      <c r="A163" s="1862" t="str">
        <f>IFERROR(IF(B163="","",VLOOKUP(B163,Buget_detaliat!F:I,4,0)),"")</f>
        <v/>
      </c>
      <c r="B163" s="2092"/>
      <c r="C163" s="1866"/>
      <c r="D163" s="1866"/>
      <c r="E163" s="1866"/>
      <c r="F163" s="1866"/>
      <c r="G163" s="1866"/>
      <c r="H163" s="2101"/>
    </row>
    <row r="164" spans="1:8" ht="17">
      <c r="A164" s="1862" t="str">
        <f ca="1">IFERROR(IF(B164="","",VLOOKUP(B164,Buget_detaliat!F:I,4,0)),"")</f>
        <v/>
      </c>
      <c r="B164" s="1864" t="s">
        <v>2247</v>
      </c>
      <c r="C164" s="1866">
        <v>7863291.5847807145</v>
      </c>
      <c r="D164" s="1866">
        <v>7518894.0046863202</v>
      </c>
      <c r="E164" s="1866">
        <v>7273806.8050403036</v>
      </c>
      <c r="F164" s="1866">
        <v>6161219.9500000002</v>
      </c>
      <c r="G164" s="1866">
        <v>6037411.4699999997</v>
      </c>
      <c r="H164" s="2101">
        <v>34854623.814507343</v>
      </c>
    </row>
    <row r="165" spans="1:8" ht="17">
      <c r="A165" s="1862" t="str">
        <f ca="1">IFERROR(IF(B165="","",VLOOKUP(B165,Buget_detaliat!F:I,4,0)),"")</f>
        <v/>
      </c>
      <c r="B165" s="1864" t="s">
        <v>341</v>
      </c>
      <c r="C165" s="1866">
        <v>6703021.3147807149</v>
      </c>
      <c r="D165" s="1866">
        <v>6659933.4046863206</v>
      </c>
      <c r="E165" s="1866">
        <v>6397816.205040304</v>
      </c>
      <c r="F165" s="1866">
        <v>6161219.9500000002</v>
      </c>
      <c r="G165" s="1866">
        <v>6037411.4699999997</v>
      </c>
      <c r="H165" s="2101">
        <v>31959402.34450734</v>
      </c>
    </row>
    <row r="166" spans="1:8" ht="17">
      <c r="A166" s="1862" t="str">
        <f ca="1">IFERROR(IF(B166="","",VLOOKUP(B166,Buget_detaliat!F:I,4,0)),"")</f>
        <v/>
      </c>
      <c r="B166" s="1864" t="s">
        <v>2957</v>
      </c>
      <c r="C166" s="1866">
        <v>0</v>
      </c>
      <c r="D166" s="1866">
        <v>97500</v>
      </c>
      <c r="E166" s="1866">
        <v>0</v>
      </c>
      <c r="F166" s="1866">
        <v>0</v>
      </c>
      <c r="G166" s="1866">
        <v>0</v>
      </c>
      <c r="H166" s="2101">
        <v>97500</v>
      </c>
    </row>
    <row r="167" spans="1:8" ht="17">
      <c r="A167" s="1862" t="str">
        <f ca="1">IFERROR(IF(B167="","",VLOOKUP(B167,Buget_detaliat!F:I,4,0)),"")</f>
        <v>ITL</v>
      </c>
      <c r="B167" s="1864" t="s">
        <v>3083</v>
      </c>
      <c r="C167" s="1866">
        <v>0</v>
      </c>
      <c r="D167" s="1866">
        <v>97500</v>
      </c>
      <c r="E167" s="1866">
        <v>0</v>
      </c>
      <c r="F167" s="1866">
        <v>0</v>
      </c>
      <c r="G167" s="1866">
        <v>0</v>
      </c>
      <c r="H167" s="2101">
        <v>97500</v>
      </c>
    </row>
    <row r="168" spans="1:8" ht="17">
      <c r="A168" s="1862" t="str">
        <f ca="1">IFERROR(IF(B168="","",VLOOKUP(B168,Buget_detaliat!F:I,4,0)),"")</f>
        <v>ITL</v>
      </c>
      <c r="B168" s="1864" t="s">
        <v>3084</v>
      </c>
      <c r="C168" s="1866">
        <v>0</v>
      </c>
      <c r="D168" s="1866">
        <v>0</v>
      </c>
      <c r="E168" s="1866">
        <v>0</v>
      </c>
      <c r="F168" s="1866">
        <v>0</v>
      </c>
      <c r="G168" s="1866">
        <v>0</v>
      </c>
      <c r="H168" s="2101">
        <v>0</v>
      </c>
    </row>
    <row r="169" spans="1:8">
      <c r="A169" s="1862" t="str">
        <f>IFERROR(IF(B169="","",VLOOKUP(B169,Buget_detaliat!F:I,4,0)),"")</f>
        <v/>
      </c>
      <c r="B169" s="2092"/>
      <c r="C169" s="1866"/>
      <c r="D169" s="1866"/>
      <c r="E169" s="1866"/>
      <c r="F169" s="1866"/>
      <c r="G169" s="1866"/>
      <c r="H169" s="2101"/>
    </row>
    <row r="170" spans="1:8" ht="17">
      <c r="A170" s="1862" t="str">
        <f ca="1">IFERROR(IF(B170="","",VLOOKUP(B170,Buget_detaliat!F:I,4,0)),"")</f>
        <v/>
      </c>
      <c r="B170" s="1864" t="s">
        <v>2958</v>
      </c>
      <c r="C170" s="1866">
        <v>1118921.25</v>
      </c>
      <c r="D170" s="1866">
        <v>1082782.5</v>
      </c>
      <c r="E170" s="1866">
        <v>1047305</v>
      </c>
      <c r="F170" s="1866">
        <v>1012431.25</v>
      </c>
      <c r="G170" s="1866">
        <v>978161.25</v>
      </c>
      <c r="H170" s="2101">
        <v>5239601.25</v>
      </c>
    </row>
    <row r="171" spans="1:8" ht="17">
      <c r="A171" s="1862" t="str">
        <f ca="1">IFERROR(IF(B171="","",VLOOKUP(B171,Buget_detaliat!F:I,4,0)),"")</f>
        <v>ITL</v>
      </c>
      <c r="B171" s="1864" t="s">
        <v>3090</v>
      </c>
      <c r="C171" s="1866">
        <v>1118921.25</v>
      </c>
      <c r="D171" s="1866">
        <v>1082782.5</v>
      </c>
      <c r="E171" s="1866">
        <v>1047305</v>
      </c>
      <c r="F171" s="1866">
        <v>1012431.25</v>
      </c>
      <c r="G171" s="1866">
        <v>978161.25</v>
      </c>
      <c r="H171" s="2101">
        <v>5239601.25</v>
      </c>
    </row>
    <row r="172" spans="1:8">
      <c r="A172" s="1862" t="str">
        <f>IFERROR(IF(B172="","",VLOOKUP(B172,Buget_detaliat!F:I,4,0)),"")</f>
        <v/>
      </c>
      <c r="B172" s="2092"/>
      <c r="C172" s="1866"/>
      <c r="D172" s="1866"/>
      <c r="E172" s="1866"/>
      <c r="F172" s="1866"/>
      <c r="G172" s="1866"/>
      <c r="H172" s="2101"/>
    </row>
    <row r="173" spans="1:8" ht="17">
      <c r="A173" s="1862" t="str">
        <f ca="1">IFERROR(IF(B173="","",VLOOKUP(B173,Buget_detaliat!F:I,4,0)),"")</f>
        <v/>
      </c>
      <c r="B173" s="1864" t="s">
        <v>2959</v>
      </c>
      <c r="C173" s="1866">
        <v>464142</v>
      </c>
      <c r="D173" s="1866">
        <v>464142</v>
      </c>
      <c r="E173" s="1866">
        <v>464142</v>
      </c>
      <c r="F173" s="1866">
        <v>464142</v>
      </c>
      <c r="G173" s="1866">
        <v>464142</v>
      </c>
      <c r="H173" s="2101">
        <v>2320710</v>
      </c>
    </row>
    <row r="174" spans="1:8" ht="17">
      <c r="A174" s="1862" t="str">
        <f ca="1">IFERROR(IF(B174="","",VLOOKUP(B174,Buget_detaliat!F:I,4,0)),"")</f>
        <v>ITL</v>
      </c>
      <c r="B174" s="1864" t="s">
        <v>3089</v>
      </c>
      <c r="C174" s="1866">
        <v>464142</v>
      </c>
      <c r="D174" s="1866">
        <v>464142</v>
      </c>
      <c r="E174" s="1866">
        <v>464142</v>
      </c>
      <c r="F174" s="1866">
        <v>464142</v>
      </c>
      <c r="G174" s="1866">
        <v>464142</v>
      </c>
      <c r="H174" s="2101">
        <v>2320710</v>
      </c>
    </row>
    <row r="175" spans="1:8">
      <c r="A175" s="1862" t="str">
        <f>IFERROR(IF(B175="","",VLOOKUP(B175,Buget_detaliat!F:I,4,0)),"")</f>
        <v/>
      </c>
      <c r="B175" s="2092"/>
      <c r="C175" s="1866"/>
      <c r="D175" s="1866"/>
      <c r="E175" s="1866"/>
      <c r="F175" s="1866"/>
      <c r="G175" s="1866"/>
      <c r="H175" s="2101"/>
    </row>
    <row r="176" spans="1:8" ht="17">
      <c r="A176" s="1862" t="str">
        <f ca="1">IFERROR(IF(B176="","",VLOOKUP(B176,Buget_detaliat!F:I,4,0)),"")</f>
        <v/>
      </c>
      <c r="B176" s="1864" t="s">
        <v>2960</v>
      </c>
      <c r="C176" s="1866">
        <v>686345.82944542565</v>
      </c>
      <c r="D176" s="1866">
        <v>712918.51381710719</v>
      </c>
      <c r="E176" s="1866">
        <v>707941.28043067688</v>
      </c>
      <c r="F176" s="1866">
        <v>729814.32000000007</v>
      </c>
      <c r="G176" s="1866">
        <v>729814.32000000007</v>
      </c>
      <c r="H176" s="2101">
        <v>3566834.2636932097</v>
      </c>
    </row>
    <row r="177" spans="1:12" ht="17">
      <c r="A177" s="1862" t="str">
        <f ca="1">IFERROR(IF(B177="","",VLOOKUP(B177,Buget_detaliat!F:I,4,0)),"")</f>
        <v>ITL</v>
      </c>
      <c r="B177" s="1864" t="s">
        <v>2385</v>
      </c>
      <c r="C177" s="1866">
        <v>514548.92211209284</v>
      </c>
      <c r="D177" s="1866">
        <v>534688.88536283036</v>
      </c>
      <c r="E177" s="1866">
        <v>530977.05029498402</v>
      </c>
      <c r="F177" s="1866">
        <v>546557.76</v>
      </c>
      <c r="G177" s="1866">
        <v>546557.76</v>
      </c>
      <c r="H177" s="2101">
        <v>2673330.377769907</v>
      </c>
    </row>
    <row r="178" spans="1:12" ht="17">
      <c r="A178" s="1862" t="str">
        <f ca="1">IFERROR(IF(B178="","",VLOOKUP(B178,Buget_detaliat!F:I,4,0)),"")</f>
        <v>ITL</v>
      </c>
      <c r="B178" s="1864" t="s">
        <v>2386</v>
      </c>
      <c r="C178" s="1866">
        <v>171796.90733333278</v>
      </c>
      <c r="D178" s="1866">
        <v>178229.6284542768</v>
      </c>
      <c r="E178" s="1866">
        <v>176964.23013569281</v>
      </c>
      <c r="F178" s="1866">
        <v>183256.56</v>
      </c>
      <c r="G178" s="1866">
        <v>183256.56</v>
      </c>
      <c r="H178" s="2101">
        <v>893503.8859233025</v>
      </c>
      <c r="J178"/>
      <c r="K178"/>
      <c r="L178"/>
    </row>
    <row r="179" spans="1:12">
      <c r="A179" s="1862" t="str">
        <f>IFERROR(IF(B179="","",VLOOKUP(B179,Buget_detaliat!F:I,4,0)),"")</f>
        <v/>
      </c>
      <c r="B179" s="2092"/>
      <c r="C179" s="1866"/>
      <c r="D179" s="1866"/>
      <c r="E179" s="1866"/>
      <c r="F179" s="1866"/>
      <c r="G179" s="1866"/>
      <c r="H179" s="2101"/>
      <c r="J179"/>
      <c r="K179"/>
      <c r="L179"/>
    </row>
    <row r="180" spans="1:12" ht="17">
      <c r="A180" s="1862" t="str">
        <f ca="1">IFERROR(IF(B180="","",VLOOKUP(B180,Buget_detaliat!F:I,4,0)),"")</f>
        <v/>
      </c>
      <c r="B180" s="1864" t="s">
        <v>2961</v>
      </c>
      <c r="C180" s="1866">
        <v>4433612.2353352895</v>
      </c>
      <c r="D180" s="1866">
        <v>4302590.3908692133</v>
      </c>
      <c r="E180" s="1866">
        <v>4178427.9246096285</v>
      </c>
      <c r="F180" s="1866">
        <v>3954832.38</v>
      </c>
      <c r="G180" s="1866">
        <v>3865293.9</v>
      </c>
      <c r="H180" s="2101">
        <v>20734756.830814134</v>
      </c>
      <c r="J180"/>
      <c r="K180"/>
      <c r="L180"/>
    </row>
    <row r="181" spans="1:12" ht="17">
      <c r="A181" s="1862" t="str">
        <f ca="1">IFERROR(IF(B181="","",VLOOKUP(B181,Buget_detaliat!F:I,4,0)),"")</f>
        <v>ITL</v>
      </c>
      <c r="B181" s="1864" t="s">
        <v>2194</v>
      </c>
      <c r="C181" s="1866">
        <v>370939.5</v>
      </c>
      <c r="D181" s="1866">
        <v>361482.3</v>
      </c>
      <c r="E181" s="1866">
        <v>352536.3</v>
      </c>
      <c r="F181" s="1866">
        <v>343909.8</v>
      </c>
      <c r="G181" s="1866">
        <v>335475</v>
      </c>
      <c r="H181" s="2101">
        <v>1764342.9000000001</v>
      </c>
      <c r="J181"/>
      <c r="K181"/>
      <c r="L181"/>
    </row>
    <row r="182" spans="1:12" ht="17">
      <c r="A182" s="1862" t="str">
        <f ca="1">IFERROR(IF(B182="","",VLOOKUP(B182,Buget_detaliat!F:I,4,0)),"")</f>
        <v>ITL</v>
      </c>
      <c r="B182" s="1864" t="s">
        <v>2205</v>
      </c>
      <c r="C182" s="1866">
        <v>3124266.0477581038</v>
      </c>
      <c r="D182" s="1866">
        <v>3022924.4363048109</v>
      </c>
      <c r="E182" s="1866">
        <v>2924334.4633569261</v>
      </c>
      <c r="F182" s="1866">
        <v>2749030.2</v>
      </c>
      <c r="G182" s="1866">
        <v>2676049.44</v>
      </c>
      <c r="H182" s="2101">
        <v>14496604.587419841</v>
      </c>
      <c r="J182"/>
      <c r="K182"/>
      <c r="L182"/>
    </row>
    <row r="183" spans="1:12" ht="17">
      <c r="A183" s="1862" t="str">
        <f ca="1">IFERROR(IF(B183="","",VLOOKUP(B183,Buget_detaliat!F:I,4,0)),"")</f>
        <v>ITL</v>
      </c>
      <c r="B183" s="1864" t="s">
        <v>2207</v>
      </c>
      <c r="C183" s="1866">
        <v>303124.29870206397</v>
      </c>
      <c r="D183" s="1866">
        <v>303923.86105604644</v>
      </c>
      <c r="E183" s="1866">
        <v>307029.58363421762</v>
      </c>
      <c r="F183" s="1866">
        <v>296427.12</v>
      </c>
      <c r="G183" s="1866">
        <v>300446.88</v>
      </c>
      <c r="H183" s="2101">
        <v>1510951.7433923278</v>
      </c>
      <c r="J183"/>
      <c r="K183"/>
      <c r="L183"/>
    </row>
    <row r="184" spans="1:12" ht="17">
      <c r="A184" s="1862" t="str">
        <f ca="1">IFERROR(IF(B184="","",VLOOKUP(B184,Buget_detaliat!F:I,4,0)),"")</f>
        <v>ITL</v>
      </c>
      <c r="B184" s="1864" t="s">
        <v>2195</v>
      </c>
      <c r="C184" s="1866">
        <v>144222.29999999999</v>
      </c>
      <c r="D184" s="1866">
        <v>139365.9</v>
      </c>
      <c r="E184" s="1866">
        <v>134445.6</v>
      </c>
      <c r="F184" s="1866">
        <v>130164.29999999999</v>
      </c>
      <c r="G184" s="1866">
        <v>125819.09999999999</v>
      </c>
      <c r="H184" s="2101">
        <v>674017.19999999984</v>
      </c>
      <c r="J184"/>
      <c r="K184"/>
      <c r="L184"/>
    </row>
    <row r="185" spans="1:12" ht="17">
      <c r="A185" s="1862" t="str">
        <f ca="1">IFERROR(IF(B185="","",VLOOKUP(B185,Buget_detaliat!F:I,4,0)),"")</f>
        <v>ITL</v>
      </c>
      <c r="B185" s="1864" t="s">
        <v>2206</v>
      </c>
      <c r="C185" s="1866">
        <v>430508.21347099193</v>
      </c>
      <c r="D185" s="1866">
        <v>409789.09776794398</v>
      </c>
      <c r="E185" s="1866">
        <v>390509.10165388323</v>
      </c>
      <c r="F185" s="1866">
        <v>361567.92</v>
      </c>
      <c r="G185" s="1866">
        <v>347370.36</v>
      </c>
      <c r="H185" s="2101">
        <v>1939744.6928928192</v>
      </c>
      <c r="J185"/>
      <c r="K185"/>
      <c r="L185"/>
    </row>
    <row r="186" spans="1:12" ht="17">
      <c r="A186" s="1862" t="str">
        <f ca="1">IFERROR(IF(B186="","",VLOOKUP(B186,Buget_detaliat!F:I,4,0)),"")</f>
        <v>ITL</v>
      </c>
      <c r="B186" s="1864" t="s">
        <v>2210</v>
      </c>
      <c r="C186" s="1866">
        <v>60551.875404129605</v>
      </c>
      <c r="D186" s="1866">
        <v>65104.795740412796</v>
      </c>
      <c r="E186" s="1866">
        <v>69572.875964601597</v>
      </c>
      <c r="F186" s="1866">
        <v>73733.040000000008</v>
      </c>
      <c r="G186" s="1866">
        <v>80133.119999999995</v>
      </c>
      <c r="H186" s="2101">
        <v>349095.70710914402</v>
      </c>
      <c r="J186"/>
      <c r="K186"/>
      <c r="L186"/>
    </row>
    <row r="187" spans="1:12">
      <c r="A187" s="1862" t="str">
        <f>IFERROR(IF(B187="","",VLOOKUP(B187,Buget_detaliat!F:I,4,0)),"")</f>
        <v/>
      </c>
      <c r="B187" s="2092"/>
      <c r="C187" s="1866"/>
      <c r="D187" s="1866"/>
      <c r="E187" s="1866"/>
      <c r="F187" s="1866"/>
      <c r="G187" s="1866"/>
      <c r="H187" s="2101"/>
      <c r="J187"/>
      <c r="K187"/>
      <c r="L187"/>
    </row>
    <row r="188" spans="1:12" ht="17">
      <c r="A188" s="1862" t="str">
        <f ca="1">IFERROR(IF(B188="","",VLOOKUP(B188,Buget_detaliat!F:I,4,0)),"")</f>
        <v/>
      </c>
      <c r="B188" s="1864" t="s">
        <v>1852</v>
      </c>
      <c r="C188" s="1866">
        <v>1160270.27</v>
      </c>
      <c r="D188" s="1866">
        <v>858960.6</v>
      </c>
      <c r="E188" s="1866">
        <v>875990.6</v>
      </c>
      <c r="F188" s="1866">
        <v>0</v>
      </c>
      <c r="G188" s="1866">
        <v>0</v>
      </c>
      <c r="H188" s="2101">
        <v>2895221.4699999997</v>
      </c>
      <c r="J188"/>
      <c r="K188"/>
      <c r="L188"/>
    </row>
    <row r="189" spans="1:12" ht="17">
      <c r="A189" s="1862" t="str">
        <f ca="1">IFERROR(IF(B189="","",VLOOKUP(B189,Buget_detaliat!F:I,4,0)),"")</f>
        <v/>
      </c>
      <c r="B189" s="1864" t="s">
        <v>2962</v>
      </c>
      <c r="C189" s="1866">
        <v>493960.6</v>
      </c>
      <c r="D189" s="1866">
        <v>493960.6</v>
      </c>
      <c r="E189" s="1866">
        <v>493960.6</v>
      </c>
      <c r="F189" s="1866">
        <v>0</v>
      </c>
      <c r="G189" s="1866">
        <v>0</v>
      </c>
      <c r="H189" s="2101">
        <v>1481881.8</v>
      </c>
    </row>
    <row r="190" spans="1:12" ht="17">
      <c r="A190" s="1862" t="str">
        <f ca="1">IFERROR(IF(B190="","",VLOOKUP(B190,Buget_detaliat!F:I,4,0)),"")</f>
        <v>Informare</v>
      </c>
      <c r="B190" s="1864" t="s">
        <v>3377</v>
      </c>
      <c r="C190" s="1866">
        <v>298560</v>
      </c>
      <c r="D190" s="1866">
        <v>298560</v>
      </c>
      <c r="E190" s="1866">
        <v>298560</v>
      </c>
      <c r="F190" s="1866">
        <v>0</v>
      </c>
      <c r="G190" s="1866">
        <v>0</v>
      </c>
      <c r="H190" s="2101">
        <v>895680</v>
      </c>
    </row>
    <row r="191" spans="1:12" ht="34">
      <c r="A191" s="1862" t="str">
        <f>IFERROR(IF(B191="","",VLOOKUP(B191,Buget_detaliat!F:I,4,0)),"")</f>
        <v/>
      </c>
      <c r="B191" s="1864" t="s">
        <v>3387</v>
      </c>
      <c r="C191" s="1866">
        <v>0</v>
      </c>
      <c r="D191" s="1866">
        <v>0</v>
      </c>
      <c r="E191" s="1866">
        <v>0</v>
      </c>
      <c r="F191" s="1866">
        <v>0</v>
      </c>
      <c r="G191" s="1866">
        <v>0</v>
      </c>
      <c r="H191" s="2101">
        <v>0</v>
      </c>
    </row>
    <row r="192" spans="1:12" ht="17">
      <c r="A192" s="1862" t="str">
        <f ca="1">IFERROR(IF(B192="","",VLOOKUP(B192,Buget_detaliat!F:I,4,0)),"")</f>
        <v>Informare</v>
      </c>
      <c r="B192" s="1864" t="s">
        <v>3388</v>
      </c>
      <c r="C192" s="1866">
        <v>0</v>
      </c>
      <c r="D192" s="1866">
        <v>0</v>
      </c>
      <c r="E192" s="1866">
        <v>0</v>
      </c>
      <c r="F192" s="1866">
        <v>0</v>
      </c>
      <c r="G192" s="1866">
        <v>0</v>
      </c>
      <c r="H192" s="2101">
        <v>0</v>
      </c>
    </row>
    <row r="193" spans="1:10" s="1861" customFormat="1" ht="17">
      <c r="A193" s="1862" t="str">
        <f ca="1">IFERROR(IF(B193="","",VLOOKUP(B193,Buget_detaliat!F:I,4,0)),"")</f>
        <v>Informare</v>
      </c>
      <c r="B193" s="1864" t="s">
        <v>3389</v>
      </c>
      <c r="C193" s="1866">
        <v>0</v>
      </c>
      <c r="D193" s="1866">
        <v>0</v>
      </c>
      <c r="E193" s="1866">
        <v>0</v>
      </c>
      <c r="F193" s="1866">
        <v>0</v>
      </c>
      <c r="G193" s="1866">
        <v>0</v>
      </c>
      <c r="H193" s="2101">
        <v>0</v>
      </c>
      <c r="J193" s="2111"/>
    </row>
    <row r="194" spans="1:10" ht="17">
      <c r="A194" s="1862" t="str">
        <f ca="1">IFERROR(IF(B194="","",VLOOKUP(B194,Buget_detaliat!F:I,4,0)),"")</f>
        <v>Informare</v>
      </c>
      <c r="B194" s="1864" t="s">
        <v>3390</v>
      </c>
      <c r="C194" s="1866">
        <v>165400.6</v>
      </c>
      <c r="D194" s="1866">
        <v>165400.6</v>
      </c>
      <c r="E194" s="1866">
        <v>165400.6</v>
      </c>
      <c r="F194" s="1866">
        <v>0</v>
      </c>
      <c r="G194" s="1866">
        <v>0</v>
      </c>
      <c r="H194" s="2101">
        <v>496201.80000000005</v>
      </c>
    </row>
    <row r="195" spans="1:10" ht="17">
      <c r="A195" s="1862" t="str">
        <f ca="1">IFERROR(IF(B195="","",VLOOKUP(B195,Buget_detaliat!F:I,4,0)),"")</f>
        <v>Informare</v>
      </c>
      <c r="B195" s="1864" t="s">
        <v>3937</v>
      </c>
      <c r="C195" s="1866">
        <v>30000</v>
      </c>
      <c r="D195" s="1866">
        <v>30000</v>
      </c>
      <c r="E195" s="1866">
        <v>30000</v>
      </c>
      <c r="F195" s="1866">
        <v>0</v>
      </c>
      <c r="G195" s="1866">
        <v>0</v>
      </c>
      <c r="H195" s="2101">
        <v>90000</v>
      </c>
    </row>
    <row r="196" spans="1:10">
      <c r="A196" s="1862" t="str">
        <f>IFERROR(IF(B196="","",VLOOKUP(B196,Buget_detaliat!F:I,4,0)),"")</f>
        <v/>
      </c>
      <c r="B196" s="2092"/>
      <c r="C196" s="1866"/>
      <c r="D196" s="1866"/>
      <c r="E196" s="1866"/>
      <c r="F196" s="1866"/>
      <c r="G196" s="1866"/>
      <c r="H196" s="2101"/>
    </row>
    <row r="197" spans="1:10" ht="17">
      <c r="A197" s="1862" t="str">
        <f ca="1">IFERROR(IF(B197="","",VLOOKUP(B197,Buget_detaliat!F:I,4,0)),"")</f>
        <v/>
      </c>
      <c r="B197" s="1864" t="s">
        <v>2963</v>
      </c>
      <c r="C197" s="1866">
        <v>229309.66999999998</v>
      </c>
      <c r="D197" s="1866">
        <v>30000</v>
      </c>
      <c r="E197" s="1866">
        <v>47030</v>
      </c>
      <c r="F197" s="1866">
        <v>0</v>
      </c>
      <c r="G197" s="1866">
        <v>0</v>
      </c>
      <c r="H197" s="2101">
        <v>306339.67</v>
      </c>
    </row>
    <row r="198" spans="1:10" ht="17">
      <c r="A198" s="1862" t="str">
        <f ca="1">IFERROR(IF(B198="","",VLOOKUP(B198,Buget_detaliat!F:I,4,0)),"")</f>
        <v>Informare</v>
      </c>
      <c r="B198" s="1864" t="s">
        <v>3391</v>
      </c>
      <c r="C198" s="1866">
        <v>30000</v>
      </c>
      <c r="D198" s="1866">
        <v>30000</v>
      </c>
      <c r="E198" s="1866">
        <v>30000</v>
      </c>
      <c r="F198" s="1866">
        <v>0</v>
      </c>
      <c r="G198" s="1866">
        <v>0</v>
      </c>
      <c r="H198" s="2101">
        <v>90000</v>
      </c>
    </row>
    <row r="199" spans="1:10" ht="17">
      <c r="A199" s="1862" t="str">
        <f ca="1">IFERROR(IF(B199="","",VLOOKUP(B199,Buget_detaliat!F:I,4,0)),"")</f>
        <v>Informare</v>
      </c>
      <c r="B199" s="1864" t="s">
        <v>3458</v>
      </c>
      <c r="C199" s="1866">
        <v>199309.66999999998</v>
      </c>
      <c r="D199" s="1866">
        <v>0</v>
      </c>
      <c r="E199" s="1866">
        <v>17030</v>
      </c>
      <c r="F199" s="1866">
        <v>0</v>
      </c>
      <c r="G199" s="1866">
        <v>0</v>
      </c>
      <c r="H199" s="2101">
        <v>216339.66999999998</v>
      </c>
    </row>
    <row r="200" spans="1:10">
      <c r="A200" s="1862" t="str">
        <f>IFERROR(IF(B200="","",VLOOKUP(B200,Buget_detaliat!F:I,4,0)),"")</f>
        <v/>
      </c>
      <c r="B200" s="2092"/>
      <c r="C200" s="1866"/>
      <c r="D200" s="1866"/>
      <c r="E200" s="1866"/>
      <c r="F200" s="1866"/>
      <c r="G200" s="1866"/>
      <c r="H200" s="2101"/>
    </row>
    <row r="201" spans="1:10" ht="17">
      <c r="A201" s="1862" t="str">
        <f ca="1">IFERROR(IF(B201="","",VLOOKUP(B201,Buget_detaliat!F:I,4,0)),"")</f>
        <v/>
      </c>
      <c r="B201" s="1864" t="s">
        <v>2964</v>
      </c>
      <c r="C201" s="1866">
        <v>437000</v>
      </c>
      <c r="D201" s="1866">
        <v>335000</v>
      </c>
      <c r="E201" s="1866">
        <v>335000</v>
      </c>
      <c r="F201" s="1866">
        <v>0</v>
      </c>
      <c r="G201" s="1866">
        <v>0</v>
      </c>
      <c r="H201" s="2101">
        <v>1107000</v>
      </c>
    </row>
    <row r="202" spans="1:10" ht="17">
      <c r="A202" s="1862" t="str">
        <f ca="1">IFERROR(IF(B202="","",VLOOKUP(B202,Buget_detaliat!F:I,4,0)),"")</f>
        <v>Informare</v>
      </c>
      <c r="B202" s="1864" t="s">
        <v>3465</v>
      </c>
      <c r="C202" s="1866">
        <v>102000</v>
      </c>
      <c r="D202" s="1866">
        <v>0</v>
      </c>
      <c r="E202" s="1866">
        <v>0</v>
      </c>
      <c r="F202" s="1866">
        <v>0</v>
      </c>
      <c r="G202" s="1866">
        <v>0</v>
      </c>
      <c r="H202" s="2101">
        <v>102000</v>
      </c>
    </row>
    <row r="203" spans="1:10" ht="17">
      <c r="A203" s="1862" t="str">
        <f ca="1">IFERROR(IF(B203="","",VLOOKUP(B203,Buget_detaliat!F:I,4,0)),"")</f>
        <v>Informare</v>
      </c>
      <c r="B203" s="1864" t="s">
        <v>3466</v>
      </c>
      <c r="C203" s="1866">
        <v>300000</v>
      </c>
      <c r="D203" s="1866">
        <v>300000</v>
      </c>
      <c r="E203" s="1866">
        <v>300000</v>
      </c>
      <c r="F203" s="1866">
        <v>0</v>
      </c>
      <c r="G203" s="1866">
        <v>0</v>
      </c>
      <c r="H203" s="2101">
        <v>900000</v>
      </c>
    </row>
    <row r="204" spans="1:10" ht="17">
      <c r="A204" s="1862" t="str">
        <f ca="1">IFERROR(IF(B204="","",VLOOKUP(B204,Buget_detaliat!F:I,4,0)),"")</f>
        <v>Informare</v>
      </c>
      <c r="B204" s="1864" t="s">
        <v>3939</v>
      </c>
      <c r="C204" s="1866">
        <v>35000</v>
      </c>
      <c r="D204" s="1866">
        <v>35000</v>
      </c>
      <c r="E204" s="1866">
        <v>35000</v>
      </c>
      <c r="F204" s="1866">
        <v>0</v>
      </c>
      <c r="G204" s="1866">
        <v>0</v>
      </c>
      <c r="H204" s="2101">
        <v>105000</v>
      </c>
    </row>
    <row r="205" spans="1:10">
      <c r="A205" s="1862" t="str">
        <f>IFERROR(IF(B205="","",VLOOKUP(B205,Buget_detaliat!F:I,4,0)),"")</f>
        <v/>
      </c>
      <c r="B205" s="2092"/>
      <c r="C205" s="1866"/>
      <c r="D205" s="1866"/>
      <c r="E205" s="1866"/>
      <c r="F205" s="1866"/>
      <c r="G205" s="1866"/>
      <c r="H205" s="2101"/>
    </row>
    <row r="206" spans="1:10" ht="17">
      <c r="A206" s="1862" t="str">
        <f ca="1">IFERROR(IF(B206="","",VLOOKUP(B206,Buget_detaliat!F:I,4,0)),"")</f>
        <v/>
      </c>
      <c r="B206" s="1864" t="s">
        <v>2297</v>
      </c>
      <c r="C206" s="1866">
        <v>136954140.89054674</v>
      </c>
      <c r="D206" s="1866">
        <v>134522134.14094675</v>
      </c>
      <c r="E206" s="1866">
        <v>133597412.72094676</v>
      </c>
      <c r="F206" s="1866">
        <v>130391320.8894873</v>
      </c>
      <c r="G206" s="1866">
        <v>130336714.03200002</v>
      </c>
      <c r="H206" s="2101">
        <v>665801722.67392743</v>
      </c>
    </row>
    <row r="207" spans="1:10" ht="17">
      <c r="A207" s="1862" t="str">
        <f ca="1">IFERROR(IF(B207="","",VLOOKUP(B207,Buget_detaliat!F:I,4,0)),"")</f>
        <v/>
      </c>
      <c r="B207" s="1864" t="s">
        <v>392</v>
      </c>
      <c r="C207" s="1866">
        <v>4708162.7983779795</v>
      </c>
      <c r="D207" s="1866">
        <v>2978833.8133779806</v>
      </c>
      <c r="E207" s="1866">
        <v>1798833.8133779799</v>
      </c>
      <c r="F207" s="1866">
        <v>1156813.5399999998</v>
      </c>
      <c r="G207" s="1866">
        <v>1156813.5399999998</v>
      </c>
      <c r="H207" s="2101">
        <v>11799457.505133938</v>
      </c>
    </row>
    <row r="208" spans="1:10" ht="17">
      <c r="A208" s="1862" t="str">
        <f ca="1">IFERROR(IF(B208="","",VLOOKUP(B208,Buget_detaliat!F:I,4,0)),"")</f>
        <v/>
      </c>
      <c r="B208" s="1864" t="s">
        <v>2966</v>
      </c>
      <c r="C208" s="1866">
        <v>47500</v>
      </c>
      <c r="D208" s="1866">
        <v>0</v>
      </c>
      <c r="E208" s="1866">
        <v>0</v>
      </c>
      <c r="F208" s="1866">
        <v>0</v>
      </c>
      <c r="G208" s="1866">
        <v>0</v>
      </c>
      <c r="H208" s="2101">
        <v>47500</v>
      </c>
    </row>
    <row r="209" spans="1:8" ht="17">
      <c r="A209" s="1862" t="str">
        <f ca="1">IFERROR(IF(B209="","",VLOOKUP(B209,Buget_detaliat!F:I,4,0)),"")</f>
        <v>PNCT</v>
      </c>
      <c r="B209" s="1864" t="s">
        <v>3299</v>
      </c>
      <c r="C209" s="1866">
        <v>47500</v>
      </c>
      <c r="D209" s="1866">
        <v>0</v>
      </c>
      <c r="E209" s="1866">
        <v>0</v>
      </c>
      <c r="F209" s="1866">
        <v>0</v>
      </c>
      <c r="G209" s="1866">
        <v>0</v>
      </c>
      <c r="H209" s="2101">
        <v>47500</v>
      </c>
    </row>
    <row r="210" spans="1:8">
      <c r="A210" s="1862" t="str">
        <f>IFERROR(IF(B210="","",VLOOKUP(B210,Buget_detaliat!F:I,4,0)),"")</f>
        <v/>
      </c>
      <c r="B210" s="2092"/>
      <c r="C210" s="1866"/>
      <c r="D210" s="1866"/>
      <c r="E210" s="1866"/>
      <c r="F210" s="1866"/>
      <c r="G210" s="1866"/>
      <c r="H210" s="2101"/>
    </row>
    <row r="211" spans="1:8" ht="17">
      <c r="A211" s="1862" t="str">
        <f ca="1">IFERROR(IF(B211="","",VLOOKUP(B211,Buget_detaliat!F:I,4,0)),"")</f>
        <v/>
      </c>
      <c r="B211" s="1864" t="s">
        <v>3128</v>
      </c>
      <c r="C211" s="1866">
        <v>4088323.0249999999</v>
      </c>
      <c r="D211" s="1866">
        <v>2406494.06</v>
      </c>
      <c r="E211" s="1866">
        <v>1226494.06</v>
      </c>
      <c r="F211" s="1866">
        <v>752494.06</v>
      </c>
      <c r="G211" s="1866">
        <v>752494.06</v>
      </c>
      <c r="H211" s="2101">
        <v>9226299.2650000006</v>
      </c>
    </row>
    <row r="212" spans="1:8">
      <c r="A212" s="1862" t="str">
        <f ca="1">IFERROR(IF(B212="","",VLOOKUP(B212,Buget_detaliat!F:I,4,0)),"")</f>
        <v>PNCT</v>
      </c>
      <c r="B212" s="2092" t="s">
        <v>4096</v>
      </c>
      <c r="C212" s="1866">
        <v>3434323.0249999999</v>
      </c>
      <c r="D212" s="1866">
        <v>392494.06</v>
      </c>
      <c r="E212" s="1866">
        <v>392494.06</v>
      </c>
      <c r="F212" s="1866">
        <v>392494.06</v>
      </c>
      <c r="G212" s="1866">
        <v>392494.06</v>
      </c>
      <c r="H212" s="2101">
        <v>5004299.2649999997</v>
      </c>
    </row>
    <row r="213" spans="1:8">
      <c r="A213" s="1862" t="str">
        <f ca="1">IFERROR(IF(B213="","",VLOOKUP(B213,Buget_detaliat!F:I,4,0)),"")</f>
        <v>PNCT</v>
      </c>
      <c r="B213" s="2092" t="s">
        <v>4098</v>
      </c>
      <c r="C213" s="1866">
        <v>0</v>
      </c>
      <c r="D213" s="1866">
        <v>1180000</v>
      </c>
      <c r="E213" s="1866">
        <v>0</v>
      </c>
      <c r="F213" s="1866">
        <v>0</v>
      </c>
      <c r="G213" s="1866">
        <v>0</v>
      </c>
      <c r="H213" s="2101">
        <v>1180000</v>
      </c>
    </row>
    <row r="214" spans="1:8">
      <c r="A214" s="1862" t="str">
        <f ca="1">IFERROR(IF(B214="","",VLOOKUP(B214,Buget_detaliat!F:I,4,0)),"")</f>
        <v>PNCT</v>
      </c>
      <c r="B214" s="2092" t="s">
        <v>4097</v>
      </c>
      <c r="C214" s="1866">
        <v>180000</v>
      </c>
      <c r="D214" s="1866">
        <v>360000</v>
      </c>
      <c r="E214" s="1866">
        <v>360000</v>
      </c>
      <c r="F214" s="1866">
        <v>360000</v>
      </c>
      <c r="G214" s="1866">
        <v>360000</v>
      </c>
      <c r="H214" s="2101">
        <v>1620000</v>
      </c>
    </row>
    <row r="215" spans="1:8">
      <c r="A215" s="1862" t="str">
        <f ca="1">IFERROR(IF(B215="","",VLOOKUP(B215,Buget_detaliat!F:I,4,0)),"")</f>
        <v>PNCT</v>
      </c>
      <c r="B215" s="2092" t="s">
        <v>4100</v>
      </c>
      <c r="C215" s="1866">
        <v>474000</v>
      </c>
      <c r="D215" s="1866">
        <v>474000</v>
      </c>
      <c r="E215" s="1866">
        <v>474000</v>
      </c>
      <c r="F215" s="1866">
        <v>0</v>
      </c>
      <c r="G215" s="1866">
        <v>0</v>
      </c>
      <c r="H215" s="2101">
        <v>1422000</v>
      </c>
    </row>
    <row r="216" spans="1:8">
      <c r="A216" s="1862" t="str">
        <f>IFERROR(IF(B216="","",VLOOKUP(B216,Buget_detaliat!F:I,4,0)),"")</f>
        <v/>
      </c>
      <c r="B216" s="2092"/>
      <c r="C216" s="1866"/>
      <c r="D216" s="1866"/>
      <c r="E216" s="1866"/>
      <c r="F216" s="1866"/>
      <c r="G216" s="1866"/>
      <c r="H216" s="2101"/>
    </row>
    <row r="217" spans="1:8" ht="17">
      <c r="A217" s="1862" t="str">
        <f ca="1">IFERROR(IF(B217="","",VLOOKUP(B217,Buget_detaliat!F:I,4,0)),"")</f>
        <v/>
      </c>
      <c r="B217" s="1864" t="s">
        <v>3129</v>
      </c>
      <c r="C217" s="1866">
        <v>451477.89999999985</v>
      </c>
      <c r="D217" s="1866">
        <v>451477.87999999989</v>
      </c>
      <c r="E217" s="1866">
        <v>451477.87999999989</v>
      </c>
      <c r="F217" s="1866">
        <v>404319.47999999986</v>
      </c>
      <c r="G217" s="1866">
        <v>404319.47999999986</v>
      </c>
      <c r="H217" s="2101">
        <v>2163072.6199999992</v>
      </c>
    </row>
    <row r="218" spans="1:8" ht="17">
      <c r="A218" s="1862" t="str">
        <f ca="1">IFERROR(IF(B218="","",VLOOKUP(B218,Buget_detaliat!F:I,4,0)),"")</f>
        <v>Vizite_monitorizare</v>
      </c>
      <c r="B218" s="1864" t="s">
        <v>3104</v>
      </c>
      <c r="C218" s="1866">
        <v>37726.720000000001</v>
      </c>
      <c r="D218" s="1866">
        <v>37726.720000000001</v>
      </c>
      <c r="E218" s="1866">
        <v>37726.720000000001</v>
      </c>
      <c r="F218" s="1866">
        <v>0</v>
      </c>
      <c r="G218" s="1866">
        <v>0</v>
      </c>
      <c r="H218" s="2101">
        <v>113180.16</v>
      </c>
    </row>
    <row r="219" spans="1:8" ht="17">
      <c r="A219" s="1862" t="str">
        <f ca="1">IFERROR(IF(B219="","",VLOOKUP(B219,Buget_detaliat!F:I,4,0)),"")</f>
        <v>Vizite_monitorizare</v>
      </c>
      <c r="B219" s="1864" t="s">
        <v>3106</v>
      </c>
      <c r="C219" s="1866">
        <v>9431.68</v>
      </c>
      <c r="D219" s="1866">
        <v>9431.68</v>
      </c>
      <c r="E219" s="1866">
        <v>9431.68</v>
      </c>
      <c r="F219" s="1866">
        <v>0</v>
      </c>
      <c r="G219" s="1866">
        <v>0</v>
      </c>
      <c r="H219" s="2101">
        <v>28295.040000000001</v>
      </c>
    </row>
    <row r="220" spans="1:8" ht="17">
      <c r="A220" s="1862" t="str">
        <f ca="1">IFERROR(IF(B220="","",VLOOKUP(B220,Buget_detaliat!F:I,4,0)),"")</f>
        <v>Vizite_monitorizare</v>
      </c>
      <c r="B220" s="1864" t="s">
        <v>3102</v>
      </c>
      <c r="C220" s="1866">
        <v>245896.95999999988</v>
      </c>
      <c r="D220" s="1866">
        <v>245896.95999999988</v>
      </c>
      <c r="E220" s="1866">
        <v>245896.95999999988</v>
      </c>
      <c r="F220" s="1866">
        <v>245896.95999999988</v>
      </c>
      <c r="G220" s="1866">
        <v>245896.95999999988</v>
      </c>
      <c r="H220" s="2101">
        <v>1229484.7999999993</v>
      </c>
    </row>
    <row r="221" spans="1:8" ht="17">
      <c r="A221" s="1862" t="str">
        <f ca="1">IFERROR(IF(B221="","",VLOOKUP(B221,Buget_detaliat!F:I,4,0)),"")</f>
        <v>Vizite_monitorizare</v>
      </c>
      <c r="B221" s="1864" t="s">
        <v>3103</v>
      </c>
      <c r="C221" s="1866">
        <v>20974.1</v>
      </c>
      <c r="D221" s="1866">
        <v>20974.09</v>
      </c>
      <c r="E221" s="1866">
        <v>20974.09</v>
      </c>
      <c r="F221" s="1866">
        <v>20974.09</v>
      </c>
      <c r="G221" s="1866">
        <v>20974.09</v>
      </c>
      <c r="H221" s="2101">
        <v>104870.45999999999</v>
      </c>
    </row>
    <row r="222" spans="1:8" ht="17">
      <c r="A222" s="1862" t="str">
        <f ca="1">IFERROR(IF(B222="","",VLOOKUP(B222,Buget_detaliat!F:I,4,0)),"")</f>
        <v>Vizite_monitorizare</v>
      </c>
      <c r="B222" s="1864" t="s">
        <v>3105</v>
      </c>
      <c r="C222" s="1866">
        <v>12546.74</v>
      </c>
      <c r="D222" s="1866">
        <v>12546.74</v>
      </c>
      <c r="E222" s="1866">
        <v>12546.74</v>
      </c>
      <c r="F222" s="1866">
        <v>12546.74</v>
      </c>
      <c r="G222" s="1866">
        <v>12546.74</v>
      </c>
      <c r="H222" s="2101">
        <v>62733.7</v>
      </c>
    </row>
    <row r="223" spans="1:8" ht="17">
      <c r="A223" s="1862" t="str">
        <f ca="1">IFERROR(IF(B223="","",VLOOKUP(B223,Buget_detaliat!F:I,4,0)),"")</f>
        <v>Vizite_monitorizare</v>
      </c>
      <c r="B223" s="1864" t="s">
        <v>3101</v>
      </c>
      <c r="C223" s="1866">
        <v>124901.7</v>
      </c>
      <c r="D223" s="1866">
        <v>124901.69</v>
      </c>
      <c r="E223" s="1866">
        <v>124901.69</v>
      </c>
      <c r="F223" s="1866">
        <v>124901.69</v>
      </c>
      <c r="G223" s="1866">
        <v>124901.69</v>
      </c>
      <c r="H223" s="2101">
        <v>624508.46</v>
      </c>
    </row>
    <row r="224" spans="1:8">
      <c r="A224" s="1862" t="str">
        <f>IFERROR(IF(B224="","",VLOOKUP(B224,Buget_detaliat!F:I,4,0)),"")</f>
        <v/>
      </c>
      <c r="B224" s="2092"/>
      <c r="C224" s="1866"/>
      <c r="D224" s="1866"/>
      <c r="E224" s="1866"/>
      <c r="F224" s="1866"/>
      <c r="G224" s="1866"/>
      <c r="H224" s="2101"/>
    </row>
    <row r="225" spans="1:8" ht="17">
      <c r="A225" s="1862" t="str">
        <f ca="1">IFERROR(IF(B225="","",VLOOKUP(B225,Buget_detaliat!F:I,4,0)),"")</f>
        <v/>
      </c>
      <c r="B225" s="1864" t="s">
        <v>3130</v>
      </c>
      <c r="C225" s="1866">
        <v>120861.87337797999</v>
      </c>
      <c r="D225" s="1866">
        <v>120861.87337797999</v>
      </c>
      <c r="E225" s="1866">
        <v>120861.87337797999</v>
      </c>
      <c r="F225" s="1866">
        <v>0</v>
      </c>
      <c r="G225" s="1866">
        <v>0</v>
      </c>
      <c r="H225" s="2101">
        <v>362585.62013394001</v>
      </c>
    </row>
    <row r="226" spans="1:8" ht="17">
      <c r="A226" s="1862" t="str">
        <f ca="1">IFERROR(IF(B226="","",VLOOKUP(B226,Buget_detaliat!F:I,4,0)),"")</f>
        <v>PNCT</v>
      </c>
      <c r="B226" s="1864" t="s">
        <v>3122</v>
      </c>
      <c r="C226" s="1866">
        <v>120861.87337797999</v>
      </c>
      <c r="D226" s="1866">
        <v>120861.87337797999</v>
      </c>
      <c r="E226" s="1866">
        <v>120861.87337797999</v>
      </c>
      <c r="F226" s="1866">
        <v>0</v>
      </c>
      <c r="G226" s="1866">
        <v>0</v>
      </c>
      <c r="H226" s="2101">
        <v>362585.62013394001</v>
      </c>
    </row>
    <row r="227" spans="1:8">
      <c r="A227" s="1862" t="str">
        <f>IFERROR(IF(B227="","",VLOOKUP(B227,Buget_detaliat!F:I,4,0)),"")</f>
        <v/>
      </c>
      <c r="B227" s="2092"/>
      <c r="C227" s="1866"/>
      <c r="D227" s="1866"/>
      <c r="E227" s="1866"/>
      <c r="F227" s="1866"/>
      <c r="G227" s="1866"/>
      <c r="H227" s="2101"/>
    </row>
    <row r="228" spans="1:8" ht="17">
      <c r="A228" s="1862" t="str">
        <f ca="1">IFERROR(IF(B228="","",VLOOKUP(B228,Buget_detaliat!F:I,4,0)),"")</f>
        <v/>
      </c>
      <c r="B228" s="1864" t="s">
        <v>1853</v>
      </c>
      <c r="C228" s="1866">
        <v>126454264.55408728</v>
      </c>
      <c r="D228" s="1866">
        <v>126192378.85448729</v>
      </c>
      <c r="E228" s="1866">
        <v>126192378.85448729</v>
      </c>
      <c r="F228" s="1866">
        <v>126126144.06448729</v>
      </c>
      <c r="G228" s="1866">
        <v>126126144.06700002</v>
      </c>
      <c r="H228" s="2101">
        <v>631091310.39454901</v>
      </c>
    </row>
    <row r="229" spans="1:8" ht="17">
      <c r="A229" s="1862" t="str">
        <f ca="1">IFERROR(IF(B229="","",VLOOKUP(B229,Buget_detaliat!F:I,4,0)),"")</f>
        <v/>
      </c>
      <c r="B229" s="1864" t="s">
        <v>2967</v>
      </c>
      <c r="C229" s="1866">
        <v>161394.41999999998</v>
      </c>
      <c r="D229" s="1866">
        <v>0</v>
      </c>
      <c r="E229" s="1866">
        <v>0</v>
      </c>
      <c r="F229" s="1866">
        <v>0</v>
      </c>
      <c r="G229" s="1866">
        <v>0</v>
      </c>
      <c r="H229" s="2101">
        <v>161394.41999999998</v>
      </c>
    </row>
    <row r="230" spans="1:8" ht="17">
      <c r="A230" s="1862" t="str">
        <f ca="1">IFERROR(IF(B230="","",VLOOKUP(B230,Buget_detaliat!F:I,4,0)),"")</f>
        <v>Sisteme_de_sanatate</v>
      </c>
      <c r="B230" s="1864" t="s">
        <v>3467</v>
      </c>
      <c r="C230" s="1866">
        <v>161394.41999999998</v>
      </c>
      <c r="D230" s="1866">
        <v>0</v>
      </c>
      <c r="E230" s="1866">
        <v>0</v>
      </c>
      <c r="F230" s="1866">
        <v>0</v>
      </c>
      <c r="G230" s="1866">
        <v>0</v>
      </c>
      <c r="H230" s="2101">
        <v>161394.41999999998</v>
      </c>
    </row>
    <row r="231" spans="1:8">
      <c r="A231" s="1862" t="str">
        <f>IFERROR(IF(B231="","",VLOOKUP(B231,Buget_detaliat!F:I,4,0)),"")</f>
        <v/>
      </c>
      <c r="B231" s="2092"/>
      <c r="C231" s="1866"/>
      <c r="D231" s="1866"/>
      <c r="E231" s="1866"/>
      <c r="F231" s="1866"/>
      <c r="G231" s="1866"/>
      <c r="H231" s="2101"/>
    </row>
    <row r="232" spans="1:8" ht="17">
      <c r="A232" s="1862" t="str">
        <f ca="1">IFERROR(IF(B232="","",VLOOKUP(B232,Buget_detaliat!F:I,4,0)),"")</f>
        <v/>
      </c>
      <c r="B232" s="1864" t="s">
        <v>2968</v>
      </c>
      <c r="C232" s="1866">
        <v>0</v>
      </c>
      <c r="D232" s="1866">
        <v>0</v>
      </c>
      <c r="E232" s="1866">
        <v>0</v>
      </c>
      <c r="F232" s="1866">
        <v>0</v>
      </c>
      <c r="G232" s="1866">
        <v>0</v>
      </c>
      <c r="H232" s="2101">
        <v>0</v>
      </c>
    </row>
    <row r="233" spans="1:8" ht="17">
      <c r="A233" s="1862" t="str">
        <f ca="1">IFERROR(IF(B233="","",VLOOKUP(B233,Buget_detaliat!F:I,4,0)),"")</f>
        <v>Sisteme_de_sanatate</v>
      </c>
      <c r="B233" s="1864" t="s">
        <v>3479</v>
      </c>
      <c r="C233" s="1866">
        <v>0</v>
      </c>
      <c r="D233" s="1866">
        <v>0</v>
      </c>
      <c r="E233" s="1866">
        <v>0</v>
      </c>
      <c r="F233" s="1866">
        <v>0</v>
      </c>
      <c r="G233" s="1866">
        <v>0</v>
      </c>
      <c r="H233" s="2101">
        <v>0</v>
      </c>
    </row>
    <row r="234" spans="1:8">
      <c r="A234" s="1862" t="str">
        <f>IFERROR(IF(B234="","",VLOOKUP(B234,Buget_detaliat!F:I,4,0)),"")</f>
        <v/>
      </c>
      <c r="B234" s="2092"/>
      <c r="C234" s="1866"/>
      <c r="D234" s="1866"/>
      <c r="E234" s="1866"/>
      <c r="F234" s="1866"/>
      <c r="G234" s="1866"/>
      <c r="H234" s="2101"/>
    </row>
    <row r="235" spans="1:8" ht="17">
      <c r="A235" s="1862" t="str">
        <f ca="1">IFERROR(IF(B235="","",VLOOKUP(B235,Buget_detaliat!F:I,4,0)),"")</f>
        <v/>
      </c>
      <c r="B235" s="1864" t="s">
        <v>2969</v>
      </c>
      <c r="C235" s="1866">
        <v>40000</v>
      </c>
      <c r="D235" s="1866">
        <v>0</v>
      </c>
      <c r="E235" s="1866">
        <v>0</v>
      </c>
      <c r="F235" s="1866">
        <v>0</v>
      </c>
      <c r="G235" s="1866">
        <v>0</v>
      </c>
      <c r="H235" s="2101">
        <v>40000</v>
      </c>
    </row>
    <row r="236" spans="1:8" ht="17">
      <c r="A236" s="1862" t="str">
        <f ca="1">IFERROR(IF(B236="","",VLOOKUP(B236,Buget_detaliat!F:I,4,0)),"")</f>
        <v>Sisteme_de_sanatate</v>
      </c>
      <c r="B236" s="1864" t="s">
        <v>3469</v>
      </c>
      <c r="C236" s="1866">
        <v>40000</v>
      </c>
      <c r="D236" s="1866">
        <v>0</v>
      </c>
      <c r="E236" s="1866">
        <v>0</v>
      </c>
      <c r="F236" s="1866">
        <v>0</v>
      </c>
      <c r="G236" s="1866">
        <v>0</v>
      </c>
      <c r="H236" s="2101">
        <v>40000</v>
      </c>
    </row>
    <row r="237" spans="1:8">
      <c r="A237" s="1862" t="str">
        <f>IFERROR(IF(B237="","",VLOOKUP(B237,Buget_detaliat!F:I,4,0)),"")</f>
        <v/>
      </c>
      <c r="B237" s="2092"/>
      <c r="C237" s="1866"/>
      <c r="D237" s="1866"/>
      <c r="E237" s="1866"/>
      <c r="F237" s="1866"/>
      <c r="G237" s="1866"/>
      <c r="H237" s="2101"/>
    </row>
    <row r="238" spans="1:8" ht="17">
      <c r="A238" s="1862" t="str">
        <f ca="1">IFERROR(IF(B238="","",VLOOKUP(B238,Buget_detaliat!F:I,4,0)),"")</f>
        <v/>
      </c>
      <c r="B238" s="1864" t="s">
        <v>2970</v>
      </c>
      <c r="C238" s="1866">
        <v>124604676.64</v>
      </c>
      <c r="D238" s="1866">
        <v>124604676.64</v>
      </c>
      <c r="E238" s="1866">
        <v>124604676.64</v>
      </c>
      <c r="F238" s="1866">
        <v>124604676.64</v>
      </c>
      <c r="G238" s="1866">
        <v>124604676.64</v>
      </c>
      <c r="H238" s="2101">
        <v>623023383.20000005</v>
      </c>
    </row>
    <row r="239" spans="1:8" ht="17">
      <c r="A239" s="1862" t="str">
        <f ca="1">IFERROR(IF(B239="","",VLOOKUP(B239,Buget_detaliat!F:I,4,0)),"")</f>
        <v>Sisteme_de_sanatate</v>
      </c>
      <c r="B239" s="1864" t="s">
        <v>3470</v>
      </c>
      <c r="C239" s="1866">
        <v>82099793.640000001</v>
      </c>
      <c r="D239" s="1866">
        <v>82099793.640000001</v>
      </c>
      <c r="E239" s="1866">
        <v>82099793.640000001</v>
      </c>
      <c r="F239" s="1866">
        <v>82099793.640000001</v>
      </c>
      <c r="G239" s="1866">
        <v>82099793.640000001</v>
      </c>
      <c r="H239" s="2101">
        <v>410498968.19999999</v>
      </c>
    </row>
    <row r="240" spans="1:8" ht="17">
      <c r="A240" s="1862" t="str">
        <f ca="1">IFERROR(IF(B240="","",VLOOKUP(B240,Buget_detaliat!F:I,4,0)),"")</f>
        <v>Sisteme_de_sanatate</v>
      </c>
      <c r="B240" s="1864" t="s">
        <v>3478</v>
      </c>
      <c r="C240" s="1866">
        <v>42504883</v>
      </c>
      <c r="D240" s="1866">
        <v>42504883</v>
      </c>
      <c r="E240" s="1866">
        <v>42504883</v>
      </c>
      <c r="F240" s="1866">
        <v>42504883</v>
      </c>
      <c r="G240" s="1866">
        <v>42504883</v>
      </c>
      <c r="H240" s="2101">
        <v>212524415</v>
      </c>
    </row>
    <row r="241" spans="1:10">
      <c r="A241" s="1862" t="str">
        <f>IFERROR(IF(B241="","",VLOOKUP(B241,Buget_detaliat!F:I,4,0)),"")</f>
        <v/>
      </c>
      <c r="B241" s="2092"/>
      <c r="C241" s="1866"/>
      <c r="D241" s="1866"/>
      <c r="E241" s="1866"/>
      <c r="F241" s="1866"/>
      <c r="G241" s="1866"/>
      <c r="H241" s="2101"/>
    </row>
    <row r="242" spans="1:10" ht="17">
      <c r="A242" s="1862" t="str">
        <f ca="1">IFERROR(IF(B242="","",VLOOKUP(B242,Buget_detaliat!F:I,4,0)),"")</f>
        <v/>
      </c>
      <c r="B242" s="1864" t="s">
        <v>2971</v>
      </c>
      <c r="C242" s="1866">
        <v>1130763.7440872798</v>
      </c>
      <c r="D242" s="1866">
        <v>1213302.21448728</v>
      </c>
      <c r="E242" s="1866">
        <v>1213302.21448728</v>
      </c>
      <c r="F242" s="1866">
        <v>1147067.4244872802</v>
      </c>
      <c r="G242" s="1866">
        <v>1147067.4270000001</v>
      </c>
      <c r="H242" s="2101">
        <v>5851503.0245491192</v>
      </c>
    </row>
    <row r="243" spans="1:10" ht="17">
      <c r="A243" s="1862" t="str">
        <f ca="1">IFERROR(IF(B243="","",VLOOKUP(B243,Buget_detaliat!F:I,4,0)),"")</f>
        <v>Sisteme_de_sanatate</v>
      </c>
      <c r="B243" s="1864" t="s">
        <v>3482</v>
      </c>
      <c r="C243" s="1866">
        <v>0</v>
      </c>
      <c r="D243" s="1866">
        <v>0</v>
      </c>
      <c r="E243" s="1866">
        <v>0</v>
      </c>
      <c r="F243" s="1866">
        <v>0</v>
      </c>
      <c r="G243" s="1866">
        <v>0</v>
      </c>
      <c r="H243" s="2101">
        <v>0</v>
      </c>
    </row>
    <row r="244" spans="1:10" ht="17">
      <c r="A244" s="1862" t="str">
        <f ca="1">IFERROR(IF(B244="","",VLOOKUP(B244,Buget_detaliat!F:I,4,0)),"")</f>
        <v>Sisteme_de_sanatate</v>
      </c>
      <c r="B244" s="1864" t="s">
        <v>3719</v>
      </c>
      <c r="C244" s="1866">
        <v>326465.20999999996</v>
      </c>
      <c r="D244" s="1866">
        <v>326465.20999999996</v>
      </c>
      <c r="E244" s="1866">
        <v>326465.20999999996</v>
      </c>
      <c r="F244" s="1866">
        <v>326465.20999999996</v>
      </c>
      <c r="G244" s="1866">
        <v>326465.20999999996</v>
      </c>
      <c r="H244" s="2101">
        <v>1632326.0499999998</v>
      </c>
    </row>
    <row r="245" spans="1:10" ht="17">
      <c r="A245" s="1862" t="str">
        <f ca="1">IFERROR(IF(B245="","",VLOOKUP(B245,Buget_detaliat!F:I,4,0)),"")</f>
        <v>Sisteme_de_sanatate</v>
      </c>
      <c r="B245" s="1864" t="s">
        <v>3720</v>
      </c>
      <c r="C245" s="1866">
        <v>107840.50748728002</v>
      </c>
      <c r="D245" s="1866">
        <v>107840.50748728002</v>
      </c>
      <c r="E245" s="1866">
        <v>107840.50748728002</v>
      </c>
      <c r="F245" s="1866">
        <v>107840.50748728002</v>
      </c>
      <c r="G245" s="1866">
        <v>107840.51</v>
      </c>
      <c r="H245" s="2101">
        <v>539202.53994912002</v>
      </c>
      <c r="I245"/>
      <c r="J245"/>
    </row>
    <row r="246" spans="1:10">
      <c r="A246" s="1862" t="str">
        <f ca="1">IFERROR(IF(B246="","",VLOOKUP(B246,Buget_detaliat!F:I,4,0)),"")</f>
        <v>Sisteme_de_sanatate</v>
      </c>
      <c r="B246" s="2092" t="s">
        <v>4088</v>
      </c>
      <c r="C246" s="1866">
        <v>189744.22999999998</v>
      </c>
      <c r="D246" s="1866">
        <v>221368.27499999997</v>
      </c>
      <c r="E246" s="1866">
        <v>221368.27499999997</v>
      </c>
      <c r="F246" s="1866">
        <v>184473.56</v>
      </c>
      <c r="G246" s="1866">
        <v>184473.56</v>
      </c>
      <c r="H246" s="2101">
        <v>1001427.8999999999</v>
      </c>
      <c r="I246"/>
      <c r="J246"/>
    </row>
    <row r="247" spans="1:10">
      <c r="A247" s="1862" t="str">
        <f ca="1">IFERROR(IF(B247="","",VLOOKUP(B247,Buget_detaliat!F:I,4,0)),"")</f>
        <v>Sisteme_de_sanatate</v>
      </c>
      <c r="B247" s="2092" t="s">
        <v>4089</v>
      </c>
      <c r="C247" s="1866">
        <v>42165.38</v>
      </c>
      <c r="D247" s="1866">
        <v>52706.735000000001</v>
      </c>
      <c r="E247" s="1866">
        <v>52706.735000000001</v>
      </c>
      <c r="F247" s="1866">
        <v>43922.275000000001</v>
      </c>
      <c r="G247" s="1866">
        <v>43922.275000000001</v>
      </c>
      <c r="H247" s="2101">
        <v>235423.39999999997</v>
      </c>
      <c r="I247"/>
      <c r="J247"/>
    </row>
    <row r="248" spans="1:10">
      <c r="A248" s="1862" t="str">
        <f ca="1">IFERROR(IF(B248="","",VLOOKUP(B248,Buget_detaliat!F:I,4,0)),"")</f>
        <v>Sisteme_de_sanatate</v>
      </c>
      <c r="B248" s="2092" t="s">
        <v>4090</v>
      </c>
      <c r="C248" s="1866">
        <v>392762.69479999994</v>
      </c>
      <c r="D248" s="1866">
        <v>425545.9976</v>
      </c>
      <c r="E248" s="1866">
        <v>425545.9976</v>
      </c>
      <c r="F248" s="1866">
        <v>409101.4976</v>
      </c>
      <c r="G248" s="1866">
        <v>409101.4976</v>
      </c>
      <c r="H248" s="2101">
        <v>2062057.6851999997</v>
      </c>
      <c r="I248"/>
      <c r="J248"/>
    </row>
    <row r="249" spans="1:10">
      <c r="A249" s="1862" t="str">
        <f ca="1">IFERROR(IF(B249="","",VLOOKUP(B249,Buget_detaliat!F:I,4,0)),"")</f>
        <v>Sisteme_de_sanatate</v>
      </c>
      <c r="B249" s="2092" t="s">
        <v>4091</v>
      </c>
      <c r="C249" s="1866">
        <v>71785.721799999999</v>
      </c>
      <c r="D249" s="1866">
        <v>79375.489399999991</v>
      </c>
      <c r="E249" s="1866">
        <v>79375.489399999991</v>
      </c>
      <c r="F249" s="1866">
        <v>75264.374400000001</v>
      </c>
      <c r="G249" s="1866">
        <v>75264.374400000001</v>
      </c>
      <c r="H249" s="2101">
        <v>381065.44939999998</v>
      </c>
      <c r="I249"/>
      <c r="J249"/>
    </row>
    <row r="250" spans="1:10">
      <c r="A250" s="1862" t="str">
        <f>IFERROR(IF(B250="","",VLOOKUP(B250,Buget_detaliat!F:I,4,0)),"")</f>
        <v/>
      </c>
      <c r="B250" s="2092"/>
      <c r="C250" s="1866"/>
      <c r="D250" s="1866"/>
      <c r="E250" s="1866"/>
      <c r="F250" s="1866"/>
      <c r="G250" s="1866"/>
      <c r="H250" s="2101"/>
    </row>
    <row r="251" spans="1:10" ht="17">
      <c r="A251" s="1862" t="str">
        <f ca="1">IFERROR(IF(B251="","",VLOOKUP(B251,Buget_detaliat!F:I,4,0)),"")</f>
        <v/>
      </c>
      <c r="B251" s="1864" t="s">
        <v>2972</v>
      </c>
      <c r="C251" s="1866">
        <v>143029.75</v>
      </c>
      <c r="D251" s="1866">
        <v>0</v>
      </c>
      <c r="E251" s="1866">
        <v>0</v>
      </c>
      <c r="F251" s="1866">
        <v>0</v>
      </c>
      <c r="G251" s="1866">
        <v>0</v>
      </c>
      <c r="H251" s="2101">
        <v>143029.75</v>
      </c>
    </row>
    <row r="252" spans="1:10" ht="17">
      <c r="A252" s="1862" t="str">
        <f ca="1">IFERROR(IF(B252="","",VLOOKUP(B252,Buget_detaliat!F:I,4,0)),"")</f>
        <v>Sisteme_de_sanatate</v>
      </c>
      <c r="B252" s="1864" t="s">
        <v>3484</v>
      </c>
      <c r="C252" s="1866">
        <v>143029.75</v>
      </c>
      <c r="D252" s="1866">
        <v>0</v>
      </c>
      <c r="E252" s="1866">
        <v>0</v>
      </c>
      <c r="F252" s="1866">
        <v>0</v>
      </c>
      <c r="G252" s="1866">
        <v>0</v>
      </c>
      <c r="H252" s="2101">
        <v>143029.75</v>
      </c>
    </row>
    <row r="253" spans="1:10">
      <c r="A253" s="1862" t="str">
        <f>IFERROR(IF(B253="","",VLOOKUP(B253,Buget_detaliat!F:I,4,0)),"")</f>
        <v/>
      </c>
      <c r="B253" s="2092"/>
      <c r="C253" s="1866"/>
      <c r="D253" s="1866"/>
      <c r="E253" s="1866"/>
      <c r="F253" s="1866"/>
      <c r="G253" s="1866"/>
      <c r="H253" s="2101"/>
    </row>
    <row r="254" spans="1:10" ht="17">
      <c r="A254" s="1862" t="str">
        <f ca="1">IFERROR(IF(B254="","",VLOOKUP(B254,Buget_detaliat!F:I,4,0)),"")</f>
        <v/>
      </c>
      <c r="B254" s="1864" t="s">
        <v>2973</v>
      </c>
      <c r="C254" s="1866">
        <v>374400</v>
      </c>
      <c r="D254" s="1866">
        <v>374400</v>
      </c>
      <c r="E254" s="1866">
        <v>374400</v>
      </c>
      <c r="F254" s="1866">
        <v>374400</v>
      </c>
      <c r="G254" s="1866">
        <v>374400</v>
      </c>
      <c r="H254" s="2101">
        <v>1872000</v>
      </c>
    </row>
    <row r="255" spans="1:10" ht="17">
      <c r="A255" s="1862" t="str">
        <f ca="1">IFERROR(IF(B255="","",VLOOKUP(B255,Buget_detaliat!F:I,4,0)),"")</f>
        <v>PNCT</v>
      </c>
      <c r="B255" s="1864" t="s">
        <v>3125</v>
      </c>
      <c r="C255" s="1866">
        <v>374400</v>
      </c>
      <c r="D255" s="1866">
        <v>374400</v>
      </c>
      <c r="E255" s="1866">
        <v>374400</v>
      </c>
      <c r="F255" s="1866">
        <v>374400</v>
      </c>
      <c r="G255" s="1866">
        <v>374400</v>
      </c>
      <c r="H255" s="2101">
        <v>1872000</v>
      </c>
    </row>
    <row r="256" spans="1:10">
      <c r="A256" s="1862" t="str">
        <f>IFERROR(IF(B256="","",VLOOKUP(B256,Buget_detaliat!F:I,4,0)),"")</f>
        <v/>
      </c>
      <c r="B256" s="2092"/>
      <c r="C256" s="1866"/>
      <c r="D256" s="1866"/>
      <c r="E256" s="1866"/>
      <c r="F256" s="1866"/>
      <c r="G256" s="1866"/>
      <c r="H256" s="2101"/>
    </row>
    <row r="257" spans="1:9" ht="17">
      <c r="A257" s="1862" t="str">
        <f ca="1">IFERROR(IF(B257="","",VLOOKUP(B257,Buget_detaliat!F:I,4,0)),"")</f>
        <v/>
      </c>
      <c r="B257" s="1864" t="s">
        <v>342</v>
      </c>
      <c r="C257" s="1866">
        <v>1893443.9630814898</v>
      </c>
      <c r="D257" s="1866">
        <v>1198990.8130814899</v>
      </c>
      <c r="E257" s="1866">
        <v>1158990.8130814899</v>
      </c>
      <c r="F257" s="1866">
        <v>588371</v>
      </c>
      <c r="G257" s="1866">
        <v>588371</v>
      </c>
      <c r="H257" s="2101">
        <v>5428167.58924447</v>
      </c>
    </row>
    <row r="258" spans="1:9" ht="17">
      <c r="A258" s="1862" t="str">
        <f ca="1">IFERROR(IF(B258="","",VLOOKUP(B258,Buget_detaliat!F:I,4,0)),"")</f>
        <v/>
      </c>
      <c r="B258" s="1864" t="s">
        <v>3131</v>
      </c>
      <c r="C258" s="1866">
        <v>714453.15</v>
      </c>
      <c r="D258" s="1866">
        <v>40000</v>
      </c>
      <c r="E258" s="1866">
        <v>0</v>
      </c>
      <c r="F258" s="1866">
        <v>0</v>
      </c>
      <c r="G258" s="1866">
        <v>0</v>
      </c>
      <c r="H258" s="2101">
        <v>754453.15</v>
      </c>
    </row>
    <row r="259" spans="1:9" ht="17">
      <c r="A259" s="1862" t="str">
        <f ca="1">IFERROR(IF(B259="","",VLOOKUP(B259,Buget_detaliat!F:I,4,0)),"")</f>
        <v>Sisteme_de_sanatate</v>
      </c>
      <c r="B259" s="1864" t="s">
        <v>3706</v>
      </c>
      <c r="C259" s="1866">
        <v>264453.15000000002</v>
      </c>
      <c r="D259" s="1866">
        <v>0</v>
      </c>
      <c r="E259" s="1866">
        <v>0</v>
      </c>
      <c r="F259" s="1866">
        <v>0</v>
      </c>
      <c r="G259" s="1866">
        <v>0</v>
      </c>
      <c r="H259" s="2101">
        <v>264453.15000000002</v>
      </c>
    </row>
    <row r="260" spans="1:9" ht="17">
      <c r="A260" s="1862" t="str">
        <f ca="1">IFERROR(IF(B260="","",VLOOKUP(B260,Buget_detaliat!F:I,4,0)),"")</f>
        <v>Sisteme_de_sanatate</v>
      </c>
      <c r="B260" s="1864" t="s">
        <v>3707</v>
      </c>
      <c r="C260" s="1866">
        <v>0</v>
      </c>
      <c r="D260" s="1866">
        <v>40000</v>
      </c>
      <c r="E260" s="1866">
        <v>0</v>
      </c>
      <c r="F260" s="1866">
        <v>0</v>
      </c>
      <c r="G260" s="1866">
        <v>0</v>
      </c>
      <c r="H260" s="2101">
        <v>40000</v>
      </c>
    </row>
    <row r="261" spans="1:9" ht="17">
      <c r="A261" s="1862" t="str">
        <f ca="1">IFERROR(IF(B261="","",VLOOKUP(B261,Buget_detaliat!F:I,4,0)),"")</f>
        <v>Sisteme_de_sanatate</v>
      </c>
      <c r="B261" s="1864" t="s">
        <v>3705</v>
      </c>
      <c r="C261" s="1866">
        <v>450000</v>
      </c>
      <c r="D261" s="1866">
        <v>0</v>
      </c>
      <c r="E261" s="1866">
        <v>0</v>
      </c>
      <c r="F261" s="1866">
        <v>0</v>
      </c>
      <c r="G261" s="1866">
        <v>0</v>
      </c>
      <c r="H261" s="2101">
        <v>450000</v>
      </c>
    </row>
    <row r="262" spans="1:9">
      <c r="A262" s="1862" t="str">
        <f>IFERROR(IF(B262="","",VLOOKUP(B262,Buget_detaliat!F:I,4,0)),"")</f>
        <v/>
      </c>
      <c r="B262" s="2092"/>
      <c r="C262" s="1866"/>
      <c r="D262" s="1866"/>
      <c r="E262" s="1866"/>
      <c r="F262" s="1866"/>
      <c r="G262" s="1866"/>
      <c r="H262" s="2101"/>
      <c r="I262" s="2110"/>
    </row>
    <row r="263" spans="1:9" ht="17">
      <c r="A263" s="1862" t="str">
        <f ca="1">IFERROR(IF(B263="","",VLOOKUP(B263,Buget_detaliat!F:I,4,0)),"")</f>
        <v/>
      </c>
      <c r="B263" s="1864" t="s">
        <v>3132</v>
      </c>
      <c r="C263" s="1866">
        <v>588371</v>
      </c>
      <c r="D263" s="1866">
        <v>588371</v>
      </c>
      <c r="E263" s="1866">
        <v>588371</v>
      </c>
      <c r="F263" s="1866">
        <v>588371</v>
      </c>
      <c r="G263" s="1866">
        <v>588371</v>
      </c>
      <c r="H263" s="2101">
        <v>2941855</v>
      </c>
      <c r="I263" s="2110"/>
    </row>
    <row r="264" spans="1:9" ht="17">
      <c r="A264" s="1862" t="str">
        <f ca="1">IFERROR(IF(B264="","",VLOOKUP(B264,Buget_detaliat!F:I,4,0)),"")</f>
        <v>Sisteme_de_sanatate</v>
      </c>
      <c r="B264" s="1864" t="s">
        <v>3486</v>
      </c>
      <c r="C264" s="1866">
        <v>588371</v>
      </c>
      <c r="D264" s="1866">
        <v>588371</v>
      </c>
      <c r="E264" s="1866">
        <v>588371</v>
      </c>
      <c r="F264" s="1866">
        <v>588371</v>
      </c>
      <c r="G264" s="1866">
        <v>588371</v>
      </c>
      <c r="H264" s="2101">
        <v>2941855</v>
      </c>
      <c r="I264" s="2110"/>
    </row>
    <row r="265" spans="1:9">
      <c r="A265" s="1862" t="str">
        <f>IFERROR(IF(B265="","",VLOOKUP(B265,Buget_detaliat!F:I,4,0)),"")</f>
        <v/>
      </c>
      <c r="B265" s="2092"/>
      <c r="C265" s="1866"/>
      <c r="D265" s="1866"/>
      <c r="E265" s="1866"/>
      <c r="F265" s="1866"/>
      <c r="G265" s="1866"/>
      <c r="H265" s="2101"/>
    </row>
    <row r="266" spans="1:9" ht="17">
      <c r="A266" s="1862" t="str">
        <f ca="1">IFERROR(IF(B266="","",VLOOKUP(B266,Buget_detaliat!F:I,4,0)),"")</f>
        <v/>
      </c>
      <c r="B266" s="1864" t="s">
        <v>3133</v>
      </c>
      <c r="C266" s="1866">
        <v>419440</v>
      </c>
      <c r="D266" s="1866">
        <v>419440</v>
      </c>
      <c r="E266" s="1866">
        <v>419440</v>
      </c>
      <c r="F266" s="1866">
        <v>0</v>
      </c>
      <c r="G266" s="1866">
        <v>0</v>
      </c>
      <c r="H266" s="2101">
        <v>1258320</v>
      </c>
    </row>
    <row r="267" spans="1:9" ht="17">
      <c r="A267" s="1862" t="str">
        <f ca="1">IFERROR(IF(B267="","",VLOOKUP(B267,Buget_detaliat!F:I,4,0)),"")</f>
        <v>Sisteme_de_sanatate</v>
      </c>
      <c r="B267" s="1864" t="s">
        <v>3487</v>
      </c>
      <c r="C267" s="1866">
        <v>419440</v>
      </c>
      <c r="D267" s="1866">
        <v>419440</v>
      </c>
      <c r="E267" s="1866">
        <v>419440</v>
      </c>
      <c r="F267" s="1866">
        <v>0</v>
      </c>
      <c r="G267" s="1866">
        <v>0</v>
      </c>
      <c r="H267" s="2101">
        <v>1258320</v>
      </c>
    </row>
    <row r="268" spans="1:9">
      <c r="A268" s="1862" t="str">
        <f>IFERROR(IF(B268="","",VLOOKUP(B268,Buget_detaliat!F:I,4,0)),"")</f>
        <v/>
      </c>
      <c r="B268" s="2092"/>
      <c r="C268" s="1866"/>
      <c r="D268" s="1866"/>
      <c r="E268" s="1866"/>
      <c r="F268" s="1866"/>
      <c r="G268" s="1866"/>
      <c r="H268" s="2101"/>
    </row>
    <row r="269" spans="1:9" ht="17">
      <c r="A269" s="1862" t="str">
        <f ca="1">IFERROR(IF(B269="","",VLOOKUP(B269,Buget_detaliat!F:I,4,0)),"")</f>
        <v/>
      </c>
      <c r="B269" s="1864" t="s">
        <v>3490</v>
      </c>
      <c r="C269" s="1866">
        <v>151179.81308148999</v>
      </c>
      <c r="D269" s="1866">
        <v>151179.81308148999</v>
      </c>
      <c r="E269" s="1866">
        <v>151179.81308148999</v>
      </c>
      <c r="F269" s="1866">
        <v>0</v>
      </c>
      <c r="G269" s="1866">
        <v>0</v>
      </c>
      <c r="H269" s="2101">
        <v>453539.43924446998</v>
      </c>
    </row>
    <row r="270" spans="1:9" ht="17">
      <c r="A270" s="1862" t="str">
        <f ca="1">IFERROR(IF(B270="","",VLOOKUP(B270,Buget_detaliat!F:I,4,0)),"")</f>
        <v>Sisteme_de_sanatate</v>
      </c>
      <c r="B270" s="1864" t="s">
        <v>3488</v>
      </c>
      <c r="C270" s="1866">
        <v>70192</v>
      </c>
      <c r="D270" s="1866">
        <v>70192</v>
      </c>
      <c r="E270" s="1866">
        <v>70192</v>
      </c>
      <c r="F270" s="1866">
        <v>0</v>
      </c>
      <c r="G270" s="1866">
        <v>0</v>
      </c>
      <c r="H270" s="2101">
        <v>210576</v>
      </c>
      <c r="I270" s="2110"/>
    </row>
    <row r="271" spans="1:9" ht="17">
      <c r="A271" s="1862" t="str">
        <f ca="1">IFERROR(IF(B271="","",VLOOKUP(B271,Buget_detaliat!F:I,4,0)),"")</f>
        <v>Sisteme_de_sanatate</v>
      </c>
      <c r="B271" s="1864" t="s">
        <v>3489</v>
      </c>
      <c r="C271" s="1866">
        <v>80987.813081489992</v>
      </c>
      <c r="D271" s="1866">
        <v>80987.813081489992</v>
      </c>
      <c r="E271" s="1866">
        <v>80987.813081489992</v>
      </c>
      <c r="F271" s="1866">
        <v>0</v>
      </c>
      <c r="G271" s="1866">
        <v>0</v>
      </c>
      <c r="H271" s="2101">
        <v>242963.43924446998</v>
      </c>
      <c r="I271" s="2110"/>
    </row>
    <row r="272" spans="1:9">
      <c r="A272" s="1862" t="str">
        <f>IFERROR(IF(B272="","",VLOOKUP(B272,Buget_detaliat!F:I,4,0)),"")</f>
        <v/>
      </c>
      <c r="B272" s="2092"/>
      <c r="C272" s="1866"/>
      <c r="D272" s="1866"/>
      <c r="E272" s="1866"/>
      <c r="F272" s="1866"/>
      <c r="G272" s="1866"/>
      <c r="H272" s="2101"/>
    </row>
    <row r="273" spans="1:10" ht="17">
      <c r="A273" s="1862" t="str">
        <f ca="1">IFERROR(IF(B273="","",VLOOKUP(B273,Buget_detaliat!F:I,4,0)),"")</f>
        <v/>
      </c>
      <c r="B273" s="1864" t="s">
        <v>3136</v>
      </c>
      <c r="C273" s="1866">
        <v>20000</v>
      </c>
      <c r="D273" s="1866">
        <v>0</v>
      </c>
      <c r="E273" s="1866">
        <v>0</v>
      </c>
      <c r="F273" s="1866">
        <v>0</v>
      </c>
      <c r="G273" s="1866">
        <v>0</v>
      </c>
      <c r="H273" s="2101">
        <v>20000</v>
      </c>
      <c r="I273" s="2110"/>
    </row>
    <row r="274" spans="1:10" ht="17">
      <c r="A274" s="1862" t="str">
        <f ca="1">IFERROR(IF(B274="","",VLOOKUP(B274,Buget_detaliat!F:I,4,0)),"")</f>
        <v>Sisteme_de_sanatate</v>
      </c>
      <c r="B274" s="1864" t="s">
        <v>3491</v>
      </c>
      <c r="C274" s="1866">
        <v>20000</v>
      </c>
      <c r="D274" s="1866">
        <v>0</v>
      </c>
      <c r="E274" s="1866">
        <v>0</v>
      </c>
      <c r="F274" s="1866">
        <v>0</v>
      </c>
      <c r="G274" s="1866">
        <v>0</v>
      </c>
      <c r="H274" s="2101">
        <v>20000</v>
      </c>
      <c r="I274" s="2110"/>
    </row>
    <row r="275" spans="1:10">
      <c r="A275" s="1862" t="str">
        <f>IFERROR(IF(B275="","",VLOOKUP(B275,Buget_detaliat!F:I,4,0)),"")</f>
        <v/>
      </c>
      <c r="B275" s="2092"/>
      <c r="C275" s="1866"/>
      <c r="D275" s="1866"/>
      <c r="E275" s="1866"/>
      <c r="F275" s="1866"/>
      <c r="G275" s="1866"/>
      <c r="H275" s="2101"/>
    </row>
    <row r="276" spans="1:10" ht="17">
      <c r="A276" s="1862" t="str">
        <f ca="1">IFERROR(IF(B276="","",VLOOKUP(B276,Buget_detaliat!F:I,4,0)),"")</f>
        <v/>
      </c>
      <c r="B276" s="1864" t="s">
        <v>393</v>
      </c>
      <c r="C276" s="1866">
        <v>3179779.5350000001</v>
      </c>
      <c r="D276" s="1866">
        <v>3586111.89</v>
      </c>
      <c r="E276" s="1866">
        <v>3925262.5300000003</v>
      </c>
      <c r="F276" s="1866">
        <v>2519992.2850000001</v>
      </c>
      <c r="G276" s="1866">
        <v>2465385.4249999998</v>
      </c>
      <c r="H276" s="2101">
        <v>15676531.664999999</v>
      </c>
    </row>
    <row r="277" spans="1:10" ht="17">
      <c r="A277" s="1862" t="str">
        <f ca="1">IFERROR(IF(B277="","",VLOOKUP(B277,Buget_detaliat!F:I,4,0)),"")</f>
        <v/>
      </c>
      <c r="B277" s="1864" t="s">
        <v>2975</v>
      </c>
      <c r="C277" s="1866">
        <v>0</v>
      </c>
      <c r="D277" s="1866">
        <v>40000</v>
      </c>
      <c r="E277" s="1866">
        <v>0</v>
      </c>
      <c r="F277" s="1866">
        <v>0</v>
      </c>
      <c r="G277" s="1866">
        <v>0</v>
      </c>
      <c r="H277" s="2101">
        <v>40000</v>
      </c>
    </row>
    <row r="278" spans="1:10" ht="17">
      <c r="A278" s="1862" t="str">
        <f ca="1">IFERROR(IF(B278="","",VLOOKUP(B278,Buget_detaliat!F:I,4,0)),"")</f>
        <v>Sisteme_de_sanatate</v>
      </c>
      <c r="B278" s="1864" t="s">
        <v>3492</v>
      </c>
      <c r="C278" s="1866">
        <v>0</v>
      </c>
      <c r="D278" s="1866">
        <v>40000</v>
      </c>
      <c r="E278" s="1866">
        <v>0</v>
      </c>
      <c r="F278" s="1866">
        <v>0</v>
      </c>
      <c r="G278" s="1866">
        <v>0</v>
      </c>
      <c r="H278" s="2101">
        <v>40000</v>
      </c>
    </row>
    <row r="279" spans="1:10">
      <c r="A279" s="1862" t="str">
        <f>IFERROR(IF(B279="","",VLOOKUP(B279,Buget_detaliat!F:I,4,0)),"")</f>
        <v/>
      </c>
      <c r="B279" s="2092"/>
      <c r="C279" s="1866"/>
      <c r="D279" s="1866"/>
      <c r="E279" s="1866"/>
      <c r="F279" s="1866"/>
      <c r="G279" s="1866"/>
      <c r="H279" s="2101"/>
    </row>
    <row r="280" spans="1:10" ht="17">
      <c r="A280" s="1862" t="str">
        <f ca="1">IFERROR(IF(B280="","",VLOOKUP(B280,Buget_detaliat!F:I,4,0)),"")</f>
        <v/>
      </c>
      <c r="B280" s="1864" t="s">
        <v>2976</v>
      </c>
      <c r="C280" s="1866">
        <v>1799204.5350000001</v>
      </c>
      <c r="D280" s="1866">
        <v>2192006.89</v>
      </c>
      <c r="E280" s="1866">
        <v>2571157.5300000003</v>
      </c>
      <c r="F280" s="1866">
        <v>2519992.2850000001</v>
      </c>
      <c r="G280" s="1866">
        <v>2465385.4249999998</v>
      </c>
      <c r="H280" s="2101">
        <v>11547746.664999999</v>
      </c>
    </row>
    <row r="281" spans="1:10">
      <c r="A281" s="1862" t="str">
        <f ca="1">IFERROR(IF(B281="","",VLOOKUP(B281,Buget_detaliat!F:I,4,0)),"")</f>
        <v>ONG_TB</v>
      </c>
      <c r="B281" s="2092" t="s">
        <v>3980</v>
      </c>
      <c r="C281" s="1866">
        <v>406270.625</v>
      </c>
      <c r="D281" s="1866">
        <v>504104.14</v>
      </c>
      <c r="E281" s="1866">
        <v>609463.31000000006</v>
      </c>
      <c r="F281" s="1866">
        <v>618388.56000000006</v>
      </c>
      <c r="G281" s="1866">
        <v>619788.15500000003</v>
      </c>
      <c r="H281" s="2101">
        <v>2758014.79</v>
      </c>
      <c r="J281" s="2112"/>
    </row>
    <row r="282" spans="1:10">
      <c r="A282" s="1862" t="str">
        <f ca="1">IFERROR(IF(B282="","",VLOOKUP(B282,Buget_detaliat!F:I,4,0)),"")</f>
        <v>ONG_TB</v>
      </c>
      <c r="B282" s="2092" t="s">
        <v>3981</v>
      </c>
      <c r="C282" s="1866">
        <v>1392933.9100000001</v>
      </c>
      <c r="D282" s="1866">
        <v>1687902.75</v>
      </c>
      <c r="E282" s="1866">
        <v>1961694.2200000002</v>
      </c>
      <c r="F282" s="1866">
        <v>1901603.7250000001</v>
      </c>
      <c r="G282" s="1866">
        <v>1845597.27</v>
      </c>
      <c r="H282" s="2101">
        <v>8789731.875</v>
      </c>
    </row>
    <row r="283" spans="1:10">
      <c r="A283" s="1862" t="str">
        <f>IFERROR(IF(B283="","",VLOOKUP(B283,Buget_detaliat!F:I,4,0)),"")</f>
        <v/>
      </c>
      <c r="B283" s="2092"/>
      <c r="C283" s="1866"/>
      <c r="D283" s="1866"/>
      <c r="E283" s="1866"/>
      <c r="F283" s="1866"/>
      <c r="G283" s="1866"/>
      <c r="H283" s="2101"/>
    </row>
    <row r="284" spans="1:10" ht="17">
      <c r="A284" s="1862" t="str">
        <f ca="1">IFERROR(IF(B284="","",VLOOKUP(B284,Buget_detaliat!F:I,4,0)),"")</f>
        <v/>
      </c>
      <c r="B284" s="1864" t="s">
        <v>2977</v>
      </c>
      <c r="C284" s="1866">
        <v>356000</v>
      </c>
      <c r="D284" s="1866">
        <v>0</v>
      </c>
      <c r="E284" s="1866">
        <v>0</v>
      </c>
      <c r="F284" s="1866">
        <v>0</v>
      </c>
      <c r="G284" s="1866">
        <v>0</v>
      </c>
      <c r="H284" s="2101">
        <v>356000</v>
      </c>
    </row>
    <row r="285" spans="1:10" ht="17">
      <c r="A285" s="1862" t="str">
        <f ca="1">IFERROR(IF(B285="","",VLOOKUP(B285,Buget_detaliat!F:I,4,0)),"")</f>
        <v>Sisteme_de_sanatate</v>
      </c>
      <c r="B285" s="1864" t="s">
        <v>3514</v>
      </c>
      <c r="C285" s="1866">
        <v>256000</v>
      </c>
      <c r="D285" s="1866">
        <v>0</v>
      </c>
      <c r="E285" s="1866">
        <v>0</v>
      </c>
      <c r="F285" s="1866">
        <v>0</v>
      </c>
      <c r="G285" s="1866">
        <v>0</v>
      </c>
      <c r="H285" s="2101">
        <v>256000</v>
      </c>
    </row>
    <row r="286" spans="1:10" ht="17">
      <c r="A286" s="2163" t="str">
        <f ca="1">IFERROR(IF(B286="","",VLOOKUP(B286,Buget_detaliat!F:I,4,0)),"")</f>
        <v>Sisteme_de_sanatate</v>
      </c>
      <c r="B286" s="1864" t="s">
        <v>3515</v>
      </c>
      <c r="C286" s="1866">
        <v>0</v>
      </c>
      <c r="D286" s="1866">
        <v>0</v>
      </c>
      <c r="E286" s="1866">
        <v>0</v>
      </c>
      <c r="F286" s="1866">
        <v>0</v>
      </c>
      <c r="G286" s="1866">
        <v>0</v>
      </c>
      <c r="H286" s="2101">
        <v>0</v>
      </c>
    </row>
    <row r="287" spans="1:10" ht="17">
      <c r="A287" s="1862" t="str">
        <f ca="1">IFERROR(IF(B287="","",VLOOKUP(B287,Buget_detaliat!F:I,4,0)),"")</f>
        <v>Sisteme_de_sanatate</v>
      </c>
      <c r="B287" s="1864" t="s">
        <v>3516</v>
      </c>
      <c r="C287" s="1866">
        <v>60000</v>
      </c>
      <c r="D287" s="1866">
        <v>0</v>
      </c>
      <c r="E287" s="1866">
        <v>0</v>
      </c>
      <c r="F287" s="1866">
        <v>0</v>
      </c>
      <c r="G287" s="1866">
        <v>0</v>
      </c>
      <c r="H287" s="2101">
        <v>60000</v>
      </c>
    </row>
    <row r="288" spans="1:10" ht="17">
      <c r="A288" s="1862" t="str">
        <f ca="1">IFERROR(IF(B288="","",VLOOKUP(B288,Buget_detaliat!F:I,4,0)),"")</f>
        <v>Sisteme_de_sanatate</v>
      </c>
      <c r="B288" s="1864" t="s">
        <v>3517</v>
      </c>
      <c r="C288" s="1866">
        <v>40000</v>
      </c>
      <c r="D288" s="1866">
        <v>0</v>
      </c>
      <c r="E288" s="1866">
        <v>0</v>
      </c>
      <c r="F288" s="1866">
        <v>0</v>
      </c>
      <c r="G288" s="1866">
        <v>0</v>
      </c>
      <c r="H288" s="2101">
        <v>40000</v>
      </c>
      <c r="J288" s="2112"/>
    </row>
    <row r="289" spans="1:8">
      <c r="A289" s="1862" t="str">
        <f>IFERROR(IF(B289="","",VLOOKUP(B289,Buget_detaliat!F:I,4,0)),"")</f>
        <v/>
      </c>
      <c r="B289" s="2092"/>
      <c r="C289" s="1866"/>
      <c r="D289" s="1866"/>
      <c r="E289" s="1866"/>
      <c r="F289" s="1866"/>
      <c r="G289" s="1866"/>
      <c r="H289" s="2101"/>
    </row>
    <row r="290" spans="1:8" ht="17">
      <c r="A290" s="1862" t="str">
        <f ca="1">IFERROR(IF(B290="","",VLOOKUP(B290,Buget_detaliat!F:I,4,0)),"")</f>
        <v/>
      </c>
      <c r="B290" s="1864" t="s">
        <v>2978</v>
      </c>
      <c r="C290" s="1866">
        <v>1024575</v>
      </c>
      <c r="D290" s="1866">
        <v>1354105</v>
      </c>
      <c r="E290" s="1866">
        <v>1354105</v>
      </c>
      <c r="F290" s="1866">
        <v>0</v>
      </c>
      <c r="G290" s="1866">
        <v>0</v>
      </c>
      <c r="H290" s="2101">
        <v>3732785</v>
      </c>
    </row>
    <row r="291" spans="1:8" ht="17">
      <c r="A291" s="1862" t="str">
        <f ca="1">IFERROR(IF(B291="","",VLOOKUP(B291,Buget_detaliat!F:I,4,0)),"")</f>
        <v>ONG_TB</v>
      </c>
      <c r="B291" s="1864" t="s">
        <v>3518</v>
      </c>
      <c r="C291" s="1866">
        <v>0</v>
      </c>
      <c r="D291" s="1866">
        <v>490618</v>
      </c>
      <c r="E291" s="1866">
        <v>490618</v>
      </c>
      <c r="F291" s="1866">
        <v>0</v>
      </c>
      <c r="G291" s="1866">
        <v>0</v>
      </c>
      <c r="H291" s="2101">
        <v>981236</v>
      </c>
    </row>
    <row r="292" spans="1:8" ht="17">
      <c r="A292" s="1862" t="str">
        <f ca="1">IFERROR(IF(B292="","",VLOOKUP(B292,Buget_detaliat!F:I,4,0)),"")</f>
        <v>ONG_TB</v>
      </c>
      <c r="B292" s="1864" t="s">
        <v>3931</v>
      </c>
      <c r="C292" s="1866">
        <v>863487</v>
      </c>
      <c r="D292" s="1866">
        <v>863487</v>
      </c>
      <c r="E292" s="1866">
        <v>863487</v>
      </c>
      <c r="F292" s="1866">
        <v>0</v>
      </c>
      <c r="G292" s="1866">
        <v>0</v>
      </c>
      <c r="H292" s="2101">
        <v>2590461</v>
      </c>
    </row>
    <row r="293" spans="1:8" ht="17">
      <c r="A293" s="1862" t="str">
        <f ca="1">IFERROR(IF(B293="","",VLOOKUP(B293,Buget_detaliat!F:I,4,0)),"")</f>
        <v>ONG_TB</v>
      </c>
      <c r="B293" s="1864" t="s">
        <v>3930</v>
      </c>
      <c r="C293" s="1866">
        <v>0</v>
      </c>
      <c r="D293" s="1866">
        <v>0</v>
      </c>
      <c r="E293" s="1866">
        <v>0</v>
      </c>
      <c r="F293" s="1866">
        <v>0</v>
      </c>
      <c r="G293" s="1866">
        <v>0</v>
      </c>
      <c r="H293" s="2101">
        <v>0</v>
      </c>
    </row>
    <row r="294" spans="1:8" ht="17">
      <c r="A294" s="1862" t="str">
        <f ca="1">IFERROR(IF(B294="","",VLOOKUP(B294,Buget_detaliat!F:I,4,0)),"")</f>
        <v>ONG_TB</v>
      </c>
      <c r="B294" s="1864" t="s">
        <v>3951</v>
      </c>
      <c r="C294" s="1866">
        <v>100000</v>
      </c>
      <c r="D294" s="1866">
        <v>0</v>
      </c>
      <c r="E294" s="1866">
        <v>0</v>
      </c>
      <c r="F294" s="1866">
        <v>0</v>
      </c>
      <c r="G294" s="1866">
        <v>0</v>
      </c>
      <c r="H294" s="2101">
        <v>100000</v>
      </c>
    </row>
    <row r="295" spans="1:8" ht="17">
      <c r="A295" s="1862" t="str">
        <f ca="1">IFERROR(IF(B295="","",VLOOKUP(B295,Buget_detaliat!F:I,4,0)),"")</f>
        <v>ONG_TB</v>
      </c>
      <c r="B295" s="1864" t="s">
        <v>3952</v>
      </c>
      <c r="C295" s="1866">
        <v>41088</v>
      </c>
      <c r="D295" s="1866">
        <v>0</v>
      </c>
      <c r="E295" s="1866">
        <v>0</v>
      </c>
      <c r="F295" s="1866">
        <v>0</v>
      </c>
      <c r="G295" s="1866">
        <v>0</v>
      </c>
      <c r="H295" s="2101">
        <v>41088</v>
      </c>
    </row>
    <row r="296" spans="1:8">
      <c r="A296" s="1862" t="str">
        <f ca="1">IFERROR(IF(B296="","",VLOOKUP(B296,Buget_detaliat!F:I,4,0)),"")</f>
        <v>ONG_TB</v>
      </c>
      <c r="B296" s="2092" t="s">
        <v>3953</v>
      </c>
      <c r="C296" s="1866">
        <v>20000</v>
      </c>
      <c r="D296" s="1866">
        <v>0</v>
      </c>
      <c r="E296" s="1866">
        <v>0</v>
      </c>
      <c r="F296" s="1866">
        <v>0</v>
      </c>
      <c r="G296" s="1866">
        <v>0</v>
      </c>
      <c r="H296" s="2101">
        <v>20000</v>
      </c>
    </row>
    <row r="297" spans="1:8">
      <c r="A297" s="1862" t="str">
        <f ca="1">IFERROR(IF(B297="","",VLOOKUP(B297,Buget_detaliat!F:I,4,0)),"")</f>
        <v>ONG_TB</v>
      </c>
      <c r="B297" s="2092" t="s">
        <v>3978</v>
      </c>
      <c r="C297" s="1866">
        <v>0</v>
      </c>
      <c r="D297" s="1866">
        <v>0</v>
      </c>
      <c r="E297" s="1866">
        <v>0</v>
      </c>
      <c r="F297" s="1866">
        <v>0</v>
      </c>
      <c r="G297" s="1866">
        <v>0</v>
      </c>
      <c r="H297" s="2101">
        <v>0</v>
      </c>
    </row>
    <row r="298" spans="1:8">
      <c r="A298" s="1862" t="str">
        <f ca="1">IFERROR(IF(B298="","",VLOOKUP(B298,Buget_detaliat!F:I,4,0)),"")</f>
        <v>ONG_TB</v>
      </c>
      <c r="B298" s="2092" t="s">
        <v>3979</v>
      </c>
      <c r="C298" s="1866">
        <v>0</v>
      </c>
      <c r="D298" s="1866">
        <v>0</v>
      </c>
      <c r="E298" s="1866">
        <v>0</v>
      </c>
      <c r="F298" s="1866">
        <v>0</v>
      </c>
      <c r="G298" s="1866">
        <v>0</v>
      </c>
      <c r="H298" s="2101">
        <v>0</v>
      </c>
    </row>
    <row r="299" spans="1:8">
      <c r="A299" s="1862" t="str">
        <f>IFERROR(IF(B299="","",VLOOKUP(B299,Buget_detaliat!F:I,4,0)),"")</f>
        <v/>
      </c>
      <c r="B299" s="2092"/>
      <c r="C299" s="1866"/>
      <c r="D299" s="1866"/>
      <c r="E299" s="1866"/>
      <c r="F299" s="1866"/>
      <c r="G299" s="1866"/>
      <c r="H299" s="2101"/>
    </row>
    <row r="300" spans="1:8" ht="17">
      <c r="A300" s="1862" t="str">
        <f ca="1">IFERROR(IF(B300="","",VLOOKUP(B300,Buget_detaliat!F:I,4,0)),"")</f>
        <v/>
      </c>
      <c r="B300" s="1864" t="s">
        <v>1854</v>
      </c>
      <c r="C300" s="1866">
        <v>439288.83999999997</v>
      </c>
      <c r="D300" s="1866">
        <v>391877.57</v>
      </c>
      <c r="E300" s="1866">
        <v>385553.51</v>
      </c>
      <c r="F300" s="1866">
        <v>0</v>
      </c>
      <c r="G300" s="1866">
        <v>0</v>
      </c>
      <c r="H300" s="2101">
        <v>1216719.92</v>
      </c>
    </row>
    <row r="301" spans="1:8" ht="17">
      <c r="A301" s="1862" t="str">
        <f ca="1">IFERROR(IF(B301="","",VLOOKUP(B301,Buget_detaliat!F:I,4,0)),"")</f>
        <v/>
      </c>
      <c r="B301" s="1864" t="s">
        <v>2979</v>
      </c>
      <c r="C301" s="1866">
        <v>399288.83999999997</v>
      </c>
      <c r="D301" s="1866">
        <v>391877.57</v>
      </c>
      <c r="E301" s="1866">
        <v>385553.51</v>
      </c>
      <c r="F301" s="1866">
        <v>0</v>
      </c>
      <c r="G301" s="1866">
        <v>0</v>
      </c>
      <c r="H301" s="2101">
        <v>1176719.92</v>
      </c>
    </row>
    <row r="302" spans="1:8" ht="17">
      <c r="A302" s="1862" t="str">
        <f ca="1">IFERROR(IF(B302="","",VLOOKUP(B302,Buget_detaliat!F:I,4,0)),"")</f>
        <v>ONG_TB</v>
      </c>
      <c r="B302" s="1864" t="s">
        <v>3519</v>
      </c>
      <c r="C302" s="1866">
        <v>399288.83999999997</v>
      </c>
      <c r="D302" s="1866">
        <v>391877.57</v>
      </c>
      <c r="E302" s="1866">
        <v>385553.51</v>
      </c>
      <c r="F302" s="1866">
        <v>0</v>
      </c>
      <c r="G302" s="1866">
        <v>0</v>
      </c>
      <c r="H302" s="2101">
        <v>1176719.92</v>
      </c>
    </row>
    <row r="303" spans="1:8">
      <c r="A303" s="1862" t="str">
        <f>IFERROR(IF(B303="","",VLOOKUP(B303,Buget_detaliat!F:I,4,0)),"")</f>
        <v/>
      </c>
      <c r="B303" s="2092"/>
      <c r="C303" s="1866"/>
      <c r="D303" s="1866"/>
      <c r="E303" s="1866"/>
      <c r="F303" s="1866"/>
      <c r="G303" s="1866"/>
      <c r="H303" s="2101"/>
    </row>
    <row r="304" spans="1:8" ht="17">
      <c r="A304" s="1862" t="str">
        <f ca="1">IFERROR(IF(B304="","",VLOOKUP(B304,Buget_detaliat!F:I,4,0)),"")</f>
        <v/>
      </c>
      <c r="B304" s="1864" t="s">
        <v>2980</v>
      </c>
      <c r="C304" s="1866">
        <v>0</v>
      </c>
      <c r="D304" s="1866">
        <v>0</v>
      </c>
      <c r="E304" s="1866">
        <v>0</v>
      </c>
      <c r="F304" s="1866">
        <v>0</v>
      </c>
      <c r="G304" s="1866">
        <v>0</v>
      </c>
      <c r="H304" s="2101">
        <v>0</v>
      </c>
    </row>
    <row r="305" spans="1:10" ht="17">
      <c r="A305" s="1862" t="str">
        <f ca="1">IFERROR(IF(B305="","",VLOOKUP(B305,Buget_detaliat!F:I,4,0)),"")</f>
        <v>Sisteme_de_sanatate</v>
      </c>
      <c r="B305" s="1864" t="s">
        <v>3703</v>
      </c>
      <c r="C305" s="1866">
        <v>0</v>
      </c>
      <c r="D305" s="1866">
        <v>0</v>
      </c>
      <c r="E305" s="1866">
        <v>0</v>
      </c>
      <c r="F305" s="1866">
        <v>0</v>
      </c>
      <c r="G305" s="1866">
        <v>0</v>
      </c>
      <c r="H305" s="2101">
        <v>0</v>
      </c>
    </row>
    <row r="306" spans="1:10" ht="17">
      <c r="A306" s="1862" t="str">
        <f ca="1">IFERROR(IF(B306="","",VLOOKUP(B306,Buget_detaliat!F:I,4,0)),"")</f>
        <v>Sisteme_de_sanatate</v>
      </c>
      <c r="B306" s="1864" t="s">
        <v>3704</v>
      </c>
      <c r="C306" s="1866">
        <v>0</v>
      </c>
      <c r="D306" s="1866">
        <v>0</v>
      </c>
      <c r="E306" s="1866">
        <v>0</v>
      </c>
      <c r="F306" s="1866">
        <v>0</v>
      </c>
      <c r="G306" s="1866">
        <v>0</v>
      </c>
      <c r="H306" s="2101">
        <v>0</v>
      </c>
    </row>
    <row r="307" spans="1:10" ht="17">
      <c r="A307" s="1862" t="str">
        <f ca="1">IFERROR(IF(B307="","",VLOOKUP(B307,Buget_detaliat!F:I,4,0)),"")</f>
        <v>Sisteme_de_sanatate</v>
      </c>
      <c r="B307" s="1864" t="s">
        <v>3520</v>
      </c>
      <c r="C307" s="1866">
        <v>0</v>
      </c>
      <c r="D307" s="1866">
        <v>0</v>
      </c>
      <c r="E307" s="1866">
        <v>0</v>
      </c>
      <c r="F307" s="1866">
        <v>0</v>
      </c>
      <c r="G307" s="1866">
        <v>0</v>
      </c>
      <c r="H307" s="2101">
        <v>0</v>
      </c>
    </row>
    <row r="308" spans="1:10">
      <c r="A308" s="1862" t="str">
        <f>IFERROR(IF(B308="","",VLOOKUP(B308,Buget_detaliat!F:I,4,0)),"")</f>
        <v/>
      </c>
      <c r="B308" s="2092"/>
      <c r="C308" s="1866"/>
      <c r="D308" s="1866"/>
      <c r="E308" s="1866"/>
      <c r="F308" s="1866"/>
      <c r="G308" s="1866"/>
      <c r="H308" s="2101"/>
    </row>
    <row r="309" spans="1:10" ht="17">
      <c r="A309" s="1862" t="str">
        <f ca="1">IFERROR(IF(B309="","",VLOOKUP(B309,Buget_detaliat!F:I,4,0)),"")</f>
        <v/>
      </c>
      <c r="B309" s="1864" t="s">
        <v>2981</v>
      </c>
      <c r="C309" s="1866">
        <v>40000</v>
      </c>
      <c r="D309" s="1866">
        <v>0</v>
      </c>
      <c r="E309" s="1866">
        <v>0</v>
      </c>
      <c r="F309" s="1866">
        <v>0</v>
      </c>
      <c r="G309" s="1866">
        <v>0</v>
      </c>
      <c r="H309" s="2101">
        <v>40000</v>
      </c>
    </row>
    <row r="310" spans="1:10" ht="17">
      <c r="A310" s="1862" t="str">
        <f ca="1">IFERROR(IF(B310="","",VLOOKUP(B310,Buget_detaliat!F:I,4,0)),"")</f>
        <v>Sisteme_de_sanatate</v>
      </c>
      <c r="B310" s="1864" t="s">
        <v>3521</v>
      </c>
      <c r="C310" s="1866">
        <v>40000</v>
      </c>
      <c r="D310" s="1866">
        <v>0</v>
      </c>
      <c r="E310" s="1866">
        <v>0</v>
      </c>
      <c r="F310" s="1866">
        <v>0</v>
      </c>
      <c r="G310" s="1866">
        <v>0</v>
      </c>
      <c r="H310" s="2101">
        <v>40000</v>
      </c>
      <c r="J310" s="2112"/>
    </row>
    <row r="311" spans="1:10">
      <c r="A311" s="1862" t="str">
        <f>IFERROR(IF(B311="","",VLOOKUP(B311,Buget_detaliat!F:I,4,0)),"")</f>
        <v/>
      </c>
      <c r="B311" s="2092"/>
      <c r="C311" s="1866"/>
      <c r="D311" s="1866"/>
      <c r="E311" s="1866"/>
      <c r="F311" s="1866"/>
      <c r="G311" s="1866"/>
      <c r="H311" s="2101"/>
    </row>
    <row r="312" spans="1:10" ht="17">
      <c r="A312" s="1862" t="str">
        <f ca="1">IFERROR(IF(B312="","",VLOOKUP(B312,Buget_detaliat!F:I,4,0)),"")</f>
        <v/>
      </c>
      <c r="B312" s="1864" t="s">
        <v>394</v>
      </c>
      <c r="C312" s="1866">
        <v>279201.2</v>
      </c>
      <c r="D312" s="1866">
        <v>173941.2</v>
      </c>
      <c r="E312" s="1866">
        <v>136393.20000000001</v>
      </c>
      <c r="F312" s="1866">
        <v>0</v>
      </c>
      <c r="G312" s="1866">
        <v>0</v>
      </c>
      <c r="H312" s="2101">
        <v>589535.6</v>
      </c>
    </row>
    <row r="313" spans="1:10" ht="17">
      <c r="A313" s="1862" t="str">
        <f ca="1">IFERROR(IF(B313="","",VLOOKUP(B313,Buget_detaliat!F:I,4,0)),"")</f>
        <v/>
      </c>
      <c r="B313" s="1864" t="s">
        <v>2983</v>
      </c>
      <c r="C313" s="1866">
        <v>0</v>
      </c>
      <c r="D313" s="1866">
        <v>0</v>
      </c>
      <c r="E313" s="1866">
        <v>0</v>
      </c>
      <c r="F313" s="1866">
        <v>0</v>
      </c>
      <c r="G313" s="1866">
        <v>0</v>
      </c>
      <c r="H313" s="2101">
        <v>0</v>
      </c>
    </row>
    <row r="314" spans="1:10" ht="17">
      <c r="A314" s="1862" t="str">
        <f ca="1">IFERROR(IF(B314="","",VLOOKUP(B314,Buget_detaliat!F:I,4,0)),"")</f>
        <v>Sisteme_de_sanatate</v>
      </c>
      <c r="B314" s="1864" t="s">
        <v>3522</v>
      </c>
      <c r="C314" s="1866">
        <v>0</v>
      </c>
      <c r="D314" s="1866">
        <v>0</v>
      </c>
      <c r="E314" s="1866">
        <v>0</v>
      </c>
      <c r="F314" s="1866">
        <v>0</v>
      </c>
      <c r="G314" s="1866">
        <v>0</v>
      </c>
      <c r="H314" s="2101">
        <v>0</v>
      </c>
    </row>
    <row r="315" spans="1:10" ht="17">
      <c r="A315" s="1862" t="str">
        <f ca="1">IFERROR(IF(B315="","",VLOOKUP(B315,Buget_detaliat!F:I,4,0)),"")</f>
        <v>Sisteme_de_sanatate</v>
      </c>
      <c r="B315" s="1864" t="s">
        <v>3523</v>
      </c>
      <c r="C315" s="1866">
        <v>0</v>
      </c>
      <c r="D315" s="1866">
        <v>0</v>
      </c>
      <c r="E315" s="1866">
        <v>0</v>
      </c>
      <c r="F315" s="1866">
        <v>0</v>
      </c>
      <c r="G315" s="1866">
        <v>0</v>
      </c>
      <c r="H315" s="2101">
        <v>0</v>
      </c>
    </row>
    <row r="316" spans="1:10">
      <c r="A316" s="1862" t="str">
        <f>IFERROR(IF(B316="","",VLOOKUP(B316,Buget_detaliat!F:I,4,0)),"")</f>
        <v/>
      </c>
      <c r="B316" s="2092"/>
      <c r="C316" s="1866"/>
      <c r="D316" s="1866"/>
      <c r="E316" s="1866"/>
      <c r="F316" s="1866"/>
      <c r="G316" s="1866"/>
      <c r="H316" s="2101"/>
    </row>
    <row r="317" spans="1:10" ht="17">
      <c r="A317" s="1862" t="str">
        <f ca="1">IFERROR(IF(B317="","",VLOOKUP(B317,Buget_detaliat!F:I,4,0)),"")</f>
        <v/>
      </c>
      <c r="B317" s="1864" t="s">
        <v>2984</v>
      </c>
      <c r="C317" s="1866">
        <v>116508</v>
      </c>
      <c r="D317" s="1866">
        <v>0</v>
      </c>
      <c r="E317" s="1866">
        <v>0</v>
      </c>
      <c r="F317" s="1866">
        <v>0</v>
      </c>
      <c r="G317" s="1866">
        <v>0</v>
      </c>
      <c r="H317" s="2101">
        <v>116508</v>
      </c>
    </row>
    <row r="318" spans="1:10" ht="17">
      <c r="A318" s="1862" t="str">
        <f ca="1">IFERROR(IF(B318="","",VLOOKUP(B318,Buget_detaliat!F:I,4,0)),"")</f>
        <v>Sisteme_de_sanatate</v>
      </c>
      <c r="B318" s="1864" t="s">
        <v>3524</v>
      </c>
      <c r="C318" s="1866">
        <v>116508</v>
      </c>
      <c r="D318" s="1866">
        <v>0</v>
      </c>
      <c r="E318" s="1866">
        <v>0</v>
      </c>
      <c r="F318" s="1866">
        <v>0</v>
      </c>
      <c r="G318" s="1866">
        <v>0</v>
      </c>
      <c r="H318" s="2101">
        <v>116508</v>
      </c>
    </row>
    <row r="319" spans="1:10">
      <c r="A319" s="1862" t="str">
        <f>IFERROR(IF(B319="","",VLOOKUP(B319,Buget_detaliat!F:I,4,0)),"")</f>
        <v/>
      </c>
      <c r="B319" s="2092"/>
      <c r="C319" s="1866"/>
      <c r="D319" s="1866"/>
      <c r="E319" s="1866"/>
      <c r="F319" s="1866"/>
      <c r="G319" s="1866"/>
      <c r="H319" s="2101"/>
    </row>
    <row r="320" spans="1:10" ht="17">
      <c r="A320" s="1862" t="str">
        <f ca="1">IFERROR(IF(B320="","",VLOOKUP(B320,Buget_detaliat!F:I,4,0)),"")</f>
        <v/>
      </c>
      <c r="B320" s="1864" t="s">
        <v>2985</v>
      </c>
      <c r="C320" s="1866">
        <v>162693.20000000001</v>
      </c>
      <c r="D320" s="1866">
        <v>173941.2</v>
      </c>
      <c r="E320" s="1866">
        <v>136393.20000000001</v>
      </c>
      <c r="F320" s="1866">
        <v>0</v>
      </c>
      <c r="G320" s="1866">
        <v>0</v>
      </c>
      <c r="H320" s="2101">
        <v>473027.6</v>
      </c>
    </row>
    <row r="321" spans="1:8" ht="17">
      <c r="A321" s="1862" t="str">
        <f ca="1">IFERROR(IF(B321="","",VLOOKUP(B321,Buget_detaliat!F:I,4,0)),"")</f>
        <v>Sisteme_de_sanatate</v>
      </c>
      <c r="B321" s="1864" t="s">
        <v>3526</v>
      </c>
      <c r="C321" s="1866">
        <v>83845.2</v>
      </c>
      <c r="D321" s="1866">
        <v>83845.2</v>
      </c>
      <c r="E321" s="1866">
        <v>83845.2</v>
      </c>
      <c r="F321" s="1866">
        <v>0</v>
      </c>
      <c r="G321" s="1866">
        <v>0</v>
      </c>
      <c r="H321" s="2101">
        <v>251535.59999999998</v>
      </c>
    </row>
    <row r="322" spans="1:8" ht="17">
      <c r="A322" s="1862" t="str">
        <f ca="1">IFERROR(IF(B322="","",VLOOKUP(B322,Buget_detaliat!F:I,4,0)),"")</f>
        <v>Sisteme_de_sanatate</v>
      </c>
      <c r="B322" s="1864" t="s">
        <v>3527</v>
      </c>
      <c r="C322" s="1866">
        <v>35000</v>
      </c>
      <c r="D322" s="1866">
        <v>35000</v>
      </c>
      <c r="E322" s="1866">
        <v>35000</v>
      </c>
      <c r="F322" s="1866">
        <v>0</v>
      </c>
      <c r="G322" s="1866">
        <v>0</v>
      </c>
      <c r="H322" s="2101">
        <v>105000</v>
      </c>
    </row>
    <row r="323" spans="1:8" ht="34">
      <c r="A323" s="1862" t="str">
        <f ca="1">IFERROR(IF(B323="","",VLOOKUP(B323,Buget_detaliat!F:I,4,0)),"")</f>
        <v>Sisteme_de_sanatate</v>
      </c>
      <c r="B323" s="1864" t="s">
        <v>3529</v>
      </c>
      <c r="C323" s="1866">
        <v>0</v>
      </c>
      <c r="D323" s="1866">
        <v>20000</v>
      </c>
      <c r="E323" s="1866">
        <v>0</v>
      </c>
      <c r="F323" s="1866">
        <v>0</v>
      </c>
      <c r="G323" s="1866">
        <v>0</v>
      </c>
      <c r="H323" s="2101">
        <v>20000</v>
      </c>
    </row>
    <row r="324" spans="1:8" ht="17">
      <c r="B324" s="1864" t="s">
        <v>3528</v>
      </c>
      <c r="C324" s="1866">
        <v>17548</v>
      </c>
      <c r="D324" s="1866">
        <v>17548</v>
      </c>
      <c r="E324" s="1866">
        <v>17548</v>
      </c>
      <c r="F324" s="1866">
        <v>0</v>
      </c>
      <c r="G324" s="1866">
        <v>0</v>
      </c>
      <c r="H324" s="2101">
        <v>52644</v>
      </c>
    </row>
    <row r="325" spans="1:8" ht="17">
      <c r="B325" s="1864" t="s">
        <v>3725</v>
      </c>
      <c r="C325" s="1866">
        <v>26300</v>
      </c>
      <c r="D325" s="1866">
        <v>0</v>
      </c>
      <c r="E325" s="1866">
        <v>0</v>
      </c>
      <c r="F325" s="1866">
        <v>0</v>
      </c>
      <c r="G325" s="1866">
        <v>0</v>
      </c>
      <c r="H325" s="2101">
        <v>26300</v>
      </c>
    </row>
    <row r="326" spans="1:8" ht="17">
      <c r="B326" s="1864" t="s">
        <v>3724</v>
      </c>
      <c r="C326" s="1866">
        <v>0</v>
      </c>
      <c r="D326" s="1866">
        <v>17548</v>
      </c>
      <c r="E326" s="1866">
        <v>0</v>
      </c>
      <c r="F326" s="1866">
        <v>0</v>
      </c>
      <c r="G326" s="1866">
        <v>0</v>
      </c>
      <c r="H326" s="2101">
        <v>17548</v>
      </c>
    </row>
    <row r="327" spans="1:8">
      <c r="B327" s="2092"/>
      <c r="C327" s="1866"/>
      <c r="D327" s="1866"/>
      <c r="E327" s="1866"/>
      <c r="F327" s="1866"/>
      <c r="G327" s="1866"/>
      <c r="H327" s="2101"/>
    </row>
    <row r="328" spans="1:8" ht="17">
      <c r="B328" s="1864" t="s">
        <v>3079</v>
      </c>
      <c r="C328" s="1866">
        <v>2747474</v>
      </c>
      <c r="D328" s="1866">
        <v>2680160</v>
      </c>
      <c r="E328" s="1866">
        <v>2881367</v>
      </c>
      <c r="F328" s="1866">
        <v>2853809</v>
      </c>
      <c r="G328" s="1866">
        <v>3332500</v>
      </c>
      <c r="H328" s="2101">
        <v>14495310</v>
      </c>
    </row>
    <row r="329" spans="1:8" ht="17">
      <c r="B329" s="1864" t="s">
        <v>1855</v>
      </c>
      <c r="C329" s="1866">
        <v>2188724</v>
      </c>
      <c r="D329" s="1866">
        <v>2424160</v>
      </c>
      <c r="E329" s="1866">
        <v>2625367</v>
      </c>
      <c r="F329" s="1866">
        <v>2853809</v>
      </c>
      <c r="G329" s="1866">
        <v>3076500</v>
      </c>
      <c r="H329" s="2101">
        <v>13168560</v>
      </c>
    </row>
    <row r="330" spans="1:8" ht="17">
      <c r="B330" s="1864" t="s">
        <v>2987</v>
      </c>
      <c r="C330" s="1866">
        <v>2188724</v>
      </c>
      <c r="D330" s="1866">
        <v>2424160</v>
      </c>
      <c r="E330" s="1866">
        <v>2625367</v>
      </c>
      <c r="F330" s="1866">
        <v>2853809</v>
      </c>
      <c r="G330" s="1866">
        <v>3076500</v>
      </c>
      <c r="H330" s="2101">
        <v>13168560</v>
      </c>
    </row>
    <row r="331" spans="1:8" ht="17">
      <c r="B331" s="1864" t="s">
        <v>3874</v>
      </c>
      <c r="C331" s="1866">
        <v>2188724</v>
      </c>
      <c r="D331" s="1866">
        <v>2424160</v>
      </c>
      <c r="E331" s="1866">
        <v>2625367</v>
      </c>
      <c r="F331" s="1866">
        <v>2853809</v>
      </c>
      <c r="G331" s="1866">
        <v>3076500</v>
      </c>
      <c r="H331" s="2101">
        <v>13168560</v>
      </c>
    </row>
    <row r="332" spans="1:8">
      <c r="B332" s="2092"/>
      <c r="C332" s="1866"/>
      <c r="D332" s="1866"/>
      <c r="E332" s="1866"/>
      <c r="F332" s="1866"/>
      <c r="G332" s="1866"/>
      <c r="H332" s="2101"/>
    </row>
    <row r="333" spans="1:8" ht="17">
      <c r="B333" s="1864" t="s">
        <v>1856</v>
      </c>
      <c r="C333" s="1866">
        <v>558750</v>
      </c>
      <c r="D333" s="1866">
        <v>256000</v>
      </c>
      <c r="E333" s="1866">
        <v>256000</v>
      </c>
      <c r="F333" s="1866">
        <v>0</v>
      </c>
      <c r="G333" s="1866">
        <v>256000</v>
      </c>
      <c r="H333" s="2101">
        <v>1326750</v>
      </c>
    </row>
    <row r="334" spans="1:8" ht="17">
      <c r="B334" s="1864" t="s">
        <v>2991</v>
      </c>
      <c r="C334" s="1866">
        <v>558750</v>
      </c>
      <c r="D334" s="1866">
        <v>256000</v>
      </c>
      <c r="E334" s="1866">
        <v>256000</v>
      </c>
      <c r="F334" s="1866">
        <v>0</v>
      </c>
      <c r="G334" s="1866">
        <v>256000</v>
      </c>
      <c r="H334" s="2101">
        <v>1326750</v>
      </c>
    </row>
    <row r="335" spans="1:8" ht="17">
      <c r="B335" s="1864" t="s">
        <v>3726</v>
      </c>
      <c r="C335" s="1866">
        <v>0</v>
      </c>
      <c r="D335" s="1866">
        <v>0</v>
      </c>
      <c r="E335" s="1866">
        <v>256000</v>
      </c>
      <c r="F335" s="1866">
        <v>0</v>
      </c>
      <c r="G335" s="1866">
        <v>0</v>
      </c>
      <c r="H335" s="2101">
        <v>256000</v>
      </c>
    </row>
    <row r="336" spans="1:8" ht="17">
      <c r="B336" s="1864" t="s">
        <v>3727</v>
      </c>
      <c r="C336" s="1866">
        <v>256000</v>
      </c>
      <c r="D336" s="1866">
        <v>0</v>
      </c>
      <c r="E336" s="1866">
        <v>0</v>
      </c>
      <c r="F336" s="1866">
        <v>0</v>
      </c>
      <c r="G336" s="1866">
        <v>256000</v>
      </c>
      <c r="H336" s="2101">
        <v>512000</v>
      </c>
    </row>
    <row r="337" spans="2:8" ht="17">
      <c r="B337" s="1864" t="s">
        <v>3728</v>
      </c>
      <c r="C337" s="1866">
        <v>302750</v>
      </c>
      <c r="D337" s="1866">
        <v>0</v>
      </c>
      <c r="E337" s="1866">
        <v>0</v>
      </c>
      <c r="F337" s="1866">
        <v>0</v>
      </c>
      <c r="G337" s="1866">
        <v>0</v>
      </c>
      <c r="H337" s="2101">
        <v>302750</v>
      </c>
    </row>
    <row r="338" spans="2:8" ht="17">
      <c r="B338" s="1864" t="s">
        <v>3729</v>
      </c>
      <c r="C338" s="1866">
        <v>0</v>
      </c>
      <c r="D338" s="1866">
        <v>256000</v>
      </c>
      <c r="E338" s="1866">
        <v>0</v>
      </c>
      <c r="F338" s="1866">
        <v>0</v>
      </c>
      <c r="G338" s="1866">
        <v>0</v>
      </c>
      <c r="H338" s="2101">
        <v>256000</v>
      </c>
    </row>
    <row r="339" spans="2:8">
      <c r="B339" s="2092"/>
      <c r="C339" s="1866"/>
      <c r="D339" s="1866"/>
      <c r="E339" s="1866"/>
      <c r="F339" s="1866"/>
      <c r="G339" s="1866"/>
      <c r="H339" s="2101"/>
    </row>
    <row r="340" spans="2:8" ht="17">
      <c r="B340" s="1864" t="s">
        <v>1883</v>
      </c>
      <c r="C340" s="1866">
        <v>270289807.15956545</v>
      </c>
      <c r="D340" s="1866">
        <v>273882554.26096749</v>
      </c>
      <c r="E340" s="1866">
        <v>273908527.13317329</v>
      </c>
      <c r="F340" s="1866">
        <v>258579870.59947911</v>
      </c>
      <c r="G340" s="1866">
        <v>262002215.48349184</v>
      </c>
      <c r="H340" s="2102">
        <v>1338662974.636677</v>
      </c>
    </row>
    <row r="341" spans="2:8">
      <c r="B341"/>
      <c r="C341"/>
      <c r="D341"/>
      <c r="E341"/>
      <c r="F341"/>
      <c r="G341"/>
      <c r="H341"/>
    </row>
    <row r="342" spans="2:8">
      <c r="B342"/>
      <c r="C342"/>
      <c r="D342"/>
      <c r="E342"/>
      <c r="F342"/>
      <c r="G342"/>
      <c r="H342"/>
    </row>
    <row r="343" spans="2:8">
      <c r="B343" s="414"/>
      <c r="C343"/>
      <c r="D343"/>
      <c r="E343"/>
      <c r="F343"/>
      <c r="G343"/>
      <c r="H343"/>
    </row>
    <row r="344" spans="2:8">
      <c r="B344" s="414"/>
      <c r="C344"/>
      <c r="D344"/>
      <c r="E344"/>
      <c r="F344"/>
      <c r="G344"/>
      <c r="H344"/>
    </row>
    <row r="345" spans="2:8">
      <c r="B345" s="414"/>
      <c r="C345"/>
      <c r="D345"/>
      <c r="E345"/>
      <c r="F345"/>
      <c r="G345"/>
      <c r="H345"/>
    </row>
    <row r="346" spans="2:8">
      <c r="B346" s="414"/>
      <c r="C346"/>
      <c r="D346"/>
      <c r="E346"/>
      <c r="F346"/>
      <c r="G346"/>
      <c r="H346"/>
    </row>
    <row r="347" spans="2:8">
      <c r="B347" s="414"/>
      <c r="C347"/>
      <c r="D347"/>
      <c r="E347"/>
      <c r="F347"/>
      <c r="G347"/>
      <c r="H347"/>
    </row>
    <row r="348" spans="2:8">
      <c r="B348" s="414"/>
      <c r="C348"/>
      <c r="D348"/>
      <c r="E348"/>
      <c r="F348"/>
      <c r="G348"/>
      <c r="H348"/>
    </row>
    <row r="349" spans="2:8">
      <c r="B349" s="414"/>
      <c r="C349"/>
      <c r="D349"/>
      <c r="E349"/>
      <c r="F349"/>
      <c r="G349"/>
      <c r="H349"/>
    </row>
    <row r="350" spans="2:8">
      <c r="B350" s="414"/>
      <c r="C350"/>
      <c r="D350"/>
      <c r="E350"/>
      <c r="F350"/>
      <c r="G350"/>
      <c r="H350"/>
    </row>
    <row r="351" spans="2:8">
      <c r="B351" s="414"/>
      <c r="C351"/>
      <c r="D351"/>
      <c r="E351"/>
      <c r="F351"/>
      <c r="G351"/>
      <c r="H351"/>
    </row>
    <row r="352" spans="2:8">
      <c r="B352" s="414"/>
      <c r="C352"/>
      <c r="D352"/>
      <c r="E352"/>
      <c r="F352"/>
      <c r="G352"/>
      <c r="H352"/>
    </row>
    <row r="353" spans="2:8">
      <c r="B353" s="414"/>
      <c r="C353"/>
      <c r="D353"/>
      <c r="E353"/>
      <c r="F353"/>
      <c r="G353"/>
      <c r="H353"/>
    </row>
    <row r="354" spans="2:8">
      <c r="B354" s="414"/>
      <c r="C354"/>
      <c r="D354"/>
      <c r="E354"/>
      <c r="F354"/>
      <c r="G354"/>
      <c r="H354"/>
    </row>
    <row r="355" spans="2:8">
      <c r="B355" s="414"/>
      <c r="C355"/>
      <c r="D355"/>
      <c r="E355"/>
      <c r="F355"/>
      <c r="G355"/>
      <c r="H355"/>
    </row>
    <row r="356" spans="2:8">
      <c r="B356" s="414"/>
      <c r="C356"/>
      <c r="D356"/>
      <c r="E356"/>
      <c r="F356"/>
      <c r="G356"/>
      <c r="H356"/>
    </row>
    <row r="357" spans="2:8">
      <c r="B357" s="414"/>
      <c r="C357"/>
      <c r="D357"/>
      <c r="E357"/>
      <c r="F357"/>
      <c r="G357"/>
      <c r="H357"/>
    </row>
    <row r="358" spans="2:8">
      <c r="B358" s="414"/>
      <c r="C358"/>
      <c r="D358"/>
      <c r="E358"/>
      <c r="F358"/>
      <c r="G358"/>
      <c r="H358"/>
    </row>
    <row r="359" spans="2:8">
      <c r="B359" s="414"/>
      <c r="C359"/>
      <c r="D359"/>
      <c r="E359"/>
      <c r="F359"/>
      <c r="G359"/>
      <c r="H359"/>
    </row>
    <row r="360" spans="2:8">
      <c r="B360" s="414"/>
      <c r="C360"/>
      <c r="D360"/>
      <c r="E360"/>
      <c r="F360"/>
      <c r="G360"/>
      <c r="H360"/>
    </row>
    <row r="361" spans="2:8">
      <c r="B361" s="414"/>
      <c r="C361"/>
      <c r="D361"/>
      <c r="E361"/>
      <c r="F361"/>
      <c r="G361"/>
      <c r="H361"/>
    </row>
    <row r="362" spans="2:8">
      <c r="B362" s="414"/>
      <c r="C362"/>
      <c r="D362"/>
      <c r="E362"/>
      <c r="F362"/>
      <c r="G362"/>
      <c r="H362"/>
    </row>
    <row r="363" spans="2:8">
      <c r="B363" s="414"/>
      <c r="C363"/>
      <c r="D363"/>
      <c r="E363"/>
      <c r="F363"/>
      <c r="G363"/>
      <c r="H363"/>
    </row>
    <row r="364" spans="2:8">
      <c r="B364" s="414"/>
      <c r="C364"/>
      <c r="D364"/>
      <c r="E364"/>
      <c r="F364"/>
      <c r="G364"/>
      <c r="H364"/>
    </row>
    <row r="365" spans="2:8">
      <c r="B365" s="414"/>
      <c r="C365"/>
      <c r="D365"/>
      <c r="E365"/>
      <c r="F365"/>
      <c r="G365"/>
      <c r="H365"/>
    </row>
    <row r="366" spans="2:8">
      <c r="B366" s="414"/>
      <c r="C366"/>
      <c r="D366"/>
      <c r="E366"/>
      <c r="F366"/>
      <c r="G366"/>
      <c r="H366"/>
    </row>
    <row r="367" spans="2:8">
      <c r="B367" s="414"/>
      <c r="C367"/>
      <c r="D367"/>
      <c r="E367"/>
      <c r="F367"/>
      <c r="G367"/>
      <c r="H367"/>
    </row>
    <row r="368" spans="2:8">
      <c r="B368" s="414"/>
      <c r="C368"/>
      <c r="D368"/>
      <c r="E368"/>
      <c r="F368"/>
      <c r="G368"/>
      <c r="H368"/>
    </row>
    <row r="369" spans="2:8">
      <c r="B369" s="414"/>
      <c r="C369"/>
      <c r="D369"/>
      <c r="E369"/>
      <c r="F369"/>
      <c r="G369"/>
      <c r="H369"/>
    </row>
    <row r="370" spans="2:8">
      <c r="B370" s="414"/>
      <c r="C370"/>
      <c r="D370"/>
      <c r="E370"/>
      <c r="F370"/>
      <c r="G370"/>
      <c r="H370"/>
    </row>
    <row r="371" spans="2:8">
      <c r="B371" s="414"/>
      <c r="C371"/>
      <c r="D371"/>
      <c r="E371"/>
      <c r="F371"/>
      <c r="G371"/>
      <c r="H371"/>
    </row>
    <row r="372" spans="2:8">
      <c r="B372" s="414"/>
      <c r="C372"/>
      <c r="D372"/>
      <c r="E372"/>
      <c r="F372"/>
      <c r="G372"/>
      <c r="H372"/>
    </row>
    <row r="373" spans="2:8">
      <c r="B373" s="414"/>
      <c r="C373"/>
      <c r="D373"/>
      <c r="E373"/>
      <c r="F373"/>
      <c r="G373"/>
      <c r="H373"/>
    </row>
    <row r="374" spans="2:8">
      <c r="B374" s="414"/>
      <c r="C374"/>
      <c r="D374"/>
      <c r="E374"/>
      <c r="F374"/>
      <c r="G374"/>
      <c r="H374"/>
    </row>
    <row r="375" spans="2:8">
      <c r="B375" s="414"/>
      <c r="C375"/>
      <c r="D375"/>
      <c r="E375"/>
      <c r="F375"/>
      <c r="G375"/>
      <c r="H375"/>
    </row>
    <row r="376" spans="2:8">
      <c r="B376" s="414"/>
      <c r="C376"/>
      <c r="D376"/>
      <c r="E376"/>
      <c r="F376"/>
      <c r="G376"/>
      <c r="H376"/>
    </row>
    <row r="377" spans="2:8">
      <c r="B377" s="414"/>
      <c r="C377"/>
      <c r="D377"/>
      <c r="E377"/>
      <c r="F377"/>
      <c r="G377"/>
      <c r="H377"/>
    </row>
    <row r="378" spans="2:8">
      <c r="B378" s="414"/>
      <c r="C378"/>
      <c r="D378"/>
      <c r="E378"/>
      <c r="F378"/>
      <c r="G378"/>
      <c r="H378"/>
    </row>
    <row r="379" spans="2:8">
      <c r="B379" s="414"/>
      <c r="C379"/>
      <c r="D379"/>
      <c r="E379"/>
      <c r="F379"/>
      <c r="G379"/>
      <c r="H379"/>
    </row>
    <row r="380" spans="2:8">
      <c r="B380" s="414"/>
      <c r="C380"/>
      <c r="D380"/>
      <c r="E380"/>
      <c r="F380"/>
      <c r="G380"/>
      <c r="H380"/>
    </row>
    <row r="381" spans="2:8">
      <c r="B381" s="414"/>
      <c r="C381"/>
      <c r="D381"/>
      <c r="E381"/>
      <c r="F381"/>
      <c r="G381"/>
      <c r="H381"/>
    </row>
    <row r="382" spans="2:8">
      <c r="B382" s="414"/>
      <c r="C382"/>
      <c r="D382"/>
      <c r="E382"/>
      <c r="F382"/>
      <c r="G382"/>
      <c r="H382"/>
    </row>
    <row r="383" spans="2:8">
      <c r="B383" s="414"/>
      <c r="C383"/>
      <c r="D383"/>
      <c r="E383"/>
      <c r="F383"/>
      <c r="G383"/>
      <c r="H383"/>
    </row>
    <row r="384" spans="2:8">
      <c r="B384" s="414"/>
      <c r="C384"/>
      <c r="D384"/>
      <c r="E384"/>
      <c r="F384"/>
      <c r="G384"/>
      <c r="H384"/>
    </row>
    <row r="385" spans="2:8">
      <c r="B385" s="414"/>
      <c r="C385"/>
      <c r="D385"/>
      <c r="E385"/>
      <c r="F385"/>
      <c r="G385"/>
      <c r="H385"/>
    </row>
    <row r="386" spans="2:8">
      <c r="B386" s="414"/>
      <c r="C386"/>
      <c r="D386"/>
      <c r="E386"/>
      <c r="F386"/>
      <c r="G386"/>
      <c r="H386"/>
    </row>
    <row r="387" spans="2:8">
      <c r="B387" s="414"/>
      <c r="C387"/>
      <c r="D387"/>
      <c r="E387"/>
      <c r="F387"/>
      <c r="G387"/>
      <c r="H387"/>
    </row>
    <row r="388" spans="2:8">
      <c r="B388" s="414"/>
      <c r="C388"/>
      <c r="D388"/>
      <c r="E388"/>
      <c r="F388"/>
      <c r="G388"/>
      <c r="H388"/>
    </row>
    <row r="389" spans="2:8">
      <c r="B389" s="414"/>
      <c r="C389"/>
      <c r="D389"/>
      <c r="E389"/>
      <c r="F389"/>
      <c r="G389"/>
      <c r="H389"/>
    </row>
    <row r="390" spans="2:8">
      <c r="B390" s="414"/>
      <c r="C390"/>
      <c r="D390"/>
      <c r="E390"/>
      <c r="F390"/>
      <c r="G390"/>
      <c r="H390"/>
    </row>
    <row r="391" spans="2:8">
      <c r="B391" s="414"/>
      <c r="C391"/>
      <c r="D391"/>
      <c r="E391"/>
      <c r="F391"/>
      <c r="G391"/>
      <c r="H391"/>
    </row>
    <row r="392" spans="2:8">
      <c r="B392" s="414"/>
      <c r="C392"/>
      <c r="D392"/>
      <c r="E392"/>
      <c r="F392"/>
      <c r="G392"/>
      <c r="H392"/>
    </row>
    <row r="393" spans="2:8">
      <c r="B393" s="414"/>
      <c r="C393"/>
      <c r="D393"/>
      <c r="E393"/>
      <c r="F393"/>
      <c r="G393"/>
      <c r="H393"/>
    </row>
    <row r="394" spans="2:8">
      <c r="B394" s="414"/>
      <c r="C394"/>
      <c r="D394"/>
      <c r="E394"/>
      <c r="F394"/>
      <c r="G394"/>
      <c r="H394"/>
    </row>
    <row r="395" spans="2:8">
      <c r="B395" s="414"/>
      <c r="C395"/>
      <c r="D395"/>
      <c r="E395"/>
      <c r="F395"/>
      <c r="G395"/>
      <c r="H395"/>
    </row>
    <row r="396" spans="2:8">
      <c r="B396" s="414"/>
      <c r="C396"/>
      <c r="D396"/>
      <c r="E396"/>
      <c r="F396"/>
      <c r="G396"/>
      <c r="H396"/>
    </row>
    <row r="397" spans="2:8">
      <c r="B397" s="414"/>
      <c r="C397"/>
      <c r="D397"/>
      <c r="E397"/>
      <c r="F397"/>
      <c r="G397"/>
      <c r="H397"/>
    </row>
    <row r="398" spans="2:8">
      <c r="B398" s="414"/>
      <c r="C398"/>
      <c r="D398"/>
      <c r="E398"/>
      <c r="F398"/>
      <c r="G398"/>
      <c r="H398"/>
    </row>
    <row r="399" spans="2:8">
      <c r="B399" s="414"/>
      <c r="C399"/>
      <c r="D399"/>
      <c r="E399"/>
      <c r="F399"/>
      <c r="G399"/>
      <c r="H399"/>
    </row>
    <row r="400" spans="2:8">
      <c r="B400" s="414"/>
      <c r="C400"/>
      <c r="D400"/>
      <c r="E400"/>
      <c r="F400"/>
      <c r="G400"/>
      <c r="H400"/>
    </row>
    <row r="401" spans="2:8">
      <c r="B401" s="414"/>
      <c r="C401"/>
      <c r="D401"/>
      <c r="E401"/>
      <c r="F401"/>
      <c r="G401"/>
      <c r="H401"/>
    </row>
    <row r="402" spans="2:8">
      <c r="B402" s="414"/>
      <c r="C402"/>
      <c r="D402"/>
      <c r="E402"/>
      <c r="F402"/>
      <c r="G402"/>
      <c r="H402"/>
    </row>
    <row r="403" spans="2:8">
      <c r="B403" s="414"/>
      <c r="C403"/>
      <c r="D403"/>
      <c r="E403"/>
      <c r="F403"/>
      <c r="G403"/>
      <c r="H403"/>
    </row>
    <row r="404" spans="2:8">
      <c r="B404" s="414"/>
      <c r="C404"/>
      <c r="D404"/>
      <c r="E404"/>
      <c r="F404"/>
      <c r="G404"/>
      <c r="H404"/>
    </row>
    <row r="405" spans="2:8">
      <c r="B405" s="414"/>
      <c r="C405"/>
      <c r="D405"/>
      <c r="E405"/>
      <c r="F405"/>
      <c r="G405"/>
      <c r="H405"/>
    </row>
    <row r="406" spans="2:8">
      <c r="B406" s="414"/>
      <c r="C406"/>
      <c r="D406"/>
      <c r="E406"/>
      <c r="F406"/>
      <c r="G406"/>
      <c r="H406"/>
    </row>
    <row r="407" spans="2:8">
      <c r="B407" s="414"/>
      <c r="C407"/>
      <c r="D407"/>
      <c r="E407"/>
      <c r="F407"/>
      <c r="G407"/>
      <c r="H407"/>
    </row>
    <row r="408" spans="2:8">
      <c r="B408" s="414"/>
      <c r="C408"/>
      <c r="D408"/>
      <c r="E408"/>
      <c r="F408"/>
      <c r="G408"/>
      <c r="H408"/>
    </row>
    <row r="409" spans="2:8">
      <c r="B409" s="414"/>
      <c r="C409"/>
      <c r="D409"/>
      <c r="E409"/>
      <c r="F409"/>
      <c r="G409"/>
      <c r="H409"/>
    </row>
    <row r="410" spans="2:8">
      <c r="B410" s="414"/>
      <c r="C410"/>
      <c r="D410"/>
      <c r="E410"/>
      <c r="F410"/>
      <c r="G410"/>
      <c r="H410"/>
    </row>
    <row r="411" spans="2:8">
      <c r="B411" s="414"/>
      <c r="C411"/>
      <c r="D411"/>
      <c r="E411"/>
      <c r="F411"/>
      <c r="G411"/>
      <c r="H411"/>
    </row>
    <row r="412" spans="2:8">
      <c r="B412" s="414"/>
      <c r="C412"/>
      <c r="D412"/>
      <c r="E412"/>
      <c r="F412"/>
      <c r="G412"/>
      <c r="H412"/>
    </row>
    <row r="413" spans="2:8">
      <c r="B413" s="414"/>
      <c r="C413"/>
      <c r="D413"/>
      <c r="E413"/>
      <c r="F413"/>
      <c r="G413"/>
      <c r="H413"/>
    </row>
    <row r="414" spans="2:8">
      <c r="B414" s="414"/>
      <c r="C414"/>
      <c r="D414"/>
      <c r="E414"/>
      <c r="F414"/>
      <c r="G414"/>
      <c r="H414"/>
    </row>
    <row r="415" spans="2:8">
      <c r="B415" s="414"/>
      <c r="C415"/>
      <c r="D415"/>
      <c r="E415"/>
      <c r="F415"/>
      <c r="G415"/>
      <c r="H415"/>
    </row>
    <row r="416" spans="2:8">
      <c r="B416" s="414"/>
      <c r="C416"/>
      <c r="D416"/>
      <c r="E416"/>
      <c r="F416"/>
      <c r="G416"/>
      <c r="H416"/>
    </row>
    <row r="417" spans="2:8">
      <c r="B417" s="414"/>
      <c r="C417"/>
      <c r="D417"/>
      <c r="E417"/>
      <c r="F417"/>
      <c r="G417"/>
      <c r="H417"/>
    </row>
    <row r="418" spans="2:8">
      <c r="B418" s="414"/>
      <c r="C418"/>
      <c r="D418"/>
      <c r="E418"/>
      <c r="F418"/>
      <c r="G418"/>
      <c r="H418"/>
    </row>
    <row r="419" spans="2:8">
      <c r="B419" s="414"/>
      <c r="C419"/>
      <c r="D419"/>
      <c r="E419"/>
      <c r="F419"/>
      <c r="G419"/>
      <c r="H419"/>
    </row>
    <row r="420" spans="2:8">
      <c r="B420" s="414"/>
      <c r="C420"/>
      <c r="D420"/>
      <c r="E420"/>
      <c r="F420"/>
      <c r="G420"/>
      <c r="H420"/>
    </row>
    <row r="421" spans="2:8">
      <c r="B421" s="414"/>
      <c r="C421"/>
      <c r="D421"/>
      <c r="E421"/>
      <c r="F421"/>
      <c r="G421"/>
      <c r="H421"/>
    </row>
    <row r="422" spans="2:8">
      <c r="B422" s="414"/>
      <c r="C422"/>
      <c r="D422"/>
      <c r="E422"/>
      <c r="F422"/>
      <c r="G422"/>
      <c r="H422"/>
    </row>
    <row r="423" spans="2:8">
      <c r="B423" s="414"/>
      <c r="C423"/>
      <c r="D423"/>
      <c r="E423"/>
      <c r="F423"/>
      <c r="G423"/>
      <c r="H423"/>
    </row>
    <row r="424" spans="2:8">
      <c r="B424" s="414"/>
      <c r="C424"/>
      <c r="D424"/>
      <c r="E424"/>
      <c r="F424"/>
      <c r="G424"/>
      <c r="H424"/>
    </row>
    <row r="425" spans="2:8">
      <c r="B425" s="414"/>
      <c r="C425"/>
      <c r="D425"/>
      <c r="E425"/>
      <c r="F425"/>
      <c r="G425"/>
      <c r="H425"/>
    </row>
    <row r="426" spans="2:8">
      <c r="B426" s="414"/>
      <c r="C426"/>
      <c r="D426"/>
      <c r="E426"/>
      <c r="F426"/>
      <c r="G426"/>
      <c r="H426"/>
    </row>
    <row r="427" spans="2:8">
      <c r="B427" s="414"/>
      <c r="C427"/>
      <c r="D427"/>
      <c r="E427"/>
      <c r="F427"/>
      <c r="G427"/>
      <c r="H427"/>
    </row>
    <row r="428" spans="2:8">
      <c r="B428" s="414"/>
      <c r="C428"/>
      <c r="D428"/>
      <c r="E428"/>
      <c r="F428"/>
      <c r="G428"/>
      <c r="H428"/>
    </row>
    <row r="429" spans="2:8">
      <c r="B429" s="414"/>
      <c r="C429"/>
      <c r="D429"/>
      <c r="E429"/>
      <c r="F429"/>
      <c r="G429"/>
      <c r="H429"/>
    </row>
    <row r="430" spans="2:8">
      <c r="B430" s="414"/>
      <c r="C430"/>
      <c r="D430"/>
      <c r="E430"/>
      <c r="F430"/>
      <c r="G430"/>
      <c r="H430"/>
    </row>
    <row r="431" spans="2:8">
      <c r="B431" s="414"/>
      <c r="C431"/>
      <c r="D431"/>
      <c r="E431"/>
      <c r="F431"/>
      <c r="G431"/>
      <c r="H431"/>
    </row>
    <row r="432" spans="2:8">
      <c r="B432" s="414"/>
      <c r="C432"/>
      <c r="D432"/>
      <c r="E432"/>
      <c r="F432"/>
      <c r="G432"/>
      <c r="H432"/>
    </row>
    <row r="433" spans="2:8">
      <c r="B433" s="414"/>
      <c r="C433"/>
      <c r="D433"/>
      <c r="E433"/>
      <c r="F433"/>
      <c r="G433"/>
      <c r="H433"/>
    </row>
    <row r="434" spans="2:8">
      <c r="B434" s="414"/>
      <c r="C434"/>
      <c r="D434"/>
      <c r="E434"/>
      <c r="F434"/>
      <c r="G434"/>
      <c r="H434"/>
    </row>
    <row r="435" spans="2:8">
      <c r="B435" s="414"/>
      <c r="C435"/>
      <c r="D435"/>
      <c r="E435"/>
      <c r="F435"/>
      <c r="G435"/>
      <c r="H435"/>
    </row>
    <row r="436" spans="2:8">
      <c r="B436" s="414"/>
      <c r="C436"/>
      <c r="D436"/>
      <c r="E436"/>
      <c r="F436"/>
      <c r="G436"/>
      <c r="H436"/>
    </row>
    <row r="437" spans="2:8">
      <c r="B437" s="414"/>
      <c r="C437"/>
      <c r="D437"/>
      <c r="E437"/>
      <c r="F437"/>
      <c r="G437"/>
      <c r="H437"/>
    </row>
    <row r="438" spans="2:8">
      <c r="B438" s="414"/>
      <c r="C438"/>
      <c r="D438"/>
      <c r="E438"/>
      <c r="F438"/>
      <c r="G438"/>
      <c r="H438"/>
    </row>
    <row r="439" spans="2:8">
      <c r="B439" s="414"/>
      <c r="C439"/>
      <c r="D439"/>
      <c r="E439"/>
      <c r="F439"/>
      <c r="G439"/>
      <c r="H439"/>
    </row>
    <row r="440" spans="2:8">
      <c r="B440" s="414"/>
      <c r="C440"/>
      <c r="D440"/>
      <c r="E440"/>
      <c r="F440"/>
      <c r="G440"/>
      <c r="H440"/>
    </row>
    <row r="441" spans="2:8">
      <c r="B441" s="414"/>
      <c r="C441"/>
      <c r="D441"/>
      <c r="E441"/>
      <c r="F441"/>
      <c r="G441"/>
      <c r="H441"/>
    </row>
    <row r="442" spans="2:8">
      <c r="B442" s="414"/>
      <c r="C442"/>
      <c r="D442"/>
      <c r="E442"/>
      <c r="F442"/>
      <c r="G442"/>
      <c r="H442"/>
    </row>
    <row r="443" spans="2:8">
      <c r="B443" s="414"/>
      <c r="C443"/>
      <c r="D443"/>
      <c r="E443"/>
      <c r="F443"/>
      <c r="G443"/>
      <c r="H443"/>
    </row>
    <row r="444" spans="2:8">
      <c r="B444" s="414"/>
      <c r="C444"/>
      <c r="D444"/>
      <c r="E444"/>
      <c r="F444"/>
      <c r="G444"/>
      <c r="H444"/>
    </row>
    <row r="445" spans="2:8">
      <c r="B445" s="414"/>
      <c r="C445"/>
      <c r="D445"/>
      <c r="E445"/>
      <c r="F445"/>
      <c r="G445"/>
      <c r="H445"/>
    </row>
    <row r="446" spans="2:8">
      <c r="B446" s="414"/>
      <c r="C446"/>
      <c r="D446"/>
      <c r="E446"/>
      <c r="F446"/>
      <c r="G446"/>
      <c r="H446"/>
    </row>
    <row r="447" spans="2:8">
      <c r="B447" s="414"/>
      <c r="C447"/>
      <c r="D447"/>
      <c r="E447"/>
      <c r="F447"/>
      <c r="G447"/>
      <c r="H447"/>
    </row>
    <row r="448" spans="2:8">
      <c r="B448" s="414"/>
      <c r="C448"/>
      <c r="D448"/>
      <c r="E448"/>
      <c r="F448"/>
      <c r="G448"/>
      <c r="H448"/>
    </row>
    <row r="449" spans="2:8">
      <c r="B449" s="414"/>
      <c r="C449"/>
      <c r="D449"/>
      <c r="E449"/>
      <c r="F449"/>
      <c r="G449"/>
      <c r="H449"/>
    </row>
    <row r="450" spans="2:8">
      <c r="B450" s="414"/>
      <c r="C450"/>
      <c r="D450"/>
      <c r="E450"/>
      <c r="F450"/>
      <c r="G450"/>
      <c r="H450"/>
    </row>
    <row r="451" spans="2:8">
      <c r="B451" s="414"/>
      <c r="C451"/>
      <c r="D451"/>
      <c r="E451"/>
      <c r="F451"/>
      <c r="G451"/>
      <c r="H451"/>
    </row>
    <row r="452" spans="2:8">
      <c r="B452" s="414"/>
      <c r="C452"/>
      <c r="D452"/>
      <c r="E452"/>
      <c r="F452"/>
      <c r="G452"/>
      <c r="H452"/>
    </row>
    <row r="453" spans="2:8">
      <c r="B453" s="414"/>
      <c r="C453"/>
      <c r="D453"/>
      <c r="E453"/>
      <c r="F453"/>
      <c r="G453"/>
      <c r="H453"/>
    </row>
    <row r="454" spans="2:8">
      <c r="B454" s="414"/>
      <c r="C454"/>
      <c r="D454"/>
      <c r="E454"/>
      <c r="F454"/>
      <c r="G454"/>
      <c r="H454"/>
    </row>
    <row r="455" spans="2:8">
      <c r="B455" s="414"/>
      <c r="C455"/>
      <c r="D455"/>
      <c r="E455"/>
      <c r="F455"/>
      <c r="G455"/>
      <c r="H455"/>
    </row>
    <row r="456" spans="2:8">
      <c r="B456" s="414"/>
      <c r="C456"/>
      <c r="D456"/>
      <c r="E456"/>
      <c r="F456"/>
      <c r="G456"/>
      <c r="H456"/>
    </row>
    <row r="457" spans="2:8">
      <c r="B457" s="414"/>
      <c r="C457"/>
      <c r="D457"/>
      <c r="E457"/>
      <c r="F457"/>
      <c r="G457"/>
      <c r="H457"/>
    </row>
    <row r="458" spans="2:8">
      <c r="B458" s="414"/>
      <c r="C458"/>
      <c r="D458"/>
      <c r="E458"/>
      <c r="F458"/>
      <c r="G458"/>
      <c r="H458"/>
    </row>
    <row r="459" spans="2:8">
      <c r="B459" s="414"/>
      <c r="C459"/>
      <c r="D459"/>
      <c r="E459"/>
      <c r="F459"/>
      <c r="G459"/>
      <c r="H459"/>
    </row>
    <row r="460" spans="2:8">
      <c r="B460" s="414"/>
      <c r="C460"/>
      <c r="D460"/>
      <c r="E460"/>
      <c r="F460"/>
      <c r="G460"/>
      <c r="H460"/>
    </row>
    <row r="461" spans="2:8">
      <c r="B461" s="414"/>
      <c r="C461"/>
      <c r="D461"/>
      <c r="E461"/>
      <c r="F461"/>
      <c r="G461"/>
      <c r="H461"/>
    </row>
    <row r="462" spans="2:8">
      <c r="B462" s="414"/>
      <c r="C462"/>
      <c r="D462"/>
      <c r="E462"/>
      <c r="F462"/>
      <c r="G462"/>
      <c r="H462"/>
    </row>
    <row r="463" spans="2:8">
      <c r="B463" s="414"/>
      <c r="C463"/>
      <c r="D463"/>
      <c r="E463"/>
      <c r="F463"/>
      <c r="G463"/>
      <c r="H463"/>
    </row>
    <row r="464" spans="2:8">
      <c r="B464" s="414"/>
      <c r="C464"/>
      <c r="D464"/>
      <c r="E464"/>
      <c r="F464"/>
      <c r="G464"/>
      <c r="H464"/>
    </row>
    <row r="465" spans="2:8">
      <c r="B465" s="414"/>
      <c r="C465"/>
      <c r="D465"/>
      <c r="E465"/>
      <c r="F465"/>
      <c r="G465"/>
      <c r="H465"/>
    </row>
    <row r="466" spans="2:8">
      <c r="B466" s="414"/>
      <c r="C466"/>
      <c r="D466"/>
      <c r="E466"/>
      <c r="F466"/>
      <c r="G466"/>
      <c r="H466"/>
    </row>
    <row r="467" spans="2:8">
      <c r="B467" s="414"/>
      <c r="C467"/>
      <c r="D467"/>
      <c r="E467"/>
      <c r="F467"/>
      <c r="G467"/>
      <c r="H467"/>
    </row>
    <row r="468" spans="2:8">
      <c r="B468" s="414"/>
      <c r="C468"/>
      <c r="D468"/>
      <c r="E468"/>
      <c r="F468"/>
      <c r="G468"/>
      <c r="H468"/>
    </row>
    <row r="469" spans="2:8">
      <c r="B469" s="414"/>
      <c r="C469"/>
      <c r="D469"/>
      <c r="E469"/>
      <c r="F469"/>
      <c r="G469"/>
      <c r="H469"/>
    </row>
    <row r="470" spans="2:8">
      <c r="B470" s="414"/>
      <c r="C470"/>
      <c r="D470"/>
      <c r="E470"/>
      <c r="F470"/>
      <c r="G470"/>
      <c r="H470"/>
    </row>
    <row r="471" spans="2:8">
      <c r="B471" s="414"/>
      <c r="C471"/>
      <c r="D471"/>
      <c r="E471"/>
      <c r="F471"/>
      <c r="G471"/>
      <c r="H471"/>
    </row>
    <row r="472" spans="2:8">
      <c r="B472" s="414"/>
      <c r="C472"/>
      <c r="D472"/>
      <c r="E472"/>
      <c r="F472"/>
      <c r="G472"/>
      <c r="H472"/>
    </row>
    <row r="473" spans="2:8">
      <c r="B473" s="414"/>
      <c r="C473"/>
      <c r="D473"/>
      <c r="E473"/>
      <c r="F473"/>
      <c r="G473"/>
      <c r="H473"/>
    </row>
    <row r="474" spans="2:8">
      <c r="B474" s="414"/>
      <c r="C474"/>
      <c r="D474"/>
      <c r="E474"/>
      <c r="F474"/>
      <c r="G474"/>
      <c r="H474"/>
    </row>
    <row r="475" spans="2:8">
      <c r="B475" s="414"/>
      <c r="C475"/>
      <c r="D475"/>
      <c r="E475"/>
      <c r="F475"/>
      <c r="G475"/>
      <c r="H475"/>
    </row>
    <row r="476" spans="2:8">
      <c r="B476" s="414"/>
      <c r="C476"/>
      <c r="D476"/>
      <c r="E476"/>
      <c r="F476"/>
      <c r="G476"/>
      <c r="H476"/>
    </row>
    <row r="477" spans="2:8">
      <c r="B477" s="414"/>
      <c r="C477"/>
      <c r="D477"/>
      <c r="E477"/>
      <c r="F477"/>
      <c r="G477"/>
      <c r="H477"/>
    </row>
    <row r="478" spans="2:8">
      <c r="B478" s="414"/>
      <c r="C478"/>
      <c r="D478"/>
      <c r="E478"/>
      <c r="F478"/>
      <c r="G478"/>
      <c r="H478"/>
    </row>
    <row r="479" spans="2:8">
      <c r="B479" s="414"/>
      <c r="C479"/>
      <c r="D479"/>
      <c r="E479"/>
      <c r="F479"/>
      <c r="G479"/>
      <c r="H479"/>
    </row>
    <row r="480" spans="2:8">
      <c r="B480" s="414"/>
      <c r="C480"/>
      <c r="D480"/>
      <c r="E480"/>
      <c r="F480"/>
      <c r="G480"/>
      <c r="H480"/>
    </row>
    <row r="481" spans="2:8">
      <c r="B481" s="414"/>
      <c r="C481"/>
      <c r="D481"/>
      <c r="E481"/>
      <c r="F481"/>
      <c r="G481"/>
      <c r="H481"/>
    </row>
    <row r="482" spans="2:8">
      <c r="B482" s="414"/>
      <c r="C482"/>
      <c r="D482"/>
      <c r="E482"/>
      <c r="F482"/>
      <c r="G482"/>
      <c r="H482"/>
    </row>
    <row r="483" spans="2:8">
      <c r="B483" s="414"/>
      <c r="C483"/>
      <c r="D483"/>
      <c r="E483"/>
      <c r="F483"/>
      <c r="G483"/>
      <c r="H483"/>
    </row>
    <row r="484" spans="2:8">
      <c r="B484" s="414"/>
      <c r="C484"/>
      <c r="D484"/>
      <c r="E484"/>
      <c r="F484"/>
      <c r="G484"/>
      <c r="H484"/>
    </row>
    <row r="485" spans="2:8">
      <c r="B485" s="414"/>
      <c r="C485"/>
      <c r="D485"/>
      <c r="E485"/>
      <c r="F485"/>
      <c r="G485"/>
      <c r="H485"/>
    </row>
    <row r="486" spans="2:8">
      <c r="B486" s="414"/>
      <c r="C486"/>
      <c r="D486"/>
      <c r="E486"/>
      <c r="F486"/>
      <c r="G486"/>
      <c r="H486"/>
    </row>
    <row r="487" spans="2:8">
      <c r="B487" s="414"/>
      <c r="C487"/>
      <c r="D487"/>
      <c r="E487"/>
      <c r="F487"/>
      <c r="G487"/>
      <c r="H487"/>
    </row>
    <row r="488" spans="2:8">
      <c r="B488" s="414"/>
      <c r="C488"/>
      <c r="D488"/>
      <c r="E488"/>
      <c r="F488"/>
      <c r="G488"/>
      <c r="H488"/>
    </row>
    <row r="489" spans="2:8">
      <c r="B489" s="414"/>
      <c r="C489"/>
      <c r="D489"/>
      <c r="E489"/>
      <c r="F489"/>
      <c r="G489"/>
      <c r="H489"/>
    </row>
    <row r="490" spans="2:8">
      <c r="B490" s="414"/>
      <c r="C490"/>
      <c r="D490"/>
      <c r="E490"/>
      <c r="F490"/>
      <c r="G490"/>
      <c r="H490"/>
    </row>
    <row r="491" spans="2:8">
      <c r="B491" s="414"/>
      <c r="C491"/>
      <c r="D491"/>
      <c r="E491"/>
      <c r="F491"/>
      <c r="G491"/>
      <c r="H491"/>
    </row>
    <row r="492" spans="2:8">
      <c r="B492" s="414"/>
      <c r="C492"/>
      <c r="D492"/>
      <c r="E492"/>
      <c r="F492"/>
      <c r="G492"/>
      <c r="H492"/>
    </row>
    <row r="493" spans="2:8">
      <c r="B493" s="414"/>
      <c r="C493"/>
      <c r="D493"/>
      <c r="E493"/>
      <c r="F493"/>
      <c r="G493"/>
      <c r="H493"/>
    </row>
    <row r="494" spans="2:8">
      <c r="B494" s="414"/>
      <c r="C494"/>
      <c r="D494"/>
      <c r="E494"/>
      <c r="F494"/>
      <c r="G494"/>
      <c r="H494"/>
    </row>
    <row r="495" spans="2:8">
      <c r="B495" s="414"/>
      <c r="C495"/>
      <c r="D495"/>
      <c r="E495"/>
      <c r="F495"/>
      <c r="G495"/>
      <c r="H495"/>
    </row>
    <row r="496" spans="2:8">
      <c r="B496" s="414"/>
      <c r="C496"/>
      <c r="D496"/>
      <c r="E496"/>
      <c r="F496"/>
      <c r="G496"/>
      <c r="H496"/>
    </row>
    <row r="497" spans="2:8">
      <c r="B497" s="414"/>
      <c r="C497"/>
      <c r="D497"/>
      <c r="E497"/>
      <c r="F497"/>
      <c r="G497"/>
      <c r="H497"/>
    </row>
    <row r="498" spans="2:8">
      <c r="B498" s="414"/>
      <c r="C498"/>
      <c r="D498"/>
      <c r="E498"/>
      <c r="F498"/>
      <c r="G498"/>
      <c r="H498"/>
    </row>
    <row r="499" spans="2:8">
      <c r="B499" s="414"/>
      <c r="C499"/>
      <c r="D499"/>
      <c r="E499"/>
      <c r="F499"/>
      <c r="G499"/>
      <c r="H499"/>
    </row>
    <row r="500" spans="2:8">
      <c r="B500" s="414"/>
      <c r="C500"/>
      <c r="D500"/>
      <c r="E500"/>
      <c r="F500"/>
      <c r="G500"/>
      <c r="H500"/>
    </row>
    <row r="501" spans="2:8">
      <c r="B501" s="414"/>
      <c r="C501"/>
      <c r="D501"/>
      <c r="E501"/>
      <c r="F501"/>
      <c r="G501"/>
      <c r="H501"/>
    </row>
    <row r="502" spans="2:8">
      <c r="B502" s="414"/>
      <c r="C502"/>
      <c r="D502"/>
      <c r="E502"/>
      <c r="F502"/>
      <c r="G502"/>
      <c r="H502"/>
    </row>
    <row r="503" spans="2:8">
      <c r="B503" s="414"/>
      <c r="C503"/>
      <c r="D503"/>
      <c r="E503"/>
      <c r="F503"/>
      <c r="G503"/>
      <c r="H503"/>
    </row>
    <row r="504" spans="2:8">
      <c r="B504" s="414"/>
      <c r="C504"/>
      <c r="D504"/>
      <c r="E504"/>
      <c r="F504"/>
      <c r="G504"/>
      <c r="H504"/>
    </row>
    <row r="505" spans="2:8">
      <c r="B505" s="414"/>
      <c r="C505"/>
      <c r="D505"/>
      <c r="E505"/>
      <c r="F505"/>
      <c r="G505"/>
      <c r="H505"/>
    </row>
    <row r="506" spans="2:8">
      <c r="B506" s="414"/>
      <c r="C506"/>
      <c r="D506"/>
      <c r="E506"/>
      <c r="F506"/>
      <c r="G506"/>
      <c r="H506"/>
    </row>
    <row r="507" spans="2:8">
      <c r="B507" s="414"/>
      <c r="C507"/>
      <c r="D507"/>
      <c r="E507"/>
      <c r="F507"/>
      <c r="G507"/>
      <c r="H507"/>
    </row>
    <row r="508" spans="2:8">
      <c r="B508" s="414"/>
      <c r="C508"/>
      <c r="D508"/>
      <c r="E508"/>
      <c r="F508"/>
      <c r="G508"/>
      <c r="H508"/>
    </row>
    <row r="509" spans="2:8">
      <c r="B509" s="414"/>
      <c r="C509"/>
      <c r="D509"/>
      <c r="E509"/>
      <c r="F509"/>
      <c r="G509"/>
      <c r="H509"/>
    </row>
    <row r="510" spans="2:8">
      <c r="B510" s="414"/>
      <c r="C510"/>
      <c r="D510"/>
      <c r="E510"/>
      <c r="F510"/>
      <c r="G510"/>
      <c r="H510"/>
    </row>
    <row r="511" spans="2:8">
      <c r="B511" s="414"/>
      <c r="C511"/>
      <c r="D511"/>
      <c r="E511"/>
      <c r="F511"/>
      <c r="G511"/>
      <c r="H511"/>
    </row>
    <row r="512" spans="2:8">
      <c r="B512" s="414"/>
      <c r="C512"/>
      <c r="D512"/>
      <c r="E512"/>
      <c r="F512"/>
      <c r="G512"/>
      <c r="H512"/>
    </row>
    <row r="513" spans="2:8">
      <c r="B513" s="414"/>
      <c r="C513"/>
      <c r="D513"/>
      <c r="E513"/>
      <c r="F513"/>
      <c r="G513"/>
      <c r="H513"/>
    </row>
    <row r="514" spans="2:8">
      <c r="B514" s="414"/>
      <c r="C514"/>
      <c r="D514"/>
      <c r="E514"/>
      <c r="F514"/>
      <c r="G514"/>
      <c r="H514"/>
    </row>
    <row r="515" spans="2:8">
      <c r="B515" s="414"/>
      <c r="C515"/>
      <c r="D515"/>
      <c r="E515"/>
      <c r="F515"/>
      <c r="G515"/>
      <c r="H515"/>
    </row>
    <row r="516" spans="2:8">
      <c r="B516" s="414"/>
      <c r="C516"/>
      <c r="D516"/>
      <c r="E516"/>
      <c r="F516"/>
      <c r="G516"/>
      <c r="H516"/>
    </row>
    <row r="517" spans="2:8">
      <c r="B517" s="414"/>
      <c r="C517"/>
      <c r="D517"/>
      <c r="E517"/>
      <c r="F517"/>
      <c r="G517"/>
      <c r="H517"/>
    </row>
    <row r="518" spans="2:8">
      <c r="B518" s="414"/>
      <c r="C518"/>
      <c r="D518"/>
      <c r="E518"/>
      <c r="F518"/>
      <c r="G518"/>
      <c r="H518"/>
    </row>
    <row r="519" spans="2:8">
      <c r="B519" s="414"/>
      <c r="C519"/>
      <c r="D519"/>
      <c r="E519"/>
      <c r="F519"/>
      <c r="G519"/>
      <c r="H519"/>
    </row>
    <row r="520" spans="2:8">
      <c r="B520" s="414"/>
      <c r="C520"/>
      <c r="D520"/>
      <c r="E520"/>
      <c r="F520"/>
      <c r="G520"/>
      <c r="H520"/>
    </row>
    <row r="521" spans="2:8">
      <c r="B521" s="414"/>
      <c r="C521"/>
      <c r="D521"/>
      <c r="E521"/>
      <c r="F521"/>
      <c r="G521"/>
      <c r="H521"/>
    </row>
    <row r="522" spans="2:8">
      <c r="B522" s="414"/>
      <c r="C522"/>
      <c r="D522"/>
      <c r="E522"/>
      <c r="F522"/>
      <c r="G522"/>
      <c r="H522"/>
    </row>
    <row r="523" spans="2:8">
      <c r="B523" s="414"/>
      <c r="C523"/>
      <c r="D523"/>
      <c r="E523"/>
      <c r="F523"/>
      <c r="G523"/>
      <c r="H523"/>
    </row>
    <row r="524" spans="2:8">
      <c r="B524" s="414"/>
      <c r="C524"/>
      <c r="D524"/>
      <c r="E524"/>
      <c r="F524"/>
      <c r="G524"/>
      <c r="H524"/>
    </row>
    <row r="525" spans="2:8">
      <c r="B525" s="414"/>
      <c r="C525"/>
      <c r="D525"/>
      <c r="E525"/>
      <c r="F525"/>
      <c r="G525"/>
      <c r="H525"/>
    </row>
    <row r="526" spans="2:8">
      <c r="B526" s="414"/>
      <c r="C526"/>
      <c r="D526"/>
      <c r="E526"/>
      <c r="F526"/>
      <c r="G526"/>
      <c r="H526"/>
    </row>
    <row r="527" spans="2:8">
      <c r="B527" s="414"/>
      <c r="C527"/>
      <c r="D527"/>
      <c r="E527"/>
      <c r="F527"/>
      <c r="G527"/>
      <c r="H527"/>
    </row>
    <row r="528" spans="2:8">
      <c r="B528" s="414"/>
      <c r="C528"/>
      <c r="D528"/>
      <c r="E528"/>
      <c r="F528"/>
      <c r="G528"/>
      <c r="H528"/>
    </row>
    <row r="529" spans="2:8">
      <c r="B529" s="414"/>
      <c r="C529"/>
      <c r="D529"/>
      <c r="E529"/>
      <c r="F529"/>
      <c r="G529"/>
      <c r="H529"/>
    </row>
    <row r="530" spans="2:8">
      <c r="B530" s="414"/>
      <c r="C530"/>
      <c r="D530"/>
      <c r="E530"/>
      <c r="F530"/>
      <c r="G530"/>
      <c r="H530"/>
    </row>
    <row r="531" spans="2:8">
      <c r="B531" s="414"/>
      <c r="C531"/>
      <c r="D531"/>
      <c r="E531"/>
      <c r="F531"/>
      <c r="G531"/>
      <c r="H531"/>
    </row>
    <row r="532" spans="2:8">
      <c r="B532" s="414"/>
      <c r="C532"/>
      <c r="D532"/>
      <c r="E532"/>
      <c r="F532"/>
      <c r="G532"/>
      <c r="H532"/>
    </row>
    <row r="533" spans="2:8">
      <c r="B533" s="414"/>
      <c r="C533"/>
      <c r="D533"/>
      <c r="E533"/>
      <c r="F533"/>
      <c r="G533"/>
      <c r="H533"/>
    </row>
    <row r="534" spans="2:8">
      <c r="B534" s="414"/>
      <c r="C534"/>
      <c r="D534"/>
      <c r="E534"/>
      <c r="F534"/>
      <c r="G534"/>
      <c r="H534"/>
    </row>
    <row r="535" spans="2:8">
      <c r="B535" s="414"/>
      <c r="C535"/>
      <c r="D535"/>
      <c r="E535"/>
      <c r="F535"/>
      <c r="G535"/>
      <c r="H535"/>
    </row>
    <row r="536" spans="2:8">
      <c r="B536" s="414"/>
      <c r="C536"/>
      <c r="D536"/>
      <c r="E536"/>
      <c r="F536"/>
      <c r="G536"/>
      <c r="H536"/>
    </row>
    <row r="537" spans="2:8">
      <c r="B537" s="414"/>
      <c r="C537"/>
      <c r="D537"/>
      <c r="E537"/>
      <c r="F537"/>
      <c r="G537"/>
      <c r="H537"/>
    </row>
    <row r="538" spans="2:8">
      <c r="B538" s="414"/>
      <c r="C538"/>
      <c r="D538"/>
      <c r="E538"/>
      <c r="F538"/>
      <c r="G538"/>
      <c r="H538"/>
    </row>
    <row r="539" spans="2:8">
      <c r="B539" s="414"/>
      <c r="C539"/>
      <c r="D539"/>
      <c r="E539"/>
      <c r="F539"/>
      <c r="G539"/>
      <c r="H539"/>
    </row>
    <row r="540" spans="2:8">
      <c r="B540" s="414"/>
      <c r="C540"/>
      <c r="D540"/>
      <c r="E540"/>
      <c r="F540"/>
      <c r="G540"/>
      <c r="H540"/>
    </row>
    <row r="541" spans="2:8">
      <c r="B541" s="414"/>
      <c r="C541"/>
      <c r="D541"/>
      <c r="E541"/>
      <c r="F541"/>
      <c r="G541"/>
      <c r="H541"/>
    </row>
    <row r="542" spans="2:8">
      <c r="B542" s="414"/>
      <c r="C542"/>
      <c r="D542"/>
      <c r="E542"/>
      <c r="F542"/>
      <c r="G542"/>
      <c r="H542"/>
    </row>
    <row r="543" spans="2:8">
      <c r="B543" s="414"/>
      <c r="C543"/>
      <c r="D543"/>
      <c r="E543"/>
      <c r="F543"/>
      <c r="G543"/>
      <c r="H543"/>
    </row>
    <row r="544" spans="2:8">
      <c r="B544" s="414"/>
      <c r="C544"/>
      <c r="D544"/>
      <c r="E544"/>
      <c r="F544"/>
      <c r="G544"/>
      <c r="H544"/>
    </row>
    <row r="545" spans="2:8">
      <c r="B545" s="414"/>
      <c r="C545"/>
      <c r="D545"/>
      <c r="E545"/>
      <c r="F545"/>
      <c r="G545"/>
      <c r="H545"/>
    </row>
    <row r="546" spans="2:8">
      <c r="B546" s="414"/>
      <c r="C546"/>
      <c r="D546"/>
      <c r="E546"/>
      <c r="F546"/>
      <c r="G546"/>
      <c r="H546"/>
    </row>
    <row r="547" spans="2:8">
      <c r="B547" s="414"/>
      <c r="C547"/>
      <c r="D547"/>
      <c r="E547"/>
      <c r="F547"/>
      <c r="G547"/>
      <c r="H547"/>
    </row>
    <row r="548" spans="2:8">
      <c r="B548" s="414"/>
      <c r="C548"/>
      <c r="D548"/>
      <c r="E548"/>
      <c r="F548"/>
      <c r="G548"/>
      <c r="H548"/>
    </row>
    <row r="549" spans="2:8">
      <c r="B549" s="414"/>
      <c r="C549"/>
      <c r="D549"/>
      <c r="E549"/>
      <c r="F549"/>
      <c r="G549"/>
      <c r="H549"/>
    </row>
    <row r="550" spans="2:8">
      <c r="B550" s="414"/>
      <c r="C550"/>
      <c r="D550"/>
      <c r="E550"/>
      <c r="F550"/>
      <c r="G550"/>
      <c r="H550"/>
    </row>
    <row r="551" spans="2:8">
      <c r="B551" s="414"/>
      <c r="C551"/>
      <c r="D551"/>
      <c r="E551"/>
      <c r="F551"/>
      <c r="G551"/>
      <c r="H551"/>
    </row>
    <row r="552" spans="2:8">
      <c r="B552" s="414"/>
      <c r="C552"/>
      <c r="D552"/>
      <c r="E552"/>
      <c r="F552"/>
      <c r="G552"/>
      <c r="H552"/>
    </row>
    <row r="553" spans="2:8">
      <c r="B553" s="414"/>
      <c r="C553"/>
      <c r="D553"/>
      <c r="E553"/>
      <c r="F553"/>
      <c r="G553"/>
      <c r="H553"/>
    </row>
    <row r="554" spans="2:8">
      <c r="B554" s="414"/>
      <c r="C554"/>
      <c r="D554"/>
      <c r="E554"/>
      <c r="F554"/>
      <c r="G554"/>
      <c r="H554"/>
    </row>
    <row r="555" spans="2:8">
      <c r="B555" s="414"/>
      <c r="C555"/>
      <c r="D555"/>
      <c r="E555"/>
      <c r="F555"/>
      <c r="G555"/>
      <c r="H555"/>
    </row>
    <row r="556" spans="2:8">
      <c r="B556" s="414"/>
      <c r="C556"/>
      <c r="D556"/>
      <c r="E556"/>
      <c r="F556"/>
      <c r="G556"/>
      <c r="H556"/>
    </row>
    <row r="557" spans="2:8">
      <c r="B557" s="414"/>
      <c r="C557"/>
      <c r="D557"/>
      <c r="E557"/>
      <c r="F557"/>
      <c r="G557"/>
      <c r="H557"/>
    </row>
    <row r="558" spans="2:8">
      <c r="B558" s="414"/>
      <c r="C558"/>
      <c r="D558"/>
      <c r="E558"/>
      <c r="F558"/>
      <c r="G558"/>
      <c r="H558"/>
    </row>
    <row r="559" spans="2:8">
      <c r="B559" s="414"/>
      <c r="C559"/>
      <c r="D559"/>
      <c r="E559"/>
      <c r="F559"/>
      <c r="G559"/>
      <c r="H559"/>
    </row>
    <row r="560" spans="2:8">
      <c r="B560" s="414"/>
      <c r="C560"/>
      <c r="D560"/>
      <c r="E560"/>
      <c r="F560"/>
      <c r="G560"/>
      <c r="H560"/>
    </row>
    <row r="561" spans="2:8">
      <c r="B561" s="414"/>
      <c r="C561"/>
      <c r="D561"/>
      <c r="E561"/>
      <c r="F561"/>
      <c r="G561"/>
      <c r="H561"/>
    </row>
    <row r="562" spans="2:8">
      <c r="B562" s="414"/>
      <c r="C562"/>
      <c r="D562"/>
      <c r="E562"/>
      <c r="F562"/>
      <c r="G562"/>
      <c r="H562"/>
    </row>
    <row r="563" spans="2:8">
      <c r="B563" s="414"/>
      <c r="C563"/>
      <c r="D563"/>
      <c r="E563"/>
      <c r="F563"/>
      <c r="G563"/>
      <c r="H563"/>
    </row>
    <row r="564" spans="2:8">
      <c r="B564" s="414"/>
      <c r="C564"/>
      <c r="D564"/>
      <c r="E564"/>
      <c r="F564"/>
      <c r="G564"/>
      <c r="H564"/>
    </row>
    <row r="565" spans="2:8">
      <c r="B565" s="414"/>
      <c r="C565"/>
      <c r="D565"/>
      <c r="E565"/>
      <c r="F565"/>
      <c r="G565"/>
      <c r="H565"/>
    </row>
    <row r="566" spans="2:8">
      <c r="B566" s="414"/>
      <c r="C566"/>
      <c r="D566"/>
      <c r="E566"/>
      <c r="F566"/>
      <c r="G566"/>
      <c r="H566"/>
    </row>
    <row r="567" spans="2:8">
      <c r="B567" s="414"/>
      <c r="C567"/>
      <c r="D567"/>
      <c r="E567"/>
      <c r="F567"/>
      <c r="G567"/>
      <c r="H567"/>
    </row>
    <row r="568" spans="2:8">
      <c r="B568" s="414"/>
      <c r="C568"/>
      <c r="D568"/>
      <c r="E568"/>
      <c r="F568"/>
      <c r="G568"/>
      <c r="H568"/>
    </row>
    <row r="569" spans="2:8">
      <c r="B569" s="414"/>
      <c r="C569"/>
      <c r="D569"/>
      <c r="E569"/>
      <c r="F569"/>
      <c r="G569"/>
      <c r="H569"/>
    </row>
    <row r="570" spans="2:8">
      <c r="B570" s="414"/>
      <c r="C570"/>
      <c r="D570"/>
      <c r="E570"/>
      <c r="F570"/>
      <c r="G570"/>
      <c r="H570"/>
    </row>
    <row r="571" spans="2:8">
      <c r="B571" s="414"/>
      <c r="C571"/>
      <c r="D571"/>
      <c r="E571"/>
      <c r="F571"/>
      <c r="G571"/>
      <c r="H571"/>
    </row>
    <row r="572" spans="2:8">
      <c r="B572" s="414"/>
      <c r="C572"/>
      <c r="D572"/>
      <c r="E572"/>
      <c r="F572"/>
      <c r="G572"/>
      <c r="H572"/>
    </row>
    <row r="573" spans="2:8">
      <c r="B573" s="414"/>
      <c r="C573"/>
      <c r="D573"/>
      <c r="E573"/>
      <c r="F573"/>
      <c r="G573"/>
      <c r="H573"/>
    </row>
    <row r="574" spans="2:8">
      <c r="B574" s="414"/>
      <c r="C574"/>
      <c r="D574"/>
      <c r="E574"/>
      <c r="F574"/>
      <c r="G574"/>
      <c r="H574"/>
    </row>
    <row r="575" spans="2:8">
      <c r="B575" s="414"/>
      <c r="C575"/>
      <c r="D575"/>
      <c r="E575"/>
      <c r="F575"/>
      <c r="G575"/>
      <c r="H575"/>
    </row>
    <row r="576" spans="2:8">
      <c r="B576" s="414"/>
      <c r="C576"/>
      <c r="D576"/>
      <c r="E576"/>
      <c r="F576"/>
      <c r="G576"/>
      <c r="H576"/>
    </row>
    <row r="577" spans="2:8">
      <c r="B577" s="414"/>
      <c r="C577"/>
      <c r="D577"/>
      <c r="E577"/>
      <c r="F577"/>
      <c r="G577"/>
      <c r="H577"/>
    </row>
    <row r="578" spans="2:8">
      <c r="B578" s="414"/>
      <c r="C578"/>
      <c r="D578"/>
      <c r="E578"/>
      <c r="F578"/>
      <c r="G578"/>
      <c r="H578"/>
    </row>
    <row r="579" spans="2:8">
      <c r="B579" s="414"/>
      <c r="C579"/>
      <c r="D579"/>
      <c r="E579"/>
      <c r="F579"/>
      <c r="G579"/>
      <c r="H579"/>
    </row>
    <row r="580" spans="2:8">
      <c r="B580" s="414"/>
      <c r="C580"/>
      <c r="D580"/>
      <c r="E580"/>
      <c r="F580"/>
      <c r="G580"/>
      <c r="H580"/>
    </row>
    <row r="581" spans="2:8">
      <c r="B581" s="414"/>
      <c r="C581"/>
      <c r="D581"/>
      <c r="E581"/>
      <c r="F581"/>
      <c r="G581"/>
      <c r="H581"/>
    </row>
    <row r="582" spans="2:8">
      <c r="B582" s="414"/>
      <c r="C582"/>
      <c r="D582"/>
      <c r="E582"/>
      <c r="F582"/>
      <c r="G582"/>
      <c r="H582"/>
    </row>
    <row r="583" spans="2:8">
      <c r="B583" s="414"/>
      <c r="C583"/>
      <c r="D583"/>
      <c r="E583"/>
      <c r="F583"/>
      <c r="G583"/>
      <c r="H583"/>
    </row>
    <row r="584" spans="2:8">
      <c r="B584" s="414"/>
      <c r="C584"/>
      <c r="D584"/>
      <c r="E584"/>
      <c r="F584"/>
      <c r="G584"/>
      <c r="H584"/>
    </row>
    <row r="585" spans="2:8">
      <c r="B585" s="414"/>
      <c r="C585"/>
      <c r="D585"/>
      <c r="E585"/>
      <c r="F585"/>
      <c r="G585"/>
      <c r="H585"/>
    </row>
    <row r="586" spans="2:8">
      <c r="B586" s="414"/>
      <c r="C586"/>
      <c r="D586"/>
      <c r="E586"/>
      <c r="F586"/>
      <c r="G586"/>
      <c r="H586"/>
    </row>
    <row r="587" spans="2:8">
      <c r="B587" s="414"/>
      <c r="C587"/>
      <c r="D587"/>
      <c r="E587"/>
      <c r="F587"/>
      <c r="G587"/>
      <c r="H587"/>
    </row>
    <row r="588" spans="2:8">
      <c r="B588" s="414"/>
      <c r="C588"/>
      <c r="D588"/>
      <c r="E588"/>
      <c r="F588"/>
      <c r="G588"/>
      <c r="H588"/>
    </row>
    <row r="589" spans="2:8">
      <c r="B589" s="414"/>
      <c r="C589"/>
      <c r="D589"/>
      <c r="E589"/>
      <c r="F589"/>
      <c r="G589"/>
      <c r="H589"/>
    </row>
    <row r="590" spans="2:8">
      <c r="B590" s="414"/>
      <c r="C590"/>
      <c r="D590"/>
      <c r="E590"/>
      <c r="F590"/>
      <c r="G590"/>
      <c r="H590"/>
    </row>
    <row r="591" spans="2:8">
      <c r="B591" s="414"/>
      <c r="C591"/>
      <c r="D591"/>
      <c r="E591"/>
      <c r="F591"/>
      <c r="G591"/>
      <c r="H591"/>
    </row>
    <row r="592" spans="2:8">
      <c r="B592" s="414"/>
      <c r="C592"/>
      <c r="D592"/>
      <c r="E592"/>
      <c r="F592"/>
      <c r="G592"/>
      <c r="H592"/>
    </row>
    <row r="593" spans="2:8">
      <c r="B593" s="414"/>
      <c r="C593"/>
      <c r="D593"/>
      <c r="E593"/>
      <c r="F593"/>
      <c r="G593"/>
      <c r="H593"/>
    </row>
    <row r="594" spans="2:8">
      <c r="B594" s="414"/>
      <c r="C594"/>
      <c r="D594"/>
      <c r="E594"/>
      <c r="F594"/>
      <c r="G594"/>
      <c r="H594"/>
    </row>
    <row r="595" spans="2:8">
      <c r="B595" s="414"/>
      <c r="C595"/>
      <c r="D595"/>
      <c r="E595"/>
      <c r="F595"/>
      <c r="G595"/>
      <c r="H595"/>
    </row>
    <row r="596" spans="2:8">
      <c r="B596" s="414"/>
      <c r="C596"/>
      <c r="D596"/>
      <c r="E596"/>
      <c r="F596"/>
      <c r="G596"/>
      <c r="H596"/>
    </row>
    <row r="597" spans="2:8">
      <c r="B597" s="414"/>
      <c r="C597"/>
      <c r="D597"/>
      <c r="E597"/>
      <c r="F597"/>
      <c r="G597"/>
      <c r="H597"/>
    </row>
    <row r="598" spans="2:8">
      <c r="B598" s="414"/>
      <c r="C598"/>
      <c r="D598"/>
      <c r="E598"/>
      <c r="F598"/>
      <c r="G598"/>
      <c r="H598"/>
    </row>
    <row r="599" spans="2:8">
      <c r="B599" s="414"/>
      <c r="C599"/>
      <c r="D599"/>
      <c r="E599"/>
      <c r="F599"/>
      <c r="G599"/>
      <c r="H599"/>
    </row>
    <row r="600" spans="2:8">
      <c r="B600" s="414"/>
      <c r="C600"/>
      <c r="D600"/>
      <c r="E600"/>
      <c r="F600"/>
      <c r="G600"/>
      <c r="H600"/>
    </row>
    <row r="601" spans="2:8">
      <c r="B601" s="414"/>
      <c r="C601"/>
      <c r="D601"/>
      <c r="E601"/>
      <c r="F601"/>
      <c r="G601"/>
      <c r="H601"/>
    </row>
    <row r="602" spans="2:8">
      <c r="B602" s="414"/>
      <c r="C602"/>
      <c r="D602"/>
      <c r="E602"/>
      <c r="F602"/>
      <c r="G602"/>
      <c r="H602"/>
    </row>
    <row r="603" spans="2:8">
      <c r="B603" s="414"/>
      <c r="C603"/>
      <c r="D603"/>
      <c r="E603"/>
      <c r="F603"/>
      <c r="G603"/>
      <c r="H603"/>
    </row>
    <row r="604" spans="2:8">
      <c r="B604" s="414"/>
      <c r="C604"/>
      <c r="D604"/>
      <c r="E604"/>
      <c r="F604"/>
      <c r="G604"/>
      <c r="H604"/>
    </row>
    <row r="605" spans="2:8">
      <c r="B605" s="414"/>
      <c r="C605"/>
      <c r="D605"/>
      <c r="E605"/>
      <c r="F605"/>
      <c r="G605"/>
      <c r="H605"/>
    </row>
    <row r="606" spans="2:8">
      <c r="B606" s="414"/>
      <c r="C606"/>
      <c r="D606"/>
      <c r="E606"/>
      <c r="F606"/>
      <c r="G606"/>
      <c r="H606"/>
    </row>
    <row r="607" spans="2:8">
      <c r="B607" s="414"/>
      <c r="C607"/>
      <c r="D607"/>
      <c r="E607"/>
      <c r="F607"/>
      <c r="G607"/>
      <c r="H607"/>
    </row>
    <row r="608" spans="2:8">
      <c r="B608" s="414"/>
      <c r="C608"/>
      <c r="D608"/>
      <c r="E608"/>
      <c r="F608"/>
      <c r="G608"/>
      <c r="H608"/>
    </row>
    <row r="609" spans="2:8">
      <c r="B609" s="414"/>
      <c r="C609"/>
      <c r="D609"/>
      <c r="E609"/>
      <c r="F609"/>
      <c r="G609"/>
      <c r="H609"/>
    </row>
    <row r="610" spans="2:8">
      <c r="B610" s="414"/>
      <c r="C610"/>
      <c r="D610"/>
      <c r="E610"/>
      <c r="F610"/>
      <c r="G610"/>
      <c r="H610"/>
    </row>
    <row r="611" spans="2:8">
      <c r="B611" s="414"/>
      <c r="C611"/>
      <c r="D611"/>
      <c r="E611"/>
      <c r="F611"/>
      <c r="G611"/>
      <c r="H611"/>
    </row>
    <row r="612" spans="2:8">
      <c r="B612" s="414"/>
      <c r="C612"/>
      <c r="D612"/>
      <c r="E612"/>
      <c r="F612"/>
      <c r="G612"/>
      <c r="H612"/>
    </row>
    <row r="613" spans="2:8">
      <c r="B613" s="414"/>
      <c r="C613"/>
      <c r="D613"/>
      <c r="E613"/>
      <c r="F613"/>
      <c r="G613"/>
      <c r="H613"/>
    </row>
    <row r="614" spans="2:8">
      <c r="B614" s="414"/>
      <c r="C614"/>
      <c r="D614"/>
      <c r="E614"/>
      <c r="F614"/>
      <c r="G614"/>
      <c r="H614"/>
    </row>
    <row r="615" spans="2:8">
      <c r="B615" s="414"/>
      <c r="C615"/>
      <c r="D615"/>
      <c r="E615"/>
      <c r="F615"/>
      <c r="G615"/>
      <c r="H615"/>
    </row>
    <row r="616" spans="2:8">
      <c r="B616" s="414"/>
      <c r="C616"/>
      <c r="D616"/>
      <c r="E616"/>
      <c r="F616"/>
      <c r="G616"/>
      <c r="H616"/>
    </row>
    <row r="617" spans="2:8">
      <c r="B617" s="414"/>
      <c r="C617"/>
      <c r="D617"/>
      <c r="E617"/>
      <c r="F617"/>
      <c r="G617"/>
      <c r="H617"/>
    </row>
    <row r="618" spans="2:8">
      <c r="B618" s="414"/>
      <c r="C618"/>
      <c r="D618"/>
      <c r="E618"/>
      <c r="F618"/>
      <c r="G618"/>
      <c r="H618"/>
    </row>
    <row r="619" spans="2:8">
      <c r="B619" s="414"/>
      <c r="C619"/>
      <c r="D619"/>
      <c r="E619"/>
      <c r="F619"/>
      <c r="G619"/>
      <c r="H619"/>
    </row>
    <row r="620" spans="2:8">
      <c r="B620" s="414"/>
      <c r="C620"/>
      <c r="D620"/>
      <c r="E620"/>
      <c r="F620"/>
      <c r="G620"/>
      <c r="H620"/>
    </row>
    <row r="621" spans="2:8">
      <c r="B621" s="414"/>
      <c r="C621"/>
      <c r="D621"/>
      <c r="E621"/>
      <c r="F621"/>
      <c r="G621"/>
      <c r="H621"/>
    </row>
    <row r="622" spans="2:8">
      <c r="B622" s="414"/>
      <c r="C622"/>
      <c r="D622"/>
      <c r="E622"/>
      <c r="F622"/>
      <c r="G622"/>
      <c r="H622"/>
    </row>
    <row r="623" spans="2:8">
      <c r="B623" s="414"/>
      <c r="C623"/>
      <c r="D623"/>
      <c r="E623"/>
      <c r="F623"/>
      <c r="G623"/>
      <c r="H623"/>
    </row>
    <row r="624" spans="2:8">
      <c r="B624" s="414"/>
      <c r="C624"/>
      <c r="D624"/>
      <c r="E624"/>
      <c r="F624"/>
      <c r="G624"/>
      <c r="H624"/>
    </row>
    <row r="625" spans="2:8">
      <c r="B625" s="414"/>
      <c r="C625"/>
      <c r="D625"/>
      <c r="E625"/>
      <c r="F625"/>
      <c r="G625"/>
      <c r="H625"/>
    </row>
    <row r="626" spans="2:8">
      <c r="B626" s="414"/>
      <c r="C626"/>
      <c r="D626"/>
      <c r="E626"/>
      <c r="F626"/>
      <c r="G626"/>
      <c r="H626"/>
    </row>
    <row r="627" spans="2:8">
      <c r="B627" s="414"/>
      <c r="C627"/>
      <c r="D627"/>
      <c r="E627"/>
      <c r="F627"/>
      <c r="G627"/>
      <c r="H627"/>
    </row>
    <row r="628" spans="2:8">
      <c r="B628" s="414"/>
      <c r="C628"/>
      <c r="D628"/>
      <c r="E628"/>
      <c r="F628"/>
      <c r="G628"/>
      <c r="H628"/>
    </row>
    <row r="629" spans="2:8">
      <c r="B629" s="414"/>
      <c r="C629"/>
      <c r="D629"/>
      <c r="E629"/>
      <c r="F629"/>
      <c r="G629"/>
      <c r="H629"/>
    </row>
    <row r="630" spans="2:8">
      <c r="B630" s="414"/>
      <c r="C630"/>
      <c r="D630"/>
      <c r="E630"/>
      <c r="F630"/>
      <c r="G630"/>
      <c r="H630"/>
    </row>
    <row r="631" spans="2:8">
      <c r="B631" s="414"/>
      <c r="C631"/>
      <c r="D631"/>
      <c r="E631"/>
      <c r="F631"/>
      <c r="G631"/>
      <c r="H631"/>
    </row>
    <row r="632" spans="2:8">
      <c r="B632" s="414"/>
      <c r="C632"/>
      <c r="D632"/>
      <c r="E632"/>
      <c r="F632"/>
      <c r="G632"/>
      <c r="H632"/>
    </row>
    <row r="633" spans="2:8">
      <c r="B633" s="414"/>
      <c r="C633"/>
      <c r="D633"/>
      <c r="E633"/>
      <c r="F633"/>
      <c r="G633"/>
      <c r="H633"/>
    </row>
    <row r="634" spans="2:8">
      <c r="B634" s="414"/>
      <c r="C634"/>
      <c r="D634"/>
      <c r="E634"/>
      <c r="F634"/>
      <c r="G634"/>
      <c r="H634"/>
    </row>
    <row r="635" spans="2:8">
      <c r="B635" s="414"/>
      <c r="C635"/>
      <c r="D635"/>
      <c r="E635"/>
      <c r="F635"/>
      <c r="G635"/>
      <c r="H635"/>
    </row>
    <row r="636" spans="2:8">
      <c r="B636" s="414"/>
      <c r="C636"/>
      <c r="D636"/>
      <c r="E636"/>
      <c r="F636"/>
      <c r="G636"/>
      <c r="H636"/>
    </row>
    <row r="637" spans="2:8">
      <c r="B637" s="414"/>
      <c r="C637"/>
      <c r="D637"/>
      <c r="E637"/>
      <c r="F637"/>
      <c r="G637"/>
      <c r="H637"/>
    </row>
    <row r="638" spans="2:8">
      <c r="B638" s="414"/>
      <c r="C638"/>
      <c r="D638"/>
      <c r="E638"/>
      <c r="F638"/>
      <c r="G638"/>
      <c r="H638"/>
    </row>
    <row r="639" spans="2:8">
      <c r="B639" s="414"/>
      <c r="C639"/>
      <c r="D639"/>
      <c r="E639"/>
      <c r="F639"/>
      <c r="G639"/>
      <c r="H639"/>
    </row>
    <row r="640" spans="2:8">
      <c r="B640" s="414"/>
      <c r="C640"/>
      <c r="D640"/>
      <c r="E640"/>
      <c r="F640"/>
      <c r="G640"/>
      <c r="H640"/>
    </row>
    <row r="641" spans="2:8">
      <c r="B641" s="414"/>
      <c r="C641"/>
      <c r="D641"/>
      <c r="E641"/>
      <c r="F641"/>
      <c r="G641"/>
      <c r="H641"/>
    </row>
  </sheetData>
  <conditionalFormatting sqref="A4:A634">
    <cfRule type="containsText" dxfId="1069" priority="1" operator="containsText" text="ONG_TB">
      <formula>NOT(ISERROR(SEARCH("ONG_TB",A4)))</formula>
    </cfRule>
  </conditionalFormatting>
  <hyperlinks>
    <hyperlink ref="A2" location="CUPRINS!A1" display="CUPRINS" xr:uid="{00000000-0004-0000-0600-000000000000}"/>
  </hyperlinks>
  <pageMargins left="0.7" right="0.7" top="0.75" bottom="0.75" header="0.3" footer="0.3"/>
  <pageSetup paperSize="9" orientation="portrait" r:id="rId2"/>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FF00"/>
    <pageSetUpPr fitToPage="1"/>
  </sheetPr>
  <dimension ref="A1:BI605"/>
  <sheetViews>
    <sheetView view="pageBreakPreview" topLeftCell="A232" zoomScale="85" zoomScaleNormal="70" zoomScaleSheetLayoutView="85" workbookViewId="0">
      <selection activeCell="I252" sqref="I252:I253"/>
    </sheetView>
  </sheetViews>
  <sheetFormatPr baseColWidth="10" defaultColWidth="9.1640625" defaultRowHeight="15" outlineLevelCol="1"/>
  <cols>
    <col min="1" max="1" width="12" style="67" customWidth="1"/>
    <col min="2" max="2" width="17.33203125" style="67" customWidth="1"/>
    <col min="3" max="3" width="17.1640625" style="67" customWidth="1"/>
    <col min="4" max="4" width="60.5" style="89" customWidth="1"/>
    <col min="5" max="5" width="51.1640625" style="89" customWidth="1"/>
    <col min="6" max="6" width="62.5" style="818" customWidth="1"/>
    <col min="7" max="7" width="15.33203125" style="67" customWidth="1" outlineLevel="1"/>
    <col min="8" max="8" width="16.1640625" style="67" bestFit="1" customWidth="1"/>
    <col min="9" max="9" width="23.5" style="67" customWidth="1"/>
    <col min="10" max="10" width="18" style="67" hidden="1" customWidth="1" outlineLevel="1"/>
    <col min="11" max="11" width="18.6640625" style="67" customWidth="1" collapsed="1"/>
    <col min="12" max="19" width="14.83203125" style="67" hidden="1" customWidth="1" outlineLevel="1"/>
    <col min="20" max="20" width="14.83203125" style="67" customWidth="1" collapsed="1"/>
    <col min="21" max="28" width="14.83203125" style="67" hidden="1" customWidth="1" outlineLevel="1"/>
    <col min="29" max="29" width="14.83203125" style="67" customWidth="1" collapsed="1"/>
    <col min="30" max="37" width="14.83203125" style="67" hidden="1" customWidth="1" outlineLevel="1"/>
    <col min="38" max="38" width="14.83203125" style="67" customWidth="1" collapsed="1"/>
    <col min="39" max="46" width="14.83203125" style="67" hidden="1" customWidth="1" outlineLevel="1"/>
    <col min="47" max="47" width="14.83203125" style="67" customWidth="1" collapsed="1"/>
    <col min="48" max="54" width="14.83203125" style="67" hidden="1" customWidth="1" outlineLevel="1"/>
    <col min="55" max="55" width="19.33203125" style="67" customWidth="1" collapsed="1"/>
    <col min="56" max="56" width="2.1640625" style="67" bestFit="1" customWidth="1"/>
    <col min="57" max="57" width="9.1640625" style="67"/>
    <col min="58" max="58" width="16.1640625" style="67" bestFit="1" customWidth="1"/>
    <col min="59" max="16384" width="9.1640625" style="67"/>
  </cols>
  <sheetData>
    <row r="1" spans="1:58">
      <c r="B1" s="1836" t="s">
        <v>356</v>
      </c>
      <c r="K1" s="813">
        <f ca="1">SUM(_2021_Total)</f>
        <v>270109807.15956551</v>
      </c>
      <c r="T1" s="813">
        <f ca="1">SUM(_2022_Total)</f>
        <v>273522554.26096749</v>
      </c>
      <c r="AC1" s="813">
        <f ca="1">SUM(_2023_Total)</f>
        <v>273548527.13317335</v>
      </c>
      <c r="AL1" s="813">
        <f ca="1">SUM(_2024_Total)</f>
        <v>258219870.5994792</v>
      </c>
      <c r="AU1" s="813">
        <f ca="1">SUM(_2025_Total)</f>
        <v>261642215.4834919</v>
      </c>
      <c r="BC1" s="813">
        <f ca="1">K1+T1+AC1+AL1+AU1</f>
        <v>1337042974.6366773</v>
      </c>
      <c r="BF1" s="813"/>
    </row>
    <row r="2" spans="1:58">
      <c r="B2" s="441"/>
    </row>
    <row r="3" spans="1:58">
      <c r="D3" s="89" t="s">
        <v>3560</v>
      </c>
    </row>
    <row r="5" spans="1:58" s="94" customFormat="1" ht="16" thickBot="1">
      <c r="E5" s="94">
        <v>10</v>
      </c>
      <c r="F5" s="818">
        <v>8</v>
      </c>
      <c r="G5" s="94">
        <v>9</v>
      </c>
      <c r="H5" s="94">
        <v>7</v>
      </c>
      <c r="K5" s="94">
        <v>2</v>
      </c>
      <c r="T5" s="94">
        <v>3</v>
      </c>
      <c r="AC5" s="94">
        <v>4</v>
      </c>
      <c r="AL5" s="94">
        <v>5</v>
      </c>
      <c r="AU5" s="94">
        <v>6</v>
      </c>
    </row>
    <row r="6" spans="1:58" ht="42">
      <c r="A6" s="478" t="s">
        <v>359</v>
      </c>
      <c r="B6" s="478" t="s">
        <v>344</v>
      </c>
      <c r="C6" s="478" t="s">
        <v>1795</v>
      </c>
      <c r="D6" s="1756" t="s">
        <v>336</v>
      </c>
      <c r="E6" s="1756" t="s">
        <v>337</v>
      </c>
      <c r="F6" s="1776" t="s">
        <v>516</v>
      </c>
      <c r="G6" s="478" t="s">
        <v>3718</v>
      </c>
      <c r="H6" s="478" t="s">
        <v>358</v>
      </c>
      <c r="I6" s="478" t="s">
        <v>421</v>
      </c>
      <c r="J6" s="478" t="s">
        <v>1884</v>
      </c>
      <c r="K6" s="479" t="s">
        <v>368</v>
      </c>
      <c r="L6" s="480" t="s">
        <v>360</v>
      </c>
      <c r="M6" s="477" t="s">
        <v>361</v>
      </c>
      <c r="N6" s="480" t="s">
        <v>362</v>
      </c>
      <c r="O6" s="477" t="s">
        <v>363</v>
      </c>
      <c r="P6" s="480" t="s">
        <v>364</v>
      </c>
      <c r="Q6" s="477" t="s">
        <v>365</v>
      </c>
      <c r="R6" s="480" t="s">
        <v>366</v>
      </c>
      <c r="S6" s="477" t="s">
        <v>367</v>
      </c>
      <c r="T6" s="479" t="s">
        <v>369</v>
      </c>
      <c r="U6" s="480" t="s">
        <v>370</v>
      </c>
      <c r="V6" s="477" t="s">
        <v>371</v>
      </c>
      <c r="W6" s="480" t="s">
        <v>372</v>
      </c>
      <c r="X6" s="477" t="s">
        <v>373</v>
      </c>
      <c r="Y6" s="480" t="s">
        <v>374</v>
      </c>
      <c r="Z6" s="477" t="s">
        <v>375</v>
      </c>
      <c r="AA6" s="480" t="s">
        <v>376</v>
      </c>
      <c r="AB6" s="477" t="s">
        <v>377</v>
      </c>
      <c r="AC6" s="479" t="s">
        <v>395</v>
      </c>
      <c r="AD6" s="480" t="s">
        <v>396</v>
      </c>
      <c r="AE6" s="477" t="s">
        <v>397</v>
      </c>
      <c r="AF6" s="480" t="s">
        <v>398</v>
      </c>
      <c r="AG6" s="477" t="s">
        <v>399</v>
      </c>
      <c r="AH6" s="480" t="s">
        <v>400</v>
      </c>
      <c r="AI6" s="477" t="s">
        <v>401</v>
      </c>
      <c r="AJ6" s="480" t="s">
        <v>402</v>
      </c>
      <c r="AK6" s="477" t="s">
        <v>403</v>
      </c>
      <c r="AL6" s="479" t="s">
        <v>404</v>
      </c>
      <c r="AM6" s="480" t="s">
        <v>405</v>
      </c>
      <c r="AN6" s="477" t="s">
        <v>406</v>
      </c>
      <c r="AO6" s="480" t="s">
        <v>407</v>
      </c>
      <c r="AP6" s="477" t="s">
        <v>408</v>
      </c>
      <c r="AQ6" s="480" t="s">
        <v>409</v>
      </c>
      <c r="AR6" s="477" t="s">
        <v>410</v>
      </c>
      <c r="AS6" s="480" t="s">
        <v>411</v>
      </c>
      <c r="AT6" s="477" t="s">
        <v>412</v>
      </c>
      <c r="AU6" s="479" t="s">
        <v>413</v>
      </c>
      <c r="AV6" s="480" t="s">
        <v>414</v>
      </c>
      <c r="AW6" s="477" t="s">
        <v>415</v>
      </c>
      <c r="AX6" s="480" t="s">
        <v>416</v>
      </c>
      <c r="AY6" s="477" t="s">
        <v>417</v>
      </c>
      <c r="AZ6" s="480" t="s">
        <v>418</v>
      </c>
      <c r="BA6" s="477" t="s">
        <v>419</v>
      </c>
      <c r="BB6" s="480" t="s">
        <v>420</v>
      </c>
      <c r="BC6" s="849" t="s">
        <v>456</v>
      </c>
    </row>
    <row r="7" spans="1:58" ht="28">
      <c r="A7" s="837" t="str">
        <f t="shared" ref="A7:A70" ca="1" si="0">IF(B7="","",IF(COUNTA(C7:H7)&lt;6,"Completati  toate campurile col C:H",""))</f>
        <v/>
      </c>
      <c r="B7" s="440">
        <v>1</v>
      </c>
      <c r="C7" s="834" t="str">
        <f t="shared" ref="C7:C70" ca="1" si="1">IFERROR(LEFT(D7,2),"")</f>
        <v>1.</v>
      </c>
      <c r="D7" s="1757" t="str">
        <f ca="1">IFERROR(VLOOKUP(LEFT(E7,4),Nom_activ_2!D:G,4,0),"")</f>
        <v>1.1.  Depistarea activă a TB în grupurile cu risc și vigilență sporită pentru TB</v>
      </c>
      <c r="E7" s="1757" t="str">
        <f t="shared" ref="E7:E70" ca="1" si="2">IFERROR(VLOOKUP($B7,INDIRECT($J7),E$5,0),"")</f>
        <v xml:space="preserve">1.1.1. Asigurarea examinării persoanelor din grupurile cu risc sporit TB </v>
      </c>
      <c r="F7" s="1777" t="str">
        <f t="shared" ref="F7:H26" ca="1" si="3">IFERROR(VLOOKUP($B7,INDIRECT($J7),F$5,0),0)</f>
        <v xml:space="preserve">1.1.1. Asigurarea examinării persoanelor din grupurile cu risc sporit TB </v>
      </c>
      <c r="G7" s="839">
        <f t="shared" ca="1" si="3"/>
        <v>0</v>
      </c>
      <c r="H7" s="840" t="str">
        <f t="shared" ca="1" si="3"/>
        <v>CNAM</v>
      </c>
      <c r="I7" s="443" t="s">
        <v>2013</v>
      </c>
      <c r="J7" s="838" t="str">
        <f t="shared" ref="J7:J70" si="4">I7&amp;"!$A:$j"</f>
        <v>Exam_grup_risc!$A:$j</v>
      </c>
      <c r="K7" s="475">
        <f t="shared" ref="K7:K70" ca="1" si="5">IFERROR(VLOOKUP($B7,INDIRECT($J7),K$5,0),0)</f>
        <v>27404304</v>
      </c>
      <c r="L7" s="480"/>
      <c r="M7" s="477">
        <f t="shared" ref="M7:M70" si="6">IF(L7="",0,K7*L7)</f>
        <v>0</v>
      </c>
      <c r="N7" s="480"/>
      <c r="O7" s="477">
        <f t="shared" ref="O7:O70" si="7">IF(N7="",0,M7*N7)</f>
        <v>0</v>
      </c>
      <c r="P7" s="480"/>
      <c r="Q7" s="477">
        <f t="shared" ref="Q7:Q70" si="8">IF(P7="",0,O7*P7)</f>
        <v>0</v>
      </c>
      <c r="R7" s="480">
        <v>1</v>
      </c>
      <c r="S7" s="477">
        <f t="shared" ref="S7:S70" ca="1" si="9">IFERROR(K7-M7-O7-Q7,0)</f>
        <v>27404304</v>
      </c>
      <c r="T7" s="475">
        <f t="shared" ref="T7:T70" ca="1" si="10">IFERROR(VLOOKUP($B7,INDIRECT($J7),T$5,0),0)</f>
        <v>26899182</v>
      </c>
      <c r="U7" s="480"/>
      <c r="V7" s="477">
        <f t="shared" ref="V7:V70" si="11">IF(U7="",0,T7*U7)</f>
        <v>0</v>
      </c>
      <c r="W7" s="480"/>
      <c r="X7" s="477">
        <f t="shared" ref="X7:X70" si="12">IF(W7="",0,V7*W7)</f>
        <v>0</v>
      </c>
      <c r="Y7" s="480"/>
      <c r="Z7" s="477">
        <f t="shared" ref="Z7:Z70" si="13">IF(Y7="",0,X7*Y7)</f>
        <v>0</v>
      </c>
      <c r="AA7" s="480">
        <v>1</v>
      </c>
      <c r="AB7" s="477">
        <f t="shared" ref="AB7:AB70" ca="1" si="14">IFERROR(T7-V7-X7-Z7,0)</f>
        <v>26899182</v>
      </c>
      <c r="AC7" s="475">
        <f t="shared" ref="AC7:AC70" ca="1" si="15">IFERROR(VLOOKUP($B7,INDIRECT($J7),AC$5,0),0)</f>
        <v>26399280</v>
      </c>
      <c r="AD7" s="480"/>
      <c r="AE7" s="477">
        <f t="shared" ref="AE7:AE70" si="16">IF(AD7="",0,AC7*AD7)</f>
        <v>0</v>
      </c>
      <c r="AF7" s="480"/>
      <c r="AG7" s="477">
        <f t="shared" ref="AG7:AG70" si="17">IF(AF7="",0,AE7*AF7)</f>
        <v>0</v>
      </c>
      <c r="AH7" s="480"/>
      <c r="AI7" s="477">
        <f t="shared" ref="AI7:AI70" si="18">IF(AH7="",0,AG7*AH7)</f>
        <v>0</v>
      </c>
      <c r="AJ7" s="480">
        <v>1</v>
      </c>
      <c r="AK7" s="477">
        <f t="shared" ref="AK7:AK70" ca="1" si="19">IFERROR(AC7-AE7-AG7-AI7,0)</f>
        <v>26399280</v>
      </c>
      <c r="AL7" s="475">
        <f t="shared" ref="AL7:AL70" ca="1" si="20">IFERROR(VLOOKUP($B7,INDIRECT($J7),AL$5,0),0)</f>
        <v>25905468</v>
      </c>
      <c r="AM7" s="480"/>
      <c r="AN7" s="477">
        <f t="shared" ref="AN7:AN70" si="21">IF(AM7="",0,AL7*AM7)</f>
        <v>0</v>
      </c>
      <c r="AO7" s="480"/>
      <c r="AP7" s="477">
        <f t="shared" ref="AP7:AP70" si="22">IF(AO7="",0,AN7*AO7)</f>
        <v>0</v>
      </c>
      <c r="AQ7" s="480"/>
      <c r="AR7" s="477">
        <f t="shared" ref="AR7:AR70" si="23">IF(AQ7="",0,AP7*AQ7)</f>
        <v>0</v>
      </c>
      <c r="AS7" s="480">
        <v>1</v>
      </c>
      <c r="AT7" s="477">
        <f t="shared" ref="AT7:AT70" ca="1" si="24">IFERROR(AL7-AN7-AP7-AR7,0)</f>
        <v>25905468</v>
      </c>
      <c r="AU7" s="475">
        <f t="shared" ref="AU7:AU70" ca="1" si="25">IFERROR(VLOOKUP($B7,INDIRECT($J7),AU$5,0),0)</f>
        <v>25417050</v>
      </c>
      <c r="AV7" s="480"/>
      <c r="AW7" s="477">
        <f t="shared" ref="AW7:AW70" si="26">IF(AV7="",0,AU7*AV7)</f>
        <v>0</v>
      </c>
      <c r="AX7" s="480"/>
      <c r="AY7" s="477">
        <f t="shared" ref="AY7:AY70" si="27">IF(AX7="",0,AW7*AX7)</f>
        <v>0</v>
      </c>
      <c r="AZ7" s="480"/>
      <c r="BA7" s="477">
        <f t="shared" ref="BA7:BA70" si="28">IF(AZ7="",0,AY7*AZ7)</f>
        <v>0</v>
      </c>
      <c r="BB7" s="480">
        <v>1</v>
      </c>
      <c r="BC7" s="850">
        <f t="shared" ref="BC7:BC70" ca="1" si="29">K7+T7+AC7+AL7+AU7</f>
        <v>132025284</v>
      </c>
    </row>
    <row r="8" spans="1:58" ht="28">
      <c r="A8" s="837" t="str">
        <f t="shared" ca="1" si="0"/>
        <v/>
      </c>
      <c r="B8" s="440">
        <v>2</v>
      </c>
      <c r="C8" s="834" t="str">
        <f t="shared" ca="1" si="1"/>
        <v>1.</v>
      </c>
      <c r="D8" s="1757" t="str">
        <f ca="1">IFERROR(VLOOKUP(LEFT(E8,4),Nom_activ_2!D:G,4,0),"")</f>
        <v>1.1.  Depistarea activă a TB în grupurile cu risc și vigilență sporită pentru TB</v>
      </c>
      <c r="E8" s="1757" t="str">
        <f t="shared" ca="1" si="2"/>
        <v xml:space="preserve">1.1.2. Asigurarea examinării persoanelor din contact cu bolnavii TB </v>
      </c>
      <c r="F8" s="1777" t="str">
        <f t="shared" ca="1" si="3"/>
        <v xml:space="preserve">1.1.2. Asigurarea examinării persoanelor din contact cu bolnavii TB </v>
      </c>
      <c r="G8" s="839">
        <f t="shared" ca="1" si="3"/>
        <v>0</v>
      </c>
      <c r="H8" s="840" t="str">
        <f t="shared" ca="1" si="3"/>
        <v>CNAM</v>
      </c>
      <c r="I8" s="443" t="s">
        <v>2013</v>
      </c>
      <c r="J8" s="838" t="str">
        <f t="shared" si="4"/>
        <v>Exam_grup_risc!$A:$j</v>
      </c>
      <c r="K8" s="475">
        <f t="shared" ca="1" si="5"/>
        <v>1213998</v>
      </c>
      <c r="L8" s="480"/>
      <c r="M8" s="477">
        <f t="shared" si="6"/>
        <v>0</v>
      </c>
      <c r="N8" s="480"/>
      <c r="O8" s="477">
        <f t="shared" si="7"/>
        <v>0</v>
      </c>
      <c r="P8" s="480"/>
      <c r="Q8" s="477">
        <f t="shared" si="8"/>
        <v>0</v>
      </c>
      <c r="R8" s="480">
        <v>1</v>
      </c>
      <c r="S8" s="477">
        <f t="shared" ca="1" si="9"/>
        <v>1213998</v>
      </c>
      <c r="T8" s="475">
        <f t="shared" ca="1" si="10"/>
        <v>1181460</v>
      </c>
      <c r="U8" s="480"/>
      <c r="V8" s="477">
        <f t="shared" si="11"/>
        <v>0</v>
      </c>
      <c r="W8" s="480"/>
      <c r="X8" s="477">
        <f t="shared" si="12"/>
        <v>0</v>
      </c>
      <c r="Y8" s="480"/>
      <c r="Z8" s="477">
        <f t="shared" si="13"/>
        <v>0</v>
      </c>
      <c r="AA8" s="480">
        <v>1</v>
      </c>
      <c r="AB8" s="477">
        <f t="shared" ca="1" si="14"/>
        <v>1181460</v>
      </c>
      <c r="AC8" s="475">
        <f t="shared" ca="1" si="15"/>
        <v>1150662</v>
      </c>
      <c r="AD8" s="480"/>
      <c r="AE8" s="477">
        <f t="shared" si="16"/>
        <v>0</v>
      </c>
      <c r="AF8" s="480"/>
      <c r="AG8" s="477">
        <f t="shared" si="17"/>
        <v>0</v>
      </c>
      <c r="AH8" s="480"/>
      <c r="AI8" s="477">
        <f t="shared" si="18"/>
        <v>0</v>
      </c>
      <c r="AJ8" s="480">
        <v>1</v>
      </c>
      <c r="AK8" s="477">
        <f t="shared" ca="1" si="19"/>
        <v>1150662</v>
      </c>
      <c r="AL8" s="475">
        <f t="shared" ca="1" si="20"/>
        <v>1120560</v>
      </c>
      <c r="AM8" s="480"/>
      <c r="AN8" s="477">
        <f t="shared" si="21"/>
        <v>0</v>
      </c>
      <c r="AO8" s="480"/>
      <c r="AP8" s="477">
        <f t="shared" si="22"/>
        <v>0</v>
      </c>
      <c r="AQ8" s="480"/>
      <c r="AR8" s="477">
        <f t="shared" si="23"/>
        <v>0</v>
      </c>
      <c r="AS8" s="480">
        <v>1</v>
      </c>
      <c r="AT8" s="477">
        <f t="shared" ca="1" si="24"/>
        <v>1120560</v>
      </c>
      <c r="AU8" s="475">
        <f t="shared" ca="1" si="25"/>
        <v>1091850</v>
      </c>
      <c r="AV8" s="480"/>
      <c r="AW8" s="477">
        <f t="shared" si="26"/>
        <v>0</v>
      </c>
      <c r="AX8" s="480"/>
      <c r="AY8" s="477">
        <f t="shared" si="27"/>
        <v>0</v>
      </c>
      <c r="AZ8" s="480"/>
      <c r="BA8" s="477">
        <f t="shared" si="28"/>
        <v>0</v>
      </c>
      <c r="BB8" s="480">
        <v>1</v>
      </c>
      <c r="BC8" s="850">
        <f t="shared" ca="1" si="29"/>
        <v>5758530</v>
      </c>
    </row>
    <row r="9" spans="1:58" ht="28">
      <c r="A9" s="837" t="str">
        <f t="shared" ca="1" si="0"/>
        <v/>
      </c>
      <c r="B9" s="440">
        <v>3</v>
      </c>
      <c r="C9" s="834" t="str">
        <f t="shared" ca="1" si="1"/>
        <v>1.</v>
      </c>
      <c r="D9" s="1757" t="str">
        <f ca="1">IFERROR(VLOOKUP(LEFT(E9,4),Nom_activ_2!D:G,4,0),"")</f>
        <v>1.1.  Depistarea activă a TB în grupurile cu risc și vigilență sporită pentru TB</v>
      </c>
      <c r="E9" s="1757" t="str">
        <f t="shared" ca="1" si="2"/>
        <v xml:space="preserve">1.1.3. Asigurarea examinării persoanelor din grupurile cu vigilență sporită pentru TB </v>
      </c>
      <c r="F9" s="1777" t="str">
        <f t="shared" ca="1" si="3"/>
        <v xml:space="preserve">1.1.3. Asigurarea examinării persoanelor din grupurile cu vigilență sporită pentru TB </v>
      </c>
      <c r="G9" s="839">
        <f t="shared" ca="1" si="3"/>
        <v>0</v>
      </c>
      <c r="H9" s="840" t="str">
        <f t="shared" ca="1" si="3"/>
        <v>CNAM</v>
      </c>
      <c r="I9" s="443" t="s">
        <v>2013</v>
      </c>
      <c r="J9" s="838" t="str">
        <f t="shared" si="4"/>
        <v>Exam_grup_risc!$A:$j</v>
      </c>
      <c r="K9" s="475">
        <f t="shared" ca="1" si="5"/>
        <v>8646860.4000000004</v>
      </c>
      <c r="L9" s="480"/>
      <c r="M9" s="477">
        <f t="shared" si="6"/>
        <v>0</v>
      </c>
      <c r="N9" s="480"/>
      <c r="O9" s="477">
        <f t="shared" si="7"/>
        <v>0</v>
      </c>
      <c r="P9" s="480"/>
      <c r="Q9" s="477">
        <f t="shared" si="8"/>
        <v>0</v>
      </c>
      <c r="R9" s="480">
        <v>1</v>
      </c>
      <c r="S9" s="477">
        <f t="shared" ca="1" si="9"/>
        <v>8646860.4000000004</v>
      </c>
      <c r="T9" s="475">
        <f t="shared" ca="1" si="10"/>
        <v>8539328.4000000004</v>
      </c>
      <c r="U9" s="480"/>
      <c r="V9" s="477">
        <f t="shared" si="11"/>
        <v>0</v>
      </c>
      <c r="W9" s="480"/>
      <c r="X9" s="477">
        <f t="shared" si="12"/>
        <v>0</v>
      </c>
      <c r="Y9" s="480"/>
      <c r="Z9" s="477">
        <f t="shared" si="13"/>
        <v>0</v>
      </c>
      <c r="AA9" s="480">
        <v>1</v>
      </c>
      <c r="AB9" s="477">
        <f t="shared" ca="1" si="14"/>
        <v>8539328.4000000004</v>
      </c>
      <c r="AC9" s="475">
        <f t="shared" ca="1" si="15"/>
        <v>8433188.4000000004</v>
      </c>
      <c r="AD9" s="480"/>
      <c r="AE9" s="477">
        <f t="shared" si="16"/>
        <v>0</v>
      </c>
      <c r="AF9" s="480"/>
      <c r="AG9" s="477">
        <f t="shared" si="17"/>
        <v>0</v>
      </c>
      <c r="AH9" s="480"/>
      <c r="AI9" s="477">
        <f t="shared" si="18"/>
        <v>0</v>
      </c>
      <c r="AJ9" s="480">
        <v>1</v>
      </c>
      <c r="AK9" s="477">
        <f t="shared" ca="1" si="19"/>
        <v>8433188.4000000004</v>
      </c>
      <c r="AL9" s="475">
        <f t="shared" ca="1" si="20"/>
        <v>8328405.6000000006</v>
      </c>
      <c r="AM9" s="480"/>
      <c r="AN9" s="477">
        <f t="shared" si="21"/>
        <v>0</v>
      </c>
      <c r="AO9" s="480"/>
      <c r="AP9" s="477">
        <f t="shared" si="22"/>
        <v>0</v>
      </c>
      <c r="AQ9" s="480"/>
      <c r="AR9" s="477">
        <f t="shared" si="23"/>
        <v>0</v>
      </c>
      <c r="AS9" s="480">
        <v>1</v>
      </c>
      <c r="AT9" s="477">
        <f t="shared" ca="1" si="24"/>
        <v>8328405.6000000006</v>
      </c>
      <c r="AU9" s="475">
        <f t="shared" ca="1" si="25"/>
        <v>8224980</v>
      </c>
      <c r="AV9" s="480"/>
      <c r="AW9" s="477">
        <f t="shared" si="26"/>
        <v>0</v>
      </c>
      <c r="AX9" s="480"/>
      <c r="AY9" s="477">
        <f t="shared" si="27"/>
        <v>0</v>
      </c>
      <c r="AZ9" s="480"/>
      <c r="BA9" s="477">
        <f t="shared" si="28"/>
        <v>0</v>
      </c>
      <c r="BB9" s="480">
        <v>1</v>
      </c>
      <c r="BC9" s="850">
        <f t="shared" ca="1" si="29"/>
        <v>42172762.800000004</v>
      </c>
    </row>
    <row r="10" spans="1:58" ht="56">
      <c r="A10" s="837" t="str">
        <f t="shared" ca="1" si="0"/>
        <v/>
      </c>
      <c r="B10" s="440">
        <v>4</v>
      </c>
      <c r="C10" s="834" t="str">
        <f t="shared" ca="1" si="1"/>
        <v>1.</v>
      </c>
      <c r="D10" s="1757" t="str">
        <f ca="1">IFERROR(VLOOKUP(LEFT(E10,4),Nom_activ_2!D:G,4,0),"")</f>
        <v>1.1.  Depistarea activă a TB în grupurile cu risc și vigilență sporită pentru TB</v>
      </c>
      <c r="E10" s="1757" t="str">
        <f t="shared" ca="1" si="2"/>
        <v>1.1.4. Asigurarea examinării persoanelor din grupurile cu risc și vigilență sporită pentru TB în localități, utilizând instalațiile radiologice mobile cu introducerea inteligenței artificiale medicale</v>
      </c>
      <c r="F10" s="1777" t="str">
        <f t="shared" ca="1" si="3"/>
        <v xml:space="preserve">1.1.4.1. Achizitionarea instrumentelor de inteligență artificială (IA) pentru 7 vehicule mobile echipate cu Xrays.(4 pentru malul drept si 3 pentru malul sting) </v>
      </c>
      <c r="G10" s="839" t="str">
        <f t="shared" ca="1" si="3"/>
        <v>PAS</v>
      </c>
      <c r="H10" s="840" t="str">
        <f t="shared" ca="1" si="3"/>
        <v>GFATM</v>
      </c>
      <c r="I10" s="443" t="s">
        <v>2013</v>
      </c>
      <c r="J10" s="838" t="str">
        <f t="shared" si="4"/>
        <v>Exam_grup_risc!$A:$j</v>
      </c>
      <c r="K10" s="475">
        <f t="shared" ca="1" si="5"/>
        <v>1897533.84</v>
      </c>
      <c r="L10" s="480"/>
      <c r="M10" s="477">
        <f t="shared" si="6"/>
        <v>0</v>
      </c>
      <c r="N10" s="480"/>
      <c r="O10" s="477">
        <f t="shared" si="7"/>
        <v>0</v>
      </c>
      <c r="P10" s="480"/>
      <c r="Q10" s="477">
        <f t="shared" si="8"/>
        <v>0</v>
      </c>
      <c r="R10" s="480">
        <v>1</v>
      </c>
      <c r="S10" s="477">
        <f t="shared" ca="1" si="9"/>
        <v>1897533.84</v>
      </c>
      <c r="T10" s="475">
        <f t="shared" ca="1" si="10"/>
        <v>1475880</v>
      </c>
      <c r="U10" s="480"/>
      <c r="V10" s="477">
        <f t="shared" si="11"/>
        <v>0</v>
      </c>
      <c r="W10" s="480"/>
      <c r="X10" s="477">
        <f t="shared" si="12"/>
        <v>0</v>
      </c>
      <c r="Y10" s="480"/>
      <c r="Z10" s="477">
        <f t="shared" si="13"/>
        <v>0</v>
      </c>
      <c r="AA10" s="480"/>
      <c r="AB10" s="477">
        <f t="shared" ca="1" si="14"/>
        <v>1475880</v>
      </c>
      <c r="AC10" s="475">
        <f t="shared" ca="1" si="15"/>
        <v>1475880</v>
      </c>
      <c r="AD10" s="480"/>
      <c r="AE10" s="477">
        <f t="shared" si="16"/>
        <v>0</v>
      </c>
      <c r="AF10" s="480"/>
      <c r="AG10" s="477">
        <f t="shared" si="17"/>
        <v>0</v>
      </c>
      <c r="AH10" s="480"/>
      <c r="AI10" s="477">
        <f t="shared" si="18"/>
        <v>0</v>
      </c>
      <c r="AJ10" s="480"/>
      <c r="AK10" s="477">
        <f t="shared" ca="1" si="19"/>
        <v>1475880</v>
      </c>
      <c r="AL10" s="475">
        <f t="shared" ca="1" si="20"/>
        <v>0</v>
      </c>
      <c r="AM10" s="480"/>
      <c r="AN10" s="477">
        <f t="shared" si="21"/>
        <v>0</v>
      </c>
      <c r="AO10" s="480"/>
      <c r="AP10" s="477">
        <f t="shared" si="22"/>
        <v>0</v>
      </c>
      <c r="AQ10" s="480"/>
      <c r="AR10" s="477">
        <f t="shared" si="23"/>
        <v>0</v>
      </c>
      <c r="AS10" s="480"/>
      <c r="AT10" s="477">
        <f t="shared" ca="1" si="24"/>
        <v>0</v>
      </c>
      <c r="AU10" s="475">
        <f t="shared" ca="1" si="25"/>
        <v>0</v>
      </c>
      <c r="AV10" s="480"/>
      <c r="AW10" s="477">
        <f t="shared" si="26"/>
        <v>0</v>
      </c>
      <c r="AX10" s="480"/>
      <c r="AY10" s="477">
        <f t="shared" si="27"/>
        <v>0</v>
      </c>
      <c r="AZ10" s="480"/>
      <c r="BA10" s="477">
        <f t="shared" si="28"/>
        <v>0</v>
      </c>
      <c r="BB10" s="480"/>
      <c r="BC10" s="850">
        <f t="shared" ca="1" si="29"/>
        <v>4849293.84</v>
      </c>
    </row>
    <row r="11" spans="1:58" ht="56">
      <c r="A11" s="837" t="str">
        <f t="shared" ca="1" si="0"/>
        <v/>
      </c>
      <c r="B11" s="440">
        <v>5</v>
      </c>
      <c r="C11" s="834" t="str">
        <f t="shared" ca="1" si="1"/>
        <v>1.</v>
      </c>
      <c r="D11" s="1757" t="str">
        <f ca="1">IFERROR(VLOOKUP(LEFT(E11,4),Nom_activ_2!D:G,4,0),"")</f>
        <v>1.1.  Depistarea activă a TB în grupurile cu risc și vigilență sporită pentru TB</v>
      </c>
      <c r="E11" s="1757" t="str">
        <f t="shared" ca="1" si="2"/>
        <v>1.1.4. Asigurarea examinării persoanelor din grupurile cu risc și vigilență sporită pentru TB în localități, utilizând instalațiile radiologice mobile cu introducerea inteligenței artificiale medicale</v>
      </c>
      <c r="F11" s="1777" t="str">
        <f t="shared" ca="1" si="3"/>
        <v>1.1.4.2. Cursuri de instruire pentru personalul implicat in implementarea tehnologiei inteligentei artificiale pentru asigurarea examinarii persoanelor din grupurile de risc si cu vigilenta sporita pentru TB in localitati.</v>
      </c>
      <c r="G11" s="839" t="str">
        <f t="shared" ca="1" si="3"/>
        <v>PAS</v>
      </c>
      <c r="H11" s="840" t="str">
        <f t="shared" ca="1" si="3"/>
        <v>GFATM</v>
      </c>
      <c r="I11" s="443" t="s">
        <v>2013</v>
      </c>
      <c r="J11" s="838" t="str">
        <f t="shared" si="4"/>
        <v>Exam_grup_risc!$A:$j</v>
      </c>
      <c r="K11" s="475">
        <f t="shared" ca="1" si="5"/>
        <v>101997.07</v>
      </c>
      <c r="L11" s="480"/>
      <c r="M11" s="477">
        <f t="shared" si="6"/>
        <v>0</v>
      </c>
      <c r="N11" s="480"/>
      <c r="O11" s="477">
        <f t="shared" si="7"/>
        <v>0</v>
      </c>
      <c r="P11" s="480"/>
      <c r="Q11" s="477">
        <f t="shared" si="8"/>
        <v>0</v>
      </c>
      <c r="R11" s="480">
        <v>1</v>
      </c>
      <c r="S11" s="477">
        <f t="shared" ca="1" si="9"/>
        <v>101997.07</v>
      </c>
      <c r="T11" s="475">
        <f t="shared" ca="1" si="10"/>
        <v>101997.07</v>
      </c>
      <c r="U11" s="480"/>
      <c r="V11" s="477">
        <f t="shared" si="11"/>
        <v>0</v>
      </c>
      <c r="W11" s="480"/>
      <c r="X11" s="477">
        <f t="shared" si="12"/>
        <v>0</v>
      </c>
      <c r="Y11" s="480"/>
      <c r="Z11" s="477">
        <f t="shared" si="13"/>
        <v>0</v>
      </c>
      <c r="AA11" s="480"/>
      <c r="AB11" s="477">
        <f t="shared" ca="1" si="14"/>
        <v>101997.07</v>
      </c>
      <c r="AC11" s="475">
        <f t="shared" ca="1" si="15"/>
        <v>0</v>
      </c>
      <c r="AD11" s="480"/>
      <c r="AE11" s="477">
        <f t="shared" si="16"/>
        <v>0</v>
      </c>
      <c r="AF11" s="480"/>
      <c r="AG11" s="477">
        <f t="shared" si="17"/>
        <v>0</v>
      </c>
      <c r="AH11" s="480"/>
      <c r="AI11" s="477">
        <f t="shared" si="18"/>
        <v>0</v>
      </c>
      <c r="AJ11" s="480"/>
      <c r="AK11" s="477">
        <f t="shared" ca="1" si="19"/>
        <v>0</v>
      </c>
      <c r="AL11" s="475">
        <f t="shared" ca="1" si="20"/>
        <v>0</v>
      </c>
      <c r="AM11" s="480"/>
      <c r="AN11" s="477">
        <f t="shared" si="21"/>
        <v>0</v>
      </c>
      <c r="AO11" s="480"/>
      <c r="AP11" s="477">
        <f t="shared" si="22"/>
        <v>0</v>
      </c>
      <c r="AQ11" s="480"/>
      <c r="AR11" s="477">
        <f t="shared" si="23"/>
        <v>0</v>
      </c>
      <c r="AS11" s="480"/>
      <c r="AT11" s="477">
        <f t="shared" ca="1" si="24"/>
        <v>0</v>
      </c>
      <c r="AU11" s="475">
        <f t="shared" ca="1" si="25"/>
        <v>0</v>
      </c>
      <c r="AV11" s="480"/>
      <c r="AW11" s="477">
        <f t="shared" si="26"/>
        <v>0</v>
      </c>
      <c r="AX11" s="480"/>
      <c r="AY11" s="477">
        <f t="shared" si="27"/>
        <v>0</v>
      </c>
      <c r="AZ11" s="480"/>
      <c r="BA11" s="477">
        <f t="shared" si="28"/>
        <v>0</v>
      </c>
      <c r="BB11" s="480"/>
      <c r="BC11" s="850">
        <f t="shared" ca="1" si="29"/>
        <v>203994.14</v>
      </c>
    </row>
    <row r="12" spans="1:58" ht="56">
      <c r="A12" s="837" t="str">
        <f t="shared" ca="1" si="0"/>
        <v/>
      </c>
      <c r="B12" s="440">
        <v>6</v>
      </c>
      <c r="C12" s="834" t="str">
        <f t="shared" ca="1" si="1"/>
        <v>1.</v>
      </c>
      <c r="D12" s="1757" t="str">
        <f ca="1">IFERROR(VLOOKUP(LEFT(E12,4),Nom_activ_2!D:G,4,0),"")</f>
        <v>1.1.  Depistarea activă a TB în grupurile cu risc și vigilență sporită pentru TB</v>
      </c>
      <c r="E12" s="1757" t="str">
        <f t="shared" ca="1" si="2"/>
        <v>1.1.4. Asigurarea examinării persoanelor din grupurile cu risc și vigilență sporită pentru TB în localități, utilizând instalațiile radiologice mobile cu introducerea inteligenței artificiale medicale</v>
      </c>
      <c r="F12" s="1777" t="str">
        <f t="shared" ca="1" si="3"/>
        <v>1.1.4.3. Ajustarea SOP_urilor internationale si elaborarea SOPurilor nationale pentru implementarea Inteligentei Artificiale in tară.</v>
      </c>
      <c r="G12" s="839" t="str">
        <f t="shared" ca="1" si="3"/>
        <v>PAS</v>
      </c>
      <c r="H12" s="840" t="str">
        <f t="shared" ca="1" si="3"/>
        <v>GFATM</v>
      </c>
      <c r="I12" s="443" t="s">
        <v>2013</v>
      </c>
      <c r="J12" s="838" t="str">
        <f t="shared" si="4"/>
        <v>Exam_grup_risc!$A:$j</v>
      </c>
      <c r="K12" s="475">
        <f t="shared" ca="1" si="5"/>
        <v>40000</v>
      </c>
      <c r="L12" s="480"/>
      <c r="M12" s="477">
        <f t="shared" si="6"/>
        <v>0</v>
      </c>
      <c r="N12" s="480"/>
      <c r="O12" s="477">
        <f t="shared" si="7"/>
        <v>0</v>
      </c>
      <c r="P12" s="480"/>
      <c r="Q12" s="477">
        <f t="shared" si="8"/>
        <v>0</v>
      </c>
      <c r="R12" s="480">
        <v>1</v>
      </c>
      <c r="S12" s="477">
        <f t="shared" ca="1" si="9"/>
        <v>40000</v>
      </c>
      <c r="T12" s="475">
        <f t="shared" ca="1" si="10"/>
        <v>0</v>
      </c>
      <c r="U12" s="480"/>
      <c r="V12" s="477">
        <f t="shared" si="11"/>
        <v>0</v>
      </c>
      <c r="W12" s="480"/>
      <c r="X12" s="477">
        <f t="shared" si="12"/>
        <v>0</v>
      </c>
      <c r="Y12" s="480"/>
      <c r="Z12" s="477">
        <f t="shared" si="13"/>
        <v>0</v>
      </c>
      <c r="AA12" s="480"/>
      <c r="AB12" s="477">
        <f t="shared" ca="1" si="14"/>
        <v>0</v>
      </c>
      <c r="AC12" s="475">
        <f t="shared" ca="1" si="15"/>
        <v>0</v>
      </c>
      <c r="AD12" s="480"/>
      <c r="AE12" s="477">
        <f t="shared" si="16"/>
        <v>0</v>
      </c>
      <c r="AF12" s="480"/>
      <c r="AG12" s="477">
        <f t="shared" si="17"/>
        <v>0</v>
      </c>
      <c r="AH12" s="480"/>
      <c r="AI12" s="477">
        <f t="shared" si="18"/>
        <v>0</v>
      </c>
      <c r="AJ12" s="480"/>
      <c r="AK12" s="477">
        <f t="shared" ca="1" si="19"/>
        <v>0</v>
      </c>
      <c r="AL12" s="475">
        <f t="shared" ca="1" si="20"/>
        <v>0</v>
      </c>
      <c r="AM12" s="480"/>
      <c r="AN12" s="477">
        <f t="shared" si="21"/>
        <v>0</v>
      </c>
      <c r="AO12" s="480"/>
      <c r="AP12" s="477">
        <f t="shared" si="22"/>
        <v>0</v>
      </c>
      <c r="AQ12" s="480"/>
      <c r="AR12" s="477">
        <f t="shared" si="23"/>
        <v>0</v>
      </c>
      <c r="AS12" s="480"/>
      <c r="AT12" s="477">
        <f t="shared" ca="1" si="24"/>
        <v>0</v>
      </c>
      <c r="AU12" s="475">
        <f t="shared" ca="1" si="25"/>
        <v>0</v>
      </c>
      <c r="AV12" s="480"/>
      <c r="AW12" s="477">
        <f t="shared" si="26"/>
        <v>0</v>
      </c>
      <c r="AX12" s="480"/>
      <c r="AY12" s="477">
        <f t="shared" si="27"/>
        <v>0</v>
      </c>
      <c r="AZ12" s="480"/>
      <c r="BA12" s="477">
        <f t="shared" si="28"/>
        <v>0</v>
      </c>
      <c r="BB12" s="480"/>
      <c r="BC12" s="850">
        <f t="shared" ca="1" si="29"/>
        <v>40000</v>
      </c>
    </row>
    <row r="13" spans="1:58" ht="56">
      <c r="A13" s="837" t="str">
        <f t="shared" ca="1" si="0"/>
        <v/>
      </c>
      <c r="B13" s="440">
        <v>7</v>
      </c>
      <c r="C13" s="834" t="str">
        <f t="shared" ca="1" si="1"/>
        <v>1.</v>
      </c>
      <c r="D13" s="1757" t="str">
        <f ca="1">IFERROR(VLOOKUP(LEFT(E13,4),Nom_activ_2!D:G,4,0),"")</f>
        <v>1.1.  Depistarea activă a TB în grupurile cu risc și vigilență sporită pentru TB</v>
      </c>
      <c r="E13" s="1757" t="str">
        <f t="shared" ca="1" si="2"/>
        <v>1.1.4. Asigurarea examinării persoanelor din grupurile cu risc și vigilență sporită pentru TB în localități, utilizând instalațiile radiologice mobile cu introducerea inteligenței artificiale medicale</v>
      </c>
      <c r="F13" s="1777" t="str">
        <f t="shared" ca="1" si="3"/>
        <v>1.1.4.4. Examinarea persoanelor din grupurile cu risc și vigilență sporită pentru TB în localități, utilizând instalațiile radiologice mobile cu introducerea inteligenței artificiale medicale</v>
      </c>
      <c r="G13" s="839">
        <f t="shared" ca="1" si="3"/>
        <v>0</v>
      </c>
      <c r="H13" s="840" t="str">
        <f t="shared" ca="1" si="3"/>
        <v>CNAM</v>
      </c>
      <c r="I13" s="443" t="s">
        <v>2013</v>
      </c>
      <c r="J13" s="838" t="str">
        <f t="shared" si="4"/>
        <v>Exam_grup_risc!$A:$j</v>
      </c>
      <c r="K13" s="475">
        <f t="shared" ca="1" si="5"/>
        <v>3267847.2000000007</v>
      </c>
      <c r="L13" s="480"/>
      <c r="M13" s="477">
        <f t="shared" si="6"/>
        <v>0</v>
      </c>
      <c r="N13" s="480"/>
      <c r="O13" s="477">
        <f t="shared" si="7"/>
        <v>0</v>
      </c>
      <c r="P13" s="480"/>
      <c r="Q13" s="477">
        <f t="shared" si="8"/>
        <v>0</v>
      </c>
      <c r="R13" s="480">
        <v>1</v>
      </c>
      <c r="S13" s="477">
        <f t="shared" ca="1" si="9"/>
        <v>3267847.2000000007</v>
      </c>
      <c r="T13" s="475">
        <f t="shared" ca="1" si="10"/>
        <v>3267847.2000000007</v>
      </c>
      <c r="U13" s="480"/>
      <c r="V13" s="477">
        <f t="shared" si="11"/>
        <v>0</v>
      </c>
      <c r="W13" s="480"/>
      <c r="X13" s="477">
        <f t="shared" si="12"/>
        <v>0</v>
      </c>
      <c r="Y13" s="480"/>
      <c r="Z13" s="477">
        <f t="shared" si="13"/>
        <v>0</v>
      </c>
      <c r="AA13" s="480"/>
      <c r="AB13" s="477">
        <f t="shared" ca="1" si="14"/>
        <v>3267847.2000000007</v>
      </c>
      <c r="AC13" s="475">
        <f t="shared" ca="1" si="15"/>
        <v>3267847.2000000007</v>
      </c>
      <c r="AD13" s="480"/>
      <c r="AE13" s="477">
        <f t="shared" si="16"/>
        <v>0</v>
      </c>
      <c r="AF13" s="480"/>
      <c r="AG13" s="477">
        <f t="shared" si="17"/>
        <v>0</v>
      </c>
      <c r="AH13" s="480"/>
      <c r="AI13" s="477">
        <f t="shared" si="18"/>
        <v>0</v>
      </c>
      <c r="AJ13" s="480"/>
      <c r="AK13" s="477">
        <f t="shared" ca="1" si="19"/>
        <v>3267847.2000000007</v>
      </c>
      <c r="AL13" s="475">
        <f t="shared" ca="1" si="20"/>
        <v>3267847.2000000007</v>
      </c>
      <c r="AM13" s="480"/>
      <c r="AN13" s="477">
        <f t="shared" si="21"/>
        <v>0</v>
      </c>
      <c r="AO13" s="480"/>
      <c r="AP13" s="477">
        <f t="shared" si="22"/>
        <v>0</v>
      </c>
      <c r="AQ13" s="480"/>
      <c r="AR13" s="477">
        <f t="shared" si="23"/>
        <v>0</v>
      </c>
      <c r="AS13" s="480"/>
      <c r="AT13" s="477">
        <f t="shared" ca="1" si="24"/>
        <v>3267847.2000000007</v>
      </c>
      <c r="AU13" s="475">
        <f t="shared" ca="1" si="25"/>
        <v>3267847.2000000007</v>
      </c>
      <c r="AV13" s="480"/>
      <c r="AW13" s="477">
        <f t="shared" si="26"/>
        <v>0</v>
      </c>
      <c r="AX13" s="480"/>
      <c r="AY13" s="477">
        <f t="shared" si="27"/>
        <v>0</v>
      </c>
      <c r="AZ13" s="480"/>
      <c r="BA13" s="477">
        <f t="shared" si="28"/>
        <v>0</v>
      </c>
      <c r="BB13" s="480"/>
      <c r="BC13" s="850">
        <f t="shared" ca="1" si="29"/>
        <v>16339236.000000004</v>
      </c>
    </row>
    <row r="14" spans="1:58" ht="56">
      <c r="A14" s="837" t="str">
        <f t="shared" ca="1" si="0"/>
        <v/>
      </c>
      <c r="B14" s="440">
        <v>8</v>
      </c>
      <c r="C14" s="834" t="str">
        <f t="shared" ca="1" si="1"/>
        <v>1.</v>
      </c>
      <c r="D14" s="1757" t="str">
        <f ca="1">IFERROR(VLOOKUP(LEFT(E14,4),Nom_activ_2!D:G,4,0),"")</f>
        <v>1.1.  Depistarea activă a TB în grupurile cu risc și vigilență sporită pentru TB</v>
      </c>
      <c r="E14" s="1757" t="str">
        <f t="shared" ca="1" si="2"/>
        <v>1.1.4. Asigurarea examinării persoanelor din grupurile cu risc și vigilență sporită pentru TB în localități, utilizând instalațiile radiologice mobile cu introducerea inteligenței artificiale medicale</v>
      </c>
      <c r="F14" s="1777" t="str">
        <f t="shared" ca="1" si="3"/>
        <v xml:space="preserve">1.1.4.5.Asigurarea examinării persoanelor din populațiile-cheie - PTHIV, PAFA, consumatori de droguri și alte grupuri vulnerabile, cu acces redus la AMP, cu suportul OSC
</v>
      </c>
      <c r="G14" s="839">
        <f t="shared" ca="1" si="3"/>
        <v>0</v>
      </c>
      <c r="H14" s="840" t="str">
        <f t="shared" ca="1" si="3"/>
        <v>CNAM</v>
      </c>
      <c r="I14" s="443" t="s">
        <v>3628</v>
      </c>
      <c r="J14" s="838" t="str">
        <f t="shared" si="4"/>
        <v>ONG_TB!$A:$j</v>
      </c>
      <c r="K14" s="475">
        <f t="shared" ca="1" si="5"/>
        <v>1176883.2000000002</v>
      </c>
      <c r="L14" s="480"/>
      <c r="M14" s="477">
        <f t="shared" si="6"/>
        <v>0</v>
      </c>
      <c r="N14" s="480"/>
      <c r="O14" s="477">
        <f t="shared" si="7"/>
        <v>0</v>
      </c>
      <c r="P14" s="480"/>
      <c r="Q14" s="477">
        <f t="shared" si="8"/>
        <v>0</v>
      </c>
      <c r="R14" s="480">
        <v>1</v>
      </c>
      <c r="S14" s="477">
        <f t="shared" ca="1" si="9"/>
        <v>1176883.2000000002</v>
      </c>
      <c r="T14" s="475">
        <f t="shared" ca="1" si="10"/>
        <v>1292119.6800000002</v>
      </c>
      <c r="U14" s="480"/>
      <c r="V14" s="477">
        <f t="shared" si="11"/>
        <v>0</v>
      </c>
      <c r="W14" s="480"/>
      <c r="X14" s="477">
        <f t="shared" si="12"/>
        <v>0</v>
      </c>
      <c r="Y14" s="480"/>
      <c r="Z14" s="477">
        <f t="shared" si="13"/>
        <v>0</v>
      </c>
      <c r="AA14" s="480"/>
      <c r="AB14" s="477">
        <f t="shared" ca="1" si="14"/>
        <v>1292119.6800000002</v>
      </c>
      <c r="AC14" s="475">
        <f t="shared" ca="1" si="15"/>
        <v>1396322.8800000001</v>
      </c>
      <c r="AD14" s="480"/>
      <c r="AE14" s="477">
        <f t="shared" si="16"/>
        <v>0</v>
      </c>
      <c r="AF14" s="480"/>
      <c r="AG14" s="477">
        <f t="shared" si="17"/>
        <v>0</v>
      </c>
      <c r="AH14" s="480"/>
      <c r="AI14" s="477">
        <f t="shared" si="18"/>
        <v>0</v>
      </c>
      <c r="AJ14" s="480"/>
      <c r="AK14" s="477">
        <f t="shared" ca="1" si="19"/>
        <v>1396322.8800000001</v>
      </c>
      <c r="AL14" s="475">
        <f t="shared" ca="1" si="20"/>
        <v>8213664.0000000009</v>
      </c>
      <c r="AM14" s="480"/>
      <c r="AN14" s="477">
        <f t="shared" si="21"/>
        <v>0</v>
      </c>
      <c r="AO14" s="480"/>
      <c r="AP14" s="477">
        <f t="shared" si="22"/>
        <v>0</v>
      </c>
      <c r="AQ14" s="480"/>
      <c r="AR14" s="477">
        <f t="shared" si="23"/>
        <v>0</v>
      </c>
      <c r="AS14" s="480"/>
      <c r="AT14" s="477">
        <f t="shared" ca="1" si="24"/>
        <v>8213664.0000000009</v>
      </c>
      <c r="AU14" s="475">
        <f t="shared" ca="1" si="25"/>
        <v>8213664.0000000009</v>
      </c>
      <c r="AV14" s="480"/>
      <c r="AW14" s="477">
        <f t="shared" si="26"/>
        <v>0</v>
      </c>
      <c r="AX14" s="480"/>
      <c r="AY14" s="477">
        <f t="shared" si="27"/>
        <v>0</v>
      </c>
      <c r="AZ14" s="480"/>
      <c r="BA14" s="477">
        <f t="shared" si="28"/>
        <v>0</v>
      </c>
      <c r="BB14" s="480"/>
      <c r="BC14" s="850">
        <f t="shared" ca="1" si="29"/>
        <v>20292653.760000002</v>
      </c>
    </row>
    <row r="15" spans="1:58" ht="56">
      <c r="A15" s="837" t="str">
        <f t="shared" ca="1" si="0"/>
        <v/>
      </c>
      <c r="B15" s="440">
        <v>9</v>
      </c>
      <c r="C15" s="834" t="str">
        <f t="shared" ca="1" si="1"/>
        <v>1.</v>
      </c>
      <c r="D15" s="1757" t="str">
        <f ca="1">IFERROR(VLOOKUP(LEFT(E15,4),Nom_activ_2!D:G,4,0),"")</f>
        <v>1.1.  Depistarea activă a TB în grupurile cu risc și vigilență sporită pentru TB</v>
      </c>
      <c r="E15" s="1757" t="str">
        <f t="shared" ca="1" si="2"/>
        <v>1.1.4. Asigurarea examinării persoanelor din grupurile cu risc și vigilență sporită pentru TB în localități, utilizând instalațiile radiologice mobile cu introducerea inteligenței artificiale medicale</v>
      </c>
      <c r="F15" s="1777" t="str">
        <f t="shared" ca="1" si="3"/>
        <v xml:space="preserve">1.1.4.5.Asigurarea examinării persoanelor din populațiile-cheie - PTHIV, PAFA, consumatori de droguri și alte grupuri vulnerabile, cu acces redus la AMP, cu suportul OSC (Malul Drept)
</v>
      </c>
      <c r="G15" s="839" t="str">
        <f t="shared" ca="1" si="3"/>
        <v>(NGO)</v>
      </c>
      <c r="H15" s="840" t="str">
        <f t="shared" ca="1" si="3"/>
        <v>GFATM</v>
      </c>
      <c r="I15" s="443" t="s">
        <v>3628</v>
      </c>
      <c r="J15" s="838" t="str">
        <f t="shared" si="4"/>
        <v>ONG_TB!$A:$j</v>
      </c>
      <c r="K15" s="475">
        <f t="shared" ca="1" si="5"/>
        <v>2746060.8000000003</v>
      </c>
      <c r="L15" s="480">
        <v>0.5</v>
      </c>
      <c r="M15" s="477">
        <f t="shared" ca="1" si="6"/>
        <v>1373030.4000000001</v>
      </c>
      <c r="N15" s="480"/>
      <c r="O15" s="477">
        <f t="shared" si="7"/>
        <v>0</v>
      </c>
      <c r="P15" s="480">
        <v>0.5</v>
      </c>
      <c r="Q15" s="477">
        <f t="shared" si="8"/>
        <v>0</v>
      </c>
      <c r="R15" s="480">
        <v>0</v>
      </c>
      <c r="S15" s="477">
        <f t="shared" ca="1" si="9"/>
        <v>1373030.4000000001</v>
      </c>
      <c r="T15" s="475">
        <f t="shared" ca="1" si="10"/>
        <v>6308584.3200000003</v>
      </c>
      <c r="U15" s="480"/>
      <c r="V15" s="477">
        <f t="shared" si="11"/>
        <v>0</v>
      </c>
      <c r="W15" s="480"/>
      <c r="X15" s="477">
        <f t="shared" si="12"/>
        <v>0</v>
      </c>
      <c r="Y15" s="480"/>
      <c r="Z15" s="477">
        <f t="shared" si="13"/>
        <v>0</v>
      </c>
      <c r="AA15" s="480"/>
      <c r="AB15" s="477">
        <f t="shared" ca="1" si="14"/>
        <v>6308584.3200000003</v>
      </c>
      <c r="AC15" s="475">
        <f t="shared" ca="1" si="15"/>
        <v>6817341.1200000001</v>
      </c>
      <c r="AD15" s="480"/>
      <c r="AE15" s="477">
        <f t="shared" si="16"/>
        <v>0</v>
      </c>
      <c r="AF15" s="480"/>
      <c r="AG15" s="477">
        <f t="shared" si="17"/>
        <v>0</v>
      </c>
      <c r="AH15" s="480"/>
      <c r="AI15" s="477">
        <f t="shared" si="18"/>
        <v>0</v>
      </c>
      <c r="AJ15" s="480"/>
      <c r="AK15" s="477">
        <f t="shared" ca="1" si="19"/>
        <v>6817341.1200000001</v>
      </c>
      <c r="AL15" s="475">
        <f t="shared" ca="1" si="20"/>
        <v>0</v>
      </c>
      <c r="AM15" s="480"/>
      <c r="AN15" s="477">
        <f t="shared" si="21"/>
        <v>0</v>
      </c>
      <c r="AO15" s="480"/>
      <c r="AP15" s="477">
        <f t="shared" si="22"/>
        <v>0</v>
      </c>
      <c r="AQ15" s="480"/>
      <c r="AR15" s="477">
        <f t="shared" si="23"/>
        <v>0</v>
      </c>
      <c r="AS15" s="480"/>
      <c r="AT15" s="477">
        <f t="shared" ca="1" si="24"/>
        <v>0</v>
      </c>
      <c r="AU15" s="475">
        <f t="shared" ca="1" si="25"/>
        <v>0</v>
      </c>
      <c r="AV15" s="480"/>
      <c r="AW15" s="477">
        <f t="shared" si="26"/>
        <v>0</v>
      </c>
      <c r="AX15" s="480"/>
      <c r="AY15" s="477">
        <f t="shared" si="27"/>
        <v>0</v>
      </c>
      <c r="AZ15" s="480"/>
      <c r="BA15" s="477">
        <f t="shared" si="28"/>
        <v>0</v>
      </c>
      <c r="BB15" s="480"/>
      <c r="BC15" s="850">
        <f t="shared" ca="1" si="29"/>
        <v>15871986.240000002</v>
      </c>
    </row>
    <row r="16" spans="1:58" ht="28">
      <c r="A16" s="837" t="str">
        <f t="shared" ca="1" si="0"/>
        <v/>
      </c>
      <c r="B16" s="440">
        <v>10</v>
      </c>
      <c r="C16" s="834" t="str">
        <f t="shared" ca="1" si="1"/>
        <v>3.</v>
      </c>
      <c r="D16" s="1757" t="str">
        <f ca="1">IFERROR(VLOOKUP(LEFT(E16,4),Nom_activ_2!D:G,4,0),"")</f>
        <v>3.1.  Asigurarea continuă cu medicamente TB</v>
      </c>
      <c r="E16" s="1757" t="str">
        <f t="shared" ca="1" si="2"/>
        <v>3.1.3. Asigurarea continuă cu medicamente, forme pediatrice TB</v>
      </c>
      <c r="F16" s="1777" t="str">
        <f t="shared" ca="1" si="3"/>
        <v>Tratament linia I_MD_forme pediatrice</v>
      </c>
      <c r="G16" s="839">
        <f t="shared" ca="1" si="3"/>
        <v>0</v>
      </c>
      <c r="H16" s="840" t="str">
        <f t="shared" ca="1" si="3"/>
        <v>MMPSF</v>
      </c>
      <c r="I16" s="443" t="s">
        <v>422</v>
      </c>
      <c r="J16" s="838" t="str">
        <f t="shared" si="4"/>
        <v>Tratament_FLD_SLD!$A:$j</v>
      </c>
      <c r="K16" s="475">
        <f t="shared" ca="1" si="5"/>
        <v>72640.800000000003</v>
      </c>
      <c r="L16" s="480"/>
      <c r="M16" s="477">
        <f t="shared" si="6"/>
        <v>0</v>
      </c>
      <c r="N16" s="480"/>
      <c r="O16" s="477">
        <f t="shared" si="7"/>
        <v>0</v>
      </c>
      <c r="P16" s="480"/>
      <c r="Q16" s="477">
        <f t="shared" si="8"/>
        <v>0</v>
      </c>
      <c r="R16" s="480">
        <v>1</v>
      </c>
      <c r="S16" s="477">
        <f t="shared" ca="1" si="9"/>
        <v>72640.800000000003</v>
      </c>
      <c r="T16" s="475">
        <f t="shared" ca="1" si="10"/>
        <v>70178.399999999994</v>
      </c>
      <c r="U16" s="480"/>
      <c r="V16" s="477">
        <f t="shared" si="11"/>
        <v>0</v>
      </c>
      <c r="W16" s="480"/>
      <c r="X16" s="477">
        <f t="shared" si="12"/>
        <v>0</v>
      </c>
      <c r="Y16" s="480"/>
      <c r="Z16" s="477">
        <f t="shared" si="13"/>
        <v>0</v>
      </c>
      <c r="AA16" s="480"/>
      <c r="AB16" s="477">
        <f t="shared" ca="1" si="14"/>
        <v>70178.399999999994</v>
      </c>
      <c r="AC16" s="475">
        <f t="shared" ca="1" si="15"/>
        <v>67716</v>
      </c>
      <c r="AD16" s="480"/>
      <c r="AE16" s="477">
        <f t="shared" si="16"/>
        <v>0</v>
      </c>
      <c r="AF16" s="480"/>
      <c r="AG16" s="477">
        <f t="shared" si="17"/>
        <v>0</v>
      </c>
      <c r="AH16" s="480"/>
      <c r="AI16" s="477">
        <f t="shared" si="18"/>
        <v>0</v>
      </c>
      <c r="AJ16" s="480"/>
      <c r="AK16" s="477">
        <f t="shared" ca="1" si="19"/>
        <v>67716</v>
      </c>
      <c r="AL16" s="475">
        <f t="shared" ca="1" si="20"/>
        <v>66484.800000000003</v>
      </c>
      <c r="AM16" s="480"/>
      <c r="AN16" s="477">
        <f t="shared" si="21"/>
        <v>0</v>
      </c>
      <c r="AO16" s="480"/>
      <c r="AP16" s="477">
        <f t="shared" si="22"/>
        <v>0</v>
      </c>
      <c r="AQ16" s="480"/>
      <c r="AR16" s="477">
        <f t="shared" si="23"/>
        <v>0</v>
      </c>
      <c r="AS16" s="480"/>
      <c r="AT16" s="477">
        <f t="shared" ca="1" si="24"/>
        <v>66484.800000000003</v>
      </c>
      <c r="AU16" s="475">
        <f t="shared" ca="1" si="25"/>
        <v>64022.400000000001</v>
      </c>
      <c r="AV16" s="480"/>
      <c r="AW16" s="477">
        <f t="shared" si="26"/>
        <v>0</v>
      </c>
      <c r="AX16" s="480"/>
      <c r="AY16" s="477">
        <f t="shared" si="27"/>
        <v>0</v>
      </c>
      <c r="AZ16" s="480"/>
      <c r="BA16" s="477">
        <f t="shared" si="28"/>
        <v>0</v>
      </c>
      <c r="BB16" s="480"/>
      <c r="BC16" s="850">
        <f t="shared" ca="1" si="29"/>
        <v>341042.4</v>
      </c>
    </row>
    <row r="17" spans="1:55" ht="28">
      <c r="A17" s="837" t="str">
        <f t="shared" ca="1" si="0"/>
        <v/>
      </c>
      <c r="B17" s="440">
        <v>11</v>
      </c>
      <c r="C17" s="834" t="str">
        <f t="shared" ca="1" si="1"/>
        <v>4.</v>
      </c>
      <c r="D17" s="1757" t="str">
        <f ca="1">IFERROR(VLOOKUP(LEFT(E17,4),Nom_activ_2!D:G,4,0),"")</f>
        <v>4.1.  Consolidarea capacităților pentru realizarea unui control eficient al co-infecţiei TB/HIV</v>
      </c>
      <c r="E17" s="1757" t="str">
        <f t="shared" ca="1" si="2"/>
        <v>4.1.6. Asigurarea tratamentului preventiv cu co-trimoxazol la pacienții cu TB/HIV</v>
      </c>
      <c r="F17" s="1777" t="str">
        <f t="shared" ca="1" si="3"/>
        <v>Co_trim_ linia I_Malul Drept_civil</v>
      </c>
      <c r="G17" s="839">
        <f t="shared" ca="1" si="3"/>
        <v>0</v>
      </c>
      <c r="H17" s="840" t="str">
        <f t="shared" ca="1" si="3"/>
        <v>MMPSF</v>
      </c>
      <c r="I17" s="443" t="s">
        <v>422</v>
      </c>
      <c r="J17" s="838" t="str">
        <f t="shared" si="4"/>
        <v>Tratament_FLD_SLD!$A:$j</v>
      </c>
      <c r="K17" s="475">
        <f t="shared" ca="1" si="5"/>
        <v>19980</v>
      </c>
      <c r="L17" s="480">
        <v>0.5</v>
      </c>
      <c r="M17" s="477">
        <f t="shared" ca="1" si="6"/>
        <v>9990</v>
      </c>
      <c r="N17" s="480"/>
      <c r="O17" s="477">
        <f t="shared" si="7"/>
        <v>0</v>
      </c>
      <c r="P17" s="480">
        <v>0.5</v>
      </c>
      <c r="Q17" s="477">
        <f t="shared" si="8"/>
        <v>0</v>
      </c>
      <c r="R17" s="480"/>
      <c r="S17" s="477">
        <f t="shared" ca="1" si="9"/>
        <v>9990</v>
      </c>
      <c r="T17" s="475">
        <f t="shared" ca="1" si="10"/>
        <v>19440</v>
      </c>
      <c r="U17" s="480"/>
      <c r="V17" s="477">
        <f t="shared" si="11"/>
        <v>0</v>
      </c>
      <c r="W17" s="480"/>
      <c r="X17" s="477">
        <f t="shared" si="12"/>
        <v>0</v>
      </c>
      <c r="Y17" s="480"/>
      <c r="Z17" s="477">
        <f t="shared" si="13"/>
        <v>0</v>
      </c>
      <c r="AA17" s="480"/>
      <c r="AB17" s="477">
        <f t="shared" ca="1" si="14"/>
        <v>19440</v>
      </c>
      <c r="AC17" s="475">
        <f t="shared" ca="1" si="15"/>
        <v>18900</v>
      </c>
      <c r="AD17" s="480"/>
      <c r="AE17" s="477">
        <f t="shared" si="16"/>
        <v>0</v>
      </c>
      <c r="AF17" s="480"/>
      <c r="AG17" s="477">
        <f t="shared" si="17"/>
        <v>0</v>
      </c>
      <c r="AH17" s="480"/>
      <c r="AI17" s="477">
        <f t="shared" si="18"/>
        <v>0</v>
      </c>
      <c r="AJ17" s="480"/>
      <c r="AK17" s="477">
        <f t="shared" ca="1" si="19"/>
        <v>18900</v>
      </c>
      <c r="AL17" s="475">
        <f t="shared" ca="1" si="20"/>
        <v>18360</v>
      </c>
      <c r="AM17" s="480"/>
      <c r="AN17" s="477">
        <f t="shared" si="21"/>
        <v>0</v>
      </c>
      <c r="AO17" s="480"/>
      <c r="AP17" s="477">
        <f t="shared" si="22"/>
        <v>0</v>
      </c>
      <c r="AQ17" s="480"/>
      <c r="AR17" s="477">
        <f t="shared" si="23"/>
        <v>0</v>
      </c>
      <c r="AS17" s="480"/>
      <c r="AT17" s="477">
        <f t="shared" ca="1" si="24"/>
        <v>18360</v>
      </c>
      <c r="AU17" s="475">
        <f t="shared" ca="1" si="25"/>
        <v>17820</v>
      </c>
      <c r="AV17" s="480"/>
      <c r="AW17" s="477">
        <f t="shared" si="26"/>
        <v>0</v>
      </c>
      <c r="AX17" s="480"/>
      <c r="AY17" s="477">
        <f t="shared" si="27"/>
        <v>0</v>
      </c>
      <c r="AZ17" s="480"/>
      <c r="BA17" s="477">
        <f t="shared" si="28"/>
        <v>0</v>
      </c>
      <c r="BB17" s="480"/>
      <c r="BC17" s="850">
        <f t="shared" ca="1" si="29"/>
        <v>94500</v>
      </c>
    </row>
    <row r="18" spans="1:55" ht="28">
      <c r="A18" s="837" t="str">
        <f t="shared" ca="1" si="0"/>
        <v/>
      </c>
      <c r="B18" s="440">
        <v>12</v>
      </c>
      <c r="C18" s="834" t="str">
        <f t="shared" ca="1" si="1"/>
        <v>3.</v>
      </c>
      <c r="D18" s="1757" t="str">
        <f ca="1">IFERROR(VLOOKUP(LEFT(E18,4),Nom_activ_2!D:G,4,0),"")</f>
        <v>3.1.  Asigurarea continuă cu medicamente TB</v>
      </c>
      <c r="E18" s="1757" t="str">
        <f t="shared" ca="1" si="2"/>
        <v xml:space="preserve">3.1.1. Asigurarea continuă cu medicamente pentru tratamentul TB sensibile </v>
      </c>
      <c r="F18" s="1777" t="str">
        <f t="shared" ca="1" si="3"/>
        <v>Tratament linia I_Malul Drept_civil_adulti</v>
      </c>
      <c r="G18" s="839">
        <f t="shared" ca="1" si="3"/>
        <v>0</v>
      </c>
      <c r="H18" s="840" t="str">
        <f t="shared" ca="1" si="3"/>
        <v>MMPSF</v>
      </c>
      <c r="I18" s="443" t="s">
        <v>422</v>
      </c>
      <c r="J18" s="838" t="str">
        <f t="shared" si="4"/>
        <v>Tratament_FLD_SLD!$A:$j</v>
      </c>
      <c r="K18" s="475">
        <f t="shared" ca="1" si="5"/>
        <v>1576980</v>
      </c>
      <c r="L18" s="480"/>
      <c r="M18" s="477">
        <f t="shared" si="6"/>
        <v>0</v>
      </c>
      <c r="N18" s="480"/>
      <c r="O18" s="477">
        <f t="shared" si="7"/>
        <v>0</v>
      </c>
      <c r="P18" s="480"/>
      <c r="Q18" s="477">
        <f t="shared" si="8"/>
        <v>0</v>
      </c>
      <c r="R18" s="480">
        <v>1</v>
      </c>
      <c r="S18" s="477">
        <f t="shared" ca="1" si="9"/>
        <v>1576980</v>
      </c>
      <c r="T18" s="475">
        <f t="shared" ca="1" si="10"/>
        <v>1528653.6</v>
      </c>
      <c r="U18" s="480"/>
      <c r="V18" s="477">
        <f t="shared" si="11"/>
        <v>0</v>
      </c>
      <c r="W18" s="480"/>
      <c r="X18" s="477">
        <f t="shared" si="12"/>
        <v>0</v>
      </c>
      <c r="Y18" s="480"/>
      <c r="Z18" s="477">
        <f t="shared" si="13"/>
        <v>0</v>
      </c>
      <c r="AA18" s="480"/>
      <c r="AB18" s="477">
        <f t="shared" ca="1" si="14"/>
        <v>1528653.6</v>
      </c>
      <c r="AC18" s="475">
        <f t="shared" ca="1" si="15"/>
        <v>1482609.6</v>
      </c>
      <c r="AD18" s="480"/>
      <c r="AE18" s="477">
        <f t="shared" si="16"/>
        <v>0</v>
      </c>
      <c r="AF18" s="480"/>
      <c r="AG18" s="477">
        <f t="shared" si="17"/>
        <v>0</v>
      </c>
      <c r="AH18" s="480"/>
      <c r="AI18" s="477">
        <f t="shared" si="18"/>
        <v>0</v>
      </c>
      <c r="AJ18" s="480"/>
      <c r="AK18" s="477">
        <f t="shared" ca="1" si="19"/>
        <v>1482609.6</v>
      </c>
      <c r="AL18" s="475">
        <f t="shared" ca="1" si="20"/>
        <v>1439080.8</v>
      </c>
      <c r="AM18" s="480"/>
      <c r="AN18" s="477">
        <f t="shared" si="21"/>
        <v>0</v>
      </c>
      <c r="AO18" s="480"/>
      <c r="AP18" s="477">
        <f t="shared" si="22"/>
        <v>0</v>
      </c>
      <c r="AQ18" s="480"/>
      <c r="AR18" s="477">
        <f t="shared" si="23"/>
        <v>0</v>
      </c>
      <c r="AS18" s="480"/>
      <c r="AT18" s="477">
        <f t="shared" ca="1" si="24"/>
        <v>1439080.8</v>
      </c>
      <c r="AU18" s="475">
        <f t="shared" ca="1" si="25"/>
        <v>1398840</v>
      </c>
      <c r="AV18" s="480"/>
      <c r="AW18" s="477">
        <f t="shared" si="26"/>
        <v>0</v>
      </c>
      <c r="AX18" s="480"/>
      <c r="AY18" s="477">
        <f t="shared" si="27"/>
        <v>0</v>
      </c>
      <c r="AZ18" s="480"/>
      <c r="BA18" s="477">
        <f t="shared" si="28"/>
        <v>0</v>
      </c>
      <c r="BB18" s="480"/>
      <c r="BC18" s="850">
        <f t="shared" ca="1" si="29"/>
        <v>7426164</v>
      </c>
    </row>
    <row r="19" spans="1:55" ht="28">
      <c r="A19" s="837" t="str">
        <f t="shared" ca="1" si="0"/>
        <v/>
      </c>
      <c r="B19" s="440">
        <v>13</v>
      </c>
      <c r="C19" s="834" t="str">
        <f t="shared" ca="1" si="1"/>
        <v>4.</v>
      </c>
      <c r="D19" s="1757" t="str">
        <f ca="1">IFERROR(VLOOKUP(LEFT(E19,4),Nom_activ_2!D:G,4,0),"")</f>
        <v>4.1.  Consolidarea capacităților pentru realizarea unui control eficient al co-infecţiei TB/HIV</v>
      </c>
      <c r="E19" s="1757" t="str">
        <f t="shared" ca="1" si="2"/>
        <v>4.1.6. Asigurarea tratamentului preventiv cu co-trimoxazol la pacienții cu TB/HIV</v>
      </c>
      <c r="F19" s="1777" t="str">
        <f t="shared" ca="1" si="3"/>
        <v>Co_trim_ linia I_Malul Drept_penitenciare</v>
      </c>
      <c r="G19" s="839">
        <f t="shared" ca="1" si="3"/>
        <v>0</v>
      </c>
      <c r="H19" s="840" t="str">
        <f t="shared" ca="1" si="3"/>
        <v>MJ</v>
      </c>
      <c r="I19" s="443" t="s">
        <v>422</v>
      </c>
      <c r="J19" s="838" t="str">
        <f t="shared" si="4"/>
        <v>Tratament_FLD_SLD!$A:$j</v>
      </c>
      <c r="K19" s="475">
        <f t="shared" ca="1" si="5"/>
        <v>720</v>
      </c>
      <c r="L19" s="480"/>
      <c r="M19" s="477">
        <f t="shared" si="6"/>
        <v>0</v>
      </c>
      <c r="N19" s="480"/>
      <c r="O19" s="477">
        <f t="shared" si="7"/>
        <v>0</v>
      </c>
      <c r="P19" s="480"/>
      <c r="Q19" s="477">
        <f t="shared" si="8"/>
        <v>0</v>
      </c>
      <c r="R19" s="480">
        <v>1</v>
      </c>
      <c r="S19" s="477">
        <f t="shared" ca="1" si="9"/>
        <v>720</v>
      </c>
      <c r="T19" s="475">
        <f t="shared" ca="1" si="10"/>
        <v>720</v>
      </c>
      <c r="U19" s="480"/>
      <c r="V19" s="477">
        <f t="shared" si="11"/>
        <v>0</v>
      </c>
      <c r="W19" s="480"/>
      <c r="X19" s="477">
        <f t="shared" si="12"/>
        <v>0</v>
      </c>
      <c r="Y19" s="480"/>
      <c r="Z19" s="477">
        <f t="shared" si="13"/>
        <v>0</v>
      </c>
      <c r="AA19" s="480"/>
      <c r="AB19" s="477">
        <f t="shared" ca="1" si="14"/>
        <v>720</v>
      </c>
      <c r="AC19" s="475">
        <f t="shared" ca="1" si="15"/>
        <v>720</v>
      </c>
      <c r="AD19" s="480"/>
      <c r="AE19" s="477">
        <f t="shared" si="16"/>
        <v>0</v>
      </c>
      <c r="AF19" s="480"/>
      <c r="AG19" s="477">
        <f t="shared" si="17"/>
        <v>0</v>
      </c>
      <c r="AH19" s="480"/>
      <c r="AI19" s="477">
        <f t="shared" si="18"/>
        <v>0</v>
      </c>
      <c r="AJ19" s="480"/>
      <c r="AK19" s="477">
        <f t="shared" ca="1" si="19"/>
        <v>720</v>
      </c>
      <c r="AL19" s="475">
        <f t="shared" ca="1" si="20"/>
        <v>540</v>
      </c>
      <c r="AM19" s="480"/>
      <c r="AN19" s="477">
        <f t="shared" si="21"/>
        <v>0</v>
      </c>
      <c r="AO19" s="480"/>
      <c r="AP19" s="477">
        <f t="shared" si="22"/>
        <v>0</v>
      </c>
      <c r="AQ19" s="480"/>
      <c r="AR19" s="477">
        <f t="shared" si="23"/>
        <v>0</v>
      </c>
      <c r="AS19" s="480"/>
      <c r="AT19" s="477">
        <f t="shared" ca="1" si="24"/>
        <v>540</v>
      </c>
      <c r="AU19" s="475">
        <f t="shared" ca="1" si="25"/>
        <v>540</v>
      </c>
      <c r="AV19" s="480"/>
      <c r="AW19" s="477">
        <f t="shared" si="26"/>
        <v>0</v>
      </c>
      <c r="AX19" s="480"/>
      <c r="AY19" s="477">
        <f t="shared" si="27"/>
        <v>0</v>
      </c>
      <c r="AZ19" s="480"/>
      <c r="BA19" s="477">
        <f t="shared" si="28"/>
        <v>0</v>
      </c>
      <c r="BB19" s="480"/>
      <c r="BC19" s="850">
        <f t="shared" ca="1" si="29"/>
        <v>3240</v>
      </c>
    </row>
    <row r="20" spans="1:55" ht="28">
      <c r="A20" s="837" t="str">
        <f t="shared" ca="1" si="0"/>
        <v/>
      </c>
      <c r="B20" s="440">
        <v>14</v>
      </c>
      <c r="C20" s="834" t="str">
        <f t="shared" ca="1" si="1"/>
        <v>3.</v>
      </c>
      <c r="D20" s="1757" t="str">
        <f ca="1">IFERROR(VLOOKUP(LEFT(E20,4),Nom_activ_2!D:G,4,0),"")</f>
        <v>3.1.  Asigurarea continuă cu medicamente TB</v>
      </c>
      <c r="E20" s="1757" t="str">
        <f t="shared" ca="1" si="2"/>
        <v xml:space="preserve">3.1.1. Asigurarea continuă cu medicamente pentru tratamentul TB sensibile </v>
      </c>
      <c r="F20" s="1777" t="str">
        <f t="shared" ca="1" si="3"/>
        <v>Tratament linia I_Malul Drept_penitenciare</v>
      </c>
      <c r="G20" s="839">
        <f t="shared" ca="1" si="3"/>
        <v>0</v>
      </c>
      <c r="H20" s="840" t="str">
        <f t="shared" ca="1" si="3"/>
        <v>MJ</v>
      </c>
      <c r="I20" s="443" t="s">
        <v>422</v>
      </c>
      <c r="J20" s="838" t="str">
        <f t="shared" si="4"/>
        <v>Tratament_FLD_SLD!$A:$j</v>
      </c>
      <c r="K20" s="475">
        <f t="shared" ca="1" si="5"/>
        <v>53268</v>
      </c>
      <c r="L20" s="480"/>
      <c r="M20" s="477">
        <f t="shared" si="6"/>
        <v>0</v>
      </c>
      <c r="N20" s="480"/>
      <c r="O20" s="477">
        <f t="shared" si="7"/>
        <v>0</v>
      </c>
      <c r="P20" s="480"/>
      <c r="Q20" s="477">
        <f t="shared" si="8"/>
        <v>0</v>
      </c>
      <c r="R20" s="480"/>
      <c r="S20" s="477">
        <f t="shared" ca="1" si="9"/>
        <v>53268</v>
      </c>
      <c r="T20" s="475">
        <f t="shared" ca="1" si="10"/>
        <v>52557.599999999999</v>
      </c>
      <c r="U20" s="480"/>
      <c r="V20" s="477">
        <f t="shared" si="11"/>
        <v>0</v>
      </c>
      <c r="W20" s="480"/>
      <c r="X20" s="477">
        <f t="shared" si="12"/>
        <v>0</v>
      </c>
      <c r="Y20" s="480"/>
      <c r="Z20" s="477">
        <f t="shared" si="13"/>
        <v>0</v>
      </c>
      <c r="AA20" s="480"/>
      <c r="AB20" s="477">
        <f t="shared" ca="1" si="14"/>
        <v>52557.599999999999</v>
      </c>
      <c r="AC20" s="475">
        <f t="shared" ca="1" si="15"/>
        <v>50049.599999999999</v>
      </c>
      <c r="AD20" s="480"/>
      <c r="AE20" s="477">
        <f t="shared" si="16"/>
        <v>0</v>
      </c>
      <c r="AF20" s="480"/>
      <c r="AG20" s="477">
        <f t="shared" si="17"/>
        <v>0</v>
      </c>
      <c r="AH20" s="480"/>
      <c r="AI20" s="477">
        <f t="shared" si="18"/>
        <v>0</v>
      </c>
      <c r="AJ20" s="480"/>
      <c r="AK20" s="477">
        <f t="shared" ca="1" si="19"/>
        <v>50049.599999999999</v>
      </c>
      <c r="AL20" s="475">
        <f t="shared" ca="1" si="20"/>
        <v>49188</v>
      </c>
      <c r="AM20" s="480"/>
      <c r="AN20" s="477">
        <f t="shared" si="21"/>
        <v>0</v>
      </c>
      <c r="AO20" s="480"/>
      <c r="AP20" s="477">
        <f t="shared" si="22"/>
        <v>0</v>
      </c>
      <c r="AQ20" s="480"/>
      <c r="AR20" s="477">
        <f t="shared" si="23"/>
        <v>0</v>
      </c>
      <c r="AS20" s="480"/>
      <c r="AT20" s="477">
        <f t="shared" ca="1" si="24"/>
        <v>49188</v>
      </c>
      <c r="AU20" s="475">
        <f t="shared" ca="1" si="25"/>
        <v>47616</v>
      </c>
      <c r="AV20" s="480"/>
      <c r="AW20" s="477">
        <f t="shared" si="26"/>
        <v>0</v>
      </c>
      <c r="AX20" s="480"/>
      <c r="AY20" s="477">
        <f t="shared" si="27"/>
        <v>0</v>
      </c>
      <c r="AZ20" s="480"/>
      <c r="BA20" s="477">
        <f t="shared" si="28"/>
        <v>0</v>
      </c>
      <c r="BB20" s="480"/>
      <c r="BC20" s="850">
        <f t="shared" ca="1" si="29"/>
        <v>252679.2</v>
      </c>
    </row>
    <row r="21" spans="1:55" ht="28">
      <c r="A21" s="837" t="str">
        <f t="shared" ca="1" si="0"/>
        <v/>
      </c>
      <c r="B21" s="440">
        <v>15</v>
      </c>
      <c r="C21" s="834" t="str">
        <f t="shared" ca="1" si="1"/>
        <v>3.</v>
      </c>
      <c r="D21" s="1757" t="str">
        <f ca="1">IFERROR(VLOOKUP(LEFT(E21,4),Nom_activ_2!D:G,4,0),"")</f>
        <v>3.1.  Asigurarea continuă cu medicamente TB</v>
      </c>
      <c r="E21" s="1757" t="str">
        <f t="shared" ca="1" si="2"/>
        <v>3.1.3. Asigurarea continuă cu medicamente, forme pediatrice TB</v>
      </c>
      <c r="F21" s="1777" t="str">
        <f t="shared" ca="1" si="3"/>
        <v>Tratament linia I_Malul_Stang_forme pediatrice</v>
      </c>
      <c r="G21" s="839">
        <f t="shared" ca="1" si="3"/>
        <v>0</v>
      </c>
      <c r="H21" s="840" t="str">
        <f t="shared" ca="1" si="3"/>
        <v>Buget local (Malul Stang)</v>
      </c>
      <c r="I21" s="443" t="s">
        <v>422</v>
      </c>
      <c r="J21" s="838" t="str">
        <f t="shared" si="4"/>
        <v>Tratament_FLD_SLD!$A:$j</v>
      </c>
      <c r="K21" s="475">
        <f t="shared" ca="1" si="5"/>
        <v>3693.6</v>
      </c>
      <c r="L21" s="480"/>
      <c r="M21" s="477">
        <f t="shared" si="6"/>
        <v>0</v>
      </c>
      <c r="N21" s="480"/>
      <c r="O21" s="477">
        <f t="shared" si="7"/>
        <v>0</v>
      </c>
      <c r="P21" s="480"/>
      <c r="Q21" s="477">
        <f t="shared" si="8"/>
        <v>0</v>
      </c>
      <c r="R21" s="480"/>
      <c r="S21" s="477">
        <f t="shared" ca="1" si="9"/>
        <v>3693.6</v>
      </c>
      <c r="T21" s="475">
        <f t="shared" ca="1" si="10"/>
        <v>3693.6</v>
      </c>
      <c r="U21" s="480"/>
      <c r="V21" s="477">
        <f t="shared" si="11"/>
        <v>0</v>
      </c>
      <c r="W21" s="480"/>
      <c r="X21" s="477">
        <f t="shared" si="12"/>
        <v>0</v>
      </c>
      <c r="Y21" s="480"/>
      <c r="Z21" s="477">
        <f t="shared" si="13"/>
        <v>0</v>
      </c>
      <c r="AA21" s="480"/>
      <c r="AB21" s="477">
        <f t="shared" ca="1" si="14"/>
        <v>3693.6</v>
      </c>
      <c r="AC21" s="475">
        <f t="shared" ca="1" si="15"/>
        <v>3693.6</v>
      </c>
      <c r="AD21" s="480"/>
      <c r="AE21" s="477">
        <f t="shared" si="16"/>
        <v>0</v>
      </c>
      <c r="AF21" s="480"/>
      <c r="AG21" s="477">
        <f t="shared" si="17"/>
        <v>0</v>
      </c>
      <c r="AH21" s="480"/>
      <c r="AI21" s="477">
        <f t="shared" si="18"/>
        <v>0</v>
      </c>
      <c r="AJ21" s="480"/>
      <c r="AK21" s="477">
        <f t="shared" ca="1" si="19"/>
        <v>3693.6</v>
      </c>
      <c r="AL21" s="475">
        <f t="shared" ca="1" si="20"/>
        <v>3693.6</v>
      </c>
      <c r="AM21" s="480"/>
      <c r="AN21" s="477">
        <f t="shared" si="21"/>
        <v>0</v>
      </c>
      <c r="AO21" s="480"/>
      <c r="AP21" s="477">
        <f t="shared" si="22"/>
        <v>0</v>
      </c>
      <c r="AQ21" s="480"/>
      <c r="AR21" s="477">
        <f t="shared" si="23"/>
        <v>0</v>
      </c>
      <c r="AS21" s="480"/>
      <c r="AT21" s="477">
        <f t="shared" ca="1" si="24"/>
        <v>3693.6</v>
      </c>
      <c r="AU21" s="475">
        <f t="shared" ca="1" si="25"/>
        <v>3693.6</v>
      </c>
      <c r="AV21" s="480"/>
      <c r="AW21" s="477">
        <f t="shared" si="26"/>
        <v>0</v>
      </c>
      <c r="AX21" s="480"/>
      <c r="AY21" s="477">
        <f t="shared" si="27"/>
        <v>0</v>
      </c>
      <c r="AZ21" s="480"/>
      <c r="BA21" s="477">
        <f t="shared" si="28"/>
        <v>0</v>
      </c>
      <c r="BB21" s="480"/>
      <c r="BC21" s="850">
        <f t="shared" ca="1" si="29"/>
        <v>18468</v>
      </c>
    </row>
    <row r="22" spans="1:55" ht="28">
      <c r="A22" s="837" t="str">
        <f t="shared" ca="1" si="0"/>
        <v/>
      </c>
      <c r="B22" s="440">
        <v>16</v>
      </c>
      <c r="C22" s="834" t="str">
        <f t="shared" ca="1" si="1"/>
        <v>4.</v>
      </c>
      <c r="D22" s="1757" t="str">
        <f ca="1">IFERROR(VLOOKUP(LEFT(E22,4),Nom_activ_2!D:G,4,0),"")</f>
        <v>4.1.  Consolidarea capacităților pentru realizarea unui control eficient al co-infecţiei TB/HIV</v>
      </c>
      <c r="E22" s="1757" t="str">
        <f t="shared" ca="1" si="2"/>
        <v>4.1.6. Asigurarea tratamentului preventiv cu co-trimoxazol la pacienții cu TB/HIV</v>
      </c>
      <c r="F22" s="1777" t="str">
        <f t="shared" ca="1" si="3"/>
        <v>Co_trim_linia I_Malul_Stang_civil+penit_adulti</v>
      </c>
      <c r="G22" s="839">
        <f t="shared" ca="1" si="3"/>
        <v>0</v>
      </c>
      <c r="H22" s="840" t="str">
        <f t="shared" ca="1" si="3"/>
        <v>Buget local (Malul Stang)</v>
      </c>
      <c r="I22" s="443" t="s">
        <v>422</v>
      </c>
      <c r="J22" s="838" t="str">
        <f t="shared" si="4"/>
        <v>Tratament_FLD_SLD!$A:$j</v>
      </c>
      <c r="K22" s="475">
        <f t="shared" ca="1" si="5"/>
        <v>7560</v>
      </c>
      <c r="L22" s="480"/>
      <c r="M22" s="477">
        <f t="shared" si="6"/>
        <v>0</v>
      </c>
      <c r="N22" s="480"/>
      <c r="O22" s="477">
        <f t="shared" si="7"/>
        <v>0</v>
      </c>
      <c r="P22" s="480"/>
      <c r="Q22" s="477">
        <f t="shared" si="8"/>
        <v>0</v>
      </c>
      <c r="R22" s="480"/>
      <c r="S22" s="477">
        <f t="shared" ca="1" si="9"/>
        <v>7560</v>
      </c>
      <c r="T22" s="475">
        <f t="shared" ca="1" si="10"/>
        <v>7200</v>
      </c>
      <c r="U22" s="480"/>
      <c r="V22" s="477">
        <f t="shared" si="11"/>
        <v>0</v>
      </c>
      <c r="W22" s="480"/>
      <c r="X22" s="477">
        <f t="shared" si="12"/>
        <v>0</v>
      </c>
      <c r="Y22" s="480"/>
      <c r="Z22" s="477">
        <f t="shared" si="13"/>
        <v>0</v>
      </c>
      <c r="AA22" s="480"/>
      <c r="AB22" s="477">
        <f t="shared" ca="1" si="14"/>
        <v>7200</v>
      </c>
      <c r="AC22" s="475">
        <f t="shared" ca="1" si="15"/>
        <v>7200</v>
      </c>
      <c r="AD22" s="480"/>
      <c r="AE22" s="477">
        <f t="shared" si="16"/>
        <v>0</v>
      </c>
      <c r="AF22" s="480"/>
      <c r="AG22" s="477">
        <f t="shared" si="17"/>
        <v>0</v>
      </c>
      <c r="AH22" s="480"/>
      <c r="AI22" s="477">
        <f t="shared" si="18"/>
        <v>0</v>
      </c>
      <c r="AJ22" s="480"/>
      <c r="AK22" s="477">
        <f t="shared" ca="1" si="19"/>
        <v>7200</v>
      </c>
      <c r="AL22" s="475">
        <f t="shared" ca="1" si="20"/>
        <v>7020</v>
      </c>
      <c r="AM22" s="480"/>
      <c r="AN22" s="477">
        <f t="shared" si="21"/>
        <v>0</v>
      </c>
      <c r="AO22" s="480"/>
      <c r="AP22" s="477">
        <f t="shared" si="22"/>
        <v>0</v>
      </c>
      <c r="AQ22" s="480"/>
      <c r="AR22" s="477">
        <f t="shared" si="23"/>
        <v>0</v>
      </c>
      <c r="AS22" s="480"/>
      <c r="AT22" s="477">
        <f t="shared" ca="1" si="24"/>
        <v>7020</v>
      </c>
      <c r="AU22" s="475">
        <f t="shared" ca="1" si="25"/>
        <v>6840</v>
      </c>
      <c r="AV22" s="480"/>
      <c r="AW22" s="477">
        <f t="shared" si="26"/>
        <v>0</v>
      </c>
      <c r="AX22" s="480"/>
      <c r="AY22" s="477">
        <f t="shared" si="27"/>
        <v>0</v>
      </c>
      <c r="AZ22" s="480"/>
      <c r="BA22" s="477">
        <f t="shared" si="28"/>
        <v>0</v>
      </c>
      <c r="BB22" s="480"/>
      <c r="BC22" s="850">
        <f t="shared" ca="1" si="29"/>
        <v>35820</v>
      </c>
    </row>
    <row r="23" spans="1:55" ht="28">
      <c r="A23" s="837" t="str">
        <f t="shared" ca="1" si="0"/>
        <v/>
      </c>
      <c r="B23" s="440">
        <v>17</v>
      </c>
      <c r="C23" s="834" t="str">
        <f t="shared" ca="1" si="1"/>
        <v>3.</v>
      </c>
      <c r="D23" s="1757" t="str">
        <f ca="1">IFERROR(VLOOKUP(LEFT(E23,4),Nom_activ_2!D:G,4,0),"")</f>
        <v>3.1.  Asigurarea continuă cu medicamente TB</v>
      </c>
      <c r="E23" s="1757" t="str">
        <f t="shared" ca="1" si="2"/>
        <v xml:space="preserve">3.1.1. Asigurarea continuă cu medicamente pentru tratamentul TB sensibile </v>
      </c>
      <c r="F23" s="1777" t="str">
        <f t="shared" ca="1" si="3"/>
        <v>Tratament linia I_Malul_Stang_civil+penit_adulti</v>
      </c>
      <c r="G23" s="839">
        <f t="shared" ca="1" si="3"/>
        <v>0</v>
      </c>
      <c r="H23" s="840" t="str">
        <f t="shared" ca="1" si="3"/>
        <v>Buget local (Malul Stang)</v>
      </c>
      <c r="I23" s="443" t="s">
        <v>422</v>
      </c>
      <c r="J23" s="838" t="str">
        <f t="shared" si="4"/>
        <v>Tratament_FLD_SLD!$A:$j</v>
      </c>
      <c r="K23" s="475">
        <f t="shared" ca="1" si="5"/>
        <v>392825.4</v>
      </c>
      <c r="L23" s="480"/>
      <c r="M23" s="477">
        <f t="shared" si="6"/>
        <v>0</v>
      </c>
      <c r="N23" s="480"/>
      <c r="O23" s="477">
        <f t="shared" si="7"/>
        <v>0</v>
      </c>
      <c r="P23" s="480"/>
      <c r="Q23" s="477">
        <f t="shared" si="8"/>
        <v>0</v>
      </c>
      <c r="R23" s="480"/>
      <c r="S23" s="477">
        <f t="shared" ca="1" si="9"/>
        <v>392825.4</v>
      </c>
      <c r="T23" s="475">
        <f t="shared" ca="1" si="10"/>
        <v>380866.8</v>
      </c>
      <c r="U23" s="480"/>
      <c r="V23" s="477">
        <f t="shared" si="11"/>
        <v>0</v>
      </c>
      <c r="W23" s="480"/>
      <c r="X23" s="477">
        <f t="shared" si="12"/>
        <v>0</v>
      </c>
      <c r="Y23" s="480"/>
      <c r="Z23" s="477">
        <f t="shared" si="13"/>
        <v>0</v>
      </c>
      <c r="AA23" s="480"/>
      <c r="AB23" s="477">
        <f t="shared" ca="1" si="14"/>
        <v>380866.8</v>
      </c>
      <c r="AC23" s="475">
        <f t="shared" ca="1" si="15"/>
        <v>373439.4</v>
      </c>
      <c r="AD23" s="480"/>
      <c r="AE23" s="477">
        <f t="shared" si="16"/>
        <v>0</v>
      </c>
      <c r="AF23" s="480"/>
      <c r="AG23" s="477">
        <f t="shared" si="17"/>
        <v>0</v>
      </c>
      <c r="AH23" s="480"/>
      <c r="AI23" s="477">
        <f t="shared" si="18"/>
        <v>0</v>
      </c>
      <c r="AJ23" s="480"/>
      <c r="AK23" s="477">
        <f t="shared" ca="1" si="19"/>
        <v>373439.4</v>
      </c>
      <c r="AL23" s="475">
        <f t="shared" ca="1" si="20"/>
        <v>370069.8</v>
      </c>
      <c r="AM23" s="480"/>
      <c r="AN23" s="477">
        <f t="shared" si="21"/>
        <v>0</v>
      </c>
      <c r="AO23" s="480"/>
      <c r="AP23" s="477">
        <f t="shared" si="22"/>
        <v>0</v>
      </c>
      <c r="AQ23" s="480"/>
      <c r="AR23" s="477">
        <f t="shared" si="23"/>
        <v>0</v>
      </c>
      <c r="AS23" s="480"/>
      <c r="AT23" s="477">
        <f t="shared" ca="1" si="24"/>
        <v>370069.8</v>
      </c>
      <c r="AU23" s="475">
        <f t="shared" ca="1" si="25"/>
        <v>361365.6</v>
      </c>
      <c r="AV23" s="480"/>
      <c r="AW23" s="477">
        <f t="shared" si="26"/>
        <v>0</v>
      </c>
      <c r="AX23" s="480"/>
      <c r="AY23" s="477">
        <f t="shared" si="27"/>
        <v>0</v>
      </c>
      <c r="AZ23" s="480"/>
      <c r="BA23" s="477">
        <f t="shared" si="28"/>
        <v>0</v>
      </c>
      <c r="BB23" s="480"/>
      <c r="BC23" s="850">
        <f t="shared" ca="1" si="29"/>
        <v>1878567</v>
      </c>
    </row>
    <row r="24" spans="1:55" ht="28">
      <c r="A24" s="837" t="str">
        <f t="shared" ca="1" si="0"/>
        <v/>
      </c>
      <c r="B24" s="440">
        <v>18</v>
      </c>
      <c r="C24" s="834" t="str">
        <f t="shared" ca="1" si="1"/>
        <v>4.</v>
      </c>
      <c r="D24" s="1757" t="str">
        <f ca="1">IFERROR(VLOOKUP(LEFT(E24,4),Nom_activ_2!D:G,4,0),"")</f>
        <v>4.1.  Consolidarea capacităților pentru realizarea unui control eficient al co-infecţiei TB/HIV</v>
      </c>
      <c r="E24" s="1757" t="str">
        <f t="shared" ca="1" si="2"/>
        <v>4.1.6. Asigurarea tratamentului preventiv cu co-trimoxazol la pacienții cu TB/HIV</v>
      </c>
      <c r="F24" s="1777" t="str">
        <f t="shared" ca="1" si="3"/>
        <v>Co_trim_ Malul Drept RR/MDR/FQ rez_civil adulti</v>
      </c>
      <c r="G24" s="839">
        <f t="shared" ca="1" si="3"/>
        <v>0</v>
      </c>
      <c r="H24" s="840" t="str">
        <f t="shared" ca="1" si="3"/>
        <v>MMPSF</v>
      </c>
      <c r="I24" s="443" t="s">
        <v>422</v>
      </c>
      <c r="J24" s="838" t="str">
        <f t="shared" si="4"/>
        <v>Tratament_FLD_SLD!$A:$j</v>
      </c>
      <c r="K24" s="475">
        <f t="shared" ca="1" si="5"/>
        <v>18134.5</v>
      </c>
      <c r="L24" s="480"/>
      <c r="M24" s="477">
        <f t="shared" si="6"/>
        <v>0</v>
      </c>
      <c r="N24" s="480"/>
      <c r="O24" s="477">
        <f t="shared" si="7"/>
        <v>0</v>
      </c>
      <c r="P24" s="480"/>
      <c r="Q24" s="477">
        <f t="shared" si="8"/>
        <v>0</v>
      </c>
      <c r="R24" s="480"/>
      <c r="S24" s="477">
        <f t="shared" ca="1" si="9"/>
        <v>18134.5</v>
      </c>
      <c r="T24" s="475">
        <f t="shared" ca="1" si="10"/>
        <v>17469</v>
      </c>
      <c r="U24" s="480"/>
      <c r="V24" s="477">
        <f t="shared" si="11"/>
        <v>0</v>
      </c>
      <c r="W24" s="480"/>
      <c r="X24" s="477">
        <f t="shared" si="12"/>
        <v>0</v>
      </c>
      <c r="Y24" s="480"/>
      <c r="Z24" s="477">
        <f t="shared" si="13"/>
        <v>0</v>
      </c>
      <c r="AA24" s="480"/>
      <c r="AB24" s="477">
        <f t="shared" ca="1" si="14"/>
        <v>17469</v>
      </c>
      <c r="AC24" s="475">
        <f t="shared" ca="1" si="15"/>
        <v>16920.5</v>
      </c>
      <c r="AD24" s="480"/>
      <c r="AE24" s="477">
        <f t="shared" si="16"/>
        <v>0</v>
      </c>
      <c r="AF24" s="480"/>
      <c r="AG24" s="477">
        <f t="shared" si="17"/>
        <v>0</v>
      </c>
      <c r="AH24" s="480"/>
      <c r="AI24" s="477">
        <f t="shared" si="18"/>
        <v>0</v>
      </c>
      <c r="AJ24" s="480"/>
      <c r="AK24" s="477">
        <f t="shared" ca="1" si="19"/>
        <v>16920.5</v>
      </c>
      <c r="AL24" s="475">
        <f t="shared" ca="1" si="20"/>
        <v>16372.5</v>
      </c>
      <c r="AM24" s="480"/>
      <c r="AN24" s="477">
        <f t="shared" si="21"/>
        <v>0</v>
      </c>
      <c r="AO24" s="480"/>
      <c r="AP24" s="477">
        <f t="shared" si="22"/>
        <v>0</v>
      </c>
      <c r="AQ24" s="480"/>
      <c r="AR24" s="477">
        <f t="shared" si="23"/>
        <v>0</v>
      </c>
      <c r="AS24" s="480"/>
      <c r="AT24" s="477">
        <f t="shared" ca="1" si="24"/>
        <v>16372.5</v>
      </c>
      <c r="AU24" s="475">
        <f t="shared" ca="1" si="25"/>
        <v>15913</v>
      </c>
      <c r="AV24" s="480"/>
      <c r="AW24" s="477">
        <f t="shared" si="26"/>
        <v>0</v>
      </c>
      <c r="AX24" s="480"/>
      <c r="AY24" s="477">
        <f t="shared" si="27"/>
        <v>0</v>
      </c>
      <c r="AZ24" s="480"/>
      <c r="BA24" s="477">
        <f t="shared" si="28"/>
        <v>0</v>
      </c>
      <c r="BB24" s="480"/>
      <c r="BC24" s="850">
        <f t="shared" ca="1" si="29"/>
        <v>84809.5</v>
      </c>
    </row>
    <row r="25" spans="1:55" ht="28">
      <c r="A25" s="837" t="str">
        <f t="shared" ca="1" si="0"/>
        <v/>
      </c>
      <c r="B25" s="440">
        <v>19</v>
      </c>
      <c r="C25" s="834" t="str">
        <f t="shared" ca="1" si="1"/>
        <v>3.</v>
      </c>
      <c r="D25" s="1757" t="str">
        <f ca="1">IFERROR(VLOOKUP(LEFT(E25,4),Nom_activ_2!D:G,4,0),"")</f>
        <v>3.1.  Asigurarea continuă cu medicamente TB</v>
      </c>
      <c r="E25" s="1757" t="str">
        <f t="shared" ca="1" si="2"/>
        <v xml:space="preserve">3.1.2. Asigurarea continuă cu medicamente pentru tratamentul TB RR/MDR/XDR </v>
      </c>
      <c r="F25" s="1777" t="str">
        <f t="shared" ca="1" si="3"/>
        <v>Tratament Malul Drept RR/MDR/FQ rez_civil adulti</v>
      </c>
      <c r="G25" s="839">
        <f t="shared" ca="1" si="3"/>
        <v>0</v>
      </c>
      <c r="H25" s="840" t="str">
        <f t="shared" ca="1" si="3"/>
        <v>MMPSF</v>
      </c>
      <c r="I25" s="443" t="s">
        <v>422</v>
      </c>
      <c r="J25" s="838" t="str">
        <f t="shared" si="4"/>
        <v>Tratament_FLD_SLD!$A:$j</v>
      </c>
      <c r="K25" s="475">
        <f t="shared" ca="1" si="5"/>
        <v>9081009.6699999999</v>
      </c>
      <c r="L25" s="480"/>
      <c r="M25" s="477">
        <f t="shared" si="6"/>
        <v>0</v>
      </c>
      <c r="N25" s="480"/>
      <c r="O25" s="477">
        <f t="shared" si="7"/>
        <v>0</v>
      </c>
      <c r="P25" s="480"/>
      <c r="Q25" s="477">
        <f t="shared" si="8"/>
        <v>0</v>
      </c>
      <c r="R25" s="480"/>
      <c r="S25" s="477">
        <f t="shared" ca="1" si="9"/>
        <v>9081009.6699999999</v>
      </c>
      <c r="T25" s="475">
        <f t="shared" ca="1" si="10"/>
        <v>10306027.02</v>
      </c>
      <c r="U25" s="480"/>
      <c r="V25" s="477">
        <f t="shared" si="11"/>
        <v>0</v>
      </c>
      <c r="W25" s="480"/>
      <c r="X25" s="477">
        <f t="shared" si="12"/>
        <v>0</v>
      </c>
      <c r="Y25" s="480"/>
      <c r="Z25" s="477">
        <f t="shared" si="13"/>
        <v>0</v>
      </c>
      <c r="AA25" s="480"/>
      <c r="AB25" s="477">
        <f t="shared" ca="1" si="14"/>
        <v>10306027.02</v>
      </c>
      <c r="AC25" s="475">
        <f t="shared" ca="1" si="15"/>
        <v>11531066.359999999</v>
      </c>
      <c r="AD25" s="480"/>
      <c r="AE25" s="477">
        <f t="shared" si="16"/>
        <v>0</v>
      </c>
      <c r="AF25" s="480"/>
      <c r="AG25" s="477">
        <f t="shared" si="17"/>
        <v>0</v>
      </c>
      <c r="AH25" s="480"/>
      <c r="AI25" s="477">
        <f t="shared" si="18"/>
        <v>0</v>
      </c>
      <c r="AJ25" s="480"/>
      <c r="AK25" s="477">
        <f t="shared" ca="1" si="19"/>
        <v>11531066.359999999</v>
      </c>
      <c r="AL25" s="475">
        <f t="shared" ca="1" si="20"/>
        <v>14867728.199999999</v>
      </c>
      <c r="AM25" s="480"/>
      <c r="AN25" s="477">
        <f t="shared" si="21"/>
        <v>0</v>
      </c>
      <c r="AO25" s="480"/>
      <c r="AP25" s="477">
        <f t="shared" si="22"/>
        <v>0</v>
      </c>
      <c r="AQ25" s="480"/>
      <c r="AR25" s="477">
        <f t="shared" si="23"/>
        <v>0</v>
      </c>
      <c r="AS25" s="480"/>
      <c r="AT25" s="477">
        <f t="shared" ca="1" si="24"/>
        <v>14867728.199999999</v>
      </c>
      <c r="AU25" s="475">
        <f t="shared" ca="1" si="25"/>
        <v>14451805.380000001</v>
      </c>
      <c r="AV25" s="480"/>
      <c r="AW25" s="477">
        <f t="shared" si="26"/>
        <v>0</v>
      </c>
      <c r="AX25" s="480"/>
      <c r="AY25" s="477">
        <f t="shared" si="27"/>
        <v>0</v>
      </c>
      <c r="AZ25" s="480"/>
      <c r="BA25" s="477">
        <f t="shared" si="28"/>
        <v>0</v>
      </c>
      <c r="BB25" s="480"/>
      <c r="BC25" s="850">
        <f t="shared" ca="1" si="29"/>
        <v>60237636.630000003</v>
      </c>
    </row>
    <row r="26" spans="1:55" ht="28">
      <c r="A26" s="837" t="str">
        <f t="shared" ca="1" si="0"/>
        <v/>
      </c>
      <c r="B26" s="440">
        <v>20</v>
      </c>
      <c r="C26" s="834" t="str">
        <f t="shared" ca="1" si="1"/>
        <v>3.</v>
      </c>
      <c r="D26" s="1757" t="str">
        <f ca="1">IFERROR(VLOOKUP(LEFT(E26,4),Nom_activ_2!D:G,4,0),"")</f>
        <v>3.1.  Asigurarea continuă cu medicamente TB</v>
      </c>
      <c r="E26" s="1757" t="str">
        <f t="shared" ca="1" si="2"/>
        <v xml:space="preserve">3.1.2. Asigurarea continuă cu medicamente pentru tratamentul TB RR/MDR/XDR </v>
      </c>
      <c r="F26" s="1777" t="str">
        <f t="shared" ca="1" si="3"/>
        <v>Tratament Malul Drept RR/MDR/FQ rez_civil adulti</v>
      </c>
      <c r="G26" s="839">
        <f t="shared" ca="1" si="3"/>
        <v>0</v>
      </c>
      <c r="H26" s="840" t="str">
        <f t="shared" ca="1" si="3"/>
        <v>GFATM</v>
      </c>
      <c r="I26" s="443" t="s">
        <v>422</v>
      </c>
      <c r="J26" s="838" t="str">
        <f t="shared" si="4"/>
        <v>Tratament_FLD_SLD!$A:$j</v>
      </c>
      <c r="K26" s="475">
        <f t="shared" ca="1" si="5"/>
        <v>4477089.1902702311</v>
      </c>
      <c r="L26" s="480"/>
      <c r="M26" s="477">
        <f t="shared" si="6"/>
        <v>0</v>
      </c>
      <c r="N26" s="480"/>
      <c r="O26" s="477">
        <f t="shared" si="7"/>
        <v>0</v>
      </c>
      <c r="P26" s="480"/>
      <c r="Q26" s="477">
        <f t="shared" si="8"/>
        <v>0</v>
      </c>
      <c r="R26" s="480"/>
      <c r="S26" s="477">
        <f t="shared" ca="1" si="9"/>
        <v>4477089.1902702311</v>
      </c>
      <c r="T26" s="475">
        <f t="shared" ca="1" si="10"/>
        <v>6763836.1190237645</v>
      </c>
      <c r="U26" s="480"/>
      <c r="V26" s="477">
        <f t="shared" si="11"/>
        <v>0</v>
      </c>
      <c r="W26" s="480"/>
      <c r="X26" s="477">
        <f t="shared" si="12"/>
        <v>0</v>
      </c>
      <c r="Y26" s="480"/>
      <c r="Z26" s="477">
        <f t="shared" si="13"/>
        <v>0</v>
      </c>
      <c r="AA26" s="480"/>
      <c r="AB26" s="477">
        <f t="shared" ca="1" si="14"/>
        <v>6763836.1190237645</v>
      </c>
      <c r="AC26" s="475">
        <f t="shared" ca="1" si="15"/>
        <v>4655490.6678460948</v>
      </c>
      <c r="AD26" s="480"/>
      <c r="AE26" s="477">
        <f t="shared" si="16"/>
        <v>0</v>
      </c>
      <c r="AF26" s="480"/>
      <c r="AG26" s="477">
        <f t="shared" si="17"/>
        <v>0</v>
      </c>
      <c r="AH26" s="480"/>
      <c r="AI26" s="477">
        <f t="shared" si="18"/>
        <v>0</v>
      </c>
      <c r="AJ26" s="480"/>
      <c r="AK26" s="477">
        <f t="shared" ca="1" si="19"/>
        <v>4655490.6678460948</v>
      </c>
      <c r="AL26" s="475">
        <f t="shared" ca="1" si="20"/>
        <v>0</v>
      </c>
      <c r="AM26" s="480"/>
      <c r="AN26" s="477">
        <f t="shared" si="21"/>
        <v>0</v>
      </c>
      <c r="AO26" s="480"/>
      <c r="AP26" s="477">
        <f t="shared" si="22"/>
        <v>0</v>
      </c>
      <c r="AQ26" s="480"/>
      <c r="AR26" s="477">
        <f t="shared" si="23"/>
        <v>0</v>
      </c>
      <c r="AS26" s="480"/>
      <c r="AT26" s="477">
        <f t="shared" ca="1" si="24"/>
        <v>0</v>
      </c>
      <c r="AU26" s="475">
        <f t="shared" ca="1" si="25"/>
        <v>0</v>
      </c>
      <c r="AV26" s="480"/>
      <c r="AW26" s="477">
        <f t="shared" si="26"/>
        <v>0</v>
      </c>
      <c r="AX26" s="480"/>
      <c r="AY26" s="477">
        <f t="shared" si="27"/>
        <v>0</v>
      </c>
      <c r="AZ26" s="480"/>
      <c r="BA26" s="477">
        <f t="shared" si="28"/>
        <v>0</v>
      </c>
      <c r="BB26" s="480"/>
      <c r="BC26" s="850">
        <f t="shared" ca="1" si="29"/>
        <v>15896415.977140091</v>
      </c>
    </row>
    <row r="27" spans="1:55" ht="28">
      <c r="A27" s="837" t="str">
        <f t="shared" ca="1" si="0"/>
        <v/>
      </c>
      <c r="B27" s="440">
        <v>21</v>
      </c>
      <c r="C27" s="834" t="str">
        <f t="shared" ca="1" si="1"/>
        <v>3.</v>
      </c>
      <c r="D27" s="1757" t="str">
        <f ca="1">IFERROR(VLOOKUP(LEFT(E27,4),Nom_activ_2!D:G,4,0),"")</f>
        <v>3.1.  Asigurarea continuă cu medicamente TB</v>
      </c>
      <c r="E27" s="1757" t="str">
        <f t="shared" ca="1" si="2"/>
        <v>3.1.3. Asigurarea continuă cu medicamente, forme pediatrice TB</v>
      </c>
      <c r="F27" s="1777" t="str">
        <f t="shared" ref="F27:H46" ca="1" si="30">IFERROR(VLOOKUP($B27,INDIRECT($J27),F$5,0),0)</f>
        <v>Tratament Malul Drept RR/MDR/FQ rez_copii</v>
      </c>
      <c r="G27" s="839">
        <f t="shared" ca="1" si="30"/>
        <v>0</v>
      </c>
      <c r="H27" s="840" t="str">
        <f t="shared" ca="1" si="30"/>
        <v>MMPSF</v>
      </c>
      <c r="I27" s="443" t="s">
        <v>422</v>
      </c>
      <c r="J27" s="838" t="str">
        <f t="shared" si="4"/>
        <v>Tratament_FLD_SLD!$A:$j</v>
      </c>
      <c r="K27" s="475">
        <f t="shared" ca="1" si="5"/>
        <v>0</v>
      </c>
      <c r="L27" s="480"/>
      <c r="M27" s="477">
        <f t="shared" si="6"/>
        <v>0</v>
      </c>
      <c r="N27" s="480"/>
      <c r="O27" s="477">
        <f t="shared" si="7"/>
        <v>0</v>
      </c>
      <c r="P27" s="480"/>
      <c r="Q27" s="477">
        <f t="shared" si="8"/>
        <v>0</v>
      </c>
      <c r="R27" s="480"/>
      <c r="S27" s="477">
        <f t="shared" ca="1" si="9"/>
        <v>0</v>
      </c>
      <c r="T27" s="475">
        <f t="shared" ca="1" si="10"/>
        <v>0</v>
      </c>
      <c r="U27" s="480"/>
      <c r="V27" s="477">
        <f t="shared" si="11"/>
        <v>0</v>
      </c>
      <c r="W27" s="480"/>
      <c r="X27" s="477">
        <f t="shared" si="12"/>
        <v>0</v>
      </c>
      <c r="Y27" s="480"/>
      <c r="Z27" s="477">
        <f t="shared" si="13"/>
        <v>0</v>
      </c>
      <c r="AA27" s="480"/>
      <c r="AB27" s="477">
        <f t="shared" ca="1" si="14"/>
        <v>0</v>
      </c>
      <c r="AC27" s="475">
        <f t="shared" ca="1" si="15"/>
        <v>0</v>
      </c>
      <c r="AD27" s="480"/>
      <c r="AE27" s="477">
        <f t="shared" si="16"/>
        <v>0</v>
      </c>
      <c r="AF27" s="480"/>
      <c r="AG27" s="477">
        <f t="shared" si="17"/>
        <v>0</v>
      </c>
      <c r="AH27" s="480"/>
      <c r="AI27" s="477">
        <f t="shared" si="18"/>
        <v>0</v>
      </c>
      <c r="AJ27" s="480"/>
      <c r="AK27" s="477">
        <f t="shared" ca="1" si="19"/>
        <v>0</v>
      </c>
      <c r="AL27" s="475">
        <f t="shared" ca="1" si="20"/>
        <v>963885.95999999985</v>
      </c>
      <c r="AM27" s="480"/>
      <c r="AN27" s="477">
        <f t="shared" si="21"/>
        <v>0</v>
      </c>
      <c r="AO27" s="480"/>
      <c r="AP27" s="477">
        <f t="shared" si="22"/>
        <v>0</v>
      </c>
      <c r="AQ27" s="480"/>
      <c r="AR27" s="477">
        <f t="shared" si="23"/>
        <v>0</v>
      </c>
      <c r="AS27" s="480"/>
      <c r="AT27" s="477">
        <f t="shared" ca="1" si="24"/>
        <v>963885.95999999985</v>
      </c>
      <c r="AU27" s="475">
        <f t="shared" ca="1" si="25"/>
        <v>913155.12</v>
      </c>
      <c r="AV27" s="480"/>
      <c r="AW27" s="477">
        <f t="shared" si="26"/>
        <v>0</v>
      </c>
      <c r="AX27" s="480"/>
      <c r="AY27" s="477">
        <f t="shared" si="27"/>
        <v>0</v>
      </c>
      <c r="AZ27" s="480"/>
      <c r="BA27" s="477">
        <f t="shared" si="28"/>
        <v>0</v>
      </c>
      <c r="BB27" s="480"/>
      <c r="BC27" s="850">
        <f t="shared" ca="1" si="29"/>
        <v>1877041.0799999998</v>
      </c>
    </row>
    <row r="28" spans="1:55" ht="28">
      <c r="A28" s="837" t="str">
        <f t="shared" ca="1" si="0"/>
        <v/>
      </c>
      <c r="B28" s="440">
        <v>22</v>
      </c>
      <c r="C28" s="834" t="str">
        <f t="shared" ca="1" si="1"/>
        <v>3.</v>
      </c>
      <c r="D28" s="1757" t="str">
        <f ca="1">IFERROR(VLOOKUP(LEFT(E28,4),Nom_activ_2!D:G,4,0),"")</f>
        <v>3.1.  Asigurarea continuă cu medicamente TB</v>
      </c>
      <c r="E28" s="1757" t="str">
        <f t="shared" ca="1" si="2"/>
        <v>3.1.3. Asigurarea continuă cu medicamente, forme pediatrice TB</v>
      </c>
      <c r="F28" s="1777" t="str">
        <f t="shared" ca="1" si="30"/>
        <v>Tratament Malul Drept RR/MDR/FQ rez_copii</v>
      </c>
      <c r="G28" s="839">
        <f t="shared" ca="1" si="30"/>
        <v>0</v>
      </c>
      <c r="H28" s="840" t="str">
        <f t="shared" ca="1" si="30"/>
        <v>GFATM</v>
      </c>
      <c r="I28" s="443" t="s">
        <v>422</v>
      </c>
      <c r="J28" s="838" t="str">
        <f t="shared" si="4"/>
        <v>Tratament_FLD_SLD!$A:$j</v>
      </c>
      <c r="K28" s="475">
        <f t="shared" ca="1" si="5"/>
        <v>734779.71607622399</v>
      </c>
      <c r="L28" s="480"/>
      <c r="M28" s="477">
        <f t="shared" si="6"/>
        <v>0</v>
      </c>
      <c r="N28" s="480"/>
      <c r="O28" s="477">
        <f t="shared" si="7"/>
        <v>0</v>
      </c>
      <c r="P28" s="480"/>
      <c r="Q28" s="477">
        <f t="shared" si="8"/>
        <v>0</v>
      </c>
      <c r="R28" s="480"/>
      <c r="S28" s="477">
        <f t="shared" ca="1" si="9"/>
        <v>734779.71607622399</v>
      </c>
      <c r="T28" s="475">
        <f t="shared" ca="1" si="10"/>
        <v>1335963.031814887</v>
      </c>
      <c r="U28" s="480"/>
      <c r="V28" s="477">
        <f t="shared" si="11"/>
        <v>0</v>
      </c>
      <c r="W28" s="480"/>
      <c r="X28" s="477">
        <f t="shared" si="12"/>
        <v>0</v>
      </c>
      <c r="Y28" s="480"/>
      <c r="Z28" s="477">
        <f t="shared" si="13"/>
        <v>0</v>
      </c>
      <c r="AA28" s="480"/>
      <c r="AB28" s="477">
        <f t="shared" ca="1" si="14"/>
        <v>1335963.031814887</v>
      </c>
      <c r="AC28" s="475">
        <f t="shared" ca="1" si="15"/>
        <v>1269164.7344900342</v>
      </c>
      <c r="AD28" s="480"/>
      <c r="AE28" s="477">
        <f t="shared" si="16"/>
        <v>0</v>
      </c>
      <c r="AF28" s="480"/>
      <c r="AG28" s="477">
        <f t="shared" si="17"/>
        <v>0</v>
      </c>
      <c r="AH28" s="480"/>
      <c r="AI28" s="477">
        <f t="shared" si="18"/>
        <v>0</v>
      </c>
      <c r="AJ28" s="480"/>
      <c r="AK28" s="477">
        <f t="shared" ca="1" si="19"/>
        <v>1269164.7344900342</v>
      </c>
      <c r="AL28" s="475">
        <f t="shared" ca="1" si="20"/>
        <v>0</v>
      </c>
      <c r="AM28" s="480"/>
      <c r="AN28" s="477">
        <f t="shared" si="21"/>
        <v>0</v>
      </c>
      <c r="AO28" s="480"/>
      <c r="AP28" s="477">
        <f t="shared" si="22"/>
        <v>0</v>
      </c>
      <c r="AQ28" s="480"/>
      <c r="AR28" s="477">
        <f t="shared" si="23"/>
        <v>0</v>
      </c>
      <c r="AS28" s="480"/>
      <c r="AT28" s="477">
        <f t="shared" ca="1" si="24"/>
        <v>0</v>
      </c>
      <c r="AU28" s="475">
        <f t="shared" ca="1" si="25"/>
        <v>0</v>
      </c>
      <c r="AV28" s="480"/>
      <c r="AW28" s="477">
        <f t="shared" si="26"/>
        <v>0</v>
      </c>
      <c r="AX28" s="480"/>
      <c r="AY28" s="477">
        <f t="shared" si="27"/>
        <v>0</v>
      </c>
      <c r="AZ28" s="480"/>
      <c r="BA28" s="477">
        <f t="shared" si="28"/>
        <v>0</v>
      </c>
      <c r="BB28" s="480"/>
      <c r="BC28" s="850">
        <f t="shared" ca="1" si="29"/>
        <v>3339907.482381145</v>
      </c>
    </row>
    <row r="29" spans="1:55" ht="28">
      <c r="A29" s="837" t="str">
        <f t="shared" ca="1" si="0"/>
        <v/>
      </c>
      <c r="B29" s="440">
        <v>23</v>
      </c>
      <c r="C29" s="834" t="str">
        <f t="shared" ca="1" si="1"/>
        <v>4.</v>
      </c>
      <c r="D29" s="1757" t="str">
        <f ca="1">IFERROR(VLOOKUP(LEFT(E29,4),Nom_activ_2!D:G,4,0),"")</f>
        <v>4.1.  Consolidarea capacităților pentru realizarea unui control eficient al co-infecţiei TB/HIV</v>
      </c>
      <c r="E29" s="1757" t="str">
        <f t="shared" ca="1" si="2"/>
        <v>4.1.6. Asigurarea tratamentului preventiv cu co-trimoxazol la pacienții cu TB/HIV</v>
      </c>
      <c r="F29" s="1777" t="str">
        <f t="shared" ca="1" si="30"/>
        <v>Co_trim_ Malul Drept RR/MDR/FQ rez_penitenc_ adulti</v>
      </c>
      <c r="G29" s="839">
        <f t="shared" ca="1" si="30"/>
        <v>0</v>
      </c>
      <c r="H29" s="840" t="str">
        <f t="shared" ca="1" si="30"/>
        <v>MJ</v>
      </c>
      <c r="I29" s="443" t="s">
        <v>422</v>
      </c>
      <c r="J29" s="838" t="str">
        <f t="shared" si="4"/>
        <v>Tratament_FLD_SLD!$A:$j</v>
      </c>
      <c r="K29" s="475">
        <f t="shared" ca="1" si="5"/>
        <v>580.5</v>
      </c>
      <c r="L29" s="480"/>
      <c r="M29" s="477">
        <f t="shared" si="6"/>
        <v>0</v>
      </c>
      <c r="N29" s="480"/>
      <c r="O29" s="477">
        <f t="shared" si="7"/>
        <v>0</v>
      </c>
      <c r="P29" s="480"/>
      <c r="Q29" s="477">
        <f t="shared" si="8"/>
        <v>0</v>
      </c>
      <c r="R29" s="480"/>
      <c r="S29" s="477">
        <f t="shared" ca="1" si="9"/>
        <v>580.5</v>
      </c>
      <c r="T29" s="475">
        <f t="shared" ca="1" si="10"/>
        <v>544.5</v>
      </c>
      <c r="U29" s="480"/>
      <c r="V29" s="477">
        <f t="shared" si="11"/>
        <v>0</v>
      </c>
      <c r="W29" s="480"/>
      <c r="X29" s="477">
        <f t="shared" si="12"/>
        <v>0</v>
      </c>
      <c r="Y29" s="480"/>
      <c r="Z29" s="477">
        <f t="shared" si="13"/>
        <v>0</v>
      </c>
      <c r="AA29" s="480"/>
      <c r="AB29" s="477">
        <f t="shared" ca="1" si="14"/>
        <v>544.5</v>
      </c>
      <c r="AC29" s="475">
        <f t="shared" ca="1" si="15"/>
        <v>544.5</v>
      </c>
      <c r="AD29" s="480"/>
      <c r="AE29" s="477">
        <f t="shared" si="16"/>
        <v>0</v>
      </c>
      <c r="AF29" s="480"/>
      <c r="AG29" s="477">
        <f t="shared" si="17"/>
        <v>0</v>
      </c>
      <c r="AH29" s="480"/>
      <c r="AI29" s="477">
        <f t="shared" si="18"/>
        <v>0</v>
      </c>
      <c r="AJ29" s="480"/>
      <c r="AK29" s="477">
        <f t="shared" ca="1" si="19"/>
        <v>544.5</v>
      </c>
      <c r="AL29" s="475">
        <f t="shared" ca="1" si="20"/>
        <v>508</v>
      </c>
      <c r="AM29" s="480"/>
      <c r="AN29" s="477">
        <f t="shared" si="21"/>
        <v>0</v>
      </c>
      <c r="AO29" s="480"/>
      <c r="AP29" s="477">
        <f t="shared" si="22"/>
        <v>0</v>
      </c>
      <c r="AQ29" s="480"/>
      <c r="AR29" s="477">
        <f t="shared" si="23"/>
        <v>0</v>
      </c>
      <c r="AS29" s="480"/>
      <c r="AT29" s="477">
        <f t="shared" ca="1" si="24"/>
        <v>508</v>
      </c>
      <c r="AU29" s="475">
        <f t="shared" ca="1" si="25"/>
        <v>508</v>
      </c>
      <c r="AV29" s="480"/>
      <c r="AW29" s="477">
        <f t="shared" si="26"/>
        <v>0</v>
      </c>
      <c r="AX29" s="480"/>
      <c r="AY29" s="477">
        <f t="shared" si="27"/>
        <v>0</v>
      </c>
      <c r="AZ29" s="480"/>
      <c r="BA29" s="477">
        <f t="shared" si="28"/>
        <v>0</v>
      </c>
      <c r="BB29" s="480"/>
      <c r="BC29" s="850">
        <f t="shared" ca="1" si="29"/>
        <v>2685.5</v>
      </c>
    </row>
    <row r="30" spans="1:55" ht="28">
      <c r="A30" s="837" t="str">
        <f t="shared" ca="1" si="0"/>
        <v/>
      </c>
      <c r="B30" s="440">
        <v>24</v>
      </c>
      <c r="C30" s="834" t="str">
        <f t="shared" ca="1" si="1"/>
        <v>3.</v>
      </c>
      <c r="D30" s="1757" t="str">
        <f ca="1">IFERROR(VLOOKUP(LEFT(E30,4),Nom_activ_2!D:G,4,0),"")</f>
        <v>3.1.  Asigurarea continuă cu medicamente TB</v>
      </c>
      <c r="E30" s="1757" t="str">
        <f t="shared" ca="1" si="2"/>
        <v xml:space="preserve">3.1.2. Asigurarea continuă cu medicamente pentru tratamentul TB RR/MDR/XDR </v>
      </c>
      <c r="F30" s="1777" t="str">
        <f t="shared" ca="1" si="30"/>
        <v>Tratament Malul Drept RR/MDR/FQ rez_penitenciare</v>
      </c>
      <c r="G30" s="839">
        <f t="shared" ca="1" si="30"/>
        <v>0</v>
      </c>
      <c r="H30" s="840" t="str">
        <f t="shared" ca="1" si="30"/>
        <v>MJ</v>
      </c>
      <c r="I30" s="443" t="s">
        <v>422</v>
      </c>
      <c r="J30" s="838" t="str">
        <f t="shared" si="4"/>
        <v>Tratament_FLD_SLD!$A:$j</v>
      </c>
      <c r="K30" s="475">
        <f t="shared" ca="1" si="5"/>
        <v>295128.37</v>
      </c>
      <c r="L30" s="480"/>
      <c r="M30" s="477">
        <f t="shared" si="6"/>
        <v>0</v>
      </c>
      <c r="N30" s="480"/>
      <c r="O30" s="477">
        <f t="shared" si="7"/>
        <v>0</v>
      </c>
      <c r="P30" s="480"/>
      <c r="Q30" s="477">
        <f t="shared" si="8"/>
        <v>0</v>
      </c>
      <c r="R30" s="480"/>
      <c r="S30" s="477">
        <f t="shared" ca="1" si="9"/>
        <v>295128.37</v>
      </c>
      <c r="T30" s="475">
        <f t="shared" ca="1" si="10"/>
        <v>332348.08</v>
      </c>
      <c r="U30" s="480"/>
      <c r="V30" s="477">
        <f t="shared" si="11"/>
        <v>0</v>
      </c>
      <c r="W30" s="480"/>
      <c r="X30" s="477">
        <f t="shared" si="12"/>
        <v>0</v>
      </c>
      <c r="Y30" s="480"/>
      <c r="Z30" s="477">
        <f t="shared" si="13"/>
        <v>0</v>
      </c>
      <c r="AA30" s="480"/>
      <c r="AB30" s="477">
        <f t="shared" ca="1" si="14"/>
        <v>332348.08</v>
      </c>
      <c r="AC30" s="475">
        <f t="shared" ca="1" si="15"/>
        <v>363860.71</v>
      </c>
      <c r="AD30" s="480"/>
      <c r="AE30" s="477">
        <f t="shared" si="16"/>
        <v>0</v>
      </c>
      <c r="AF30" s="480"/>
      <c r="AG30" s="477">
        <f t="shared" si="17"/>
        <v>0</v>
      </c>
      <c r="AH30" s="480"/>
      <c r="AI30" s="477">
        <f t="shared" si="18"/>
        <v>0</v>
      </c>
      <c r="AJ30" s="480"/>
      <c r="AK30" s="477">
        <f t="shared" ca="1" si="19"/>
        <v>363860.71</v>
      </c>
      <c r="AL30" s="475">
        <f t="shared" ca="1" si="20"/>
        <v>464124.04999999993</v>
      </c>
      <c r="AM30" s="480"/>
      <c r="AN30" s="477">
        <f t="shared" si="21"/>
        <v>0</v>
      </c>
      <c r="AO30" s="480"/>
      <c r="AP30" s="477">
        <f t="shared" si="22"/>
        <v>0</v>
      </c>
      <c r="AQ30" s="480"/>
      <c r="AR30" s="477">
        <f t="shared" si="23"/>
        <v>0</v>
      </c>
      <c r="AS30" s="480"/>
      <c r="AT30" s="477">
        <f t="shared" ca="1" si="24"/>
        <v>464124.04999999993</v>
      </c>
      <c r="AU30" s="475">
        <f t="shared" ca="1" si="25"/>
        <v>464124.04999999993</v>
      </c>
      <c r="AV30" s="480"/>
      <c r="AW30" s="477">
        <f t="shared" si="26"/>
        <v>0</v>
      </c>
      <c r="AX30" s="480"/>
      <c r="AY30" s="477">
        <f t="shared" si="27"/>
        <v>0</v>
      </c>
      <c r="AZ30" s="480"/>
      <c r="BA30" s="477">
        <f t="shared" si="28"/>
        <v>0</v>
      </c>
      <c r="BB30" s="480"/>
      <c r="BC30" s="850">
        <f t="shared" ca="1" si="29"/>
        <v>1919585.2599999998</v>
      </c>
    </row>
    <row r="31" spans="1:55" s="2229" customFormat="1" ht="28">
      <c r="A31" s="2219" t="str">
        <f t="shared" ca="1" si="0"/>
        <v/>
      </c>
      <c r="B31" s="2220">
        <v>25</v>
      </c>
      <c r="C31" s="2221" t="str">
        <f t="shared" ca="1" si="1"/>
        <v>3.</v>
      </c>
      <c r="D31" s="2222" t="str">
        <f ca="1">IFERROR(VLOOKUP(LEFT(E31,4),Nom_activ_2!D:G,4,0),"")</f>
        <v>3.1.  Asigurarea continuă cu medicamente TB</v>
      </c>
      <c r="E31" s="2222" t="str">
        <f t="shared" ca="1" si="2"/>
        <v xml:space="preserve">3.1.2. Asigurarea continuă cu medicamente pentru tratamentul TB RR/MDR/XDR </v>
      </c>
      <c r="F31" s="2223" t="str">
        <f t="shared" ca="1" si="30"/>
        <v>Tratament Malul Drept RR/MDR/FQ rez_penitenciare</v>
      </c>
      <c r="G31" s="2224">
        <f t="shared" ca="1" si="30"/>
        <v>0</v>
      </c>
      <c r="H31" s="2225" t="str">
        <f t="shared" ca="1" si="30"/>
        <v>GFATM</v>
      </c>
      <c r="I31" s="2226" t="s">
        <v>422</v>
      </c>
      <c r="J31" s="838" t="str">
        <f t="shared" si="4"/>
        <v>Tratament_FLD_SLD!$A:$j</v>
      </c>
      <c r="K31" s="2227">
        <f t="shared" ca="1" si="5"/>
        <v>169534.04285704184</v>
      </c>
      <c r="L31" s="480"/>
      <c r="M31" s="477">
        <f t="shared" si="6"/>
        <v>0</v>
      </c>
      <c r="N31" s="480"/>
      <c r="O31" s="477">
        <f t="shared" si="7"/>
        <v>0</v>
      </c>
      <c r="P31" s="480"/>
      <c r="Q31" s="477">
        <f t="shared" si="8"/>
        <v>0</v>
      </c>
      <c r="R31" s="480"/>
      <c r="S31" s="477">
        <f t="shared" ca="1" si="9"/>
        <v>169534.04285704184</v>
      </c>
      <c r="T31" s="2227">
        <f t="shared" ca="1" si="10"/>
        <v>204213.90286452681</v>
      </c>
      <c r="U31" s="480"/>
      <c r="V31" s="477">
        <f t="shared" si="11"/>
        <v>0</v>
      </c>
      <c r="W31" s="480"/>
      <c r="X31" s="477">
        <f t="shared" si="12"/>
        <v>0</v>
      </c>
      <c r="Y31" s="480"/>
      <c r="Z31" s="477">
        <f t="shared" si="13"/>
        <v>0</v>
      </c>
      <c r="AA31" s="480"/>
      <c r="AB31" s="477">
        <f t="shared" ca="1" si="14"/>
        <v>204213.90286452681</v>
      </c>
      <c r="AC31" s="2227">
        <f t="shared" ca="1" si="15"/>
        <v>169534.04285704184</v>
      </c>
      <c r="AD31" s="480"/>
      <c r="AE31" s="477">
        <f t="shared" si="16"/>
        <v>0</v>
      </c>
      <c r="AF31" s="480"/>
      <c r="AG31" s="477">
        <f t="shared" si="17"/>
        <v>0</v>
      </c>
      <c r="AH31" s="480"/>
      <c r="AI31" s="477">
        <f t="shared" si="18"/>
        <v>0</v>
      </c>
      <c r="AJ31" s="480"/>
      <c r="AK31" s="477">
        <f t="shared" ca="1" si="19"/>
        <v>169534.04285704184</v>
      </c>
      <c r="AL31" s="2227">
        <f t="shared" ca="1" si="20"/>
        <v>0</v>
      </c>
      <c r="AM31" s="480"/>
      <c r="AN31" s="477">
        <f t="shared" si="21"/>
        <v>0</v>
      </c>
      <c r="AO31" s="480"/>
      <c r="AP31" s="477">
        <f t="shared" si="22"/>
        <v>0</v>
      </c>
      <c r="AQ31" s="480"/>
      <c r="AR31" s="477">
        <f t="shared" si="23"/>
        <v>0</v>
      </c>
      <c r="AS31" s="480"/>
      <c r="AT31" s="477">
        <f t="shared" ca="1" si="24"/>
        <v>0</v>
      </c>
      <c r="AU31" s="2227">
        <f t="shared" ca="1" si="25"/>
        <v>0</v>
      </c>
      <c r="AV31" s="480"/>
      <c r="AW31" s="477">
        <f t="shared" si="26"/>
        <v>0</v>
      </c>
      <c r="AX31" s="480"/>
      <c r="AY31" s="477">
        <f t="shared" si="27"/>
        <v>0</v>
      </c>
      <c r="AZ31" s="480"/>
      <c r="BA31" s="477">
        <f t="shared" si="28"/>
        <v>0</v>
      </c>
      <c r="BB31" s="480"/>
      <c r="BC31" s="2228">
        <f t="shared" ca="1" si="29"/>
        <v>543281.98857861047</v>
      </c>
    </row>
    <row r="32" spans="1:55" ht="28">
      <c r="A32" s="837" t="str">
        <f t="shared" ca="1" si="0"/>
        <v/>
      </c>
      <c r="B32" s="440">
        <v>26</v>
      </c>
      <c r="C32" s="834" t="str">
        <f t="shared" ca="1" si="1"/>
        <v>4.</v>
      </c>
      <c r="D32" s="1757" t="str">
        <f ca="1">IFERROR(VLOOKUP(LEFT(E32,4),Nom_activ_2!D:G,4,0),"")</f>
        <v>4.1.  Consolidarea capacităților pentru realizarea unui control eficient al co-infecţiei TB/HIV</v>
      </c>
      <c r="E32" s="1757" t="str">
        <f t="shared" ca="1" si="2"/>
        <v>4.1.6. Asigurarea tratamentului preventiv cu co-trimoxazol la pacienții cu TB/HIV</v>
      </c>
      <c r="F32" s="1777" t="str">
        <f t="shared" ca="1" si="30"/>
        <v>Co_trim_ Malul Stang RR/MDR/FQ rez_penitenc_ adulti</v>
      </c>
      <c r="G32" s="839">
        <f t="shared" ca="1" si="30"/>
        <v>0</v>
      </c>
      <c r="H32" s="840" t="str">
        <f t="shared" ca="1" si="30"/>
        <v>Buget local (Malul Stang)</v>
      </c>
      <c r="I32" s="443" t="s">
        <v>422</v>
      </c>
      <c r="J32" s="838" t="str">
        <f t="shared" si="4"/>
        <v>Tratament_FLD_SLD!$A:$j</v>
      </c>
      <c r="K32" s="475">
        <f t="shared" ca="1" si="5"/>
        <v>18910</v>
      </c>
      <c r="L32" s="480"/>
      <c r="M32" s="477">
        <f t="shared" si="6"/>
        <v>0</v>
      </c>
      <c r="N32" s="480"/>
      <c r="O32" s="477">
        <f t="shared" si="7"/>
        <v>0</v>
      </c>
      <c r="P32" s="480"/>
      <c r="Q32" s="477">
        <f t="shared" si="8"/>
        <v>0</v>
      </c>
      <c r="R32" s="480"/>
      <c r="S32" s="477">
        <f t="shared" ca="1" si="9"/>
        <v>18910</v>
      </c>
      <c r="T32" s="475">
        <f t="shared" ca="1" si="10"/>
        <v>18910</v>
      </c>
      <c r="U32" s="480"/>
      <c r="V32" s="477">
        <f t="shared" si="11"/>
        <v>0</v>
      </c>
      <c r="W32" s="480"/>
      <c r="X32" s="477">
        <f t="shared" si="12"/>
        <v>0</v>
      </c>
      <c r="Y32" s="480"/>
      <c r="Z32" s="477">
        <f t="shared" si="13"/>
        <v>0</v>
      </c>
      <c r="AA32" s="480"/>
      <c r="AB32" s="477">
        <f t="shared" ca="1" si="14"/>
        <v>18910</v>
      </c>
      <c r="AC32" s="475">
        <f t="shared" ca="1" si="15"/>
        <v>19160</v>
      </c>
      <c r="AD32" s="480"/>
      <c r="AE32" s="477">
        <f t="shared" si="16"/>
        <v>0</v>
      </c>
      <c r="AF32" s="480"/>
      <c r="AG32" s="477">
        <f t="shared" si="17"/>
        <v>0</v>
      </c>
      <c r="AH32" s="480"/>
      <c r="AI32" s="477">
        <f t="shared" si="18"/>
        <v>0</v>
      </c>
      <c r="AJ32" s="480"/>
      <c r="AK32" s="477">
        <f t="shared" ca="1" si="19"/>
        <v>19160</v>
      </c>
      <c r="AL32" s="475">
        <f t="shared" ca="1" si="20"/>
        <v>19587.5</v>
      </c>
      <c r="AM32" s="480"/>
      <c r="AN32" s="477">
        <f t="shared" si="21"/>
        <v>0</v>
      </c>
      <c r="AO32" s="480"/>
      <c r="AP32" s="477">
        <f t="shared" si="22"/>
        <v>0</v>
      </c>
      <c r="AQ32" s="480"/>
      <c r="AR32" s="477">
        <f t="shared" si="23"/>
        <v>0</v>
      </c>
      <c r="AS32" s="480"/>
      <c r="AT32" s="477">
        <f t="shared" ca="1" si="24"/>
        <v>19587.5</v>
      </c>
      <c r="AU32" s="475">
        <f t="shared" ca="1" si="25"/>
        <v>19982.5</v>
      </c>
      <c r="AV32" s="480"/>
      <c r="AW32" s="477">
        <f t="shared" si="26"/>
        <v>0</v>
      </c>
      <c r="AX32" s="480"/>
      <c r="AY32" s="477">
        <f t="shared" si="27"/>
        <v>0</v>
      </c>
      <c r="AZ32" s="480"/>
      <c r="BA32" s="477">
        <f t="shared" si="28"/>
        <v>0</v>
      </c>
      <c r="BB32" s="480"/>
      <c r="BC32" s="850">
        <f t="shared" ca="1" si="29"/>
        <v>96550</v>
      </c>
    </row>
    <row r="33" spans="1:55" ht="28">
      <c r="A33" s="837" t="str">
        <f t="shared" ca="1" si="0"/>
        <v/>
      </c>
      <c r="B33" s="440">
        <v>27</v>
      </c>
      <c r="C33" s="834" t="str">
        <f t="shared" ca="1" si="1"/>
        <v>3.</v>
      </c>
      <c r="D33" s="1757" t="str">
        <f ca="1">IFERROR(VLOOKUP(LEFT(E33,4),Nom_activ_2!D:G,4,0),"")</f>
        <v>3.1.  Asigurarea continuă cu medicamente TB</v>
      </c>
      <c r="E33" s="1757" t="str">
        <f t="shared" ca="1" si="2"/>
        <v xml:space="preserve">3.1.2. Asigurarea continuă cu medicamente pentru tratamentul TB RR/MDR/XDR </v>
      </c>
      <c r="F33" s="1777" t="str">
        <f t="shared" ca="1" si="30"/>
        <v>Tratament Malul Stang RR/MDR/FQ rez_adulti (civil+penitenciar)</v>
      </c>
      <c r="G33" s="839">
        <f t="shared" ca="1" si="30"/>
        <v>0</v>
      </c>
      <c r="H33" s="840" t="str">
        <f t="shared" ca="1" si="30"/>
        <v>Buget local (Malul Stang)</v>
      </c>
      <c r="I33" s="443" t="s">
        <v>422</v>
      </c>
      <c r="J33" s="838" t="str">
        <f t="shared" si="4"/>
        <v>Tratament_FLD_SLD!$A:$j</v>
      </c>
      <c r="K33" s="475">
        <f t="shared" ca="1" si="5"/>
        <v>0</v>
      </c>
      <c r="L33" s="480"/>
      <c r="M33" s="477">
        <f t="shared" si="6"/>
        <v>0</v>
      </c>
      <c r="N33" s="480"/>
      <c r="O33" s="477">
        <f t="shared" si="7"/>
        <v>0</v>
      </c>
      <c r="P33" s="480"/>
      <c r="Q33" s="477">
        <f t="shared" si="8"/>
        <v>0</v>
      </c>
      <c r="R33" s="480"/>
      <c r="S33" s="477">
        <f t="shared" ca="1" si="9"/>
        <v>0</v>
      </c>
      <c r="T33" s="475">
        <f t="shared" ca="1" si="10"/>
        <v>0</v>
      </c>
      <c r="U33" s="480"/>
      <c r="V33" s="477">
        <f t="shared" si="11"/>
        <v>0</v>
      </c>
      <c r="W33" s="480"/>
      <c r="X33" s="477">
        <f t="shared" si="12"/>
        <v>0</v>
      </c>
      <c r="Y33" s="480"/>
      <c r="Z33" s="477">
        <f t="shared" si="13"/>
        <v>0</v>
      </c>
      <c r="AA33" s="480"/>
      <c r="AB33" s="477">
        <f t="shared" ca="1" si="14"/>
        <v>0</v>
      </c>
      <c r="AC33" s="475">
        <f t="shared" ca="1" si="15"/>
        <v>0</v>
      </c>
      <c r="AD33" s="480"/>
      <c r="AE33" s="477">
        <f t="shared" si="16"/>
        <v>0</v>
      </c>
      <c r="AF33" s="480"/>
      <c r="AG33" s="477">
        <f t="shared" si="17"/>
        <v>0</v>
      </c>
      <c r="AH33" s="480"/>
      <c r="AI33" s="477">
        <f t="shared" si="18"/>
        <v>0</v>
      </c>
      <c r="AJ33" s="480"/>
      <c r="AK33" s="477">
        <f t="shared" ca="1" si="19"/>
        <v>0</v>
      </c>
      <c r="AL33" s="475">
        <f t="shared" ca="1" si="20"/>
        <v>8894471.4299999997</v>
      </c>
      <c r="AM33" s="480"/>
      <c r="AN33" s="477">
        <f t="shared" si="21"/>
        <v>0</v>
      </c>
      <c r="AO33" s="480"/>
      <c r="AP33" s="477">
        <f t="shared" si="22"/>
        <v>0</v>
      </c>
      <c r="AQ33" s="480"/>
      <c r="AR33" s="477">
        <f t="shared" si="23"/>
        <v>0</v>
      </c>
      <c r="AS33" s="480"/>
      <c r="AT33" s="477">
        <f t="shared" ca="1" si="24"/>
        <v>8894471.4299999997</v>
      </c>
      <c r="AU33" s="475">
        <f t="shared" ca="1" si="25"/>
        <v>9069590.9299999978</v>
      </c>
      <c r="AV33" s="480"/>
      <c r="AW33" s="477">
        <f t="shared" si="26"/>
        <v>0</v>
      </c>
      <c r="AX33" s="480"/>
      <c r="AY33" s="477">
        <f t="shared" si="27"/>
        <v>0</v>
      </c>
      <c r="AZ33" s="480"/>
      <c r="BA33" s="477">
        <f t="shared" si="28"/>
        <v>0</v>
      </c>
      <c r="BB33" s="480"/>
      <c r="BC33" s="850">
        <f t="shared" ca="1" si="29"/>
        <v>17964062.359999999</v>
      </c>
    </row>
    <row r="34" spans="1:55" s="2229" customFormat="1" ht="28">
      <c r="A34" s="2219" t="str">
        <f t="shared" ca="1" si="0"/>
        <v/>
      </c>
      <c r="B34" s="2220">
        <v>28</v>
      </c>
      <c r="C34" s="2221" t="str">
        <f t="shared" ca="1" si="1"/>
        <v>3.</v>
      </c>
      <c r="D34" s="2222" t="str">
        <f ca="1">IFERROR(VLOOKUP(LEFT(E34,4),Nom_activ_2!D:G,4,0),"")</f>
        <v>3.1.  Asigurarea continuă cu medicamente TB</v>
      </c>
      <c r="E34" s="2222" t="str">
        <f t="shared" ca="1" si="2"/>
        <v xml:space="preserve">3.1.2. Asigurarea continuă cu medicamente pentru tratamentul TB RR/MDR/XDR </v>
      </c>
      <c r="F34" s="2223" t="str">
        <f t="shared" ca="1" si="30"/>
        <v>Tratament Malul Stang RR/MDR/FQ rez_adulti (civil+penitenciar)</v>
      </c>
      <c r="G34" s="2224">
        <f t="shared" ca="1" si="30"/>
        <v>0</v>
      </c>
      <c r="H34" s="2225" t="str">
        <f t="shared" ca="1" si="30"/>
        <v>GFATM</v>
      </c>
      <c r="I34" s="2226" t="s">
        <v>422</v>
      </c>
      <c r="J34" s="838" t="str">
        <f t="shared" si="4"/>
        <v>Tratament_FLD_SLD!$A:$j</v>
      </c>
      <c r="K34" s="2227">
        <f t="shared" ca="1" si="5"/>
        <v>5168259.4317338774</v>
      </c>
      <c r="L34" s="480"/>
      <c r="M34" s="477">
        <f t="shared" si="6"/>
        <v>0</v>
      </c>
      <c r="N34" s="480"/>
      <c r="O34" s="477">
        <f t="shared" si="7"/>
        <v>0</v>
      </c>
      <c r="P34" s="480"/>
      <c r="Q34" s="477">
        <f t="shared" si="8"/>
        <v>0</v>
      </c>
      <c r="R34" s="480"/>
      <c r="S34" s="477">
        <f t="shared" ca="1" si="9"/>
        <v>5168259.4317338774</v>
      </c>
      <c r="T34" s="2227">
        <f t="shared" ca="1" si="10"/>
        <v>10301630.895153403</v>
      </c>
      <c r="U34" s="480"/>
      <c r="V34" s="477">
        <f t="shared" si="11"/>
        <v>0</v>
      </c>
      <c r="W34" s="480"/>
      <c r="X34" s="477">
        <f t="shared" si="12"/>
        <v>0</v>
      </c>
      <c r="Y34" s="480"/>
      <c r="Z34" s="477">
        <f t="shared" si="13"/>
        <v>0</v>
      </c>
      <c r="AA34" s="480"/>
      <c r="AB34" s="477">
        <f t="shared" ca="1" si="14"/>
        <v>10301630.895153403</v>
      </c>
      <c r="AC34" s="2227">
        <f t="shared" ca="1" si="15"/>
        <v>10423173.724537138</v>
      </c>
      <c r="AD34" s="480"/>
      <c r="AE34" s="477">
        <f t="shared" si="16"/>
        <v>0</v>
      </c>
      <c r="AF34" s="480"/>
      <c r="AG34" s="477">
        <f t="shared" si="17"/>
        <v>0</v>
      </c>
      <c r="AH34" s="480"/>
      <c r="AI34" s="477">
        <f t="shared" si="18"/>
        <v>0</v>
      </c>
      <c r="AJ34" s="480"/>
      <c r="AK34" s="477">
        <f t="shared" ca="1" si="19"/>
        <v>10423173.724537138</v>
      </c>
      <c r="AL34" s="2227">
        <f t="shared" ca="1" si="20"/>
        <v>0</v>
      </c>
      <c r="AM34" s="480"/>
      <c r="AN34" s="477">
        <f t="shared" si="21"/>
        <v>0</v>
      </c>
      <c r="AO34" s="480"/>
      <c r="AP34" s="477">
        <f t="shared" si="22"/>
        <v>0</v>
      </c>
      <c r="AQ34" s="480"/>
      <c r="AR34" s="477">
        <f t="shared" si="23"/>
        <v>0</v>
      </c>
      <c r="AS34" s="480"/>
      <c r="AT34" s="477">
        <f t="shared" ca="1" si="24"/>
        <v>0</v>
      </c>
      <c r="AU34" s="2227">
        <f t="shared" ca="1" si="25"/>
        <v>0</v>
      </c>
      <c r="AV34" s="480"/>
      <c r="AW34" s="477">
        <f t="shared" si="26"/>
        <v>0</v>
      </c>
      <c r="AX34" s="480"/>
      <c r="AY34" s="477">
        <f t="shared" si="27"/>
        <v>0</v>
      </c>
      <c r="AZ34" s="480"/>
      <c r="BA34" s="477">
        <f t="shared" si="28"/>
        <v>0</v>
      </c>
      <c r="BB34" s="480"/>
      <c r="BC34" s="2228">
        <f t="shared" ca="1" si="29"/>
        <v>25893064.051424418</v>
      </c>
    </row>
    <row r="35" spans="1:55" ht="28">
      <c r="A35" s="837" t="str">
        <f t="shared" ca="1" si="0"/>
        <v/>
      </c>
      <c r="B35" s="440">
        <v>29</v>
      </c>
      <c r="C35" s="834" t="str">
        <f t="shared" ca="1" si="1"/>
        <v>3.</v>
      </c>
      <c r="D35" s="1757" t="str">
        <f ca="1">IFERROR(VLOOKUP(LEFT(E35,4),Nom_activ_2!D:G,4,0),"")</f>
        <v>3.1.  Asigurarea continuă cu medicamente TB</v>
      </c>
      <c r="E35" s="1757" t="str">
        <f t="shared" ca="1" si="2"/>
        <v>3.1.3. Asigurarea continuă cu medicamente, forme pediatrice TB</v>
      </c>
      <c r="F35" s="1777" t="str">
        <f t="shared" ca="1" si="30"/>
        <v>Tratament Malul Stang RR/MDR/FQ rez_copii</v>
      </c>
      <c r="G35" s="839">
        <f t="shared" ca="1" si="30"/>
        <v>0</v>
      </c>
      <c r="H35" s="840" t="str">
        <f t="shared" ca="1" si="30"/>
        <v>Buget local (Malul Stang)</v>
      </c>
      <c r="I35" s="443" t="s">
        <v>422</v>
      </c>
      <c r="J35" s="838" t="str">
        <f t="shared" si="4"/>
        <v>Tratament_FLD_SLD!$A:$j</v>
      </c>
      <c r="K35" s="475">
        <f t="shared" ca="1" si="5"/>
        <v>0</v>
      </c>
      <c r="L35" s="480"/>
      <c r="M35" s="477">
        <f t="shared" si="6"/>
        <v>0</v>
      </c>
      <c r="N35" s="480"/>
      <c r="O35" s="477">
        <f t="shared" si="7"/>
        <v>0</v>
      </c>
      <c r="P35" s="480"/>
      <c r="Q35" s="477">
        <f t="shared" si="8"/>
        <v>0</v>
      </c>
      <c r="R35" s="480"/>
      <c r="S35" s="477">
        <f t="shared" ca="1" si="9"/>
        <v>0</v>
      </c>
      <c r="T35" s="475">
        <f t="shared" ca="1" si="10"/>
        <v>0</v>
      </c>
      <c r="U35" s="480"/>
      <c r="V35" s="477">
        <f t="shared" si="11"/>
        <v>0</v>
      </c>
      <c r="W35" s="480"/>
      <c r="X35" s="477">
        <f t="shared" si="12"/>
        <v>0</v>
      </c>
      <c r="Y35" s="480"/>
      <c r="Z35" s="477">
        <f t="shared" si="13"/>
        <v>0</v>
      </c>
      <c r="AA35" s="480"/>
      <c r="AB35" s="477">
        <f t="shared" ca="1" si="14"/>
        <v>0</v>
      </c>
      <c r="AC35" s="475">
        <f t="shared" ca="1" si="15"/>
        <v>0</v>
      </c>
      <c r="AD35" s="480"/>
      <c r="AE35" s="477">
        <f t="shared" si="16"/>
        <v>0</v>
      </c>
      <c r="AF35" s="480"/>
      <c r="AG35" s="477">
        <f t="shared" si="17"/>
        <v>0</v>
      </c>
      <c r="AH35" s="480"/>
      <c r="AI35" s="477">
        <f t="shared" si="18"/>
        <v>0</v>
      </c>
      <c r="AJ35" s="480"/>
      <c r="AK35" s="477">
        <f t="shared" ca="1" si="19"/>
        <v>0</v>
      </c>
      <c r="AL35" s="475">
        <f t="shared" ca="1" si="20"/>
        <v>152192.51999999999</v>
      </c>
      <c r="AM35" s="480"/>
      <c r="AN35" s="477">
        <f t="shared" si="21"/>
        <v>0</v>
      </c>
      <c r="AO35" s="480"/>
      <c r="AP35" s="477">
        <f t="shared" si="22"/>
        <v>0</v>
      </c>
      <c r="AQ35" s="480"/>
      <c r="AR35" s="477">
        <f t="shared" si="23"/>
        <v>0</v>
      </c>
      <c r="AS35" s="480"/>
      <c r="AT35" s="477">
        <f t="shared" ca="1" si="24"/>
        <v>152192.51999999999</v>
      </c>
      <c r="AU35" s="475">
        <f t="shared" ca="1" si="25"/>
        <v>152192.51999999999</v>
      </c>
      <c r="AV35" s="480"/>
      <c r="AW35" s="477">
        <f t="shared" si="26"/>
        <v>0</v>
      </c>
      <c r="AX35" s="480"/>
      <c r="AY35" s="477">
        <f t="shared" si="27"/>
        <v>0</v>
      </c>
      <c r="AZ35" s="480"/>
      <c r="BA35" s="477">
        <f t="shared" si="28"/>
        <v>0</v>
      </c>
      <c r="BB35" s="480"/>
      <c r="BC35" s="850">
        <f t="shared" ca="1" si="29"/>
        <v>304385.03999999998</v>
      </c>
    </row>
    <row r="36" spans="1:55" ht="28">
      <c r="A36" s="837" t="str">
        <f t="shared" ca="1" si="0"/>
        <v/>
      </c>
      <c r="B36" s="440">
        <v>30</v>
      </c>
      <c r="C36" s="834" t="str">
        <f t="shared" ca="1" si="1"/>
        <v>3.</v>
      </c>
      <c r="D36" s="1757" t="str">
        <f ca="1">IFERROR(VLOOKUP(LEFT(E36,4),Nom_activ_2!D:G,4,0),"")</f>
        <v>3.1.  Asigurarea continuă cu medicamente TB</v>
      </c>
      <c r="E36" s="1757" t="str">
        <f t="shared" ca="1" si="2"/>
        <v>3.1.3. Asigurarea continuă cu medicamente, forme pediatrice TB</v>
      </c>
      <c r="F36" s="1777" t="str">
        <f t="shared" ca="1" si="30"/>
        <v>Tratament Malul Stang RR/MDR/FQ rez_copii</v>
      </c>
      <c r="G36" s="839">
        <f t="shared" ca="1" si="30"/>
        <v>0</v>
      </c>
      <c r="H36" s="840" t="str">
        <f t="shared" ca="1" si="30"/>
        <v>GFATM</v>
      </c>
      <c r="I36" s="443" t="s">
        <v>422</v>
      </c>
      <c r="J36" s="838" t="str">
        <f t="shared" si="4"/>
        <v>Tratament_FLD_SLD!$A:$j</v>
      </c>
      <c r="K36" s="475">
        <f t="shared" ca="1" si="5"/>
        <v>133596.400337561</v>
      </c>
      <c r="L36" s="480"/>
      <c r="M36" s="477">
        <f t="shared" si="6"/>
        <v>0</v>
      </c>
      <c r="N36" s="480"/>
      <c r="O36" s="477">
        <f t="shared" si="7"/>
        <v>0</v>
      </c>
      <c r="P36" s="480"/>
      <c r="Q36" s="477">
        <f t="shared" si="8"/>
        <v>0</v>
      </c>
      <c r="R36" s="480"/>
      <c r="S36" s="477">
        <f t="shared" ca="1" si="9"/>
        <v>133596.400337561</v>
      </c>
      <c r="T36" s="475">
        <f t="shared" ca="1" si="10"/>
        <v>200394.50335026922</v>
      </c>
      <c r="U36" s="480"/>
      <c r="V36" s="477">
        <f t="shared" si="11"/>
        <v>0</v>
      </c>
      <c r="W36" s="480"/>
      <c r="X36" s="477">
        <f t="shared" si="12"/>
        <v>0</v>
      </c>
      <c r="Y36" s="480"/>
      <c r="Z36" s="477">
        <f t="shared" si="13"/>
        <v>0</v>
      </c>
      <c r="AA36" s="480"/>
      <c r="AB36" s="477">
        <f t="shared" ca="1" si="14"/>
        <v>200394.50335026922</v>
      </c>
      <c r="AC36" s="475">
        <f t="shared" ca="1" si="15"/>
        <v>200394.50335026922</v>
      </c>
      <c r="AD36" s="480"/>
      <c r="AE36" s="477">
        <f t="shared" si="16"/>
        <v>0</v>
      </c>
      <c r="AF36" s="480"/>
      <c r="AG36" s="477">
        <f t="shared" si="17"/>
        <v>0</v>
      </c>
      <c r="AH36" s="480"/>
      <c r="AI36" s="477">
        <f t="shared" si="18"/>
        <v>0</v>
      </c>
      <c r="AJ36" s="480"/>
      <c r="AK36" s="477">
        <f t="shared" ca="1" si="19"/>
        <v>200394.50335026922</v>
      </c>
      <c r="AL36" s="475">
        <f t="shared" ca="1" si="20"/>
        <v>0</v>
      </c>
      <c r="AM36" s="480"/>
      <c r="AN36" s="477">
        <f t="shared" si="21"/>
        <v>0</v>
      </c>
      <c r="AO36" s="480"/>
      <c r="AP36" s="477">
        <f t="shared" si="22"/>
        <v>0</v>
      </c>
      <c r="AQ36" s="480"/>
      <c r="AR36" s="477">
        <f t="shared" si="23"/>
        <v>0</v>
      </c>
      <c r="AS36" s="480"/>
      <c r="AT36" s="477">
        <f t="shared" ca="1" si="24"/>
        <v>0</v>
      </c>
      <c r="AU36" s="475">
        <f t="shared" ca="1" si="25"/>
        <v>0</v>
      </c>
      <c r="AV36" s="480"/>
      <c r="AW36" s="477">
        <f t="shared" si="26"/>
        <v>0</v>
      </c>
      <c r="AX36" s="480"/>
      <c r="AY36" s="477">
        <f t="shared" si="27"/>
        <v>0</v>
      </c>
      <c r="AZ36" s="480"/>
      <c r="BA36" s="477">
        <f t="shared" si="28"/>
        <v>0</v>
      </c>
      <c r="BB36" s="480"/>
      <c r="BC36" s="850">
        <f t="shared" ca="1" si="29"/>
        <v>534385.40703809937</v>
      </c>
    </row>
    <row r="37" spans="1:55" ht="28">
      <c r="A37" s="837" t="str">
        <f t="shared" ca="1" si="0"/>
        <v/>
      </c>
      <c r="B37" s="440">
        <v>31</v>
      </c>
      <c r="C37" s="834" t="str">
        <f t="shared" ca="1" si="1"/>
        <v>4.</v>
      </c>
      <c r="D37" s="1757" t="str">
        <f ca="1">IFERROR(VLOOKUP(LEFT(E37,4),Nom_activ_2!D:G,4,0),"")</f>
        <v>4.1.  Consolidarea capacităților pentru realizarea unui control eficient al co-infecţiei TB/HIV</v>
      </c>
      <c r="E37" s="1757" t="str">
        <f t="shared" ca="1" si="2"/>
        <v>4.1.6. Asigurarea tratamentului preventiv cu co-trimoxazol la pacienții cu TB/HIV</v>
      </c>
      <c r="F37" s="1777" t="str">
        <f t="shared" ca="1" si="30"/>
        <v>Co_trim_ Malul Drept TB poly</v>
      </c>
      <c r="G37" s="839">
        <f t="shared" ca="1" si="30"/>
        <v>0</v>
      </c>
      <c r="H37" s="840" t="str">
        <f t="shared" ca="1" si="30"/>
        <v>MMPSF</v>
      </c>
      <c r="I37" s="443" t="s">
        <v>422</v>
      </c>
      <c r="J37" s="838" t="str">
        <f t="shared" si="4"/>
        <v>Tratament_FLD_SLD!$A:$j</v>
      </c>
      <c r="K37" s="475">
        <f t="shared" ca="1" si="5"/>
        <v>1980</v>
      </c>
      <c r="L37" s="480"/>
      <c r="M37" s="477">
        <f t="shared" si="6"/>
        <v>0</v>
      </c>
      <c r="N37" s="480"/>
      <c r="O37" s="477">
        <f t="shared" si="7"/>
        <v>0</v>
      </c>
      <c r="P37" s="480"/>
      <c r="Q37" s="477">
        <f t="shared" si="8"/>
        <v>0</v>
      </c>
      <c r="R37" s="480"/>
      <c r="S37" s="477">
        <f t="shared" ca="1" si="9"/>
        <v>1980</v>
      </c>
      <c r="T37" s="475">
        <f t="shared" ca="1" si="10"/>
        <v>1980</v>
      </c>
      <c r="U37" s="480"/>
      <c r="V37" s="477">
        <f t="shared" si="11"/>
        <v>0</v>
      </c>
      <c r="W37" s="480"/>
      <c r="X37" s="477">
        <f t="shared" si="12"/>
        <v>0</v>
      </c>
      <c r="Y37" s="480"/>
      <c r="Z37" s="477">
        <f t="shared" si="13"/>
        <v>0</v>
      </c>
      <c r="AA37" s="480"/>
      <c r="AB37" s="477">
        <f t="shared" ca="1" si="14"/>
        <v>1980</v>
      </c>
      <c r="AC37" s="475">
        <f t="shared" ca="1" si="15"/>
        <v>1980</v>
      </c>
      <c r="AD37" s="480"/>
      <c r="AE37" s="477">
        <f t="shared" si="16"/>
        <v>0</v>
      </c>
      <c r="AF37" s="480"/>
      <c r="AG37" s="477">
        <f t="shared" si="17"/>
        <v>0</v>
      </c>
      <c r="AH37" s="480"/>
      <c r="AI37" s="477">
        <f t="shared" si="18"/>
        <v>0</v>
      </c>
      <c r="AJ37" s="480"/>
      <c r="AK37" s="477">
        <f t="shared" ca="1" si="19"/>
        <v>1980</v>
      </c>
      <c r="AL37" s="475">
        <f t="shared" ca="1" si="20"/>
        <v>1800</v>
      </c>
      <c r="AM37" s="480"/>
      <c r="AN37" s="477">
        <f t="shared" si="21"/>
        <v>0</v>
      </c>
      <c r="AO37" s="480"/>
      <c r="AP37" s="477">
        <f t="shared" si="22"/>
        <v>0</v>
      </c>
      <c r="AQ37" s="480"/>
      <c r="AR37" s="477">
        <f t="shared" si="23"/>
        <v>0</v>
      </c>
      <c r="AS37" s="480"/>
      <c r="AT37" s="477">
        <f t="shared" ca="1" si="24"/>
        <v>1800</v>
      </c>
      <c r="AU37" s="475">
        <f t="shared" ca="1" si="25"/>
        <v>1800</v>
      </c>
      <c r="AV37" s="480"/>
      <c r="AW37" s="477">
        <f t="shared" si="26"/>
        <v>0</v>
      </c>
      <c r="AX37" s="480"/>
      <c r="AY37" s="477">
        <f t="shared" si="27"/>
        <v>0</v>
      </c>
      <c r="AZ37" s="480"/>
      <c r="BA37" s="477">
        <f t="shared" si="28"/>
        <v>0</v>
      </c>
      <c r="BB37" s="480"/>
      <c r="BC37" s="850">
        <f t="shared" ca="1" si="29"/>
        <v>9540</v>
      </c>
    </row>
    <row r="38" spans="1:55" ht="28">
      <c r="A38" s="837" t="str">
        <f t="shared" ca="1" si="0"/>
        <v/>
      </c>
      <c r="B38" s="440">
        <v>32</v>
      </c>
      <c r="C38" s="834" t="str">
        <f t="shared" ca="1" si="1"/>
        <v>3.</v>
      </c>
      <c r="D38" s="1757" t="str">
        <f ca="1">IFERROR(VLOOKUP(LEFT(E38,4),Nom_activ_2!D:G,4,0),"")</f>
        <v>3.1.  Asigurarea continuă cu medicamente TB</v>
      </c>
      <c r="E38" s="1757" t="str">
        <f t="shared" ca="1" si="2"/>
        <v xml:space="preserve">3.1.1. Asigurarea continuă cu medicamente pentru tratamentul TB sensibile </v>
      </c>
      <c r="F38" s="1777" t="str">
        <f t="shared" ca="1" si="30"/>
        <v>Tratament Malul Drept TB poly</v>
      </c>
      <c r="G38" s="839">
        <f t="shared" ca="1" si="30"/>
        <v>0</v>
      </c>
      <c r="H38" s="840" t="str">
        <f t="shared" ca="1" si="30"/>
        <v>MMPSF</v>
      </c>
      <c r="I38" s="443" t="s">
        <v>422</v>
      </c>
      <c r="J38" s="838" t="str">
        <f t="shared" si="4"/>
        <v>Tratament_FLD_SLD!$A:$j</v>
      </c>
      <c r="K38" s="475">
        <f t="shared" ca="1" si="5"/>
        <v>535150.80000000005</v>
      </c>
      <c r="L38" s="480"/>
      <c r="M38" s="477">
        <f t="shared" si="6"/>
        <v>0</v>
      </c>
      <c r="N38" s="480"/>
      <c r="O38" s="477">
        <f t="shared" si="7"/>
        <v>0</v>
      </c>
      <c r="P38" s="480"/>
      <c r="Q38" s="477">
        <f t="shared" si="8"/>
        <v>0</v>
      </c>
      <c r="R38" s="480"/>
      <c r="S38" s="477">
        <f t="shared" ca="1" si="9"/>
        <v>535150.80000000005</v>
      </c>
      <c r="T38" s="475">
        <f t="shared" ca="1" si="10"/>
        <v>519031.8</v>
      </c>
      <c r="U38" s="480"/>
      <c r="V38" s="477">
        <f t="shared" si="11"/>
        <v>0</v>
      </c>
      <c r="W38" s="480"/>
      <c r="X38" s="477">
        <f t="shared" si="12"/>
        <v>0</v>
      </c>
      <c r="Y38" s="480"/>
      <c r="Z38" s="477">
        <f t="shared" si="13"/>
        <v>0</v>
      </c>
      <c r="AA38" s="480"/>
      <c r="AB38" s="477">
        <f t="shared" ca="1" si="14"/>
        <v>519031.8</v>
      </c>
      <c r="AC38" s="475">
        <f t="shared" ca="1" si="15"/>
        <v>506136.6</v>
      </c>
      <c r="AD38" s="480"/>
      <c r="AE38" s="477">
        <f t="shared" si="16"/>
        <v>0</v>
      </c>
      <c r="AF38" s="480"/>
      <c r="AG38" s="477">
        <f t="shared" si="17"/>
        <v>0</v>
      </c>
      <c r="AH38" s="480"/>
      <c r="AI38" s="477">
        <f t="shared" si="18"/>
        <v>0</v>
      </c>
      <c r="AJ38" s="480"/>
      <c r="AK38" s="477">
        <f t="shared" ca="1" si="19"/>
        <v>506136.6</v>
      </c>
      <c r="AL38" s="475">
        <f t="shared" ca="1" si="20"/>
        <v>493241.4</v>
      </c>
      <c r="AM38" s="480"/>
      <c r="AN38" s="477">
        <f t="shared" si="21"/>
        <v>0</v>
      </c>
      <c r="AO38" s="480"/>
      <c r="AP38" s="477">
        <f t="shared" si="22"/>
        <v>0</v>
      </c>
      <c r="AQ38" s="480"/>
      <c r="AR38" s="477">
        <f t="shared" si="23"/>
        <v>0</v>
      </c>
      <c r="AS38" s="480"/>
      <c r="AT38" s="477">
        <f t="shared" ca="1" si="24"/>
        <v>493241.4</v>
      </c>
      <c r="AU38" s="475">
        <f t="shared" ca="1" si="25"/>
        <v>480346.2</v>
      </c>
      <c r="AV38" s="480"/>
      <c r="AW38" s="477">
        <f t="shared" si="26"/>
        <v>0</v>
      </c>
      <c r="AX38" s="480"/>
      <c r="AY38" s="477">
        <f t="shared" si="27"/>
        <v>0</v>
      </c>
      <c r="AZ38" s="480"/>
      <c r="BA38" s="477">
        <f t="shared" si="28"/>
        <v>0</v>
      </c>
      <c r="BB38" s="480"/>
      <c r="BC38" s="850">
        <f t="shared" ca="1" si="29"/>
        <v>2533906.8000000003</v>
      </c>
    </row>
    <row r="39" spans="1:55" ht="28">
      <c r="A39" s="837" t="str">
        <f t="shared" ca="1" si="0"/>
        <v/>
      </c>
      <c r="B39" s="440">
        <v>33</v>
      </c>
      <c r="C39" s="834" t="str">
        <f t="shared" ca="1" si="1"/>
        <v>4.</v>
      </c>
      <c r="D39" s="1757" t="str">
        <f ca="1">IFERROR(VLOOKUP(LEFT(E39,4),Nom_activ_2!D:G,4,0),"")</f>
        <v>4.1.  Consolidarea capacităților pentru realizarea unui control eficient al co-infecţiei TB/HIV</v>
      </c>
      <c r="E39" s="1757" t="str">
        <f t="shared" ca="1" si="2"/>
        <v>4.1.6. Asigurarea tratamentului preventiv cu co-trimoxazol la pacienții cu TB/HIV</v>
      </c>
      <c r="F39" s="1777" t="str">
        <f t="shared" ca="1" si="30"/>
        <v>Co_trim_ Malul Stang TB poly</v>
      </c>
      <c r="G39" s="839">
        <f t="shared" ca="1" si="30"/>
        <v>0</v>
      </c>
      <c r="H39" s="840" t="str">
        <f t="shared" ca="1" si="30"/>
        <v>MMPSF</v>
      </c>
      <c r="I39" s="443" t="s">
        <v>422</v>
      </c>
      <c r="J39" s="838" t="str">
        <f t="shared" si="4"/>
        <v>Tratament_FLD_SLD!$A:$j</v>
      </c>
      <c r="K39" s="475">
        <f t="shared" ca="1" si="5"/>
        <v>360</v>
      </c>
      <c r="L39" s="480"/>
      <c r="M39" s="477">
        <f t="shared" si="6"/>
        <v>0</v>
      </c>
      <c r="N39" s="480"/>
      <c r="O39" s="477">
        <f t="shared" si="7"/>
        <v>0</v>
      </c>
      <c r="P39" s="480"/>
      <c r="Q39" s="477">
        <f t="shared" si="8"/>
        <v>0</v>
      </c>
      <c r="R39" s="480"/>
      <c r="S39" s="477">
        <f t="shared" ca="1" si="9"/>
        <v>360</v>
      </c>
      <c r="T39" s="475">
        <f t="shared" ca="1" si="10"/>
        <v>360</v>
      </c>
      <c r="U39" s="480"/>
      <c r="V39" s="477">
        <f t="shared" si="11"/>
        <v>0</v>
      </c>
      <c r="W39" s="480"/>
      <c r="X39" s="477">
        <f t="shared" si="12"/>
        <v>0</v>
      </c>
      <c r="Y39" s="480"/>
      <c r="Z39" s="477">
        <f t="shared" si="13"/>
        <v>0</v>
      </c>
      <c r="AA39" s="480"/>
      <c r="AB39" s="477">
        <f t="shared" ca="1" si="14"/>
        <v>360</v>
      </c>
      <c r="AC39" s="475">
        <f t="shared" ca="1" si="15"/>
        <v>360</v>
      </c>
      <c r="AD39" s="480"/>
      <c r="AE39" s="477">
        <f t="shared" si="16"/>
        <v>0</v>
      </c>
      <c r="AF39" s="480"/>
      <c r="AG39" s="477">
        <f t="shared" si="17"/>
        <v>0</v>
      </c>
      <c r="AH39" s="480"/>
      <c r="AI39" s="477">
        <f t="shared" si="18"/>
        <v>0</v>
      </c>
      <c r="AJ39" s="480"/>
      <c r="AK39" s="477">
        <f t="shared" ca="1" si="19"/>
        <v>360</v>
      </c>
      <c r="AL39" s="475">
        <f t="shared" ca="1" si="20"/>
        <v>360</v>
      </c>
      <c r="AM39" s="480"/>
      <c r="AN39" s="477">
        <f t="shared" si="21"/>
        <v>0</v>
      </c>
      <c r="AO39" s="480"/>
      <c r="AP39" s="477">
        <f t="shared" si="22"/>
        <v>0</v>
      </c>
      <c r="AQ39" s="480"/>
      <c r="AR39" s="477">
        <f t="shared" si="23"/>
        <v>0</v>
      </c>
      <c r="AS39" s="480"/>
      <c r="AT39" s="477">
        <f t="shared" ca="1" si="24"/>
        <v>360</v>
      </c>
      <c r="AU39" s="475">
        <f t="shared" ca="1" si="25"/>
        <v>360</v>
      </c>
      <c r="AV39" s="480"/>
      <c r="AW39" s="477">
        <f t="shared" si="26"/>
        <v>0</v>
      </c>
      <c r="AX39" s="480"/>
      <c r="AY39" s="477">
        <f t="shared" si="27"/>
        <v>0</v>
      </c>
      <c r="AZ39" s="480"/>
      <c r="BA39" s="477">
        <f t="shared" si="28"/>
        <v>0</v>
      </c>
      <c r="BB39" s="480"/>
      <c r="BC39" s="850">
        <f t="shared" ca="1" si="29"/>
        <v>1800</v>
      </c>
    </row>
    <row r="40" spans="1:55" ht="28">
      <c r="A40" s="837" t="str">
        <f t="shared" ca="1" si="0"/>
        <v/>
      </c>
      <c r="B40" s="440">
        <v>34</v>
      </c>
      <c r="C40" s="834" t="str">
        <f t="shared" ca="1" si="1"/>
        <v>3.</v>
      </c>
      <c r="D40" s="1757" t="str">
        <f ca="1">IFERROR(VLOOKUP(LEFT(E40,4),Nom_activ_2!D:G,4,0),"")</f>
        <v>3.1.  Asigurarea continuă cu medicamente TB</v>
      </c>
      <c r="E40" s="1757" t="str">
        <f t="shared" ca="1" si="2"/>
        <v xml:space="preserve">3.1.1. Asigurarea continuă cu medicamente pentru tratamentul TB sensibile </v>
      </c>
      <c r="F40" s="1777" t="str">
        <f t="shared" ca="1" si="30"/>
        <v>Tratament Malul Stang TB poly</v>
      </c>
      <c r="G40" s="839">
        <f t="shared" ca="1" si="30"/>
        <v>0</v>
      </c>
      <c r="H40" s="840" t="str">
        <f t="shared" ca="1" si="30"/>
        <v>Buget local (Malul Stang)</v>
      </c>
      <c r="I40" s="443" t="s">
        <v>422</v>
      </c>
      <c r="J40" s="838" t="str">
        <f t="shared" si="4"/>
        <v>Tratament_FLD_SLD!$A:$j</v>
      </c>
      <c r="K40" s="475">
        <f t="shared" ca="1" si="5"/>
        <v>109609.2</v>
      </c>
      <c r="L40" s="480"/>
      <c r="M40" s="477">
        <f t="shared" si="6"/>
        <v>0</v>
      </c>
      <c r="N40" s="480"/>
      <c r="O40" s="477">
        <f t="shared" si="7"/>
        <v>0</v>
      </c>
      <c r="P40" s="480"/>
      <c r="Q40" s="477">
        <f t="shared" si="8"/>
        <v>0</v>
      </c>
      <c r="R40" s="480"/>
      <c r="S40" s="477">
        <f t="shared" ca="1" si="9"/>
        <v>109609.2</v>
      </c>
      <c r="T40" s="475">
        <f t="shared" ca="1" si="10"/>
        <v>109609.2</v>
      </c>
      <c r="U40" s="480"/>
      <c r="V40" s="477">
        <f t="shared" si="11"/>
        <v>0</v>
      </c>
      <c r="W40" s="480"/>
      <c r="X40" s="477">
        <f t="shared" si="12"/>
        <v>0</v>
      </c>
      <c r="Y40" s="480"/>
      <c r="Z40" s="477">
        <f t="shared" si="13"/>
        <v>0</v>
      </c>
      <c r="AA40" s="480"/>
      <c r="AB40" s="477">
        <f t="shared" ca="1" si="14"/>
        <v>109609.2</v>
      </c>
      <c r="AC40" s="475">
        <f t="shared" ca="1" si="15"/>
        <v>106385.4</v>
      </c>
      <c r="AD40" s="480"/>
      <c r="AE40" s="477">
        <f t="shared" si="16"/>
        <v>0</v>
      </c>
      <c r="AF40" s="480"/>
      <c r="AG40" s="477">
        <f t="shared" si="17"/>
        <v>0</v>
      </c>
      <c r="AH40" s="480"/>
      <c r="AI40" s="477">
        <f t="shared" si="18"/>
        <v>0</v>
      </c>
      <c r="AJ40" s="480"/>
      <c r="AK40" s="477">
        <f t="shared" ca="1" si="19"/>
        <v>106385.4</v>
      </c>
      <c r="AL40" s="475">
        <f t="shared" ca="1" si="20"/>
        <v>109609.2</v>
      </c>
      <c r="AM40" s="480"/>
      <c r="AN40" s="477">
        <f t="shared" si="21"/>
        <v>0</v>
      </c>
      <c r="AO40" s="480"/>
      <c r="AP40" s="477">
        <f t="shared" si="22"/>
        <v>0</v>
      </c>
      <c r="AQ40" s="480"/>
      <c r="AR40" s="477">
        <f t="shared" si="23"/>
        <v>0</v>
      </c>
      <c r="AS40" s="480"/>
      <c r="AT40" s="477">
        <f t="shared" ca="1" si="24"/>
        <v>109609.2</v>
      </c>
      <c r="AU40" s="475">
        <f t="shared" ca="1" si="25"/>
        <v>109609.2</v>
      </c>
      <c r="AV40" s="480"/>
      <c r="AW40" s="477">
        <f t="shared" si="26"/>
        <v>0</v>
      </c>
      <c r="AX40" s="480"/>
      <c r="AY40" s="477">
        <f t="shared" si="27"/>
        <v>0</v>
      </c>
      <c r="AZ40" s="480"/>
      <c r="BA40" s="477">
        <f t="shared" si="28"/>
        <v>0</v>
      </c>
      <c r="BB40" s="480"/>
      <c r="BC40" s="850">
        <f t="shared" ca="1" si="29"/>
        <v>544822.19999999995</v>
      </c>
    </row>
    <row r="41" spans="1:55" ht="28">
      <c r="A41" s="837" t="str">
        <f t="shared" ca="1" si="0"/>
        <v/>
      </c>
      <c r="B41" s="440">
        <v>35</v>
      </c>
      <c r="C41" s="834" t="str">
        <f t="shared" ca="1" si="1"/>
        <v>5.</v>
      </c>
      <c r="D41" s="1757" t="str">
        <f ca="1">IFERROR(VLOOKUP(LEFT(E41,4),Nom_activ_2!D:G,4,0),"")</f>
        <v>5.1.  Asigurarea măsurilor de profilaxie specifică</v>
      </c>
      <c r="E41" s="1757" t="str">
        <f t="shared" ca="1" si="2"/>
        <v>5.1.2. Actualizarea PCN privind diagnosticul și tratamentul ITBL, în conformitate cu recomandările OMS</v>
      </c>
      <c r="F41" s="1777" t="str">
        <f t="shared" ca="1" si="30"/>
        <v>5.1.2.1        Actualizarea PCN privind diagnosticul și tratamentul ITBL, în conformitate cu recomandările OMS</v>
      </c>
      <c r="G41" s="839" t="str">
        <f t="shared" ca="1" si="30"/>
        <v>PAS</v>
      </c>
      <c r="H41" s="840" t="str">
        <f t="shared" ca="1" si="30"/>
        <v>GFATM</v>
      </c>
      <c r="I41" s="443" t="s">
        <v>2035</v>
      </c>
      <c r="J41" s="838" t="str">
        <f t="shared" si="4"/>
        <v>ITL!$A:$j</v>
      </c>
      <c r="K41" s="475">
        <f t="shared" ca="1" si="5"/>
        <v>0</v>
      </c>
      <c r="L41" s="480"/>
      <c r="M41" s="477">
        <f t="shared" si="6"/>
        <v>0</v>
      </c>
      <c r="N41" s="480"/>
      <c r="O41" s="477">
        <f t="shared" si="7"/>
        <v>0</v>
      </c>
      <c r="P41" s="480"/>
      <c r="Q41" s="477">
        <f t="shared" si="8"/>
        <v>0</v>
      </c>
      <c r="R41" s="480"/>
      <c r="S41" s="477">
        <f t="shared" ca="1" si="9"/>
        <v>0</v>
      </c>
      <c r="T41" s="475">
        <f t="shared" ca="1" si="10"/>
        <v>97500</v>
      </c>
      <c r="U41" s="480"/>
      <c r="V41" s="477">
        <f t="shared" si="11"/>
        <v>0</v>
      </c>
      <c r="W41" s="480"/>
      <c r="X41" s="477">
        <f t="shared" si="12"/>
        <v>0</v>
      </c>
      <c r="Y41" s="480"/>
      <c r="Z41" s="477">
        <f t="shared" si="13"/>
        <v>0</v>
      </c>
      <c r="AA41" s="480"/>
      <c r="AB41" s="477">
        <f t="shared" ca="1" si="14"/>
        <v>97500</v>
      </c>
      <c r="AC41" s="475">
        <f t="shared" ca="1" si="15"/>
        <v>0</v>
      </c>
      <c r="AD41" s="480"/>
      <c r="AE41" s="477">
        <f t="shared" si="16"/>
        <v>0</v>
      </c>
      <c r="AF41" s="480"/>
      <c r="AG41" s="477">
        <f t="shared" si="17"/>
        <v>0</v>
      </c>
      <c r="AH41" s="480"/>
      <c r="AI41" s="477">
        <f t="shared" si="18"/>
        <v>0</v>
      </c>
      <c r="AJ41" s="480"/>
      <c r="AK41" s="477">
        <f t="shared" ca="1" si="19"/>
        <v>0</v>
      </c>
      <c r="AL41" s="475">
        <f t="shared" ca="1" si="20"/>
        <v>0</v>
      </c>
      <c r="AM41" s="480"/>
      <c r="AN41" s="477">
        <f t="shared" si="21"/>
        <v>0</v>
      </c>
      <c r="AO41" s="480"/>
      <c r="AP41" s="477">
        <f t="shared" si="22"/>
        <v>0</v>
      </c>
      <c r="AQ41" s="480"/>
      <c r="AR41" s="477">
        <f t="shared" si="23"/>
        <v>0</v>
      </c>
      <c r="AS41" s="480"/>
      <c r="AT41" s="477">
        <f t="shared" ca="1" si="24"/>
        <v>0</v>
      </c>
      <c r="AU41" s="475">
        <f t="shared" ca="1" si="25"/>
        <v>0</v>
      </c>
      <c r="AV41" s="480"/>
      <c r="AW41" s="477">
        <f t="shared" si="26"/>
        <v>0</v>
      </c>
      <c r="AX41" s="480"/>
      <c r="AY41" s="477">
        <f t="shared" si="27"/>
        <v>0</v>
      </c>
      <c r="AZ41" s="480"/>
      <c r="BA41" s="477">
        <f t="shared" si="28"/>
        <v>0</v>
      </c>
      <c r="BB41" s="480"/>
      <c r="BC41" s="850">
        <f t="shared" ca="1" si="29"/>
        <v>97500</v>
      </c>
    </row>
    <row r="42" spans="1:55" ht="28">
      <c r="A42" s="837" t="str">
        <f t="shared" ca="1" si="0"/>
        <v/>
      </c>
      <c r="B42" s="440">
        <v>36</v>
      </c>
      <c r="C42" s="834" t="str">
        <f t="shared" ca="1" si="1"/>
        <v>5.</v>
      </c>
      <c r="D42" s="1757" t="str">
        <f ca="1">IFERROR(VLOOKUP(LEFT(E42,4),Nom_activ_2!D:G,4,0),"")</f>
        <v>5.1.  Asigurarea măsurilor de profilaxie specifică</v>
      </c>
      <c r="E42" s="1757" t="str">
        <f t="shared" ca="1" si="2"/>
        <v>5.1.2. Actualizarea PCN privind diagnosticul și tratamentul ITBL, în conformitate cu recomandările OMS</v>
      </c>
      <c r="F42" s="1777" t="str">
        <f t="shared" ca="1" si="30"/>
        <v>5.1.2.2.       Masa rotunda - prezentarea PCN privind diagnosticul și tratamentul ITBL, în conformitate cu recomandările OMS</v>
      </c>
      <c r="G42" s="839" t="str">
        <f t="shared" ca="1" si="30"/>
        <v>PAS</v>
      </c>
      <c r="H42" s="840" t="str">
        <f t="shared" ca="1" si="30"/>
        <v>GFATM</v>
      </c>
      <c r="I42" s="443" t="s">
        <v>2035</v>
      </c>
      <c r="J42" s="838" t="str">
        <f t="shared" si="4"/>
        <v>ITL!$A:$j</v>
      </c>
      <c r="K42" s="475">
        <f t="shared" ca="1" si="5"/>
        <v>0</v>
      </c>
      <c r="L42" s="480"/>
      <c r="M42" s="477">
        <f t="shared" si="6"/>
        <v>0</v>
      </c>
      <c r="N42" s="480"/>
      <c r="O42" s="477">
        <f t="shared" si="7"/>
        <v>0</v>
      </c>
      <c r="P42" s="480"/>
      <c r="Q42" s="477">
        <f t="shared" si="8"/>
        <v>0</v>
      </c>
      <c r="R42" s="480"/>
      <c r="S42" s="477">
        <f t="shared" ca="1" si="9"/>
        <v>0</v>
      </c>
      <c r="T42" s="475">
        <f t="shared" ca="1" si="10"/>
        <v>0</v>
      </c>
      <c r="U42" s="480"/>
      <c r="V42" s="477">
        <f t="shared" si="11"/>
        <v>0</v>
      </c>
      <c r="W42" s="480"/>
      <c r="X42" s="477">
        <f t="shared" si="12"/>
        <v>0</v>
      </c>
      <c r="Y42" s="480"/>
      <c r="Z42" s="477">
        <f t="shared" si="13"/>
        <v>0</v>
      </c>
      <c r="AA42" s="480"/>
      <c r="AB42" s="477">
        <f t="shared" ca="1" si="14"/>
        <v>0</v>
      </c>
      <c r="AC42" s="475">
        <f t="shared" ca="1" si="15"/>
        <v>0</v>
      </c>
      <c r="AD42" s="480"/>
      <c r="AE42" s="477">
        <f t="shared" si="16"/>
        <v>0</v>
      </c>
      <c r="AF42" s="480"/>
      <c r="AG42" s="477">
        <f t="shared" si="17"/>
        <v>0</v>
      </c>
      <c r="AH42" s="480"/>
      <c r="AI42" s="477">
        <f t="shared" si="18"/>
        <v>0</v>
      </c>
      <c r="AJ42" s="480"/>
      <c r="AK42" s="477">
        <f t="shared" ca="1" si="19"/>
        <v>0</v>
      </c>
      <c r="AL42" s="475">
        <f t="shared" ca="1" si="20"/>
        <v>0</v>
      </c>
      <c r="AM42" s="480"/>
      <c r="AN42" s="477">
        <f t="shared" si="21"/>
        <v>0</v>
      </c>
      <c r="AO42" s="480"/>
      <c r="AP42" s="477">
        <f t="shared" si="22"/>
        <v>0</v>
      </c>
      <c r="AQ42" s="480"/>
      <c r="AR42" s="477">
        <f t="shared" si="23"/>
        <v>0</v>
      </c>
      <c r="AS42" s="480"/>
      <c r="AT42" s="477">
        <f t="shared" ca="1" si="24"/>
        <v>0</v>
      </c>
      <c r="AU42" s="475">
        <f t="shared" ca="1" si="25"/>
        <v>0</v>
      </c>
      <c r="AV42" s="480"/>
      <c r="AW42" s="477">
        <f t="shared" si="26"/>
        <v>0</v>
      </c>
      <c r="AX42" s="480"/>
      <c r="AY42" s="477">
        <f t="shared" si="27"/>
        <v>0</v>
      </c>
      <c r="AZ42" s="480"/>
      <c r="BA42" s="477">
        <f t="shared" si="28"/>
        <v>0</v>
      </c>
      <c r="BB42" s="480"/>
      <c r="BC42" s="850">
        <f t="shared" ca="1" si="29"/>
        <v>0</v>
      </c>
    </row>
    <row r="43" spans="1:55" ht="28">
      <c r="A43" s="837" t="str">
        <f t="shared" ca="1" si="0"/>
        <v/>
      </c>
      <c r="B43" s="440">
        <v>37</v>
      </c>
      <c r="C43" s="834" t="str">
        <f t="shared" ca="1" si="1"/>
        <v>5.</v>
      </c>
      <c r="D43" s="1757" t="str">
        <f ca="1">IFERROR(VLOOKUP(LEFT(E43,4),Nom_activ_2!D:G,4,0),"")</f>
        <v>5.1.  Asigurarea măsurilor de profilaxie specifică</v>
      </c>
      <c r="E43" s="1757" t="str">
        <f t="shared" ca="1" si="2"/>
        <v>5.1.3. Asigurarea examinării privind diagnosticul ITBL utilizând testul cutanat cu tuberculină</v>
      </c>
      <c r="F43" s="1777" t="str">
        <f t="shared" ca="1" si="30"/>
        <v>5.1.3.1.        Asigurarea examinării privind diagnosticul ITBL utilizând testul cutanat cu tuberculină</v>
      </c>
      <c r="G43" s="839">
        <f t="shared" ca="1" si="30"/>
        <v>0</v>
      </c>
      <c r="H43" s="840" t="str">
        <f t="shared" ca="1" si="30"/>
        <v>MMPSF</v>
      </c>
      <c r="I43" s="443" t="s">
        <v>2035</v>
      </c>
      <c r="J43" s="838" t="str">
        <f t="shared" si="4"/>
        <v>ITL!$A:$j</v>
      </c>
      <c r="K43" s="475">
        <f t="shared" ca="1" si="5"/>
        <v>1118921.25</v>
      </c>
      <c r="L43" s="480"/>
      <c r="M43" s="477">
        <f t="shared" si="6"/>
        <v>0</v>
      </c>
      <c r="N43" s="480"/>
      <c r="O43" s="477">
        <f t="shared" si="7"/>
        <v>0</v>
      </c>
      <c r="P43" s="480"/>
      <c r="Q43" s="477">
        <f t="shared" si="8"/>
        <v>0</v>
      </c>
      <c r="R43" s="480"/>
      <c r="S43" s="477">
        <f t="shared" ca="1" si="9"/>
        <v>1118921.25</v>
      </c>
      <c r="T43" s="475">
        <f t="shared" ca="1" si="10"/>
        <v>1082782.5</v>
      </c>
      <c r="U43" s="480"/>
      <c r="V43" s="477">
        <f t="shared" si="11"/>
        <v>0</v>
      </c>
      <c r="W43" s="480"/>
      <c r="X43" s="477">
        <f t="shared" si="12"/>
        <v>0</v>
      </c>
      <c r="Y43" s="480"/>
      <c r="Z43" s="477">
        <f t="shared" si="13"/>
        <v>0</v>
      </c>
      <c r="AA43" s="480"/>
      <c r="AB43" s="477">
        <f t="shared" ca="1" si="14"/>
        <v>1082782.5</v>
      </c>
      <c r="AC43" s="475">
        <f t="shared" ca="1" si="15"/>
        <v>1047305</v>
      </c>
      <c r="AD43" s="480"/>
      <c r="AE43" s="477">
        <f t="shared" si="16"/>
        <v>0</v>
      </c>
      <c r="AF43" s="480"/>
      <c r="AG43" s="477">
        <f t="shared" si="17"/>
        <v>0</v>
      </c>
      <c r="AH43" s="480"/>
      <c r="AI43" s="477">
        <f t="shared" si="18"/>
        <v>0</v>
      </c>
      <c r="AJ43" s="480"/>
      <c r="AK43" s="477">
        <f t="shared" ca="1" si="19"/>
        <v>1047305</v>
      </c>
      <c r="AL43" s="475">
        <f t="shared" ca="1" si="20"/>
        <v>1012431.25</v>
      </c>
      <c r="AM43" s="480"/>
      <c r="AN43" s="477">
        <f t="shared" si="21"/>
        <v>0</v>
      </c>
      <c r="AO43" s="480"/>
      <c r="AP43" s="477">
        <f t="shared" si="22"/>
        <v>0</v>
      </c>
      <c r="AQ43" s="480"/>
      <c r="AR43" s="477">
        <f t="shared" si="23"/>
        <v>0</v>
      </c>
      <c r="AS43" s="480"/>
      <c r="AT43" s="477">
        <f t="shared" ca="1" si="24"/>
        <v>1012431.25</v>
      </c>
      <c r="AU43" s="475">
        <f t="shared" ca="1" si="25"/>
        <v>978161.25</v>
      </c>
      <c r="AV43" s="480"/>
      <c r="AW43" s="477">
        <f t="shared" si="26"/>
        <v>0</v>
      </c>
      <c r="AX43" s="480"/>
      <c r="AY43" s="477">
        <f t="shared" si="27"/>
        <v>0</v>
      </c>
      <c r="AZ43" s="480"/>
      <c r="BA43" s="477">
        <f t="shared" si="28"/>
        <v>0</v>
      </c>
      <c r="BB43" s="480"/>
      <c r="BC43" s="850">
        <f t="shared" ca="1" si="29"/>
        <v>5239601.25</v>
      </c>
    </row>
    <row r="44" spans="1:55" ht="28">
      <c r="A44" s="837" t="str">
        <f t="shared" ca="1" si="0"/>
        <v/>
      </c>
      <c r="B44" s="440">
        <v>38</v>
      </c>
      <c r="C44" s="834" t="str">
        <f t="shared" ca="1" si="1"/>
        <v>5.</v>
      </c>
      <c r="D44" s="1757" t="str">
        <f ca="1">IFERROR(VLOOKUP(LEFT(E44,4),Nom_activ_2!D:G,4,0),"")</f>
        <v>5.1.  Asigurarea măsurilor de profilaxie specifică</v>
      </c>
      <c r="E44" s="1757" t="str">
        <f t="shared" ca="1" si="2"/>
        <v>5.1.4. Asigurarea examinării privind diagnosticul ITBL utilizând IGRA</v>
      </c>
      <c r="F44" s="1777" t="str">
        <f t="shared" ca="1" si="30"/>
        <v>5.1.4.1.        Asigurarea examinării privind diagnosticul ITBL utilizând IGRA</v>
      </c>
      <c r="G44" s="839">
        <f t="shared" ca="1" si="30"/>
        <v>0</v>
      </c>
      <c r="H44" s="840" t="str">
        <f t="shared" ca="1" si="30"/>
        <v>MMPSF</v>
      </c>
      <c r="I44" s="443" t="s">
        <v>2035</v>
      </c>
      <c r="J44" s="838" t="str">
        <f t="shared" si="4"/>
        <v>ITL!$A:$j</v>
      </c>
      <c r="K44" s="475">
        <f t="shared" ca="1" si="5"/>
        <v>52192</v>
      </c>
      <c r="L44" s="480"/>
      <c r="M44" s="477">
        <f t="shared" si="6"/>
        <v>0</v>
      </c>
      <c r="N44" s="480"/>
      <c r="O44" s="477">
        <f t="shared" si="7"/>
        <v>0</v>
      </c>
      <c r="P44" s="480"/>
      <c r="Q44" s="477">
        <f t="shared" si="8"/>
        <v>0</v>
      </c>
      <c r="R44" s="480"/>
      <c r="S44" s="477">
        <f t="shared" ca="1" si="9"/>
        <v>52192</v>
      </c>
      <c r="T44" s="475">
        <f t="shared" ca="1" si="10"/>
        <v>96130</v>
      </c>
      <c r="U44" s="480"/>
      <c r="V44" s="477">
        <f t="shared" si="11"/>
        <v>0</v>
      </c>
      <c r="W44" s="480"/>
      <c r="X44" s="477">
        <f t="shared" si="12"/>
        <v>0</v>
      </c>
      <c r="Y44" s="480"/>
      <c r="Z44" s="477">
        <f t="shared" si="13"/>
        <v>0</v>
      </c>
      <c r="AA44" s="480"/>
      <c r="AB44" s="477">
        <f t="shared" ca="1" si="14"/>
        <v>96130</v>
      </c>
      <c r="AC44" s="475">
        <f t="shared" ca="1" si="15"/>
        <v>140068</v>
      </c>
      <c r="AD44" s="480"/>
      <c r="AE44" s="477">
        <f t="shared" si="16"/>
        <v>0</v>
      </c>
      <c r="AF44" s="480"/>
      <c r="AG44" s="477">
        <f t="shared" si="17"/>
        <v>0</v>
      </c>
      <c r="AH44" s="480"/>
      <c r="AI44" s="477">
        <f t="shared" si="18"/>
        <v>0</v>
      </c>
      <c r="AJ44" s="480"/>
      <c r="AK44" s="477">
        <f t="shared" ca="1" si="19"/>
        <v>140068</v>
      </c>
      <c r="AL44" s="475">
        <f t="shared" ca="1" si="20"/>
        <v>464142</v>
      </c>
      <c r="AM44" s="480"/>
      <c r="AN44" s="477">
        <f t="shared" si="21"/>
        <v>0</v>
      </c>
      <c r="AO44" s="480"/>
      <c r="AP44" s="477">
        <f t="shared" si="22"/>
        <v>0</v>
      </c>
      <c r="AQ44" s="480"/>
      <c r="AR44" s="477">
        <f t="shared" si="23"/>
        <v>0</v>
      </c>
      <c r="AS44" s="480"/>
      <c r="AT44" s="477">
        <f t="shared" ca="1" si="24"/>
        <v>464142</v>
      </c>
      <c r="AU44" s="475">
        <f t="shared" ca="1" si="25"/>
        <v>464142</v>
      </c>
      <c r="AV44" s="480"/>
      <c r="AW44" s="477">
        <f t="shared" si="26"/>
        <v>0</v>
      </c>
      <c r="AX44" s="480"/>
      <c r="AY44" s="477">
        <f t="shared" si="27"/>
        <v>0</v>
      </c>
      <c r="AZ44" s="480"/>
      <c r="BA44" s="477">
        <f t="shared" si="28"/>
        <v>0</v>
      </c>
      <c r="BB44" s="480"/>
      <c r="BC44" s="850">
        <f t="shared" ca="1" si="29"/>
        <v>1216674</v>
      </c>
    </row>
    <row r="45" spans="1:55" ht="28">
      <c r="A45" s="837" t="str">
        <f t="shared" ca="1" si="0"/>
        <v/>
      </c>
      <c r="B45" s="440">
        <v>39</v>
      </c>
      <c r="C45" s="834" t="str">
        <f t="shared" ca="1" si="1"/>
        <v>5.</v>
      </c>
      <c r="D45" s="1757" t="str">
        <f ca="1">IFERROR(VLOOKUP(LEFT(E45,4),Nom_activ_2!D:G,4,0),"")</f>
        <v>5.1.  Asigurarea măsurilor de profilaxie specifică</v>
      </c>
      <c r="E45" s="1757" t="str">
        <f t="shared" ca="1" si="2"/>
        <v>5.1.4. Asigurarea examinării privind diagnosticul ITBL utilizând IGRA</v>
      </c>
      <c r="F45" s="1777" t="str">
        <f t="shared" ca="1" si="30"/>
        <v>5.1.4.1.        Asigurarea examinării privind diagnosticul ITBL utilizând IGRA</v>
      </c>
      <c r="G45" s="839" t="str">
        <f t="shared" ca="1" si="30"/>
        <v>UCIMP</v>
      </c>
      <c r="H45" s="840" t="str">
        <f t="shared" ca="1" si="30"/>
        <v>GFATM</v>
      </c>
      <c r="I45" s="443" t="s">
        <v>2035</v>
      </c>
      <c r="J45" s="838" t="str">
        <f t="shared" si="4"/>
        <v>ITL!$A:$j</v>
      </c>
      <c r="K45" s="475">
        <f t="shared" ca="1" si="5"/>
        <v>411950</v>
      </c>
      <c r="L45" s="480"/>
      <c r="M45" s="477">
        <f t="shared" si="6"/>
        <v>0</v>
      </c>
      <c r="N45" s="480"/>
      <c r="O45" s="477">
        <f t="shared" si="7"/>
        <v>0</v>
      </c>
      <c r="P45" s="480"/>
      <c r="Q45" s="477">
        <f t="shared" si="8"/>
        <v>0</v>
      </c>
      <c r="R45" s="480"/>
      <c r="S45" s="477">
        <f t="shared" ca="1" si="9"/>
        <v>411950</v>
      </c>
      <c r="T45" s="475">
        <f t="shared" ca="1" si="10"/>
        <v>368012</v>
      </c>
      <c r="U45" s="480"/>
      <c r="V45" s="477">
        <f t="shared" si="11"/>
        <v>0</v>
      </c>
      <c r="W45" s="480"/>
      <c r="X45" s="477">
        <f t="shared" si="12"/>
        <v>0</v>
      </c>
      <c r="Y45" s="480"/>
      <c r="Z45" s="477">
        <f t="shared" si="13"/>
        <v>0</v>
      </c>
      <c r="AA45" s="480"/>
      <c r="AB45" s="477">
        <f t="shared" ca="1" si="14"/>
        <v>368012</v>
      </c>
      <c r="AC45" s="475">
        <f t="shared" ca="1" si="15"/>
        <v>324074</v>
      </c>
      <c r="AD45" s="480"/>
      <c r="AE45" s="477">
        <f t="shared" si="16"/>
        <v>0</v>
      </c>
      <c r="AF45" s="480"/>
      <c r="AG45" s="477">
        <f t="shared" si="17"/>
        <v>0</v>
      </c>
      <c r="AH45" s="480"/>
      <c r="AI45" s="477">
        <f t="shared" si="18"/>
        <v>0</v>
      </c>
      <c r="AJ45" s="480"/>
      <c r="AK45" s="477">
        <f t="shared" ca="1" si="19"/>
        <v>324074</v>
      </c>
      <c r="AL45" s="475">
        <f t="shared" ca="1" si="20"/>
        <v>0</v>
      </c>
      <c r="AM45" s="480"/>
      <c r="AN45" s="477">
        <f t="shared" si="21"/>
        <v>0</v>
      </c>
      <c r="AO45" s="480"/>
      <c r="AP45" s="477">
        <f t="shared" si="22"/>
        <v>0</v>
      </c>
      <c r="AQ45" s="480"/>
      <c r="AR45" s="477">
        <f t="shared" si="23"/>
        <v>0</v>
      </c>
      <c r="AS45" s="480"/>
      <c r="AT45" s="477">
        <f t="shared" ca="1" si="24"/>
        <v>0</v>
      </c>
      <c r="AU45" s="475">
        <f t="shared" ca="1" si="25"/>
        <v>0</v>
      </c>
      <c r="AV45" s="480"/>
      <c r="AW45" s="477">
        <f t="shared" si="26"/>
        <v>0</v>
      </c>
      <c r="AX45" s="480"/>
      <c r="AY45" s="477">
        <f t="shared" si="27"/>
        <v>0</v>
      </c>
      <c r="AZ45" s="480"/>
      <c r="BA45" s="477">
        <f t="shared" si="28"/>
        <v>0</v>
      </c>
      <c r="BB45" s="480"/>
      <c r="BC45" s="850">
        <f t="shared" ca="1" si="29"/>
        <v>1104036</v>
      </c>
    </row>
    <row r="46" spans="1:55">
      <c r="A46" s="837" t="str">
        <f t="shared" ca="1" si="0"/>
        <v/>
      </c>
      <c r="B46" s="440">
        <v>40</v>
      </c>
      <c r="C46" s="834" t="str">
        <f t="shared" ca="1" si="1"/>
        <v>5.</v>
      </c>
      <c r="D46" s="1757" t="str">
        <f ca="1">IFERROR(VLOOKUP(LEFT(E46,4),Nom_activ_2!D:G,4,0),"")</f>
        <v>5.1.  Asigurarea măsurilor de profilaxie specifică</v>
      </c>
      <c r="E46" s="1757" t="str">
        <f t="shared" ca="1" si="2"/>
        <v>5.1.6. Realizarea tratamentului ITBL în rândul contacților</v>
      </c>
      <c r="F46" s="1777" t="str">
        <f t="shared" ca="1" si="30"/>
        <v>Malul Drept, Chimioprofilaxie  TB sensibila, sector civil</v>
      </c>
      <c r="G46" s="839">
        <f t="shared" ca="1" si="30"/>
        <v>0</v>
      </c>
      <c r="H46" s="840" t="str">
        <f t="shared" ca="1" si="30"/>
        <v>MMPSF</v>
      </c>
      <c r="I46" s="443" t="s">
        <v>2035</v>
      </c>
      <c r="J46" s="838" t="str">
        <f t="shared" si="4"/>
        <v>ITL!$A:$j</v>
      </c>
      <c r="K46" s="475">
        <f t="shared" ca="1" si="5"/>
        <v>1612665.24</v>
      </c>
      <c r="L46" s="480"/>
      <c r="M46" s="477">
        <f t="shared" si="6"/>
        <v>0</v>
      </c>
      <c r="N46" s="480"/>
      <c r="O46" s="477">
        <f t="shared" si="7"/>
        <v>0</v>
      </c>
      <c r="P46" s="480"/>
      <c r="Q46" s="477">
        <f t="shared" si="8"/>
        <v>0</v>
      </c>
      <c r="R46" s="480"/>
      <c r="S46" s="477">
        <f t="shared" ca="1" si="9"/>
        <v>1612665.24</v>
      </c>
      <c r="T46" s="475">
        <f t="shared" ca="1" si="10"/>
        <v>1735786.7999999998</v>
      </c>
      <c r="U46" s="480"/>
      <c r="V46" s="477">
        <f t="shared" si="11"/>
        <v>0</v>
      </c>
      <c r="W46" s="480"/>
      <c r="X46" s="477">
        <f t="shared" si="12"/>
        <v>0</v>
      </c>
      <c r="Y46" s="480"/>
      <c r="Z46" s="477">
        <f t="shared" si="13"/>
        <v>0</v>
      </c>
      <c r="AA46" s="480"/>
      <c r="AB46" s="477">
        <f t="shared" ca="1" si="14"/>
        <v>1735786.7999999998</v>
      </c>
      <c r="AC46" s="475">
        <f t="shared" ca="1" si="15"/>
        <v>1849908</v>
      </c>
      <c r="AD46" s="480"/>
      <c r="AE46" s="477">
        <f t="shared" si="16"/>
        <v>0</v>
      </c>
      <c r="AF46" s="480"/>
      <c r="AG46" s="477">
        <f t="shared" si="17"/>
        <v>0</v>
      </c>
      <c r="AH46" s="480"/>
      <c r="AI46" s="477">
        <f t="shared" si="18"/>
        <v>0</v>
      </c>
      <c r="AJ46" s="480"/>
      <c r="AK46" s="477">
        <f t="shared" ca="1" si="19"/>
        <v>1849908</v>
      </c>
      <c r="AL46" s="475">
        <f t="shared" ca="1" si="20"/>
        <v>2749030.2</v>
      </c>
      <c r="AM46" s="480"/>
      <c r="AN46" s="477">
        <f t="shared" si="21"/>
        <v>0</v>
      </c>
      <c r="AO46" s="480"/>
      <c r="AP46" s="477">
        <f t="shared" si="22"/>
        <v>0</v>
      </c>
      <c r="AQ46" s="480"/>
      <c r="AR46" s="477">
        <f t="shared" si="23"/>
        <v>0</v>
      </c>
      <c r="AS46" s="480"/>
      <c r="AT46" s="477">
        <f t="shared" ca="1" si="24"/>
        <v>2749030.2</v>
      </c>
      <c r="AU46" s="475">
        <f t="shared" ca="1" si="25"/>
        <v>2676049.44</v>
      </c>
      <c r="AV46" s="480"/>
      <c r="AW46" s="477">
        <f t="shared" si="26"/>
        <v>0</v>
      </c>
      <c r="AX46" s="480"/>
      <c r="AY46" s="477">
        <f t="shared" si="27"/>
        <v>0</v>
      </c>
      <c r="AZ46" s="480"/>
      <c r="BA46" s="477">
        <f t="shared" si="28"/>
        <v>0</v>
      </c>
      <c r="BB46" s="480"/>
      <c r="BC46" s="850">
        <f t="shared" ca="1" si="29"/>
        <v>10623439.68</v>
      </c>
    </row>
    <row r="47" spans="1:55" ht="28">
      <c r="A47" s="837" t="str">
        <f t="shared" ca="1" si="0"/>
        <v/>
      </c>
      <c r="B47" s="440">
        <v>41</v>
      </c>
      <c r="C47" s="834" t="str">
        <f t="shared" ca="1" si="1"/>
        <v>5.</v>
      </c>
      <c r="D47" s="1757" t="str">
        <f ca="1">IFERROR(VLOOKUP(LEFT(E47,4),Nom_activ_2!D:G,4,0),"")</f>
        <v>5.1.  Asigurarea măsurilor de profilaxie specifică</v>
      </c>
      <c r="E47" s="1757" t="str">
        <f t="shared" ca="1" si="2"/>
        <v>5.1.6. Realizarea tratamentului ITBL în rândul contacților</v>
      </c>
      <c r="F47" s="1777" t="str">
        <f t="shared" ref="F47:H66" ca="1" si="31">IFERROR(VLOOKUP($B47,INDIRECT($J47),F$5,0),0)</f>
        <v>Malul Stang, Chimioprofilaxie  TB sensibila, sector civil</v>
      </c>
      <c r="G47" s="839">
        <f t="shared" ca="1" si="31"/>
        <v>0</v>
      </c>
      <c r="H47" s="840" t="str">
        <f t="shared" ca="1" si="31"/>
        <v>Buget local (Malul Stang)</v>
      </c>
      <c r="I47" s="443" t="s">
        <v>2035</v>
      </c>
      <c r="J47" s="838" t="str">
        <f t="shared" si="4"/>
        <v>ITL!$A:$j</v>
      </c>
      <c r="K47" s="475">
        <f t="shared" ca="1" si="5"/>
        <v>221910.24</v>
      </c>
      <c r="L47" s="480"/>
      <c r="M47" s="477">
        <f t="shared" si="6"/>
        <v>0</v>
      </c>
      <c r="N47" s="480"/>
      <c r="O47" s="477">
        <f t="shared" si="7"/>
        <v>0</v>
      </c>
      <c r="P47" s="480"/>
      <c r="Q47" s="477">
        <f t="shared" si="8"/>
        <v>0</v>
      </c>
      <c r="R47" s="480"/>
      <c r="S47" s="477">
        <f t="shared" ca="1" si="9"/>
        <v>221910.24</v>
      </c>
      <c r="T47" s="475">
        <f t="shared" ca="1" si="10"/>
        <v>234978.12</v>
      </c>
      <c r="U47" s="480"/>
      <c r="V47" s="477">
        <f t="shared" si="11"/>
        <v>0</v>
      </c>
      <c r="W47" s="480"/>
      <c r="X47" s="477">
        <f t="shared" si="12"/>
        <v>0</v>
      </c>
      <c r="Y47" s="480"/>
      <c r="Z47" s="477">
        <f t="shared" si="13"/>
        <v>0</v>
      </c>
      <c r="AA47" s="480"/>
      <c r="AB47" s="477">
        <f t="shared" ca="1" si="14"/>
        <v>234978.12</v>
      </c>
      <c r="AC47" s="475">
        <f t="shared" ca="1" si="15"/>
        <v>246253.32</v>
      </c>
      <c r="AD47" s="480"/>
      <c r="AE47" s="477">
        <f t="shared" si="16"/>
        <v>0</v>
      </c>
      <c r="AF47" s="480"/>
      <c r="AG47" s="477">
        <f t="shared" si="17"/>
        <v>0</v>
      </c>
      <c r="AH47" s="480"/>
      <c r="AI47" s="477">
        <f t="shared" si="18"/>
        <v>0</v>
      </c>
      <c r="AJ47" s="480"/>
      <c r="AK47" s="477">
        <f t="shared" ca="1" si="19"/>
        <v>246253.32</v>
      </c>
      <c r="AL47" s="475">
        <f t="shared" ca="1" si="20"/>
        <v>361567.92</v>
      </c>
      <c r="AM47" s="480"/>
      <c r="AN47" s="477">
        <f t="shared" si="21"/>
        <v>0</v>
      </c>
      <c r="AO47" s="480"/>
      <c r="AP47" s="477">
        <f t="shared" si="22"/>
        <v>0</v>
      </c>
      <c r="AQ47" s="480"/>
      <c r="AR47" s="477">
        <f t="shared" si="23"/>
        <v>0</v>
      </c>
      <c r="AS47" s="480"/>
      <c r="AT47" s="477">
        <f t="shared" ca="1" si="24"/>
        <v>361567.92</v>
      </c>
      <c r="AU47" s="475">
        <f t="shared" ca="1" si="25"/>
        <v>347370.36</v>
      </c>
      <c r="AV47" s="480"/>
      <c r="AW47" s="477">
        <f t="shared" si="26"/>
        <v>0</v>
      </c>
      <c r="AX47" s="480"/>
      <c r="AY47" s="477">
        <f t="shared" si="27"/>
        <v>0</v>
      </c>
      <c r="AZ47" s="480"/>
      <c r="BA47" s="477">
        <f t="shared" si="28"/>
        <v>0</v>
      </c>
      <c r="BB47" s="480"/>
      <c r="BC47" s="850">
        <f t="shared" ca="1" si="29"/>
        <v>1412079.96</v>
      </c>
    </row>
    <row r="48" spans="1:55">
      <c r="A48" s="837" t="str">
        <f t="shared" ca="1" si="0"/>
        <v/>
      </c>
      <c r="B48" s="440">
        <v>42</v>
      </c>
      <c r="C48" s="834" t="str">
        <f t="shared" ca="1" si="1"/>
        <v>5.</v>
      </c>
      <c r="D48" s="1757" t="str">
        <f ca="1">IFERROR(VLOOKUP(LEFT(E48,4),Nom_activ_2!D:G,4,0),"")</f>
        <v>5.1.  Asigurarea măsurilor de profilaxie specifică</v>
      </c>
      <c r="E48" s="1757" t="str">
        <f t="shared" ca="1" si="2"/>
        <v>5.1.6. Realizarea tratamentului ITBL în rândul contacților</v>
      </c>
      <c r="F48" s="1777" t="str">
        <f t="shared" ca="1" si="31"/>
        <v>Malul Drept, Chimioprofilaxie  TB RR/MDR</v>
      </c>
      <c r="G48" s="839">
        <f t="shared" ca="1" si="31"/>
        <v>0</v>
      </c>
      <c r="H48" s="840" t="str">
        <f t="shared" ca="1" si="31"/>
        <v>MMPSF</v>
      </c>
      <c r="I48" s="443" t="s">
        <v>2035</v>
      </c>
      <c r="J48" s="838" t="str">
        <f t="shared" si="4"/>
        <v>ITL!$A:$j</v>
      </c>
      <c r="K48" s="475">
        <f t="shared" ca="1" si="5"/>
        <v>370939.5</v>
      </c>
      <c r="L48" s="480"/>
      <c r="M48" s="477">
        <f t="shared" si="6"/>
        <v>0</v>
      </c>
      <c r="N48" s="480"/>
      <c r="O48" s="477">
        <f t="shared" si="7"/>
        <v>0</v>
      </c>
      <c r="P48" s="480"/>
      <c r="Q48" s="477">
        <f t="shared" si="8"/>
        <v>0</v>
      </c>
      <c r="R48" s="480"/>
      <c r="S48" s="477">
        <f t="shared" ca="1" si="9"/>
        <v>370939.5</v>
      </c>
      <c r="T48" s="475">
        <f t="shared" ca="1" si="10"/>
        <v>361482.3</v>
      </c>
      <c r="U48" s="480"/>
      <c r="V48" s="477">
        <f t="shared" si="11"/>
        <v>0</v>
      </c>
      <c r="W48" s="480"/>
      <c r="X48" s="477">
        <f t="shared" si="12"/>
        <v>0</v>
      </c>
      <c r="Y48" s="480"/>
      <c r="Z48" s="477">
        <f t="shared" si="13"/>
        <v>0</v>
      </c>
      <c r="AA48" s="480"/>
      <c r="AB48" s="477">
        <f t="shared" ca="1" si="14"/>
        <v>361482.3</v>
      </c>
      <c r="AC48" s="475">
        <f t="shared" ca="1" si="15"/>
        <v>352536.3</v>
      </c>
      <c r="AD48" s="480"/>
      <c r="AE48" s="477">
        <f t="shared" si="16"/>
        <v>0</v>
      </c>
      <c r="AF48" s="480"/>
      <c r="AG48" s="477">
        <f t="shared" si="17"/>
        <v>0</v>
      </c>
      <c r="AH48" s="480"/>
      <c r="AI48" s="477">
        <f t="shared" si="18"/>
        <v>0</v>
      </c>
      <c r="AJ48" s="480"/>
      <c r="AK48" s="477">
        <f t="shared" ca="1" si="19"/>
        <v>352536.3</v>
      </c>
      <c r="AL48" s="475">
        <f t="shared" ca="1" si="20"/>
        <v>343909.8</v>
      </c>
      <c r="AM48" s="480"/>
      <c r="AN48" s="477">
        <f t="shared" si="21"/>
        <v>0</v>
      </c>
      <c r="AO48" s="480"/>
      <c r="AP48" s="477">
        <f t="shared" si="22"/>
        <v>0</v>
      </c>
      <c r="AQ48" s="480"/>
      <c r="AR48" s="477">
        <f t="shared" si="23"/>
        <v>0</v>
      </c>
      <c r="AS48" s="480"/>
      <c r="AT48" s="477">
        <f t="shared" ca="1" si="24"/>
        <v>343909.8</v>
      </c>
      <c r="AU48" s="475">
        <f t="shared" ca="1" si="25"/>
        <v>335475</v>
      </c>
      <c r="AV48" s="480"/>
      <c r="AW48" s="477">
        <f t="shared" si="26"/>
        <v>0</v>
      </c>
      <c r="AX48" s="480"/>
      <c r="AY48" s="477">
        <f t="shared" si="27"/>
        <v>0</v>
      </c>
      <c r="AZ48" s="480"/>
      <c r="BA48" s="477">
        <f t="shared" si="28"/>
        <v>0</v>
      </c>
      <c r="BB48" s="480"/>
      <c r="BC48" s="850">
        <f t="shared" ca="1" si="29"/>
        <v>1764342.9000000001</v>
      </c>
    </row>
    <row r="49" spans="1:55" ht="28">
      <c r="A49" s="837" t="str">
        <f t="shared" ca="1" si="0"/>
        <v/>
      </c>
      <c r="B49" s="440">
        <v>43</v>
      </c>
      <c r="C49" s="834" t="str">
        <f t="shared" ca="1" si="1"/>
        <v>5.</v>
      </c>
      <c r="D49" s="1757" t="str">
        <f ca="1">IFERROR(VLOOKUP(LEFT(E49,4),Nom_activ_2!D:G,4,0),"")</f>
        <v>5.1.  Asigurarea măsurilor de profilaxie specifică</v>
      </c>
      <c r="E49" s="1757" t="str">
        <f t="shared" ca="1" si="2"/>
        <v>5.1.6. Realizarea tratamentului ITBL în rândul contacților</v>
      </c>
      <c r="F49" s="1777" t="str">
        <f t="shared" ca="1" si="31"/>
        <v>Malul Stang, Chimioprofilaxie  TB RR/MDR</v>
      </c>
      <c r="G49" s="839">
        <f t="shared" ca="1" si="31"/>
        <v>0</v>
      </c>
      <c r="H49" s="840" t="str">
        <f t="shared" ca="1" si="31"/>
        <v>Buget local (Malul Stang)</v>
      </c>
      <c r="I49" s="443" t="s">
        <v>2035</v>
      </c>
      <c r="J49" s="838" t="str">
        <f t="shared" si="4"/>
        <v>ITL!$A:$j</v>
      </c>
      <c r="K49" s="475">
        <f t="shared" ca="1" si="5"/>
        <v>144222.29999999999</v>
      </c>
      <c r="L49" s="480"/>
      <c r="M49" s="477">
        <f t="shared" si="6"/>
        <v>0</v>
      </c>
      <c r="N49" s="480"/>
      <c r="O49" s="477">
        <f t="shared" si="7"/>
        <v>0</v>
      </c>
      <c r="P49" s="480"/>
      <c r="Q49" s="477">
        <f t="shared" si="8"/>
        <v>0</v>
      </c>
      <c r="R49" s="480"/>
      <c r="S49" s="477">
        <f t="shared" ca="1" si="9"/>
        <v>144222.29999999999</v>
      </c>
      <c r="T49" s="475">
        <f t="shared" ca="1" si="10"/>
        <v>139365.9</v>
      </c>
      <c r="U49" s="480"/>
      <c r="V49" s="477">
        <f t="shared" si="11"/>
        <v>0</v>
      </c>
      <c r="W49" s="480"/>
      <c r="X49" s="477">
        <f t="shared" si="12"/>
        <v>0</v>
      </c>
      <c r="Y49" s="480"/>
      <c r="Z49" s="477">
        <f t="shared" si="13"/>
        <v>0</v>
      </c>
      <c r="AA49" s="480"/>
      <c r="AB49" s="477">
        <f t="shared" ca="1" si="14"/>
        <v>139365.9</v>
      </c>
      <c r="AC49" s="475">
        <f t="shared" ca="1" si="15"/>
        <v>134445.6</v>
      </c>
      <c r="AD49" s="480"/>
      <c r="AE49" s="477">
        <f t="shared" si="16"/>
        <v>0</v>
      </c>
      <c r="AF49" s="480"/>
      <c r="AG49" s="477">
        <f t="shared" si="17"/>
        <v>0</v>
      </c>
      <c r="AH49" s="480"/>
      <c r="AI49" s="477">
        <f t="shared" si="18"/>
        <v>0</v>
      </c>
      <c r="AJ49" s="480"/>
      <c r="AK49" s="477">
        <f t="shared" ca="1" si="19"/>
        <v>134445.6</v>
      </c>
      <c r="AL49" s="475">
        <f t="shared" ca="1" si="20"/>
        <v>130164.29999999999</v>
      </c>
      <c r="AM49" s="480"/>
      <c r="AN49" s="477">
        <f t="shared" si="21"/>
        <v>0</v>
      </c>
      <c r="AO49" s="480"/>
      <c r="AP49" s="477">
        <f t="shared" si="22"/>
        <v>0</v>
      </c>
      <c r="AQ49" s="480"/>
      <c r="AR49" s="477">
        <f t="shared" si="23"/>
        <v>0</v>
      </c>
      <c r="AS49" s="480"/>
      <c r="AT49" s="477">
        <f t="shared" ca="1" si="24"/>
        <v>130164.29999999999</v>
      </c>
      <c r="AU49" s="475">
        <f t="shared" ca="1" si="25"/>
        <v>125819.09999999999</v>
      </c>
      <c r="AV49" s="480"/>
      <c r="AW49" s="477">
        <f t="shared" si="26"/>
        <v>0</v>
      </c>
      <c r="AX49" s="480"/>
      <c r="AY49" s="477">
        <f t="shared" si="27"/>
        <v>0</v>
      </c>
      <c r="AZ49" s="480"/>
      <c r="BA49" s="477">
        <f t="shared" si="28"/>
        <v>0</v>
      </c>
      <c r="BB49" s="480"/>
      <c r="BC49" s="850">
        <f t="shared" ca="1" si="29"/>
        <v>674017.19999999984</v>
      </c>
    </row>
    <row r="50" spans="1:55">
      <c r="A50" s="837" t="str">
        <f t="shared" ca="1" si="0"/>
        <v/>
      </c>
      <c r="B50" s="440">
        <v>44</v>
      </c>
      <c r="C50" s="834" t="str">
        <f t="shared" ca="1" si="1"/>
        <v>5.</v>
      </c>
      <c r="D50" s="1757" t="str">
        <f ca="1">IFERROR(VLOOKUP(LEFT(E50,4),Nom_activ_2!D:G,4,0),"")</f>
        <v>5.1.  Asigurarea măsurilor de profilaxie specifică</v>
      </c>
      <c r="E50" s="1757" t="str">
        <f t="shared" ca="1" si="2"/>
        <v>5.1.6. Realizarea tratamentului ITBL în rândul contacților</v>
      </c>
      <c r="F50" s="1777" t="str">
        <f t="shared" ca="1" si="31"/>
        <v>Malul Drept, Chimioprofilaxie sector penitenciar</v>
      </c>
      <c r="G50" s="839">
        <f t="shared" ca="1" si="31"/>
        <v>0</v>
      </c>
      <c r="H50" s="840" t="str">
        <f t="shared" ca="1" si="31"/>
        <v>MJ</v>
      </c>
      <c r="I50" s="443" t="s">
        <v>2035</v>
      </c>
      <c r="J50" s="838" t="str">
        <f t="shared" si="4"/>
        <v>ITL!$A:$j</v>
      </c>
      <c r="K50" s="475">
        <f t="shared" ca="1" si="5"/>
        <v>135658.32</v>
      </c>
      <c r="L50" s="480"/>
      <c r="M50" s="477">
        <f t="shared" si="6"/>
        <v>0</v>
      </c>
      <c r="N50" s="480"/>
      <c r="O50" s="477">
        <f t="shared" si="7"/>
        <v>0</v>
      </c>
      <c r="P50" s="480"/>
      <c r="Q50" s="477">
        <f t="shared" si="8"/>
        <v>0</v>
      </c>
      <c r="R50" s="480"/>
      <c r="S50" s="477">
        <f t="shared" ca="1" si="9"/>
        <v>135658.32</v>
      </c>
      <c r="T50" s="475">
        <f t="shared" ca="1" si="10"/>
        <v>154967.28</v>
      </c>
      <c r="U50" s="480"/>
      <c r="V50" s="477">
        <f t="shared" si="11"/>
        <v>0</v>
      </c>
      <c r="W50" s="480"/>
      <c r="X50" s="477">
        <f t="shared" si="12"/>
        <v>0</v>
      </c>
      <c r="Y50" s="480"/>
      <c r="Z50" s="477">
        <f t="shared" si="13"/>
        <v>0</v>
      </c>
      <c r="AA50" s="480"/>
      <c r="AB50" s="477">
        <f t="shared" ca="1" si="14"/>
        <v>154967.28</v>
      </c>
      <c r="AC50" s="475">
        <f t="shared" ca="1" si="15"/>
        <v>178345.2</v>
      </c>
      <c r="AD50" s="480"/>
      <c r="AE50" s="477">
        <f t="shared" si="16"/>
        <v>0</v>
      </c>
      <c r="AF50" s="480"/>
      <c r="AG50" s="477">
        <f t="shared" si="17"/>
        <v>0</v>
      </c>
      <c r="AH50" s="480"/>
      <c r="AI50" s="477">
        <f t="shared" si="18"/>
        <v>0</v>
      </c>
      <c r="AJ50" s="480"/>
      <c r="AK50" s="477">
        <f t="shared" ca="1" si="19"/>
        <v>178345.2</v>
      </c>
      <c r="AL50" s="475">
        <f t="shared" ca="1" si="20"/>
        <v>296427.12</v>
      </c>
      <c r="AM50" s="480"/>
      <c r="AN50" s="477">
        <f t="shared" si="21"/>
        <v>0</v>
      </c>
      <c r="AO50" s="480"/>
      <c r="AP50" s="477">
        <f t="shared" si="22"/>
        <v>0</v>
      </c>
      <c r="AQ50" s="480"/>
      <c r="AR50" s="477">
        <f t="shared" si="23"/>
        <v>0</v>
      </c>
      <c r="AS50" s="480"/>
      <c r="AT50" s="477">
        <f t="shared" ca="1" si="24"/>
        <v>296427.12</v>
      </c>
      <c r="AU50" s="475">
        <f t="shared" ca="1" si="25"/>
        <v>300446.88</v>
      </c>
      <c r="AV50" s="480"/>
      <c r="AW50" s="477">
        <f t="shared" si="26"/>
        <v>0</v>
      </c>
      <c r="AX50" s="480"/>
      <c r="AY50" s="477">
        <f t="shared" si="27"/>
        <v>0</v>
      </c>
      <c r="AZ50" s="480"/>
      <c r="BA50" s="477">
        <f t="shared" si="28"/>
        <v>0</v>
      </c>
      <c r="BB50" s="480"/>
      <c r="BC50" s="850">
        <f t="shared" ca="1" si="29"/>
        <v>1065844.7999999998</v>
      </c>
    </row>
    <row r="51" spans="1:55" ht="28">
      <c r="A51" s="837" t="str">
        <f t="shared" ca="1" si="0"/>
        <v/>
      </c>
      <c r="B51" s="440">
        <v>45</v>
      </c>
      <c r="C51" s="834" t="str">
        <f t="shared" ca="1" si="1"/>
        <v>5.</v>
      </c>
      <c r="D51" s="1757" t="str">
        <f ca="1">IFERROR(VLOOKUP(LEFT(E51,4),Nom_activ_2!D:G,4,0),"")</f>
        <v>5.1.  Asigurarea măsurilor de profilaxie specifică</v>
      </c>
      <c r="E51" s="1757" t="str">
        <f t="shared" ca="1" si="2"/>
        <v>5.1.6. Realizarea tratamentului ITBL în rândul contacților</v>
      </c>
      <c r="F51" s="1777" t="str">
        <f t="shared" ca="1" si="31"/>
        <v>Malul Stang, Chimioprofilaxie sector penitenciar</v>
      </c>
      <c r="G51" s="839">
        <f t="shared" ca="1" si="31"/>
        <v>0</v>
      </c>
      <c r="H51" s="840" t="str">
        <f t="shared" ca="1" si="31"/>
        <v>Buget local (Malul Stang)</v>
      </c>
      <c r="I51" s="443" t="s">
        <v>2035</v>
      </c>
      <c r="J51" s="838" t="str">
        <f t="shared" si="4"/>
        <v>ITL!$A:$j</v>
      </c>
      <c r="K51" s="475">
        <f t="shared" ca="1" si="5"/>
        <v>24414.480000000003</v>
      </c>
      <c r="L51" s="480"/>
      <c r="M51" s="477">
        <f t="shared" si="6"/>
        <v>0</v>
      </c>
      <c r="N51" s="480"/>
      <c r="O51" s="477">
        <f t="shared" si="7"/>
        <v>0</v>
      </c>
      <c r="P51" s="480"/>
      <c r="Q51" s="477">
        <f t="shared" si="8"/>
        <v>0</v>
      </c>
      <c r="R51" s="480"/>
      <c r="S51" s="477">
        <f t="shared" ca="1" si="9"/>
        <v>24414.480000000003</v>
      </c>
      <c r="T51" s="475">
        <f t="shared" ca="1" si="10"/>
        <v>31611.599999999999</v>
      </c>
      <c r="U51" s="480"/>
      <c r="V51" s="477">
        <f t="shared" si="11"/>
        <v>0</v>
      </c>
      <c r="W51" s="480"/>
      <c r="X51" s="477">
        <f t="shared" si="12"/>
        <v>0</v>
      </c>
      <c r="Y51" s="480"/>
      <c r="Z51" s="477">
        <f t="shared" si="13"/>
        <v>0</v>
      </c>
      <c r="AA51" s="480"/>
      <c r="AB51" s="477">
        <f t="shared" ca="1" si="14"/>
        <v>31611.599999999999</v>
      </c>
      <c r="AC51" s="475">
        <f t="shared" ca="1" si="15"/>
        <v>37842.479999999996</v>
      </c>
      <c r="AD51" s="480"/>
      <c r="AE51" s="477">
        <f t="shared" si="16"/>
        <v>0</v>
      </c>
      <c r="AF51" s="480"/>
      <c r="AG51" s="477">
        <f t="shared" si="17"/>
        <v>0</v>
      </c>
      <c r="AH51" s="480"/>
      <c r="AI51" s="477">
        <f t="shared" si="18"/>
        <v>0</v>
      </c>
      <c r="AJ51" s="480"/>
      <c r="AK51" s="477">
        <f t="shared" ca="1" si="19"/>
        <v>37842.479999999996</v>
      </c>
      <c r="AL51" s="475">
        <f t="shared" ca="1" si="20"/>
        <v>73733.040000000008</v>
      </c>
      <c r="AM51" s="480"/>
      <c r="AN51" s="477">
        <f t="shared" si="21"/>
        <v>0</v>
      </c>
      <c r="AO51" s="480"/>
      <c r="AP51" s="477">
        <f t="shared" si="22"/>
        <v>0</v>
      </c>
      <c r="AQ51" s="480"/>
      <c r="AR51" s="477">
        <f t="shared" si="23"/>
        <v>0</v>
      </c>
      <c r="AS51" s="480"/>
      <c r="AT51" s="477">
        <f t="shared" ca="1" si="24"/>
        <v>73733.040000000008</v>
      </c>
      <c r="AU51" s="475">
        <f t="shared" ca="1" si="25"/>
        <v>80133.119999999995</v>
      </c>
      <c r="AV51" s="480"/>
      <c r="AW51" s="477">
        <f t="shared" si="26"/>
        <v>0</v>
      </c>
      <c r="AX51" s="480"/>
      <c r="AY51" s="477">
        <f t="shared" si="27"/>
        <v>0</v>
      </c>
      <c r="AZ51" s="480"/>
      <c r="BA51" s="477">
        <f t="shared" si="28"/>
        <v>0</v>
      </c>
      <c r="BB51" s="480"/>
      <c r="BC51" s="850">
        <f t="shared" ca="1" si="29"/>
        <v>247734.72</v>
      </c>
    </row>
    <row r="52" spans="1:55" ht="28">
      <c r="A52" s="837" t="str">
        <f t="shared" ca="1" si="0"/>
        <v/>
      </c>
      <c r="B52" s="440">
        <v>46</v>
      </c>
      <c r="C52" s="834" t="str">
        <f t="shared" ca="1" si="1"/>
        <v>5.</v>
      </c>
      <c r="D52" s="1757" t="str">
        <f ca="1">IFERROR(VLOOKUP(LEFT(E52,4),Nom_activ_2!D:G,4,0),"")</f>
        <v>5.1.  Asigurarea măsurilor de profilaxie specifică</v>
      </c>
      <c r="E52" s="1757" t="str">
        <f t="shared" ca="1" si="2"/>
        <v>5.1.5. Asigurarea tratamentului profilactic TB în rândul persoanelor care trăiesc cu HIV</v>
      </c>
      <c r="F52" s="1777" t="str">
        <f t="shared" ca="1" si="31"/>
        <v>Malul Drept, Chimioprofilaxie PTH</v>
      </c>
      <c r="G52" s="839">
        <f t="shared" ca="1" si="31"/>
        <v>0</v>
      </c>
      <c r="H52" s="840" t="str">
        <f t="shared" ca="1" si="31"/>
        <v>MMPSF</v>
      </c>
      <c r="I52" s="443" t="s">
        <v>2035</v>
      </c>
      <c r="J52" s="838" t="str">
        <f t="shared" si="4"/>
        <v>ITL!$A:$j</v>
      </c>
      <c r="K52" s="475">
        <f t="shared" ca="1" si="5"/>
        <v>216635.76</v>
      </c>
      <c r="L52" s="480"/>
      <c r="M52" s="477">
        <f t="shared" si="6"/>
        <v>0</v>
      </c>
      <c r="N52" s="480"/>
      <c r="O52" s="477">
        <f t="shared" si="7"/>
        <v>0</v>
      </c>
      <c r="P52" s="480"/>
      <c r="Q52" s="477">
        <f t="shared" si="8"/>
        <v>0</v>
      </c>
      <c r="R52" s="480"/>
      <c r="S52" s="477">
        <f t="shared" ca="1" si="9"/>
        <v>216635.76</v>
      </c>
      <c r="T52" s="475">
        <f t="shared" ca="1" si="10"/>
        <v>262336.32</v>
      </c>
      <c r="U52" s="480"/>
      <c r="V52" s="477">
        <f t="shared" si="11"/>
        <v>0</v>
      </c>
      <c r="W52" s="480"/>
      <c r="X52" s="477">
        <f t="shared" si="12"/>
        <v>0</v>
      </c>
      <c r="Y52" s="480"/>
      <c r="Z52" s="477">
        <f t="shared" si="13"/>
        <v>0</v>
      </c>
      <c r="AA52" s="480"/>
      <c r="AB52" s="477">
        <f t="shared" ca="1" si="14"/>
        <v>262336.32</v>
      </c>
      <c r="AC52" s="475">
        <f t="shared" ca="1" si="15"/>
        <v>297406.08000000002</v>
      </c>
      <c r="AD52" s="480"/>
      <c r="AE52" s="477">
        <f t="shared" si="16"/>
        <v>0</v>
      </c>
      <c r="AF52" s="480"/>
      <c r="AG52" s="477">
        <f t="shared" si="17"/>
        <v>0</v>
      </c>
      <c r="AH52" s="480"/>
      <c r="AI52" s="477">
        <f t="shared" si="18"/>
        <v>0</v>
      </c>
      <c r="AJ52" s="480"/>
      <c r="AK52" s="477">
        <f t="shared" ca="1" si="19"/>
        <v>297406.08000000002</v>
      </c>
      <c r="AL52" s="475">
        <f t="shared" ca="1" si="20"/>
        <v>546557.76</v>
      </c>
      <c r="AM52" s="480"/>
      <c r="AN52" s="477">
        <f t="shared" si="21"/>
        <v>0</v>
      </c>
      <c r="AO52" s="480"/>
      <c r="AP52" s="477">
        <f t="shared" si="22"/>
        <v>0</v>
      </c>
      <c r="AQ52" s="480"/>
      <c r="AR52" s="477">
        <f t="shared" si="23"/>
        <v>0</v>
      </c>
      <c r="AS52" s="480"/>
      <c r="AT52" s="477">
        <f t="shared" ca="1" si="24"/>
        <v>546557.76</v>
      </c>
      <c r="AU52" s="475">
        <f t="shared" ca="1" si="25"/>
        <v>546557.76</v>
      </c>
      <c r="AV52" s="480"/>
      <c r="AW52" s="477">
        <f t="shared" si="26"/>
        <v>0</v>
      </c>
      <c r="AX52" s="480"/>
      <c r="AY52" s="477">
        <f t="shared" si="27"/>
        <v>0</v>
      </c>
      <c r="AZ52" s="480"/>
      <c r="BA52" s="477">
        <f t="shared" si="28"/>
        <v>0</v>
      </c>
      <c r="BB52" s="480"/>
      <c r="BC52" s="850">
        <f t="shared" ca="1" si="29"/>
        <v>1869493.68</v>
      </c>
    </row>
    <row r="53" spans="1:55" ht="28">
      <c r="A53" s="837" t="str">
        <f t="shared" ca="1" si="0"/>
        <v/>
      </c>
      <c r="B53" s="440">
        <v>47</v>
      </c>
      <c r="C53" s="834" t="str">
        <f t="shared" ca="1" si="1"/>
        <v>5.</v>
      </c>
      <c r="D53" s="1757" t="str">
        <f ca="1">IFERROR(VLOOKUP(LEFT(E53,4),Nom_activ_2!D:G,4,0),"")</f>
        <v>5.1.  Asigurarea măsurilor de profilaxie specifică</v>
      </c>
      <c r="E53" s="1757" t="str">
        <f t="shared" ca="1" si="2"/>
        <v>5.1.5. Asigurarea tratamentului profilactic TB în rândul persoanelor care trăiesc cu HIV</v>
      </c>
      <c r="F53" s="1777" t="str">
        <f t="shared" ca="1" si="31"/>
        <v>Malul Stang, Chimioprofilaxie PTH</v>
      </c>
      <c r="G53" s="839">
        <f t="shared" ca="1" si="31"/>
        <v>0</v>
      </c>
      <c r="H53" s="840" t="str">
        <f t="shared" ca="1" si="31"/>
        <v>MMPSF</v>
      </c>
      <c r="I53" s="443" t="s">
        <v>2035</v>
      </c>
      <c r="J53" s="838" t="str">
        <f t="shared" si="4"/>
        <v>ITL!$A:$j</v>
      </c>
      <c r="K53" s="475">
        <f t="shared" ca="1" si="5"/>
        <v>72198.720000000001</v>
      </c>
      <c r="L53" s="480"/>
      <c r="M53" s="477">
        <f t="shared" si="6"/>
        <v>0</v>
      </c>
      <c r="N53" s="480"/>
      <c r="O53" s="477">
        <f t="shared" si="7"/>
        <v>0</v>
      </c>
      <c r="P53" s="480"/>
      <c r="Q53" s="477">
        <f t="shared" si="8"/>
        <v>0</v>
      </c>
      <c r="R53" s="480"/>
      <c r="S53" s="477">
        <f t="shared" ca="1" si="9"/>
        <v>72198.720000000001</v>
      </c>
      <c r="T53" s="475">
        <f t="shared" ca="1" si="10"/>
        <v>87445.440000000002</v>
      </c>
      <c r="U53" s="480"/>
      <c r="V53" s="477">
        <f t="shared" si="11"/>
        <v>0</v>
      </c>
      <c r="W53" s="480"/>
      <c r="X53" s="477">
        <f t="shared" si="12"/>
        <v>0</v>
      </c>
      <c r="Y53" s="480"/>
      <c r="Z53" s="477">
        <f t="shared" si="13"/>
        <v>0</v>
      </c>
      <c r="AA53" s="480"/>
      <c r="AB53" s="477">
        <f t="shared" ca="1" si="14"/>
        <v>87445.440000000002</v>
      </c>
      <c r="AC53" s="475">
        <f t="shared" ca="1" si="15"/>
        <v>99401.040000000008</v>
      </c>
      <c r="AD53" s="480"/>
      <c r="AE53" s="477">
        <f t="shared" si="16"/>
        <v>0</v>
      </c>
      <c r="AF53" s="480"/>
      <c r="AG53" s="477">
        <f t="shared" si="17"/>
        <v>0</v>
      </c>
      <c r="AH53" s="480"/>
      <c r="AI53" s="477">
        <f t="shared" si="18"/>
        <v>0</v>
      </c>
      <c r="AJ53" s="480"/>
      <c r="AK53" s="477">
        <f t="shared" ca="1" si="19"/>
        <v>99401.040000000008</v>
      </c>
      <c r="AL53" s="475">
        <f t="shared" ca="1" si="20"/>
        <v>183256.56</v>
      </c>
      <c r="AM53" s="480"/>
      <c r="AN53" s="477">
        <f t="shared" si="21"/>
        <v>0</v>
      </c>
      <c r="AO53" s="480"/>
      <c r="AP53" s="477">
        <f t="shared" si="22"/>
        <v>0</v>
      </c>
      <c r="AQ53" s="480"/>
      <c r="AR53" s="477">
        <f t="shared" si="23"/>
        <v>0</v>
      </c>
      <c r="AS53" s="480"/>
      <c r="AT53" s="477">
        <f t="shared" ca="1" si="24"/>
        <v>183256.56</v>
      </c>
      <c r="AU53" s="475">
        <f t="shared" ca="1" si="25"/>
        <v>183256.56</v>
      </c>
      <c r="AV53" s="480"/>
      <c r="AW53" s="477">
        <f t="shared" si="26"/>
        <v>0</v>
      </c>
      <c r="AX53" s="480"/>
      <c r="AY53" s="477">
        <f t="shared" si="27"/>
        <v>0</v>
      </c>
      <c r="AZ53" s="480"/>
      <c r="BA53" s="477">
        <f t="shared" si="28"/>
        <v>0</v>
      </c>
      <c r="BB53" s="480"/>
      <c r="BC53" s="850">
        <f t="shared" ca="1" si="29"/>
        <v>625558.32000000007</v>
      </c>
    </row>
    <row r="54" spans="1:55" ht="42">
      <c r="A54" s="837" t="str">
        <f t="shared" ca="1" si="0"/>
        <v/>
      </c>
      <c r="B54" s="440">
        <v>48</v>
      </c>
      <c r="C54" s="834" t="str">
        <f t="shared" ca="1" si="1"/>
        <v>3.</v>
      </c>
      <c r="D54" s="1757" t="str">
        <f ca="1">IFERROR(VLOOKUP(LEFT(E54,4),Nom_activ_2!D:G,4,0),"")</f>
        <v>3.2.  Asigurarea monitorizării tratamentului, managementului și prevenirii reacțiilor adverse la medicamente TB</v>
      </c>
      <c r="E54" s="1757" t="str">
        <f t="shared" ca="1" si="2"/>
        <v>3.2.2. Asigurarea actualizării Regulamentului privind managementul medicamentelor TB și sistemului de farmacovigilență în tratamentul pacienților cu TB</v>
      </c>
      <c r="F54" s="1777" t="str">
        <f t="shared" ca="1" si="31"/>
        <v>3.2.2.1. Asigurarea actualizării Regulamentului privind managementul medicamentelor TB și sistemului de farmacovigilență în tratamentul pacienților cu TB</v>
      </c>
      <c r="G54" s="839" t="str">
        <f t="shared" ca="1" si="31"/>
        <v>PAS</v>
      </c>
      <c r="H54" s="840" t="str">
        <f t="shared" ca="1" si="31"/>
        <v>GFATM</v>
      </c>
      <c r="I54" s="443" t="s">
        <v>3088</v>
      </c>
      <c r="J54" s="838" t="str">
        <f t="shared" si="4"/>
        <v>RA_farmacovigilenta!$A:$j</v>
      </c>
      <c r="K54" s="475">
        <f t="shared" ca="1" si="5"/>
        <v>40000</v>
      </c>
      <c r="L54" s="480"/>
      <c r="M54" s="477">
        <f t="shared" si="6"/>
        <v>0</v>
      </c>
      <c r="N54" s="480"/>
      <c r="O54" s="477">
        <f t="shared" si="7"/>
        <v>0</v>
      </c>
      <c r="P54" s="480"/>
      <c r="Q54" s="477">
        <f t="shared" si="8"/>
        <v>0</v>
      </c>
      <c r="R54" s="480"/>
      <c r="S54" s="477">
        <f t="shared" ca="1" si="9"/>
        <v>40000</v>
      </c>
      <c r="T54" s="475">
        <f t="shared" ca="1" si="10"/>
        <v>0</v>
      </c>
      <c r="U54" s="480"/>
      <c r="V54" s="477">
        <f t="shared" si="11"/>
        <v>0</v>
      </c>
      <c r="W54" s="480"/>
      <c r="X54" s="477">
        <f t="shared" si="12"/>
        <v>0</v>
      </c>
      <c r="Y54" s="480"/>
      <c r="Z54" s="477">
        <f t="shared" si="13"/>
        <v>0</v>
      </c>
      <c r="AA54" s="480"/>
      <c r="AB54" s="477">
        <f t="shared" ca="1" si="14"/>
        <v>0</v>
      </c>
      <c r="AC54" s="475">
        <f t="shared" ca="1" si="15"/>
        <v>0</v>
      </c>
      <c r="AD54" s="480"/>
      <c r="AE54" s="477">
        <f t="shared" si="16"/>
        <v>0</v>
      </c>
      <c r="AF54" s="480"/>
      <c r="AG54" s="477">
        <f t="shared" si="17"/>
        <v>0</v>
      </c>
      <c r="AH54" s="480"/>
      <c r="AI54" s="477">
        <f t="shared" si="18"/>
        <v>0</v>
      </c>
      <c r="AJ54" s="480"/>
      <c r="AK54" s="477">
        <f t="shared" ca="1" si="19"/>
        <v>0</v>
      </c>
      <c r="AL54" s="475">
        <f t="shared" ca="1" si="20"/>
        <v>0</v>
      </c>
      <c r="AM54" s="480"/>
      <c r="AN54" s="477">
        <f t="shared" si="21"/>
        <v>0</v>
      </c>
      <c r="AO54" s="480"/>
      <c r="AP54" s="477">
        <f t="shared" si="22"/>
        <v>0</v>
      </c>
      <c r="AQ54" s="480"/>
      <c r="AR54" s="477">
        <f t="shared" si="23"/>
        <v>0</v>
      </c>
      <c r="AS54" s="480"/>
      <c r="AT54" s="477">
        <f t="shared" ca="1" si="24"/>
        <v>0</v>
      </c>
      <c r="AU54" s="475">
        <f t="shared" ca="1" si="25"/>
        <v>0</v>
      </c>
      <c r="AV54" s="480"/>
      <c r="AW54" s="477">
        <f t="shared" si="26"/>
        <v>0</v>
      </c>
      <c r="AX54" s="480"/>
      <c r="AY54" s="477">
        <f t="shared" si="27"/>
        <v>0</v>
      </c>
      <c r="AZ54" s="480"/>
      <c r="BA54" s="477">
        <f t="shared" si="28"/>
        <v>0</v>
      </c>
      <c r="BB54" s="480"/>
      <c r="BC54" s="850">
        <f t="shared" ca="1" si="29"/>
        <v>40000</v>
      </c>
    </row>
    <row r="55" spans="1:55" ht="42">
      <c r="A55" s="837" t="str">
        <f t="shared" ca="1" si="0"/>
        <v/>
      </c>
      <c r="B55" s="440">
        <v>49</v>
      </c>
      <c r="C55" s="834" t="str">
        <f t="shared" ca="1" si="1"/>
        <v>3.</v>
      </c>
      <c r="D55" s="1757" t="str">
        <f ca="1">IFERROR(VLOOKUP(LEFT(E55,4),Nom_activ_2!D:G,4,0),"")</f>
        <v>3.2.  Asigurarea monitorizării tratamentului, managementului și prevenirii reacțiilor adverse la medicamente TB</v>
      </c>
      <c r="E55" s="1757" t="str">
        <f t="shared" ca="1" si="2"/>
        <v>3.2.2. Asigurarea actualizării Regulamentului privind managementul medicamentelor TB și sistemului de farmacovigilență în tratamentul pacienților cu TB</v>
      </c>
      <c r="F55" s="1777" t="str">
        <f t="shared" ca="1" si="31"/>
        <v>3.2.2.2. Curs de instruire farmacovigilenta, personal de la nivel central</v>
      </c>
      <c r="G55" s="839" t="str">
        <f t="shared" ca="1" si="31"/>
        <v>PAS</v>
      </c>
      <c r="H55" s="840" t="str">
        <f t="shared" ca="1" si="31"/>
        <v>GFATM</v>
      </c>
      <c r="I55" s="443" t="s">
        <v>3088</v>
      </c>
      <c r="J55" s="838" t="str">
        <f t="shared" si="4"/>
        <v>RA_farmacovigilenta!$A:$j</v>
      </c>
      <c r="K55" s="475">
        <f t="shared" ca="1" si="5"/>
        <v>0</v>
      </c>
      <c r="L55" s="480"/>
      <c r="M55" s="477">
        <f t="shared" si="6"/>
        <v>0</v>
      </c>
      <c r="N55" s="480"/>
      <c r="O55" s="477">
        <f t="shared" si="7"/>
        <v>0</v>
      </c>
      <c r="P55" s="480"/>
      <c r="Q55" s="477">
        <f t="shared" si="8"/>
        <v>0</v>
      </c>
      <c r="R55" s="480"/>
      <c r="S55" s="477">
        <f t="shared" ca="1" si="9"/>
        <v>0</v>
      </c>
      <c r="T55" s="475">
        <f t="shared" ca="1" si="10"/>
        <v>79152.570000000007</v>
      </c>
      <c r="U55" s="480"/>
      <c r="V55" s="477">
        <f t="shared" si="11"/>
        <v>0</v>
      </c>
      <c r="W55" s="480"/>
      <c r="X55" s="477">
        <f t="shared" si="12"/>
        <v>0</v>
      </c>
      <c r="Y55" s="480"/>
      <c r="Z55" s="477">
        <f t="shared" si="13"/>
        <v>0</v>
      </c>
      <c r="AA55" s="480"/>
      <c r="AB55" s="477">
        <f t="shared" ca="1" si="14"/>
        <v>79152.570000000007</v>
      </c>
      <c r="AC55" s="475">
        <f t="shared" ca="1" si="15"/>
        <v>0</v>
      </c>
      <c r="AD55" s="480"/>
      <c r="AE55" s="477">
        <f t="shared" si="16"/>
        <v>0</v>
      </c>
      <c r="AF55" s="480"/>
      <c r="AG55" s="477">
        <f t="shared" si="17"/>
        <v>0</v>
      </c>
      <c r="AH55" s="480"/>
      <c r="AI55" s="477">
        <f t="shared" si="18"/>
        <v>0</v>
      </c>
      <c r="AJ55" s="480"/>
      <c r="AK55" s="477">
        <f t="shared" ca="1" si="19"/>
        <v>0</v>
      </c>
      <c r="AL55" s="475">
        <f t="shared" ca="1" si="20"/>
        <v>0</v>
      </c>
      <c r="AM55" s="480"/>
      <c r="AN55" s="477">
        <f t="shared" si="21"/>
        <v>0</v>
      </c>
      <c r="AO55" s="480"/>
      <c r="AP55" s="477">
        <f t="shared" si="22"/>
        <v>0</v>
      </c>
      <c r="AQ55" s="480"/>
      <c r="AR55" s="477">
        <f t="shared" si="23"/>
        <v>0</v>
      </c>
      <c r="AS55" s="480"/>
      <c r="AT55" s="477">
        <f t="shared" ca="1" si="24"/>
        <v>0</v>
      </c>
      <c r="AU55" s="475">
        <f t="shared" ca="1" si="25"/>
        <v>0</v>
      </c>
      <c r="AV55" s="480"/>
      <c r="AW55" s="477">
        <f t="shared" si="26"/>
        <v>0</v>
      </c>
      <c r="AX55" s="480"/>
      <c r="AY55" s="477">
        <f t="shared" si="27"/>
        <v>0</v>
      </c>
      <c r="AZ55" s="480"/>
      <c r="BA55" s="477">
        <f t="shared" si="28"/>
        <v>0</v>
      </c>
      <c r="BB55" s="480"/>
      <c r="BC55" s="850">
        <f t="shared" ca="1" si="29"/>
        <v>79152.570000000007</v>
      </c>
    </row>
    <row r="56" spans="1:55" ht="42">
      <c r="A56" s="837" t="str">
        <f t="shared" ca="1" si="0"/>
        <v/>
      </c>
      <c r="B56" s="440">
        <v>50</v>
      </c>
      <c r="C56" s="834" t="str">
        <f t="shared" ca="1" si="1"/>
        <v>3.</v>
      </c>
      <c r="D56" s="1757" t="str">
        <f ca="1">IFERROR(VLOOKUP(LEFT(E56,4),Nom_activ_2!D:G,4,0),"")</f>
        <v>3.2.  Asigurarea monitorizării tratamentului, managementului și prevenirii reacțiilor adverse la medicamente TB</v>
      </c>
      <c r="E56" s="1757" t="str">
        <f t="shared" ca="1" si="2"/>
        <v>3.2.2. Asigurarea actualizării Regulamentului privind managementul medicamentelor TB și sistemului de farmacovigilență în tratamentul pacienților cu TB</v>
      </c>
      <c r="F56" s="1777" t="str">
        <f t="shared" ca="1" si="31"/>
        <v>3.2.2.3. Curs de instruire farmacovigilenta, medici ftiziopneumologi din teritoriu</v>
      </c>
      <c r="G56" s="839" t="str">
        <f t="shared" ca="1" si="31"/>
        <v>PAS</v>
      </c>
      <c r="H56" s="840" t="str">
        <f t="shared" ca="1" si="31"/>
        <v>GFATM</v>
      </c>
      <c r="I56" s="443" t="s">
        <v>3088</v>
      </c>
      <c r="J56" s="838" t="str">
        <f t="shared" si="4"/>
        <v>RA_farmacovigilenta!$A:$j</v>
      </c>
      <c r="K56" s="475">
        <f t="shared" ca="1" si="5"/>
        <v>0</v>
      </c>
      <c r="L56" s="480"/>
      <c r="M56" s="477">
        <f t="shared" si="6"/>
        <v>0</v>
      </c>
      <c r="N56" s="480"/>
      <c r="O56" s="477">
        <f t="shared" si="7"/>
        <v>0</v>
      </c>
      <c r="P56" s="480"/>
      <c r="Q56" s="477">
        <f t="shared" si="8"/>
        <v>0</v>
      </c>
      <c r="R56" s="480"/>
      <c r="S56" s="477">
        <f t="shared" ca="1" si="9"/>
        <v>0</v>
      </c>
      <c r="T56" s="475">
        <f t="shared" ca="1" si="10"/>
        <v>0</v>
      </c>
      <c r="U56" s="480"/>
      <c r="V56" s="477">
        <f t="shared" si="11"/>
        <v>0</v>
      </c>
      <c r="W56" s="480"/>
      <c r="X56" s="477">
        <f t="shared" si="12"/>
        <v>0</v>
      </c>
      <c r="Y56" s="480"/>
      <c r="Z56" s="477">
        <f t="shared" si="13"/>
        <v>0</v>
      </c>
      <c r="AA56" s="480"/>
      <c r="AB56" s="477">
        <f t="shared" ca="1" si="14"/>
        <v>0</v>
      </c>
      <c r="AC56" s="475">
        <f t="shared" ca="1" si="15"/>
        <v>376212</v>
      </c>
      <c r="AD56" s="480"/>
      <c r="AE56" s="477">
        <f t="shared" si="16"/>
        <v>0</v>
      </c>
      <c r="AF56" s="480"/>
      <c r="AG56" s="477">
        <f t="shared" si="17"/>
        <v>0</v>
      </c>
      <c r="AH56" s="480"/>
      <c r="AI56" s="477">
        <f t="shared" si="18"/>
        <v>0</v>
      </c>
      <c r="AJ56" s="480"/>
      <c r="AK56" s="477">
        <f t="shared" ca="1" si="19"/>
        <v>376212</v>
      </c>
      <c r="AL56" s="475">
        <f t="shared" ca="1" si="20"/>
        <v>0</v>
      </c>
      <c r="AM56" s="480"/>
      <c r="AN56" s="477">
        <f t="shared" si="21"/>
        <v>0</v>
      </c>
      <c r="AO56" s="480"/>
      <c r="AP56" s="477">
        <f t="shared" si="22"/>
        <v>0</v>
      </c>
      <c r="AQ56" s="480"/>
      <c r="AR56" s="477">
        <f t="shared" si="23"/>
        <v>0</v>
      </c>
      <c r="AS56" s="480"/>
      <c r="AT56" s="477">
        <f t="shared" ca="1" si="24"/>
        <v>0</v>
      </c>
      <c r="AU56" s="475">
        <f t="shared" ca="1" si="25"/>
        <v>0</v>
      </c>
      <c r="AV56" s="480"/>
      <c r="AW56" s="477">
        <f t="shared" si="26"/>
        <v>0</v>
      </c>
      <c r="AX56" s="480"/>
      <c r="AY56" s="477">
        <f t="shared" si="27"/>
        <v>0</v>
      </c>
      <c r="AZ56" s="480"/>
      <c r="BA56" s="477">
        <f t="shared" si="28"/>
        <v>0</v>
      </c>
      <c r="BB56" s="480"/>
      <c r="BC56" s="850">
        <f t="shared" ca="1" si="29"/>
        <v>376212</v>
      </c>
    </row>
    <row r="57" spans="1:55" ht="42">
      <c r="A57" s="837" t="str">
        <f t="shared" ca="1" si="0"/>
        <v/>
      </c>
      <c r="B57" s="440">
        <v>51</v>
      </c>
      <c r="C57" s="834" t="str">
        <f t="shared" ca="1" si="1"/>
        <v>6.</v>
      </c>
      <c r="D57" s="1757" t="str">
        <f ca="1">IFERROR(VLOOKUP(LEFT(E57,4),Nom_activ_2!D:G,4,0),"")</f>
        <v>6.1.  Consolidarea capacităților pentru managementul eficient al PNCT</v>
      </c>
      <c r="E57" s="1757" t="str">
        <f t="shared" ca="1" si="2"/>
        <v>6.1.3. Asigurarea vizitelor complexe de M&amp;E, inclusiv și în cadrul OSC și alte autorități publice cu rețele sanitare proprii și private</v>
      </c>
      <c r="F57" s="1777" t="str">
        <f t="shared" ca="1" si="31"/>
        <v>Combust, ulei vizite monitorizare_echipa PNCT_vizite Malul Drept</v>
      </c>
      <c r="G57" s="839">
        <f t="shared" ca="1" si="31"/>
        <v>0</v>
      </c>
      <c r="H57" s="840" t="str">
        <f t="shared" ca="1" si="31"/>
        <v>CNAM</v>
      </c>
      <c r="I57" s="443" t="s">
        <v>2014</v>
      </c>
      <c r="J57" s="838" t="str">
        <f t="shared" si="4"/>
        <v>Vizite_monitorizare!$A:$j</v>
      </c>
      <c r="K57" s="475">
        <f t="shared" ca="1" si="5"/>
        <v>62450.85</v>
      </c>
      <c r="L57" s="480"/>
      <c r="M57" s="477">
        <f t="shared" si="6"/>
        <v>0</v>
      </c>
      <c r="N57" s="480"/>
      <c r="O57" s="477">
        <f t="shared" si="7"/>
        <v>0</v>
      </c>
      <c r="P57" s="480"/>
      <c r="Q57" s="477">
        <f t="shared" si="8"/>
        <v>0</v>
      </c>
      <c r="R57" s="480"/>
      <c r="S57" s="477">
        <f t="shared" ca="1" si="9"/>
        <v>62450.85</v>
      </c>
      <c r="T57" s="475">
        <f t="shared" ca="1" si="10"/>
        <v>68695.929999999993</v>
      </c>
      <c r="U57" s="480"/>
      <c r="V57" s="477">
        <f t="shared" si="11"/>
        <v>0</v>
      </c>
      <c r="W57" s="480"/>
      <c r="X57" s="477">
        <f t="shared" si="12"/>
        <v>0</v>
      </c>
      <c r="Y57" s="480"/>
      <c r="Z57" s="477">
        <f t="shared" si="13"/>
        <v>0</v>
      </c>
      <c r="AA57" s="480"/>
      <c r="AB57" s="477">
        <f t="shared" ca="1" si="14"/>
        <v>68695.929999999993</v>
      </c>
      <c r="AC57" s="475">
        <f t="shared" ca="1" si="15"/>
        <v>74941.009999999995</v>
      </c>
      <c r="AD57" s="480"/>
      <c r="AE57" s="477">
        <f t="shared" si="16"/>
        <v>0</v>
      </c>
      <c r="AF57" s="480"/>
      <c r="AG57" s="477">
        <f t="shared" si="17"/>
        <v>0</v>
      </c>
      <c r="AH57" s="480"/>
      <c r="AI57" s="477">
        <f t="shared" si="18"/>
        <v>0</v>
      </c>
      <c r="AJ57" s="480"/>
      <c r="AK57" s="477">
        <f t="shared" ca="1" si="19"/>
        <v>74941.009999999995</v>
      </c>
      <c r="AL57" s="475">
        <f t="shared" ca="1" si="20"/>
        <v>124901.69</v>
      </c>
      <c r="AM57" s="480"/>
      <c r="AN57" s="477">
        <f t="shared" si="21"/>
        <v>0</v>
      </c>
      <c r="AO57" s="480"/>
      <c r="AP57" s="477">
        <f t="shared" si="22"/>
        <v>0</v>
      </c>
      <c r="AQ57" s="480"/>
      <c r="AR57" s="477">
        <f t="shared" si="23"/>
        <v>0</v>
      </c>
      <c r="AS57" s="480"/>
      <c r="AT57" s="477">
        <f t="shared" ca="1" si="24"/>
        <v>124901.69</v>
      </c>
      <c r="AU57" s="475">
        <f t="shared" ca="1" si="25"/>
        <v>124901.69</v>
      </c>
      <c r="AV57" s="480"/>
      <c r="AW57" s="477">
        <f t="shared" si="26"/>
        <v>0</v>
      </c>
      <c r="AX57" s="480"/>
      <c r="AY57" s="477">
        <f t="shared" si="27"/>
        <v>0</v>
      </c>
      <c r="AZ57" s="480"/>
      <c r="BA57" s="477">
        <f t="shared" si="28"/>
        <v>0</v>
      </c>
      <c r="BB57" s="480"/>
      <c r="BC57" s="850">
        <f t="shared" ca="1" si="29"/>
        <v>455891.17</v>
      </c>
    </row>
    <row r="58" spans="1:55" ht="42">
      <c r="A58" s="837" t="str">
        <f t="shared" ca="1" si="0"/>
        <v/>
      </c>
      <c r="B58" s="440">
        <v>52</v>
      </c>
      <c r="C58" s="834" t="str">
        <f t="shared" ca="1" si="1"/>
        <v>6.</v>
      </c>
      <c r="D58" s="1757" t="str">
        <f ca="1">IFERROR(VLOOKUP(LEFT(E58,4),Nom_activ_2!D:G,4,0),"")</f>
        <v>6.1.  Consolidarea capacităților pentru managementul eficient al PNCT</v>
      </c>
      <c r="E58" s="1757" t="str">
        <f t="shared" ca="1" si="2"/>
        <v>6.1.3. Asigurarea vizitelor complexe de M&amp;E, inclusiv și în cadrul OSC și alte autorități publice cu rețele sanitare proprii și private</v>
      </c>
      <c r="F58" s="1777" t="str">
        <f t="shared" ca="1" si="31"/>
        <v>Combust, ulei vizite monitorizare_echipa PNCT_vizite Malul Drept</v>
      </c>
      <c r="G58" s="839">
        <f t="shared" ca="1" si="31"/>
        <v>0</v>
      </c>
      <c r="H58" s="840" t="str">
        <f t="shared" ca="1" si="31"/>
        <v>GFATM</v>
      </c>
      <c r="I58" s="443" t="s">
        <v>2014</v>
      </c>
      <c r="J58" s="838" t="str">
        <f t="shared" si="4"/>
        <v>Vizite_monitorizare!$A:$j</v>
      </c>
      <c r="K58" s="475">
        <f t="shared" ca="1" si="5"/>
        <v>62450.85</v>
      </c>
      <c r="L58" s="480"/>
      <c r="M58" s="477">
        <f t="shared" si="6"/>
        <v>0</v>
      </c>
      <c r="N58" s="480"/>
      <c r="O58" s="477">
        <f t="shared" si="7"/>
        <v>0</v>
      </c>
      <c r="P58" s="480"/>
      <c r="Q58" s="477">
        <f t="shared" si="8"/>
        <v>0</v>
      </c>
      <c r="R58" s="480"/>
      <c r="S58" s="477">
        <f t="shared" ca="1" si="9"/>
        <v>62450.85</v>
      </c>
      <c r="T58" s="475">
        <f t="shared" ca="1" si="10"/>
        <v>56205.760000000002</v>
      </c>
      <c r="U58" s="480"/>
      <c r="V58" s="477">
        <f t="shared" si="11"/>
        <v>0</v>
      </c>
      <c r="W58" s="480"/>
      <c r="X58" s="477">
        <f t="shared" si="12"/>
        <v>0</v>
      </c>
      <c r="Y58" s="480"/>
      <c r="Z58" s="477">
        <f t="shared" si="13"/>
        <v>0</v>
      </c>
      <c r="AA58" s="480"/>
      <c r="AB58" s="477">
        <f t="shared" ca="1" si="14"/>
        <v>56205.760000000002</v>
      </c>
      <c r="AC58" s="475">
        <f t="shared" ca="1" si="15"/>
        <v>49960.68</v>
      </c>
      <c r="AD58" s="480"/>
      <c r="AE58" s="477">
        <f t="shared" si="16"/>
        <v>0</v>
      </c>
      <c r="AF58" s="480"/>
      <c r="AG58" s="477">
        <f t="shared" si="17"/>
        <v>0</v>
      </c>
      <c r="AH58" s="480"/>
      <c r="AI58" s="477">
        <f t="shared" si="18"/>
        <v>0</v>
      </c>
      <c r="AJ58" s="480"/>
      <c r="AK58" s="477">
        <f t="shared" ca="1" si="19"/>
        <v>49960.68</v>
      </c>
      <c r="AL58" s="475">
        <f t="shared" ca="1" si="20"/>
        <v>0</v>
      </c>
      <c r="AM58" s="480"/>
      <c r="AN58" s="477">
        <f t="shared" si="21"/>
        <v>0</v>
      </c>
      <c r="AO58" s="480"/>
      <c r="AP58" s="477">
        <f t="shared" si="22"/>
        <v>0</v>
      </c>
      <c r="AQ58" s="480"/>
      <c r="AR58" s="477">
        <f t="shared" si="23"/>
        <v>0</v>
      </c>
      <c r="AS58" s="480"/>
      <c r="AT58" s="477">
        <f t="shared" ca="1" si="24"/>
        <v>0</v>
      </c>
      <c r="AU58" s="475">
        <f t="shared" ca="1" si="25"/>
        <v>0</v>
      </c>
      <c r="AV58" s="480"/>
      <c r="AW58" s="477">
        <f t="shared" si="26"/>
        <v>0</v>
      </c>
      <c r="AX58" s="480"/>
      <c r="AY58" s="477">
        <f t="shared" si="27"/>
        <v>0</v>
      </c>
      <c r="AZ58" s="480"/>
      <c r="BA58" s="477">
        <f t="shared" si="28"/>
        <v>0</v>
      </c>
      <c r="BB58" s="480"/>
      <c r="BC58" s="850">
        <f t="shared" ca="1" si="29"/>
        <v>168617.29</v>
      </c>
    </row>
    <row r="59" spans="1:55" ht="42">
      <c r="A59" s="837" t="str">
        <f t="shared" ca="1" si="0"/>
        <v/>
      </c>
      <c r="B59" s="440">
        <v>53</v>
      </c>
      <c r="C59" s="834" t="str">
        <f t="shared" ca="1" si="1"/>
        <v>6.</v>
      </c>
      <c r="D59" s="1757" t="str">
        <f ca="1">IFERROR(VLOOKUP(LEFT(E59,4),Nom_activ_2!D:G,4,0),"")</f>
        <v>6.1.  Consolidarea capacităților pentru managementul eficient al PNCT</v>
      </c>
      <c r="E59" s="1757" t="str">
        <f t="shared" ca="1" si="2"/>
        <v>6.1.3. Asigurarea vizitelor complexe de M&amp;E, inclusiv și în cadrul OSC și alte autorități publice cu rețele sanitare proprii și private</v>
      </c>
      <c r="F59" s="1777" t="str">
        <f t="shared" ca="1" si="31"/>
        <v>Acomodare_diurne_echipa PNCT_vizite Malul Drept</v>
      </c>
      <c r="G59" s="839">
        <f t="shared" ca="1" si="31"/>
        <v>0</v>
      </c>
      <c r="H59" s="840" t="str">
        <f t="shared" ca="1" si="31"/>
        <v>CNAM</v>
      </c>
      <c r="I59" s="443" t="s">
        <v>2014</v>
      </c>
      <c r="J59" s="838" t="str">
        <f t="shared" si="4"/>
        <v>Vizite_monitorizare!$A:$j</v>
      </c>
      <c r="K59" s="475">
        <f t="shared" ca="1" si="5"/>
        <v>19200</v>
      </c>
      <c r="L59" s="480"/>
      <c r="M59" s="477">
        <f t="shared" si="6"/>
        <v>0</v>
      </c>
      <c r="N59" s="480"/>
      <c r="O59" s="477">
        <f t="shared" si="7"/>
        <v>0</v>
      </c>
      <c r="P59" s="480"/>
      <c r="Q59" s="477">
        <f t="shared" si="8"/>
        <v>0</v>
      </c>
      <c r="R59" s="480"/>
      <c r="S59" s="477">
        <f t="shared" ca="1" si="9"/>
        <v>19200</v>
      </c>
      <c r="T59" s="475">
        <f t="shared" ca="1" si="10"/>
        <v>21120</v>
      </c>
      <c r="U59" s="480"/>
      <c r="V59" s="477">
        <f t="shared" si="11"/>
        <v>0</v>
      </c>
      <c r="W59" s="480"/>
      <c r="X59" s="477">
        <f t="shared" si="12"/>
        <v>0</v>
      </c>
      <c r="Y59" s="480"/>
      <c r="Z59" s="477">
        <f t="shared" si="13"/>
        <v>0</v>
      </c>
      <c r="AA59" s="480"/>
      <c r="AB59" s="477">
        <f t="shared" ca="1" si="14"/>
        <v>21120</v>
      </c>
      <c r="AC59" s="475">
        <f t="shared" ca="1" si="15"/>
        <v>23040</v>
      </c>
      <c r="AD59" s="480"/>
      <c r="AE59" s="477">
        <f t="shared" si="16"/>
        <v>0</v>
      </c>
      <c r="AF59" s="480"/>
      <c r="AG59" s="477">
        <f t="shared" si="17"/>
        <v>0</v>
      </c>
      <c r="AH59" s="480"/>
      <c r="AI59" s="477">
        <f t="shared" si="18"/>
        <v>0</v>
      </c>
      <c r="AJ59" s="480"/>
      <c r="AK59" s="477">
        <f t="shared" ca="1" si="19"/>
        <v>23040</v>
      </c>
      <c r="AL59" s="475">
        <f t="shared" ca="1" si="20"/>
        <v>38400</v>
      </c>
      <c r="AM59" s="480"/>
      <c r="AN59" s="477">
        <f t="shared" si="21"/>
        <v>0</v>
      </c>
      <c r="AO59" s="480"/>
      <c r="AP59" s="477">
        <f t="shared" si="22"/>
        <v>0</v>
      </c>
      <c r="AQ59" s="480"/>
      <c r="AR59" s="477">
        <f t="shared" si="23"/>
        <v>0</v>
      </c>
      <c r="AS59" s="480"/>
      <c r="AT59" s="477">
        <f t="shared" ca="1" si="24"/>
        <v>38400</v>
      </c>
      <c r="AU59" s="475">
        <f t="shared" ca="1" si="25"/>
        <v>38400</v>
      </c>
      <c r="AV59" s="480"/>
      <c r="AW59" s="477">
        <f t="shared" si="26"/>
        <v>0</v>
      </c>
      <c r="AX59" s="480"/>
      <c r="AY59" s="477">
        <f t="shared" si="27"/>
        <v>0</v>
      </c>
      <c r="AZ59" s="480"/>
      <c r="BA59" s="477">
        <f t="shared" si="28"/>
        <v>0</v>
      </c>
      <c r="BB59" s="480"/>
      <c r="BC59" s="850">
        <f t="shared" ca="1" si="29"/>
        <v>140160</v>
      </c>
    </row>
    <row r="60" spans="1:55" ht="42">
      <c r="A60" s="837" t="str">
        <f t="shared" ca="1" si="0"/>
        <v/>
      </c>
      <c r="B60" s="440">
        <v>54</v>
      </c>
      <c r="C60" s="834" t="str">
        <f t="shared" ca="1" si="1"/>
        <v>6.</v>
      </c>
      <c r="D60" s="1757" t="str">
        <f ca="1">IFERROR(VLOOKUP(LEFT(E60,4),Nom_activ_2!D:G,4,0),"")</f>
        <v>6.1.  Consolidarea capacităților pentru managementul eficient al PNCT</v>
      </c>
      <c r="E60" s="1757" t="str">
        <f t="shared" ca="1" si="2"/>
        <v>6.1.3. Asigurarea vizitelor complexe de M&amp;E, inclusiv și în cadrul OSC și alte autorități publice cu rețele sanitare proprii și private</v>
      </c>
      <c r="F60" s="1777" t="str">
        <f t="shared" ca="1" si="31"/>
        <v>Acomodare_diurne_echipa PNCT_vizite Malul Drept</v>
      </c>
      <c r="G60" s="839">
        <f t="shared" ca="1" si="31"/>
        <v>0</v>
      </c>
      <c r="H60" s="840" t="str">
        <f t="shared" ca="1" si="31"/>
        <v>GFATM</v>
      </c>
      <c r="I60" s="443" t="s">
        <v>2014</v>
      </c>
      <c r="J60" s="838" t="str">
        <f t="shared" si="4"/>
        <v>Vizite_monitorizare!$A:$j</v>
      </c>
      <c r="K60" s="475">
        <f t="shared" ca="1" si="5"/>
        <v>19200</v>
      </c>
      <c r="L60" s="480"/>
      <c r="M60" s="477">
        <f t="shared" si="6"/>
        <v>0</v>
      </c>
      <c r="N60" s="480"/>
      <c r="O60" s="477">
        <f t="shared" si="7"/>
        <v>0</v>
      </c>
      <c r="P60" s="480"/>
      <c r="Q60" s="477">
        <f t="shared" si="8"/>
        <v>0</v>
      </c>
      <c r="R60" s="480"/>
      <c r="S60" s="477">
        <f t="shared" ca="1" si="9"/>
        <v>19200</v>
      </c>
      <c r="T60" s="475">
        <f t="shared" ca="1" si="10"/>
        <v>17280</v>
      </c>
      <c r="U60" s="480"/>
      <c r="V60" s="477">
        <f t="shared" si="11"/>
        <v>0</v>
      </c>
      <c r="W60" s="480"/>
      <c r="X60" s="477">
        <f t="shared" si="12"/>
        <v>0</v>
      </c>
      <c r="Y60" s="480"/>
      <c r="Z60" s="477">
        <f t="shared" si="13"/>
        <v>0</v>
      </c>
      <c r="AA60" s="480"/>
      <c r="AB60" s="477">
        <f t="shared" ca="1" si="14"/>
        <v>17280</v>
      </c>
      <c r="AC60" s="475">
        <f t="shared" ca="1" si="15"/>
        <v>15360</v>
      </c>
      <c r="AD60" s="480"/>
      <c r="AE60" s="477">
        <f t="shared" si="16"/>
        <v>0</v>
      </c>
      <c r="AF60" s="480"/>
      <c r="AG60" s="477">
        <f t="shared" si="17"/>
        <v>0</v>
      </c>
      <c r="AH60" s="480"/>
      <c r="AI60" s="477">
        <f t="shared" si="18"/>
        <v>0</v>
      </c>
      <c r="AJ60" s="480"/>
      <c r="AK60" s="477">
        <f t="shared" ca="1" si="19"/>
        <v>15360</v>
      </c>
      <c r="AL60" s="475">
        <f t="shared" ca="1" si="20"/>
        <v>0</v>
      </c>
      <c r="AM60" s="480"/>
      <c r="AN60" s="477">
        <f t="shared" si="21"/>
        <v>0</v>
      </c>
      <c r="AO60" s="480"/>
      <c r="AP60" s="477">
        <f t="shared" si="22"/>
        <v>0</v>
      </c>
      <c r="AQ60" s="480"/>
      <c r="AR60" s="477">
        <f t="shared" si="23"/>
        <v>0</v>
      </c>
      <c r="AS60" s="480"/>
      <c r="AT60" s="477">
        <f t="shared" ca="1" si="24"/>
        <v>0</v>
      </c>
      <c r="AU60" s="475">
        <f t="shared" ca="1" si="25"/>
        <v>0</v>
      </c>
      <c r="AV60" s="480"/>
      <c r="AW60" s="477">
        <f t="shared" si="26"/>
        <v>0</v>
      </c>
      <c r="AX60" s="480"/>
      <c r="AY60" s="477">
        <f t="shared" si="27"/>
        <v>0</v>
      </c>
      <c r="AZ60" s="480"/>
      <c r="BA60" s="477">
        <f t="shared" si="28"/>
        <v>0</v>
      </c>
      <c r="BB60" s="480"/>
      <c r="BC60" s="850">
        <f t="shared" ca="1" si="29"/>
        <v>51840</v>
      </c>
    </row>
    <row r="61" spans="1:55" ht="42">
      <c r="A61" s="837" t="str">
        <f t="shared" ca="1" si="0"/>
        <v/>
      </c>
      <c r="B61" s="440">
        <v>55</v>
      </c>
      <c r="C61" s="834" t="str">
        <f t="shared" ca="1" si="1"/>
        <v>6.</v>
      </c>
      <c r="D61" s="1757" t="str">
        <f ca="1">IFERROR(VLOOKUP(LEFT(E61,4),Nom_activ_2!D:G,4,0),"")</f>
        <v>6.1.  Consolidarea capacităților pentru managementul eficient al PNCT</v>
      </c>
      <c r="E61" s="1757" t="str">
        <f t="shared" ca="1" si="2"/>
        <v>6.1.3. Asigurarea vizitelor complexe de M&amp;E, inclusiv și în cadrul OSC și alte autorități publice cu rețele sanitare proprii și private</v>
      </c>
      <c r="F61" s="1777" t="str">
        <f t="shared" ca="1" si="31"/>
        <v>Acomodare_diurne_echipa PNCT_vizite Malul Drept</v>
      </c>
      <c r="G61" s="839">
        <f t="shared" ca="1" si="31"/>
        <v>0</v>
      </c>
      <c r="H61" s="840" t="str">
        <f t="shared" ca="1" si="31"/>
        <v>CNAM</v>
      </c>
      <c r="I61" s="443" t="s">
        <v>2014</v>
      </c>
      <c r="J61" s="838" t="str">
        <f t="shared" si="4"/>
        <v>Vizite_monitorizare!$A:$j</v>
      </c>
      <c r="K61" s="475">
        <f t="shared" ca="1" si="5"/>
        <v>0</v>
      </c>
      <c r="L61" s="480"/>
      <c r="M61" s="477">
        <f t="shared" si="6"/>
        <v>0</v>
      </c>
      <c r="N61" s="480"/>
      <c r="O61" s="477">
        <f t="shared" si="7"/>
        <v>0</v>
      </c>
      <c r="P61" s="480"/>
      <c r="Q61" s="477">
        <f t="shared" si="8"/>
        <v>0</v>
      </c>
      <c r="R61" s="480"/>
      <c r="S61" s="477">
        <f t="shared" ca="1" si="9"/>
        <v>0</v>
      </c>
      <c r="T61" s="475">
        <f t="shared" ca="1" si="10"/>
        <v>0</v>
      </c>
      <c r="U61" s="480"/>
      <c r="V61" s="477">
        <f t="shared" si="11"/>
        <v>0</v>
      </c>
      <c r="W61" s="480"/>
      <c r="X61" s="477">
        <f t="shared" si="12"/>
        <v>0</v>
      </c>
      <c r="Y61" s="480"/>
      <c r="Z61" s="477">
        <f t="shared" si="13"/>
        <v>0</v>
      </c>
      <c r="AA61" s="480"/>
      <c r="AB61" s="477">
        <f t="shared" ca="1" si="14"/>
        <v>0</v>
      </c>
      <c r="AC61" s="475">
        <f t="shared" ca="1" si="15"/>
        <v>0</v>
      </c>
      <c r="AD61" s="480"/>
      <c r="AE61" s="477">
        <f t="shared" si="16"/>
        <v>0</v>
      </c>
      <c r="AF61" s="480"/>
      <c r="AG61" s="477">
        <f t="shared" si="17"/>
        <v>0</v>
      </c>
      <c r="AH61" s="480"/>
      <c r="AI61" s="477">
        <f t="shared" si="18"/>
        <v>0</v>
      </c>
      <c r="AJ61" s="480"/>
      <c r="AK61" s="477">
        <f t="shared" ca="1" si="19"/>
        <v>0</v>
      </c>
      <c r="AL61" s="475">
        <f t="shared" ca="1" si="20"/>
        <v>207496.95999999988</v>
      </c>
      <c r="AM61" s="480"/>
      <c r="AN61" s="477">
        <f t="shared" si="21"/>
        <v>0</v>
      </c>
      <c r="AO61" s="480"/>
      <c r="AP61" s="477">
        <f t="shared" si="22"/>
        <v>0</v>
      </c>
      <c r="AQ61" s="480"/>
      <c r="AR61" s="477">
        <f t="shared" si="23"/>
        <v>0</v>
      </c>
      <c r="AS61" s="480"/>
      <c r="AT61" s="477">
        <f t="shared" ca="1" si="24"/>
        <v>207496.95999999988</v>
      </c>
      <c r="AU61" s="475">
        <f t="shared" ca="1" si="25"/>
        <v>207496.95999999988</v>
      </c>
      <c r="AV61" s="480"/>
      <c r="AW61" s="477">
        <f t="shared" si="26"/>
        <v>0</v>
      </c>
      <c r="AX61" s="480"/>
      <c r="AY61" s="477">
        <f t="shared" si="27"/>
        <v>0</v>
      </c>
      <c r="AZ61" s="480"/>
      <c r="BA61" s="477">
        <f t="shared" si="28"/>
        <v>0</v>
      </c>
      <c r="BB61" s="480"/>
      <c r="BC61" s="850">
        <f t="shared" ca="1" si="29"/>
        <v>414993.91999999975</v>
      </c>
    </row>
    <row r="62" spans="1:55" ht="42">
      <c r="A62" s="837" t="str">
        <f t="shared" ca="1" si="0"/>
        <v/>
      </c>
      <c r="B62" s="440">
        <v>56</v>
      </c>
      <c r="C62" s="834" t="str">
        <f t="shared" ca="1" si="1"/>
        <v>6.</v>
      </c>
      <c r="D62" s="1757" t="str">
        <f ca="1">IFERROR(VLOOKUP(LEFT(E62,4),Nom_activ_2!D:G,4,0),"")</f>
        <v>6.1.  Consolidarea capacităților pentru managementul eficient al PNCT</v>
      </c>
      <c r="E62" s="1757" t="str">
        <f t="shared" ca="1" si="2"/>
        <v>6.1.3. Asigurarea vizitelor complexe de M&amp;E, inclusiv și în cadrul OSC și alte autorități publice cu rețele sanitare proprii și private</v>
      </c>
      <c r="F62" s="1777" t="str">
        <f t="shared" ca="1" si="31"/>
        <v>Acomodare_diurne_echipa PNCT_vizite Malul Drept</v>
      </c>
      <c r="G62" s="839">
        <f t="shared" ca="1" si="31"/>
        <v>0</v>
      </c>
      <c r="H62" s="840" t="str">
        <f t="shared" ca="1" si="31"/>
        <v>GFATM</v>
      </c>
      <c r="I62" s="443" t="s">
        <v>2014</v>
      </c>
      <c r="J62" s="838" t="str">
        <f t="shared" si="4"/>
        <v>Vizite_monitorizare!$A:$j</v>
      </c>
      <c r="K62" s="475">
        <f t="shared" ca="1" si="5"/>
        <v>207496.95999999988</v>
      </c>
      <c r="L62" s="480"/>
      <c r="M62" s="477">
        <f t="shared" si="6"/>
        <v>0</v>
      </c>
      <c r="N62" s="480"/>
      <c r="O62" s="477">
        <f t="shared" si="7"/>
        <v>0</v>
      </c>
      <c r="P62" s="480"/>
      <c r="Q62" s="477">
        <f t="shared" si="8"/>
        <v>0</v>
      </c>
      <c r="R62" s="480"/>
      <c r="S62" s="477">
        <f t="shared" ca="1" si="9"/>
        <v>207496.95999999988</v>
      </c>
      <c r="T62" s="475">
        <f t="shared" ca="1" si="10"/>
        <v>207496.95999999988</v>
      </c>
      <c r="U62" s="480"/>
      <c r="V62" s="477">
        <f t="shared" si="11"/>
        <v>0</v>
      </c>
      <c r="W62" s="480"/>
      <c r="X62" s="477">
        <f t="shared" si="12"/>
        <v>0</v>
      </c>
      <c r="Y62" s="480"/>
      <c r="Z62" s="477">
        <f t="shared" si="13"/>
        <v>0</v>
      </c>
      <c r="AA62" s="480"/>
      <c r="AB62" s="477">
        <f t="shared" ca="1" si="14"/>
        <v>207496.95999999988</v>
      </c>
      <c r="AC62" s="475">
        <f t="shared" ca="1" si="15"/>
        <v>207496.95999999988</v>
      </c>
      <c r="AD62" s="480"/>
      <c r="AE62" s="477">
        <f t="shared" si="16"/>
        <v>0</v>
      </c>
      <c r="AF62" s="480"/>
      <c r="AG62" s="477">
        <f t="shared" si="17"/>
        <v>0</v>
      </c>
      <c r="AH62" s="480"/>
      <c r="AI62" s="477">
        <f t="shared" si="18"/>
        <v>0</v>
      </c>
      <c r="AJ62" s="480"/>
      <c r="AK62" s="477">
        <f t="shared" ca="1" si="19"/>
        <v>207496.95999999988</v>
      </c>
      <c r="AL62" s="475">
        <f t="shared" ca="1" si="20"/>
        <v>0</v>
      </c>
      <c r="AM62" s="480"/>
      <c r="AN62" s="477">
        <f t="shared" si="21"/>
        <v>0</v>
      </c>
      <c r="AO62" s="480"/>
      <c r="AP62" s="477">
        <f t="shared" si="22"/>
        <v>0</v>
      </c>
      <c r="AQ62" s="480"/>
      <c r="AR62" s="477">
        <f t="shared" si="23"/>
        <v>0</v>
      </c>
      <c r="AS62" s="480"/>
      <c r="AT62" s="477">
        <f t="shared" ca="1" si="24"/>
        <v>0</v>
      </c>
      <c r="AU62" s="475">
        <f t="shared" ca="1" si="25"/>
        <v>0</v>
      </c>
      <c r="AV62" s="480"/>
      <c r="AW62" s="477">
        <f t="shared" si="26"/>
        <v>0</v>
      </c>
      <c r="AX62" s="480"/>
      <c r="AY62" s="477">
        <f t="shared" si="27"/>
        <v>0</v>
      </c>
      <c r="AZ62" s="480"/>
      <c r="BA62" s="477">
        <f t="shared" si="28"/>
        <v>0</v>
      </c>
      <c r="BB62" s="480"/>
      <c r="BC62" s="850">
        <f t="shared" ca="1" si="29"/>
        <v>622490.87999999966</v>
      </c>
    </row>
    <row r="63" spans="1:55" ht="42">
      <c r="A63" s="837" t="str">
        <f t="shared" ca="1" si="0"/>
        <v/>
      </c>
      <c r="B63" s="440">
        <v>57</v>
      </c>
      <c r="C63" s="834" t="str">
        <f t="shared" ca="1" si="1"/>
        <v>6.</v>
      </c>
      <c r="D63" s="1757" t="str">
        <f ca="1">IFERROR(VLOOKUP(LEFT(E63,4),Nom_activ_2!D:G,4,0),"")</f>
        <v>6.1.  Consolidarea capacităților pentru managementul eficient al PNCT</v>
      </c>
      <c r="E63" s="1757" t="str">
        <f t="shared" ca="1" si="2"/>
        <v>6.1.3. Asigurarea vizitelor complexe de M&amp;E, inclusiv și în cadrul OSC și alte autorități publice cu rețele sanitare proprii și private</v>
      </c>
      <c r="F63" s="1777" t="str">
        <f t="shared" ca="1" si="31"/>
        <v>Combust, ulei vizite monitorizare_echipa PCT_Malul_Stang</v>
      </c>
      <c r="G63" s="839">
        <f t="shared" ca="1" si="31"/>
        <v>0</v>
      </c>
      <c r="H63" s="840" t="str">
        <f t="shared" ca="1" si="31"/>
        <v>Buget local (Malul Stang)</v>
      </c>
      <c r="I63" s="443" t="s">
        <v>2014</v>
      </c>
      <c r="J63" s="838" t="str">
        <f t="shared" si="4"/>
        <v>Vizite_monitorizare!$A:$j</v>
      </c>
      <c r="K63" s="475">
        <f t="shared" ca="1" si="5"/>
        <v>10487.05</v>
      </c>
      <c r="L63" s="480"/>
      <c r="M63" s="477">
        <f t="shared" si="6"/>
        <v>0</v>
      </c>
      <c r="N63" s="480"/>
      <c r="O63" s="477">
        <f t="shared" si="7"/>
        <v>0</v>
      </c>
      <c r="P63" s="480"/>
      <c r="Q63" s="477">
        <f t="shared" si="8"/>
        <v>0</v>
      </c>
      <c r="R63" s="480"/>
      <c r="S63" s="477">
        <f t="shared" ca="1" si="9"/>
        <v>10487.05</v>
      </c>
      <c r="T63" s="475">
        <f t="shared" ca="1" si="10"/>
        <v>11535.75</v>
      </c>
      <c r="U63" s="480"/>
      <c r="V63" s="477">
        <f t="shared" si="11"/>
        <v>0</v>
      </c>
      <c r="W63" s="480"/>
      <c r="X63" s="477">
        <f t="shared" si="12"/>
        <v>0</v>
      </c>
      <c r="Y63" s="480"/>
      <c r="Z63" s="477">
        <f t="shared" si="13"/>
        <v>0</v>
      </c>
      <c r="AA63" s="480"/>
      <c r="AB63" s="477">
        <f t="shared" ca="1" si="14"/>
        <v>11535.75</v>
      </c>
      <c r="AC63" s="475">
        <f t="shared" ca="1" si="15"/>
        <v>12584.45</v>
      </c>
      <c r="AD63" s="480"/>
      <c r="AE63" s="477">
        <f t="shared" si="16"/>
        <v>0</v>
      </c>
      <c r="AF63" s="480"/>
      <c r="AG63" s="477">
        <f t="shared" si="17"/>
        <v>0</v>
      </c>
      <c r="AH63" s="480"/>
      <c r="AI63" s="477">
        <f t="shared" si="18"/>
        <v>0</v>
      </c>
      <c r="AJ63" s="480"/>
      <c r="AK63" s="477">
        <f t="shared" ca="1" si="19"/>
        <v>12584.45</v>
      </c>
      <c r="AL63" s="475">
        <f t="shared" ca="1" si="20"/>
        <v>20974.09</v>
      </c>
      <c r="AM63" s="480"/>
      <c r="AN63" s="477">
        <f t="shared" si="21"/>
        <v>0</v>
      </c>
      <c r="AO63" s="480"/>
      <c r="AP63" s="477">
        <f t="shared" si="22"/>
        <v>0</v>
      </c>
      <c r="AQ63" s="480"/>
      <c r="AR63" s="477">
        <f t="shared" si="23"/>
        <v>0</v>
      </c>
      <c r="AS63" s="480"/>
      <c r="AT63" s="477">
        <f t="shared" ca="1" si="24"/>
        <v>20974.09</v>
      </c>
      <c r="AU63" s="475">
        <f t="shared" ca="1" si="25"/>
        <v>20974.09</v>
      </c>
      <c r="AV63" s="480"/>
      <c r="AW63" s="477">
        <f t="shared" si="26"/>
        <v>0</v>
      </c>
      <c r="AX63" s="480"/>
      <c r="AY63" s="477">
        <f t="shared" si="27"/>
        <v>0</v>
      </c>
      <c r="AZ63" s="480"/>
      <c r="BA63" s="477">
        <f t="shared" si="28"/>
        <v>0</v>
      </c>
      <c r="BB63" s="480"/>
      <c r="BC63" s="850">
        <f t="shared" ca="1" si="29"/>
        <v>76555.429999999993</v>
      </c>
    </row>
    <row r="64" spans="1:55" ht="42">
      <c r="A64" s="837" t="str">
        <f t="shared" ca="1" si="0"/>
        <v/>
      </c>
      <c r="B64" s="440">
        <v>58</v>
      </c>
      <c r="C64" s="834" t="str">
        <f t="shared" ca="1" si="1"/>
        <v>6.</v>
      </c>
      <c r="D64" s="1757" t="str">
        <f ca="1">IFERROR(VLOOKUP(LEFT(E64,4),Nom_activ_2!D:G,4,0),"")</f>
        <v>6.1.  Consolidarea capacităților pentru managementul eficient al PNCT</v>
      </c>
      <c r="E64" s="1757" t="str">
        <f t="shared" ca="1" si="2"/>
        <v>6.1.3. Asigurarea vizitelor complexe de M&amp;E, inclusiv și în cadrul OSC și alte autorități publice cu rețele sanitare proprii și private</v>
      </c>
      <c r="F64" s="1777" t="str">
        <f t="shared" ca="1" si="31"/>
        <v>Combust, ulei vizite monitorizare_echipa PCT_Malul_Stang</v>
      </c>
      <c r="G64" s="839">
        <f t="shared" ca="1" si="31"/>
        <v>0</v>
      </c>
      <c r="H64" s="840" t="str">
        <f t="shared" ca="1" si="31"/>
        <v>GFATM</v>
      </c>
      <c r="I64" s="443" t="s">
        <v>2014</v>
      </c>
      <c r="J64" s="838" t="str">
        <f t="shared" si="4"/>
        <v>Vizite_monitorizare!$A:$j</v>
      </c>
      <c r="K64" s="475">
        <f t="shared" ca="1" si="5"/>
        <v>10487.05</v>
      </c>
      <c r="L64" s="480"/>
      <c r="M64" s="477">
        <f t="shared" si="6"/>
        <v>0</v>
      </c>
      <c r="N64" s="480"/>
      <c r="O64" s="477">
        <f t="shared" si="7"/>
        <v>0</v>
      </c>
      <c r="P64" s="480"/>
      <c r="Q64" s="477">
        <f t="shared" si="8"/>
        <v>0</v>
      </c>
      <c r="R64" s="480"/>
      <c r="S64" s="477">
        <f t="shared" ca="1" si="9"/>
        <v>10487.05</v>
      </c>
      <c r="T64" s="475">
        <f t="shared" ca="1" si="10"/>
        <v>9438.34</v>
      </c>
      <c r="U64" s="480"/>
      <c r="V64" s="477">
        <f t="shared" si="11"/>
        <v>0</v>
      </c>
      <c r="W64" s="480"/>
      <c r="X64" s="477">
        <f t="shared" si="12"/>
        <v>0</v>
      </c>
      <c r="Y64" s="480"/>
      <c r="Z64" s="477">
        <f t="shared" si="13"/>
        <v>0</v>
      </c>
      <c r="AA64" s="480"/>
      <c r="AB64" s="477">
        <f t="shared" ca="1" si="14"/>
        <v>9438.34</v>
      </c>
      <c r="AC64" s="475">
        <f t="shared" ca="1" si="15"/>
        <v>8389.64</v>
      </c>
      <c r="AD64" s="480"/>
      <c r="AE64" s="477">
        <f t="shared" si="16"/>
        <v>0</v>
      </c>
      <c r="AF64" s="480"/>
      <c r="AG64" s="477">
        <f t="shared" si="17"/>
        <v>0</v>
      </c>
      <c r="AH64" s="480"/>
      <c r="AI64" s="477">
        <f t="shared" si="18"/>
        <v>0</v>
      </c>
      <c r="AJ64" s="480"/>
      <c r="AK64" s="477">
        <f t="shared" ca="1" si="19"/>
        <v>8389.64</v>
      </c>
      <c r="AL64" s="475">
        <f t="shared" ca="1" si="20"/>
        <v>0</v>
      </c>
      <c r="AM64" s="480"/>
      <c r="AN64" s="477">
        <f t="shared" si="21"/>
        <v>0</v>
      </c>
      <c r="AO64" s="480"/>
      <c r="AP64" s="477">
        <f t="shared" si="22"/>
        <v>0</v>
      </c>
      <c r="AQ64" s="480"/>
      <c r="AR64" s="477">
        <f t="shared" si="23"/>
        <v>0</v>
      </c>
      <c r="AS64" s="480"/>
      <c r="AT64" s="477">
        <f t="shared" ca="1" si="24"/>
        <v>0</v>
      </c>
      <c r="AU64" s="475">
        <f t="shared" ca="1" si="25"/>
        <v>0</v>
      </c>
      <c r="AV64" s="480"/>
      <c r="AW64" s="477">
        <f t="shared" si="26"/>
        <v>0</v>
      </c>
      <c r="AX64" s="480"/>
      <c r="AY64" s="477">
        <f t="shared" si="27"/>
        <v>0</v>
      </c>
      <c r="AZ64" s="480"/>
      <c r="BA64" s="477">
        <f t="shared" si="28"/>
        <v>0</v>
      </c>
      <c r="BB64" s="480"/>
      <c r="BC64" s="850">
        <f t="shared" ca="1" si="29"/>
        <v>28315.03</v>
      </c>
    </row>
    <row r="65" spans="1:55" ht="42">
      <c r="A65" s="837" t="str">
        <f t="shared" ca="1" si="0"/>
        <v/>
      </c>
      <c r="B65" s="440">
        <v>59</v>
      </c>
      <c r="C65" s="834" t="str">
        <f t="shared" ca="1" si="1"/>
        <v>6.</v>
      </c>
      <c r="D65" s="1757" t="str">
        <f ca="1">IFERROR(VLOOKUP(LEFT(E65,4),Nom_activ_2!D:G,4,0),"")</f>
        <v>6.1.  Consolidarea capacităților pentru managementul eficient al PNCT</v>
      </c>
      <c r="E65" s="1757" t="str">
        <f t="shared" ca="1" si="2"/>
        <v>6.1.3. Asigurarea vizitelor complexe de M&amp;E, inclusiv și în cadrul OSC și alte autorități publice cu rețele sanitare proprii și private</v>
      </c>
      <c r="F65" s="1777" t="str">
        <f t="shared" ca="1" si="31"/>
        <v>Acomodare_diurne_echipa PCT_Malul_Stang</v>
      </c>
      <c r="G65" s="839">
        <f t="shared" ca="1" si="31"/>
        <v>0</v>
      </c>
      <c r="H65" s="840" t="str">
        <f t="shared" ca="1" si="31"/>
        <v>Buget local (Malul Stang)</v>
      </c>
      <c r="I65" s="443" t="s">
        <v>2014</v>
      </c>
      <c r="J65" s="838" t="str">
        <f t="shared" si="4"/>
        <v>Vizite_monitorizare!$A:$j</v>
      </c>
      <c r="K65" s="475">
        <f t="shared" ca="1" si="5"/>
        <v>0</v>
      </c>
      <c r="L65" s="480"/>
      <c r="M65" s="477">
        <f t="shared" si="6"/>
        <v>0</v>
      </c>
      <c r="N65" s="480"/>
      <c r="O65" s="477">
        <f t="shared" si="7"/>
        <v>0</v>
      </c>
      <c r="P65" s="480"/>
      <c r="Q65" s="477">
        <f t="shared" si="8"/>
        <v>0</v>
      </c>
      <c r="R65" s="480"/>
      <c r="S65" s="477">
        <f t="shared" ca="1" si="9"/>
        <v>0</v>
      </c>
      <c r="T65" s="475">
        <f t="shared" ca="1" si="10"/>
        <v>0</v>
      </c>
      <c r="U65" s="480"/>
      <c r="V65" s="477">
        <f t="shared" si="11"/>
        <v>0</v>
      </c>
      <c r="W65" s="480"/>
      <c r="X65" s="477">
        <f t="shared" si="12"/>
        <v>0</v>
      </c>
      <c r="Y65" s="480"/>
      <c r="Z65" s="477">
        <f t="shared" si="13"/>
        <v>0</v>
      </c>
      <c r="AA65" s="480"/>
      <c r="AB65" s="477">
        <f t="shared" ca="1" si="14"/>
        <v>0</v>
      </c>
      <c r="AC65" s="475">
        <f t="shared" ca="1" si="15"/>
        <v>0</v>
      </c>
      <c r="AD65" s="480"/>
      <c r="AE65" s="477">
        <f t="shared" si="16"/>
        <v>0</v>
      </c>
      <c r="AF65" s="480"/>
      <c r="AG65" s="477">
        <f t="shared" si="17"/>
        <v>0</v>
      </c>
      <c r="AH65" s="480"/>
      <c r="AI65" s="477">
        <f t="shared" si="18"/>
        <v>0</v>
      </c>
      <c r="AJ65" s="480"/>
      <c r="AK65" s="477">
        <f t="shared" ca="1" si="19"/>
        <v>0</v>
      </c>
      <c r="AL65" s="475">
        <f t="shared" ca="1" si="20"/>
        <v>0</v>
      </c>
      <c r="AM65" s="480"/>
      <c r="AN65" s="477">
        <f t="shared" si="21"/>
        <v>0</v>
      </c>
      <c r="AO65" s="480"/>
      <c r="AP65" s="477">
        <f t="shared" si="22"/>
        <v>0</v>
      </c>
      <c r="AQ65" s="480"/>
      <c r="AR65" s="477">
        <f t="shared" si="23"/>
        <v>0</v>
      </c>
      <c r="AS65" s="480"/>
      <c r="AT65" s="477">
        <f t="shared" ca="1" si="24"/>
        <v>0</v>
      </c>
      <c r="AU65" s="475">
        <f t="shared" ca="1" si="25"/>
        <v>0</v>
      </c>
      <c r="AV65" s="480"/>
      <c r="AW65" s="477">
        <f t="shared" si="26"/>
        <v>0</v>
      </c>
      <c r="AX65" s="480"/>
      <c r="AY65" s="477">
        <f t="shared" si="27"/>
        <v>0</v>
      </c>
      <c r="AZ65" s="480"/>
      <c r="BA65" s="477">
        <f t="shared" si="28"/>
        <v>0</v>
      </c>
      <c r="BB65" s="480"/>
      <c r="BC65" s="850">
        <f t="shared" ca="1" si="29"/>
        <v>0</v>
      </c>
    </row>
    <row r="66" spans="1:55" ht="42">
      <c r="A66" s="837" t="str">
        <f t="shared" ca="1" si="0"/>
        <v/>
      </c>
      <c r="B66" s="440">
        <v>60</v>
      </c>
      <c r="C66" s="834" t="str">
        <f t="shared" ca="1" si="1"/>
        <v>6.</v>
      </c>
      <c r="D66" s="1757" t="str">
        <f ca="1">IFERROR(VLOOKUP(LEFT(E66,4),Nom_activ_2!D:G,4,0),"")</f>
        <v>6.1.  Consolidarea capacităților pentru managementul eficient al PNCT</v>
      </c>
      <c r="E66" s="1757" t="str">
        <f t="shared" ca="1" si="2"/>
        <v>6.1.3. Asigurarea vizitelor complexe de M&amp;E, inclusiv și în cadrul OSC și alte autorități publice cu rețele sanitare proprii și private</v>
      </c>
      <c r="F66" s="1777" t="str">
        <f t="shared" ca="1" si="31"/>
        <v>Acomodare_diurne_echipa PCT_Malul_Stang</v>
      </c>
      <c r="G66" s="839">
        <f t="shared" ca="1" si="31"/>
        <v>0</v>
      </c>
      <c r="H66" s="840" t="str">
        <f t="shared" ca="1" si="31"/>
        <v>GFATM</v>
      </c>
      <c r="I66" s="443" t="s">
        <v>2014</v>
      </c>
      <c r="J66" s="838" t="str">
        <f t="shared" si="4"/>
        <v>Vizite_monitorizare!$A:$j</v>
      </c>
      <c r="K66" s="475">
        <f t="shared" ca="1" si="5"/>
        <v>0</v>
      </c>
      <c r="L66" s="480"/>
      <c r="M66" s="477">
        <f t="shared" si="6"/>
        <v>0</v>
      </c>
      <c r="N66" s="480"/>
      <c r="O66" s="477">
        <f t="shared" si="7"/>
        <v>0</v>
      </c>
      <c r="P66" s="480"/>
      <c r="Q66" s="477">
        <f t="shared" si="8"/>
        <v>0</v>
      </c>
      <c r="R66" s="480"/>
      <c r="S66" s="477">
        <f t="shared" ca="1" si="9"/>
        <v>0</v>
      </c>
      <c r="T66" s="475">
        <f t="shared" ca="1" si="10"/>
        <v>0</v>
      </c>
      <c r="U66" s="480"/>
      <c r="V66" s="477">
        <f t="shared" si="11"/>
        <v>0</v>
      </c>
      <c r="W66" s="480"/>
      <c r="X66" s="477">
        <f t="shared" si="12"/>
        <v>0</v>
      </c>
      <c r="Y66" s="480"/>
      <c r="Z66" s="477">
        <f t="shared" si="13"/>
        <v>0</v>
      </c>
      <c r="AA66" s="480"/>
      <c r="AB66" s="477">
        <f t="shared" ca="1" si="14"/>
        <v>0</v>
      </c>
      <c r="AC66" s="475">
        <f t="shared" ca="1" si="15"/>
        <v>0</v>
      </c>
      <c r="AD66" s="480"/>
      <c r="AE66" s="477">
        <f t="shared" si="16"/>
        <v>0</v>
      </c>
      <c r="AF66" s="480"/>
      <c r="AG66" s="477">
        <f t="shared" si="17"/>
        <v>0</v>
      </c>
      <c r="AH66" s="480"/>
      <c r="AI66" s="477">
        <f t="shared" si="18"/>
        <v>0</v>
      </c>
      <c r="AJ66" s="480"/>
      <c r="AK66" s="477">
        <f t="shared" ca="1" si="19"/>
        <v>0</v>
      </c>
      <c r="AL66" s="475">
        <f t="shared" ca="1" si="20"/>
        <v>0</v>
      </c>
      <c r="AM66" s="480"/>
      <c r="AN66" s="477">
        <f t="shared" si="21"/>
        <v>0</v>
      </c>
      <c r="AO66" s="480"/>
      <c r="AP66" s="477">
        <f t="shared" si="22"/>
        <v>0</v>
      </c>
      <c r="AQ66" s="480"/>
      <c r="AR66" s="477">
        <f t="shared" si="23"/>
        <v>0</v>
      </c>
      <c r="AS66" s="480"/>
      <c r="AT66" s="477">
        <f t="shared" ca="1" si="24"/>
        <v>0</v>
      </c>
      <c r="AU66" s="475">
        <f t="shared" ca="1" si="25"/>
        <v>0</v>
      </c>
      <c r="AV66" s="480"/>
      <c r="AW66" s="477">
        <f t="shared" si="26"/>
        <v>0</v>
      </c>
      <c r="AX66" s="480"/>
      <c r="AY66" s="477">
        <f t="shared" si="27"/>
        <v>0</v>
      </c>
      <c r="AZ66" s="480"/>
      <c r="BA66" s="477">
        <f t="shared" si="28"/>
        <v>0</v>
      </c>
      <c r="BB66" s="480"/>
      <c r="BC66" s="850">
        <f t="shared" ca="1" si="29"/>
        <v>0</v>
      </c>
    </row>
    <row r="67" spans="1:55" ht="42">
      <c r="A67" s="837" t="str">
        <f t="shared" ca="1" si="0"/>
        <v/>
      </c>
      <c r="B67" s="440">
        <v>61</v>
      </c>
      <c r="C67" s="834" t="str">
        <f t="shared" ca="1" si="1"/>
        <v>6.</v>
      </c>
      <c r="D67" s="1757" t="str">
        <f ca="1">IFERROR(VLOOKUP(LEFT(E67,4),Nom_activ_2!D:G,4,0),"")</f>
        <v>6.1.  Consolidarea capacităților pentru managementul eficient al PNCT</v>
      </c>
      <c r="E67" s="1757" t="str">
        <f t="shared" ca="1" si="2"/>
        <v>6.1.3. Asigurarea vizitelor complexe de M&amp;E, inclusiv și în cadrul OSC și alte autorități publice cu rețele sanitare proprii și private</v>
      </c>
      <c r="F67" s="1777" t="str">
        <f t="shared" ref="F67:H86" ca="1" si="32">IFERROR(VLOOKUP($B67,INDIRECT($J67),F$5,0),0)</f>
        <v>Acomodare_diurne_echipa PCT_Malul_Stang</v>
      </c>
      <c r="G67" s="839">
        <f t="shared" ca="1" si="32"/>
        <v>0</v>
      </c>
      <c r="H67" s="840" t="str">
        <f t="shared" ca="1" si="32"/>
        <v>Buget local (Malul Stang)</v>
      </c>
      <c r="I67" s="443" t="s">
        <v>2014</v>
      </c>
      <c r="J67" s="838" t="str">
        <f t="shared" si="4"/>
        <v>Vizite_monitorizare!$A:$j</v>
      </c>
      <c r="K67" s="475">
        <f t="shared" ca="1" si="5"/>
        <v>0</v>
      </c>
      <c r="L67" s="480"/>
      <c r="M67" s="477">
        <f t="shared" si="6"/>
        <v>0</v>
      </c>
      <c r="N67" s="480"/>
      <c r="O67" s="477">
        <f t="shared" si="7"/>
        <v>0</v>
      </c>
      <c r="P67" s="480"/>
      <c r="Q67" s="477">
        <f t="shared" si="8"/>
        <v>0</v>
      </c>
      <c r="R67" s="480"/>
      <c r="S67" s="477">
        <f t="shared" ca="1" si="9"/>
        <v>0</v>
      </c>
      <c r="T67" s="475">
        <f t="shared" ca="1" si="10"/>
        <v>0</v>
      </c>
      <c r="U67" s="480"/>
      <c r="V67" s="477">
        <f t="shared" si="11"/>
        <v>0</v>
      </c>
      <c r="W67" s="480"/>
      <c r="X67" s="477">
        <f t="shared" si="12"/>
        <v>0</v>
      </c>
      <c r="Y67" s="480"/>
      <c r="Z67" s="477">
        <f t="shared" si="13"/>
        <v>0</v>
      </c>
      <c r="AA67" s="480"/>
      <c r="AB67" s="477">
        <f t="shared" ca="1" si="14"/>
        <v>0</v>
      </c>
      <c r="AC67" s="475">
        <f t="shared" ca="1" si="15"/>
        <v>0</v>
      </c>
      <c r="AD67" s="480"/>
      <c r="AE67" s="477">
        <f t="shared" si="16"/>
        <v>0</v>
      </c>
      <c r="AF67" s="480"/>
      <c r="AG67" s="477">
        <f t="shared" si="17"/>
        <v>0</v>
      </c>
      <c r="AH67" s="480"/>
      <c r="AI67" s="477">
        <f t="shared" si="18"/>
        <v>0</v>
      </c>
      <c r="AJ67" s="480"/>
      <c r="AK67" s="477">
        <f t="shared" ca="1" si="19"/>
        <v>0</v>
      </c>
      <c r="AL67" s="475">
        <f t="shared" ca="1" si="20"/>
        <v>0</v>
      </c>
      <c r="AM67" s="480"/>
      <c r="AN67" s="477">
        <f t="shared" si="21"/>
        <v>0</v>
      </c>
      <c r="AO67" s="480"/>
      <c r="AP67" s="477">
        <f t="shared" si="22"/>
        <v>0</v>
      </c>
      <c r="AQ67" s="480"/>
      <c r="AR67" s="477">
        <f t="shared" si="23"/>
        <v>0</v>
      </c>
      <c r="AS67" s="480"/>
      <c r="AT67" s="477">
        <f t="shared" ca="1" si="24"/>
        <v>0</v>
      </c>
      <c r="AU67" s="475">
        <f t="shared" ca="1" si="25"/>
        <v>0</v>
      </c>
      <c r="AV67" s="480"/>
      <c r="AW67" s="477">
        <f t="shared" si="26"/>
        <v>0</v>
      </c>
      <c r="AX67" s="480"/>
      <c r="AY67" s="477">
        <f t="shared" si="27"/>
        <v>0</v>
      </c>
      <c r="AZ67" s="480"/>
      <c r="BA67" s="477">
        <f t="shared" si="28"/>
        <v>0</v>
      </c>
      <c r="BB67" s="480"/>
      <c r="BC67" s="850">
        <f t="shared" ca="1" si="29"/>
        <v>0</v>
      </c>
    </row>
    <row r="68" spans="1:55" ht="42">
      <c r="A68" s="837" t="str">
        <f t="shared" ca="1" si="0"/>
        <v/>
      </c>
      <c r="B68" s="440">
        <v>62</v>
      </c>
      <c r="C68" s="834" t="str">
        <f t="shared" ca="1" si="1"/>
        <v>6.</v>
      </c>
      <c r="D68" s="1757" t="str">
        <f ca="1">IFERROR(VLOOKUP(LEFT(E68,4),Nom_activ_2!D:G,4,0),"")</f>
        <v>6.1.  Consolidarea capacităților pentru managementul eficient al PNCT</v>
      </c>
      <c r="E68" s="1757" t="str">
        <f t="shared" ca="1" si="2"/>
        <v>6.1.3. Asigurarea vizitelor complexe de M&amp;E, inclusiv și în cadrul OSC și alte autorități publice cu rețele sanitare proprii și private</v>
      </c>
      <c r="F68" s="1777" t="str">
        <f t="shared" ca="1" si="32"/>
        <v>Acomodare_diurne_echipa PCT_Malul_Stang</v>
      </c>
      <c r="G68" s="839">
        <f t="shared" ca="1" si="32"/>
        <v>0</v>
      </c>
      <c r="H68" s="840" t="str">
        <f t="shared" ca="1" si="32"/>
        <v>GFATM</v>
      </c>
      <c r="I68" s="443" t="s">
        <v>2014</v>
      </c>
      <c r="J68" s="838" t="str">
        <f t="shared" si="4"/>
        <v>Vizite_monitorizare!$A:$j</v>
      </c>
      <c r="K68" s="475">
        <f t="shared" ca="1" si="5"/>
        <v>37726.720000000001</v>
      </c>
      <c r="L68" s="480"/>
      <c r="M68" s="477">
        <f t="shared" si="6"/>
        <v>0</v>
      </c>
      <c r="N68" s="480"/>
      <c r="O68" s="477">
        <f t="shared" si="7"/>
        <v>0</v>
      </c>
      <c r="P68" s="480"/>
      <c r="Q68" s="477">
        <f t="shared" si="8"/>
        <v>0</v>
      </c>
      <c r="R68" s="480"/>
      <c r="S68" s="477">
        <f t="shared" ca="1" si="9"/>
        <v>37726.720000000001</v>
      </c>
      <c r="T68" s="475">
        <f t="shared" ca="1" si="10"/>
        <v>37726.720000000001</v>
      </c>
      <c r="U68" s="480"/>
      <c r="V68" s="477">
        <f t="shared" si="11"/>
        <v>0</v>
      </c>
      <c r="W68" s="480"/>
      <c r="X68" s="477">
        <f t="shared" si="12"/>
        <v>0</v>
      </c>
      <c r="Y68" s="480"/>
      <c r="Z68" s="477">
        <f t="shared" si="13"/>
        <v>0</v>
      </c>
      <c r="AA68" s="480"/>
      <c r="AB68" s="477">
        <f t="shared" ca="1" si="14"/>
        <v>37726.720000000001</v>
      </c>
      <c r="AC68" s="475">
        <f t="shared" ca="1" si="15"/>
        <v>37726.720000000001</v>
      </c>
      <c r="AD68" s="480"/>
      <c r="AE68" s="477">
        <f t="shared" si="16"/>
        <v>0</v>
      </c>
      <c r="AF68" s="480"/>
      <c r="AG68" s="477">
        <f t="shared" si="17"/>
        <v>0</v>
      </c>
      <c r="AH68" s="480"/>
      <c r="AI68" s="477">
        <f t="shared" si="18"/>
        <v>0</v>
      </c>
      <c r="AJ68" s="480"/>
      <c r="AK68" s="477">
        <f t="shared" ca="1" si="19"/>
        <v>37726.720000000001</v>
      </c>
      <c r="AL68" s="475">
        <f t="shared" ca="1" si="20"/>
        <v>0</v>
      </c>
      <c r="AM68" s="480"/>
      <c r="AN68" s="477">
        <f t="shared" si="21"/>
        <v>0</v>
      </c>
      <c r="AO68" s="480"/>
      <c r="AP68" s="477">
        <f t="shared" si="22"/>
        <v>0</v>
      </c>
      <c r="AQ68" s="480"/>
      <c r="AR68" s="477">
        <f t="shared" si="23"/>
        <v>0</v>
      </c>
      <c r="AS68" s="480"/>
      <c r="AT68" s="477">
        <f t="shared" ca="1" si="24"/>
        <v>0</v>
      </c>
      <c r="AU68" s="475">
        <f t="shared" ca="1" si="25"/>
        <v>0</v>
      </c>
      <c r="AV68" s="480"/>
      <c r="AW68" s="477">
        <f t="shared" si="26"/>
        <v>0</v>
      </c>
      <c r="AX68" s="480"/>
      <c r="AY68" s="477">
        <f t="shared" si="27"/>
        <v>0</v>
      </c>
      <c r="AZ68" s="480"/>
      <c r="BA68" s="477">
        <f t="shared" si="28"/>
        <v>0</v>
      </c>
      <c r="BB68" s="480"/>
      <c r="BC68" s="850">
        <f t="shared" ca="1" si="29"/>
        <v>113180.16</v>
      </c>
    </row>
    <row r="69" spans="1:55" ht="42">
      <c r="A69" s="837" t="str">
        <f t="shared" ca="1" si="0"/>
        <v/>
      </c>
      <c r="B69" s="440">
        <v>63</v>
      </c>
      <c r="C69" s="834" t="str">
        <f t="shared" ca="1" si="1"/>
        <v>6.</v>
      </c>
      <c r="D69" s="1757" t="str">
        <f ca="1">IFERROR(VLOOKUP(LEFT(E69,4),Nom_activ_2!D:G,4,0),"")</f>
        <v>6.1.  Consolidarea capacităților pentru managementul eficient al PNCT</v>
      </c>
      <c r="E69" s="1757" t="str">
        <f t="shared" ca="1" si="2"/>
        <v>6.1.3. Asigurarea vizitelor complexe de M&amp;E, inclusiv și în cadrul OSC și alte autorități publice cu rețele sanitare proprii și private</v>
      </c>
      <c r="F69" s="1777" t="str">
        <f t="shared" ca="1" si="32"/>
        <v>Combust, ulei vizite monitorizare_echipa PNCT in teritoriile de pe Malul Stang</v>
      </c>
      <c r="G69" s="839">
        <f t="shared" ca="1" si="32"/>
        <v>0</v>
      </c>
      <c r="H69" s="840" t="str">
        <f t="shared" ca="1" si="32"/>
        <v>CNAM</v>
      </c>
      <c r="I69" s="443" t="s">
        <v>2014</v>
      </c>
      <c r="J69" s="838" t="str">
        <f t="shared" si="4"/>
        <v>Vizite_monitorizare!$A:$j</v>
      </c>
      <c r="K69" s="475">
        <f t="shared" ca="1" si="5"/>
        <v>6273.37</v>
      </c>
      <c r="L69" s="480"/>
      <c r="M69" s="477">
        <f t="shared" si="6"/>
        <v>0</v>
      </c>
      <c r="N69" s="480"/>
      <c r="O69" s="477">
        <f t="shared" si="7"/>
        <v>0</v>
      </c>
      <c r="P69" s="480"/>
      <c r="Q69" s="477">
        <f t="shared" si="8"/>
        <v>0</v>
      </c>
      <c r="R69" s="480"/>
      <c r="S69" s="477">
        <f t="shared" ca="1" si="9"/>
        <v>6273.37</v>
      </c>
      <c r="T69" s="475">
        <f t="shared" ca="1" si="10"/>
        <v>6900.71</v>
      </c>
      <c r="U69" s="480"/>
      <c r="V69" s="477">
        <f t="shared" si="11"/>
        <v>0</v>
      </c>
      <c r="W69" s="480"/>
      <c r="X69" s="477">
        <f t="shared" si="12"/>
        <v>0</v>
      </c>
      <c r="Y69" s="480"/>
      <c r="Z69" s="477">
        <f t="shared" si="13"/>
        <v>0</v>
      </c>
      <c r="AA69" s="480"/>
      <c r="AB69" s="477">
        <f t="shared" ca="1" si="14"/>
        <v>6900.71</v>
      </c>
      <c r="AC69" s="475">
        <f t="shared" ca="1" si="15"/>
        <v>7528.04</v>
      </c>
      <c r="AD69" s="480"/>
      <c r="AE69" s="477">
        <f t="shared" si="16"/>
        <v>0</v>
      </c>
      <c r="AF69" s="480"/>
      <c r="AG69" s="477">
        <f t="shared" si="17"/>
        <v>0</v>
      </c>
      <c r="AH69" s="480"/>
      <c r="AI69" s="477">
        <f t="shared" si="18"/>
        <v>0</v>
      </c>
      <c r="AJ69" s="480"/>
      <c r="AK69" s="477">
        <f t="shared" ca="1" si="19"/>
        <v>7528.04</v>
      </c>
      <c r="AL69" s="475">
        <f t="shared" ca="1" si="20"/>
        <v>12546.74</v>
      </c>
      <c r="AM69" s="480"/>
      <c r="AN69" s="477">
        <f t="shared" si="21"/>
        <v>0</v>
      </c>
      <c r="AO69" s="480"/>
      <c r="AP69" s="477">
        <f t="shared" si="22"/>
        <v>0</v>
      </c>
      <c r="AQ69" s="480"/>
      <c r="AR69" s="477">
        <f t="shared" si="23"/>
        <v>0</v>
      </c>
      <c r="AS69" s="480"/>
      <c r="AT69" s="477">
        <f t="shared" ca="1" si="24"/>
        <v>12546.74</v>
      </c>
      <c r="AU69" s="475">
        <f t="shared" ca="1" si="25"/>
        <v>12546.74</v>
      </c>
      <c r="AV69" s="480"/>
      <c r="AW69" s="477">
        <f t="shared" si="26"/>
        <v>0</v>
      </c>
      <c r="AX69" s="480"/>
      <c r="AY69" s="477">
        <f t="shared" si="27"/>
        <v>0</v>
      </c>
      <c r="AZ69" s="480"/>
      <c r="BA69" s="477">
        <f t="shared" si="28"/>
        <v>0</v>
      </c>
      <c r="BB69" s="480"/>
      <c r="BC69" s="850">
        <f t="shared" ca="1" si="29"/>
        <v>45795.6</v>
      </c>
    </row>
    <row r="70" spans="1:55" ht="42">
      <c r="A70" s="837" t="str">
        <f t="shared" ca="1" si="0"/>
        <v/>
      </c>
      <c r="B70" s="440">
        <v>64</v>
      </c>
      <c r="C70" s="834" t="str">
        <f t="shared" ca="1" si="1"/>
        <v>6.</v>
      </c>
      <c r="D70" s="1757" t="str">
        <f ca="1">IFERROR(VLOOKUP(LEFT(E70,4),Nom_activ_2!D:G,4,0),"")</f>
        <v>6.1.  Consolidarea capacităților pentru managementul eficient al PNCT</v>
      </c>
      <c r="E70" s="1757" t="str">
        <f t="shared" ca="1" si="2"/>
        <v>6.1.3. Asigurarea vizitelor complexe de M&amp;E, inclusiv și în cadrul OSC și alte autorități publice cu rețele sanitare proprii și private</v>
      </c>
      <c r="F70" s="1777" t="str">
        <f t="shared" ca="1" si="32"/>
        <v>Combust, ulei vizite monitorizare_echipa PNCT in teritoriile de pe Malul Stang</v>
      </c>
      <c r="G70" s="839">
        <f t="shared" ca="1" si="32"/>
        <v>0</v>
      </c>
      <c r="H70" s="840" t="str">
        <f t="shared" ca="1" si="32"/>
        <v>GFATM</v>
      </c>
      <c r="I70" s="443" t="s">
        <v>2014</v>
      </c>
      <c r="J70" s="838" t="str">
        <f t="shared" si="4"/>
        <v>Vizite_monitorizare!$A:$j</v>
      </c>
      <c r="K70" s="475">
        <f t="shared" ca="1" si="5"/>
        <v>6273.37</v>
      </c>
      <c r="L70" s="480"/>
      <c r="M70" s="477">
        <f t="shared" si="6"/>
        <v>0</v>
      </c>
      <c r="N70" s="480"/>
      <c r="O70" s="477">
        <f t="shared" si="7"/>
        <v>0</v>
      </c>
      <c r="P70" s="480"/>
      <c r="Q70" s="477">
        <f t="shared" si="8"/>
        <v>0</v>
      </c>
      <c r="R70" s="480"/>
      <c r="S70" s="477">
        <f t="shared" ca="1" si="9"/>
        <v>6273.37</v>
      </c>
      <c r="T70" s="475">
        <f t="shared" ca="1" si="10"/>
        <v>5646.03</v>
      </c>
      <c r="U70" s="480"/>
      <c r="V70" s="477">
        <f t="shared" si="11"/>
        <v>0</v>
      </c>
      <c r="W70" s="480"/>
      <c r="X70" s="477">
        <f t="shared" si="12"/>
        <v>0</v>
      </c>
      <c r="Y70" s="480"/>
      <c r="Z70" s="477">
        <f t="shared" si="13"/>
        <v>0</v>
      </c>
      <c r="AA70" s="480"/>
      <c r="AB70" s="477">
        <f t="shared" ca="1" si="14"/>
        <v>5646.03</v>
      </c>
      <c r="AC70" s="475">
        <f t="shared" ca="1" si="15"/>
        <v>5018.7</v>
      </c>
      <c r="AD70" s="480"/>
      <c r="AE70" s="477">
        <f t="shared" si="16"/>
        <v>0</v>
      </c>
      <c r="AF70" s="480"/>
      <c r="AG70" s="477">
        <f t="shared" si="17"/>
        <v>0</v>
      </c>
      <c r="AH70" s="480"/>
      <c r="AI70" s="477">
        <f t="shared" si="18"/>
        <v>0</v>
      </c>
      <c r="AJ70" s="480"/>
      <c r="AK70" s="477">
        <f t="shared" ca="1" si="19"/>
        <v>5018.7</v>
      </c>
      <c r="AL70" s="475">
        <f t="shared" ca="1" si="20"/>
        <v>0</v>
      </c>
      <c r="AM70" s="480"/>
      <c r="AN70" s="477">
        <f t="shared" si="21"/>
        <v>0</v>
      </c>
      <c r="AO70" s="480"/>
      <c r="AP70" s="477">
        <f t="shared" si="22"/>
        <v>0</v>
      </c>
      <c r="AQ70" s="480"/>
      <c r="AR70" s="477">
        <f t="shared" si="23"/>
        <v>0</v>
      </c>
      <c r="AS70" s="480"/>
      <c r="AT70" s="477">
        <f t="shared" ca="1" si="24"/>
        <v>0</v>
      </c>
      <c r="AU70" s="475">
        <f t="shared" ca="1" si="25"/>
        <v>0</v>
      </c>
      <c r="AV70" s="480"/>
      <c r="AW70" s="477">
        <f t="shared" si="26"/>
        <v>0</v>
      </c>
      <c r="AX70" s="480"/>
      <c r="AY70" s="477">
        <f t="shared" si="27"/>
        <v>0</v>
      </c>
      <c r="AZ70" s="480"/>
      <c r="BA70" s="477">
        <f t="shared" si="28"/>
        <v>0</v>
      </c>
      <c r="BB70" s="480"/>
      <c r="BC70" s="850">
        <f t="shared" ca="1" si="29"/>
        <v>16938.099999999999</v>
      </c>
    </row>
    <row r="71" spans="1:55" ht="42">
      <c r="A71" s="837" t="str">
        <f t="shared" ref="A71:A134" ca="1" si="33">IF(B71="","",IF(COUNTA(C71:H71)&lt;6,"Completati  toate campurile col C:H",""))</f>
        <v/>
      </c>
      <c r="B71" s="440">
        <v>65</v>
      </c>
      <c r="C71" s="834" t="str">
        <f t="shared" ref="C71:C134" ca="1" si="34">IFERROR(LEFT(D71,2),"")</f>
        <v>6.</v>
      </c>
      <c r="D71" s="1757" t="str">
        <f ca="1">IFERROR(VLOOKUP(LEFT(E71,4),Nom_activ_2!D:G,4,0),"")</f>
        <v>6.1.  Consolidarea capacităților pentru managementul eficient al PNCT</v>
      </c>
      <c r="E71" s="1757" t="str">
        <f t="shared" ref="E71:E134" ca="1" si="35">IFERROR(VLOOKUP($B71,INDIRECT($J71),E$5,0),"")</f>
        <v>6.1.3. Asigurarea vizitelor complexe de M&amp;E, inclusiv și în cadrul OSC și alte autorități publice cu rețele sanitare proprii și private</v>
      </c>
      <c r="F71" s="1777" t="str">
        <f t="shared" ca="1" si="32"/>
        <v>Acomodare_diurne_echipa PNCT in teritoriile de pe Malul Stang</v>
      </c>
      <c r="G71" s="839">
        <f t="shared" ca="1" si="32"/>
        <v>0</v>
      </c>
      <c r="H71" s="840" t="str">
        <f t="shared" ca="1" si="32"/>
        <v>CNAM</v>
      </c>
      <c r="I71" s="443" t="s">
        <v>2014</v>
      </c>
      <c r="J71" s="838" t="str">
        <f t="shared" ref="J71:J134" si="36">I71&amp;"!$A:$j"</f>
        <v>Vizite_monitorizare!$A:$j</v>
      </c>
      <c r="K71" s="475">
        <f t="shared" ref="K71:K134" ca="1" si="37">IFERROR(VLOOKUP($B71,INDIRECT($J71),K$5,0),0)</f>
        <v>0</v>
      </c>
      <c r="L71" s="480"/>
      <c r="M71" s="477">
        <f t="shared" ref="M71:M134" si="38">IF(L71="",0,K71*L71)</f>
        <v>0</v>
      </c>
      <c r="N71" s="480"/>
      <c r="O71" s="477">
        <f t="shared" ref="O71:O134" si="39">IF(N71="",0,M71*N71)</f>
        <v>0</v>
      </c>
      <c r="P71" s="480"/>
      <c r="Q71" s="477">
        <f t="shared" ref="Q71:Q134" si="40">IF(P71="",0,O71*P71)</f>
        <v>0</v>
      </c>
      <c r="R71" s="480"/>
      <c r="S71" s="477">
        <f t="shared" ref="S71:S134" ca="1" si="41">IFERROR(K71-M71-O71-Q71,0)</f>
        <v>0</v>
      </c>
      <c r="T71" s="475">
        <f t="shared" ref="T71:T134" ca="1" si="42">IFERROR(VLOOKUP($B71,INDIRECT($J71),T$5,0),0)</f>
        <v>0</v>
      </c>
      <c r="U71" s="480"/>
      <c r="V71" s="477">
        <f t="shared" ref="V71:V134" si="43">IF(U71="",0,T71*U71)</f>
        <v>0</v>
      </c>
      <c r="W71" s="480"/>
      <c r="X71" s="477">
        <f t="shared" ref="X71:X134" si="44">IF(W71="",0,V71*W71)</f>
        <v>0</v>
      </c>
      <c r="Y71" s="480"/>
      <c r="Z71" s="477">
        <f t="shared" ref="Z71:Z134" si="45">IF(Y71="",0,X71*Y71)</f>
        <v>0</v>
      </c>
      <c r="AA71" s="480"/>
      <c r="AB71" s="477">
        <f t="shared" ref="AB71:AB134" ca="1" si="46">IFERROR(T71-V71-X71-Z71,0)</f>
        <v>0</v>
      </c>
      <c r="AC71" s="475">
        <f t="shared" ref="AC71:AC134" ca="1" si="47">IFERROR(VLOOKUP($B71,INDIRECT($J71),AC$5,0),0)</f>
        <v>0</v>
      </c>
      <c r="AD71" s="480"/>
      <c r="AE71" s="477">
        <f t="shared" ref="AE71:AE134" si="48">IF(AD71="",0,AC71*AD71)</f>
        <v>0</v>
      </c>
      <c r="AF71" s="480"/>
      <c r="AG71" s="477">
        <f t="shared" ref="AG71:AG134" si="49">IF(AF71="",0,AE71*AF71)</f>
        <v>0</v>
      </c>
      <c r="AH71" s="480"/>
      <c r="AI71" s="477">
        <f t="shared" ref="AI71:AI134" si="50">IF(AH71="",0,AG71*AH71)</f>
        <v>0</v>
      </c>
      <c r="AJ71" s="480"/>
      <c r="AK71" s="477">
        <f t="shared" ref="AK71:AK134" ca="1" si="51">IFERROR(AC71-AE71-AG71-AI71,0)</f>
        <v>0</v>
      </c>
      <c r="AL71" s="475">
        <f t="shared" ref="AL71:AL134" ca="1" si="52">IFERROR(VLOOKUP($B71,INDIRECT($J71),AL$5,0),0)</f>
        <v>0</v>
      </c>
      <c r="AM71" s="480"/>
      <c r="AN71" s="477">
        <f t="shared" ref="AN71:AN134" si="53">IF(AM71="",0,AL71*AM71)</f>
        <v>0</v>
      </c>
      <c r="AO71" s="480"/>
      <c r="AP71" s="477">
        <f t="shared" ref="AP71:AP134" si="54">IF(AO71="",0,AN71*AO71)</f>
        <v>0</v>
      </c>
      <c r="AQ71" s="480"/>
      <c r="AR71" s="477">
        <f t="shared" ref="AR71:AR134" si="55">IF(AQ71="",0,AP71*AQ71)</f>
        <v>0</v>
      </c>
      <c r="AS71" s="480"/>
      <c r="AT71" s="477">
        <f t="shared" ref="AT71:AT134" ca="1" si="56">IFERROR(AL71-AN71-AP71-AR71,0)</f>
        <v>0</v>
      </c>
      <c r="AU71" s="475">
        <f t="shared" ref="AU71:AU134" ca="1" si="57">IFERROR(VLOOKUP($B71,INDIRECT($J71),AU$5,0),0)</f>
        <v>0</v>
      </c>
      <c r="AV71" s="480"/>
      <c r="AW71" s="477">
        <f t="shared" ref="AW71:AW134" si="58">IF(AV71="",0,AU71*AV71)</f>
        <v>0</v>
      </c>
      <c r="AX71" s="480"/>
      <c r="AY71" s="477">
        <f t="shared" ref="AY71:AY134" si="59">IF(AX71="",0,AW71*AX71)</f>
        <v>0</v>
      </c>
      <c r="AZ71" s="480"/>
      <c r="BA71" s="477">
        <f t="shared" ref="BA71:BA134" si="60">IF(AZ71="",0,AY71*AZ71)</f>
        <v>0</v>
      </c>
      <c r="BB71" s="480"/>
      <c r="BC71" s="850">
        <f t="shared" ref="BC71:BC134" ca="1" si="61">K71+T71+AC71+AL71+AU71</f>
        <v>0</v>
      </c>
    </row>
    <row r="72" spans="1:55" ht="42">
      <c r="A72" s="837" t="str">
        <f t="shared" ca="1" si="33"/>
        <v/>
      </c>
      <c r="B72" s="440">
        <v>66</v>
      </c>
      <c r="C72" s="834" t="str">
        <f t="shared" ca="1" si="34"/>
        <v>6.</v>
      </c>
      <c r="D72" s="1757" t="str">
        <f ca="1">IFERROR(VLOOKUP(LEFT(E72,4),Nom_activ_2!D:G,4,0),"")</f>
        <v>6.1.  Consolidarea capacităților pentru managementul eficient al PNCT</v>
      </c>
      <c r="E72" s="1757" t="str">
        <f t="shared" ca="1" si="35"/>
        <v>6.1.3. Asigurarea vizitelor complexe de M&amp;E, inclusiv și în cadrul OSC și alte autorități publice cu rețele sanitare proprii și private</v>
      </c>
      <c r="F72" s="1777" t="str">
        <f t="shared" ca="1" si="32"/>
        <v>Acomodare_diurne_echipa PNCT in teritoriile de pe Malul Stang</v>
      </c>
      <c r="G72" s="839">
        <f t="shared" ca="1" si="32"/>
        <v>0</v>
      </c>
      <c r="H72" s="840" t="str">
        <f t="shared" ca="1" si="32"/>
        <v>GFATM</v>
      </c>
      <c r="I72" s="443" t="s">
        <v>2014</v>
      </c>
      <c r="J72" s="838" t="str">
        <f t="shared" si="36"/>
        <v>Vizite_monitorizare!$A:$j</v>
      </c>
      <c r="K72" s="475">
        <f t="shared" ca="1" si="37"/>
        <v>0</v>
      </c>
      <c r="L72" s="480"/>
      <c r="M72" s="477">
        <f t="shared" si="38"/>
        <v>0</v>
      </c>
      <c r="N72" s="480"/>
      <c r="O72" s="477">
        <f t="shared" si="39"/>
        <v>0</v>
      </c>
      <c r="P72" s="480"/>
      <c r="Q72" s="477">
        <f t="shared" si="40"/>
        <v>0</v>
      </c>
      <c r="R72" s="480"/>
      <c r="S72" s="477">
        <f t="shared" ca="1" si="41"/>
        <v>0</v>
      </c>
      <c r="T72" s="475">
        <f t="shared" ca="1" si="42"/>
        <v>0</v>
      </c>
      <c r="U72" s="480"/>
      <c r="V72" s="477">
        <f t="shared" si="43"/>
        <v>0</v>
      </c>
      <c r="W72" s="480"/>
      <c r="X72" s="477">
        <f t="shared" si="44"/>
        <v>0</v>
      </c>
      <c r="Y72" s="480"/>
      <c r="Z72" s="477">
        <f t="shared" si="45"/>
        <v>0</v>
      </c>
      <c r="AA72" s="480"/>
      <c r="AB72" s="477">
        <f t="shared" ca="1" si="46"/>
        <v>0</v>
      </c>
      <c r="AC72" s="475">
        <f t="shared" ca="1" si="47"/>
        <v>0</v>
      </c>
      <c r="AD72" s="480"/>
      <c r="AE72" s="477">
        <f t="shared" si="48"/>
        <v>0</v>
      </c>
      <c r="AF72" s="480"/>
      <c r="AG72" s="477">
        <f t="shared" si="49"/>
        <v>0</v>
      </c>
      <c r="AH72" s="480"/>
      <c r="AI72" s="477">
        <f t="shared" si="50"/>
        <v>0</v>
      </c>
      <c r="AJ72" s="480"/>
      <c r="AK72" s="477">
        <f t="shared" ca="1" si="51"/>
        <v>0</v>
      </c>
      <c r="AL72" s="475">
        <f t="shared" ca="1" si="52"/>
        <v>0</v>
      </c>
      <c r="AM72" s="480"/>
      <c r="AN72" s="477">
        <f t="shared" si="53"/>
        <v>0</v>
      </c>
      <c r="AO72" s="480"/>
      <c r="AP72" s="477">
        <f t="shared" si="54"/>
        <v>0</v>
      </c>
      <c r="AQ72" s="480"/>
      <c r="AR72" s="477">
        <f t="shared" si="55"/>
        <v>0</v>
      </c>
      <c r="AS72" s="480"/>
      <c r="AT72" s="477">
        <f t="shared" ca="1" si="56"/>
        <v>0</v>
      </c>
      <c r="AU72" s="475">
        <f t="shared" ca="1" si="57"/>
        <v>0</v>
      </c>
      <c r="AV72" s="480"/>
      <c r="AW72" s="477">
        <f t="shared" si="58"/>
        <v>0</v>
      </c>
      <c r="AX72" s="480"/>
      <c r="AY72" s="477">
        <f t="shared" si="59"/>
        <v>0</v>
      </c>
      <c r="AZ72" s="480"/>
      <c r="BA72" s="477">
        <f t="shared" si="60"/>
        <v>0</v>
      </c>
      <c r="BB72" s="480"/>
      <c r="BC72" s="850">
        <f t="shared" ca="1" si="61"/>
        <v>0</v>
      </c>
    </row>
    <row r="73" spans="1:55" ht="42">
      <c r="A73" s="837" t="str">
        <f t="shared" ca="1" si="33"/>
        <v/>
      </c>
      <c r="B73" s="440">
        <v>67</v>
      </c>
      <c r="C73" s="834" t="str">
        <f t="shared" ca="1" si="34"/>
        <v>6.</v>
      </c>
      <c r="D73" s="1757" t="str">
        <f ca="1">IFERROR(VLOOKUP(LEFT(E73,4),Nom_activ_2!D:G,4,0),"")</f>
        <v>6.1.  Consolidarea capacităților pentru managementul eficient al PNCT</v>
      </c>
      <c r="E73" s="1757" t="str">
        <f t="shared" ca="1" si="35"/>
        <v>6.1.3. Asigurarea vizitelor complexe de M&amp;E, inclusiv și în cadrul OSC și alte autorități publice cu rețele sanitare proprii și private</v>
      </c>
      <c r="F73" s="1777" t="str">
        <f t="shared" ca="1" si="32"/>
        <v>Acomodare_diurne_echipa PNCT in teritoriile de pe Malul Stang</v>
      </c>
      <c r="G73" s="839">
        <f t="shared" ca="1" si="32"/>
        <v>0</v>
      </c>
      <c r="H73" s="840" t="str">
        <f t="shared" ca="1" si="32"/>
        <v>CNAM</v>
      </c>
      <c r="I73" s="443" t="s">
        <v>2014</v>
      </c>
      <c r="J73" s="838" t="str">
        <f t="shared" si="36"/>
        <v>Vizite_monitorizare!$A:$j</v>
      </c>
      <c r="K73" s="475">
        <f t="shared" ca="1" si="37"/>
        <v>0</v>
      </c>
      <c r="L73" s="480"/>
      <c r="M73" s="477">
        <f t="shared" si="38"/>
        <v>0</v>
      </c>
      <c r="N73" s="480"/>
      <c r="O73" s="477">
        <f t="shared" si="39"/>
        <v>0</v>
      </c>
      <c r="P73" s="480"/>
      <c r="Q73" s="477">
        <f t="shared" si="40"/>
        <v>0</v>
      </c>
      <c r="R73" s="480"/>
      <c r="S73" s="477">
        <f t="shared" ca="1" si="41"/>
        <v>0</v>
      </c>
      <c r="T73" s="475">
        <f t="shared" ca="1" si="42"/>
        <v>0</v>
      </c>
      <c r="U73" s="480"/>
      <c r="V73" s="477">
        <f t="shared" si="43"/>
        <v>0</v>
      </c>
      <c r="W73" s="480"/>
      <c r="X73" s="477">
        <f t="shared" si="44"/>
        <v>0</v>
      </c>
      <c r="Y73" s="480"/>
      <c r="Z73" s="477">
        <f t="shared" si="45"/>
        <v>0</v>
      </c>
      <c r="AA73" s="480"/>
      <c r="AB73" s="477">
        <f t="shared" ca="1" si="46"/>
        <v>0</v>
      </c>
      <c r="AC73" s="475">
        <f t="shared" ca="1" si="47"/>
        <v>0</v>
      </c>
      <c r="AD73" s="480"/>
      <c r="AE73" s="477">
        <f t="shared" si="48"/>
        <v>0</v>
      </c>
      <c r="AF73" s="480"/>
      <c r="AG73" s="477">
        <f t="shared" si="49"/>
        <v>0</v>
      </c>
      <c r="AH73" s="480"/>
      <c r="AI73" s="477">
        <f t="shared" si="50"/>
        <v>0</v>
      </c>
      <c r="AJ73" s="480"/>
      <c r="AK73" s="477">
        <f t="shared" ca="1" si="51"/>
        <v>0</v>
      </c>
      <c r="AL73" s="475">
        <f t="shared" ca="1" si="52"/>
        <v>0</v>
      </c>
      <c r="AM73" s="480"/>
      <c r="AN73" s="477">
        <f t="shared" si="53"/>
        <v>0</v>
      </c>
      <c r="AO73" s="480"/>
      <c r="AP73" s="477">
        <f t="shared" si="54"/>
        <v>0</v>
      </c>
      <c r="AQ73" s="480"/>
      <c r="AR73" s="477">
        <f t="shared" si="55"/>
        <v>0</v>
      </c>
      <c r="AS73" s="480"/>
      <c r="AT73" s="477">
        <f t="shared" ca="1" si="56"/>
        <v>0</v>
      </c>
      <c r="AU73" s="475">
        <f t="shared" ca="1" si="57"/>
        <v>0</v>
      </c>
      <c r="AV73" s="480"/>
      <c r="AW73" s="477">
        <f t="shared" si="58"/>
        <v>0</v>
      </c>
      <c r="AX73" s="480"/>
      <c r="AY73" s="477">
        <f t="shared" si="59"/>
        <v>0</v>
      </c>
      <c r="AZ73" s="480"/>
      <c r="BA73" s="477">
        <f t="shared" si="60"/>
        <v>0</v>
      </c>
      <c r="BB73" s="480"/>
      <c r="BC73" s="850">
        <f t="shared" ca="1" si="61"/>
        <v>0</v>
      </c>
    </row>
    <row r="74" spans="1:55" ht="42">
      <c r="A74" s="837" t="str">
        <f t="shared" ca="1" si="33"/>
        <v/>
      </c>
      <c r="B74" s="440">
        <v>68</v>
      </c>
      <c r="C74" s="834" t="str">
        <f t="shared" ca="1" si="34"/>
        <v>6.</v>
      </c>
      <c r="D74" s="1757" t="str">
        <f ca="1">IFERROR(VLOOKUP(LEFT(E74,4),Nom_activ_2!D:G,4,0),"")</f>
        <v>6.1.  Consolidarea capacităților pentru managementul eficient al PNCT</v>
      </c>
      <c r="E74" s="1757" t="str">
        <f t="shared" ca="1" si="35"/>
        <v>6.1.3. Asigurarea vizitelor complexe de M&amp;E, inclusiv și în cadrul OSC și alte autorități publice cu rețele sanitare proprii și private</v>
      </c>
      <c r="F74" s="1777" t="str">
        <f t="shared" ca="1" si="32"/>
        <v>Acomodare_diurne_echipa PNCT in teritoriile de pe Malul Stang</v>
      </c>
      <c r="G74" s="839">
        <f t="shared" ca="1" si="32"/>
        <v>0</v>
      </c>
      <c r="H74" s="840" t="str">
        <f t="shared" ca="1" si="32"/>
        <v>GFATM</v>
      </c>
      <c r="I74" s="443" t="s">
        <v>2014</v>
      </c>
      <c r="J74" s="838" t="str">
        <f t="shared" si="36"/>
        <v>Vizite_monitorizare!$A:$j</v>
      </c>
      <c r="K74" s="475">
        <f t="shared" ca="1" si="37"/>
        <v>9431.68</v>
      </c>
      <c r="L74" s="480"/>
      <c r="M74" s="477">
        <f t="shared" si="38"/>
        <v>0</v>
      </c>
      <c r="N74" s="480"/>
      <c r="O74" s="477">
        <f t="shared" si="39"/>
        <v>0</v>
      </c>
      <c r="P74" s="480"/>
      <c r="Q74" s="477">
        <f t="shared" si="40"/>
        <v>0</v>
      </c>
      <c r="R74" s="480"/>
      <c r="S74" s="477">
        <f t="shared" ca="1" si="41"/>
        <v>9431.68</v>
      </c>
      <c r="T74" s="475">
        <f t="shared" ca="1" si="42"/>
        <v>9431.68</v>
      </c>
      <c r="U74" s="480"/>
      <c r="V74" s="477">
        <f t="shared" si="43"/>
        <v>0</v>
      </c>
      <c r="W74" s="480"/>
      <c r="X74" s="477">
        <f t="shared" si="44"/>
        <v>0</v>
      </c>
      <c r="Y74" s="480"/>
      <c r="Z74" s="477">
        <f t="shared" si="45"/>
        <v>0</v>
      </c>
      <c r="AA74" s="480"/>
      <c r="AB74" s="477">
        <f t="shared" ca="1" si="46"/>
        <v>9431.68</v>
      </c>
      <c r="AC74" s="475">
        <f t="shared" ca="1" si="47"/>
        <v>9431.68</v>
      </c>
      <c r="AD74" s="480"/>
      <c r="AE74" s="477">
        <f t="shared" si="48"/>
        <v>0</v>
      </c>
      <c r="AF74" s="480"/>
      <c r="AG74" s="477">
        <f t="shared" si="49"/>
        <v>0</v>
      </c>
      <c r="AH74" s="480"/>
      <c r="AI74" s="477">
        <f t="shared" si="50"/>
        <v>0</v>
      </c>
      <c r="AJ74" s="480"/>
      <c r="AK74" s="477">
        <f t="shared" ca="1" si="51"/>
        <v>9431.68</v>
      </c>
      <c r="AL74" s="475">
        <f t="shared" ca="1" si="52"/>
        <v>0</v>
      </c>
      <c r="AM74" s="480"/>
      <c r="AN74" s="477">
        <f t="shared" si="53"/>
        <v>0</v>
      </c>
      <c r="AO74" s="480"/>
      <c r="AP74" s="477">
        <f t="shared" si="54"/>
        <v>0</v>
      </c>
      <c r="AQ74" s="480"/>
      <c r="AR74" s="477">
        <f t="shared" si="55"/>
        <v>0</v>
      </c>
      <c r="AS74" s="480"/>
      <c r="AT74" s="477">
        <f t="shared" ca="1" si="56"/>
        <v>0</v>
      </c>
      <c r="AU74" s="475">
        <f t="shared" ca="1" si="57"/>
        <v>0</v>
      </c>
      <c r="AV74" s="480"/>
      <c r="AW74" s="477">
        <f t="shared" si="58"/>
        <v>0</v>
      </c>
      <c r="AX74" s="480"/>
      <c r="AY74" s="477">
        <f t="shared" si="59"/>
        <v>0</v>
      </c>
      <c r="AZ74" s="480"/>
      <c r="BA74" s="477">
        <f t="shared" si="60"/>
        <v>0</v>
      </c>
      <c r="BB74" s="480"/>
      <c r="BC74" s="850">
        <f t="shared" ca="1" si="61"/>
        <v>28295.040000000001</v>
      </c>
    </row>
    <row r="75" spans="1:55" ht="56">
      <c r="A75" s="837" t="str">
        <f t="shared" ca="1" si="33"/>
        <v/>
      </c>
      <c r="B75" s="440">
        <v>69</v>
      </c>
      <c r="C75" s="834" t="str">
        <f t="shared" ca="1" si="34"/>
        <v>2.</v>
      </c>
      <c r="D75" s="1757" t="str">
        <f ca="1">IFERROR(VLOOKUP(LEFT(E75,4),Nom_activ_2!D:G,4,0),"")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75" s="1757" t="str">
        <f t="shared" ca="1" si="35"/>
        <v xml:space="preserve">2.2.1. Realizarea managementului calității în cadrul rețelei de laboratoare implicate în diagnosticul microbiologic al TB </v>
      </c>
      <c r="F75" s="1777" t="str">
        <f t="shared" ca="1" si="32"/>
        <v>Combust, ulei vizite monitorizare_vizite echipa LNR_Malul Drept</v>
      </c>
      <c r="G75" s="839">
        <f t="shared" ca="1" si="32"/>
        <v>0</v>
      </c>
      <c r="H75" s="840" t="str">
        <f t="shared" ca="1" si="32"/>
        <v>CNAM</v>
      </c>
      <c r="I75" s="443" t="s">
        <v>2014</v>
      </c>
      <c r="J75" s="838" t="str">
        <f t="shared" si="36"/>
        <v>Vizite_monitorizare!$A:$j</v>
      </c>
      <c r="K75" s="475">
        <f t="shared" ca="1" si="37"/>
        <v>47866.17</v>
      </c>
      <c r="L75" s="480"/>
      <c r="M75" s="477">
        <f t="shared" si="38"/>
        <v>0</v>
      </c>
      <c r="N75" s="480"/>
      <c r="O75" s="477">
        <f t="shared" si="39"/>
        <v>0</v>
      </c>
      <c r="P75" s="480"/>
      <c r="Q75" s="477">
        <f t="shared" si="40"/>
        <v>0</v>
      </c>
      <c r="R75" s="480"/>
      <c r="S75" s="477">
        <f t="shared" ca="1" si="41"/>
        <v>47866.17</v>
      </c>
      <c r="T75" s="475">
        <f t="shared" ca="1" si="42"/>
        <v>52652.79</v>
      </c>
      <c r="U75" s="480"/>
      <c r="V75" s="477">
        <f t="shared" si="43"/>
        <v>0</v>
      </c>
      <c r="W75" s="480"/>
      <c r="X75" s="477">
        <f t="shared" si="44"/>
        <v>0</v>
      </c>
      <c r="Y75" s="480"/>
      <c r="Z75" s="477">
        <f t="shared" si="45"/>
        <v>0</v>
      </c>
      <c r="AA75" s="480"/>
      <c r="AB75" s="477">
        <f t="shared" ca="1" si="46"/>
        <v>52652.79</v>
      </c>
      <c r="AC75" s="475">
        <f t="shared" ca="1" si="47"/>
        <v>57439.4</v>
      </c>
      <c r="AD75" s="480"/>
      <c r="AE75" s="477">
        <f t="shared" si="48"/>
        <v>0</v>
      </c>
      <c r="AF75" s="480"/>
      <c r="AG75" s="477">
        <f t="shared" si="49"/>
        <v>0</v>
      </c>
      <c r="AH75" s="480"/>
      <c r="AI75" s="477">
        <f t="shared" si="50"/>
        <v>0</v>
      </c>
      <c r="AJ75" s="480"/>
      <c r="AK75" s="477">
        <f t="shared" ca="1" si="51"/>
        <v>57439.4</v>
      </c>
      <c r="AL75" s="475">
        <f t="shared" ca="1" si="52"/>
        <v>95732.34</v>
      </c>
      <c r="AM75" s="480"/>
      <c r="AN75" s="477">
        <f t="shared" si="53"/>
        <v>0</v>
      </c>
      <c r="AO75" s="480"/>
      <c r="AP75" s="477">
        <f t="shared" si="54"/>
        <v>0</v>
      </c>
      <c r="AQ75" s="480"/>
      <c r="AR75" s="477">
        <f t="shared" si="55"/>
        <v>0</v>
      </c>
      <c r="AS75" s="480"/>
      <c r="AT75" s="477">
        <f t="shared" ca="1" si="56"/>
        <v>95732.34</v>
      </c>
      <c r="AU75" s="475">
        <f t="shared" ca="1" si="57"/>
        <v>95732.34</v>
      </c>
      <c r="AV75" s="480"/>
      <c r="AW75" s="477">
        <f t="shared" si="58"/>
        <v>0</v>
      </c>
      <c r="AX75" s="480"/>
      <c r="AY75" s="477">
        <f t="shared" si="59"/>
        <v>0</v>
      </c>
      <c r="AZ75" s="480"/>
      <c r="BA75" s="477">
        <f t="shared" si="60"/>
        <v>0</v>
      </c>
      <c r="BB75" s="480"/>
      <c r="BC75" s="850">
        <f t="shared" ca="1" si="61"/>
        <v>349423.04</v>
      </c>
    </row>
    <row r="76" spans="1:55" ht="56">
      <c r="A76" s="837" t="str">
        <f t="shared" ca="1" si="33"/>
        <v/>
      </c>
      <c r="B76" s="440">
        <v>70</v>
      </c>
      <c r="C76" s="834" t="str">
        <f t="shared" ca="1" si="34"/>
        <v>2.</v>
      </c>
      <c r="D76" s="1757" t="str">
        <f ca="1">IFERROR(VLOOKUP(LEFT(E76,4),Nom_activ_2!D:G,4,0),"")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76" s="1757" t="str">
        <f t="shared" ca="1" si="35"/>
        <v xml:space="preserve">2.2.1. Realizarea managementului calității în cadrul rețelei de laboratoare implicate în diagnosticul microbiologic al TB </v>
      </c>
      <c r="F76" s="1777" t="str">
        <f t="shared" ca="1" si="32"/>
        <v>Combust, ulei vizite monitorizare_vizite echipa LNR_Malul Drept</v>
      </c>
      <c r="G76" s="839">
        <f t="shared" ca="1" si="32"/>
        <v>0</v>
      </c>
      <c r="H76" s="840" t="str">
        <f t="shared" ca="1" si="32"/>
        <v>GFATM</v>
      </c>
      <c r="I76" s="443" t="s">
        <v>2014</v>
      </c>
      <c r="J76" s="838" t="str">
        <f t="shared" si="36"/>
        <v>Vizite_monitorizare!$A:$j</v>
      </c>
      <c r="K76" s="475">
        <f t="shared" ca="1" si="37"/>
        <v>47866.17</v>
      </c>
      <c r="L76" s="480"/>
      <c r="M76" s="477">
        <f t="shared" si="38"/>
        <v>0</v>
      </c>
      <c r="N76" s="480"/>
      <c r="O76" s="477">
        <f t="shared" si="39"/>
        <v>0</v>
      </c>
      <c r="P76" s="480"/>
      <c r="Q76" s="477">
        <f t="shared" si="40"/>
        <v>0</v>
      </c>
      <c r="R76" s="480"/>
      <c r="S76" s="477">
        <f t="shared" ca="1" si="41"/>
        <v>47866.17</v>
      </c>
      <c r="T76" s="475">
        <f t="shared" ca="1" si="42"/>
        <v>43079.55</v>
      </c>
      <c r="U76" s="480"/>
      <c r="V76" s="477">
        <f t="shared" si="43"/>
        <v>0</v>
      </c>
      <c r="W76" s="480"/>
      <c r="X76" s="477">
        <f t="shared" si="44"/>
        <v>0</v>
      </c>
      <c r="Y76" s="480"/>
      <c r="Z76" s="477">
        <f t="shared" si="45"/>
        <v>0</v>
      </c>
      <c r="AA76" s="480"/>
      <c r="AB76" s="477">
        <f t="shared" ca="1" si="46"/>
        <v>43079.55</v>
      </c>
      <c r="AC76" s="475">
        <f t="shared" ca="1" si="47"/>
        <v>38292.94</v>
      </c>
      <c r="AD76" s="480"/>
      <c r="AE76" s="477">
        <f t="shared" si="48"/>
        <v>0</v>
      </c>
      <c r="AF76" s="480"/>
      <c r="AG76" s="477">
        <f t="shared" si="49"/>
        <v>0</v>
      </c>
      <c r="AH76" s="480"/>
      <c r="AI76" s="477">
        <f t="shared" si="50"/>
        <v>0</v>
      </c>
      <c r="AJ76" s="480"/>
      <c r="AK76" s="477">
        <f t="shared" ca="1" si="51"/>
        <v>38292.94</v>
      </c>
      <c r="AL76" s="475">
        <f t="shared" ca="1" si="52"/>
        <v>0</v>
      </c>
      <c r="AM76" s="480"/>
      <c r="AN76" s="477">
        <f t="shared" si="53"/>
        <v>0</v>
      </c>
      <c r="AO76" s="480"/>
      <c r="AP76" s="477">
        <f t="shared" si="54"/>
        <v>0</v>
      </c>
      <c r="AQ76" s="480"/>
      <c r="AR76" s="477">
        <f t="shared" si="55"/>
        <v>0</v>
      </c>
      <c r="AS76" s="480"/>
      <c r="AT76" s="477">
        <f t="shared" ca="1" si="56"/>
        <v>0</v>
      </c>
      <c r="AU76" s="475">
        <f t="shared" ca="1" si="57"/>
        <v>0</v>
      </c>
      <c r="AV76" s="480"/>
      <c r="AW76" s="477">
        <f t="shared" si="58"/>
        <v>0</v>
      </c>
      <c r="AX76" s="480"/>
      <c r="AY76" s="477">
        <f t="shared" si="59"/>
        <v>0</v>
      </c>
      <c r="AZ76" s="480"/>
      <c r="BA76" s="477">
        <f t="shared" si="60"/>
        <v>0</v>
      </c>
      <c r="BB76" s="480"/>
      <c r="BC76" s="850">
        <f t="shared" ca="1" si="61"/>
        <v>129238.66</v>
      </c>
    </row>
    <row r="77" spans="1:55" ht="56">
      <c r="A77" s="837" t="str">
        <f t="shared" ca="1" si="33"/>
        <v/>
      </c>
      <c r="B77" s="440">
        <v>71</v>
      </c>
      <c r="C77" s="834" t="str">
        <f t="shared" ca="1" si="34"/>
        <v>2.</v>
      </c>
      <c r="D77" s="1757" t="str">
        <f ca="1">IFERROR(VLOOKUP(LEFT(E77,4),Nom_activ_2!D:G,4,0),"")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77" s="1757" t="str">
        <f t="shared" ca="1" si="35"/>
        <v xml:space="preserve">2.2.1. Realizarea managementului calității în cadrul rețelei de laboratoare implicate în diagnosticul microbiologic al TB </v>
      </c>
      <c r="F77" s="1777" t="str">
        <f t="shared" ca="1" si="32"/>
        <v>Suport _vizite echipa LNR_Malul Drept</v>
      </c>
      <c r="G77" s="839">
        <f t="shared" ca="1" si="32"/>
        <v>0</v>
      </c>
      <c r="H77" s="840" t="str">
        <f t="shared" ca="1" si="32"/>
        <v>CNAM</v>
      </c>
      <c r="I77" s="443" t="s">
        <v>2014</v>
      </c>
      <c r="J77" s="838" t="str">
        <f t="shared" si="36"/>
        <v>Vizite_monitorizare!$A:$j</v>
      </c>
      <c r="K77" s="475">
        <f t="shared" ca="1" si="37"/>
        <v>0</v>
      </c>
      <c r="L77" s="480"/>
      <c r="M77" s="477">
        <f t="shared" si="38"/>
        <v>0</v>
      </c>
      <c r="N77" s="480"/>
      <c r="O77" s="477">
        <f t="shared" si="39"/>
        <v>0</v>
      </c>
      <c r="P77" s="480"/>
      <c r="Q77" s="477">
        <f t="shared" si="40"/>
        <v>0</v>
      </c>
      <c r="R77" s="480"/>
      <c r="S77" s="477">
        <f t="shared" ca="1" si="41"/>
        <v>0</v>
      </c>
      <c r="T77" s="475">
        <f t="shared" ca="1" si="42"/>
        <v>0</v>
      </c>
      <c r="U77" s="480"/>
      <c r="V77" s="477">
        <f t="shared" si="43"/>
        <v>0</v>
      </c>
      <c r="W77" s="480"/>
      <c r="X77" s="477">
        <f t="shared" si="44"/>
        <v>0</v>
      </c>
      <c r="Y77" s="480"/>
      <c r="Z77" s="477">
        <f t="shared" si="45"/>
        <v>0</v>
      </c>
      <c r="AA77" s="480"/>
      <c r="AB77" s="477">
        <f t="shared" ca="1" si="46"/>
        <v>0</v>
      </c>
      <c r="AC77" s="475">
        <f t="shared" ca="1" si="47"/>
        <v>0</v>
      </c>
      <c r="AD77" s="480"/>
      <c r="AE77" s="477">
        <f t="shared" si="48"/>
        <v>0</v>
      </c>
      <c r="AF77" s="480"/>
      <c r="AG77" s="477">
        <f t="shared" si="49"/>
        <v>0</v>
      </c>
      <c r="AH77" s="480"/>
      <c r="AI77" s="477">
        <f t="shared" si="50"/>
        <v>0</v>
      </c>
      <c r="AJ77" s="480"/>
      <c r="AK77" s="477">
        <f t="shared" ca="1" si="51"/>
        <v>0</v>
      </c>
      <c r="AL77" s="475">
        <f t="shared" ca="1" si="52"/>
        <v>0</v>
      </c>
      <c r="AM77" s="480"/>
      <c r="AN77" s="477">
        <f t="shared" si="53"/>
        <v>0</v>
      </c>
      <c r="AO77" s="480"/>
      <c r="AP77" s="477">
        <f t="shared" si="54"/>
        <v>0</v>
      </c>
      <c r="AQ77" s="480"/>
      <c r="AR77" s="477">
        <f t="shared" si="55"/>
        <v>0</v>
      </c>
      <c r="AS77" s="480"/>
      <c r="AT77" s="477">
        <f t="shared" ca="1" si="56"/>
        <v>0</v>
      </c>
      <c r="AU77" s="475">
        <f t="shared" ca="1" si="57"/>
        <v>0</v>
      </c>
      <c r="AV77" s="480"/>
      <c r="AW77" s="477">
        <f t="shared" si="58"/>
        <v>0</v>
      </c>
      <c r="AX77" s="480"/>
      <c r="AY77" s="477">
        <f t="shared" si="59"/>
        <v>0</v>
      </c>
      <c r="AZ77" s="480"/>
      <c r="BA77" s="477">
        <f t="shared" si="60"/>
        <v>0</v>
      </c>
      <c r="BB77" s="480"/>
      <c r="BC77" s="850">
        <f t="shared" ca="1" si="61"/>
        <v>0</v>
      </c>
    </row>
    <row r="78" spans="1:55" ht="56">
      <c r="A78" s="837" t="str">
        <f t="shared" ca="1" si="33"/>
        <v/>
      </c>
      <c r="B78" s="440">
        <v>72</v>
      </c>
      <c r="C78" s="834" t="str">
        <f t="shared" ca="1" si="34"/>
        <v>2.</v>
      </c>
      <c r="D78" s="1757" t="str">
        <f ca="1">IFERROR(VLOOKUP(LEFT(E78,4),Nom_activ_2!D:G,4,0),"")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78" s="1757" t="str">
        <f t="shared" ca="1" si="35"/>
        <v xml:space="preserve">2.2.1. Realizarea managementului calității în cadrul rețelei de laboratoare implicate în diagnosticul microbiologic al TB </v>
      </c>
      <c r="F78" s="1777" t="str">
        <f t="shared" ca="1" si="32"/>
        <v>Suport salarial_vizite echipa LNR_Malul Drept</v>
      </c>
      <c r="G78" s="839">
        <f t="shared" ca="1" si="32"/>
        <v>0</v>
      </c>
      <c r="H78" s="840" t="str">
        <f t="shared" ca="1" si="32"/>
        <v>GFATM</v>
      </c>
      <c r="I78" s="443" t="s">
        <v>2014</v>
      </c>
      <c r="J78" s="838" t="str">
        <f t="shared" si="36"/>
        <v>Vizite_monitorizare!$A:$j</v>
      </c>
      <c r="K78" s="475">
        <f t="shared" ca="1" si="37"/>
        <v>64842.8</v>
      </c>
      <c r="L78" s="480"/>
      <c r="M78" s="477">
        <f t="shared" si="38"/>
        <v>0</v>
      </c>
      <c r="N78" s="480"/>
      <c r="O78" s="477">
        <f t="shared" si="39"/>
        <v>0</v>
      </c>
      <c r="P78" s="480"/>
      <c r="Q78" s="477">
        <f t="shared" si="40"/>
        <v>0</v>
      </c>
      <c r="R78" s="480"/>
      <c r="S78" s="477">
        <f t="shared" ca="1" si="41"/>
        <v>64842.8</v>
      </c>
      <c r="T78" s="475">
        <f t="shared" ca="1" si="42"/>
        <v>64842.8</v>
      </c>
      <c r="U78" s="480"/>
      <c r="V78" s="477">
        <f t="shared" si="43"/>
        <v>0</v>
      </c>
      <c r="W78" s="480"/>
      <c r="X78" s="477">
        <f t="shared" si="44"/>
        <v>0</v>
      </c>
      <c r="Y78" s="480"/>
      <c r="Z78" s="477">
        <f t="shared" si="45"/>
        <v>0</v>
      </c>
      <c r="AA78" s="480"/>
      <c r="AB78" s="477">
        <f t="shared" ca="1" si="46"/>
        <v>64842.8</v>
      </c>
      <c r="AC78" s="475">
        <f t="shared" ca="1" si="47"/>
        <v>64842.8</v>
      </c>
      <c r="AD78" s="480"/>
      <c r="AE78" s="477">
        <f t="shared" si="48"/>
        <v>0</v>
      </c>
      <c r="AF78" s="480"/>
      <c r="AG78" s="477">
        <f t="shared" si="49"/>
        <v>0</v>
      </c>
      <c r="AH78" s="480"/>
      <c r="AI78" s="477">
        <f t="shared" si="50"/>
        <v>0</v>
      </c>
      <c r="AJ78" s="480"/>
      <c r="AK78" s="477">
        <f t="shared" ca="1" si="51"/>
        <v>64842.8</v>
      </c>
      <c r="AL78" s="475">
        <f t="shared" ca="1" si="52"/>
        <v>0</v>
      </c>
      <c r="AM78" s="480"/>
      <c r="AN78" s="477">
        <f t="shared" si="53"/>
        <v>0</v>
      </c>
      <c r="AO78" s="480"/>
      <c r="AP78" s="477">
        <f t="shared" si="54"/>
        <v>0</v>
      </c>
      <c r="AQ78" s="480"/>
      <c r="AR78" s="477">
        <f t="shared" si="55"/>
        <v>0</v>
      </c>
      <c r="AS78" s="480"/>
      <c r="AT78" s="477">
        <f t="shared" ca="1" si="56"/>
        <v>0</v>
      </c>
      <c r="AU78" s="475">
        <f t="shared" ca="1" si="57"/>
        <v>0</v>
      </c>
      <c r="AV78" s="480"/>
      <c r="AW78" s="477">
        <f t="shared" si="58"/>
        <v>0</v>
      </c>
      <c r="AX78" s="480"/>
      <c r="AY78" s="477">
        <f t="shared" si="59"/>
        <v>0</v>
      </c>
      <c r="AZ78" s="480"/>
      <c r="BA78" s="477">
        <f t="shared" si="60"/>
        <v>0</v>
      </c>
      <c r="BB78" s="480"/>
      <c r="BC78" s="850">
        <f t="shared" ca="1" si="61"/>
        <v>194528.40000000002</v>
      </c>
    </row>
    <row r="79" spans="1:55" ht="56">
      <c r="A79" s="837" t="str">
        <f t="shared" ca="1" si="33"/>
        <v/>
      </c>
      <c r="B79" s="440">
        <v>73</v>
      </c>
      <c r="C79" s="834" t="str">
        <f t="shared" ca="1" si="34"/>
        <v>2.</v>
      </c>
      <c r="D79" s="1757" t="str">
        <f ca="1">IFERROR(VLOOKUP(LEFT(E79,4),Nom_activ_2!D:G,4,0),"")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79" s="1757" t="str">
        <f t="shared" ca="1" si="35"/>
        <v xml:space="preserve">2.2.1. Realizarea managementului calității în cadrul rețelei de laboratoare implicate în diagnosticul microbiologic al TB </v>
      </c>
      <c r="F79" s="1777" t="str">
        <f t="shared" ca="1" si="32"/>
        <v>Combust, ulei vizite monitorizare_vizite echipa LR_Bender_Malul Stang</v>
      </c>
      <c r="G79" s="839">
        <f t="shared" ca="1" si="32"/>
        <v>0</v>
      </c>
      <c r="H79" s="840" t="str">
        <f t="shared" ca="1" si="32"/>
        <v>Buget local (Malul Stang)</v>
      </c>
      <c r="I79" s="443" t="s">
        <v>2014</v>
      </c>
      <c r="J79" s="838" t="str">
        <f t="shared" si="36"/>
        <v>Vizite_monitorizare!$A:$j</v>
      </c>
      <c r="K79" s="475">
        <f t="shared" ca="1" si="37"/>
        <v>3553.7</v>
      </c>
      <c r="L79" s="480"/>
      <c r="M79" s="477">
        <f t="shared" si="38"/>
        <v>0</v>
      </c>
      <c r="N79" s="480"/>
      <c r="O79" s="477">
        <f t="shared" si="39"/>
        <v>0</v>
      </c>
      <c r="P79" s="480"/>
      <c r="Q79" s="477">
        <f t="shared" si="40"/>
        <v>0</v>
      </c>
      <c r="R79" s="480"/>
      <c r="S79" s="477">
        <f t="shared" ca="1" si="41"/>
        <v>3553.7</v>
      </c>
      <c r="T79" s="475">
        <f t="shared" ca="1" si="42"/>
        <v>3909.07</v>
      </c>
      <c r="U79" s="480"/>
      <c r="V79" s="477">
        <f t="shared" si="43"/>
        <v>0</v>
      </c>
      <c r="W79" s="480"/>
      <c r="X79" s="477">
        <f t="shared" si="44"/>
        <v>0</v>
      </c>
      <c r="Y79" s="480"/>
      <c r="Z79" s="477">
        <f t="shared" si="45"/>
        <v>0</v>
      </c>
      <c r="AA79" s="480"/>
      <c r="AB79" s="477">
        <f t="shared" ca="1" si="46"/>
        <v>3909.07</v>
      </c>
      <c r="AC79" s="475">
        <f t="shared" ca="1" si="47"/>
        <v>4264.4399999999996</v>
      </c>
      <c r="AD79" s="480"/>
      <c r="AE79" s="477">
        <f t="shared" si="48"/>
        <v>0</v>
      </c>
      <c r="AF79" s="480"/>
      <c r="AG79" s="477">
        <f t="shared" si="49"/>
        <v>0</v>
      </c>
      <c r="AH79" s="480"/>
      <c r="AI79" s="477">
        <f t="shared" si="50"/>
        <v>0</v>
      </c>
      <c r="AJ79" s="480"/>
      <c r="AK79" s="477">
        <f t="shared" ca="1" si="51"/>
        <v>4264.4399999999996</v>
      </c>
      <c r="AL79" s="475">
        <f t="shared" ca="1" si="52"/>
        <v>7107.4</v>
      </c>
      <c r="AM79" s="480"/>
      <c r="AN79" s="477">
        <f t="shared" si="53"/>
        <v>0</v>
      </c>
      <c r="AO79" s="480"/>
      <c r="AP79" s="477">
        <f t="shared" si="54"/>
        <v>0</v>
      </c>
      <c r="AQ79" s="480"/>
      <c r="AR79" s="477">
        <f t="shared" si="55"/>
        <v>0</v>
      </c>
      <c r="AS79" s="480"/>
      <c r="AT79" s="477">
        <f t="shared" ca="1" si="56"/>
        <v>7107.4</v>
      </c>
      <c r="AU79" s="475">
        <f t="shared" ca="1" si="57"/>
        <v>7107.4</v>
      </c>
      <c r="AV79" s="480"/>
      <c r="AW79" s="477">
        <f t="shared" si="58"/>
        <v>0</v>
      </c>
      <c r="AX79" s="480"/>
      <c r="AY79" s="477">
        <f t="shared" si="59"/>
        <v>0</v>
      </c>
      <c r="AZ79" s="480"/>
      <c r="BA79" s="477">
        <f t="shared" si="60"/>
        <v>0</v>
      </c>
      <c r="BB79" s="480"/>
      <c r="BC79" s="850">
        <f t="shared" ca="1" si="61"/>
        <v>25942.010000000002</v>
      </c>
    </row>
    <row r="80" spans="1:55" ht="56">
      <c r="A80" s="837" t="str">
        <f t="shared" ca="1" si="33"/>
        <v/>
      </c>
      <c r="B80" s="440">
        <v>74</v>
      </c>
      <c r="C80" s="834" t="str">
        <f t="shared" ca="1" si="34"/>
        <v>2.</v>
      </c>
      <c r="D80" s="1757" t="str">
        <f ca="1">IFERROR(VLOOKUP(LEFT(E80,4),Nom_activ_2!D:G,4,0),"")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80" s="1757" t="str">
        <f t="shared" ca="1" si="35"/>
        <v xml:space="preserve">2.2.1. Realizarea managementului calității în cadrul rețelei de laboratoare implicate în diagnosticul microbiologic al TB </v>
      </c>
      <c r="F80" s="1777" t="str">
        <f t="shared" ca="1" si="32"/>
        <v>Combust, ulei vizite monitorizare_vizite echipa LR_Bender_Malul Stang</v>
      </c>
      <c r="G80" s="839">
        <f t="shared" ca="1" si="32"/>
        <v>0</v>
      </c>
      <c r="H80" s="840" t="str">
        <f t="shared" ca="1" si="32"/>
        <v>GFATM</v>
      </c>
      <c r="I80" s="443" t="s">
        <v>2014</v>
      </c>
      <c r="J80" s="838" t="str">
        <f t="shared" si="36"/>
        <v>Vizite_monitorizare!$A:$j</v>
      </c>
      <c r="K80" s="475">
        <f t="shared" ca="1" si="37"/>
        <v>3553.7</v>
      </c>
      <c r="L80" s="480"/>
      <c r="M80" s="477">
        <f t="shared" si="38"/>
        <v>0</v>
      </c>
      <c r="N80" s="480"/>
      <c r="O80" s="477">
        <f t="shared" si="39"/>
        <v>0</v>
      </c>
      <c r="P80" s="480"/>
      <c r="Q80" s="477">
        <f t="shared" si="40"/>
        <v>0</v>
      </c>
      <c r="R80" s="480"/>
      <c r="S80" s="477">
        <f t="shared" ca="1" si="41"/>
        <v>3553.7</v>
      </c>
      <c r="T80" s="475">
        <f t="shared" ca="1" si="42"/>
        <v>3198.33</v>
      </c>
      <c r="U80" s="480"/>
      <c r="V80" s="477">
        <f t="shared" si="43"/>
        <v>0</v>
      </c>
      <c r="W80" s="480"/>
      <c r="X80" s="477">
        <f t="shared" si="44"/>
        <v>0</v>
      </c>
      <c r="Y80" s="480"/>
      <c r="Z80" s="477">
        <f t="shared" si="45"/>
        <v>0</v>
      </c>
      <c r="AA80" s="480"/>
      <c r="AB80" s="477">
        <f t="shared" ca="1" si="46"/>
        <v>3198.33</v>
      </c>
      <c r="AC80" s="475">
        <f t="shared" ca="1" si="47"/>
        <v>2842.96</v>
      </c>
      <c r="AD80" s="480"/>
      <c r="AE80" s="477">
        <f t="shared" si="48"/>
        <v>0</v>
      </c>
      <c r="AF80" s="480"/>
      <c r="AG80" s="477">
        <f t="shared" si="49"/>
        <v>0</v>
      </c>
      <c r="AH80" s="480"/>
      <c r="AI80" s="477">
        <f t="shared" si="50"/>
        <v>0</v>
      </c>
      <c r="AJ80" s="480"/>
      <c r="AK80" s="477">
        <f t="shared" ca="1" si="51"/>
        <v>2842.96</v>
      </c>
      <c r="AL80" s="475">
        <f t="shared" ca="1" si="52"/>
        <v>0</v>
      </c>
      <c r="AM80" s="480"/>
      <c r="AN80" s="477">
        <f t="shared" si="53"/>
        <v>0</v>
      </c>
      <c r="AO80" s="480"/>
      <c r="AP80" s="477">
        <f t="shared" si="54"/>
        <v>0</v>
      </c>
      <c r="AQ80" s="480"/>
      <c r="AR80" s="477">
        <f t="shared" si="55"/>
        <v>0</v>
      </c>
      <c r="AS80" s="480"/>
      <c r="AT80" s="477">
        <f t="shared" ca="1" si="56"/>
        <v>0</v>
      </c>
      <c r="AU80" s="475">
        <f t="shared" ca="1" si="57"/>
        <v>0</v>
      </c>
      <c r="AV80" s="480"/>
      <c r="AW80" s="477">
        <f t="shared" si="58"/>
        <v>0</v>
      </c>
      <c r="AX80" s="480"/>
      <c r="AY80" s="477">
        <f t="shared" si="59"/>
        <v>0</v>
      </c>
      <c r="AZ80" s="480"/>
      <c r="BA80" s="477">
        <f t="shared" si="60"/>
        <v>0</v>
      </c>
      <c r="BB80" s="480"/>
      <c r="BC80" s="850">
        <f t="shared" ca="1" si="61"/>
        <v>9594.99</v>
      </c>
    </row>
    <row r="81" spans="1:55" ht="56">
      <c r="A81" s="837" t="str">
        <f t="shared" ca="1" si="33"/>
        <v/>
      </c>
      <c r="B81" s="440">
        <v>75</v>
      </c>
      <c r="C81" s="834" t="str">
        <f t="shared" ca="1" si="34"/>
        <v>2.</v>
      </c>
      <c r="D81" s="1757" t="str">
        <f ca="1">IFERROR(VLOOKUP(LEFT(E81,4),Nom_activ_2!D:G,4,0),"")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81" s="1757" t="str">
        <f t="shared" ca="1" si="35"/>
        <v xml:space="preserve">2.2.1. Realizarea managementului calității în cadrul rețelei de laboratoare implicate în diagnosticul microbiologic al TB </v>
      </c>
      <c r="F81" s="1777" t="str">
        <f t="shared" ca="1" si="32"/>
        <v>Suport _vizite echipa LR_Bender_Malul Stang</v>
      </c>
      <c r="G81" s="839">
        <f t="shared" ca="1" si="32"/>
        <v>0</v>
      </c>
      <c r="H81" s="840" t="str">
        <f t="shared" ca="1" si="32"/>
        <v>Buget local (Malul Stang)</v>
      </c>
      <c r="I81" s="443" t="s">
        <v>2014</v>
      </c>
      <c r="J81" s="838" t="str">
        <f t="shared" si="36"/>
        <v>Vizite_monitorizare!$A:$j</v>
      </c>
      <c r="K81" s="475">
        <f t="shared" ca="1" si="37"/>
        <v>0</v>
      </c>
      <c r="L81" s="480"/>
      <c r="M81" s="477">
        <f t="shared" si="38"/>
        <v>0</v>
      </c>
      <c r="N81" s="480"/>
      <c r="O81" s="477">
        <f t="shared" si="39"/>
        <v>0</v>
      </c>
      <c r="P81" s="480"/>
      <c r="Q81" s="477">
        <f t="shared" si="40"/>
        <v>0</v>
      </c>
      <c r="R81" s="480"/>
      <c r="S81" s="477">
        <f t="shared" ca="1" si="41"/>
        <v>0</v>
      </c>
      <c r="T81" s="475">
        <f t="shared" ca="1" si="42"/>
        <v>0</v>
      </c>
      <c r="U81" s="480"/>
      <c r="V81" s="477">
        <f t="shared" si="43"/>
        <v>0</v>
      </c>
      <c r="W81" s="480"/>
      <c r="X81" s="477">
        <f t="shared" si="44"/>
        <v>0</v>
      </c>
      <c r="Y81" s="480"/>
      <c r="Z81" s="477">
        <f t="shared" si="45"/>
        <v>0</v>
      </c>
      <c r="AA81" s="480"/>
      <c r="AB81" s="477">
        <f t="shared" ca="1" si="46"/>
        <v>0</v>
      </c>
      <c r="AC81" s="475">
        <f t="shared" ca="1" si="47"/>
        <v>0</v>
      </c>
      <c r="AD81" s="480"/>
      <c r="AE81" s="477">
        <f t="shared" si="48"/>
        <v>0</v>
      </c>
      <c r="AF81" s="480"/>
      <c r="AG81" s="477">
        <f t="shared" si="49"/>
        <v>0</v>
      </c>
      <c r="AH81" s="480"/>
      <c r="AI81" s="477">
        <f t="shared" si="50"/>
        <v>0</v>
      </c>
      <c r="AJ81" s="480"/>
      <c r="AK81" s="477">
        <f t="shared" ca="1" si="51"/>
        <v>0</v>
      </c>
      <c r="AL81" s="475">
        <f t="shared" ca="1" si="52"/>
        <v>0</v>
      </c>
      <c r="AM81" s="480"/>
      <c r="AN81" s="477">
        <f t="shared" si="53"/>
        <v>0</v>
      </c>
      <c r="AO81" s="480"/>
      <c r="AP81" s="477">
        <f t="shared" si="54"/>
        <v>0</v>
      </c>
      <c r="AQ81" s="480"/>
      <c r="AR81" s="477">
        <f t="shared" si="55"/>
        <v>0</v>
      </c>
      <c r="AS81" s="480"/>
      <c r="AT81" s="477">
        <f t="shared" ca="1" si="56"/>
        <v>0</v>
      </c>
      <c r="AU81" s="475">
        <f t="shared" ca="1" si="57"/>
        <v>0</v>
      </c>
      <c r="AV81" s="480"/>
      <c r="AW81" s="477">
        <f t="shared" si="58"/>
        <v>0</v>
      </c>
      <c r="AX81" s="480"/>
      <c r="AY81" s="477">
        <f t="shared" si="59"/>
        <v>0</v>
      </c>
      <c r="AZ81" s="480"/>
      <c r="BA81" s="477">
        <f t="shared" si="60"/>
        <v>0</v>
      </c>
      <c r="BB81" s="480"/>
      <c r="BC81" s="850">
        <f t="shared" ca="1" si="61"/>
        <v>0</v>
      </c>
    </row>
    <row r="82" spans="1:55" ht="56">
      <c r="A82" s="837" t="str">
        <f t="shared" ca="1" si="33"/>
        <v/>
      </c>
      <c r="B82" s="440">
        <v>76</v>
      </c>
      <c r="C82" s="834" t="str">
        <f t="shared" ca="1" si="34"/>
        <v>2.</v>
      </c>
      <c r="D82" s="1757" t="str">
        <f ca="1">IFERROR(VLOOKUP(LEFT(E82,4),Nom_activ_2!D:G,4,0),"")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82" s="1757" t="str">
        <f t="shared" ca="1" si="35"/>
        <v xml:space="preserve">2.2.1. Realizarea managementului calității în cadrul rețelei de laboratoare implicate în diagnosticul microbiologic al TB </v>
      </c>
      <c r="F82" s="1777" t="str">
        <f t="shared" ca="1" si="32"/>
        <v>Suport salarial_vizite echipa LR_Bender_Malul Stang</v>
      </c>
      <c r="G82" s="839">
        <f t="shared" ca="1" si="32"/>
        <v>0</v>
      </c>
      <c r="H82" s="840" t="str">
        <f t="shared" ca="1" si="32"/>
        <v>GFATM</v>
      </c>
      <c r="I82" s="443" t="s">
        <v>2014</v>
      </c>
      <c r="J82" s="838" t="str">
        <f t="shared" si="36"/>
        <v>Vizite_monitorizare!$A:$j</v>
      </c>
      <c r="K82" s="475">
        <f t="shared" ca="1" si="37"/>
        <v>8252.7200000000012</v>
      </c>
      <c r="L82" s="480"/>
      <c r="M82" s="477">
        <f t="shared" si="38"/>
        <v>0</v>
      </c>
      <c r="N82" s="480"/>
      <c r="O82" s="477">
        <f t="shared" si="39"/>
        <v>0</v>
      </c>
      <c r="P82" s="480"/>
      <c r="Q82" s="477">
        <f t="shared" si="40"/>
        <v>0</v>
      </c>
      <c r="R82" s="480"/>
      <c r="S82" s="477">
        <f t="shared" ca="1" si="41"/>
        <v>8252.7200000000012</v>
      </c>
      <c r="T82" s="475">
        <f t="shared" ca="1" si="42"/>
        <v>8252.7200000000012</v>
      </c>
      <c r="U82" s="480"/>
      <c r="V82" s="477">
        <f t="shared" si="43"/>
        <v>0</v>
      </c>
      <c r="W82" s="480"/>
      <c r="X82" s="477">
        <f t="shared" si="44"/>
        <v>0</v>
      </c>
      <c r="Y82" s="480"/>
      <c r="Z82" s="477">
        <f t="shared" si="45"/>
        <v>0</v>
      </c>
      <c r="AA82" s="480"/>
      <c r="AB82" s="477">
        <f t="shared" ca="1" si="46"/>
        <v>8252.7200000000012</v>
      </c>
      <c r="AC82" s="475">
        <f t="shared" ca="1" si="47"/>
        <v>8252.7200000000012</v>
      </c>
      <c r="AD82" s="480"/>
      <c r="AE82" s="477">
        <f t="shared" si="48"/>
        <v>0</v>
      </c>
      <c r="AF82" s="480"/>
      <c r="AG82" s="477">
        <f t="shared" si="49"/>
        <v>0</v>
      </c>
      <c r="AH82" s="480"/>
      <c r="AI82" s="477">
        <f t="shared" si="50"/>
        <v>0</v>
      </c>
      <c r="AJ82" s="480"/>
      <c r="AK82" s="477">
        <f t="shared" ca="1" si="51"/>
        <v>8252.7200000000012</v>
      </c>
      <c r="AL82" s="475">
        <f t="shared" ca="1" si="52"/>
        <v>0</v>
      </c>
      <c r="AM82" s="480"/>
      <c r="AN82" s="477">
        <f t="shared" si="53"/>
        <v>0</v>
      </c>
      <c r="AO82" s="480"/>
      <c r="AP82" s="477">
        <f t="shared" si="54"/>
        <v>0</v>
      </c>
      <c r="AQ82" s="480"/>
      <c r="AR82" s="477">
        <f t="shared" si="55"/>
        <v>0</v>
      </c>
      <c r="AS82" s="480"/>
      <c r="AT82" s="477">
        <f t="shared" ca="1" si="56"/>
        <v>0</v>
      </c>
      <c r="AU82" s="475">
        <f t="shared" ca="1" si="57"/>
        <v>0</v>
      </c>
      <c r="AV82" s="480"/>
      <c r="AW82" s="477">
        <f t="shared" si="58"/>
        <v>0</v>
      </c>
      <c r="AX82" s="480"/>
      <c r="AY82" s="477">
        <f t="shared" si="59"/>
        <v>0</v>
      </c>
      <c r="AZ82" s="480"/>
      <c r="BA82" s="477">
        <f t="shared" si="60"/>
        <v>0</v>
      </c>
      <c r="BB82" s="480"/>
      <c r="BC82" s="850">
        <f t="shared" ca="1" si="61"/>
        <v>24758.160000000003</v>
      </c>
    </row>
    <row r="83" spans="1:55" ht="28">
      <c r="A83" s="837" t="str">
        <f t="shared" ca="1" si="33"/>
        <v/>
      </c>
      <c r="B83" s="440">
        <v>77</v>
      </c>
      <c r="C83" s="834" t="str">
        <f t="shared" ca="1" si="34"/>
        <v>2.</v>
      </c>
      <c r="D83" s="1757" t="str">
        <f ca="1">IFERROR(VLOOKUP(LEFT(E83,4),Nom_activ_2!D:G,4,0),"")</f>
        <v>2.3.  Asigurarea monitorizării tratamentului pacienților cu TB și TB MDR cu supravegherea rezistenței M. tuberculosis către medicamente</v>
      </c>
      <c r="E83" s="1757" t="str">
        <f t="shared" ca="1" si="35"/>
        <v>2.3.3. Menținerea și consolidarea sistemului de curierat pentru transportarea sputei către LR</v>
      </c>
      <c r="F83" s="1777" t="str">
        <f t="shared" ca="1" si="32"/>
        <v>Transport speciemene sputa, Malul Drept combustibil si mentenanta</v>
      </c>
      <c r="G83" s="839">
        <f t="shared" ca="1" si="32"/>
        <v>0</v>
      </c>
      <c r="H83" s="840" t="str">
        <f t="shared" ca="1" si="32"/>
        <v>CNAM</v>
      </c>
      <c r="I83" s="443" t="s">
        <v>1848</v>
      </c>
      <c r="J83" s="838" t="str">
        <f t="shared" si="36"/>
        <v>Curierat_sputa_medic!$A:$j</v>
      </c>
      <c r="K83" s="475">
        <f t="shared" ca="1" si="37"/>
        <v>33202.21</v>
      </c>
      <c r="L83" s="480"/>
      <c r="M83" s="477">
        <f t="shared" si="38"/>
        <v>0</v>
      </c>
      <c r="N83" s="480"/>
      <c r="O83" s="477">
        <f t="shared" si="39"/>
        <v>0</v>
      </c>
      <c r="P83" s="480"/>
      <c r="Q83" s="477">
        <f t="shared" si="40"/>
        <v>0</v>
      </c>
      <c r="R83" s="480"/>
      <c r="S83" s="477">
        <f t="shared" ca="1" si="41"/>
        <v>33202.21</v>
      </c>
      <c r="T83" s="475">
        <f t="shared" ca="1" si="42"/>
        <v>166011.06</v>
      </c>
      <c r="U83" s="480"/>
      <c r="V83" s="477">
        <f t="shared" si="43"/>
        <v>0</v>
      </c>
      <c r="W83" s="480"/>
      <c r="X83" s="477">
        <f t="shared" si="44"/>
        <v>0</v>
      </c>
      <c r="Y83" s="480"/>
      <c r="Z83" s="477">
        <f t="shared" si="45"/>
        <v>0</v>
      </c>
      <c r="AA83" s="480"/>
      <c r="AB83" s="477">
        <f t="shared" ca="1" si="46"/>
        <v>166011.06</v>
      </c>
      <c r="AC83" s="475">
        <f t="shared" ca="1" si="47"/>
        <v>265617.69</v>
      </c>
      <c r="AD83" s="480"/>
      <c r="AE83" s="477">
        <f t="shared" si="48"/>
        <v>0</v>
      </c>
      <c r="AF83" s="480"/>
      <c r="AG83" s="477">
        <f t="shared" si="49"/>
        <v>0</v>
      </c>
      <c r="AH83" s="480"/>
      <c r="AI83" s="477">
        <f t="shared" si="50"/>
        <v>0</v>
      </c>
      <c r="AJ83" s="480"/>
      <c r="AK83" s="477">
        <f t="shared" ca="1" si="51"/>
        <v>265617.69</v>
      </c>
      <c r="AL83" s="475">
        <f t="shared" ca="1" si="52"/>
        <v>332022.11</v>
      </c>
      <c r="AM83" s="480"/>
      <c r="AN83" s="477">
        <f t="shared" si="53"/>
        <v>0</v>
      </c>
      <c r="AO83" s="480"/>
      <c r="AP83" s="477">
        <f t="shared" si="54"/>
        <v>0</v>
      </c>
      <c r="AQ83" s="480"/>
      <c r="AR83" s="477">
        <f t="shared" si="55"/>
        <v>0</v>
      </c>
      <c r="AS83" s="480"/>
      <c r="AT83" s="477">
        <f t="shared" ca="1" si="56"/>
        <v>332022.11</v>
      </c>
      <c r="AU83" s="475">
        <f t="shared" ca="1" si="57"/>
        <v>332022.11</v>
      </c>
      <c r="AV83" s="480"/>
      <c r="AW83" s="477">
        <f t="shared" si="58"/>
        <v>0</v>
      </c>
      <c r="AX83" s="480"/>
      <c r="AY83" s="477">
        <f t="shared" si="59"/>
        <v>0</v>
      </c>
      <c r="AZ83" s="480"/>
      <c r="BA83" s="477">
        <f t="shared" si="60"/>
        <v>0</v>
      </c>
      <c r="BB83" s="480"/>
      <c r="BC83" s="850">
        <f t="shared" ca="1" si="61"/>
        <v>1128875.18</v>
      </c>
    </row>
    <row r="84" spans="1:55" ht="28">
      <c r="A84" s="837" t="str">
        <f t="shared" ca="1" si="33"/>
        <v/>
      </c>
      <c r="B84" s="440">
        <v>78</v>
      </c>
      <c r="C84" s="834" t="str">
        <f t="shared" ca="1" si="34"/>
        <v>2.</v>
      </c>
      <c r="D84" s="1757" t="str">
        <f ca="1">IFERROR(VLOOKUP(LEFT(E84,4),Nom_activ_2!D:G,4,0),"")</f>
        <v>2.3.  Asigurarea monitorizării tratamentului pacienților cu TB și TB MDR cu supravegherea rezistenței M. tuberculosis către medicamente</v>
      </c>
      <c r="E84" s="1757" t="str">
        <f t="shared" ca="1" si="35"/>
        <v>2.3.3. Menținerea și consolidarea sistemului de curierat pentru transportarea sputei către LR</v>
      </c>
      <c r="F84" s="1777" t="str">
        <f t="shared" ca="1" si="32"/>
        <v>Transport speciemene sputa, Malul Drept combustibil si mentenanta</v>
      </c>
      <c r="G84" s="839">
        <f t="shared" ca="1" si="32"/>
        <v>0</v>
      </c>
      <c r="H84" s="840" t="str">
        <f t="shared" ca="1" si="32"/>
        <v>GFATM</v>
      </c>
      <c r="I84" s="443" t="s">
        <v>1848</v>
      </c>
      <c r="J84" s="838" t="str">
        <f t="shared" si="36"/>
        <v>Curierat_sputa_medic!$A:$j</v>
      </c>
      <c r="K84" s="475">
        <f t="shared" ca="1" si="37"/>
        <v>298819.90000000002</v>
      </c>
      <c r="L84" s="480"/>
      <c r="M84" s="477">
        <f t="shared" si="38"/>
        <v>0</v>
      </c>
      <c r="N84" s="480"/>
      <c r="O84" s="477">
        <f t="shared" si="39"/>
        <v>0</v>
      </c>
      <c r="P84" s="480"/>
      <c r="Q84" s="477">
        <f t="shared" si="40"/>
        <v>0</v>
      </c>
      <c r="R84" s="480"/>
      <c r="S84" s="477">
        <f t="shared" ca="1" si="41"/>
        <v>298819.90000000002</v>
      </c>
      <c r="T84" s="475">
        <f t="shared" ca="1" si="42"/>
        <v>166011.06</v>
      </c>
      <c r="U84" s="480"/>
      <c r="V84" s="477">
        <f t="shared" si="43"/>
        <v>0</v>
      </c>
      <c r="W84" s="480"/>
      <c r="X84" s="477">
        <f t="shared" si="44"/>
        <v>0</v>
      </c>
      <c r="Y84" s="480"/>
      <c r="Z84" s="477">
        <f t="shared" si="45"/>
        <v>0</v>
      </c>
      <c r="AA84" s="480"/>
      <c r="AB84" s="477">
        <f t="shared" ca="1" si="46"/>
        <v>166011.06</v>
      </c>
      <c r="AC84" s="475">
        <f t="shared" ca="1" si="47"/>
        <v>66404.42</v>
      </c>
      <c r="AD84" s="480"/>
      <c r="AE84" s="477">
        <f t="shared" si="48"/>
        <v>0</v>
      </c>
      <c r="AF84" s="480"/>
      <c r="AG84" s="477">
        <f t="shared" si="49"/>
        <v>0</v>
      </c>
      <c r="AH84" s="480"/>
      <c r="AI84" s="477">
        <f t="shared" si="50"/>
        <v>0</v>
      </c>
      <c r="AJ84" s="480"/>
      <c r="AK84" s="477">
        <f t="shared" ca="1" si="51"/>
        <v>66404.42</v>
      </c>
      <c r="AL84" s="475">
        <f t="shared" ca="1" si="52"/>
        <v>0</v>
      </c>
      <c r="AM84" s="480"/>
      <c r="AN84" s="477">
        <f t="shared" si="53"/>
        <v>0</v>
      </c>
      <c r="AO84" s="480"/>
      <c r="AP84" s="477">
        <f t="shared" si="54"/>
        <v>0</v>
      </c>
      <c r="AQ84" s="480"/>
      <c r="AR84" s="477">
        <f t="shared" si="55"/>
        <v>0</v>
      </c>
      <c r="AS84" s="480"/>
      <c r="AT84" s="477">
        <f t="shared" ca="1" si="56"/>
        <v>0</v>
      </c>
      <c r="AU84" s="475">
        <f t="shared" ca="1" si="57"/>
        <v>0</v>
      </c>
      <c r="AV84" s="480"/>
      <c r="AW84" s="477">
        <f t="shared" si="58"/>
        <v>0</v>
      </c>
      <c r="AX84" s="480"/>
      <c r="AY84" s="477">
        <f t="shared" si="59"/>
        <v>0</v>
      </c>
      <c r="AZ84" s="480"/>
      <c r="BA84" s="477">
        <f t="shared" si="60"/>
        <v>0</v>
      </c>
      <c r="BB84" s="480"/>
      <c r="BC84" s="850">
        <f t="shared" ca="1" si="61"/>
        <v>531235.38</v>
      </c>
    </row>
    <row r="85" spans="1:55" ht="28">
      <c r="A85" s="837" t="str">
        <f t="shared" ca="1" si="33"/>
        <v/>
      </c>
      <c r="B85" s="440">
        <v>79</v>
      </c>
      <c r="C85" s="834" t="str">
        <f t="shared" ca="1" si="34"/>
        <v>2.</v>
      </c>
      <c r="D85" s="1757" t="str">
        <f ca="1">IFERROR(VLOOKUP(LEFT(E85,4),Nom_activ_2!D:G,4,0),"")</f>
        <v>2.3.  Asigurarea monitorizării tratamentului pacienților cu TB și TB MDR cu supravegherea rezistenței M. tuberculosis către medicamente</v>
      </c>
      <c r="E85" s="1757" t="str">
        <f t="shared" ca="1" si="35"/>
        <v>2.3.3. Menținerea și consolidarea sistemului de curierat pentru transportarea sputei către LR</v>
      </c>
      <c r="F85" s="1777" t="str">
        <f t="shared" ca="1" si="32"/>
        <v>Transport  speciemene sputa, Malul Drept, remunerare soferi</v>
      </c>
      <c r="G85" s="839">
        <f t="shared" ca="1" si="32"/>
        <v>0</v>
      </c>
      <c r="H85" s="840" t="str">
        <f t="shared" ca="1" si="32"/>
        <v>CNAM</v>
      </c>
      <c r="I85" s="443" t="s">
        <v>1848</v>
      </c>
      <c r="J85" s="838" t="str">
        <f t="shared" si="36"/>
        <v>Curierat_sputa_medic!$A:$j</v>
      </c>
      <c r="K85" s="475">
        <f t="shared" ca="1" si="37"/>
        <v>0</v>
      </c>
      <c r="L85" s="480"/>
      <c r="M85" s="477">
        <f t="shared" si="38"/>
        <v>0</v>
      </c>
      <c r="N85" s="480"/>
      <c r="O85" s="477">
        <f t="shared" si="39"/>
        <v>0</v>
      </c>
      <c r="P85" s="480"/>
      <c r="Q85" s="477">
        <f t="shared" si="40"/>
        <v>0</v>
      </c>
      <c r="R85" s="480"/>
      <c r="S85" s="477">
        <f t="shared" ca="1" si="41"/>
        <v>0</v>
      </c>
      <c r="T85" s="475">
        <f t="shared" ca="1" si="42"/>
        <v>0</v>
      </c>
      <c r="U85" s="480"/>
      <c r="V85" s="477">
        <f t="shared" si="43"/>
        <v>0</v>
      </c>
      <c r="W85" s="480"/>
      <c r="X85" s="477">
        <f t="shared" si="44"/>
        <v>0</v>
      </c>
      <c r="Y85" s="480"/>
      <c r="Z85" s="477">
        <f t="shared" si="45"/>
        <v>0</v>
      </c>
      <c r="AA85" s="480"/>
      <c r="AB85" s="477">
        <f t="shared" ca="1" si="46"/>
        <v>0</v>
      </c>
      <c r="AC85" s="475">
        <f t="shared" ca="1" si="47"/>
        <v>0</v>
      </c>
      <c r="AD85" s="480"/>
      <c r="AE85" s="477">
        <f t="shared" si="48"/>
        <v>0</v>
      </c>
      <c r="AF85" s="480"/>
      <c r="AG85" s="477">
        <f t="shared" si="49"/>
        <v>0</v>
      </c>
      <c r="AH85" s="480"/>
      <c r="AI85" s="477">
        <f t="shared" si="50"/>
        <v>0</v>
      </c>
      <c r="AJ85" s="480"/>
      <c r="AK85" s="477">
        <f t="shared" ca="1" si="51"/>
        <v>0</v>
      </c>
      <c r="AL85" s="475">
        <f t="shared" ca="1" si="52"/>
        <v>0</v>
      </c>
      <c r="AM85" s="480"/>
      <c r="AN85" s="477">
        <f t="shared" si="53"/>
        <v>0</v>
      </c>
      <c r="AO85" s="480"/>
      <c r="AP85" s="477">
        <f t="shared" si="54"/>
        <v>0</v>
      </c>
      <c r="AQ85" s="480"/>
      <c r="AR85" s="477">
        <f t="shared" si="55"/>
        <v>0</v>
      </c>
      <c r="AS85" s="480"/>
      <c r="AT85" s="477">
        <f t="shared" ca="1" si="56"/>
        <v>0</v>
      </c>
      <c r="AU85" s="475">
        <f t="shared" ca="1" si="57"/>
        <v>0</v>
      </c>
      <c r="AV85" s="480"/>
      <c r="AW85" s="477">
        <f t="shared" si="58"/>
        <v>0</v>
      </c>
      <c r="AX85" s="480"/>
      <c r="AY85" s="477">
        <f t="shared" si="59"/>
        <v>0</v>
      </c>
      <c r="AZ85" s="480"/>
      <c r="BA85" s="477">
        <f t="shared" si="60"/>
        <v>0</v>
      </c>
      <c r="BB85" s="480"/>
      <c r="BC85" s="850">
        <f t="shared" ca="1" si="61"/>
        <v>0</v>
      </c>
    </row>
    <row r="86" spans="1:55" ht="28">
      <c r="A86" s="837" t="str">
        <f t="shared" ca="1" si="33"/>
        <v/>
      </c>
      <c r="B86" s="440">
        <v>80</v>
      </c>
      <c r="C86" s="834" t="str">
        <f t="shared" ca="1" si="34"/>
        <v>2.</v>
      </c>
      <c r="D86" s="1757" t="str">
        <f ca="1">IFERROR(VLOOKUP(LEFT(E86,4),Nom_activ_2!D:G,4,0),"")</f>
        <v>2.3.  Asigurarea monitorizării tratamentului pacienților cu TB și TB MDR cu supravegherea rezistenței M. tuberculosis către medicamente</v>
      </c>
      <c r="E86" s="1757" t="str">
        <f t="shared" ca="1" si="35"/>
        <v>2.3.3. Menținerea și consolidarea sistemului de curierat pentru transportarea sputei către LR</v>
      </c>
      <c r="F86" s="1777" t="str">
        <f t="shared" ca="1" si="32"/>
        <v>Transport  speciemene sputa, Malul Drept, remunerare soferi</v>
      </c>
      <c r="G86" s="839">
        <f t="shared" ca="1" si="32"/>
        <v>0</v>
      </c>
      <c r="H86" s="840" t="str">
        <f t="shared" ca="1" si="32"/>
        <v>GFATM</v>
      </c>
      <c r="I86" s="443" t="s">
        <v>1848</v>
      </c>
      <c r="J86" s="838" t="str">
        <f t="shared" si="36"/>
        <v>Curierat_sputa_medic!$A:$j</v>
      </c>
      <c r="K86" s="475">
        <f t="shared" ca="1" si="37"/>
        <v>120219.099</v>
      </c>
      <c r="L86" s="480"/>
      <c r="M86" s="477">
        <f t="shared" si="38"/>
        <v>0</v>
      </c>
      <c r="N86" s="480"/>
      <c r="O86" s="477">
        <f t="shared" si="39"/>
        <v>0</v>
      </c>
      <c r="P86" s="480"/>
      <c r="Q86" s="477">
        <f t="shared" si="40"/>
        <v>0</v>
      </c>
      <c r="R86" s="480"/>
      <c r="S86" s="477">
        <f t="shared" ca="1" si="41"/>
        <v>120219.099</v>
      </c>
      <c r="T86" s="475">
        <f t="shared" ca="1" si="42"/>
        <v>120219.099</v>
      </c>
      <c r="U86" s="480"/>
      <c r="V86" s="477">
        <f t="shared" si="43"/>
        <v>0</v>
      </c>
      <c r="W86" s="480"/>
      <c r="X86" s="477">
        <f t="shared" si="44"/>
        <v>0</v>
      </c>
      <c r="Y86" s="480"/>
      <c r="Z86" s="477">
        <f t="shared" si="45"/>
        <v>0</v>
      </c>
      <c r="AA86" s="480"/>
      <c r="AB86" s="477">
        <f t="shared" ca="1" si="46"/>
        <v>120219.099</v>
      </c>
      <c r="AC86" s="475">
        <f t="shared" ca="1" si="47"/>
        <v>120219.099</v>
      </c>
      <c r="AD86" s="480"/>
      <c r="AE86" s="477">
        <f t="shared" si="48"/>
        <v>0</v>
      </c>
      <c r="AF86" s="480"/>
      <c r="AG86" s="477">
        <f t="shared" si="49"/>
        <v>0</v>
      </c>
      <c r="AH86" s="480"/>
      <c r="AI86" s="477">
        <f t="shared" si="50"/>
        <v>0</v>
      </c>
      <c r="AJ86" s="480"/>
      <c r="AK86" s="477">
        <f t="shared" ca="1" si="51"/>
        <v>120219.099</v>
      </c>
      <c r="AL86" s="475">
        <f t="shared" ca="1" si="52"/>
        <v>0</v>
      </c>
      <c r="AM86" s="480"/>
      <c r="AN86" s="477">
        <f t="shared" si="53"/>
        <v>0</v>
      </c>
      <c r="AO86" s="480"/>
      <c r="AP86" s="477">
        <f t="shared" si="54"/>
        <v>0</v>
      </c>
      <c r="AQ86" s="480"/>
      <c r="AR86" s="477">
        <f t="shared" si="55"/>
        <v>0</v>
      </c>
      <c r="AS86" s="480"/>
      <c r="AT86" s="477">
        <f t="shared" ca="1" si="56"/>
        <v>0</v>
      </c>
      <c r="AU86" s="475">
        <f t="shared" ca="1" si="57"/>
        <v>0</v>
      </c>
      <c r="AV86" s="480"/>
      <c r="AW86" s="477">
        <f t="shared" si="58"/>
        <v>0</v>
      </c>
      <c r="AX86" s="480"/>
      <c r="AY86" s="477">
        <f t="shared" si="59"/>
        <v>0</v>
      </c>
      <c r="AZ86" s="480"/>
      <c r="BA86" s="477">
        <f t="shared" si="60"/>
        <v>0</v>
      </c>
      <c r="BB86" s="480"/>
      <c r="BC86" s="850">
        <f t="shared" ca="1" si="61"/>
        <v>360657.29700000002</v>
      </c>
    </row>
    <row r="87" spans="1:55" ht="28">
      <c r="A87" s="837" t="str">
        <f t="shared" ca="1" si="33"/>
        <v/>
      </c>
      <c r="B87" s="440">
        <v>81</v>
      </c>
      <c r="C87" s="834" t="str">
        <f t="shared" ca="1" si="34"/>
        <v>3.</v>
      </c>
      <c r="D87" s="1757" t="str">
        <f ca="1">IFERROR(VLOOKUP(LEFT(E87,4),Nom_activ_2!D:G,4,0),"")</f>
        <v>3.1.  Asigurarea continuă cu medicamente TB</v>
      </c>
      <c r="E87" s="1757" t="str">
        <f t="shared" ca="1" si="35"/>
        <v>3.1.4. Asigurarea distribuirii medicamentelor TB în teritorii</v>
      </c>
      <c r="F87" s="1777" t="str">
        <f t="shared" ref="F87:H106" ca="1" si="62">IFERROR(VLOOKUP($B87,INDIRECT($J87),F$5,0),0)</f>
        <v>Transport medicamente, Malul Drept, combustibil si mentenanta</v>
      </c>
      <c r="G87" s="839">
        <f t="shared" ca="1" si="62"/>
        <v>0</v>
      </c>
      <c r="H87" s="840" t="str">
        <f t="shared" ca="1" si="62"/>
        <v>CNAM</v>
      </c>
      <c r="I87" s="443" t="s">
        <v>1848</v>
      </c>
      <c r="J87" s="838" t="str">
        <f t="shared" si="36"/>
        <v>Curierat_sputa_medic!$A:$j</v>
      </c>
      <c r="K87" s="475">
        <f t="shared" ca="1" si="37"/>
        <v>17926.32</v>
      </c>
      <c r="L87" s="480"/>
      <c r="M87" s="477">
        <f t="shared" si="38"/>
        <v>0</v>
      </c>
      <c r="N87" s="480"/>
      <c r="O87" s="477">
        <f t="shared" si="39"/>
        <v>0</v>
      </c>
      <c r="P87" s="480"/>
      <c r="Q87" s="477">
        <f t="shared" si="40"/>
        <v>0</v>
      </c>
      <c r="R87" s="480"/>
      <c r="S87" s="477">
        <f t="shared" ca="1" si="41"/>
        <v>17926.32</v>
      </c>
      <c r="T87" s="475">
        <f t="shared" ca="1" si="42"/>
        <v>89631.58</v>
      </c>
      <c r="U87" s="480"/>
      <c r="V87" s="477">
        <f t="shared" si="43"/>
        <v>0</v>
      </c>
      <c r="W87" s="480"/>
      <c r="X87" s="477">
        <f t="shared" si="44"/>
        <v>0</v>
      </c>
      <c r="Y87" s="480"/>
      <c r="Z87" s="477">
        <f t="shared" si="45"/>
        <v>0</v>
      </c>
      <c r="AA87" s="480"/>
      <c r="AB87" s="477">
        <f t="shared" ca="1" si="46"/>
        <v>89631.58</v>
      </c>
      <c r="AC87" s="475">
        <f t="shared" ca="1" si="47"/>
        <v>143410.53</v>
      </c>
      <c r="AD87" s="480"/>
      <c r="AE87" s="477">
        <f t="shared" si="48"/>
        <v>0</v>
      </c>
      <c r="AF87" s="480"/>
      <c r="AG87" s="477">
        <f t="shared" si="49"/>
        <v>0</v>
      </c>
      <c r="AH87" s="480"/>
      <c r="AI87" s="477">
        <f t="shared" si="50"/>
        <v>0</v>
      </c>
      <c r="AJ87" s="480"/>
      <c r="AK87" s="477">
        <f t="shared" ca="1" si="51"/>
        <v>143410.53</v>
      </c>
      <c r="AL87" s="475">
        <f t="shared" ca="1" si="52"/>
        <v>179263.17</v>
      </c>
      <c r="AM87" s="480"/>
      <c r="AN87" s="477">
        <f t="shared" si="53"/>
        <v>0</v>
      </c>
      <c r="AO87" s="480"/>
      <c r="AP87" s="477">
        <f t="shared" si="54"/>
        <v>0</v>
      </c>
      <c r="AQ87" s="480"/>
      <c r="AR87" s="477">
        <f t="shared" si="55"/>
        <v>0</v>
      </c>
      <c r="AS87" s="480"/>
      <c r="AT87" s="477">
        <f t="shared" ca="1" si="56"/>
        <v>179263.17</v>
      </c>
      <c r="AU87" s="475">
        <f t="shared" ca="1" si="57"/>
        <v>179263.17</v>
      </c>
      <c r="AV87" s="480"/>
      <c r="AW87" s="477">
        <f t="shared" si="58"/>
        <v>0</v>
      </c>
      <c r="AX87" s="480"/>
      <c r="AY87" s="477">
        <f t="shared" si="59"/>
        <v>0</v>
      </c>
      <c r="AZ87" s="480"/>
      <c r="BA87" s="477">
        <f t="shared" si="60"/>
        <v>0</v>
      </c>
      <c r="BB87" s="480"/>
      <c r="BC87" s="850">
        <f t="shared" ca="1" si="61"/>
        <v>609494.77</v>
      </c>
    </row>
    <row r="88" spans="1:55" ht="28">
      <c r="A88" s="837" t="str">
        <f t="shared" ca="1" si="33"/>
        <v/>
      </c>
      <c r="B88" s="440">
        <v>82</v>
      </c>
      <c r="C88" s="834" t="str">
        <f t="shared" ca="1" si="34"/>
        <v>3.</v>
      </c>
      <c r="D88" s="1757" t="str">
        <f ca="1">IFERROR(VLOOKUP(LEFT(E88,4),Nom_activ_2!D:G,4,0),"")</f>
        <v>3.1.  Asigurarea continuă cu medicamente TB</v>
      </c>
      <c r="E88" s="1757" t="str">
        <f t="shared" ca="1" si="35"/>
        <v>3.1.4. Asigurarea distribuirii medicamentelor TB în teritorii</v>
      </c>
      <c r="F88" s="1777" t="str">
        <f t="shared" ca="1" si="62"/>
        <v>Transport medicamente, Malul Drept, combustibil si mentenanta</v>
      </c>
      <c r="G88" s="839">
        <f t="shared" ca="1" si="62"/>
        <v>0</v>
      </c>
      <c r="H88" s="840" t="str">
        <f t="shared" ca="1" si="62"/>
        <v>GFATM</v>
      </c>
      <c r="I88" s="443" t="s">
        <v>1848</v>
      </c>
      <c r="J88" s="838" t="str">
        <f t="shared" si="36"/>
        <v>Curierat_sputa_medic!$A:$j</v>
      </c>
      <c r="K88" s="475">
        <f t="shared" ca="1" si="37"/>
        <v>161336.84999999998</v>
      </c>
      <c r="L88" s="480"/>
      <c r="M88" s="477">
        <f t="shared" si="38"/>
        <v>0</v>
      </c>
      <c r="N88" s="480"/>
      <c r="O88" s="477">
        <f t="shared" si="39"/>
        <v>0</v>
      </c>
      <c r="P88" s="480"/>
      <c r="Q88" s="477">
        <f t="shared" si="40"/>
        <v>0</v>
      </c>
      <c r="R88" s="480"/>
      <c r="S88" s="477">
        <f t="shared" ca="1" si="41"/>
        <v>161336.84999999998</v>
      </c>
      <c r="T88" s="475">
        <f t="shared" ca="1" si="42"/>
        <v>89631.58</v>
      </c>
      <c r="U88" s="480"/>
      <c r="V88" s="477">
        <f t="shared" si="43"/>
        <v>0</v>
      </c>
      <c r="W88" s="480"/>
      <c r="X88" s="477">
        <f t="shared" si="44"/>
        <v>0</v>
      </c>
      <c r="Y88" s="480"/>
      <c r="Z88" s="477">
        <f t="shared" si="45"/>
        <v>0</v>
      </c>
      <c r="AA88" s="480"/>
      <c r="AB88" s="477">
        <f t="shared" ca="1" si="46"/>
        <v>89631.58</v>
      </c>
      <c r="AC88" s="475">
        <f t="shared" ca="1" si="47"/>
        <v>35852.629999999997</v>
      </c>
      <c r="AD88" s="480"/>
      <c r="AE88" s="477">
        <f t="shared" si="48"/>
        <v>0</v>
      </c>
      <c r="AF88" s="480"/>
      <c r="AG88" s="477">
        <f t="shared" si="49"/>
        <v>0</v>
      </c>
      <c r="AH88" s="480"/>
      <c r="AI88" s="477">
        <f t="shared" si="50"/>
        <v>0</v>
      </c>
      <c r="AJ88" s="480"/>
      <c r="AK88" s="477">
        <f t="shared" ca="1" si="51"/>
        <v>35852.629999999997</v>
      </c>
      <c r="AL88" s="475">
        <f t="shared" ca="1" si="52"/>
        <v>0</v>
      </c>
      <c r="AM88" s="480"/>
      <c r="AN88" s="477">
        <f t="shared" si="53"/>
        <v>0</v>
      </c>
      <c r="AO88" s="480"/>
      <c r="AP88" s="477">
        <f t="shared" si="54"/>
        <v>0</v>
      </c>
      <c r="AQ88" s="480"/>
      <c r="AR88" s="477">
        <f t="shared" si="55"/>
        <v>0</v>
      </c>
      <c r="AS88" s="480"/>
      <c r="AT88" s="477">
        <f t="shared" ca="1" si="56"/>
        <v>0</v>
      </c>
      <c r="AU88" s="475">
        <f t="shared" ca="1" si="57"/>
        <v>0</v>
      </c>
      <c r="AV88" s="480"/>
      <c r="AW88" s="477">
        <f t="shared" si="58"/>
        <v>0</v>
      </c>
      <c r="AX88" s="480"/>
      <c r="AY88" s="477">
        <f t="shared" si="59"/>
        <v>0</v>
      </c>
      <c r="AZ88" s="480"/>
      <c r="BA88" s="477">
        <f t="shared" si="60"/>
        <v>0</v>
      </c>
      <c r="BB88" s="480"/>
      <c r="BC88" s="850">
        <f t="shared" ca="1" si="61"/>
        <v>286821.06</v>
      </c>
    </row>
    <row r="89" spans="1:55" ht="28">
      <c r="A89" s="837" t="str">
        <f t="shared" ca="1" si="33"/>
        <v/>
      </c>
      <c r="B89" s="440">
        <v>83</v>
      </c>
      <c r="C89" s="834" t="str">
        <f t="shared" ca="1" si="34"/>
        <v>3.</v>
      </c>
      <c r="D89" s="1757" t="str">
        <f ca="1">IFERROR(VLOOKUP(LEFT(E89,4),Nom_activ_2!D:G,4,0),"")</f>
        <v>3.1.  Asigurarea continuă cu medicamente TB</v>
      </c>
      <c r="E89" s="1757" t="str">
        <f t="shared" ca="1" si="35"/>
        <v>3.1.4. Asigurarea distribuirii medicamentelor TB în teritorii</v>
      </c>
      <c r="F89" s="1777" t="str">
        <f t="shared" ca="1" si="62"/>
        <v>Transport medicamente, Malul Drept, remunerare soferi</v>
      </c>
      <c r="G89" s="839">
        <f t="shared" ca="1" si="62"/>
        <v>0</v>
      </c>
      <c r="H89" s="840" t="str">
        <f t="shared" ca="1" si="62"/>
        <v>CNAM</v>
      </c>
      <c r="I89" s="443" t="s">
        <v>1848</v>
      </c>
      <c r="J89" s="838" t="str">
        <f t="shared" si="36"/>
        <v>Curierat_sputa_medic!$A:$j</v>
      </c>
      <c r="K89" s="475">
        <f t="shared" ca="1" si="37"/>
        <v>0</v>
      </c>
      <c r="L89" s="480"/>
      <c r="M89" s="477">
        <f t="shared" si="38"/>
        <v>0</v>
      </c>
      <c r="N89" s="480"/>
      <c r="O89" s="477">
        <f t="shared" si="39"/>
        <v>0</v>
      </c>
      <c r="P89" s="480"/>
      <c r="Q89" s="477">
        <f t="shared" si="40"/>
        <v>0</v>
      </c>
      <c r="R89" s="480"/>
      <c r="S89" s="477">
        <f t="shared" ca="1" si="41"/>
        <v>0</v>
      </c>
      <c r="T89" s="475">
        <f t="shared" ca="1" si="42"/>
        <v>0</v>
      </c>
      <c r="U89" s="480"/>
      <c r="V89" s="477">
        <f t="shared" si="43"/>
        <v>0</v>
      </c>
      <c r="W89" s="480"/>
      <c r="X89" s="477">
        <f t="shared" si="44"/>
        <v>0</v>
      </c>
      <c r="Y89" s="480"/>
      <c r="Z89" s="477">
        <f t="shared" si="45"/>
        <v>0</v>
      </c>
      <c r="AA89" s="480"/>
      <c r="AB89" s="477">
        <f t="shared" ca="1" si="46"/>
        <v>0</v>
      </c>
      <c r="AC89" s="475">
        <f t="shared" ca="1" si="47"/>
        <v>0</v>
      </c>
      <c r="AD89" s="480"/>
      <c r="AE89" s="477">
        <f t="shared" si="48"/>
        <v>0</v>
      </c>
      <c r="AF89" s="480"/>
      <c r="AG89" s="477">
        <f t="shared" si="49"/>
        <v>0</v>
      </c>
      <c r="AH89" s="480"/>
      <c r="AI89" s="477">
        <f t="shared" si="50"/>
        <v>0</v>
      </c>
      <c r="AJ89" s="480"/>
      <c r="AK89" s="477">
        <f t="shared" ca="1" si="51"/>
        <v>0</v>
      </c>
      <c r="AL89" s="475">
        <f t="shared" ca="1" si="52"/>
        <v>0</v>
      </c>
      <c r="AM89" s="480"/>
      <c r="AN89" s="477">
        <f t="shared" si="53"/>
        <v>0</v>
      </c>
      <c r="AO89" s="480"/>
      <c r="AP89" s="477">
        <f t="shared" si="54"/>
        <v>0</v>
      </c>
      <c r="AQ89" s="480"/>
      <c r="AR89" s="477">
        <f t="shared" si="55"/>
        <v>0</v>
      </c>
      <c r="AS89" s="480"/>
      <c r="AT89" s="477">
        <f t="shared" ca="1" si="56"/>
        <v>0</v>
      </c>
      <c r="AU89" s="475">
        <f t="shared" ca="1" si="57"/>
        <v>0</v>
      </c>
      <c r="AV89" s="480"/>
      <c r="AW89" s="477">
        <f t="shared" si="58"/>
        <v>0</v>
      </c>
      <c r="AX89" s="480"/>
      <c r="AY89" s="477">
        <f t="shared" si="59"/>
        <v>0</v>
      </c>
      <c r="AZ89" s="480"/>
      <c r="BA89" s="477">
        <f t="shared" si="60"/>
        <v>0</v>
      </c>
      <c r="BB89" s="480"/>
      <c r="BC89" s="850">
        <f t="shared" ca="1" si="61"/>
        <v>0</v>
      </c>
    </row>
    <row r="90" spans="1:55" ht="28">
      <c r="A90" s="837" t="str">
        <f t="shared" ca="1" si="33"/>
        <v/>
      </c>
      <c r="B90" s="440">
        <v>84</v>
      </c>
      <c r="C90" s="834" t="str">
        <f t="shared" ca="1" si="34"/>
        <v>3.</v>
      </c>
      <c r="D90" s="1757" t="str">
        <f ca="1">IFERROR(VLOOKUP(LEFT(E90,4),Nom_activ_2!D:G,4,0),"")</f>
        <v>3.1.  Asigurarea continuă cu medicamente TB</v>
      </c>
      <c r="E90" s="1757" t="str">
        <f t="shared" ca="1" si="35"/>
        <v>3.1.4. Asigurarea distribuirii medicamentelor TB în teritorii</v>
      </c>
      <c r="F90" s="1777" t="str">
        <f t="shared" ca="1" si="62"/>
        <v>Transport medicamente, Malul Drept, remunerare soferi</v>
      </c>
      <c r="G90" s="839">
        <f t="shared" ca="1" si="62"/>
        <v>0</v>
      </c>
      <c r="H90" s="840" t="str">
        <f t="shared" ca="1" si="62"/>
        <v>GFATM</v>
      </c>
      <c r="I90" s="443" t="s">
        <v>1848</v>
      </c>
      <c r="J90" s="838" t="str">
        <f t="shared" si="36"/>
        <v>Curierat_sputa_medic!$A:$j</v>
      </c>
      <c r="K90" s="475">
        <f t="shared" ca="1" si="37"/>
        <v>64907.894999999997</v>
      </c>
      <c r="L90" s="480"/>
      <c r="M90" s="477">
        <f t="shared" si="38"/>
        <v>0</v>
      </c>
      <c r="N90" s="480"/>
      <c r="O90" s="477">
        <f t="shared" si="39"/>
        <v>0</v>
      </c>
      <c r="P90" s="480"/>
      <c r="Q90" s="477">
        <f t="shared" si="40"/>
        <v>0</v>
      </c>
      <c r="R90" s="480"/>
      <c r="S90" s="477">
        <f t="shared" ca="1" si="41"/>
        <v>64907.894999999997</v>
      </c>
      <c r="T90" s="475">
        <f t="shared" ca="1" si="42"/>
        <v>64907.894999999997</v>
      </c>
      <c r="U90" s="480"/>
      <c r="V90" s="477">
        <f t="shared" si="43"/>
        <v>0</v>
      </c>
      <c r="W90" s="480"/>
      <c r="X90" s="477">
        <f t="shared" si="44"/>
        <v>0</v>
      </c>
      <c r="Y90" s="480"/>
      <c r="Z90" s="477">
        <f t="shared" si="45"/>
        <v>0</v>
      </c>
      <c r="AA90" s="480"/>
      <c r="AB90" s="477">
        <f t="shared" ca="1" si="46"/>
        <v>64907.894999999997</v>
      </c>
      <c r="AC90" s="475">
        <f t="shared" ca="1" si="47"/>
        <v>64907.894999999997</v>
      </c>
      <c r="AD90" s="480"/>
      <c r="AE90" s="477">
        <f t="shared" si="48"/>
        <v>0</v>
      </c>
      <c r="AF90" s="480"/>
      <c r="AG90" s="477">
        <f t="shared" si="49"/>
        <v>0</v>
      </c>
      <c r="AH90" s="480"/>
      <c r="AI90" s="477">
        <f t="shared" si="50"/>
        <v>0</v>
      </c>
      <c r="AJ90" s="480"/>
      <c r="AK90" s="477">
        <f t="shared" ca="1" si="51"/>
        <v>64907.894999999997</v>
      </c>
      <c r="AL90" s="475">
        <f t="shared" ca="1" si="52"/>
        <v>0</v>
      </c>
      <c r="AM90" s="480"/>
      <c r="AN90" s="477">
        <f t="shared" si="53"/>
        <v>0</v>
      </c>
      <c r="AO90" s="480"/>
      <c r="AP90" s="477">
        <f t="shared" si="54"/>
        <v>0</v>
      </c>
      <c r="AQ90" s="480"/>
      <c r="AR90" s="477">
        <f t="shared" si="55"/>
        <v>0</v>
      </c>
      <c r="AS90" s="480"/>
      <c r="AT90" s="477">
        <f t="shared" ca="1" si="56"/>
        <v>0</v>
      </c>
      <c r="AU90" s="475">
        <f t="shared" ca="1" si="57"/>
        <v>0</v>
      </c>
      <c r="AV90" s="480"/>
      <c r="AW90" s="477">
        <f t="shared" si="58"/>
        <v>0</v>
      </c>
      <c r="AX90" s="480"/>
      <c r="AY90" s="477">
        <f t="shared" si="59"/>
        <v>0</v>
      </c>
      <c r="AZ90" s="480"/>
      <c r="BA90" s="477">
        <f t="shared" si="60"/>
        <v>0</v>
      </c>
      <c r="BB90" s="480"/>
      <c r="BC90" s="850">
        <f t="shared" ca="1" si="61"/>
        <v>194723.685</v>
      </c>
    </row>
    <row r="91" spans="1:55" ht="28">
      <c r="A91" s="837" t="str">
        <f t="shared" ca="1" si="33"/>
        <v/>
      </c>
      <c r="B91" s="440">
        <v>85</v>
      </c>
      <c r="C91" s="834" t="str">
        <f t="shared" ca="1" si="34"/>
        <v>2.</v>
      </c>
      <c r="D91" s="1757" t="str">
        <f ca="1">IFERROR(VLOOKUP(LEFT(E91,4),Nom_activ_2!D:G,4,0),"")</f>
        <v>2.3.  Asigurarea monitorizării tratamentului pacienților cu TB și TB MDR cu supravegherea rezistenței M. tuberculosis către medicamente</v>
      </c>
      <c r="E91" s="1757" t="str">
        <f t="shared" ca="1" si="35"/>
        <v>2.3.3. Menținerea și consolidarea sistemului de curierat pentru transportarea sputei către LR</v>
      </c>
      <c r="F91" s="1777" t="str">
        <f t="shared" ca="1" si="62"/>
        <v>Transport  speciemene sputa, Malul Stang, combustibil si mentenanta</v>
      </c>
      <c r="G91" s="839">
        <f t="shared" ca="1" si="62"/>
        <v>0</v>
      </c>
      <c r="H91" s="840" t="str">
        <f t="shared" ca="1" si="62"/>
        <v>Buget local (Malul Stang)</v>
      </c>
      <c r="I91" s="443" t="s">
        <v>1848</v>
      </c>
      <c r="J91" s="838" t="str">
        <f t="shared" si="36"/>
        <v>Curierat_sputa_medic!$A:$j</v>
      </c>
      <c r="K91" s="475">
        <f t="shared" ca="1" si="37"/>
        <v>2157.9499999999998</v>
      </c>
      <c r="L91" s="480"/>
      <c r="M91" s="477">
        <f t="shared" si="38"/>
        <v>0</v>
      </c>
      <c r="N91" s="480"/>
      <c r="O91" s="477">
        <f t="shared" si="39"/>
        <v>0</v>
      </c>
      <c r="P91" s="480"/>
      <c r="Q91" s="477">
        <f t="shared" si="40"/>
        <v>0</v>
      </c>
      <c r="R91" s="480"/>
      <c r="S91" s="477">
        <f t="shared" ca="1" si="41"/>
        <v>2157.9499999999998</v>
      </c>
      <c r="T91" s="475">
        <f t="shared" ca="1" si="42"/>
        <v>10789.75</v>
      </c>
      <c r="U91" s="480"/>
      <c r="V91" s="477">
        <f t="shared" si="43"/>
        <v>0</v>
      </c>
      <c r="W91" s="480"/>
      <c r="X91" s="477">
        <f t="shared" si="44"/>
        <v>0</v>
      </c>
      <c r="Y91" s="480"/>
      <c r="Z91" s="477">
        <f t="shared" si="45"/>
        <v>0</v>
      </c>
      <c r="AA91" s="480"/>
      <c r="AB91" s="477">
        <f t="shared" ca="1" si="46"/>
        <v>10789.75</v>
      </c>
      <c r="AC91" s="475">
        <f t="shared" ca="1" si="47"/>
        <v>17263.61</v>
      </c>
      <c r="AD91" s="480"/>
      <c r="AE91" s="477">
        <f t="shared" si="48"/>
        <v>0</v>
      </c>
      <c r="AF91" s="480"/>
      <c r="AG91" s="477">
        <f t="shared" si="49"/>
        <v>0</v>
      </c>
      <c r="AH91" s="480"/>
      <c r="AI91" s="477">
        <f t="shared" si="50"/>
        <v>0</v>
      </c>
      <c r="AJ91" s="480"/>
      <c r="AK91" s="477">
        <f t="shared" ca="1" si="51"/>
        <v>17263.61</v>
      </c>
      <c r="AL91" s="475">
        <f t="shared" ca="1" si="52"/>
        <v>26500.129999999997</v>
      </c>
      <c r="AM91" s="480"/>
      <c r="AN91" s="477">
        <f t="shared" si="53"/>
        <v>0</v>
      </c>
      <c r="AO91" s="480"/>
      <c r="AP91" s="477">
        <f t="shared" si="54"/>
        <v>0</v>
      </c>
      <c r="AQ91" s="480"/>
      <c r="AR91" s="477">
        <f t="shared" si="55"/>
        <v>0</v>
      </c>
      <c r="AS91" s="480"/>
      <c r="AT91" s="477">
        <f t="shared" ca="1" si="56"/>
        <v>26500.129999999997</v>
      </c>
      <c r="AU91" s="475">
        <f t="shared" ca="1" si="57"/>
        <v>26500.129999999997</v>
      </c>
      <c r="AV91" s="480"/>
      <c r="AW91" s="477">
        <f t="shared" si="58"/>
        <v>0</v>
      </c>
      <c r="AX91" s="480"/>
      <c r="AY91" s="477">
        <f t="shared" si="59"/>
        <v>0</v>
      </c>
      <c r="AZ91" s="480"/>
      <c r="BA91" s="477">
        <f t="shared" si="60"/>
        <v>0</v>
      </c>
      <c r="BB91" s="480"/>
      <c r="BC91" s="850">
        <f t="shared" ca="1" si="61"/>
        <v>83211.570000000007</v>
      </c>
    </row>
    <row r="92" spans="1:55" ht="28">
      <c r="A92" s="837" t="str">
        <f t="shared" ca="1" si="33"/>
        <v/>
      </c>
      <c r="B92" s="440">
        <v>86</v>
      </c>
      <c r="C92" s="834" t="str">
        <f t="shared" ca="1" si="34"/>
        <v>2.</v>
      </c>
      <c r="D92" s="1757" t="str">
        <f ca="1">IFERROR(VLOOKUP(LEFT(E92,4),Nom_activ_2!D:G,4,0),"")</f>
        <v>2.3.  Asigurarea monitorizării tratamentului pacienților cu TB și TB MDR cu supravegherea rezistenței M. tuberculosis către medicamente</v>
      </c>
      <c r="E92" s="1757" t="str">
        <f t="shared" ca="1" si="35"/>
        <v>2.3.3. Menținerea și consolidarea sistemului de curierat pentru transportarea sputei către LR</v>
      </c>
      <c r="F92" s="1777" t="str">
        <f t="shared" ca="1" si="62"/>
        <v>Transport  speciemene sputa, Malul Stang, combustibil si mentenanta</v>
      </c>
      <c r="G92" s="839">
        <f t="shared" ca="1" si="62"/>
        <v>0</v>
      </c>
      <c r="H92" s="840" t="str">
        <f t="shared" ca="1" si="62"/>
        <v>GFATM</v>
      </c>
      <c r="I92" s="443" t="s">
        <v>1848</v>
      </c>
      <c r="J92" s="838" t="str">
        <f t="shared" si="36"/>
        <v>Curierat_sputa_medic!$A:$j</v>
      </c>
      <c r="K92" s="475">
        <f t="shared" ca="1" si="37"/>
        <v>24342.18</v>
      </c>
      <c r="L92" s="480"/>
      <c r="M92" s="477">
        <f t="shared" si="38"/>
        <v>0</v>
      </c>
      <c r="N92" s="480"/>
      <c r="O92" s="477">
        <f t="shared" si="39"/>
        <v>0</v>
      </c>
      <c r="P92" s="480"/>
      <c r="Q92" s="477">
        <f t="shared" si="40"/>
        <v>0</v>
      </c>
      <c r="R92" s="480"/>
      <c r="S92" s="477">
        <f t="shared" ca="1" si="41"/>
        <v>24342.18</v>
      </c>
      <c r="T92" s="475">
        <f t="shared" ca="1" si="42"/>
        <v>15710.369999999999</v>
      </c>
      <c r="U92" s="480"/>
      <c r="V92" s="477">
        <f t="shared" si="43"/>
        <v>0</v>
      </c>
      <c r="W92" s="480"/>
      <c r="X92" s="477">
        <f t="shared" si="44"/>
        <v>0</v>
      </c>
      <c r="Y92" s="480"/>
      <c r="Z92" s="477">
        <f t="shared" si="45"/>
        <v>0</v>
      </c>
      <c r="AA92" s="480"/>
      <c r="AB92" s="477">
        <f t="shared" ca="1" si="46"/>
        <v>15710.369999999999</v>
      </c>
      <c r="AC92" s="475">
        <f t="shared" ca="1" si="47"/>
        <v>9236.52</v>
      </c>
      <c r="AD92" s="480"/>
      <c r="AE92" s="477">
        <f t="shared" si="48"/>
        <v>0</v>
      </c>
      <c r="AF92" s="480"/>
      <c r="AG92" s="477">
        <f t="shared" si="49"/>
        <v>0</v>
      </c>
      <c r="AH92" s="480"/>
      <c r="AI92" s="477">
        <f t="shared" si="50"/>
        <v>0</v>
      </c>
      <c r="AJ92" s="480"/>
      <c r="AK92" s="477">
        <f t="shared" ca="1" si="51"/>
        <v>9236.52</v>
      </c>
      <c r="AL92" s="475">
        <f t="shared" ca="1" si="52"/>
        <v>0</v>
      </c>
      <c r="AM92" s="480"/>
      <c r="AN92" s="477">
        <f t="shared" si="53"/>
        <v>0</v>
      </c>
      <c r="AO92" s="480"/>
      <c r="AP92" s="477">
        <f t="shared" si="54"/>
        <v>0</v>
      </c>
      <c r="AQ92" s="480"/>
      <c r="AR92" s="477">
        <f t="shared" si="55"/>
        <v>0</v>
      </c>
      <c r="AS92" s="480"/>
      <c r="AT92" s="477">
        <f t="shared" ca="1" si="56"/>
        <v>0</v>
      </c>
      <c r="AU92" s="475">
        <f t="shared" ca="1" si="57"/>
        <v>0</v>
      </c>
      <c r="AV92" s="480"/>
      <c r="AW92" s="477">
        <f t="shared" si="58"/>
        <v>0</v>
      </c>
      <c r="AX92" s="480"/>
      <c r="AY92" s="477">
        <f t="shared" si="59"/>
        <v>0</v>
      </c>
      <c r="AZ92" s="480"/>
      <c r="BA92" s="477">
        <f t="shared" si="60"/>
        <v>0</v>
      </c>
      <c r="BB92" s="480"/>
      <c r="BC92" s="850">
        <f t="shared" ca="1" si="61"/>
        <v>49289.070000000007</v>
      </c>
    </row>
    <row r="93" spans="1:55" ht="28">
      <c r="A93" s="837" t="str">
        <f t="shared" ca="1" si="33"/>
        <v/>
      </c>
      <c r="B93" s="440">
        <v>87</v>
      </c>
      <c r="C93" s="834" t="str">
        <f t="shared" ca="1" si="34"/>
        <v>2.</v>
      </c>
      <c r="D93" s="1757" t="str">
        <f ca="1">IFERROR(VLOOKUP(LEFT(E93,4),Nom_activ_2!D:G,4,0),"")</f>
        <v>2.3.  Asigurarea monitorizării tratamentului pacienților cu TB și TB MDR cu supravegherea rezistenței M. tuberculosis către medicamente</v>
      </c>
      <c r="E93" s="1757" t="str">
        <f t="shared" ca="1" si="35"/>
        <v>2.3.3. Menținerea și consolidarea sistemului de curierat pentru transportarea sputei către LR</v>
      </c>
      <c r="F93" s="1777" t="str">
        <f t="shared" ca="1" si="62"/>
        <v>Transport  speciemene sputa, Malul Stang, remunerare soferi</v>
      </c>
      <c r="G93" s="839">
        <f t="shared" ca="1" si="62"/>
        <v>0</v>
      </c>
      <c r="H93" s="840" t="str">
        <f t="shared" ca="1" si="62"/>
        <v>Buget local (Malul Stang)</v>
      </c>
      <c r="I93" s="443" t="s">
        <v>1848</v>
      </c>
      <c r="J93" s="838" t="str">
        <f t="shared" si="36"/>
        <v>Curierat_sputa_medic!$A:$j</v>
      </c>
      <c r="K93" s="475">
        <f t="shared" ca="1" si="37"/>
        <v>0</v>
      </c>
      <c r="L93" s="480"/>
      <c r="M93" s="477">
        <f t="shared" si="38"/>
        <v>0</v>
      </c>
      <c r="N93" s="480"/>
      <c r="O93" s="477">
        <f t="shared" si="39"/>
        <v>0</v>
      </c>
      <c r="P93" s="480"/>
      <c r="Q93" s="477">
        <f t="shared" si="40"/>
        <v>0</v>
      </c>
      <c r="R93" s="480"/>
      <c r="S93" s="477">
        <f t="shared" ca="1" si="41"/>
        <v>0</v>
      </c>
      <c r="T93" s="475">
        <f t="shared" ca="1" si="42"/>
        <v>0</v>
      </c>
      <c r="U93" s="480"/>
      <c r="V93" s="477">
        <f t="shared" si="43"/>
        <v>0</v>
      </c>
      <c r="W93" s="480"/>
      <c r="X93" s="477">
        <f t="shared" si="44"/>
        <v>0</v>
      </c>
      <c r="Y93" s="480"/>
      <c r="Z93" s="477">
        <f t="shared" si="45"/>
        <v>0</v>
      </c>
      <c r="AA93" s="480"/>
      <c r="AB93" s="477">
        <f t="shared" ca="1" si="46"/>
        <v>0</v>
      </c>
      <c r="AC93" s="475">
        <f t="shared" ca="1" si="47"/>
        <v>0</v>
      </c>
      <c r="AD93" s="480"/>
      <c r="AE93" s="477">
        <f t="shared" si="48"/>
        <v>0</v>
      </c>
      <c r="AF93" s="480"/>
      <c r="AG93" s="477">
        <f t="shared" si="49"/>
        <v>0</v>
      </c>
      <c r="AH93" s="480"/>
      <c r="AI93" s="477">
        <f t="shared" si="50"/>
        <v>0</v>
      </c>
      <c r="AJ93" s="480"/>
      <c r="AK93" s="477">
        <f t="shared" ca="1" si="51"/>
        <v>0</v>
      </c>
      <c r="AL93" s="475">
        <f t="shared" ca="1" si="52"/>
        <v>0</v>
      </c>
      <c r="AM93" s="480"/>
      <c r="AN93" s="477">
        <f t="shared" si="53"/>
        <v>0</v>
      </c>
      <c r="AO93" s="480"/>
      <c r="AP93" s="477">
        <f t="shared" si="54"/>
        <v>0</v>
      </c>
      <c r="AQ93" s="480"/>
      <c r="AR93" s="477">
        <f t="shared" si="55"/>
        <v>0</v>
      </c>
      <c r="AS93" s="480"/>
      <c r="AT93" s="477">
        <f t="shared" ca="1" si="56"/>
        <v>0</v>
      </c>
      <c r="AU93" s="475">
        <f t="shared" ca="1" si="57"/>
        <v>0</v>
      </c>
      <c r="AV93" s="480"/>
      <c r="AW93" s="477">
        <f t="shared" si="58"/>
        <v>0</v>
      </c>
      <c r="AX93" s="480"/>
      <c r="AY93" s="477">
        <f t="shared" si="59"/>
        <v>0</v>
      </c>
      <c r="AZ93" s="480"/>
      <c r="BA93" s="477">
        <f t="shared" si="60"/>
        <v>0</v>
      </c>
      <c r="BB93" s="480"/>
      <c r="BC93" s="850">
        <f t="shared" ca="1" si="61"/>
        <v>0</v>
      </c>
    </row>
    <row r="94" spans="1:55" ht="28">
      <c r="A94" s="837" t="str">
        <f t="shared" ca="1" si="33"/>
        <v/>
      </c>
      <c r="B94" s="440">
        <v>88</v>
      </c>
      <c r="C94" s="834" t="str">
        <f t="shared" ca="1" si="34"/>
        <v>2.</v>
      </c>
      <c r="D94" s="1757" t="str">
        <f ca="1">IFERROR(VLOOKUP(LEFT(E94,4),Nom_activ_2!D:G,4,0),"")</f>
        <v>2.3.  Asigurarea monitorizării tratamentului pacienților cu TB și TB MDR cu supravegherea rezistenței M. tuberculosis către medicamente</v>
      </c>
      <c r="E94" s="1757" t="str">
        <f t="shared" ca="1" si="35"/>
        <v>2.3.3. Menținerea și consolidarea sistemului de curierat pentru transportarea sputei către LR</v>
      </c>
      <c r="F94" s="1777" t="str">
        <f t="shared" ca="1" si="62"/>
        <v>Transport  speciemene sputa, Malul Stang, remunerare soferi</v>
      </c>
      <c r="G94" s="839">
        <f t="shared" ca="1" si="62"/>
        <v>0</v>
      </c>
      <c r="H94" s="840" t="str">
        <f t="shared" ca="1" si="62"/>
        <v>GFATM</v>
      </c>
      <c r="I94" s="443" t="s">
        <v>1848</v>
      </c>
      <c r="J94" s="838" t="str">
        <f t="shared" si="36"/>
        <v>Curierat_sputa_medic!$A:$j</v>
      </c>
      <c r="K94" s="475">
        <f t="shared" ca="1" si="37"/>
        <v>8400</v>
      </c>
      <c r="L94" s="480"/>
      <c r="M94" s="477">
        <f t="shared" si="38"/>
        <v>0</v>
      </c>
      <c r="N94" s="480"/>
      <c r="O94" s="477">
        <f t="shared" si="39"/>
        <v>0</v>
      </c>
      <c r="P94" s="480"/>
      <c r="Q94" s="477">
        <f t="shared" si="40"/>
        <v>0</v>
      </c>
      <c r="R94" s="480"/>
      <c r="S94" s="477">
        <f t="shared" ca="1" si="41"/>
        <v>8400</v>
      </c>
      <c r="T94" s="475">
        <f t="shared" ca="1" si="42"/>
        <v>8400</v>
      </c>
      <c r="U94" s="480"/>
      <c r="V94" s="477">
        <f t="shared" si="43"/>
        <v>0</v>
      </c>
      <c r="W94" s="480"/>
      <c r="X94" s="477">
        <f t="shared" si="44"/>
        <v>0</v>
      </c>
      <c r="Y94" s="480"/>
      <c r="Z94" s="477">
        <f t="shared" si="45"/>
        <v>0</v>
      </c>
      <c r="AA94" s="480"/>
      <c r="AB94" s="477">
        <f t="shared" ca="1" si="46"/>
        <v>8400</v>
      </c>
      <c r="AC94" s="475">
        <f t="shared" ca="1" si="47"/>
        <v>8400</v>
      </c>
      <c r="AD94" s="480"/>
      <c r="AE94" s="477">
        <f t="shared" si="48"/>
        <v>0</v>
      </c>
      <c r="AF94" s="480"/>
      <c r="AG94" s="477">
        <f t="shared" si="49"/>
        <v>0</v>
      </c>
      <c r="AH94" s="480"/>
      <c r="AI94" s="477">
        <f t="shared" si="50"/>
        <v>0</v>
      </c>
      <c r="AJ94" s="480"/>
      <c r="AK94" s="477">
        <f t="shared" ca="1" si="51"/>
        <v>8400</v>
      </c>
      <c r="AL94" s="475">
        <f t="shared" ca="1" si="52"/>
        <v>0</v>
      </c>
      <c r="AM94" s="480"/>
      <c r="AN94" s="477">
        <f t="shared" si="53"/>
        <v>0</v>
      </c>
      <c r="AO94" s="480"/>
      <c r="AP94" s="477">
        <f t="shared" si="54"/>
        <v>0</v>
      </c>
      <c r="AQ94" s="480"/>
      <c r="AR94" s="477">
        <f t="shared" si="55"/>
        <v>0</v>
      </c>
      <c r="AS94" s="480"/>
      <c r="AT94" s="477">
        <f t="shared" ca="1" si="56"/>
        <v>0</v>
      </c>
      <c r="AU94" s="475">
        <f t="shared" ca="1" si="57"/>
        <v>0</v>
      </c>
      <c r="AV94" s="480"/>
      <c r="AW94" s="477">
        <f t="shared" si="58"/>
        <v>0</v>
      </c>
      <c r="AX94" s="480"/>
      <c r="AY94" s="477">
        <f t="shared" si="59"/>
        <v>0</v>
      </c>
      <c r="AZ94" s="480"/>
      <c r="BA94" s="477">
        <f t="shared" si="60"/>
        <v>0</v>
      </c>
      <c r="BB94" s="480"/>
      <c r="BC94" s="850">
        <f t="shared" ca="1" si="61"/>
        <v>25200</v>
      </c>
    </row>
    <row r="95" spans="1:55" ht="28">
      <c r="A95" s="837" t="str">
        <f t="shared" ca="1" si="33"/>
        <v/>
      </c>
      <c r="B95" s="440">
        <v>89</v>
      </c>
      <c r="C95" s="834" t="str">
        <f t="shared" ca="1" si="34"/>
        <v>3.</v>
      </c>
      <c r="D95" s="1757" t="str">
        <f ca="1">IFERROR(VLOOKUP(LEFT(E95,4),Nom_activ_2!D:G,4,0),"")</f>
        <v>3.1.  Asigurarea continuă cu medicamente TB</v>
      </c>
      <c r="E95" s="1757" t="str">
        <f t="shared" ca="1" si="35"/>
        <v>3.1.4. Asigurarea distribuirii medicamentelor TB în teritorii</v>
      </c>
      <c r="F95" s="1777" t="str">
        <f t="shared" ca="1" si="62"/>
        <v>Transport  medicamente, Malul Stang, combustibil si mentenanta</v>
      </c>
      <c r="G95" s="839">
        <f t="shared" ca="1" si="62"/>
        <v>0</v>
      </c>
      <c r="H95" s="840" t="str">
        <f t="shared" ca="1" si="62"/>
        <v>Buget local (Malul Stang)</v>
      </c>
      <c r="I95" s="443" t="s">
        <v>1848</v>
      </c>
      <c r="J95" s="838" t="str">
        <f t="shared" si="36"/>
        <v>Curierat_sputa_medic!$A:$j</v>
      </c>
      <c r="K95" s="475">
        <f t="shared" ca="1" si="37"/>
        <v>1480.02</v>
      </c>
      <c r="L95" s="480"/>
      <c r="M95" s="477">
        <f t="shared" si="38"/>
        <v>0</v>
      </c>
      <c r="N95" s="480"/>
      <c r="O95" s="477">
        <f t="shared" si="39"/>
        <v>0</v>
      </c>
      <c r="P95" s="480"/>
      <c r="Q95" s="477">
        <f t="shared" si="40"/>
        <v>0</v>
      </c>
      <c r="R95" s="480"/>
      <c r="S95" s="477">
        <f t="shared" ca="1" si="41"/>
        <v>1480.02</v>
      </c>
      <c r="T95" s="475">
        <f t="shared" ca="1" si="42"/>
        <v>7400.09</v>
      </c>
      <c r="U95" s="480"/>
      <c r="V95" s="477">
        <f t="shared" si="43"/>
        <v>0</v>
      </c>
      <c r="W95" s="480"/>
      <c r="X95" s="477">
        <f t="shared" si="44"/>
        <v>0</v>
      </c>
      <c r="Y95" s="480"/>
      <c r="Z95" s="477">
        <f t="shared" si="45"/>
        <v>0</v>
      </c>
      <c r="AA95" s="480"/>
      <c r="AB95" s="477">
        <f t="shared" ca="1" si="46"/>
        <v>7400.09</v>
      </c>
      <c r="AC95" s="475">
        <f t="shared" ca="1" si="47"/>
        <v>11840.15</v>
      </c>
      <c r="AD95" s="480"/>
      <c r="AE95" s="477">
        <f t="shared" si="48"/>
        <v>0</v>
      </c>
      <c r="AF95" s="480"/>
      <c r="AG95" s="477">
        <f t="shared" si="49"/>
        <v>0</v>
      </c>
      <c r="AH95" s="480"/>
      <c r="AI95" s="477">
        <f t="shared" si="50"/>
        <v>0</v>
      </c>
      <c r="AJ95" s="480"/>
      <c r="AK95" s="477">
        <f t="shared" ca="1" si="51"/>
        <v>11840.15</v>
      </c>
      <c r="AL95" s="475">
        <f t="shared" ca="1" si="52"/>
        <v>18174.97</v>
      </c>
      <c r="AM95" s="480"/>
      <c r="AN95" s="477">
        <f t="shared" si="53"/>
        <v>0</v>
      </c>
      <c r="AO95" s="480"/>
      <c r="AP95" s="477">
        <f t="shared" si="54"/>
        <v>0</v>
      </c>
      <c r="AQ95" s="480"/>
      <c r="AR95" s="477">
        <f t="shared" si="55"/>
        <v>0</v>
      </c>
      <c r="AS95" s="480"/>
      <c r="AT95" s="477">
        <f t="shared" ca="1" si="56"/>
        <v>18174.97</v>
      </c>
      <c r="AU95" s="475">
        <f t="shared" ca="1" si="57"/>
        <v>18174.97</v>
      </c>
      <c r="AV95" s="480"/>
      <c r="AW95" s="477">
        <f t="shared" si="58"/>
        <v>0</v>
      </c>
      <c r="AX95" s="480"/>
      <c r="AY95" s="477">
        <f t="shared" si="59"/>
        <v>0</v>
      </c>
      <c r="AZ95" s="480"/>
      <c r="BA95" s="477">
        <f t="shared" si="60"/>
        <v>0</v>
      </c>
      <c r="BB95" s="480"/>
      <c r="BC95" s="850">
        <f t="shared" ca="1" si="61"/>
        <v>57070.200000000004</v>
      </c>
    </row>
    <row r="96" spans="1:55" ht="28">
      <c r="A96" s="837" t="str">
        <f t="shared" ca="1" si="33"/>
        <v/>
      </c>
      <c r="B96" s="440">
        <v>90</v>
      </c>
      <c r="C96" s="834" t="str">
        <f t="shared" ca="1" si="34"/>
        <v>3.</v>
      </c>
      <c r="D96" s="1757" t="str">
        <f ca="1">IFERROR(VLOOKUP(LEFT(E96,4),Nom_activ_2!D:G,4,0),"")</f>
        <v>3.1.  Asigurarea continuă cu medicamente TB</v>
      </c>
      <c r="E96" s="1757" t="str">
        <f t="shared" ca="1" si="35"/>
        <v>3.1.4. Asigurarea distribuirii medicamentelor TB în teritorii</v>
      </c>
      <c r="F96" s="1777" t="str">
        <f t="shared" ca="1" si="62"/>
        <v>Transport  medicamente, Malul Stang, combustibil si mentenanta</v>
      </c>
      <c r="G96" s="839">
        <f t="shared" ca="1" si="62"/>
        <v>0</v>
      </c>
      <c r="H96" s="840" t="str">
        <f t="shared" ca="1" si="62"/>
        <v>GFATM</v>
      </c>
      <c r="I96" s="443" t="s">
        <v>1848</v>
      </c>
      <c r="J96" s="838" t="str">
        <f t="shared" si="36"/>
        <v>Curierat_sputa_medic!$A:$j</v>
      </c>
      <c r="K96" s="475">
        <f t="shared" ca="1" si="37"/>
        <v>16694.95</v>
      </c>
      <c r="L96" s="480"/>
      <c r="M96" s="477">
        <f t="shared" si="38"/>
        <v>0</v>
      </c>
      <c r="N96" s="480"/>
      <c r="O96" s="477">
        <f t="shared" si="39"/>
        <v>0</v>
      </c>
      <c r="P96" s="480"/>
      <c r="Q96" s="477">
        <f t="shared" si="40"/>
        <v>0</v>
      </c>
      <c r="R96" s="480"/>
      <c r="S96" s="477">
        <f t="shared" ca="1" si="41"/>
        <v>16694.95</v>
      </c>
      <c r="T96" s="475">
        <f t="shared" ca="1" si="42"/>
        <v>10774.87</v>
      </c>
      <c r="U96" s="480"/>
      <c r="V96" s="477">
        <f t="shared" si="43"/>
        <v>0</v>
      </c>
      <c r="W96" s="480"/>
      <c r="X96" s="477">
        <f t="shared" si="44"/>
        <v>0</v>
      </c>
      <c r="Y96" s="480"/>
      <c r="Z96" s="477">
        <f t="shared" si="45"/>
        <v>0</v>
      </c>
      <c r="AA96" s="480"/>
      <c r="AB96" s="477">
        <f t="shared" ca="1" si="46"/>
        <v>10774.87</v>
      </c>
      <c r="AC96" s="475">
        <f t="shared" ca="1" si="47"/>
        <v>6334.82</v>
      </c>
      <c r="AD96" s="480"/>
      <c r="AE96" s="477">
        <f t="shared" si="48"/>
        <v>0</v>
      </c>
      <c r="AF96" s="480"/>
      <c r="AG96" s="477">
        <f t="shared" si="49"/>
        <v>0</v>
      </c>
      <c r="AH96" s="480"/>
      <c r="AI96" s="477">
        <f t="shared" si="50"/>
        <v>0</v>
      </c>
      <c r="AJ96" s="480"/>
      <c r="AK96" s="477">
        <f t="shared" ca="1" si="51"/>
        <v>6334.82</v>
      </c>
      <c r="AL96" s="475">
        <f t="shared" ca="1" si="52"/>
        <v>0</v>
      </c>
      <c r="AM96" s="480"/>
      <c r="AN96" s="477">
        <f t="shared" si="53"/>
        <v>0</v>
      </c>
      <c r="AO96" s="480"/>
      <c r="AP96" s="477">
        <f t="shared" si="54"/>
        <v>0</v>
      </c>
      <c r="AQ96" s="480"/>
      <c r="AR96" s="477">
        <f t="shared" si="55"/>
        <v>0</v>
      </c>
      <c r="AS96" s="480"/>
      <c r="AT96" s="477">
        <f t="shared" ca="1" si="56"/>
        <v>0</v>
      </c>
      <c r="AU96" s="475">
        <f t="shared" ca="1" si="57"/>
        <v>0</v>
      </c>
      <c r="AV96" s="480"/>
      <c r="AW96" s="477">
        <f t="shared" si="58"/>
        <v>0</v>
      </c>
      <c r="AX96" s="480"/>
      <c r="AY96" s="477">
        <f t="shared" si="59"/>
        <v>0</v>
      </c>
      <c r="AZ96" s="480"/>
      <c r="BA96" s="477">
        <f t="shared" si="60"/>
        <v>0</v>
      </c>
      <c r="BB96" s="480"/>
      <c r="BC96" s="850">
        <f t="shared" ca="1" si="61"/>
        <v>33804.639999999999</v>
      </c>
    </row>
    <row r="97" spans="1:55" ht="28">
      <c r="A97" s="837" t="str">
        <f t="shared" ca="1" si="33"/>
        <v/>
      </c>
      <c r="B97" s="440">
        <v>91</v>
      </c>
      <c r="C97" s="834" t="str">
        <f t="shared" ca="1" si="34"/>
        <v>3.</v>
      </c>
      <c r="D97" s="1757" t="str">
        <f ca="1">IFERROR(VLOOKUP(LEFT(E97,4),Nom_activ_2!D:G,4,0),"")</f>
        <v>3.1.  Asigurarea continuă cu medicamente TB</v>
      </c>
      <c r="E97" s="1757" t="str">
        <f t="shared" ca="1" si="35"/>
        <v>3.1.4. Asigurarea distribuirii medicamentelor TB în teritorii</v>
      </c>
      <c r="F97" s="1777" t="str">
        <f t="shared" ca="1" si="62"/>
        <v>Transport  medicamente, Malul Stang, remunerare soferi</v>
      </c>
      <c r="G97" s="839">
        <f t="shared" ca="1" si="62"/>
        <v>0</v>
      </c>
      <c r="H97" s="840" t="str">
        <f t="shared" ca="1" si="62"/>
        <v>Buget local (Malul Stang)</v>
      </c>
      <c r="I97" s="443" t="s">
        <v>1848</v>
      </c>
      <c r="J97" s="838" t="str">
        <f t="shared" si="36"/>
        <v>Curierat_sputa_medic!$A:$j</v>
      </c>
      <c r="K97" s="475">
        <f t="shared" ca="1" si="37"/>
        <v>0</v>
      </c>
      <c r="L97" s="480"/>
      <c r="M97" s="477">
        <f t="shared" si="38"/>
        <v>0</v>
      </c>
      <c r="N97" s="480"/>
      <c r="O97" s="477">
        <f t="shared" si="39"/>
        <v>0</v>
      </c>
      <c r="P97" s="480"/>
      <c r="Q97" s="477">
        <f t="shared" si="40"/>
        <v>0</v>
      </c>
      <c r="R97" s="480"/>
      <c r="S97" s="477">
        <f t="shared" ca="1" si="41"/>
        <v>0</v>
      </c>
      <c r="T97" s="475">
        <f t="shared" ca="1" si="42"/>
        <v>0</v>
      </c>
      <c r="U97" s="480"/>
      <c r="V97" s="477">
        <f t="shared" si="43"/>
        <v>0</v>
      </c>
      <c r="W97" s="480"/>
      <c r="X97" s="477">
        <f t="shared" si="44"/>
        <v>0</v>
      </c>
      <c r="Y97" s="480"/>
      <c r="Z97" s="477">
        <f t="shared" si="45"/>
        <v>0</v>
      </c>
      <c r="AA97" s="480"/>
      <c r="AB97" s="477">
        <f t="shared" ca="1" si="46"/>
        <v>0</v>
      </c>
      <c r="AC97" s="475">
        <f t="shared" ca="1" si="47"/>
        <v>0</v>
      </c>
      <c r="AD97" s="480"/>
      <c r="AE97" s="477">
        <f t="shared" si="48"/>
        <v>0</v>
      </c>
      <c r="AF97" s="480"/>
      <c r="AG97" s="477">
        <f t="shared" si="49"/>
        <v>0</v>
      </c>
      <c r="AH97" s="480"/>
      <c r="AI97" s="477">
        <f t="shared" si="50"/>
        <v>0</v>
      </c>
      <c r="AJ97" s="480"/>
      <c r="AK97" s="477">
        <f t="shared" ca="1" si="51"/>
        <v>0</v>
      </c>
      <c r="AL97" s="475">
        <f t="shared" ca="1" si="52"/>
        <v>0</v>
      </c>
      <c r="AM97" s="480"/>
      <c r="AN97" s="477">
        <f t="shared" si="53"/>
        <v>0</v>
      </c>
      <c r="AO97" s="480"/>
      <c r="AP97" s="477">
        <f t="shared" si="54"/>
        <v>0</v>
      </c>
      <c r="AQ97" s="480"/>
      <c r="AR97" s="477">
        <f t="shared" si="55"/>
        <v>0</v>
      </c>
      <c r="AS97" s="480"/>
      <c r="AT97" s="477">
        <f t="shared" ca="1" si="56"/>
        <v>0</v>
      </c>
      <c r="AU97" s="475">
        <f t="shared" ca="1" si="57"/>
        <v>0</v>
      </c>
      <c r="AV97" s="480"/>
      <c r="AW97" s="477">
        <f t="shared" si="58"/>
        <v>0</v>
      </c>
      <c r="AX97" s="480"/>
      <c r="AY97" s="477">
        <f t="shared" si="59"/>
        <v>0</v>
      </c>
      <c r="AZ97" s="480"/>
      <c r="BA97" s="477">
        <f t="shared" si="60"/>
        <v>0</v>
      </c>
      <c r="BB97" s="480"/>
      <c r="BC97" s="850">
        <f t="shared" ca="1" si="61"/>
        <v>0</v>
      </c>
    </row>
    <row r="98" spans="1:55" ht="28">
      <c r="A98" s="837" t="str">
        <f t="shared" ca="1" si="33"/>
        <v/>
      </c>
      <c r="B98" s="440">
        <v>92</v>
      </c>
      <c r="C98" s="834" t="str">
        <f t="shared" ca="1" si="34"/>
        <v>3.</v>
      </c>
      <c r="D98" s="1757" t="str">
        <f ca="1">IFERROR(VLOOKUP(LEFT(E98,4),Nom_activ_2!D:G,4,0),"")</f>
        <v>3.1.  Asigurarea continuă cu medicamente TB</v>
      </c>
      <c r="E98" s="1757" t="str">
        <f t="shared" ca="1" si="35"/>
        <v>3.1.4. Asigurarea distribuirii medicamentelor TB în teritorii</v>
      </c>
      <c r="F98" s="1777" t="str">
        <f t="shared" ca="1" si="62"/>
        <v>Transport  medicamente, Malul Stang, remunerare soferi</v>
      </c>
      <c r="G98" s="839">
        <f t="shared" ca="1" si="62"/>
        <v>0</v>
      </c>
      <c r="H98" s="840" t="str">
        <f t="shared" ca="1" si="62"/>
        <v>GFATM</v>
      </c>
      <c r="I98" s="443" t="s">
        <v>1848</v>
      </c>
      <c r="J98" s="838" t="str">
        <f t="shared" si="36"/>
        <v>Curierat_sputa_medic!$A:$j</v>
      </c>
      <c r="K98" s="475">
        <f t="shared" ca="1" si="37"/>
        <v>8400</v>
      </c>
      <c r="L98" s="480"/>
      <c r="M98" s="477">
        <f t="shared" si="38"/>
        <v>0</v>
      </c>
      <c r="N98" s="480"/>
      <c r="O98" s="477">
        <f t="shared" si="39"/>
        <v>0</v>
      </c>
      <c r="P98" s="480"/>
      <c r="Q98" s="477">
        <f t="shared" si="40"/>
        <v>0</v>
      </c>
      <c r="R98" s="480"/>
      <c r="S98" s="477">
        <f t="shared" ca="1" si="41"/>
        <v>8400</v>
      </c>
      <c r="T98" s="475">
        <f t="shared" ca="1" si="42"/>
        <v>8400</v>
      </c>
      <c r="U98" s="480"/>
      <c r="V98" s="477">
        <f t="shared" si="43"/>
        <v>0</v>
      </c>
      <c r="W98" s="480"/>
      <c r="X98" s="477">
        <f t="shared" si="44"/>
        <v>0</v>
      </c>
      <c r="Y98" s="480"/>
      <c r="Z98" s="477">
        <f t="shared" si="45"/>
        <v>0</v>
      </c>
      <c r="AA98" s="480"/>
      <c r="AB98" s="477">
        <f t="shared" ca="1" si="46"/>
        <v>8400</v>
      </c>
      <c r="AC98" s="475">
        <f t="shared" ca="1" si="47"/>
        <v>8400</v>
      </c>
      <c r="AD98" s="480"/>
      <c r="AE98" s="477">
        <f t="shared" si="48"/>
        <v>0</v>
      </c>
      <c r="AF98" s="480"/>
      <c r="AG98" s="477">
        <f t="shared" si="49"/>
        <v>0</v>
      </c>
      <c r="AH98" s="480"/>
      <c r="AI98" s="477">
        <f t="shared" si="50"/>
        <v>0</v>
      </c>
      <c r="AJ98" s="480"/>
      <c r="AK98" s="477">
        <f t="shared" ca="1" si="51"/>
        <v>8400</v>
      </c>
      <c r="AL98" s="475">
        <f t="shared" ca="1" si="52"/>
        <v>0</v>
      </c>
      <c r="AM98" s="480"/>
      <c r="AN98" s="477">
        <f t="shared" si="53"/>
        <v>0</v>
      </c>
      <c r="AO98" s="480"/>
      <c r="AP98" s="477">
        <f t="shared" si="54"/>
        <v>0</v>
      </c>
      <c r="AQ98" s="480"/>
      <c r="AR98" s="477">
        <f t="shared" si="55"/>
        <v>0</v>
      </c>
      <c r="AS98" s="480"/>
      <c r="AT98" s="477">
        <f t="shared" ca="1" si="56"/>
        <v>0</v>
      </c>
      <c r="AU98" s="475">
        <f t="shared" ca="1" si="57"/>
        <v>0</v>
      </c>
      <c r="AV98" s="480"/>
      <c r="AW98" s="477">
        <f t="shared" si="58"/>
        <v>0</v>
      </c>
      <c r="AX98" s="480"/>
      <c r="AY98" s="477">
        <f t="shared" si="59"/>
        <v>0</v>
      </c>
      <c r="AZ98" s="480"/>
      <c r="BA98" s="477">
        <f t="shared" si="60"/>
        <v>0</v>
      </c>
      <c r="BB98" s="480"/>
      <c r="BC98" s="850">
        <f t="shared" ca="1" si="61"/>
        <v>25200</v>
      </c>
    </row>
    <row r="99" spans="1:55" ht="42">
      <c r="A99" s="837" t="str">
        <f t="shared" ca="1" si="33"/>
        <v/>
      </c>
      <c r="B99" s="440">
        <v>93</v>
      </c>
      <c r="C99" s="834" t="str">
        <f t="shared" ca="1" si="34"/>
        <v>2.</v>
      </c>
      <c r="D99" s="1757" t="str">
        <f ca="1">IFERROR(VLOOKUP(LEFT(E99,4),Nom_activ_2!D:G,4,0),"")</f>
        <v>2.3.  Asigurarea monitorizării tratamentului pacienților cu TB și TB MDR cu supravegherea rezistenței M. tuberculosis către medicamente</v>
      </c>
      <c r="E99" s="1757" t="str">
        <f t="shared" ca="1" si="35"/>
        <v>2.3.2. Implementarea metodelor fenotipice și genotipice de testare rezistenței a M.tuberculosis către preparatele noi (BQ, DLD), inclusiv prin  secvențiere a genomului micobacterian</v>
      </c>
      <c r="F99" s="1777" t="str">
        <f t="shared" ca="1" si="62"/>
        <v>Procurarea secventiatorului, instalare, instruire</v>
      </c>
      <c r="G99" s="839">
        <f t="shared" ca="1" si="62"/>
        <v>0</v>
      </c>
      <c r="H99" s="840" t="str">
        <f t="shared" ca="1" si="62"/>
        <v>GFATM</v>
      </c>
      <c r="I99" s="443" t="s">
        <v>2378</v>
      </c>
      <c r="J99" s="838" t="str">
        <f t="shared" si="36"/>
        <v>Estimare_laborator!$A:$j</v>
      </c>
      <c r="K99" s="475">
        <f t="shared" ca="1" si="37"/>
        <v>0</v>
      </c>
      <c r="L99" s="480"/>
      <c r="M99" s="477">
        <f t="shared" si="38"/>
        <v>0</v>
      </c>
      <c r="N99" s="480"/>
      <c r="O99" s="477">
        <f t="shared" si="39"/>
        <v>0</v>
      </c>
      <c r="P99" s="480"/>
      <c r="Q99" s="477">
        <f t="shared" si="40"/>
        <v>0</v>
      </c>
      <c r="R99" s="480"/>
      <c r="S99" s="477">
        <f t="shared" ca="1" si="41"/>
        <v>0</v>
      </c>
      <c r="T99" s="475">
        <f t="shared" ca="1" si="42"/>
        <v>0</v>
      </c>
      <c r="U99" s="480"/>
      <c r="V99" s="477">
        <f t="shared" si="43"/>
        <v>0</v>
      </c>
      <c r="W99" s="480"/>
      <c r="X99" s="477">
        <f t="shared" si="44"/>
        <v>0</v>
      </c>
      <c r="Y99" s="480"/>
      <c r="Z99" s="477">
        <f t="shared" si="45"/>
        <v>0</v>
      </c>
      <c r="AA99" s="480"/>
      <c r="AB99" s="477">
        <f t="shared" ca="1" si="46"/>
        <v>0</v>
      </c>
      <c r="AC99" s="475">
        <f t="shared" ca="1" si="47"/>
        <v>0</v>
      </c>
      <c r="AD99" s="480"/>
      <c r="AE99" s="477">
        <f t="shared" si="48"/>
        <v>0</v>
      </c>
      <c r="AF99" s="480"/>
      <c r="AG99" s="477">
        <f t="shared" si="49"/>
        <v>0</v>
      </c>
      <c r="AH99" s="480"/>
      <c r="AI99" s="477">
        <f t="shared" si="50"/>
        <v>0</v>
      </c>
      <c r="AJ99" s="480"/>
      <c r="AK99" s="477">
        <f t="shared" ca="1" si="51"/>
        <v>0</v>
      </c>
      <c r="AL99" s="475">
        <f t="shared" ca="1" si="52"/>
        <v>0</v>
      </c>
      <c r="AM99" s="480"/>
      <c r="AN99" s="477">
        <f t="shared" si="53"/>
        <v>0</v>
      </c>
      <c r="AO99" s="480"/>
      <c r="AP99" s="477">
        <f t="shared" si="54"/>
        <v>0</v>
      </c>
      <c r="AQ99" s="480"/>
      <c r="AR99" s="477">
        <f t="shared" si="55"/>
        <v>0</v>
      </c>
      <c r="AS99" s="480"/>
      <c r="AT99" s="477">
        <f t="shared" ca="1" si="56"/>
        <v>0</v>
      </c>
      <c r="AU99" s="475">
        <f t="shared" ca="1" si="57"/>
        <v>0</v>
      </c>
      <c r="AV99" s="480"/>
      <c r="AW99" s="477">
        <f t="shared" si="58"/>
        <v>0</v>
      </c>
      <c r="AX99" s="480"/>
      <c r="AY99" s="477">
        <f t="shared" si="59"/>
        <v>0</v>
      </c>
      <c r="AZ99" s="480"/>
      <c r="BA99" s="477">
        <f t="shared" si="60"/>
        <v>0</v>
      </c>
      <c r="BB99" s="480"/>
      <c r="BC99" s="850">
        <f t="shared" ca="1" si="61"/>
        <v>0</v>
      </c>
    </row>
    <row r="100" spans="1:55" ht="42">
      <c r="A100" s="837" t="str">
        <f t="shared" ca="1" si="33"/>
        <v/>
      </c>
      <c r="B100" s="440">
        <v>94</v>
      </c>
      <c r="C100" s="834" t="str">
        <f t="shared" ca="1" si="34"/>
        <v>3.</v>
      </c>
      <c r="D100" s="1757" t="str">
        <f ca="1">IFERROR(VLOOKUP(LEFT(E100,4),Nom_activ_2!D:G,4,0),"")</f>
        <v>3.1.  Asigurarea continuă cu medicamente TB</v>
      </c>
      <c r="E100" s="1757" t="str">
        <f t="shared" ca="1" si="35"/>
        <v>3.1.5. Trecerea la noile regimuri de tratament per orale scurte modificate (mSTR)  cu asigurarea condițiilor pentru cercetare operațională urmată de o tranziție la practica de rutină</v>
      </c>
      <c r="F100" s="1777" t="str">
        <f t="shared" ca="1" si="62"/>
        <v>3.1.5.1. Curs de instriuire trecerea la scheme scurte pentru medici ftitiopneumologie din teritoriu</v>
      </c>
      <c r="G100" s="839" t="str">
        <f t="shared" ca="1" si="62"/>
        <v>PAS</v>
      </c>
      <c r="H100" s="840" t="str">
        <f t="shared" ca="1" si="62"/>
        <v>GFATM</v>
      </c>
      <c r="I100" s="443" t="s">
        <v>3147</v>
      </c>
      <c r="J100" s="838" t="str">
        <f t="shared" si="36"/>
        <v>Tratament_Scheme_scurte!$A:$j</v>
      </c>
      <c r="K100" s="475">
        <f t="shared" ca="1" si="37"/>
        <v>0</v>
      </c>
      <c r="L100" s="480"/>
      <c r="M100" s="477">
        <f t="shared" si="38"/>
        <v>0</v>
      </c>
      <c r="N100" s="480"/>
      <c r="O100" s="477">
        <f t="shared" si="39"/>
        <v>0</v>
      </c>
      <c r="P100" s="480"/>
      <c r="Q100" s="477">
        <f t="shared" si="40"/>
        <v>0</v>
      </c>
      <c r="R100" s="480"/>
      <c r="S100" s="477">
        <f t="shared" ca="1" si="41"/>
        <v>0</v>
      </c>
      <c r="T100" s="475">
        <f t="shared" ca="1" si="42"/>
        <v>0</v>
      </c>
      <c r="U100" s="480"/>
      <c r="V100" s="477">
        <f t="shared" si="43"/>
        <v>0</v>
      </c>
      <c r="W100" s="480"/>
      <c r="X100" s="477">
        <f t="shared" si="44"/>
        <v>0</v>
      </c>
      <c r="Y100" s="480"/>
      <c r="Z100" s="477">
        <f t="shared" si="45"/>
        <v>0</v>
      </c>
      <c r="AA100" s="480"/>
      <c r="AB100" s="477">
        <f t="shared" ca="1" si="46"/>
        <v>0</v>
      </c>
      <c r="AC100" s="475">
        <f t="shared" ca="1" si="47"/>
        <v>376212</v>
      </c>
      <c r="AD100" s="480"/>
      <c r="AE100" s="477">
        <f t="shared" si="48"/>
        <v>0</v>
      </c>
      <c r="AF100" s="480"/>
      <c r="AG100" s="477">
        <f t="shared" si="49"/>
        <v>0</v>
      </c>
      <c r="AH100" s="480"/>
      <c r="AI100" s="477">
        <f t="shared" si="50"/>
        <v>0</v>
      </c>
      <c r="AJ100" s="480"/>
      <c r="AK100" s="477">
        <f t="shared" ca="1" si="51"/>
        <v>376212</v>
      </c>
      <c r="AL100" s="475">
        <f t="shared" ca="1" si="52"/>
        <v>0</v>
      </c>
      <c r="AM100" s="480"/>
      <c r="AN100" s="477">
        <f t="shared" si="53"/>
        <v>0</v>
      </c>
      <c r="AO100" s="480"/>
      <c r="AP100" s="477">
        <f t="shared" si="54"/>
        <v>0</v>
      </c>
      <c r="AQ100" s="480"/>
      <c r="AR100" s="477">
        <f t="shared" si="55"/>
        <v>0</v>
      </c>
      <c r="AS100" s="480"/>
      <c r="AT100" s="477">
        <f t="shared" ca="1" si="56"/>
        <v>0</v>
      </c>
      <c r="AU100" s="475">
        <f t="shared" ca="1" si="57"/>
        <v>0</v>
      </c>
      <c r="AV100" s="480"/>
      <c r="AW100" s="477">
        <f t="shared" si="58"/>
        <v>0</v>
      </c>
      <c r="AX100" s="480"/>
      <c r="AY100" s="477">
        <f t="shared" si="59"/>
        <v>0</v>
      </c>
      <c r="AZ100" s="480"/>
      <c r="BA100" s="477">
        <f t="shared" si="60"/>
        <v>0</v>
      </c>
      <c r="BB100" s="480"/>
      <c r="BC100" s="850">
        <f t="shared" ca="1" si="61"/>
        <v>376212</v>
      </c>
    </row>
    <row r="101" spans="1:55" ht="42">
      <c r="A101" s="837" t="str">
        <f t="shared" ca="1" si="33"/>
        <v/>
      </c>
      <c r="B101" s="440">
        <v>95</v>
      </c>
      <c r="C101" s="834" t="str">
        <f t="shared" ca="1" si="34"/>
        <v>3.</v>
      </c>
      <c r="D101" s="1757" t="str">
        <f ca="1">IFERROR(VLOOKUP(LEFT(E101,4),Nom_activ_2!D:G,4,0),"")</f>
        <v>3.1.  Asigurarea continuă cu medicamente TB</v>
      </c>
      <c r="E101" s="1757" t="str">
        <f t="shared" ca="1" si="35"/>
        <v>3.1.5. Trecerea la noile regimuri de tratament per orale scurte modificate (mSTR)  cu asigurarea condițiilor pentru cercetare operațională urmată de o tranziție la practica de rutină</v>
      </c>
      <c r="F101" s="1777" t="str">
        <f t="shared" ca="1" si="62"/>
        <v>3.1.5.1. Curs de instriuire trecerea la scheme scurte pentru medici ftitiopneumologie din teritoriu</v>
      </c>
      <c r="G101" s="839">
        <f t="shared" ca="1" si="62"/>
        <v>0</v>
      </c>
      <c r="H101" s="1806" t="str">
        <f t="shared" ca="1" si="62"/>
        <v>CNAM</v>
      </c>
      <c r="I101" s="443" t="s">
        <v>3147</v>
      </c>
      <c r="J101" s="838" t="str">
        <f t="shared" si="36"/>
        <v>Tratament_Scheme_scurte!$A:$j</v>
      </c>
      <c r="K101" s="475">
        <f t="shared" ca="1" si="37"/>
        <v>0</v>
      </c>
      <c r="L101" s="480"/>
      <c r="M101" s="477">
        <f t="shared" si="38"/>
        <v>0</v>
      </c>
      <c r="N101" s="480"/>
      <c r="O101" s="477">
        <f t="shared" si="39"/>
        <v>0</v>
      </c>
      <c r="P101" s="480"/>
      <c r="Q101" s="477">
        <f t="shared" si="40"/>
        <v>0</v>
      </c>
      <c r="R101" s="480"/>
      <c r="S101" s="477">
        <f t="shared" ca="1" si="41"/>
        <v>0</v>
      </c>
      <c r="T101" s="475">
        <f t="shared" ca="1" si="42"/>
        <v>0</v>
      </c>
      <c r="U101" s="480"/>
      <c r="V101" s="477">
        <f t="shared" si="43"/>
        <v>0</v>
      </c>
      <c r="W101" s="480"/>
      <c r="X101" s="477">
        <f t="shared" si="44"/>
        <v>0</v>
      </c>
      <c r="Y101" s="480"/>
      <c r="Z101" s="477">
        <f t="shared" si="45"/>
        <v>0</v>
      </c>
      <c r="AA101" s="480"/>
      <c r="AB101" s="477">
        <f t="shared" ca="1" si="46"/>
        <v>0</v>
      </c>
      <c r="AC101" s="475">
        <f t="shared" ca="1" si="47"/>
        <v>0</v>
      </c>
      <c r="AD101" s="480"/>
      <c r="AE101" s="477">
        <f t="shared" si="48"/>
        <v>0</v>
      </c>
      <c r="AF101" s="480"/>
      <c r="AG101" s="477">
        <f t="shared" si="49"/>
        <v>0</v>
      </c>
      <c r="AH101" s="480"/>
      <c r="AI101" s="477">
        <f t="shared" si="50"/>
        <v>0</v>
      </c>
      <c r="AJ101" s="480"/>
      <c r="AK101" s="477">
        <f t="shared" ca="1" si="51"/>
        <v>0</v>
      </c>
      <c r="AL101" s="475">
        <f t="shared" ca="1" si="52"/>
        <v>0</v>
      </c>
      <c r="AM101" s="480"/>
      <c r="AN101" s="477">
        <f t="shared" si="53"/>
        <v>0</v>
      </c>
      <c r="AO101" s="480"/>
      <c r="AP101" s="477">
        <f t="shared" si="54"/>
        <v>0</v>
      </c>
      <c r="AQ101" s="480"/>
      <c r="AR101" s="477">
        <f t="shared" si="55"/>
        <v>0</v>
      </c>
      <c r="AS101" s="480"/>
      <c r="AT101" s="477">
        <f t="shared" ca="1" si="56"/>
        <v>0</v>
      </c>
      <c r="AU101" s="475">
        <f t="shared" ca="1" si="57"/>
        <v>413833.19999999995</v>
      </c>
      <c r="AV101" s="480"/>
      <c r="AW101" s="477">
        <f t="shared" si="58"/>
        <v>0</v>
      </c>
      <c r="AX101" s="480"/>
      <c r="AY101" s="477">
        <f t="shared" si="59"/>
        <v>0</v>
      </c>
      <c r="AZ101" s="480"/>
      <c r="BA101" s="477">
        <f t="shared" si="60"/>
        <v>0</v>
      </c>
      <c r="BB101" s="480"/>
      <c r="BC101" s="850">
        <f t="shared" ca="1" si="61"/>
        <v>413833.19999999995</v>
      </c>
    </row>
    <row r="102" spans="1:55" ht="56">
      <c r="A102" s="837" t="str">
        <f t="shared" ca="1" si="33"/>
        <v/>
      </c>
      <c r="B102" s="440">
        <v>96</v>
      </c>
      <c r="C102" s="834" t="str">
        <f t="shared" ca="1" si="34"/>
        <v>2.</v>
      </c>
      <c r="D102" s="1757" t="str">
        <f ca="1">IFERROR(VLOOKUP(LEFT(E102,4),Nom_activ_2!D:G,4,0),"")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102" s="1757" t="str">
        <f t="shared" ca="1" si="35"/>
        <v>2.2.2. Participarea în Controlul Calității Extern (CCE) al Laboratorului Național și Laboratoarelor de Referință în microbiologia TB</v>
      </c>
      <c r="F102" s="1777" t="str">
        <f t="shared" ca="1" si="62"/>
        <v>Control extern al calitatii INSTAND</v>
      </c>
      <c r="G102" s="839">
        <f t="shared" ca="1" si="62"/>
        <v>0</v>
      </c>
      <c r="H102" s="840" t="str">
        <f t="shared" ca="1" si="62"/>
        <v>GFATM</v>
      </c>
      <c r="I102" s="443" t="s">
        <v>2378</v>
      </c>
      <c r="J102" s="838" t="str">
        <f t="shared" si="36"/>
        <v>Estimare_laborator!$A:$j</v>
      </c>
      <c r="K102" s="475">
        <f t="shared" ca="1" si="37"/>
        <v>24099.135284</v>
      </c>
      <c r="L102" s="480"/>
      <c r="M102" s="477">
        <f t="shared" si="38"/>
        <v>0</v>
      </c>
      <c r="N102" s="480"/>
      <c r="O102" s="477">
        <f t="shared" si="39"/>
        <v>0</v>
      </c>
      <c r="P102" s="480"/>
      <c r="Q102" s="477">
        <f t="shared" si="40"/>
        <v>0</v>
      </c>
      <c r="R102" s="480"/>
      <c r="S102" s="477">
        <f t="shared" ca="1" si="41"/>
        <v>24099.135284</v>
      </c>
      <c r="T102" s="475">
        <f t="shared" ca="1" si="42"/>
        <v>24099.135284</v>
      </c>
      <c r="U102" s="480"/>
      <c r="V102" s="477">
        <f t="shared" si="43"/>
        <v>0</v>
      </c>
      <c r="W102" s="480"/>
      <c r="X102" s="477">
        <f t="shared" si="44"/>
        <v>0</v>
      </c>
      <c r="Y102" s="480"/>
      <c r="Z102" s="477">
        <f t="shared" si="45"/>
        <v>0</v>
      </c>
      <c r="AA102" s="480"/>
      <c r="AB102" s="477">
        <f t="shared" ca="1" si="46"/>
        <v>24099.135284</v>
      </c>
      <c r="AC102" s="475">
        <f t="shared" ca="1" si="47"/>
        <v>24099.135284</v>
      </c>
      <c r="AD102" s="480"/>
      <c r="AE102" s="477">
        <f t="shared" si="48"/>
        <v>0</v>
      </c>
      <c r="AF102" s="480"/>
      <c r="AG102" s="477">
        <f t="shared" si="49"/>
        <v>0</v>
      </c>
      <c r="AH102" s="480"/>
      <c r="AI102" s="477">
        <f t="shared" si="50"/>
        <v>0</v>
      </c>
      <c r="AJ102" s="480"/>
      <c r="AK102" s="477">
        <f t="shared" ca="1" si="51"/>
        <v>24099.135284</v>
      </c>
      <c r="AL102" s="475">
        <f t="shared" ca="1" si="52"/>
        <v>0</v>
      </c>
      <c r="AM102" s="480"/>
      <c r="AN102" s="477">
        <f t="shared" si="53"/>
        <v>0</v>
      </c>
      <c r="AO102" s="480"/>
      <c r="AP102" s="477">
        <f t="shared" si="54"/>
        <v>0</v>
      </c>
      <c r="AQ102" s="480"/>
      <c r="AR102" s="477">
        <f t="shared" si="55"/>
        <v>0</v>
      </c>
      <c r="AS102" s="480"/>
      <c r="AT102" s="477">
        <f t="shared" ca="1" si="56"/>
        <v>0</v>
      </c>
      <c r="AU102" s="475">
        <f t="shared" ca="1" si="57"/>
        <v>0</v>
      </c>
      <c r="AV102" s="480"/>
      <c r="AW102" s="477">
        <f t="shared" si="58"/>
        <v>0</v>
      </c>
      <c r="AX102" s="480"/>
      <c r="AY102" s="477">
        <f t="shared" si="59"/>
        <v>0</v>
      </c>
      <c r="AZ102" s="480"/>
      <c r="BA102" s="477">
        <f t="shared" si="60"/>
        <v>0</v>
      </c>
      <c r="BB102" s="480"/>
      <c r="BC102" s="850">
        <f t="shared" ca="1" si="61"/>
        <v>72297.405851999996</v>
      </c>
    </row>
    <row r="103" spans="1:55" ht="56">
      <c r="A103" s="837" t="str">
        <f t="shared" ca="1" si="33"/>
        <v/>
      </c>
      <c r="B103" s="440">
        <v>97</v>
      </c>
      <c r="C103" s="834" t="str">
        <f t="shared" ca="1" si="34"/>
        <v>2.</v>
      </c>
      <c r="D103" s="1757" t="str">
        <f ca="1">IFERROR(VLOOKUP(LEFT(E103,4),Nom_activ_2!D:G,4,0),"")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103" s="1757" t="str">
        <f t="shared" ca="1" si="35"/>
        <v>2.2.2. Participarea în Controlul Calității Extern (CCE) al Laboratorului Național și Laboratoarelor de Referință în microbiologia TB</v>
      </c>
      <c r="F103" s="1777" t="str">
        <f t="shared" ca="1" si="62"/>
        <v>Control extern al calitatii INSTAND</v>
      </c>
      <c r="G103" s="839">
        <f t="shared" ca="1" si="62"/>
        <v>0</v>
      </c>
      <c r="H103" s="840" t="str">
        <f t="shared" ca="1" si="62"/>
        <v>CNAM</v>
      </c>
      <c r="I103" s="443" t="s">
        <v>2378</v>
      </c>
      <c r="J103" s="838" t="str">
        <f t="shared" si="36"/>
        <v>Estimare_laborator!$A:$j</v>
      </c>
      <c r="K103" s="475">
        <f t="shared" ca="1" si="37"/>
        <v>0</v>
      </c>
      <c r="L103" s="480"/>
      <c r="M103" s="477">
        <f t="shared" si="38"/>
        <v>0</v>
      </c>
      <c r="N103" s="480"/>
      <c r="O103" s="477">
        <f t="shared" si="39"/>
        <v>0</v>
      </c>
      <c r="P103" s="480"/>
      <c r="Q103" s="477">
        <f t="shared" si="40"/>
        <v>0</v>
      </c>
      <c r="R103" s="480"/>
      <c r="S103" s="477">
        <f t="shared" ca="1" si="41"/>
        <v>0</v>
      </c>
      <c r="T103" s="475">
        <f t="shared" ca="1" si="42"/>
        <v>0</v>
      </c>
      <c r="U103" s="480"/>
      <c r="V103" s="477">
        <f t="shared" si="43"/>
        <v>0</v>
      </c>
      <c r="W103" s="480"/>
      <c r="X103" s="477">
        <f t="shared" si="44"/>
        <v>0</v>
      </c>
      <c r="Y103" s="480"/>
      <c r="Z103" s="477">
        <f t="shared" si="45"/>
        <v>0</v>
      </c>
      <c r="AA103" s="480"/>
      <c r="AB103" s="477">
        <f t="shared" ca="1" si="46"/>
        <v>0</v>
      </c>
      <c r="AC103" s="475">
        <f t="shared" ca="1" si="47"/>
        <v>0</v>
      </c>
      <c r="AD103" s="480"/>
      <c r="AE103" s="477">
        <f t="shared" si="48"/>
        <v>0</v>
      </c>
      <c r="AF103" s="480"/>
      <c r="AG103" s="477">
        <f t="shared" si="49"/>
        <v>0</v>
      </c>
      <c r="AH103" s="480"/>
      <c r="AI103" s="477">
        <f t="shared" si="50"/>
        <v>0</v>
      </c>
      <c r="AJ103" s="480"/>
      <c r="AK103" s="477">
        <f t="shared" ca="1" si="51"/>
        <v>0</v>
      </c>
      <c r="AL103" s="475">
        <f t="shared" ca="1" si="52"/>
        <v>24099.135284</v>
      </c>
      <c r="AM103" s="480"/>
      <c r="AN103" s="477">
        <f t="shared" si="53"/>
        <v>0</v>
      </c>
      <c r="AO103" s="480"/>
      <c r="AP103" s="477">
        <f t="shared" si="54"/>
        <v>0</v>
      </c>
      <c r="AQ103" s="480"/>
      <c r="AR103" s="477">
        <f t="shared" si="55"/>
        <v>0</v>
      </c>
      <c r="AS103" s="480"/>
      <c r="AT103" s="477">
        <f t="shared" ca="1" si="56"/>
        <v>24099.135284</v>
      </c>
      <c r="AU103" s="475">
        <f t="shared" ca="1" si="57"/>
        <v>24099.135284</v>
      </c>
      <c r="AV103" s="480"/>
      <c r="AW103" s="477">
        <f t="shared" si="58"/>
        <v>0</v>
      </c>
      <c r="AX103" s="480"/>
      <c r="AY103" s="477">
        <f t="shared" si="59"/>
        <v>0</v>
      </c>
      <c r="AZ103" s="480"/>
      <c r="BA103" s="477">
        <f t="shared" si="60"/>
        <v>0</v>
      </c>
      <c r="BB103" s="480"/>
      <c r="BC103" s="850">
        <f t="shared" ca="1" si="61"/>
        <v>48198.270568</v>
      </c>
    </row>
    <row r="104" spans="1:55" ht="56">
      <c r="A104" s="837" t="str">
        <f t="shared" ca="1" si="33"/>
        <v/>
      </c>
      <c r="B104" s="440">
        <v>98</v>
      </c>
      <c r="C104" s="834" t="str">
        <f t="shared" ca="1" si="34"/>
        <v>2.</v>
      </c>
      <c r="D104" s="1757" t="str">
        <f ca="1">IFERROR(VLOOKUP(LEFT(E104,4),Nom_activ_2!D:G,4,0),"")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104" s="1757" t="str">
        <f t="shared" ca="1" si="35"/>
        <v>2.2.2. Participarea în Controlul Calității Extern (CCE) al Laboratorului Național și Laboratoarelor de Referință în microbiologia TB</v>
      </c>
      <c r="F104" s="1777" t="str">
        <f t="shared" ca="1" si="62"/>
        <v>Control extern al calitatii BORSTEL</v>
      </c>
      <c r="G104" s="839">
        <f t="shared" ca="1" si="62"/>
        <v>0</v>
      </c>
      <c r="H104" s="840" t="str">
        <f t="shared" ca="1" si="62"/>
        <v>GFATM</v>
      </c>
      <c r="I104" s="443" t="s">
        <v>2378</v>
      </c>
      <c r="J104" s="838" t="str">
        <f t="shared" si="36"/>
        <v>Estimare_laborator!$A:$j</v>
      </c>
      <c r="K104" s="475">
        <f t="shared" ca="1" si="37"/>
        <v>4728.5721878499999</v>
      </c>
      <c r="L104" s="480"/>
      <c r="M104" s="477">
        <f t="shared" si="38"/>
        <v>0</v>
      </c>
      <c r="N104" s="480"/>
      <c r="O104" s="477">
        <f t="shared" si="39"/>
        <v>0</v>
      </c>
      <c r="P104" s="480"/>
      <c r="Q104" s="477">
        <f t="shared" si="40"/>
        <v>0</v>
      </c>
      <c r="R104" s="480"/>
      <c r="S104" s="477">
        <f t="shared" ca="1" si="41"/>
        <v>4728.5721878499999</v>
      </c>
      <c r="T104" s="475">
        <f t="shared" ca="1" si="42"/>
        <v>4728.5721878499999</v>
      </c>
      <c r="U104" s="480"/>
      <c r="V104" s="477">
        <f t="shared" si="43"/>
        <v>0</v>
      </c>
      <c r="W104" s="480"/>
      <c r="X104" s="477">
        <f t="shared" si="44"/>
        <v>0</v>
      </c>
      <c r="Y104" s="480"/>
      <c r="Z104" s="477">
        <f t="shared" si="45"/>
        <v>0</v>
      </c>
      <c r="AA104" s="480"/>
      <c r="AB104" s="477">
        <f t="shared" ca="1" si="46"/>
        <v>4728.5721878499999</v>
      </c>
      <c r="AC104" s="475">
        <f t="shared" ca="1" si="47"/>
        <v>4728.5721878499999</v>
      </c>
      <c r="AD104" s="480"/>
      <c r="AE104" s="477">
        <f t="shared" si="48"/>
        <v>0</v>
      </c>
      <c r="AF104" s="480"/>
      <c r="AG104" s="477">
        <f t="shared" si="49"/>
        <v>0</v>
      </c>
      <c r="AH104" s="480"/>
      <c r="AI104" s="477">
        <f t="shared" si="50"/>
        <v>0</v>
      </c>
      <c r="AJ104" s="480"/>
      <c r="AK104" s="477">
        <f t="shared" ca="1" si="51"/>
        <v>4728.5721878499999</v>
      </c>
      <c r="AL104" s="475">
        <f t="shared" ca="1" si="52"/>
        <v>0</v>
      </c>
      <c r="AM104" s="480"/>
      <c r="AN104" s="477">
        <f t="shared" si="53"/>
        <v>0</v>
      </c>
      <c r="AO104" s="480"/>
      <c r="AP104" s="477">
        <f t="shared" si="54"/>
        <v>0</v>
      </c>
      <c r="AQ104" s="480"/>
      <c r="AR104" s="477">
        <f t="shared" si="55"/>
        <v>0</v>
      </c>
      <c r="AS104" s="480"/>
      <c r="AT104" s="477">
        <f t="shared" ca="1" si="56"/>
        <v>0</v>
      </c>
      <c r="AU104" s="475">
        <f t="shared" ca="1" si="57"/>
        <v>0</v>
      </c>
      <c r="AV104" s="480"/>
      <c r="AW104" s="477">
        <f t="shared" si="58"/>
        <v>0</v>
      </c>
      <c r="AX104" s="480"/>
      <c r="AY104" s="477">
        <f t="shared" si="59"/>
        <v>0</v>
      </c>
      <c r="AZ104" s="480"/>
      <c r="BA104" s="477">
        <f t="shared" si="60"/>
        <v>0</v>
      </c>
      <c r="BB104" s="480"/>
      <c r="BC104" s="850">
        <f t="shared" ca="1" si="61"/>
        <v>14185.716563549999</v>
      </c>
    </row>
    <row r="105" spans="1:55" ht="56">
      <c r="A105" s="837" t="str">
        <f t="shared" ca="1" si="33"/>
        <v/>
      </c>
      <c r="B105" s="440">
        <v>99</v>
      </c>
      <c r="C105" s="834" t="str">
        <f t="shared" ca="1" si="34"/>
        <v>2.</v>
      </c>
      <c r="D105" s="1757" t="str">
        <f ca="1">IFERROR(VLOOKUP(LEFT(E105,4),Nom_activ_2!D:G,4,0),"")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105" s="1757" t="str">
        <f t="shared" ca="1" si="35"/>
        <v>2.2.2. Participarea în Controlul Calității Extern (CCE) al Laboratorului Național și Laboratoarelor de Referință în microbiologia TB</v>
      </c>
      <c r="F105" s="1777" t="str">
        <f t="shared" ca="1" si="62"/>
        <v>Control extern al calitatii BORSTEL</v>
      </c>
      <c r="G105" s="839">
        <f t="shared" ca="1" si="62"/>
        <v>0</v>
      </c>
      <c r="H105" s="840" t="str">
        <f t="shared" ca="1" si="62"/>
        <v>CNAM</v>
      </c>
      <c r="I105" s="443" t="s">
        <v>2378</v>
      </c>
      <c r="J105" s="838" t="str">
        <f t="shared" si="36"/>
        <v>Estimare_laborator!$A:$j</v>
      </c>
      <c r="K105" s="475">
        <f t="shared" ca="1" si="37"/>
        <v>0</v>
      </c>
      <c r="L105" s="480"/>
      <c r="M105" s="477">
        <f t="shared" si="38"/>
        <v>0</v>
      </c>
      <c r="N105" s="480"/>
      <c r="O105" s="477">
        <f t="shared" si="39"/>
        <v>0</v>
      </c>
      <c r="P105" s="480"/>
      <c r="Q105" s="477">
        <f t="shared" si="40"/>
        <v>0</v>
      </c>
      <c r="R105" s="480"/>
      <c r="S105" s="477">
        <f t="shared" ca="1" si="41"/>
        <v>0</v>
      </c>
      <c r="T105" s="475">
        <f t="shared" ca="1" si="42"/>
        <v>0</v>
      </c>
      <c r="U105" s="480"/>
      <c r="V105" s="477">
        <f t="shared" si="43"/>
        <v>0</v>
      </c>
      <c r="W105" s="480"/>
      <c r="X105" s="477">
        <f t="shared" si="44"/>
        <v>0</v>
      </c>
      <c r="Y105" s="480"/>
      <c r="Z105" s="477">
        <f t="shared" si="45"/>
        <v>0</v>
      </c>
      <c r="AA105" s="480"/>
      <c r="AB105" s="477">
        <f t="shared" ca="1" si="46"/>
        <v>0</v>
      </c>
      <c r="AC105" s="475">
        <f t="shared" ca="1" si="47"/>
        <v>0</v>
      </c>
      <c r="AD105" s="480"/>
      <c r="AE105" s="477">
        <f t="shared" si="48"/>
        <v>0</v>
      </c>
      <c r="AF105" s="480"/>
      <c r="AG105" s="477">
        <f t="shared" si="49"/>
        <v>0</v>
      </c>
      <c r="AH105" s="480"/>
      <c r="AI105" s="477">
        <f t="shared" si="50"/>
        <v>0</v>
      </c>
      <c r="AJ105" s="480"/>
      <c r="AK105" s="477">
        <f t="shared" ca="1" si="51"/>
        <v>0</v>
      </c>
      <c r="AL105" s="475">
        <f t="shared" ca="1" si="52"/>
        <v>4728.5721878499999</v>
      </c>
      <c r="AM105" s="480"/>
      <c r="AN105" s="477">
        <f t="shared" si="53"/>
        <v>0</v>
      </c>
      <c r="AO105" s="480"/>
      <c r="AP105" s="477">
        <f t="shared" si="54"/>
        <v>0</v>
      </c>
      <c r="AQ105" s="480"/>
      <c r="AR105" s="477">
        <f t="shared" si="55"/>
        <v>0</v>
      </c>
      <c r="AS105" s="480"/>
      <c r="AT105" s="477">
        <f t="shared" ca="1" si="56"/>
        <v>4728.5721878499999</v>
      </c>
      <c r="AU105" s="475">
        <f t="shared" ca="1" si="57"/>
        <v>4728.5721878499999</v>
      </c>
      <c r="AV105" s="480"/>
      <c r="AW105" s="477">
        <f t="shared" si="58"/>
        <v>0</v>
      </c>
      <c r="AX105" s="480"/>
      <c r="AY105" s="477">
        <f t="shared" si="59"/>
        <v>0</v>
      </c>
      <c r="AZ105" s="480"/>
      <c r="BA105" s="477">
        <f t="shared" si="60"/>
        <v>0</v>
      </c>
      <c r="BB105" s="480"/>
      <c r="BC105" s="850">
        <f t="shared" ca="1" si="61"/>
        <v>9457.1443756999997</v>
      </c>
    </row>
    <row r="106" spans="1:55" ht="56">
      <c r="A106" s="837" t="str">
        <f t="shared" ca="1" si="33"/>
        <v/>
      </c>
      <c r="B106" s="440">
        <v>100</v>
      </c>
      <c r="C106" s="834" t="str">
        <f t="shared" ca="1" si="34"/>
        <v>2.</v>
      </c>
      <c r="D106" s="1757" t="str">
        <f ca="1">IFERROR(VLOOKUP(LEFT(E106,4),Nom_activ_2!D:G,4,0),"")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106" s="1757" t="str">
        <f t="shared" ca="1" si="35"/>
        <v xml:space="preserve">2.2.3. Implementarea Standardelor de biosecuritate (BSC) în laboratoarele microbiologice TB </v>
      </c>
      <c r="F106" s="1777" t="str">
        <f t="shared" ca="1" si="62"/>
        <v>2.2.3.1 Mentenanta sistemelor de ventilare din LR in microbiologia tuberculozei</v>
      </c>
      <c r="G106" s="839">
        <f t="shared" ca="1" si="62"/>
        <v>0</v>
      </c>
      <c r="H106" s="840" t="str">
        <f t="shared" ca="1" si="62"/>
        <v>GFATM</v>
      </c>
      <c r="I106" s="443" t="s">
        <v>2378</v>
      </c>
      <c r="J106" s="838" t="str">
        <f t="shared" si="36"/>
        <v>Estimare_laborator!$A:$j</v>
      </c>
      <c r="K106" s="475">
        <f t="shared" ca="1" si="37"/>
        <v>480000</v>
      </c>
      <c r="L106" s="480"/>
      <c r="M106" s="477">
        <f t="shared" si="38"/>
        <v>0</v>
      </c>
      <c r="N106" s="480"/>
      <c r="O106" s="477">
        <f t="shared" si="39"/>
        <v>0</v>
      </c>
      <c r="P106" s="480"/>
      <c r="Q106" s="477">
        <f t="shared" si="40"/>
        <v>0</v>
      </c>
      <c r="R106" s="480"/>
      <c r="S106" s="477">
        <f t="shared" ca="1" si="41"/>
        <v>480000</v>
      </c>
      <c r="T106" s="475">
        <f t="shared" ca="1" si="42"/>
        <v>0</v>
      </c>
      <c r="U106" s="480"/>
      <c r="V106" s="477">
        <f t="shared" si="43"/>
        <v>0</v>
      </c>
      <c r="W106" s="480"/>
      <c r="X106" s="477">
        <f t="shared" si="44"/>
        <v>0</v>
      </c>
      <c r="Y106" s="480"/>
      <c r="Z106" s="477">
        <f t="shared" si="45"/>
        <v>0</v>
      </c>
      <c r="AA106" s="480"/>
      <c r="AB106" s="477">
        <f t="shared" ca="1" si="46"/>
        <v>0</v>
      </c>
      <c r="AC106" s="475">
        <f t="shared" ca="1" si="47"/>
        <v>0</v>
      </c>
      <c r="AD106" s="480"/>
      <c r="AE106" s="477">
        <f t="shared" si="48"/>
        <v>0</v>
      </c>
      <c r="AF106" s="480"/>
      <c r="AG106" s="477">
        <f t="shared" si="49"/>
        <v>0</v>
      </c>
      <c r="AH106" s="480"/>
      <c r="AI106" s="477">
        <f t="shared" si="50"/>
        <v>0</v>
      </c>
      <c r="AJ106" s="480"/>
      <c r="AK106" s="477">
        <f t="shared" ca="1" si="51"/>
        <v>0</v>
      </c>
      <c r="AL106" s="475">
        <f t="shared" ca="1" si="52"/>
        <v>0</v>
      </c>
      <c r="AM106" s="480"/>
      <c r="AN106" s="477">
        <f t="shared" si="53"/>
        <v>0</v>
      </c>
      <c r="AO106" s="480"/>
      <c r="AP106" s="477">
        <f t="shared" si="54"/>
        <v>0</v>
      </c>
      <c r="AQ106" s="480"/>
      <c r="AR106" s="477">
        <f t="shared" si="55"/>
        <v>0</v>
      </c>
      <c r="AS106" s="480"/>
      <c r="AT106" s="477">
        <f t="shared" ca="1" si="56"/>
        <v>0</v>
      </c>
      <c r="AU106" s="475">
        <f t="shared" ca="1" si="57"/>
        <v>0</v>
      </c>
      <c r="AV106" s="480"/>
      <c r="AW106" s="477">
        <f t="shared" si="58"/>
        <v>0</v>
      </c>
      <c r="AX106" s="480"/>
      <c r="AY106" s="477">
        <f t="shared" si="59"/>
        <v>0</v>
      </c>
      <c r="AZ106" s="480"/>
      <c r="BA106" s="477">
        <f t="shared" si="60"/>
        <v>0</v>
      </c>
      <c r="BB106" s="480"/>
      <c r="BC106" s="850">
        <f t="shared" ca="1" si="61"/>
        <v>480000</v>
      </c>
    </row>
    <row r="107" spans="1:55" ht="28">
      <c r="A107" s="837" t="str">
        <f t="shared" ca="1" si="33"/>
        <v/>
      </c>
      <c r="B107" s="440">
        <v>101</v>
      </c>
      <c r="C107" s="834" t="str">
        <f t="shared" ca="1" si="34"/>
        <v>3.</v>
      </c>
      <c r="D107" s="1757" t="str">
        <f ca="1">IFERROR(VLOOKUP(LEFT(E107,4),Nom_activ_2!D:G,4,0),"")</f>
        <v>3.2.  Asigurarea monitorizării tratamentului, managementului și prevenirii reacțiilor adverse la medicamente TB</v>
      </c>
      <c r="E107" s="1757" t="str">
        <f t="shared" ca="1" si="35"/>
        <v xml:space="preserve">3.2.3. Asigurarea farmacovigilenței active cu elaborarea și implementarea PSO pentru aDSM </v>
      </c>
      <c r="F107" s="1777" t="str">
        <f t="shared" ref="F107:H126" ca="1" si="63">IFERROR(VLOOKUP($B107,INDIRECT($J107),F$5,0),0)</f>
        <v xml:space="preserve">3.2.3.1. Asigurarea farmacovigilenței active cu elaborarea și implementarea PSO pentru aDSM </v>
      </c>
      <c r="G107" s="839" t="str">
        <f t="shared" ca="1" si="63"/>
        <v>PAS</v>
      </c>
      <c r="H107" s="840" t="str">
        <f t="shared" ca="1" si="63"/>
        <v>GFATM</v>
      </c>
      <c r="I107" s="443" t="s">
        <v>3088</v>
      </c>
      <c r="J107" s="838" t="str">
        <f t="shared" si="36"/>
        <v>RA_farmacovigilenta!$A:$j</v>
      </c>
      <c r="K107" s="475">
        <f t="shared" ca="1" si="37"/>
        <v>40000</v>
      </c>
      <c r="L107" s="480"/>
      <c r="M107" s="477">
        <f t="shared" si="38"/>
        <v>0</v>
      </c>
      <c r="N107" s="480"/>
      <c r="O107" s="477">
        <f t="shared" si="39"/>
        <v>0</v>
      </c>
      <c r="P107" s="480"/>
      <c r="Q107" s="477">
        <f t="shared" si="40"/>
        <v>0</v>
      </c>
      <c r="R107" s="480"/>
      <c r="S107" s="477">
        <f t="shared" ca="1" si="41"/>
        <v>40000</v>
      </c>
      <c r="T107" s="475">
        <f t="shared" ca="1" si="42"/>
        <v>0</v>
      </c>
      <c r="U107" s="480"/>
      <c r="V107" s="477">
        <f t="shared" si="43"/>
        <v>0</v>
      </c>
      <c r="W107" s="480"/>
      <c r="X107" s="477">
        <f t="shared" si="44"/>
        <v>0</v>
      </c>
      <c r="Y107" s="480"/>
      <c r="Z107" s="477">
        <f t="shared" si="45"/>
        <v>0</v>
      </c>
      <c r="AA107" s="480"/>
      <c r="AB107" s="477">
        <f t="shared" ca="1" si="46"/>
        <v>0</v>
      </c>
      <c r="AC107" s="475">
        <f t="shared" ca="1" si="47"/>
        <v>0</v>
      </c>
      <c r="AD107" s="480"/>
      <c r="AE107" s="477">
        <f t="shared" si="48"/>
        <v>0</v>
      </c>
      <c r="AF107" s="480"/>
      <c r="AG107" s="477">
        <f t="shared" si="49"/>
        <v>0</v>
      </c>
      <c r="AH107" s="480"/>
      <c r="AI107" s="477">
        <f t="shared" si="50"/>
        <v>0</v>
      </c>
      <c r="AJ107" s="480"/>
      <c r="AK107" s="477">
        <f t="shared" ca="1" si="51"/>
        <v>0</v>
      </c>
      <c r="AL107" s="475">
        <f t="shared" ca="1" si="52"/>
        <v>0</v>
      </c>
      <c r="AM107" s="480"/>
      <c r="AN107" s="477">
        <f t="shared" si="53"/>
        <v>0</v>
      </c>
      <c r="AO107" s="480"/>
      <c r="AP107" s="477">
        <f t="shared" si="54"/>
        <v>0</v>
      </c>
      <c r="AQ107" s="480"/>
      <c r="AR107" s="477">
        <f t="shared" si="55"/>
        <v>0</v>
      </c>
      <c r="AS107" s="480"/>
      <c r="AT107" s="477">
        <f t="shared" ca="1" si="56"/>
        <v>0</v>
      </c>
      <c r="AU107" s="475">
        <f t="shared" ca="1" si="57"/>
        <v>0</v>
      </c>
      <c r="AV107" s="480"/>
      <c r="AW107" s="477">
        <f t="shared" si="58"/>
        <v>0</v>
      </c>
      <c r="AX107" s="480"/>
      <c r="AY107" s="477">
        <f t="shared" si="59"/>
        <v>0</v>
      </c>
      <c r="AZ107" s="480"/>
      <c r="BA107" s="477">
        <f t="shared" si="60"/>
        <v>0</v>
      </c>
      <c r="BB107" s="480"/>
      <c r="BC107" s="850">
        <f t="shared" ca="1" si="61"/>
        <v>40000</v>
      </c>
    </row>
    <row r="108" spans="1:55" ht="42">
      <c r="A108" s="837" t="str">
        <f t="shared" ca="1" si="33"/>
        <v/>
      </c>
      <c r="B108" s="440">
        <v>102</v>
      </c>
      <c r="C108" s="834" t="str">
        <f t="shared" ca="1" si="34"/>
        <v>6.</v>
      </c>
      <c r="D108" s="1757" t="str">
        <f ca="1">IFERROR(VLOOKUP(LEFT(E108,4),Nom_activ_2!D:G,4,0),"")</f>
        <v>6.1.  Consolidarea capacităților pentru managementul eficient al PNCT</v>
      </c>
      <c r="E108" s="1757" t="str">
        <f t="shared" ca="1" si="35"/>
        <v>6.1.1. Elaborarea PSO pentru Monitorizare si Evaluare PNCT de către Departamentul de coordonare PNCT, inclusiv cu implicarea OSC</v>
      </c>
      <c r="F108" s="1777" t="str">
        <f t="shared" ca="1" si="63"/>
        <v>6.1.1.1. Elaborarea PSO pentru Monitorizare si Evaluare PNCT de către Departamentul de coordonare PNCT, inclusiv cu implicarea OSC</v>
      </c>
      <c r="G108" s="839" t="str">
        <f t="shared" ca="1" si="63"/>
        <v>PAS</v>
      </c>
      <c r="H108" s="840" t="str">
        <f t="shared" ca="1" si="63"/>
        <v>GFATM</v>
      </c>
      <c r="I108" s="443" t="s">
        <v>3124</v>
      </c>
      <c r="J108" s="838" t="str">
        <f t="shared" si="36"/>
        <v>PNCT!$A:$j</v>
      </c>
      <c r="K108" s="475">
        <f t="shared" ca="1" si="37"/>
        <v>47500</v>
      </c>
      <c r="L108" s="480"/>
      <c r="M108" s="477">
        <f t="shared" si="38"/>
        <v>0</v>
      </c>
      <c r="N108" s="480"/>
      <c r="O108" s="477">
        <f t="shared" si="39"/>
        <v>0</v>
      </c>
      <c r="P108" s="480"/>
      <c r="Q108" s="477">
        <f t="shared" si="40"/>
        <v>0</v>
      </c>
      <c r="R108" s="480"/>
      <c r="S108" s="477">
        <f t="shared" ca="1" si="41"/>
        <v>47500</v>
      </c>
      <c r="T108" s="475">
        <f t="shared" ca="1" si="42"/>
        <v>0</v>
      </c>
      <c r="U108" s="480"/>
      <c r="V108" s="477">
        <f t="shared" si="43"/>
        <v>0</v>
      </c>
      <c r="W108" s="480"/>
      <c r="X108" s="477">
        <f t="shared" si="44"/>
        <v>0</v>
      </c>
      <c r="Y108" s="480"/>
      <c r="Z108" s="477">
        <f t="shared" si="45"/>
        <v>0</v>
      </c>
      <c r="AA108" s="480"/>
      <c r="AB108" s="477">
        <f t="shared" ca="1" si="46"/>
        <v>0</v>
      </c>
      <c r="AC108" s="475">
        <f t="shared" ca="1" si="47"/>
        <v>0</v>
      </c>
      <c r="AD108" s="480"/>
      <c r="AE108" s="477">
        <f t="shared" si="48"/>
        <v>0</v>
      </c>
      <c r="AF108" s="480"/>
      <c r="AG108" s="477">
        <f t="shared" si="49"/>
        <v>0</v>
      </c>
      <c r="AH108" s="480"/>
      <c r="AI108" s="477">
        <f t="shared" si="50"/>
        <v>0</v>
      </c>
      <c r="AJ108" s="480"/>
      <c r="AK108" s="477">
        <f t="shared" ca="1" si="51"/>
        <v>0</v>
      </c>
      <c r="AL108" s="475">
        <f t="shared" ca="1" si="52"/>
        <v>0</v>
      </c>
      <c r="AM108" s="480"/>
      <c r="AN108" s="477">
        <f t="shared" si="53"/>
        <v>0</v>
      </c>
      <c r="AO108" s="480"/>
      <c r="AP108" s="477">
        <f t="shared" si="54"/>
        <v>0</v>
      </c>
      <c r="AQ108" s="480"/>
      <c r="AR108" s="477">
        <f t="shared" si="55"/>
        <v>0</v>
      </c>
      <c r="AS108" s="480"/>
      <c r="AT108" s="477">
        <f t="shared" ca="1" si="56"/>
        <v>0</v>
      </c>
      <c r="AU108" s="475">
        <f t="shared" ca="1" si="57"/>
        <v>0</v>
      </c>
      <c r="AV108" s="480"/>
      <c r="AW108" s="477">
        <f t="shared" si="58"/>
        <v>0</v>
      </c>
      <c r="AX108" s="480"/>
      <c r="AY108" s="477">
        <f t="shared" si="59"/>
        <v>0</v>
      </c>
      <c r="AZ108" s="480"/>
      <c r="BA108" s="477">
        <f t="shared" si="60"/>
        <v>0</v>
      </c>
      <c r="BB108" s="480"/>
      <c r="BC108" s="850">
        <f t="shared" ca="1" si="61"/>
        <v>47500</v>
      </c>
    </row>
    <row r="109" spans="1:55" ht="28">
      <c r="A109" s="837" t="str">
        <f t="shared" ca="1" si="33"/>
        <v/>
      </c>
      <c r="B109" s="440">
        <v>103</v>
      </c>
      <c r="C109" s="834" t="str">
        <f t="shared" ca="1" si="34"/>
        <v>6.</v>
      </c>
      <c r="D109" s="1757" t="str">
        <f ca="1">IFERROR(VLOOKUP(LEFT(E109,4),Nom_activ_2!D:G,4,0),"")</f>
        <v>6.1.  Consolidarea capacităților pentru managementul eficient al PNCT</v>
      </c>
      <c r="E109" s="1757" t="str">
        <f t="shared" ca="1" si="35"/>
        <v>6.1.4. Instruirea periodică a personalului din cadrul Unității de Coordonare a PNCT</v>
      </c>
      <c r="F109" s="1777" t="str">
        <f t="shared" ca="1" si="63"/>
        <v>Instruirea echipei PNCT peste hotare</v>
      </c>
      <c r="G109" s="839" t="str">
        <f t="shared" ca="1" si="63"/>
        <v>UCIMP</v>
      </c>
      <c r="H109" s="840" t="str">
        <f t="shared" ca="1" si="63"/>
        <v>GFATM</v>
      </c>
      <c r="I109" s="443" t="s">
        <v>3124</v>
      </c>
      <c r="J109" s="838" t="str">
        <f t="shared" si="36"/>
        <v>PNCT!$A:$j</v>
      </c>
      <c r="K109" s="475">
        <f t="shared" ca="1" si="37"/>
        <v>120861.87337797999</v>
      </c>
      <c r="L109" s="480"/>
      <c r="M109" s="477">
        <f t="shared" si="38"/>
        <v>0</v>
      </c>
      <c r="N109" s="480"/>
      <c r="O109" s="477">
        <f t="shared" si="39"/>
        <v>0</v>
      </c>
      <c r="P109" s="480"/>
      <c r="Q109" s="477">
        <f t="shared" si="40"/>
        <v>0</v>
      </c>
      <c r="R109" s="480"/>
      <c r="S109" s="477">
        <f t="shared" ca="1" si="41"/>
        <v>120861.87337797999</v>
      </c>
      <c r="T109" s="475">
        <f t="shared" ca="1" si="42"/>
        <v>120861.87337797999</v>
      </c>
      <c r="U109" s="480"/>
      <c r="V109" s="477">
        <f t="shared" si="43"/>
        <v>0</v>
      </c>
      <c r="W109" s="480"/>
      <c r="X109" s="477">
        <f t="shared" si="44"/>
        <v>0</v>
      </c>
      <c r="Y109" s="480"/>
      <c r="Z109" s="477">
        <f t="shared" si="45"/>
        <v>0</v>
      </c>
      <c r="AA109" s="480"/>
      <c r="AB109" s="477">
        <f t="shared" ca="1" si="46"/>
        <v>120861.87337797999</v>
      </c>
      <c r="AC109" s="475">
        <f t="shared" ca="1" si="47"/>
        <v>120861.87337797999</v>
      </c>
      <c r="AD109" s="480"/>
      <c r="AE109" s="477">
        <f t="shared" si="48"/>
        <v>0</v>
      </c>
      <c r="AF109" s="480"/>
      <c r="AG109" s="477">
        <f t="shared" si="49"/>
        <v>0</v>
      </c>
      <c r="AH109" s="480"/>
      <c r="AI109" s="477">
        <f t="shared" si="50"/>
        <v>0</v>
      </c>
      <c r="AJ109" s="480"/>
      <c r="AK109" s="477">
        <f t="shared" ca="1" si="51"/>
        <v>120861.87337797999</v>
      </c>
      <c r="AL109" s="475">
        <f t="shared" ca="1" si="52"/>
        <v>0</v>
      </c>
      <c r="AM109" s="480"/>
      <c r="AN109" s="477">
        <f t="shared" si="53"/>
        <v>0</v>
      </c>
      <c r="AO109" s="480"/>
      <c r="AP109" s="477">
        <f t="shared" si="54"/>
        <v>0</v>
      </c>
      <c r="AQ109" s="480"/>
      <c r="AR109" s="477">
        <f t="shared" si="55"/>
        <v>0</v>
      </c>
      <c r="AS109" s="480"/>
      <c r="AT109" s="477">
        <f t="shared" ca="1" si="56"/>
        <v>0</v>
      </c>
      <c r="AU109" s="475">
        <f t="shared" ca="1" si="57"/>
        <v>0</v>
      </c>
      <c r="AV109" s="480"/>
      <c r="AW109" s="477">
        <f t="shared" si="58"/>
        <v>0</v>
      </c>
      <c r="AX109" s="480"/>
      <c r="AY109" s="477">
        <f t="shared" si="59"/>
        <v>0</v>
      </c>
      <c r="AZ109" s="480"/>
      <c r="BA109" s="477">
        <f t="shared" si="60"/>
        <v>0</v>
      </c>
      <c r="BB109" s="480"/>
      <c r="BC109" s="850">
        <f t="shared" ca="1" si="61"/>
        <v>362585.62013394001</v>
      </c>
    </row>
    <row r="110" spans="1:55" ht="28">
      <c r="A110" s="837" t="str">
        <f t="shared" ca="1" si="33"/>
        <v/>
      </c>
      <c r="B110" s="440">
        <v>104</v>
      </c>
      <c r="C110" s="834" t="str">
        <f t="shared" ca="1" si="34"/>
        <v>6.</v>
      </c>
      <c r="D110" s="1757" t="str">
        <f ca="1">IFERROR(VLOOKUP(LEFT(E110,4),Nom_activ_2!D:G,4,0),"")</f>
        <v>6.2.  Consolidarea sistemelor de sănătate prin mecanisme de finanțare bine aliniate pentru TB</v>
      </c>
      <c r="E110" s="1757" t="str">
        <f t="shared" ca="1" si="35"/>
        <v>6.2.7. Asigurarea mentenanței unităților de stocare a medicamentelor și dispozitivelor medicale la nivel central</v>
      </c>
      <c r="F110" s="1777" t="str">
        <f t="shared" ca="1" si="63"/>
        <v>Mentenanta unităților de stocare a medicamentelor și dispozitivelor medicale la nivel central</v>
      </c>
      <c r="G110" s="839" t="str">
        <f t="shared" ca="1" si="63"/>
        <v>UCIMP</v>
      </c>
      <c r="H110" s="840" t="str">
        <f t="shared" ca="1" si="63"/>
        <v>GFATM</v>
      </c>
      <c r="I110" s="443" t="s">
        <v>3124</v>
      </c>
      <c r="J110" s="838" t="str">
        <f t="shared" si="36"/>
        <v>PNCT!$A:$j</v>
      </c>
      <c r="K110" s="475">
        <f t="shared" ca="1" si="37"/>
        <v>374400</v>
      </c>
      <c r="L110" s="480"/>
      <c r="M110" s="477">
        <f t="shared" si="38"/>
        <v>0</v>
      </c>
      <c r="N110" s="480"/>
      <c r="O110" s="477">
        <f t="shared" si="39"/>
        <v>0</v>
      </c>
      <c r="P110" s="480"/>
      <c r="Q110" s="477">
        <f t="shared" si="40"/>
        <v>0</v>
      </c>
      <c r="R110" s="480"/>
      <c r="S110" s="477">
        <f t="shared" ca="1" si="41"/>
        <v>374400</v>
      </c>
      <c r="T110" s="475">
        <f t="shared" ca="1" si="42"/>
        <v>374400</v>
      </c>
      <c r="U110" s="480"/>
      <c r="V110" s="477">
        <f t="shared" si="43"/>
        <v>0</v>
      </c>
      <c r="W110" s="480"/>
      <c r="X110" s="477">
        <f t="shared" si="44"/>
        <v>0</v>
      </c>
      <c r="Y110" s="480"/>
      <c r="Z110" s="477">
        <f t="shared" si="45"/>
        <v>0</v>
      </c>
      <c r="AA110" s="480"/>
      <c r="AB110" s="477">
        <f t="shared" ca="1" si="46"/>
        <v>374400</v>
      </c>
      <c r="AC110" s="475">
        <f t="shared" ca="1" si="47"/>
        <v>374400</v>
      </c>
      <c r="AD110" s="480"/>
      <c r="AE110" s="477">
        <f t="shared" si="48"/>
        <v>0</v>
      </c>
      <c r="AF110" s="480"/>
      <c r="AG110" s="477">
        <f t="shared" si="49"/>
        <v>0</v>
      </c>
      <c r="AH110" s="480"/>
      <c r="AI110" s="477">
        <f t="shared" si="50"/>
        <v>0</v>
      </c>
      <c r="AJ110" s="480"/>
      <c r="AK110" s="477">
        <f t="shared" ca="1" si="51"/>
        <v>374400</v>
      </c>
      <c r="AL110" s="475">
        <f t="shared" ca="1" si="52"/>
        <v>0</v>
      </c>
      <c r="AM110" s="480"/>
      <c r="AN110" s="477">
        <f t="shared" si="53"/>
        <v>0</v>
      </c>
      <c r="AO110" s="480"/>
      <c r="AP110" s="477">
        <f t="shared" si="54"/>
        <v>0</v>
      </c>
      <c r="AQ110" s="480"/>
      <c r="AR110" s="477">
        <f t="shared" si="55"/>
        <v>0</v>
      </c>
      <c r="AS110" s="480"/>
      <c r="AT110" s="477">
        <f t="shared" ca="1" si="56"/>
        <v>0</v>
      </c>
      <c r="AU110" s="475">
        <f t="shared" ca="1" si="57"/>
        <v>0</v>
      </c>
      <c r="AV110" s="480"/>
      <c r="AW110" s="477">
        <f t="shared" si="58"/>
        <v>0</v>
      </c>
      <c r="AX110" s="480"/>
      <c r="AY110" s="477">
        <f t="shared" si="59"/>
        <v>0</v>
      </c>
      <c r="AZ110" s="480"/>
      <c r="BA110" s="477">
        <f t="shared" si="60"/>
        <v>0</v>
      </c>
      <c r="BB110" s="480"/>
      <c r="BC110" s="850">
        <f t="shared" ca="1" si="61"/>
        <v>1123200</v>
      </c>
    </row>
    <row r="111" spans="1:55" ht="42">
      <c r="A111" s="837" t="str">
        <f t="shared" ca="1" si="33"/>
        <v/>
      </c>
      <c r="B111" s="440">
        <v>105</v>
      </c>
      <c r="C111" s="834" t="str">
        <f t="shared" ca="1" si="34"/>
        <v>6.</v>
      </c>
      <c r="D111" s="1757" t="str">
        <f ca="1">IFERROR(VLOOKUP(LEFT(E111,4),Nom_activ_2!D:G,4,0),"")</f>
        <v>6.1.  Consolidarea capacităților pentru managementul eficient al PNCT</v>
      </c>
      <c r="E111" s="1757" t="str">
        <f t="shared" ca="1" si="35"/>
        <v xml:space="preserve">6.1.2. Actualizarea, integrarea, menținerea și ajustarea continuă a sistemului informațional de colectare a datelor, inclusiv a sistemului informațional de M&amp;E </v>
      </c>
      <c r="F111" s="1777" t="str">
        <f t="shared" ca="1" si="63"/>
        <v xml:space="preserve">6.1.2.2. Actualizarea, integrarea, menținerea și ajustarea continuă a sistemului informațional de colectare a datelor, inclusiv a sistemului informațional de M&amp;E </v>
      </c>
      <c r="G111" s="839" t="str">
        <f t="shared" ca="1" si="63"/>
        <v>PAS</v>
      </c>
      <c r="H111" s="840" t="str">
        <f t="shared" ca="1" si="63"/>
        <v>GFATM</v>
      </c>
      <c r="I111" s="443" t="s">
        <v>3124</v>
      </c>
      <c r="J111" s="838" t="str">
        <f t="shared" si="36"/>
        <v>PNCT!$A:$j</v>
      </c>
      <c r="K111" s="475">
        <f t="shared" ca="1" si="37"/>
        <v>3434323.0249999999</v>
      </c>
      <c r="L111" s="480"/>
      <c r="M111" s="477">
        <f t="shared" si="38"/>
        <v>0</v>
      </c>
      <c r="N111" s="480"/>
      <c r="O111" s="477">
        <f t="shared" si="39"/>
        <v>0</v>
      </c>
      <c r="P111" s="480"/>
      <c r="Q111" s="477">
        <f t="shared" si="40"/>
        <v>0</v>
      </c>
      <c r="R111" s="480"/>
      <c r="S111" s="477">
        <f t="shared" ca="1" si="41"/>
        <v>3434323.0249999999</v>
      </c>
      <c r="T111" s="475">
        <f t="shared" ca="1" si="42"/>
        <v>392494.06</v>
      </c>
      <c r="U111" s="480"/>
      <c r="V111" s="477">
        <f t="shared" si="43"/>
        <v>0</v>
      </c>
      <c r="W111" s="480"/>
      <c r="X111" s="477">
        <f t="shared" si="44"/>
        <v>0</v>
      </c>
      <c r="Y111" s="480"/>
      <c r="Z111" s="477">
        <f t="shared" si="45"/>
        <v>0</v>
      </c>
      <c r="AA111" s="480"/>
      <c r="AB111" s="477">
        <f t="shared" ca="1" si="46"/>
        <v>392494.06</v>
      </c>
      <c r="AC111" s="475">
        <f t="shared" ca="1" si="47"/>
        <v>392494.06</v>
      </c>
      <c r="AD111" s="480"/>
      <c r="AE111" s="477">
        <f t="shared" si="48"/>
        <v>0</v>
      </c>
      <c r="AF111" s="480"/>
      <c r="AG111" s="477">
        <f t="shared" si="49"/>
        <v>0</v>
      </c>
      <c r="AH111" s="480"/>
      <c r="AI111" s="477">
        <f t="shared" si="50"/>
        <v>0</v>
      </c>
      <c r="AJ111" s="480"/>
      <c r="AK111" s="477">
        <f t="shared" ca="1" si="51"/>
        <v>392494.06</v>
      </c>
      <c r="AL111" s="475">
        <f t="shared" ca="1" si="52"/>
        <v>0</v>
      </c>
      <c r="AM111" s="480"/>
      <c r="AN111" s="477">
        <f t="shared" si="53"/>
        <v>0</v>
      </c>
      <c r="AO111" s="480"/>
      <c r="AP111" s="477">
        <f t="shared" si="54"/>
        <v>0</v>
      </c>
      <c r="AQ111" s="480"/>
      <c r="AR111" s="477">
        <f t="shared" si="55"/>
        <v>0</v>
      </c>
      <c r="AS111" s="480"/>
      <c r="AT111" s="477">
        <f t="shared" ca="1" si="56"/>
        <v>0</v>
      </c>
      <c r="AU111" s="475">
        <f t="shared" ca="1" si="57"/>
        <v>0</v>
      </c>
      <c r="AV111" s="480"/>
      <c r="AW111" s="477">
        <f t="shared" si="58"/>
        <v>0</v>
      </c>
      <c r="AX111" s="480"/>
      <c r="AY111" s="477">
        <f t="shared" si="59"/>
        <v>0</v>
      </c>
      <c r="AZ111" s="480"/>
      <c r="BA111" s="477">
        <f t="shared" si="60"/>
        <v>0</v>
      </c>
      <c r="BB111" s="480"/>
      <c r="BC111" s="850">
        <f t="shared" ca="1" si="61"/>
        <v>4219311.1449999996</v>
      </c>
    </row>
    <row r="112" spans="1:55" ht="56">
      <c r="A112" s="837" t="str">
        <f t="shared" ca="1" si="33"/>
        <v/>
      </c>
      <c r="B112" s="440">
        <v>106</v>
      </c>
      <c r="C112" s="834" t="str">
        <f t="shared" ca="1" si="34"/>
        <v>2.</v>
      </c>
      <c r="D112" s="1757" t="str">
        <f ca="1">IFERROR(VLOOKUP(LEFT(E112,4),Nom_activ_2!D:G,4,0),"")</f>
        <v>2.2.  Fortificarea rețelei de laborator prin asigurarea controlului calității și biosecurității în conformitate cu standardele naționale și internaționale în cadrul rețelei naționale de laboratoare implicate în diagnosticul microbiologic al TB</v>
      </c>
      <c r="E112" s="1757" t="str">
        <f t="shared" ca="1" si="35"/>
        <v xml:space="preserve">2.2.3. Implementarea Standardelor de biosecuritate (BSC) în laboratoarele microbiologice TB </v>
      </c>
      <c r="F112" s="1777" t="str">
        <f t="shared" ca="1" si="63"/>
        <v>2.2.3.2 Instruirea unui specialist in standarte securitate biologica (certificare hote)</v>
      </c>
      <c r="G112" s="839">
        <f t="shared" ca="1" si="63"/>
        <v>0</v>
      </c>
      <c r="H112" s="840" t="str">
        <f t="shared" ca="1" si="63"/>
        <v>GFATM</v>
      </c>
      <c r="I112" s="443" t="s">
        <v>2378</v>
      </c>
      <c r="J112" s="838" t="str">
        <f t="shared" si="36"/>
        <v>Estimare_laborator!$A:$j</v>
      </c>
      <c r="K112" s="475">
        <f t="shared" ca="1" si="37"/>
        <v>0</v>
      </c>
      <c r="L112" s="480"/>
      <c r="M112" s="477">
        <f t="shared" si="38"/>
        <v>0</v>
      </c>
      <c r="N112" s="480"/>
      <c r="O112" s="477">
        <f t="shared" si="39"/>
        <v>0</v>
      </c>
      <c r="P112" s="480"/>
      <c r="Q112" s="477">
        <f t="shared" si="40"/>
        <v>0</v>
      </c>
      <c r="R112" s="480"/>
      <c r="S112" s="477">
        <f t="shared" ca="1" si="41"/>
        <v>0</v>
      </c>
      <c r="T112" s="475">
        <f t="shared" ca="1" si="42"/>
        <v>60430.936688989997</v>
      </c>
      <c r="U112" s="480"/>
      <c r="V112" s="477">
        <f t="shared" si="43"/>
        <v>0</v>
      </c>
      <c r="W112" s="480"/>
      <c r="X112" s="477">
        <f t="shared" si="44"/>
        <v>0</v>
      </c>
      <c r="Y112" s="480"/>
      <c r="Z112" s="477">
        <f t="shared" si="45"/>
        <v>0</v>
      </c>
      <c r="AA112" s="480"/>
      <c r="AB112" s="477">
        <f t="shared" ca="1" si="46"/>
        <v>60430.936688989997</v>
      </c>
      <c r="AC112" s="475">
        <f t="shared" ca="1" si="47"/>
        <v>0</v>
      </c>
      <c r="AD112" s="480"/>
      <c r="AE112" s="477">
        <f t="shared" si="48"/>
        <v>0</v>
      </c>
      <c r="AF112" s="480"/>
      <c r="AG112" s="477">
        <f t="shared" si="49"/>
        <v>0</v>
      </c>
      <c r="AH112" s="480"/>
      <c r="AI112" s="477">
        <f t="shared" si="50"/>
        <v>0</v>
      </c>
      <c r="AJ112" s="480"/>
      <c r="AK112" s="477">
        <f t="shared" ca="1" si="51"/>
        <v>0</v>
      </c>
      <c r="AL112" s="475">
        <f t="shared" ca="1" si="52"/>
        <v>0</v>
      </c>
      <c r="AM112" s="480"/>
      <c r="AN112" s="477">
        <f t="shared" si="53"/>
        <v>0</v>
      </c>
      <c r="AO112" s="480"/>
      <c r="AP112" s="477">
        <f t="shared" si="54"/>
        <v>0</v>
      </c>
      <c r="AQ112" s="480"/>
      <c r="AR112" s="477">
        <f t="shared" si="55"/>
        <v>0</v>
      </c>
      <c r="AS112" s="480"/>
      <c r="AT112" s="477">
        <f t="shared" ca="1" si="56"/>
        <v>0</v>
      </c>
      <c r="AU112" s="475">
        <f t="shared" ca="1" si="57"/>
        <v>0</v>
      </c>
      <c r="AV112" s="480"/>
      <c r="AW112" s="477">
        <f t="shared" si="58"/>
        <v>0</v>
      </c>
      <c r="AX112" s="480"/>
      <c r="AY112" s="477">
        <f t="shared" si="59"/>
        <v>0</v>
      </c>
      <c r="AZ112" s="480"/>
      <c r="BA112" s="477">
        <f t="shared" si="60"/>
        <v>0</v>
      </c>
      <c r="BB112" s="480"/>
      <c r="BC112" s="850">
        <f t="shared" ca="1" si="61"/>
        <v>60430.936688989997</v>
      </c>
    </row>
    <row r="113" spans="1:55" ht="56">
      <c r="A113" s="837" t="str">
        <f t="shared" ca="1" si="33"/>
        <v/>
      </c>
      <c r="B113" s="440">
        <v>107</v>
      </c>
      <c r="C113" s="834" t="str">
        <f t="shared" ca="1" si="34"/>
        <v>2.</v>
      </c>
      <c r="D113" s="1757" t="str">
        <f ca="1">IFERROR(VLOOKUP(LEFT(E113,4),Nom_activ_2!D:G,4,0),"")</f>
        <v>2.3.  Asigurarea monitorizării tratamentului pacienților cu TB și TB MDR cu supravegherea rezistenței M. tuberculosis către medicamente</v>
      </c>
      <c r="E113" s="1757" t="str">
        <f t="shared" ca="1" si="35"/>
        <v>2.3.1. Aplicarea metodelor fenotipice și genotipice de testare rezistenței a M.tuberculosis către preparatele și supravegherea rezistenței M.tuberculosis către medicamente la nivel național</v>
      </c>
      <c r="F113" s="1777" t="str">
        <f t="shared" ca="1" si="63"/>
        <v>Costurile reactivelor, echipamentului de laborator_Malul Drept</v>
      </c>
      <c r="G113" s="839">
        <f t="shared" ca="1" si="63"/>
        <v>0</v>
      </c>
      <c r="H113" s="840" t="str">
        <f t="shared" ca="1" si="63"/>
        <v>MMPSF</v>
      </c>
      <c r="I113" s="443" t="s">
        <v>3225</v>
      </c>
      <c r="J113" s="838" t="str">
        <f t="shared" si="36"/>
        <v>Estimare_lab_2!$A:$j</v>
      </c>
      <c r="K113" s="475">
        <f t="shared" ca="1" si="37"/>
        <v>9992617.8345800005</v>
      </c>
      <c r="L113" s="480"/>
      <c r="M113" s="477">
        <f t="shared" si="38"/>
        <v>0</v>
      </c>
      <c r="N113" s="480"/>
      <c r="O113" s="477">
        <f t="shared" si="39"/>
        <v>0</v>
      </c>
      <c r="P113" s="480"/>
      <c r="Q113" s="477">
        <f t="shared" si="40"/>
        <v>0</v>
      </c>
      <c r="R113" s="480"/>
      <c r="S113" s="477">
        <f t="shared" ca="1" si="41"/>
        <v>9992617.8345800005</v>
      </c>
      <c r="T113" s="475">
        <f t="shared" ca="1" si="42"/>
        <v>10136361.856999999</v>
      </c>
      <c r="U113" s="480"/>
      <c r="V113" s="477">
        <f t="shared" si="43"/>
        <v>0</v>
      </c>
      <c r="W113" s="480"/>
      <c r="X113" s="477">
        <f t="shared" si="44"/>
        <v>0</v>
      </c>
      <c r="Y113" s="480"/>
      <c r="Z113" s="477">
        <f t="shared" si="45"/>
        <v>0</v>
      </c>
      <c r="AA113" s="480"/>
      <c r="AB113" s="477">
        <f t="shared" ca="1" si="46"/>
        <v>10136361.856999999</v>
      </c>
      <c r="AC113" s="475">
        <f t="shared" ca="1" si="47"/>
        <v>10152673.266179999</v>
      </c>
      <c r="AD113" s="480"/>
      <c r="AE113" s="477">
        <f t="shared" si="48"/>
        <v>0</v>
      </c>
      <c r="AF113" s="480"/>
      <c r="AG113" s="477">
        <f t="shared" si="49"/>
        <v>0</v>
      </c>
      <c r="AH113" s="480"/>
      <c r="AI113" s="477">
        <f t="shared" si="50"/>
        <v>0</v>
      </c>
      <c r="AJ113" s="480"/>
      <c r="AK113" s="477">
        <f t="shared" ca="1" si="51"/>
        <v>10152673.266179999</v>
      </c>
      <c r="AL113" s="475">
        <f t="shared" ca="1" si="52"/>
        <v>11084010.81992</v>
      </c>
      <c r="AM113" s="480"/>
      <c r="AN113" s="477">
        <f t="shared" si="53"/>
        <v>0</v>
      </c>
      <c r="AO113" s="480"/>
      <c r="AP113" s="477">
        <f t="shared" si="54"/>
        <v>0</v>
      </c>
      <c r="AQ113" s="480"/>
      <c r="AR113" s="477">
        <f t="shared" si="55"/>
        <v>0</v>
      </c>
      <c r="AS113" s="480"/>
      <c r="AT113" s="477">
        <f t="shared" ca="1" si="56"/>
        <v>11084010.81992</v>
      </c>
      <c r="AU113" s="475">
        <f t="shared" ca="1" si="57"/>
        <v>14483733.714700002</v>
      </c>
      <c r="AV113" s="480"/>
      <c r="AW113" s="477">
        <f t="shared" si="58"/>
        <v>0</v>
      </c>
      <c r="AX113" s="480"/>
      <c r="AY113" s="477">
        <f t="shared" si="59"/>
        <v>0</v>
      </c>
      <c r="AZ113" s="480"/>
      <c r="BA113" s="477">
        <f t="shared" si="60"/>
        <v>0</v>
      </c>
      <c r="BB113" s="480"/>
      <c r="BC113" s="850">
        <f t="shared" ca="1" si="61"/>
        <v>55849397.492379993</v>
      </c>
    </row>
    <row r="114" spans="1:55" ht="56">
      <c r="A114" s="837" t="str">
        <f t="shared" ca="1" si="33"/>
        <v/>
      </c>
      <c r="B114" s="440">
        <v>108</v>
      </c>
      <c r="C114" s="834" t="str">
        <f t="shared" ca="1" si="34"/>
        <v>2.</v>
      </c>
      <c r="D114" s="1757" t="str">
        <f ca="1">IFERROR(VLOOKUP(LEFT(E114,4),Nom_activ_2!D:G,4,0),"")</f>
        <v>2.3.  Asigurarea monitorizării tratamentului pacienților cu TB și TB MDR cu supravegherea rezistenței M. tuberculosis către medicamente</v>
      </c>
      <c r="E114" s="1757" t="str">
        <f t="shared" ca="1" si="35"/>
        <v>2.3.1. Aplicarea metodelor fenotipice și genotipice de testare rezistenței a M.tuberculosis către preparatele și supravegherea rezistenței M.tuberculosis către medicamente la nivel național</v>
      </c>
      <c r="F114" s="1777" t="str">
        <f t="shared" ca="1" si="63"/>
        <v>Costurile reactivelor, echipamentului de laborator_Malul Stang</v>
      </c>
      <c r="G114" s="839">
        <f t="shared" ca="1" si="63"/>
        <v>0</v>
      </c>
      <c r="H114" s="840" t="str">
        <f t="shared" ca="1" si="63"/>
        <v>Buget local (Malul Stang)</v>
      </c>
      <c r="I114" s="443" t="s">
        <v>3225</v>
      </c>
      <c r="J114" s="838" t="str">
        <f t="shared" si="36"/>
        <v>Estimare_lab_2!$A:$j</v>
      </c>
      <c r="K114" s="475">
        <f t="shared" ca="1" si="37"/>
        <v>2044038.4774200004</v>
      </c>
      <c r="L114" s="480"/>
      <c r="M114" s="477">
        <f t="shared" si="38"/>
        <v>0</v>
      </c>
      <c r="N114" s="480"/>
      <c r="O114" s="477">
        <f t="shared" si="39"/>
        <v>0</v>
      </c>
      <c r="P114" s="480"/>
      <c r="Q114" s="477">
        <f t="shared" si="40"/>
        <v>0</v>
      </c>
      <c r="R114" s="480"/>
      <c r="S114" s="477">
        <f t="shared" ca="1" si="41"/>
        <v>2044038.4774200004</v>
      </c>
      <c r="T114" s="475">
        <f t="shared" ca="1" si="42"/>
        <v>2165809.0521000004</v>
      </c>
      <c r="U114" s="480"/>
      <c r="V114" s="477">
        <f t="shared" si="43"/>
        <v>0</v>
      </c>
      <c r="W114" s="480"/>
      <c r="X114" s="477">
        <f t="shared" si="44"/>
        <v>0</v>
      </c>
      <c r="Y114" s="480"/>
      <c r="Z114" s="477">
        <f t="shared" si="45"/>
        <v>0</v>
      </c>
      <c r="AA114" s="480"/>
      <c r="AB114" s="477">
        <f t="shared" ca="1" si="46"/>
        <v>2165809.0521000004</v>
      </c>
      <c r="AC114" s="475">
        <f t="shared" ca="1" si="47"/>
        <v>2234950.1270800005</v>
      </c>
      <c r="AD114" s="480"/>
      <c r="AE114" s="477">
        <f t="shared" si="48"/>
        <v>0</v>
      </c>
      <c r="AF114" s="480"/>
      <c r="AG114" s="477">
        <f t="shared" si="49"/>
        <v>0</v>
      </c>
      <c r="AH114" s="480"/>
      <c r="AI114" s="477">
        <f t="shared" si="50"/>
        <v>0</v>
      </c>
      <c r="AJ114" s="480"/>
      <c r="AK114" s="477">
        <f t="shared" ca="1" si="51"/>
        <v>2234950.1270800005</v>
      </c>
      <c r="AL114" s="475">
        <f t="shared" ca="1" si="52"/>
        <v>3055105.0926000006</v>
      </c>
      <c r="AM114" s="480"/>
      <c r="AN114" s="477">
        <f t="shared" si="53"/>
        <v>0</v>
      </c>
      <c r="AO114" s="480"/>
      <c r="AP114" s="477">
        <f t="shared" si="54"/>
        <v>0</v>
      </c>
      <c r="AQ114" s="480"/>
      <c r="AR114" s="477">
        <f t="shared" si="55"/>
        <v>0</v>
      </c>
      <c r="AS114" s="480"/>
      <c r="AT114" s="477">
        <f t="shared" ca="1" si="56"/>
        <v>3055105.0926000006</v>
      </c>
      <c r="AU114" s="475">
        <f t="shared" ca="1" si="57"/>
        <v>3468463.0493200002</v>
      </c>
      <c r="AV114" s="480"/>
      <c r="AW114" s="477">
        <f t="shared" si="58"/>
        <v>0</v>
      </c>
      <c r="AX114" s="480"/>
      <c r="AY114" s="477">
        <f t="shared" si="59"/>
        <v>0</v>
      </c>
      <c r="AZ114" s="480"/>
      <c r="BA114" s="477">
        <f t="shared" si="60"/>
        <v>0</v>
      </c>
      <c r="BB114" s="480"/>
      <c r="BC114" s="850">
        <f t="shared" ca="1" si="61"/>
        <v>12968365.798520003</v>
      </c>
    </row>
    <row r="115" spans="1:55" ht="28">
      <c r="A115" s="837" t="str">
        <f t="shared" ca="1" si="33"/>
        <v/>
      </c>
      <c r="B115" s="440">
        <v>109</v>
      </c>
      <c r="C115" s="834" t="str">
        <f t="shared" ca="1" si="34"/>
        <v>2.</v>
      </c>
      <c r="D115" s="1757" t="str">
        <f ca="1">IFERROR(VLOOKUP(LEFT(E115,4),Nom_activ_2!D:G,4,0),"")</f>
        <v xml:space="preserve">2.1.  Asigurarea depistării TB prin aplicarea constantă și extinderea metodelor microbiologice rapide de diagnostic </v>
      </c>
      <c r="E115" s="1757" t="str">
        <f t="shared" ca="1" si="35"/>
        <v>2.1.1. Aplicarea metodelor molecular genetice pentru diagnosticul rapid al TB și RR/MDR TB</v>
      </c>
      <c r="F115" s="1777" t="str">
        <f t="shared" ca="1" si="63"/>
        <v>2.1.1.1. Cost teste Xpert_Malul Drept</v>
      </c>
      <c r="G115" s="839">
        <f t="shared" ca="1" si="63"/>
        <v>0</v>
      </c>
      <c r="H115" s="840" t="str">
        <f t="shared" ca="1" si="63"/>
        <v>MMPSF</v>
      </c>
      <c r="I115" s="443" t="s">
        <v>3225</v>
      </c>
      <c r="J115" s="838" t="str">
        <f t="shared" si="36"/>
        <v>Estimare_lab_2!$A:$j</v>
      </c>
      <c r="K115" s="475">
        <f t="shared" ca="1" si="37"/>
        <v>2521760.48</v>
      </c>
      <c r="L115" s="480"/>
      <c r="M115" s="477">
        <f t="shared" si="38"/>
        <v>0</v>
      </c>
      <c r="N115" s="480"/>
      <c r="O115" s="477">
        <f t="shared" si="39"/>
        <v>0</v>
      </c>
      <c r="P115" s="480"/>
      <c r="Q115" s="477">
        <f t="shared" si="40"/>
        <v>0</v>
      </c>
      <c r="R115" s="480"/>
      <c r="S115" s="477">
        <f t="shared" ca="1" si="41"/>
        <v>2521760.48</v>
      </c>
      <c r="T115" s="475">
        <f t="shared" ca="1" si="42"/>
        <v>2882838.4</v>
      </c>
      <c r="U115" s="480"/>
      <c r="V115" s="477">
        <f t="shared" si="43"/>
        <v>0</v>
      </c>
      <c r="W115" s="480"/>
      <c r="X115" s="477">
        <f t="shared" si="44"/>
        <v>0</v>
      </c>
      <c r="Y115" s="480"/>
      <c r="Z115" s="477">
        <f t="shared" si="45"/>
        <v>0</v>
      </c>
      <c r="AA115" s="480"/>
      <c r="AB115" s="477">
        <f t="shared" ca="1" si="46"/>
        <v>2882838.4</v>
      </c>
      <c r="AC115" s="475">
        <f t="shared" ca="1" si="47"/>
        <v>3256209.36</v>
      </c>
      <c r="AD115" s="480"/>
      <c r="AE115" s="477">
        <f t="shared" si="48"/>
        <v>0</v>
      </c>
      <c r="AF115" s="480"/>
      <c r="AG115" s="477">
        <f t="shared" si="49"/>
        <v>0</v>
      </c>
      <c r="AH115" s="480"/>
      <c r="AI115" s="477">
        <f t="shared" si="50"/>
        <v>0</v>
      </c>
      <c r="AJ115" s="480"/>
      <c r="AK115" s="477">
        <f t="shared" ca="1" si="51"/>
        <v>3256209.36</v>
      </c>
      <c r="AL115" s="475">
        <f t="shared" ca="1" si="52"/>
        <v>6067217.8399999999</v>
      </c>
      <c r="AM115" s="480"/>
      <c r="AN115" s="477">
        <f t="shared" si="53"/>
        <v>0</v>
      </c>
      <c r="AO115" s="480"/>
      <c r="AP115" s="477">
        <f t="shared" si="54"/>
        <v>0</v>
      </c>
      <c r="AQ115" s="480"/>
      <c r="AR115" s="477">
        <f t="shared" si="55"/>
        <v>0</v>
      </c>
      <c r="AS115" s="480"/>
      <c r="AT115" s="477">
        <f t="shared" ca="1" si="56"/>
        <v>6067217.8399999999</v>
      </c>
      <c r="AU115" s="475">
        <f t="shared" ca="1" si="57"/>
        <v>5896320.4799999995</v>
      </c>
      <c r="AV115" s="480"/>
      <c r="AW115" s="477">
        <f t="shared" si="58"/>
        <v>0</v>
      </c>
      <c r="AX115" s="480"/>
      <c r="AY115" s="477">
        <f t="shared" si="59"/>
        <v>0</v>
      </c>
      <c r="AZ115" s="480"/>
      <c r="BA115" s="477">
        <f t="shared" si="60"/>
        <v>0</v>
      </c>
      <c r="BB115" s="480"/>
      <c r="BC115" s="850">
        <f t="shared" ca="1" si="61"/>
        <v>20624346.559999999</v>
      </c>
    </row>
    <row r="116" spans="1:55" ht="28">
      <c r="A116" s="837" t="str">
        <f t="shared" ca="1" si="33"/>
        <v/>
      </c>
      <c r="B116" s="440">
        <v>110</v>
      </c>
      <c r="C116" s="834" t="str">
        <f t="shared" ca="1" si="34"/>
        <v>2.</v>
      </c>
      <c r="D116" s="1757" t="str">
        <f ca="1">IFERROR(VLOOKUP(LEFT(E116,4),Nom_activ_2!D:G,4,0),"")</f>
        <v xml:space="preserve">2.1.  Asigurarea depistării TB prin aplicarea constantă și extinderea metodelor microbiologice rapide de diagnostic </v>
      </c>
      <c r="E116" s="1757" t="str">
        <f t="shared" ca="1" si="35"/>
        <v>2.1.1. Aplicarea metodelor molecular genetice pentru diagnosticul rapid al TB și RR/MDR TB</v>
      </c>
      <c r="F116" s="1777" t="str">
        <f t="shared" ca="1" si="63"/>
        <v>2.1.1.1. Cost teste Xpert_Malul Stang</v>
      </c>
      <c r="G116" s="839">
        <f t="shared" ca="1" si="63"/>
        <v>0</v>
      </c>
      <c r="H116" s="840" t="str">
        <f t="shared" ca="1" si="63"/>
        <v>Buget local (Malul Stang)</v>
      </c>
      <c r="I116" s="443" t="s">
        <v>3225</v>
      </c>
      <c r="J116" s="838" t="str">
        <f t="shared" si="36"/>
        <v>Estimare_lab_2!$A:$j</v>
      </c>
      <c r="K116" s="475">
        <f t="shared" ca="1" si="37"/>
        <v>0</v>
      </c>
      <c r="L116" s="480"/>
      <c r="M116" s="477">
        <f t="shared" si="38"/>
        <v>0</v>
      </c>
      <c r="N116" s="480"/>
      <c r="O116" s="477">
        <f t="shared" si="39"/>
        <v>0</v>
      </c>
      <c r="P116" s="480"/>
      <c r="Q116" s="477">
        <f t="shared" si="40"/>
        <v>0</v>
      </c>
      <c r="R116" s="480"/>
      <c r="S116" s="477">
        <f t="shared" ca="1" si="41"/>
        <v>0</v>
      </c>
      <c r="T116" s="475">
        <f t="shared" ca="1" si="42"/>
        <v>0</v>
      </c>
      <c r="U116" s="480"/>
      <c r="V116" s="477">
        <f t="shared" si="43"/>
        <v>0</v>
      </c>
      <c r="W116" s="480"/>
      <c r="X116" s="477">
        <f t="shared" si="44"/>
        <v>0</v>
      </c>
      <c r="Y116" s="480"/>
      <c r="Z116" s="477">
        <f t="shared" si="45"/>
        <v>0</v>
      </c>
      <c r="AA116" s="480"/>
      <c r="AB116" s="477">
        <f t="shared" ca="1" si="46"/>
        <v>0</v>
      </c>
      <c r="AC116" s="475">
        <f t="shared" ca="1" si="47"/>
        <v>0</v>
      </c>
      <c r="AD116" s="480"/>
      <c r="AE116" s="477">
        <f t="shared" si="48"/>
        <v>0</v>
      </c>
      <c r="AF116" s="480"/>
      <c r="AG116" s="477">
        <f t="shared" si="49"/>
        <v>0</v>
      </c>
      <c r="AH116" s="480"/>
      <c r="AI116" s="477">
        <f t="shared" si="50"/>
        <v>0</v>
      </c>
      <c r="AJ116" s="480"/>
      <c r="AK116" s="477">
        <f t="shared" ca="1" si="51"/>
        <v>0</v>
      </c>
      <c r="AL116" s="475">
        <f t="shared" ca="1" si="52"/>
        <v>1577606.8</v>
      </c>
      <c r="AM116" s="480"/>
      <c r="AN116" s="477">
        <f t="shared" si="53"/>
        <v>0</v>
      </c>
      <c r="AO116" s="480"/>
      <c r="AP116" s="477">
        <f t="shared" si="54"/>
        <v>0</v>
      </c>
      <c r="AQ116" s="480"/>
      <c r="AR116" s="477">
        <f t="shared" si="55"/>
        <v>0</v>
      </c>
      <c r="AS116" s="480"/>
      <c r="AT116" s="477">
        <f t="shared" ca="1" si="56"/>
        <v>1577606.8</v>
      </c>
      <c r="AU116" s="475">
        <f t="shared" ca="1" si="57"/>
        <v>1577606.8</v>
      </c>
      <c r="AV116" s="480"/>
      <c r="AW116" s="477">
        <f t="shared" si="58"/>
        <v>0</v>
      </c>
      <c r="AX116" s="480"/>
      <c r="AY116" s="477">
        <f t="shared" si="59"/>
        <v>0</v>
      </c>
      <c r="AZ116" s="480"/>
      <c r="BA116" s="477">
        <f t="shared" si="60"/>
        <v>0</v>
      </c>
      <c r="BB116" s="480"/>
      <c r="BC116" s="850">
        <f t="shared" ca="1" si="61"/>
        <v>3155213.6</v>
      </c>
    </row>
    <row r="117" spans="1:55" ht="56">
      <c r="A117" s="837" t="str">
        <f t="shared" ca="1" si="33"/>
        <v/>
      </c>
      <c r="B117" s="440">
        <v>111</v>
      </c>
      <c r="C117" s="834" t="str">
        <f t="shared" ca="1" si="34"/>
        <v>2.</v>
      </c>
      <c r="D117" s="1757" t="str">
        <f ca="1">IFERROR(VLOOKUP(LEFT(E117,4),Nom_activ_2!D:G,4,0),"")</f>
        <v>2.3.  Asigurarea monitorizării tratamentului pacienților cu TB și TB MDR cu supravegherea rezistenței M. tuberculosis către medicamente</v>
      </c>
      <c r="E117" s="1757" t="str">
        <f t="shared" ca="1" si="35"/>
        <v>2.3.1. Aplicarea metodelor fenotipice și genotipice de testare rezistenței a M.tuberculosis către preparatele și supravegherea rezistenței M.tuberculosis către medicamente la nivel național</v>
      </c>
      <c r="F117" s="1777" t="str">
        <f t="shared" ca="1" si="63"/>
        <v>Costurile reactivelor, echipamentului de laborator_Malul Drept</v>
      </c>
      <c r="G117" s="839">
        <f t="shared" ca="1" si="63"/>
        <v>0</v>
      </c>
      <c r="H117" s="840" t="str">
        <f t="shared" ca="1" si="63"/>
        <v>GFATM</v>
      </c>
      <c r="I117" s="443" t="s">
        <v>3225</v>
      </c>
      <c r="J117" s="838" t="str">
        <f t="shared" si="36"/>
        <v>Estimare_lab_2!$A:$j</v>
      </c>
      <c r="K117" s="475">
        <f t="shared" ca="1" si="37"/>
        <v>3392726.8771122</v>
      </c>
      <c r="L117" s="480"/>
      <c r="M117" s="477">
        <f t="shared" si="38"/>
        <v>0</v>
      </c>
      <c r="N117" s="480"/>
      <c r="O117" s="477">
        <f t="shared" si="39"/>
        <v>0</v>
      </c>
      <c r="P117" s="480"/>
      <c r="Q117" s="477">
        <f t="shared" si="40"/>
        <v>0</v>
      </c>
      <c r="R117" s="480"/>
      <c r="S117" s="477">
        <f t="shared" ca="1" si="41"/>
        <v>3392726.8771122</v>
      </c>
      <c r="T117" s="475">
        <f t="shared" ca="1" si="42"/>
        <v>2467330.6668266403</v>
      </c>
      <c r="U117" s="480"/>
      <c r="V117" s="477">
        <f t="shared" si="43"/>
        <v>0</v>
      </c>
      <c r="W117" s="480"/>
      <c r="X117" s="477">
        <f t="shared" si="44"/>
        <v>0</v>
      </c>
      <c r="Y117" s="480"/>
      <c r="Z117" s="477">
        <f t="shared" si="45"/>
        <v>0</v>
      </c>
      <c r="AA117" s="480"/>
      <c r="AB117" s="477">
        <f t="shared" ca="1" si="46"/>
        <v>2467330.6668266403</v>
      </c>
      <c r="AC117" s="475">
        <f t="shared" ca="1" si="47"/>
        <v>3948853.4793260694</v>
      </c>
      <c r="AD117" s="480"/>
      <c r="AE117" s="477">
        <f t="shared" si="48"/>
        <v>0</v>
      </c>
      <c r="AF117" s="480"/>
      <c r="AG117" s="477">
        <f t="shared" si="49"/>
        <v>0</v>
      </c>
      <c r="AH117" s="480"/>
      <c r="AI117" s="477">
        <f t="shared" si="50"/>
        <v>0</v>
      </c>
      <c r="AJ117" s="480"/>
      <c r="AK117" s="477">
        <f t="shared" ca="1" si="51"/>
        <v>3948853.4793260694</v>
      </c>
      <c r="AL117" s="475">
        <f t="shared" ca="1" si="52"/>
        <v>0</v>
      </c>
      <c r="AM117" s="480"/>
      <c r="AN117" s="477">
        <f t="shared" si="53"/>
        <v>0</v>
      </c>
      <c r="AO117" s="480"/>
      <c r="AP117" s="477">
        <f t="shared" si="54"/>
        <v>0</v>
      </c>
      <c r="AQ117" s="480"/>
      <c r="AR117" s="477">
        <f t="shared" si="55"/>
        <v>0</v>
      </c>
      <c r="AS117" s="480"/>
      <c r="AT117" s="477">
        <f t="shared" ca="1" si="56"/>
        <v>0</v>
      </c>
      <c r="AU117" s="475">
        <f t="shared" ca="1" si="57"/>
        <v>0</v>
      </c>
      <c r="AV117" s="480"/>
      <c r="AW117" s="477">
        <f t="shared" si="58"/>
        <v>0</v>
      </c>
      <c r="AX117" s="480"/>
      <c r="AY117" s="477">
        <f t="shared" si="59"/>
        <v>0</v>
      </c>
      <c r="AZ117" s="480"/>
      <c r="BA117" s="477">
        <f t="shared" si="60"/>
        <v>0</v>
      </c>
      <c r="BB117" s="480"/>
      <c r="BC117" s="850">
        <f t="shared" ca="1" si="61"/>
        <v>9808911.0232649092</v>
      </c>
    </row>
    <row r="118" spans="1:55" ht="56">
      <c r="A118" s="837" t="str">
        <f t="shared" ca="1" si="33"/>
        <v/>
      </c>
      <c r="B118" s="440">
        <v>112</v>
      </c>
      <c r="C118" s="834" t="str">
        <f t="shared" ca="1" si="34"/>
        <v>2.</v>
      </c>
      <c r="D118" s="1757" t="str">
        <f ca="1">IFERROR(VLOOKUP(LEFT(E118,4),Nom_activ_2!D:G,4,0),"")</f>
        <v>2.3.  Asigurarea monitorizării tratamentului pacienților cu TB și TB MDR cu supravegherea rezistenței M. tuberculosis către medicamente</v>
      </c>
      <c r="E118" s="1757" t="str">
        <f t="shared" ca="1" si="35"/>
        <v>2.3.1. Aplicarea metodelor fenotipice și genotipice de testare rezistenței a M.tuberculosis către preparatele și supravegherea rezistenței M.tuberculosis către medicamente la nivel național</v>
      </c>
      <c r="F118" s="1777" t="str">
        <f t="shared" ca="1" si="63"/>
        <v>Costurile reactivelor, echipamentului de laborator_Malul Stang</v>
      </c>
      <c r="G118" s="839">
        <f t="shared" ca="1" si="63"/>
        <v>0</v>
      </c>
      <c r="H118" s="840" t="str">
        <f t="shared" ca="1" si="63"/>
        <v>GFATM</v>
      </c>
      <c r="I118" s="443" t="s">
        <v>3225</v>
      </c>
      <c r="J118" s="838" t="str">
        <f t="shared" si="36"/>
        <v>Estimare_lab_2!$A:$j</v>
      </c>
      <c r="K118" s="475">
        <f t="shared" ca="1" si="37"/>
        <v>1470178.3286745499</v>
      </c>
      <c r="L118" s="480"/>
      <c r="M118" s="477">
        <f t="shared" si="38"/>
        <v>0</v>
      </c>
      <c r="N118" s="480"/>
      <c r="O118" s="477">
        <f t="shared" si="39"/>
        <v>0</v>
      </c>
      <c r="P118" s="480"/>
      <c r="Q118" s="477">
        <f t="shared" si="40"/>
        <v>0</v>
      </c>
      <c r="R118" s="480"/>
      <c r="S118" s="477">
        <f t="shared" ca="1" si="41"/>
        <v>1470178.3286745499</v>
      </c>
      <c r="T118" s="475">
        <f t="shared" ca="1" si="42"/>
        <v>1245812.3287311299</v>
      </c>
      <c r="U118" s="480"/>
      <c r="V118" s="477">
        <f t="shared" si="43"/>
        <v>0</v>
      </c>
      <c r="W118" s="480"/>
      <c r="X118" s="477">
        <f t="shared" si="44"/>
        <v>0</v>
      </c>
      <c r="Y118" s="480"/>
      <c r="Z118" s="477">
        <f t="shared" si="45"/>
        <v>0</v>
      </c>
      <c r="AA118" s="480"/>
      <c r="AB118" s="477">
        <f t="shared" ca="1" si="46"/>
        <v>1245812.3287311299</v>
      </c>
      <c r="AC118" s="475">
        <f t="shared" ca="1" si="47"/>
        <v>1715292.18003723</v>
      </c>
      <c r="AD118" s="480"/>
      <c r="AE118" s="477">
        <f t="shared" si="48"/>
        <v>0</v>
      </c>
      <c r="AF118" s="480"/>
      <c r="AG118" s="477">
        <f t="shared" si="49"/>
        <v>0</v>
      </c>
      <c r="AH118" s="480"/>
      <c r="AI118" s="477">
        <f t="shared" si="50"/>
        <v>0</v>
      </c>
      <c r="AJ118" s="480"/>
      <c r="AK118" s="477">
        <f t="shared" ca="1" si="51"/>
        <v>1715292.18003723</v>
      </c>
      <c r="AL118" s="475">
        <f t="shared" ca="1" si="52"/>
        <v>0</v>
      </c>
      <c r="AM118" s="480"/>
      <c r="AN118" s="477">
        <f t="shared" si="53"/>
        <v>0</v>
      </c>
      <c r="AO118" s="480"/>
      <c r="AP118" s="477">
        <f t="shared" si="54"/>
        <v>0</v>
      </c>
      <c r="AQ118" s="480"/>
      <c r="AR118" s="477">
        <f t="shared" si="55"/>
        <v>0</v>
      </c>
      <c r="AS118" s="480"/>
      <c r="AT118" s="477">
        <f t="shared" ca="1" si="56"/>
        <v>0</v>
      </c>
      <c r="AU118" s="475">
        <f t="shared" ca="1" si="57"/>
        <v>0</v>
      </c>
      <c r="AV118" s="480"/>
      <c r="AW118" s="477">
        <f t="shared" si="58"/>
        <v>0</v>
      </c>
      <c r="AX118" s="480"/>
      <c r="AY118" s="477">
        <f t="shared" si="59"/>
        <v>0</v>
      </c>
      <c r="AZ118" s="480"/>
      <c r="BA118" s="477">
        <f t="shared" si="60"/>
        <v>0</v>
      </c>
      <c r="BB118" s="480"/>
      <c r="BC118" s="850">
        <f t="shared" ca="1" si="61"/>
        <v>4431282.8374429103</v>
      </c>
    </row>
    <row r="119" spans="1:55" ht="28">
      <c r="A119" s="837" t="str">
        <f t="shared" ca="1" si="33"/>
        <v/>
      </c>
      <c r="B119" s="440">
        <v>113</v>
      </c>
      <c r="C119" s="834" t="str">
        <f t="shared" ca="1" si="34"/>
        <v>2.</v>
      </c>
      <c r="D119" s="1757" t="str">
        <f ca="1">IFERROR(VLOOKUP(LEFT(E119,4),Nom_activ_2!D:G,4,0),"")</f>
        <v xml:space="preserve">2.1.  Asigurarea depistării TB prin aplicarea constantă și extinderea metodelor microbiologice rapide de diagnostic </v>
      </c>
      <c r="E119" s="1757" t="str">
        <f t="shared" ca="1" si="35"/>
        <v>2.1.1. Aplicarea metodelor molecular genetice pentru diagnosticul rapid al TB și RR/MDR TB</v>
      </c>
      <c r="F119" s="1777" t="str">
        <f t="shared" ca="1" si="63"/>
        <v>2.1.1.1. Cost teste Xpert_Malul Drept</v>
      </c>
      <c r="G119" s="839">
        <f t="shared" ca="1" si="63"/>
        <v>0</v>
      </c>
      <c r="H119" s="840" t="str">
        <f t="shared" ca="1" si="63"/>
        <v>GFATM</v>
      </c>
      <c r="I119" s="443" t="s">
        <v>3225</v>
      </c>
      <c r="J119" s="838" t="str">
        <f t="shared" si="36"/>
        <v>Estimare_lab_2!$A:$j</v>
      </c>
      <c r="K119" s="475">
        <f t="shared" ca="1" si="37"/>
        <v>2309304.7907679002</v>
      </c>
      <c r="L119" s="480"/>
      <c r="M119" s="477">
        <f t="shared" si="38"/>
        <v>0</v>
      </c>
      <c r="N119" s="480"/>
      <c r="O119" s="477">
        <f t="shared" si="39"/>
        <v>0</v>
      </c>
      <c r="P119" s="480"/>
      <c r="Q119" s="477">
        <f t="shared" si="40"/>
        <v>0</v>
      </c>
      <c r="R119" s="480"/>
      <c r="S119" s="477">
        <f t="shared" ca="1" si="41"/>
        <v>2309304.7907679002</v>
      </c>
      <c r="T119" s="475">
        <f t="shared" ca="1" si="42"/>
        <v>2159950.2570341998</v>
      </c>
      <c r="U119" s="480"/>
      <c r="V119" s="477">
        <f t="shared" si="43"/>
        <v>0</v>
      </c>
      <c r="W119" s="480"/>
      <c r="X119" s="477">
        <f t="shared" si="44"/>
        <v>0</v>
      </c>
      <c r="Y119" s="480"/>
      <c r="Z119" s="477">
        <f t="shared" si="45"/>
        <v>0</v>
      </c>
      <c r="AA119" s="480"/>
      <c r="AB119" s="477">
        <f t="shared" ca="1" si="46"/>
        <v>2159950.2570341998</v>
      </c>
      <c r="AC119" s="475">
        <f t="shared" ca="1" si="47"/>
        <v>1995967.4974562998</v>
      </c>
      <c r="AD119" s="480"/>
      <c r="AE119" s="477">
        <f t="shared" si="48"/>
        <v>0</v>
      </c>
      <c r="AF119" s="480"/>
      <c r="AG119" s="477">
        <f t="shared" si="49"/>
        <v>0</v>
      </c>
      <c r="AH119" s="480"/>
      <c r="AI119" s="477">
        <f t="shared" si="50"/>
        <v>0</v>
      </c>
      <c r="AJ119" s="480"/>
      <c r="AK119" s="477">
        <f t="shared" ca="1" si="51"/>
        <v>1995967.4974562998</v>
      </c>
      <c r="AL119" s="475">
        <f t="shared" ca="1" si="52"/>
        <v>0</v>
      </c>
      <c r="AM119" s="480"/>
      <c r="AN119" s="477">
        <f t="shared" si="53"/>
        <v>0</v>
      </c>
      <c r="AO119" s="480"/>
      <c r="AP119" s="477">
        <f t="shared" si="54"/>
        <v>0</v>
      </c>
      <c r="AQ119" s="480"/>
      <c r="AR119" s="477">
        <f t="shared" si="55"/>
        <v>0</v>
      </c>
      <c r="AS119" s="480"/>
      <c r="AT119" s="477">
        <f t="shared" ca="1" si="56"/>
        <v>0</v>
      </c>
      <c r="AU119" s="475">
        <f t="shared" ca="1" si="57"/>
        <v>0</v>
      </c>
      <c r="AV119" s="480"/>
      <c r="AW119" s="477">
        <f t="shared" si="58"/>
        <v>0</v>
      </c>
      <c r="AX119" s="480"/>
      <c r="AY119" s="477">
        <f t="shared" si="59"/>
        <v>0</v>
      </c>
      <c r="AZ119" s="480"/>
      <c r="BA119" s="477">
        <f t="shared" si="60"/>
        <v>0</v>
      </c>
      <c r="BB119" s="480"/>
      <c r="BC119" s="850">
        <f t="shared" ca="1" si="61"/>
        <v>6465222.5452584</v>
      </c>
    </row>
    <row r="120" spans="1:55" ht="28">
      <c r="A120" s="837" t="str">
        <f t="shared" ca="1" si="33"/>
        <v/>
      </c>
      <c r="B120" s="440">
        <v>114</v>
      </c>
      <c r="C120" s="834" t="str">
        <f t="shared" ca="1" si="34"/>
        <v>2.</v>
      </c>
      <c r="D120" s="1757" t="str">
        <f ca="1">IFERROR(VLOOKUP(LEFT(E120,4),Nom_activ_2!D:G,4,0),"")</f>
        <v xml:space="preserve">2.1.  Asigurarea depistării TB prin aplicarea constantă și extinderea metodelor microbiologice rapide de diagnostic </v>
      </c>
      <c r="E120" s="1757" t="str">
        <f t="shared" ca="1" si="35"/>
        <v>2.1.1. Aplicarea metodelor molecular genetice pentru diagnosticul rapid al TB și RR/MDR TB</v>
      </c>
      <c r="F120" s="1777" t="str">
        <f t="shared" ca="1" si="63"/>
        <v>2.1.1.1. Cost teste Xpert_Malul Stang</v>
      </c>
      <c r="G120" s="839">
        <f t="shared" ca="1" si="63"/>
        <v>0</v>
      </c>
      <c r="H120" s="840" t="str">
        <f t="shared" ca="1" si="63"/>
        <v>GFATM</v>
      </c>
      <c r="I120" s="443" t="s">
        <v>3225</v>
      </c>
      <c r="J120" s="838" t="str">
        <f t="shared" si="36"/>
        <v>Estimare_lab_2!$A:$j</v>
      </c>
      <c r="K120" s="475">
        <f t="shared" ca="1" si="37"/>
        <v>1010264.3289735999</v>
      </c>
      <c r="L120" s="480"/>
      <c r="M120" s="477">
        <f t="shared" si="38"/>
        <v>0</v>
      </c>
      <c r="N120" s="480"/>
      <c r="O120" s="477">
        <f t="shared" si="39"/>
        <v>0</v>
      </c>
      <c r="P120" s="480"/>
      <c r="Q120" s="477">
        <f t="shared" si="40"/>
        <v>0</v>
      </c>
      <c r="R120" s="480"/>
      <c r="S120" s="477">
        <f t="shared" ca="1" si="41"/>
        <v>1010264.3289735999</v>
      </c>
      <c r="T120" s="475">
        <f t="shared" ca="1" si="42"/>
        <v>1057581.0930746999</v>
      </c>
      <c r="U120" s="480"/>
      <c r="V120" s="477">
        <f t="shared" si="43"/>
        <v>0</v>
      </c>
      <c r="W120" s="480"/>
      <c r="X120" s="477">
        <f t="shared" si="44"/>
        <v>0</v>
      </c>
      <c r="Y120" s="480"/>
      <c r="Z120" s="477">
        <f t="shared" si="45"/>
        <v>0</v>
      </c>
      <c r="AA120" s="480"/>
      <c r="AB120" s="477">
        <f t="shared" ca="1" si="46"/>
        <v>1057581.0930746999</v>
      </c>
      <c r="AC120" s="475">
        <f t="shared" ca="1" si="47"/>
        <v>1114108.1825541998</v>
      </c>
      <c r="AD120" s="480"/>
      <c r="AE120" s="477">
        <f t="shared" si="48"/>
        <v>0</v>
      </c>
      <c r="AF120" s="480"/>
      <c r="AG120" s="477">
        <f t="shared" si="49"/>
        <v>0</v>
      </c>
      <c r="AH120" s="480"/>
      <c r="AI120" s="477">
        <f t="shared" si="50"/>
        <v>0</v>
      </c>
      <c r="AJ120" s="480"/>
      <c r="AK120" s="477">
        <f t="shared" ca="1" si="51"/>
        <v>1114108.1825541998</v>
      </c>
      <c r="AL120" s="475">
        <f t="shared" ca="1" si="52"/>
        <v>0</v>
      </c>
      <c r="AM120" s="480"/>
      <c r="AN120" s="477">
        <f t="shared" si="53"/>
        <v>0</v>
      </c>
      <c r="AO120" s="480"/>
      <c r="AP120" s="477">
        <f t="shared" si="54"/>
        <v>0</v>
      </c>
      <c r="AQ120" s="480"/>
      <c r="AR120" s="477">
        <f t="shared" si="55"/>
        <v>0</v>
      </c>
      <c r="AS120" s="480"/>
      <c r="AT120" s="477">
        <f t="shared" ca="1" si="56"/>
        <v>0</v>
      </c>
      <c r="AU120" s="475">
        <f t="shared" ca="1" si="57"/>
        <v>0</v>
      </c>
      <c r="AV120" s="480"/>
      <c r="AW120" s="477">
        <f t="shared" si="58"/>
        <v>0</v>
      </c>
      <c r="AX120" s="480"/>
      <c r="AY120" s="477">
        <f t="shared" si="59"/>
        <v>0</v>
      </c>
      <c r="AZ120" s="480"/>
      <c r="BA120" s="477">
        <f t="shared" si="60"/>
        <v>0</v>
      </c>
      <c r="BB120" s="480"/>
      <c r="BC120" s="850">
        <f t="shared" ca="1" si="61"/>
        <v>3181953.6046024999</v>
      </c>
    </row>
    <row r="121" spans="1:55" ht="28">
      <c r="A121" s="837" t="str">
        <f t="shared" ca="1" si="33"/>
        <v/>
      </c>
      <c r="B121" s="440">
        <v>115</v>
      </c>
      <c r="C121" s="834" t="str">
        <f t="shared" ca="1" si="34"/>
        <v>6.</v>
      </c>
      <c r="D121" s="1757" t="str">
        <f ca="1">IFERROR(VLOOKUP(LEFT(E121,4),Nom_activ_2!D:G,4,0),"")</f>
        <v>6.2.  Consolidarea sistemelor de sănătate prin mecanisme de finanțare bine aliniate pentru TB</v>
      </c>
      <c r="E121" s="1757" t="str">
        <f t="shared" ca="1" si="35"/>
        <v xml:space="preserve">6.2.5. Asigurarea mentenanței echipamentelor din cadrul staționarelor și subdiviziunilor de profil </v>
      </c>
      <c r="F121" s="1777" t="str">
        <f t="shared" ca="1" si="63"/>
        <v>6.2.5.2. Asigurarea mentenanței echipamentelor din cadrul laboratoarelor in microbiologia tuberculozei (Malul Drept)</v>
      </c>
      <c r="G121" s="839">
        <f t="shared" ca="1" si="63"/>
        <v>0</v>
      </c>
      <c r="H121" s="840" t="str">
        <f t="shared" ca="1" si="63"/>
        <v>CNAM</v>
      </c>
      <c r="I121" s="443" t="s">
        <v>3468</v>
      </c>
      <c r="J121" s="838" t="str">
        <f t="shared" si="36"/>
        <v>Sisteme_de_sanatate!$A:$j</v>
      </c>
      <c r="K121" s="475">
        <f t="shared" ca="1" si="37"/>
        <v>0</v>
      </c>
      <c r="L121" s="480"/>
      <c r="M121" s="477">
        <f t="shared" si="38"/>
        <v>0</v>
      </c>
      <c r="N121" s="480"/>
      <c r="O121" s="477">
        <f t="shared" si="39"/>
        <v>0</v>
      </c>
      <c r="P121" s="480"/>
      <c r="Q121" s="477">
        <f t="shared" si="40"/>
        <v>0</v>
      </c>
      <c r="R121" s="480"/>
      <c r="S121" s="477">
        <f t="shared" ca="1" si="41"/>
        <v>0</v>
      </c>
      <c r="T121" s="475">
        <f t="shared" ca="1" si="42"/>
        <v>0</v>
      </c>
      <c r="U121" s="480"/>
      <c r="V121" s="477">
        <f t="shared" si="43"/>
        <v>0</v>
      </c>
      <c r="W121" s="480"/>
      <c r="X121" s="477">
        <f t="shared" si="44"/>
        <v>0</v>
      </c>
      <c r="Y121" s="480"/>
      <c r="Z121" s="477">
        <f t="shared" si="45"/>
        <v>0</v>
      </c>
      <c r="AA121" s="480"/>
      <c r="AB121" s="477">
        <f t="shared" ca="1" si="46"/>
        <v>0</v>
      </c>
      <c r="AC121" s="475">
        <f t="shared" ca="1" si="47"/>
        <v>0</v>
      </c>
      <c r="AD121" s="480"/>
      <c r="AE121" s="477">
        <f t="shared" si="48"/>
        <v>0</v>
      </c>
      <c r="AF121" s="480"/>
      <c r="AG121" s="477">
        <f t="shared" si="49"/>
        <v>0</v>
      </c>
      <c r="AH121" s="480"/>
      <c r="AI121" s="477">
        <f t="shared" si="50"/>
        <v>0</v>
      </c>
      <c r="AJ121" s="480"/>
      <c r="AK121" s="477">
        <f t="shared" ca="1" si="51"/>
        <v>0</v>
      </c>
      <c r="AL121" s="475">
        <f t="shared" ca="1" si="52"/>
        <v>20605.939999999999</v>
      </c>
      <c r="AM121" s="480"/>
      <c r="AN121" s="477">
        <f t="shared" si="53"/>
        <v>0</v>
      </c>
      <c r="AO121" s="480"/>
      <c r="AP121" s="477">
        <f t="shared" si="54"/>
        <v>0</v>
      </c>
      <c r="AQ121" s="480"/>
      <c r="AR121" s="477">
        <f t="shared" si="55"/>
        <v>0</v>
      </c>
      <c r="AS121" s="480"/>
      <c r="AT121" s="477">
        <f t="shared" ca="1" si="56"/>
        <v>20605.939999999999</v>
      </c>
      <c r="AU121" s="475">
        <f t="shared" ca="1" si="57"/>
        <v>20605.939999999999</v>
      </c>
      <c r="AV121" s="480"/>
      <c r="AW121" s="477">
        <f t="shared" si="58"/>
        <v>0</v>
      </c>
      <c r="AX121" s="480"/>
      <c r="AY121" s="477">
        <f t="shared" si="59"/>
        <v>0</v>
      </c>
      <c r="AZ121" s="480"/>
      <c r="BA121" s="477">
        <f t="shared" si="60"/>
        <v>0</v>
      </c>
      <c r="BB121" s="480"/>
      <c r="BC121" s="850">
        <f t="shared" ca="1" si="61"/>
        <v>41211.879999999997</v>
      </c>
    </row>
    <row r="122" spans="1:55" ht="28">
      <c r="A122" s="837" t="str">
        <f t="shared" ca="1" si="33"/>
        <v/>
      </c>
      <c r="B122" s="440">
        <v>116</v>
      </c>
      <c r="C122" s="834" t="str">
        <f t="shared" ca="1" si="34"/>
        <v>6.</v>
      </c>
      <c r="D122" s="1757" t="str">
        <f ca="1">IFERROR(VLOOKUP(LEFT(E122,4),Nom_activ_2!D:G,4,0),"")</f>
        <v>6.2.  Consolidarea sistemelor de sănătate prin mecanisme de finanțare bine aliniate pentru TB</v>
      </c>
      <c r="E122" s="1757" t="str">
        <f t="shared" ca="1" si="35"/>
        <v xml:space="preserve">6.2.5. Asigurarea mentenanței echipamentelor din cadrul staționarelor și subdiviziunilor de profil </v>
      </c>
      <c r="F122" s="1777" t="str">
        <f t="shared" ca="1" si="63"/>
        <v>6.2.5.2. Asigurarea mentenanței echipamentelor din cadrul laboratoarelor in microbiologia tuberculozei (Malul Drept)</v>
      </c>
      <c r="G122" s="839" t="str">
        <f t="shared" ca="1" si="63"/>
        <v>UCIMP</v>
      </c>
      <c r="H122" s="840" t="str">
        <f t="shared" ca="1" si="63"/>
        <v>GFATM</v>
      </c>
      <c r="I122" s="443" t="s">
        <v>3468</v>
      </c>
      <c r="J122" s="838" t="str">
        <f t="shared" si="36"/>
        <v>Sisteme_de_sanatate!$A:$j</v>
      </c>
      <c r="K122" s="475">
        <f t="shared" ca="1" si="37"/>
        <v>20605.939999999999</v>
      </c>
      <c r="L122" s="480"/>
      <c r="M122" s="477">
        <f t="shared" si="38"/>
        <v>0</v>
      </c>
      <c r="N122" s="480"/>
      <c r="O122" s="477">
        <f t="shared" si="39"/>
        <v>0</v>
      </c>
      <c r="P122" s="480"/>
      <c r="Q122" s="477">
        <f t="shared" si="40"/>
        <v>0</v>
      </c>
      <c r="R122" s="480"/>
      <c r="S122" s="477">
        <f t="shared" ca="1" si="41"/>
        <v>20605.939999999999</v>
      </c>
      <c r="T122" s="475">
        <f t="shared" ca="1" si="42"/>
        <v>20605.939999999999</v>
      </c>
      <c r="U122" s="480"/>
      <c r="V122" s="477">
        <f t="shared" si="43"/>
        <v>0</v>
      </c>
      <c r="W122" s="480"/>
      <c r="X122" s="477">
        <f t="shared" si="44"/>
        <v>0</v>
      </c>
      <c r="Y122" s="480"/>
      <c r="Z122" s="477">
        <f t="shared" si="45"/>
        <v>0</v>
      </c>
      <c r="AA122" s="480"/>
      <c r="AB122" s="477">
        <f t="shared" ca="1" si="46"/>
        <v>20605.939999999999</v>
      </c>
      <c r="AC122" s="475">
        <f t="shared" ca="1" si="47"/>
        <v>20605.939999999999</v>
      </c>
      <c r="AD122" s="480"/>
      <c r="AE122" s="477">
        <f t="shared" si="48"/>
        <v>0</v>
      </c>
      <c r="AF122" s="480"/>
      <c r="AG122" s="477">
        <f t="shared" si="49"/>
        <v>0</v>
      </c>
      <c r="AH122" s="480"/>
      <c r="AI122" s="477">
        <f t="shared" si="50"/>
        <v>0</v>
      </c>
      <c r="AJ122" s="480"/>
      <c r="AK122" s="477">
        <f t="shared" ca="1" si="51"/>
        <v>20605.939999999999</v>
      </c>
      <c r="AL122" s="475">
        <f t="shared" ca="1" si="52"/>
        <v>0</v>
      </c>
      <c r="AM122" s="480"/>
      <c r="AN122" s="477">
        <f t="shared" si="53"/>
        <v>0</v>
      </c>
      <c r="AO122" s="480"/>
      <c r="AP122" s="477">
        <f t="shared" si="54"/>
        <v>0</v>
      </c>
      <c r="AQ122" s="480"/>
      <c r="AR122" s="477">
        <f t="shared" si="55"/>
        <v>0</v>
      </c>
      <c r="AS122" s="480"/>
      <c r="AT122" s="477">
        <f t="shared" ca="1" si="56"/>
        <v>0</v>
      </c>
      <c r="AU122" s="475">
        <f t="shared" ca="1" si="57"/>
        <v>0</v>
      </c>
      <c r="AV122" s="480"/>
      <c r="AW122" s="477">
        <f t="shared" si="58"/>
        <v>0</v>
      </c>
      <c r="AX122" s="480"/>
      <c r="AY122" s="477">
        <f t="shared" si="59"/>
        <v>0</v>
      </c>
      <c r="AZ122" s="480"/>
      <c r="BA122" s="477">
        <f t="shared" si="60"/>
        <v>0</v>
      </c>
      <c r="BB122" s="480"/>
      <c r="BC122" s="850">
        <f t="shared" ca="1" si="61"/>
        <v>61817.819999999992</v>
      </c>
    </row>
    <row r="123" spans="1:55" ht="28">
      <c r="A123" s="837" t="str">
        <f t="shared" ca="1" si="33"/>
        <v/>
      </c>
      <c r="B123" s="440">
        <v>117</v>
      </c>
      <c r="C123" s="834" t="str">
        <f t="shared" ca="1" si="34"/>
        <v>6.</v>
      </c>
      <c r="D123" s="1757" t="str">
        <f ca="1">IFERROR(VLOOKUP(LEFT(E123,4),Nom_activ_2!D:G,4,0),"")</f>
        <v>6.2.  Consolidarea sistemelor de sănătate prin mecanisme de finanțare bine aliniate pentru TB</v>
      </c>
      <c r="E123" s="1757" t="str">
        <f t="shared" ca="1" si="35"/>
        <v xml:space="preserve">6.2.5. Asigurarea mentenanței echipamentelor din cadrul staționarelor și subdiviziunilor de profil </v>
      </c>
      <c r="F123" s="1777" t="str">
        <f t="shared" ca="1" si="63"/>
        <v>6.2.5.2. Asigurarea mentenanței echipamentelor din cadrul laboratoarelor in microbiologia tuberculozei (Malul Stang)</v>
      </c>
      <c r="G123" s="839">
        <f t="shared" ca="1" si="63"/>
        <v>0</v>
      </c>
      <c r="H123" s="840" t="str">
        <f t="shared" ca="1" si="63"/>
        <v>Buget local (Malul Stang)</v>
      </c>
      <c r="I123" s="443" t="s">
        <v>3468</v>
      </c>
      <c r="J123" s="838" t="str">
        <f t="shared" si="36"/>
        <v>Sisteme_de_sanatate!$A:$j</v>
      </c>
      <c r="K123" s="475">
        <f t="shared" ca="1" si="37"/>
        <v>0</v>
      </c>
      <c r="L123" s="480"/>
      <c r="M123" s="477">
        <f t="shared" si="38"/>
        <v>0</v>
      </c>
      <c r="N123" s="480"/>
      <c r="O123" s="477">
        <f t="shared" si="39"/>
        <v>0</v>
      </c>
      <c r="P123" s="480"/>
      <c r="Q123" s="477">
        <f t="shared" si="40"/>
        <v>0</v>
      </c>
      <c r="R123" s="480"/>
      <c r="S123" s="477">
        <f t="shared" ca="1" si="41"/>
        <v>0</v>
      </c>
      <c r="T123" s="475">
        <f t="shared" ca="1" si="42"/>
        <v>0</v>
      </c>
      <c r="U123" s="480"/>
      <c r="V123" s="477">
        <f t="shared" si="43"/>
        <v>0</v>
      </c>
      <c r="W123" s="480"/>
      <c r="X123" s="477">
        <f t="shared" si="44"/>
        <v>0</v>
      </c>
      <c r="Y123" s="480"/>
      <c r="Z123" s="477">
        <f t="shared" si="45"/>
        <v>0</v>
      </c>
      <c r="AA123" s="480"/>
      <c r="AB123" s="477">
        <f t="shared" ca="1" si="46"/>
        <v>0</v>
      </c>
      <c r="AC123" s="475">
        <f t="shared" ca="1" si="47"/>
        <v>0</v>
      </c>
      <c r="AD123" s="480"/>
      <c r="AE123" s="477">
        <f t="shared" si="48"/>
        <v>0</v>
      </c>
      <c r="AF123" s="480"/>
      <c r="AG123" s="477">
        <f t="shared" si="49"/>
        <v>0</v>
      </c>
      <c r="AH123" s="480"/>
      <c r="AI123" s="477">
        <f t="shared" si="50"/>
        <v>0</v>
      </c>
      <c r="AJ123" s="480"/>
      <c r="AK123" s="477">
        <f t="shared" ca="1" si="51"/>
        <v>0</v>
      </c>
      <c r="AL123" s="475">
        <f t="shared" ca="1" si="52"/>
        <v>5887.41</v>
      </c>
      <c r="AM123" s="480"/>
      <c r="AN123" s="477">
        <f t="shared" si="53"/>
        <v>0</v>
      </c>
      <c r="AO123" s="480"/>
      <c r="AP123" s="477">
        <f t="shared" si="54"/>
        <v>0</v>
      </c>
      <c r="AQ123" s="480"/>
      <c r="AR123" s="477">
        <f t="shared" si="55"/>
        <v>0</v>
      </c>
      <c r="AS123" s="480"/>
      <c r="AT123" s="477">
        <f t="shared" ca="1" si="56"/>
        <v>5887.41</v>
      </c>
      <c r="AU123" s="475">
        <f t="shared" ca="1" si="57"/>
        <v>5887.41</v>
      </c>
      <c r="AV123" s="480"/>
      <c r="AW123" s="477">
        <f t="shared" si="58"/>
        <v>0</v>
      </c>
      <c r="AX123" s="480"/>
      <c r="AY123" s="477">
        <f t="shared" si="59"/>
        <v>0</v>
      </c>
      <c r="AZ123" s="480"/>
      <c r="BA123" s="477">
        <f t="shared" si="60"/>
        <v>0</v>
      </c>
      <c r="BB123" s="480"/>
      <c r="BC123" s="850">
        <f t="shared" ca="1" si="61"/>
        <v>11774.82</v>
      </c>
    </row>
    <row r="124" spans="1:55" ht="28">
      <c r="A124" s="837" t="str">
        <f t="shared" ca="1" si="33"/>
        <v/>
      </c>
      <c r="B124" s="440">
        <v>118</v>
      </c>
      <c r="C124" s="834" t="str">
        <f t="shared" ca="1" si="34"/>
        <v>6.</v>
      </c>
      <c r="D124" s="1757" t="str">
        <f ca="1">IFERROR(VLOOKUP(LEFT(E124,4),Nom_activ_2!D:G,4,0),"")</f>
        <v>6.2.  Consolidarea sistemelor de sănătate prin mecanisme de finanțare bine aliniate pentru TB</v>
      </c>
      <c r="E124" s="1757" t="str">
        <f t="shared" ca="1" si="35"/>
        <v xml:space="preserve">6.2.5. Asigurarea mentenanței echipamentelor din cadrul staționarelor și subdiviziunilor de profil </v>
      </c>
      <c r="F124" s="1777" t="str">
        <f t="shared" ca="1" si="63"/>
        <v>6.2.5.2. Asigurarea mentenanței echipamentelor din cadrul laboratoarelor in microbiologia tuberculozei (Malul Stang)</v>
      </c>
      <c r="G124" s="839">
        <f t="shared" ca="1" si="63"/>
        <v>0</v>
      </c>
      <c r="H124" s="840" t="str">
        <f t="shared" ca="1" si="63"/>
        <v>GFATM</v>
      </c>
      <c r="I124" s="443" t="s">
        <v>3468</v>
      </c>
      <c r="J124" s="838" t="str">
        <f t="shared" si="36"/>
        <v>Sisteme_de_sanatate!$A:$j</v>
      </c>
      <c r="K124" s="475">
        <f t="shared" ca="1" si="37"/>
        <v>5887.4108999999999</v>
      </c>
      <c r="L124" s="480"/>
      <c r="M124" s="477">
        <f t="shared" si="38"/>
        <v>0</v>
      </c>
      <c r="N124" s="480"/>
      <c r="O124" s="477">
        <f t="shared" si="39"/>
        <v>0</v>
      </c>
      <c r="P124" s="480"/>
      <c r="Q124" s="477">
        <f t="shared" si="40"/>
        <v>0</v>
      </c>
      <c r="R124" s="480"/>
      <c r="S124" s="477">
        <f t="shared" ca="1" si="41"/>
        <v>5887.4108999999999</v>
      </c>
      <c r="T124" s="475">
        <f t="shared" ca="1" si="42"/>
        <v>5887.4108999999999</v>
      </c>
      <c r="U124" s="480"/>
      <c r="V124" s="477">
        <f t="shared" si="43"/>
        <v>0</v>
      </c>
      <c r="W124" s="480"/>
      <c r="X124" s="477">
        <f t="shared" si="44"/>
        <v>0</v>
      </c>
      <c r="Y124" s="480"/>
      <c r="Z124" s="477">
        <f t="shared" si="45"/>
        <v>0</v>
      </c>
      <c r="AA124" s="480"/>
      <c r="AB124" s="477">
        <f t="shared" ca="1" si="46"/>
        <v>5887.4108999999999</v>
      </c>
      <c r="AC124" s="475">
        <f t="shared" ca="1" si="47"/>
        <v>5887.4108999999999</v>
      </c>
      <c r="AD124" s="480"/>
      <c r="AE124" s="477">
        <f t="shared" si="48"/>
        <v>0</v>
      </c>
      <c r="AF124" s="480"/>
      <c r="AG124" s="477">
        <f t="shared" si="49"/>
        <v>0</v>
      </c>
      <c r="AH124" s="480"/>
      <c r="AI124" s="477">
        <f t="shared" si="50"/>
        <v>0</v>
      </c>
      <c r="AJ124" s="480"/>
      <c r="AK124" s="477">
        <f t="shared" ca="1" si="51"/>
        <v>5887.4108999999999</v>
      </c>
      <c r="AL124" s="475">
        <f t="shared" ca="1" si="52"/>
        <v>9.0000000000145519E-4</v>
      </c>
      <c r="AM124" s="480"/>
      <c r="AN124" s="477">
        <f t="shared" si="53"/>
        <v>0</v>
      </c>
      <c r="AO124" s="480"/>
      <c r="AP124" s="477">
        <f t="shared" si="54"/>
        <v>0</v>
      </c>
      <c r="AQ124" s="480"/>
      <c r="AR124" s="477">
        <f t="shared" si="55"/>
        <v>0</v>
      </c>
      <c r="AS124" s="480"/>
      <c r="AT124" s="477">
        <f t="shared" ca="1" si="56"/>
        <v>9.0000000000145519E-4</v>
      </c>
      <c r="AU124" s="475">
        <f t="shared" ca="1" si="57"/>
        <v>0</v>
      </c>
      <c r="AV124" s="480"/>
      <c r="AW124" s="477">
        <f t="shared" si="58"/>
        <v>0</v>
      </c>
      <c r="AX124" s="480"/>
      <c r="AY124" s="477">
        <f t="shared" si="59"/>
        <v>0</v>
      </c>
      <c r="AZ124" s="480"/>
      <c r="BA124" s="477">
        <f t="shared" si="60"/>
        <v>0</v>
      </c>
      <c r="BB124" s="480"/>
      <c r="BC124" s="850">
        <f t="shared" ca="1" si="61"/>
        <v>17662.2336</v>
      </c>
    </row>
    <row r="125" spans="1:55" ht="28">
      <c r="A125" s="837" t="str">
        <f t="shared" ca="1" si="33"/>
        <v/>
      </c>
      <c r="B125" s="440">
        <v>119</v>
      </c>
      <c r="C125" s="834" t="str">
        <f t="shared" ca="1" si="34"/>
        <v>6.</v>
      </c>
      <c r="D125" s="1757" t="str">
        <f ca="1">IFERROR(VLOOKUP(LEFT(E125,4),Nom_activ_2!D:G,4,0),"")</f>
        <v>6.2.  Consolidarea sistemelor de sănătate prin mecanisme de finanțare bine aliniate pentru TB</v>
      </c>
      <c r="E125" s="1757" t="str">
        <f t="shared" ca="1" si="35"/>
        <v xml:space="preserve">6.2.5. Asigurarea mentenanței echipamentelor din cadrul staționarelor și subdiviziunilor de profil </v>
      </c>
      <c r="F125" s="1777" t="str">
        <f t="shared" ca="1" si="63"/>
        <v>6.2.5.2. Asigurarea mentenanței echipamentelor din cadrul laboratoarelor in microbiologia tuberculozei (Malul Drept)</v>
      </c>
      <c r="G125" s="839">
        <f t="shared" ca="1" si="63"/>
        <v>0</v>
      </c>
      <c r="H125" s="840" t="str">
        <f t="shared" ca="1" si="63"/>
        <v>MMPSF</v>
      </c>
      <c r="I125" s="443" t="s">
        <v>3468</v>
      </c>
      <c r="J125" s="838" t="str">
        <f t="shared" si="36"/>
        <v>Sisteme_de_sanatate!$A:$j</v>
      </c>
      <c r="K125" s="475">
        <f t="shared" ca="1" si="37"/>
        <v>0</v>
      </c>
      <c r="L125" s="480"/>
      <c r="M125" s="477">
        <f t="shared" si="38"/>
        <v>0</v>
      </c>
      <c r="N125" s="480"/>
      <c r="O125" s="477">
        <f t="shared" si="39"/>
        <v>0</v>
      </c>
      <c r="P125" s="480"/>
      <c r="Q125" s="477">
        <f t="shared" si="40"/>
        <v>0</v>
      </c>
      <c r="R125" s="480"/>
      <c r="S125" s="477">
        <f t="shared" ca="1" si="41"/>
        <v>0</v>
      </c>
      <c r="T125" s="475">
        <f t="shared" ca="1" si="42"/>
        <v>0</v>
      </c>
      <c r="U125" s="480"/>
      <c r="V125" s="477">
        <f t="shared" si="43"/>
        <v>0</v>
      </c>
      <c r="W125" s="480"/>
      <c r="X125" s="477">
        <f t="shared" si="44"/>
        <v>0</v>
      </c>
      <c r="Y125" s="480"/>
      <c r="Z125" s="477">
        <f t="shared" si="45"/>
        <v>0</v>
      </c>
      <c r="AA125" s="480"/>
      <c r="AB125" s="477">
        <f t="shared" ca="1" si="46"/>
        <v>0</v>
      </c>
      <c r="AC125" s="475">
        <f t="shared" ca="1" si="47"/>
        <v>0</v>
      </c>
      <c r="AD125" s="480"/>
      <c r="AE125" s="477">
        <f t="shared" si="48"/>
        <v>0</v>
      </c>
      <c r="AF125" s="480"/>
      <c r="AG125" s="477">
        <f t="shared" si="49"/>
        <v>0</v>
      </c>
      <c r="AH125" s="480"/>
      <c r="AI125" s="477">
        <f t="shared" si="50"/>
        <v>0</v>
      </c>
      <c r="AJ125" s="480"/>
      <c r="AK125" s="477">
        <f t="shared" ca="1" si="51"/>
        <v>0</v>
      </c>
      <c r="AL125" s="475">
        <f t="shared" ca="1" si="52"/>
        <v>147822.62</v>
      </c>
      <c r="AM125" s="480"/>
      <c r="AN125" s="477">
        <f t="shared" si="53"/>
        <v>0</v>
      </c>
      <c r="AO125" s="480"/>
      <c r="AP125" s="477">
        <f t="shared" si="54"/>
        <v>0</v>
      </c>
      <c r="AQ125" s="480"/>
      <c r="AR125" s="477">
        <f t="shared" si="55"/>
        <v>0</v>
      </c>
      <c r="AS125" s="480"/>
      <c r="AT125" s="477">
        <f t="shared" ca="1" si="56"/>
        <v>147822.62</v>
      </c>
      <c r="AU125" s="475">
        <f t="shared" ca="1" si="57"/>
        <v>147822.62</v>
      </c>
      <c r="AV125" s="480"/>
      <c r="AW125" s="477">
        <f t="shared" si="58"/>
        <v>0</v>
      </c>
      <c r="AX125" s="480"/>
      <c r="AY125" s="477">
        <f t="shared" si="59"/>
        <v>0</v>
      </c>
      <c r="AZ125" s="480"/>
      <c r="BA125" s="477">
        <f t="shared" si="60"/>
        <v>0</v>
      </c>
      <c r="BB125" s="480"/>
      <c r="BC125" s="850">
        <f t="shared" ca="1" si="61"/>
        <v>295645.24</v>
      </c>
    </row>
    <row r="126" spans="1:55" ht="28">
      <c r="A126" s="837" t="str">
        <f t="shared" ca="1" si="33"/>
        <v/>
      </c>
      <c r="B126" s="440">
        <v>120</v>
      </c>
      <c r="C126" s="834" t="str">
        <f t="shared" ca="1" si="34"/>
        <v>6.</v>
      </c>
      <c r="D126" s="1757" t="str">
        <f ca="1">IFERROR(VLOOKUP(LEFT(E126,4),Nom_activ_2!D:G,4,0),"")</f>
        <v>6.2.  Consolidarea sistemelor de sănătate prin mecanisme de finanțare bine aliniate pentru TB</v>
      </c>
      <c r="E126" s="1757" t="str">
        <f t="shared" ca="1" si="35"/>
        <v xml:space="preserve">6.2.5. Asigurarea mentenanței echipamentelor din cadrul staționarelor și subdiviziunilor de profil </v>
      </c>
      <c r="F126" s="1777" t="str">
        <f t="shared" ca="1" si="63"/>
        <v>6.2.5.2. Asigurarea mentenanței echipamentelor din cadrul laboratoarelor in microbiologia tuberculozei (Malul Drept)</v>
      </c>
      <c r="G126" s="839" t="str">
        <f t="shared" ca="1" si="63"/>
        <v>UCIMP</v>
      </c>
      <c r="H126" s="840" t="str">
        <f t="shared" ca="1" si="63"/>
        <v>GFATM</v>
      </c>
      <c r="I126" s="443" t="s">
        <v>3468</v>
      </c>
      <c r="J126" s="838" t="str">
        <f t="shared" si="36"/>
        <v>Sisteme_de_sanatate!$A:$j</v>
      </c>
      <c r="K126" s="475">
        <f t="shared" ca="1" si="37"/>
        <v>147822.62</v>
      </c>
      <c r="L126" s="480"/>
      <c r="M126" s="477">
        <f t="shared" si="38"/>
        <v>0</v>
      </c>
      <c r="N126" s="480"/>
      <c r="O126" s="477">
        <f t="shared" si="39"/>
        <v>0</v>
      </c>
      <c r="P126" s="480"/>
      <c r="Q126" s="477">
        <f t="shared" si="40"/>
        <v>0</v>
      </c>
      <c r="R126" s="480"/>
      <c r="S126" s="477">
        <f t="shared" ca="1" si="41"/>
        <v>147822.62</v>
      </c>
      <c r="T126" s="475">
        <f t="shared" ca="1" si="42"/>
        <v>147822.62</v>
      </c>
      <c r="U126" s="480"/>
      <c r="V126" s="477">
        <f t="shared" si="43"/>
        <v>0</v>
      </c>
      <c r="W126" s="480"/>
      <c r="X126" s="477">
        <f t="shared" si="44"/>
        <v>0</v>
      </c>
      <c r="Y126" s="480"/>
      <c r="Z126" s="477">
        <f t="shared" si="45"/>
        <v>0</v>
      </c>
      <c r="AA126" s="480"/>
      <c r="AB126" s="477">
        <f t="shared" ca="1" si="46"/>
        <v>147822.62</v>
      </c>
      <c r="AC126" s="475">
        <f t="shared" ca="1" si="47"/>
        <v>147822.62</v>
      </c>
      <c r="AD126" s="480"/>
      <c r="AE126" s="477">
        <f t="shared" si="48"/>
        <v>0</v>
      </c>
      <c r="AF126" s="480"/>
      <c r="AG126" s="477">
        <f t="shared" si="49"/>
        <v>0</v>
      </c>
      <c r="AH126" s="480"/>
      <c r="AI126" s="477">
        <f t="shared" si="50"/>
        <v>0</v>
      </c>
      <c r="AJ126" s="480"/>
      <c r="AK126" s="477">
        <f t="shared" ca="1" si="51"/>
        <v>147822.62</v>
      </c>
      <c r="AL126" s="475">
        <f t="shared" ca="1" si="52"/>
        <v>0</v>
      </c>
      <c r="AM126" s="480"/>
      <c r="AN126" s="477">
        <f t="shared" si="53"/>
        <v>0</v>
      </c>
      <c r="AO126" s="480"/>
      <c r="AP126" s="477">
        <f t="shared" si="54"/>
        <v>0</v>
      </c>
      <c r="AQ126" s="480"/>
      <c r="AR126" s="477">
        <f t="shared" si="55"/>
        <v>0</v>
      </c>
      <c r="AS126" s="480"/>
      <c r="AT126" s="477">
        <f t="shared" ca="1" si="56"/>
        <v>0</v>
      </c>
      <c r="AU126" s="475">
        <f t="shared" ca="1" si="57"/>
        <v>0</v>
      </c>
      <c r="AV126" s="480"/>
      <c r="AW126" s="477">
        <f t="shared" si="58"/>
        <v>0</v>
      </c>
      <c r="AX126" s="480"/>
      <c r="AY126" s="477">
        <f t="shared" si="59"/>
        <v>0</v>
      </c>
      <c r="AZ126" s="480"/>
      <c r="BA126" s="477">
        <f t="shared" si="60"/>
        <v>0</v>
      </c>
      <c r="BB126" s="480"/>
      <c r="BC126" s="850">
        <f t="shared" ca="1" si="61"/>
        <v>443467.86</v>
      </c>
    </row>
    <row r="127" spans="1:55" ht="28">
      <c r="A127" s="837" t="str">
        <f t="shared" ca="1" si="33"/>
        <v/>
      </c>
      <c r="B127" s="440">
        <v>121</v>
      </c>
      <c r="C127" s="834" t="str">
        <f t="shared" ca="1" si="34"/>
        <v>6.</v>
      </c>
      <c r="D127" s="1757" t="str">
        <f ca="1">IFERROR(VLOOKUP(LEFT(E127,4),Nom_activ_2!D:G,4,0),"")</f>
        <v>6.2.  Consolidarea sistemelor de sănătate prin mecanisme de finanțare bine aliniate pentru TB</v>
      </c>
      <c r="E127" s="1757" t="str">
        <f t="shared" ca="1" si="35"/>
        <v xml:space="preserve">6.2.5. Asigurarea mentenanței echipamentelor din cadrul staționarelor și subdiviziunilor de profil </v>
      </c>
      <c r="F127" s="1777" t="str">
        <f t="shared" ref="F127:H146" ca="1" si="64">IFERROR(VLOOKUP($B127,INDIRECT($J127),F$5,0),0)</f>
        <v>6.2.5.2. Asigurarea mentenanței echipamentelor din cadrul laboratoarelor in microbiologia tuberculozei (Malul Stang)</v>
      </c>
      <c r="G127" s="839">
        <f t="shared" ca="1" si="64"/>
        <v>0</v>
      </c>
      <c r="H127" s="840" t="str">
        <f t="shared" ca="1" si="64"/>
        <v>Buget local (Malul Stang)</v>
      </c>
      <c r="I127" s="443" t="s">
        <v>3468</v>
      </c>
      <c r="J127" s="838" t="str">
        <f t="shared" si="36"/>
        <v>Sisteme_de_sanatate!$A:$j</v>
      </c>
      <c r="K127" s="475">
        <f t="shared" ca="1" si="37"/>
        <v>0</v>
      </c>
      <c r="L127" s="480"/>
      <c r="M127" s="477">
        <f t="shared" si="38"/>
        <v>0</v>
      </c>
      <c r="N127" s="480"/>
      <c r="O127" s="477">
        <f t="shared" si="39"/>
        <v>0</v>
      </c>
      <c r="P127" s="480"/>
      <c r="Q127" s="477">
        <f t="shared" si="40"/>
        <v>0</v>
      </c>
      <c r="R127" s="480"/>
      <c r="S127" s="477">
        <f t="shared" ca="1" si="41"/>
        <v>0</v>
      </c>
      <c r="T127" s="475">
        <f t="shared" ca="1" si="42"/>
        <v>0</v>
      </c>
      <c r="U127" s="480"/>
      <c r="V127" s="477">
        <f t="shared" si="43"/>
        <v>0</v>
      </c>
      <c r="W127" s="480"/>
      <c r="X127" s="477">
        <f t="shared" si="44"/>
        <v>0</v>
      </c>
      <c r="Y127" s="480"/>
      <c r="Z127" s="477">
        <f t="shared" si="45"/>
        <v>0</v>
      </c>
      <c r="AA127" s="480"/>
      <c r="AB127" s="477">
        <f t="shared" ca="1" si="46"/>
        <v>0</v>
      </c>
      <c r="AC127" s="475">
        <f t="shared" ca="1" si="47"/>
        <v>0</v>
      </c>
      <c r="AD127" s="480"/>
      <c r="AE127" s="477">
        <f t="shared" si="48"/>
        <v>0</v>
      </c>
      <c r="AF127" s="480"/>
      <c r="AG127" s="477">
        <f t="shared" si="49"/>
        <v>0</v>
      </c>
      <c r="AH127" s="480"/>
      <c r="AI127" s="477">
        <f t="shared" si="50"/>
        <v>0</v>
      </c>
      <c r="AJ127" s="480"/>
      <c r="AK127" s="477">
        <f t="shared" ca="1" si="51"/>
        <v>0</v>
      </c>
      <c r="AL127" s="475">
        <f t="shared" ca="1" si="52"/>
        <v>49274.21</v>
      </c>
      <c r="AM127" s="480"/>
      <c r="AN127" s="477">
        <f t="shared" si="53"/>
        <v>0</v>
      </c>
      <c r="AO127" s="480"/>
      <c r="AP127" s="477">
        <f t="shared" si="54"/>
        <v>0</v>
      </c>
      <c r="AQ127" s="480"/>
      <c r="AR127" s="477">
        <f t="shared" si="55"/>
        <v>0</v>
      </c>
      <c r="AS127" s="480"/>
      <c r="AT127" s="477">
        <f t="shared" ca="1" si="56"/>
        <v>49274.21</v>
      </c>
      <c r="AU127" s="475">
        <f t="shared" ca="1" si="57"/>
        <v>49274.21</v>
      </c>
      <c r="AV127" s="480"/>
      <c r="AW127" s="477">
        <f t="shared" si="58"/>
        <v>0</v>
      </c>
      <c r="AX127" s="480"/>
      <c r="AY127" s="477">
        <f t="shared" si="59"/>
        <v>0</v>
      </c>
      <c r="AZ127" s="480"/>
      <c r="BA127" s="477">
        <f t="shared" si="60"/>
        <v>0</v>
      </c>
      <c r="BB127" s="480"/>
      <c r="BC127" s="850">
        <f t="shared" ca="1" si="61"/>
        <v>98548.42</v>
      </c>
    </row>
    <row r="128" spans="1:55" ht="28">
      <c r="A128" s="837" t="str">
        <f t="shared" ca="1" si="33"/>
        <v/>
      </c>
      <c r="B128" s="440">
        <v>122</v>
      </c>
      <c r="C128" s="834" t="str">
        <f t="shared" ca="1" si="34"/>
        <v>6.</v>
      </c>
      <c r="D128" s="1757" t="str">
        <f ca="1">IFERROR(VLOOKUP(LEFT(E128,4),Nom_activ_2!D:G,4,0),"")</f>
        <v>6.2.  Consolidarea sistemelor de sănătate prin mecanisme de finanțare bine aliniate pentru TB</v>
      </c>
      <c r="E128" s="1757" t="str">
        <f t="shared" ca="1" si="35"/>
        <v xml:space="preserve">6.2.5. Asigurarea mentenanței echipamentelor din cadrul staționarelor și subdiviziunilor de profil </v>
      </c>
      <c r="F128" s="1777" t="str">
        <f t="shared" ca="1" si="64"/>
        <v>6.2.5.2. Asigurarea mentenanței echipamentelor din cadrul laboratoarelor in microbiologia tuberculozei (Malul Stang)</v>
      </c>
      <c r="G128" s="839" t="str">
        <f t="shared" ca="1" si="64"/>
        <v>UCIMP</v>
      </c>
      <c r="H128" s="840" t="str">
        <f t="shared" ca="1" si="64"/>
        <v>GFATM</v>
      </c>
      <c r="I128" s="443" t="s">
        <v>3468</v>
      </c>
      <c r="J128" s="838" t="str">
        <f t="shared" si="36"/>
        <v>Sisteme_de_sanatate!$A:$j</v>
      </c>
      <c r="K128" s="475">
        <f t="shared" ca="1" si="37"/>
        <v>49274.208053500013</v>
      </c>
      <c r="L128" s="480"/>
      <c r="M128" s="477">
        <f t="shared" si="38"/>
        <v>0</v>
      </c>
      <c r="N128" s="480"/>
      <c r="O128" s="477">
        <f t="shared" si="39"/>
        <v>0</v>
      </c>
      <c r="P128" s="480"/>
      <c r="Q128" s="477">
        <f t="shared" si="40"/>
        <v>0</v>
      </c>
      <c r="R128" s="480"/>
      <c r="S128" s="477">
        <f t="shared" ca="1" si="41"/>
        <v>49274.208053500013</v>
      </c>
      <c r="T128" s="475">
        <f t="shared" ca="1" si="42"/>
        <v>49274.208053500013</v>
      </c>
      <c r="U128" s="480"/>
      <c r="V128" s="477">
        <f t="shared" si="43"/>
        <v>0</v>
      </c>
      <c r="W128" s="480"/>
      <c r="X128" s="477">
        <f t="shared" si="44"/>
        <v>0</v>
      </c>
      <c r="Y128" s="480"/>
      <c r="Z128" s="477">
        <f t="shared" si="45"/>
        <v>0</v>
      </c>
      <c r="AA128" s="480"/>
      <c r="AB128" s="477">
        <f t="shared" ca="1" si="46"/>
        <v>49274.208053500013</v>
      </c>
      <c r="AC128" s="475">
        <f t="shared" ca="1" si="47"/>
        <v>49274.208053500013</v>
      </c>
      <c r="AD128" s="480"/>
      <c r="AE128" s="477">
        <f t="shared" si="48"/>
        <v>0</v>
      </c>
      <c r="AF128" s="480"/>
      <c r="AG128" s="477">
        <f t="shared" si="49"/>
        <v>0</v>
      </c>
      <c r="AH128" s="480"/>
      <c r="AI128" s="477">
        <f t="shared" si="50"/>
        <v>0</v>
      </c>
      <c r="AJ128" s="480"/>
      <c r="AK128" s="477">
        <f t="shared" ca="1" si="51"/>
        <v>49274.208053500013</v>
      </c>
      <c r="AL128" s="475">
        <f t="shared" ca="1" si="52"/>
        <v>-1.9464999859337695E-3</v>
      </c>
      <c r="AM128" s="480"/>
      <c r="AN128" s="477">
        <f t="shared" si="53"/>
        <v>0</v>
      </c>
      <c r="AO128" s="480"/>
      <c r="AP128" s="477">
        <f t="shared" si="54"/>
        <v>0</v>
      </c>
      <c r="AQ128" s="480"/>
      <c r="AR128" s="477">
        <f t="shared" si="55"/>
        <v>0</v>
      </c>
      <c r="AS128" s="480"/>
      <c r="AT128" s="477">
        <f t="shared" ca="1" si="56"/>
        <v>-1.9464999859337695E-3</v>
      </c>
      <c r="AU128" s="475">
        <f t="shared" ca="1" si="57"/>
        <v>0</v>
      </c>
      <c r="AV128" s="480"/>
      <c r="AW128" s="477">
        <f t="shared" si="58"/>
        <v>0</v>
      </c>
      <c r="AX128" s="480"/>
      <c r="AY128" s="477">
        <f t="shared" si="59"/>
        <v>0</v>
      </c>
      <c r="AZ128" s="480"/>
      <c r="BA128" s="477">
        <f t="shared" si="60"/>
        <v>0</v>
      </c>
      <c r="BB128" s="480"/>
      <c r="BC128" s="850">
        <f t="shared" ca="1" si="61"/>
        <v>147822.62221400006</v>
      </c>
    </row>
    <row r="129" spans="1:55" ht="28">
      <c r="A129" s="837" t="str">
        <f t="shared" ca="1" si="33"/>
        <v/>
      </c>
      <c r="B129" s="440">
        <v>123</v>
      </c>
      <c r="C129" s="834" t="str">
        <f t="shared" ca="1" si="34"/>
        <v>6.</v>
      </c>
      <c r="D129" s="1757" t="str">
        <f ca="1">IFERROR(VLOOKUP(LEFT(E129,4),Nom_activ_2!D:G,4,0),"")</f>
        <v>6.2.  Consolidarea sistemelor de sănătate prin mecanisme de finanțare bine aliniate pentru TB</v>
      </c>
      <c r="E129" s="1757" t="str">
        <f t="shared" ca="1" si="35"/>
        <v xml:space="preserve">6.2.5. Asigurarea mentenanței echipamentelor din cadrul staționarelor și subdiviziunilor de profil </v>
      </c>
      <c r="F129" s="1777" t="str">
        <f t="shared" ca="1" si="64"/>
        <v>6.2.5.2. Asigurarea mentenanței echipamentelor din cadrul laboratoarelor in microbiologia tuberculozei (Malul Drept)</v>
      </c>
      <c r="G129" s="839">
        <f t="shared" ca="1" si="64"/>
        <v>0</v>
      </c>
      <c r="H129" s="840" t="str">
        <f t="shared" ca="1" si="64"/>
        <v>MMPSF</v>
      </c>
      <c r="I129" s="443" t="s">
        <v>3468</v>
      </c>
      <c r="J129" s="838" t="str">
        <f t="shared" si="36"/>
        <v>Sisteme_de_sanatate!$A:$j</v>
      </c>
      <c r="K129" s="475">
        <f t="shared" ca="1" si="37"/>
        <v>0</v>
      </c>
      <c r="L129" s="480"/>
      <c r="M129" s="477">
        <f t="shared" si="38"/>
        <v>0</v>
      </c>
      <c r="N129" s="480"/>
      <c r="O129" s="477">
        <f t="shared" si="39"/>
        <v>0</v>
      </c>
      <c r="P129" s="480"/>
      <c r="Q129" s="477">
        <f t="shared" si="40"/>
        <v>0</v>
      </c>
      <c r="R129" s="480"/>
      <c r="S129" s="477">
        <f t="shared" ca="1" si="41"/>
        <v>0</v>
      </c>
      <c r="T129" s="475">
        <f t="shared" ca="1" si="42"/>
        <v>0</v>
      </c>
      <c r="U129" s="480"/>
      <c r="V129" s="477">
        <f t="shared" si="43"/>
        <v>0</v>
      </c>
      <c r="W129" s="480"/>
      <c r="X129" s="477">
        <f t="shared" si="44"/>
        <v>0</v>
      </c>
      <c r="Y129" s="480"/>
      <c r="Z129" s="477">
        <f t="shared" si="45"/>
        <v>0</v>
      </c>
      <c r="AA129" s="480"/>
      <c r="AB129" s="477">
        <f t="shared" ca="1" si="46"/>
        <v>0</v>
      </c>
      <c r="AC129" s="475">
        <f t="shared" ca="1" si="47"/>
        <v>0</v>
      </c>
      <c r="AD129" s="480"/>
      <c r="AE129" s="477">
        <f t="shared" si="48"/>
        <v>0</v>
      </c>
      <c r="AF129" s="480"/>
      <c r="AG129" s="477">
        <f t="shared" si="49"/>
        <v>0</v>
      </c>
      <c r="AH129" s="480"/>
      <c r="AI129" s="477">
        <f t="shared" si="50"/>
        <v>0</v>
      </c>
      <c r="AJ129" s="480"/>
      <c r="AK129" s="477">
        <f t="shared" ca="1" si="51"/>
        <v>0</v>
      </c>
      <c r="AL129" s="475">
        <f t="shared" ca="1" si="52"/>
        <v>158036.65</v>
      </c>
      <c r="AM129" s="480"/>
      <c r="AN129" s="477">
        <f t="shared" si="53"/>
        <v>0</v>
      </c>
      <c r="AO129" s="480"/>
      <c r="AP129" s="477">
        <f t="shared" si="54"/>
        <v>0</v>
      </c>
      <c r="AQ129" s="480"/>
      <c r="AR129" s="477">
        <f t="shared" si="55"/>
        <v>0</v>
      </c>
      <c r="AS129" s="480"/>
      <c r="AT129" s="477">
        <f t="shared" ca="1" si="56"/>
        <v>158036.65</v>
      </c>
      <c r="AU129" s="475">
        <f t="shared" ca="1" si="57"/>
        <v>158036.65</v>
      </c>
      <c r="AV129" s="480"/>
      <c r="AW129" s="477">
        <f t="shared" si="58"/>
        <v>0</v>
      </c>
      <c r="AX129" s="480"/>
      <c r="AY129" s="477">
        <f t="shared" si="59"/>
        <v>0</v>
      </c>
      <c r="AZ129" s="480"/>
      <c r="BA129" s="477">
        <f t="shared" si="60"/>
        <v>0</v>
      </c>
      <c r="BB129" s="480"/>
      <c r="BC129" s="850">
        <f t="shared" ca="1" si="61"/>
        <v>316073.3</v>
      </c>
    </row>
    <row r="130" spans="1:55" ht="28">
      <c r="A130" s="837" t="str">
        <f t="shared" ca="1" si="33"/>
        <v/>
      </c>
      <c r="B130" s="440">
        <v>124</v>
      </c>
      <c r="C130" s="834" t="str">
        <f t="shared" ca="1" si="34"/>
        <v>6.</v>
      </c>
      <c r="D130" s="1757" t="str">
        <f ca="1">IFERROR(VLOOKUP(LEFT(E130,4),Nom_activ_2!D:G,4,0),"")</f>
        <v>6.2.  Consolidarea sistemelor de sănătate prin mecanisme de finanțare bine aliniate pentru TB</v>
      </c>
      <c r="E130" s="1757" t="str">
        <f t="shared" ca="1" si="35"/>
        <v xml:space="preserve">6.2.5. Asigurarea mentenanței echipamentelor din cadrul staționarelor și subdiviziunilor de profil </v>
      </c>
      <c r="F130" s="1777" t="str">
        <f t="shared" ca="1" si="64"/>
        <v>6.2.5.2. Asigurarea mentenanței echipamentelor din cadrul laboratoarelor in microbiologia tuberculozei (Malul Drept)</v>
      </c>
      <c r="G130" s="839" t="str">
        <f t="shared" ca="1" si="64"/>
        <v>UCIMP</v>
      </c>
      <c r="H130" s="840" t="str">
        <f t="shared" ca="1" si="64"/>
        <v>GFATM</v>
      </c>
      <c r="I130" s="443" t="s">
        <v>3468</v>
      </c>
      <c r="J130" s="838" t="str">
        <f t="shared" si="36"/>
        <v>Sisteme_de_sanatate!$A:$j</v>
      </c>
      <c r="K130" s="475">
        <f t="shared" ca="1" si="37"/>
        <v>158036.65</v>
      </c>
      <c r="L130" s="480"/>
      <c r="M130" s="477">
        <f t="shared" si="38"/>
        <v>0</v>
      </c>
      <c r="N130" s="480"/>
      <c r="O130" s="477">
        <f t="shared" si="39"/>
        <v>0</v>
      </c>
      <c r="P130" s="480"/>
      <c r="Q130" s="477">
        <f t="shared" si="40"/>
        <v>0</v>
      </c>
      <c r="R130" s="480"/>
      <c r="S130" s="477">
        <f t="shared" ca="1" si="41"/>
        <v>158036.65</v>
      </c>
      <c r="T130" s="475">
        <f t="shared" ca="1" si="42"/>
        <v>158036.65</v>
      </c>
      <c r="U130" s="480"/>
      <c r="V130" s="477">
        <f t="shared" si="43"/>
        <v>0</v>
      </c>
      <c r="W130" s="480"/>
      <c r="X130" s="477">
        <f t="shared" si="44"/>
        <v>0</v>
      </c>
      <c r="Y130" s="480"/>
      <c r="Z130" s="477">
        <f t="shared" si="45"/>
        <v>0</v>
      </c>
      <c r="AA130" s="480"/>
      <c r="AB130" s="477">
        <f t="shared" ca="1" si="46"/>
        <v>158036.65</v>
      </c>
      <c r="AC130" s="475">
        <f t="shared" ca="1" si="47"/>
        <v>158036.65</v>
      </c>
      <c r="AD130" s="480"/>
      <c r="AE130" s="477">
        <f t="shared" si="48"/>
        <v>0</v>
      </c>
      <c r="AF130" s="480"/>
      <c r="AG130" s="477">
        <f t="shared" si="49"/>
        <v>0</v>
      </c>
      <c r="AH130" s="480"/>
      <c r="AI130" s="477">
        <f t="shared" si="50"/>
        <v>0</v>
      </c>
      <c r="AJ130" s="480"/>
      <c r="AK130" s="477">
        <f t="shared" ca="1" si="51"/>
        <v>158036.65</v>
      </c>
      <c r="AL130" s="475">
        <f t="shared" ca="1" si="52"/>
        <v>0</v>
      </c>
      <c r="AM130" s="480"/>
      <c r="AN130" s="477">
        <f t="shared" si="53"/>
        <v>0</v>
      </c>
      <c r="AO130" s="480"/>
      <c r="AP130" s="477">
        <f t="shared" si="54"/>
        <v>0</v>
      </c>
      <c r="AQ130" s="480"/>
      <c r="AR130" s="477">
        <f t="shared" si="55"/>
        <v>0</v>
      </c>
      <c r="AS130" s="480"/>
      <c r="AT130" s="477">
        <f t="shared" ca="1" si="56"/>
        <v>0</v>
      </c>
      <c r="AU130" s="475">
        <f t="shared" ca="1" si="57"/>
        <v>0</v>
      </c>
      <c r="AV130" s="480"/>
      <c r="AW130" s="477">
        <f t="shared" si="58"/>
        <v>0</v>
      </c>
      <c r="AX130" s="480"/>
      <c r="AY130" s="477">
        <f t="shared" si="59"/>
        <v>0</v>
      </c>
      <c r="AZ130" s="480"/>
      <c r="BA130" s="477">
        <f t="shared" si="60"/>
        <v>0</v>
      </c>
      <c r="BB130" s="480"/>
      <c r="BC130" s="850">
        <f t="shared" ca="1" si="61"/>
        <v>474109.94999999995</v>
      </c>
    </row>
    <row r="131" spans="1:55" ht="28">
      <c r="A131" s="837" t="str">
        <f t="shared" ca="1" si="33"/>
        <v/>
      </c>
      <c r="B131" s="440">
        <v>125</v>
      </c>
      <c r="C131" s="834" t="str">
        <f t="shared" ca="1" si="34"/>
        <v>6.</v>
      </c>
      <c r="D131" s="1757" t="str">
        <f ca="1">IFERROR(VLOOKUP(LEFT(E131,4),Nom_activ_2!D:G,4,0),"")</f>
        <v>6.2.  Consolidarea sistemelor de sănătate prin mecanisme de finanțare bine aliniate pentru TB</v>
      </c>
      <c r="E131" s="1757" t="str">
        <f t="shared" ca="1" si="35"/>
        <v xml:space="preserve">6.2.5. Asigurarea mentenanței echipamentelor din cadrul staționarelor și subdiviziunilor de profil </v>
      </c>
      <c r="F131" s="1777" t="str">
        <f t="shared" ca="1" si="64"/>
        <v>6.2.5.2. Asigurarea mentenanței echipamentelor din cadrul laboratoarelor in microbiologia tuberculozei (Malul Stang)</v>
      </c>
      <c r="G131" s="839">
        <f t="shared" ca="1" si="64"/>
        <v>0</v>
      </c>
      <c r="H131" s="840" t="str">
        <f t="shared" ca="1" si="64"/>
        <v>Buget local (Malul Stang)</v>
      </c>
      <c r="I131" s="443" t="s">
        <v>3468</v>
      </c>
      <c r="J131" s="838" t="str">
        <f t="shared" si="36"/>
        <v>Sisteme_de_sanatate!$A:$j</v>
      </c>
      <c r="K131" s="475">
        <f t="shared" ca="1" si="37"/>
        <v>0</v>
      </c>
      <c r="L131" s="480"/>
      <c r="M131" s="477">
        <f t="shared" si="38"/>
        <v>0</v>
      </c>
      <c r="N131" s="480"/>
      <c r="O131" s="477">
        <f t="shared" si="39"/>
        <v>0</v>
      </c>
      <c r="P131" s="480"/>
      <c r="Q131" s="477">
        <f t="shared" si="40"/>
        <v>0</v>
      </c>
      <c r="R131" s="480"/>
      <c r="S131" s="477">
        <f t="shared" ca="1" si="41"/>
        <v>0</v>
      </c>
      <c r="T131" s="475">
        <f t="shared" ca="1" si="42"/>
        <v>0</v>
      </c>
      <c r="U131" s="480"/>
      <c r="V131" s="477">
        <f t="shared" si="43"/>
        <v>0</v>
      </c>
      <c r="W131" s="480"/>
      <c r="X131" s="477">
        <f t="shared" si="44"/>
        <v>0</v>
      </c>
      <c r="Y131" s="480"/>
      <c r="Z131" s="477">
        <f t="shared" si="45"/>
        <v>0</v>
      </c>
      <c r="AA131" s="480"/>
      <c r="AB131" s="477">
        <f t="shared" ca="1" si="46"/>
        <v>0</v>
      </c>
      <c r="AC131" s="475">
        <f t="shared" ca="1" si="47"/>
        <v>0</v>
      </c>
      <c r="AD131" s="480"/>
      <c r="AE131" s="477">
        <f t="shared" si="48"/>
        <v>0</v>
      </c>
      <c r="AF131" s="480"/>
      <c r="AG131" s="477">
        <f t="shared" si="49"/>
        <v>0</v>
      </c>
      <c r="AH131" s="480"/>
      <c r="AI131" s="477">
        <f t="shared" si="50"/>
        <v>0</v>
      </c>
      <c r="AJ131" s="480"/>
      <c r="AK131" s="477">
        <f t="shared" ca="1" si="51"/>
        <v>0</v>
      </c>
      <c r="AL131" s="475">
        <f t="shared" ca="1" si="52"/>
        <v>52678.89</v>
      </c>
      <c r="AM131" s="480"/>
      <c r="AN131" s="477">
        <f t="shared" si="53"/>
        <v>0</v>
      </c>
      <c r="AO131" s="480"/>
      <c r="AP131" s="477">
        <f t="shared" si="54"/>
        <v>0</v>
      </c>
      <c r="AQ131" s="480"/>
      <c r="AR131" s="477">
        <f t="shared" si="55"/>
        <v>0</v>
      </c>
      <c r="AS131" s="480"/>
      <c r="AT131" s="477">
        <f t="shared" ca="1" si="56"/>
        <v>52678.89</v>
      </c>
      <c r="AU131" s="475">
        <f t="shared" ca="1" si="57"/>
        <v>52678.89</v>
      </c>
      <c r="AV131" s="480"/>
      <c r="AW131" s="477">
        <f t="shared" si="58"/>
        <v>0</v>
      </c>
      <c r="AX131" s="480"/>
      <c r="AY131" s="477">
        <f t="shared" si="59"/>
        <v>0</v>
      </c>
      <c r="AZ131" s="480"/>
      <c r="BA131" s="477">
        <f t="shared" si="60"/>
        <v>0</v>
      </c>
      <c r="BB131" s="480"/>
      <c r="BC131" s="850">
        <f t="shared" ca="1" si="61"/>
        <v>105357.78</v>
      </c>
    </row>
    <row r="132" spans="1:55" ht="28">
      <c r="A132" s="837" t="str">
        <f t="shared" ca="1" si="33"/>
        <v/>
      </c>
      <c r="B132" s="440">
        <v>126</v>
      </c>
      <c r="C132" s="834" t="str">
        <f t="shared" ca="1" si="34"/>
        <v>6.</v>
      </c>
      <c r="D132" s="1757" t="str">
        <f ca="1">IFERROR(VLOOKUP(LEFT(E132,4),Nom_activ_2!D:G,4,0),"")</f>
        <v>6.2.  Consolidarea sistemelor de sănătate prin mecanisme de finanțare bine aliniate pentru TB</v>
      </c>
      <c r="E132" s="1757" t="str">
        <f t="shared" ca="1" si="35"/>
        <v xml:space="preserve">6.2.5. Asigurarea mentenanței echipamentelor din cadrul staționarelor și subdiviziunilor de profil </v>
      </c>
      <c r="F132" s="1777" t="str">
        <f t="shared" ca="1" si="64"/>
        <v>6.2.5.2. Asigurarea mentenanței echipamentelor din cadrul laboratoarelor in microbiologia tuberculozei (Malul Stang)</v>
      </c>
      <c r="G132" s="839" t="str">
        <f t="shared" ca="1" si="64"/>
        <v>UCIMP</v>
      </c>
      <c r="H132" s="840" t="str">
        <f t="shared" ca="1" si="64"/>
        <v>GFATM</v>
      </c>
      <c r="I132" s="443" t="s">
        <v>3468</v>
      </c>
      <c r="J132" s="838" t="str">
        <f t="shared" si="36"/>
        <v>Sisteme_de_sanatate!$A:$j</v>
      </c>
      <c r="K132" s="475">
        <f t="shared" ca="1" si="37"/>
        <v>52678.888533780002</v>
      </c>
      <c r="L132" s="480"/>
      <c r="M132" s="477">
        <f t="shared" si="38"/>
        <v>0</v>
      </c>
      <c r="N132" s="480"/>
      <c r="O132" s="477">
        <f t="shared" si="39"/>
        <v>0</v>
      </c>
      <c r="P132" s="480"/>
      <c r="Q132" s="477">
        <f t="shared" si="40"/>
        <v>0</v>
      </c>
      <c r="R132" s="480"/>
      <c r="S132" s="477">
        <f t="shared" ca="1" si="41"/>
        <v>52678.888533780002</v>
      </c>
      <c r="T132" s="475">
        <f t="shared" ca="1" si="42"/>
        <v>52678.888533780002</v>
      </c>
      <c r="U132" s="480"/>
      <c r="V132" s="477">
        <f t="shared" si="43"/>
        <v>0</v>
      </c>
      <c r="W132" s="480"/>
      <c r="X132" s="477">
        <f t="shared" si="44"/>
        <v>0</v>
      </c>
      <c r="Y132" s="480"/>
      <c r="Z132" s="477">
        <f t="shared" si="45"/>
        <v>0</v>
      </c>
      <c r="AA132" s="480"/>
      <c r="AB132" s="477">
        <f t="shared" ca="1" si="46"/>
        <v>52678.888533780002</v>
      </c>
      <c r="AC132" s="475">
        <f t="shared" ca="1" si="47"/>
        <v>52678.888533780002</v>
      </c>
      <c r="AD132" s="480"/>
      <c r="AE132" s="477">
        <f t="shared" si="48"/>
        <v>0</v>
      </c>
      <c r="AF132" s="480"/>
      <c r="AG132" s="477">
        <f t="shared" si="49"/>
        <v>0</v>
      </c>
      <c r="AH132" s="480"/>
      <c r="AI132" s="477">
        <f t="shared" si="50"/>
        <v>0</v>
      </c>
      <c r="AJ132" s="480"/>
      <c r="AK132" s="477">
        <f t="shared" ca="1" si="51"/>
        <v>52678.888533780002</v>
      </c>
      <c r="AL132" s="475">
        <f t="shared" ca="1" si="52"/>
        <v>-1.4662199973827228E-3</v>
      </c>
      <c r="AM132" s="480"/>
      <c r="AN132" s="477">
        <f t="shared" si="53"/>
        <v>0</v>
      </c>
      <c r="AO132" s="480"/>
      <c r="AP132" s="477">
        <f t="shared" si="54"/>
        <v>0</v>
      </c>
      <c r="AQ132" s="480"/>
      <c r="AR132" s="477">
        <f t="shared" si="55"/>
        <v>0</v>
      </c>
      <c r="AS132" s="480"/>
      <c r="AT132" s="477">
        <f t="shared" ca="1" si="56"/>
        <v>-1.4662199973827228E-3</v>
      </c>
      <c r="AU132" s="475">
        <f t="shared" ca="1" si="57"/>
        <v>0</v>
      </c>
      <c r="AV132" s="480"/>
      <c r="AW132" s="477">
        <f t="shared" si="58"/>
        <v>0</v>
      </c>
      <c r="AX132" s="480"/>
      <c r="AY132" s="477">
        <f t="shared" si="59"/>
        <v>0</v>
      </c>
      <c r="AZ132" s="480"/>
      <c r="BA132" s="477">
        <f t="shared" si="60"/>
        <v>0</v>
      </c>
      <c r="BB132" s="480"/>
      <c r="BC132" s="850">
        <f t="shared" ca="1" si="61"/>
        <v>158036.66413511999</v>
      </c>
    </row>
    <row r="133" spans="1:55" ht="28">
      <c r="A133" s="837" t="str">
        <f t="shared" ca="1" si="33"/>
        <v/>
      </c>
      <c r="B133" s="440">
        <v>127</v>
      </c>
      <c r="C133" s="834" t="str">
        <f t="shared" ca="1" si="34"/>
        <v>6.</v>
      </c>
      <c r="D133" s="1757" t="str">
        <f ca="1">IFERROR(VLOOKUP(LEFT(E133,4),Nom_activ_2!D:G,4,0),"")</f>
        <v>6.2.  Consolidarea sistemelor de sănătate prin mecanisme de finanțare bine aliniate pentru TB</v>
      </c>
      <c r="E133" s="1757" t="str">
        <f t="shared" ca="1" si="35"/>
        <v xml:space="preserve">6.2.5. Asigurarea mentenanței echipamentelor din cadrul staționarelor și subdiviziunilor de profil </v>
      </c>
      <c r="F133" s="1777" t="str">
        <f t="shared" ca="1" si="64"/>
        <v>6.2.5.3. Mententanta Xpert, inlocuire module (Malul Drept)</v>
      </c>
      <c r="G133" s="839">
        <f t="shared" ca="1" si="64"/>
        <v>0</v>
      </c>
      <c r="H133" s="840" t="str">
        <f t="shared" ca="1" si="64"/>
        <v>MMPSF</v>
      </c>
      <c r="I133" s="443" t="s">
        <v>3468</v>
      </c>
      <c r="J133" s="838" t="str">
        <f t="shared" si="36"/>
        <v>Sisteme_de_sanatate!$A:$j</v>
      </c>
      <c r="K133" s="475">
        <f t="shared" ca="1" si="37"/>
        <v>0</v>
      </c>
      <c r="L133" s="480"/>
      <c r="M133" s="477">
        <f t="shared" si="38"/>
        <v>0</v>
      </c>
      <c r="N133" s="480"/>
      <c r="O133" s="477">
        <f t="shared" si="39"/>
        <v>0</v>
      </c>
      <c r="P133" s="480"/>
      <c r="Q133" s="477">
        <f t="shared" si="40"/>
        <v>0</v>
      </c>
      <c r="R133" s="480"/>
      <c r="S133" s="477">
        <f t="shared" ca="1" si="41"/>
        <v>0</v>
      </c>
      <c r="T133" s="475">
        <f t="shared" ca="1" si="42"/>
        <v>0</v>
      </c>
      <c r="U133" s="480"/>
      <c r="V133" s="477">
        <f t="shared" si="43"/>
        <v>0</v>
      </c>
      <c r="W133" s="480"/>
      <c r="X133" s="477">
        <f t="shared" si="44"/>
        <v>0</v>
      </c>
      <c r="Y133" s="480"/>
      <c r="Z133" s="477">
        <f t="shared" si="45"/>
        <v>0</v>
      </c>
      <c r="AA133" s="480"/>
      <c r="AB133" s="477">
        <f t="shared" ca="1" si="46"/>
        <v>0</v>
      </c>
      <c r="AC133" s="475">
        <f t="shared" ca="1" si="47"/>
        <v>0</v>
      </c>
      <c r="AD133" s="480"/>
      <c r="AE133" s="477">
        <f t="shared" si="48"/>
        <v>0</v>
      </c>
      <c r="AF133" s="480"/>
      <c r="AG133" s="477">
        <f t="shared" si="49"/>
        <v>0</v>
      </c>
      <c r="AH133" s="480"/>
      <c r="AI133" s="477">
        <f t="shared" si="50"/>
        <v>0</v>
      </c>
      <c r="AJ133" s="480"/>
      <c r="AK133" s="477">
        <f t="shared" ca="1" si="51"/>
        <v>0</v>
      </c>
      <c r="AL133" s="475">
        <f t="shared" ca="1" si="52"/>
        <v>184473.56</v>
      </c>
      <c r="AM133" s="480"/>
      <c r="AN133" s="477">
        <f t="shared" si="53"/>
        <v>0</v>
      </c>
      <c r="AO133" s="480"/>
      <c r="AP133" s="477">
        <f t="shared" si="54"/>
        <v>0</v>
      </c>
      <c r="AQ133" s="480"/>
      <c r="AR133" s="477">
        <f t="shared" si="55"/>
        <v>0</v>
      </c>
      <c r="AS133" s="480"/>
      <c r="AT133" s="477">
        <f t="shared" ca="1" si="56"/>
        <v>184473.56</v>
      </c>
      <c r="AU133" s="475">
        <f t="shared" ca="1" si="57"/>
        <v>184473.56</v>
      </c>
      <c r="AV133" s="480"/>
      <c r="AW133" s="477">
        <f t="shared" si="58"/>
        <v>0</v>
      </c>
      <c r="AX133" s="480"/>
      <c r="AY133" s="477">
        <f t="shared" si="59"/>
        <v>0</v>
      </c>
      <c r="AZ133" s="480"/>
      <c r="BA133" s="477">
        <f t="shared" si="60"/>
        <v>0</v>
      </c>
      <c r="BB133" s="480"/>
      <c r="BC133" s="850">
        <f t="shared" ca="1" si="61"/>
        <v>368947.12</v>
      </c>
    </row>
    <row r="134" spans="1:55" ht="28">
      <c r="A134" s="837" t="str">
        <f t="shared" ca="1" si="33"/>
        <v/>
      </c>
      <c r="B134" s="440">
        <v>128</v>
      </c>
      <c r="C134" s="834" t="str">
        <f t="shared" ca="1" si="34"/>
        <v>6.</v>
      </c>
      <c r="D134" s="1757" t="str">
        <f ca="1">IFERROR(VLOOKUP(LEFT(E134,4),Nom_activ_2!D:G,4,0),"")</f>
        <v>6.2.  Consolidarea sistemelor de sănătate prin mecanisme de finanțare bine aliniate pentru TB</v>
      </c>
      <c r="E134" s="1757" t="str">
        <f t="shared" ca="1" si="35"/>
        <v xml:space="preserve">6.2.5. Asigurarea mentenanței echipamentelor din cadrul staționarelor și subdiviziunilor de profil </v>
      </c>
      <c r="F134" s="1777" t="str">
        <f t="shared" ca="1" si="64"/>
        <v>6.2.5.3. Mententanta Xpert, inlocuire module (Malul Drept)</v>
      </c>
      <c r="G134" s="839" t="str">
        <f t="shared" ca="1" si="64"/>
        <v>UCIMP</v>
      </c>
      <c r="H134" s="840" t="str">
        <f t="shared" ca="1" si="64"/>
        <v>GFATM</v>
      </c>
      <c r="I134" s="443" t="s">
        <v>3468</v>
      </c>
      <c r="J134" s="838" t="str">
        <f t="shared" si="36"/>
        <v>Sisteme_de_sanatate!$A:$j</v>
      </c>
      <c r="K134" s="475">
        <f t="shared" ca="1" si="37"/>
        <v>189744.22999999998</v>
      </c>
      <c r="L134" s="480"/>
      <c r="M134" s="477">
        <f t="shared" si="38"/>
        <v>0</v>
      </c>
      <c r="N134" s="480"/>
      <c r="O134" s="477">
        <f t="shared" si="39"/>
        <v>0</v>
      </c>
      <c r="P134" s="480"/>
      <c r="Q134" s="477">
        <f t="shared" si="40"/>
        <v>0</v>
      </c>
      <c r="R134" s="480"/>
      <c r="S134" s="477">
        <f t="shared" ca="1" si="41"/>
        <v>189744.22999999998</v>
      </c>
      <c r="T134" s="475">
        <f t="shared" ca="1" si="42"/>
        <v>221368.27499999997</v>
      </c>
      <c r="U134" s="480"/>
      <c r="V134" s="477">
        <f t="shared" si="43"/>
        <v>0</v>
      </c>
      <c r="W134" s="480"/>
      <c r="X134" s="477">
        <f t="shared" si="44"/>
        <v>0</v>
      </c>
      <c r="Y134" s="480"/>
      <c r="Z134" s="477">
        <f t="shared" si="45"/>
        <v>0</v>
      </c>
      <c r="AA134" s="480"/>
      <c r="AB134" s="477">
        <f t="shared" ca="1" si="46"/>
        <v>221368.27499999997</v>
      </c>
      <c r="AC134" s="475">
        <f t="shared" ca="1" si="47"/>
        <v>221368.27499999997</v>
      </c>
      <c r="AD134" s="480"/>
      <c r="AE134" s="477">
        <f t="shared" si="48"/>
        <v>0</v>
      </c>
      <c r="AF134" s="480"/>
      <c r="AG134" s="477">
        <f t="shared" si="49"/>
        <v>0</v>
      </c>
      <c r="AH134" s="480"/>
      <c r="AI134" s="477">
        <f t="shared" si="50"/>
        <v>0</v>
      </c>
      <c r="AJ134" s="480"/>
      <c r="AK134" s="477">
        <f t="shared" ca="1" si="51"/>
        <v>221368.27499999997</v>
      </c>
      <c r="AL134" s="475">
        <f t="shared" ca="1" si="52"/>
        <v>0</v>
      </c>
      <c r="AM134" s="480"/>
      <c r="AN134" s="477">
        <f t="shared" si="53"/>
        <v>0</v>
      </c>
      <c r="AO134" s="480"/>
      <c r="AP134" s="477">
        <f t="shared" si="54"/>
        <v>0</v>
      </c>
      <c r="AQ134" s="480"/>
      <c r="AR134" s="477">
        <f t="shared" si="55"/>
        <v>0</v>
      </c>
      <c r="AS134" s="480"/>
      <c r="AT134" s="477">
        <f t="shared" ca="1" si="56"/>
        <v>0</v>
      </c>
      <c r="AU134" s="475">
        <f t="shared" ca="1" si="57"/>
        <v>0</v>
      </c>
      <c r="AV134" s="480"/>
      <c r="AW134" s="477">
        <f t="shared" si="58"/>
        <v>0</v>
      </c>
      <c r="AX134" s="480"/>
      <c r="AY134" s="477">
        <f t="shared" si="59"/>
        <v>0</v>
      </c>
      <c r="AZ134" s="480"/>
      <c r="BA134" s="477">
        <f t="shared" si="60"/>
        <v>0</v>
      </c>
      <c r="BB134" s="480"/>
      <c r="BC134" s="850">
        <f t="shared" ca="1" si="61"/>
        <v>632480.77999999991</v>
      </c>
    </row>
    <row r="135" spans="1:55" ht="28">
      <c r="A135" s="837" t="str">
        <f t="shared" ref="A135:A198" ca="1" si="65">IF(B135="","",IF(COUNTA(C135:H135)&lt;6,"Completati  toate campurile col C:H",""))</f>
        <v/>
      </c>
      <c r="B135" s="440">
        <v>129</v>
      </c>
      <c r="C135" s="834" t="str">
        <f t="shared" ref="C135:C198" ca="1" si="66">IFERROR(LEFT(D135,2),"")</f>
        <v>6.</v>
      </c>
      <c r="D135" s="1757" t="str">
        <f ca="1">IFERROR(VLOOKUP(LEFT(E135,4),Nom_activ_2!D:G,4,0),"")</f>
        <v>6.2.  Consolidarea sistemelor de sănătate prin mecanisme de finanțare bine aliniate pentru TB</v>
      </c>
      <c r="E135" s="1757" t="str">
        <f t="shared" ref="E135:E198" ca="1" si="67">IFERROR(VLOOKUP($B135,INDIRECT($J135),E$5,0),"")</f>
        <v xml:space="preserve">6.2.5. Asigurarea mentenanței echipamentelor din cadrul staționarelor și subdiviziunilor de profil </v>
      </c>
      <c r="F135" s="1777" t="str">
        <f t="shared" ca="1" si="64"/>
        <v>6.2.5.3. Mententanta Xpert, inlocuire module (Malul Stang)</v>
      </c>
      <c r="G135" s="839">
        <f t="shared" ca="1" si="64"/>
        <v>0</v>
      </c>
      <c r="H135" s="840" t="str">
        <f t="shared" ca="1" si="64"/>
        <v>Buget local (Malul Stang)</v>
      </c>
      <c r="I135" s="443" t="s">
        <v>3468</v>
      </c>
      <c r="J135" s="838" t="str">
        <f t="shared" ref="J135:J198" si="68">I135&amp;"!$A:$j"</f>
        <v>Sisteme_de_sanatate!$A:$j</v>
      </c>
      <c r="K135" s="475">
        <f t="shared" ref="K135:K198" ca="1" si="69">IFERROR(VLOOKUP($B135,INDIRECT($J135),K$5,0),0)</f>
        <v>0</v>
      </c>
      <c r="L135" s="480"/>
      <c r="M135" s="477">
        <f t="shared" ref="M135:M198" si="70">IF(L135="",0,K135*L135)</f>
        <v>0</v>
      </c>
      <c r="N135" s="480"/>
      <c r="O135" s="477">
        <f t="shared" ref="O135:O198" si="71">IF(N135="",0,M135*N135)</f>
        <v>0</v>
      </c>
      <c r="P135" s="480"/>
      <c r="Q135" s="477">
        <f t="shared" ref="Q135:Q198" si="72">IF(P135="",0,O135*P135)</f>
        <v>0</v>
      </c>
      <c r="R135" s="480"/>
      <c r="S135" s="477">
        <f t="shared" ref="S135:S198" ca="1" si="73">IFERROR(K135-M135-O135-Q135,0)</f>
        <v>0</v>
      </c>
      <c r="T135" s="475">
        <f t="shared" ref="T135:T198" ca="1" si="74">IFERROR(VLOOKUP($B135,INDIRECT($J135),T$5,0),0)</f>
        <v>0</v>
      </c>
      <c r="U135" s="480"/>
      <c r="V135" s="477">
        <f t="shared" ref="V135:V198" si="75">IF(U135="",0,T135*U135)</f>
        <v>0</v>
      </c>
      <c r="W135" s="480"/>
      <c r="X135" s="477">
        <f t="shared" ref="X135:X198" si="76">IF(W135="",0,V135*W135)</f>
        <v>0</v>
      </c>
      <c r="Y135" s="480"/>
      <c r="Z135" s="477">
        <f t="shared" ref="Z135:Z198" si="77">IF(Y135="",0,X135*Y135)</f>
        <v>0</v>
      </c>
      <c r="AA135" s="480"/>
      <c r="AB135" s="477">
        <f t="shared" ref="AB135:AB198" ca="1" si="78">IFERROR(T135-V135-X135-Z135,0)</f>
        <v>0</v>
      </c>
      <c r="AC135" s="475">
        <f t="shared" ref="AC135:AC198" ca="1" si="79">IFERROR(VLOOKUP($B135,INDIRECT($J135),AC$5,0),0)</f>
        <v>0</v>
      </c>
      <c r="AD135" s="480"/>
      <c r="AE135" s="477">
        <f t="shared" ref="AE135:AE198" si="80">IF(AD135="",0,AC135*AD135)</f>
        <v>0</v>
      </c>
      <c r="AF135" s="480"/>
      <c r="AG135" s="477">
        <f t="shared" ref="AG135:AG198" si="81">IF(AF135="",0,AE135*AF135)</f>
        <v>0</v>
      </c>
      <c r="AH135" s="480"/>
      <c r="AI135" s="477">
        <f t="shared" ref="AI135:AI198" si="82">IF(AH135="",0,AG135*AH135)</f>
        <v>0</v>
      </c>
      <c r="AJ135" s="480"/>
      <c r="AK135" s="477">
        <f t="shared" ref="AK135:AK198" ca="1" si="83">IFERROR(AC135-AE135-AG135-AI135,0)</f>
        <v>0</v>
      </c>
      <c r="AL135" s="475">
        <f t="shared" ref="AL135:AL198" ca="1" si="84">IFERROR(VLOOKUP($B135,INDIRECT($J135),AL$5,0),0)</f>
        <v>43922.28</v>
      </c>
      <c r="AM135" s="480"/>
      <c r="AN135" s="477">
        <f t="shared" ref="AN135:AN198" si="85">IF(AM135="",0,AL135*AM135)</f>
        <v>0</v>
      </c>
      <c r="AO135" s="480"/>
      <c r="AP135" s="477">
        <f t="shared" ref="AP135:AP198" si="86">IF(AO135="",0,AN135*AO135)</f>
        <v>0</v>
      </c>
      <c r="AQ135" s="480"/>
      <c r="AR135" s="477">
        <f t="shared" ref="AR135:AR198" si="87">IF(AQ135="",0,AP135*AQ135)</f>
        <v>0</v>
      </c>
      <c r="AS135" s="480"/>
      <c r="AT135" s="477">
        <f t="shared" ref="AT135:AT198" ca="1" si="88">IFERROR(AL135-AN135-AP135-AR135,0)</f>
        <v>43922.28</v>
      </c>
      <c r="AU135" s="475">
        <f t="shared" ref="AU135:AU198" ca="1" si="89">IFERROR(VLOOKUP($B135,INDIRECT($J135),AU$5,0),0)</f>
        <v>43922.28</v>
      </c>
      <c r="AV135" s="480"/>
      <c r="AW135" s="477">
        <f t="shared" ref="AW135:AW198" si="90">IF(AV135="",0,AU135*AV135)</f>
        <v>0</v>
      </c>
      <c r="AX135" s="480"/>
      <c r="AY135" s="477">
        <f t="shared" ref="AY135:AY198" si="91">IF(AX135="",0,AW135*AX135)</f>
        <v>0</v>
      </c>
      <c r="AZ135" s="480"/>
      <c r="BA135" s="477">
        <f t="shared" ref="BA135:BA198" si="92">IF(AZ135="",0,AY135*AZ135)</f>
        <v>0</v>
      </c>
      <c r="BB135" s="480"/>
      <c r="BC135" s="850">
        <f t="shared" ref="BC135:BC198" ca="1" si="93">K135+T135+AC135+AL135+AU135</f>
        <v>87844.56</v>
      </c>
    </row>
    <row r="136" spans="1:55" ht="28">
      <c r="A136" s="837" t="str">
        <f t="shared" ca="1" si="65"/>
        <v/>
      </c>
      <c r="B136" s="440">
        <v>130</v>
      </c>
      <c r="C136" s="834" t="str">
        <f t="shared" ca="1" si="66"/>
        <v>6.</v>
      </c>
      <c r="D136" s="1757" t="str">
        <f ca="1">IFERROR(VLOOKUP(LEFT(E136,4),Nom_activ_2!D:G,4,0),"")</f>
        <v>6.2.  Consolidarea sistemelor de sănătate prin mecanisme de finanțare bine aliniate pentru TB</v>
      </c>
      <c r="E136" s="1757" t="str">
        <f t="shared" ca="1" si="67"/>
        <v xml:space="preserve">6.2.5. Asigurarea mentenanței echipamentelor din cadrul staționarelor și subdiviziunilor de profil </v>
      </c>
      <c r="F136" s="1777" t="str">
        <f t="shared" ca="1" si="64"/>
        <v>6.2.5.3. Mententanta Xpert, inlocuire module (Malul Stang)</v>
      </c>
      <c r="G136" s="839" t="str">
        <f t="shared" ca="1" si="64"/>
        <v>UCIMP</v>
      </c>
      <c r="H136" s="840" t="str">
        <f t="shared" ca="1" si="64"/>
        <v>GFATM</v>
      </c>
      <c r="I136" s="443" t="s">
        <v>3468</v>
      </c>
      <c r="J136" s="838" t="str">
        <f t="shared" si="68"/>
        <v>Sisteme_de_sanatate!$A:$j</v>
      </c>
      <c r="K136" s="475">
        <f t="shared" ca="1" si="69"/>
        <v>42165.38</v>
      </c>
      <c r="L136" s="480"/>
      <c r="M136" s="477">
        <f t="shared" si="70"/>
        <v>0</v>
      </c>
      <c r="N136" s="480"/>
      <c r="O136" s="477">
        <f t="shared" si="71"/>
        <v>0</v>
      </c>
      <c r="P136" s="480"/>
      <c r="Q136" s="477">
        <f t="shared" si="72"/>
        <v>0</v>
      </c>
      <c r="R136" s="480"/>
      <c r="S136" s="477">
        <f t="shared" ca="1" si="73"/>
        <v>42165.38</v>
      </c>
      <c r="T136" s="475">
        <f t="shared" ca="1" si="74"/>
        <v>52706.735000000001</v>
      </c>
      <c r="U136" s="480"/>
      <c r="V136" s="477">
        <f t="shared" si="75"/>
        <v>0</v>
      </c>
      <c r="W136" s="480"/>
      <c r="X136" s="477">
        <f t="shared" si="76"/>
        <v>0</v>
      </c>
      <c r="Y136" s="480"/>
      <c r="Z136" s="477">
        <f t="shared" si="77"/>
        <v>0</v>
      </c>
      <c r="AA136" s="480"/>
      <c r="AB136" s="477">
        <f t="shared" ca="1" si="78"/>
        <v>52706.735000000001</v>
      </c>
      <c r="AC136" s="475">
        <f t="shared" ca="1" si="79"/>
        <v>52706.735000000001</v>
      </c>
      <c r="AD136" s="480"/>
      <c r="AE136" s="477">
        <f t="shared" si="80"/>
        <v>0</v>
      </c>
      <c r="AF136" s="480"/>
      <c r="AG136" s="477">
        <f t="shared" si="81"/>
        <v>0</v>
      </c>
      <c r="AH136" s="480"/>
      <c r="AI136" s="477">
        <f t="shared" si="82"/>
        <v>0</v>
      </c>
      <c r="AJ136" s="480"/>
      <c r="AK136" s="477">
        <f t="shared" ca="1" si="83"/>
        <v>52706.735000000001</v>
      </c>
      <c r="AL136" s="475">
        <f t="shared" ca="1" si="84"/>
        <v>-4.9999999973806553E-3</v>
      </c>
      <c r="AM136" s="480"/>
      <c r="AN136" s="477">
        <f t="shared" si="85"/>
        <v>0</v>
      </c>
      <c r="AO136" s="480"/>
      <c r="AP136" s="477">
        <f t="shared" si="86"/>
        <v>0</v>
      </c>
      <c r="AQ136" s="480"/>
      <c r="AR136" s="477">
        <f t="shared" si="87"/>
        <v>0</v>
      </c>
      <c r="AS136" s="480"/>
      <c r="AT136" s="477">
        <f t="shared" ca="1" si="88"/>
        <v>-4.9999999973806553E-3</v>
      </c>
      <c r="AU136" s="475">
        <f t="shared" ca="1" si="89"/>
        <v>-4.9999999973806553E-3</v>
      </c>
      <c r="AV136" s="480"/>
      <c r="AW136" s="477">
        <f t="shared" si="90"/>
        <v>0</v>
      </c>
      <c r="AX136" s="480"/>
      <c r="AY136" s="477">
        <f t="shared" si="91"/>
        <v>0</v>
      </c>
      <c r="AZ136" s="480"/>
      <c r="BA136" s="477">
        <f t="shared" si="92"/>
        <v>0</v>
      </c>
      <c r="BB136" s="480"/>
      <c r="BC136" s="850">
        <f t="shared" ca="1" si="93"/>
        <v>147578.83999999997</v>
      </c>
    </row>
    <row r="137" spans="1:55" ht="28">
      <c r="A137" s="837" t="str">
        <f t="shared" ca="1" si="65"/>
        <v/>
      </c>
      <c r="B137" s="440">
        <v>131</v>
      </c>
      <c r="C137" s="834" t="str">
        <f t="shared" ca="1" si="66"/>
        <v>6.</v>
      </c>
      <c r="D137" s="1757" t="str">
        <f ca="1">IFERROR(VLOOKUP(LEFT(E137,4),Nom_activ_2!D:G,4,0),"")</f>
        <v>6.2.  Consolidarea sistemelor de sănătate prin mecanisme de finanțare bine aliniate pentru TB</v>
      </c>
      <c r="E137" s="1757" t="str">
        <f t="shared" ca="1" si="67"/>
        <v xml:space="preserve">6.2.5. Asigurarea mentenanței echipamentelor din cadrul staționarelor și subdiviziunilor de profil </v>
      </c>
      <c r="F137" s="1777" t="str">
        <f t="shared" ca="1" si="64"/>
        <v>6.2.5.3. Mententanta Xpert, calibrare si reparatie (Malul Drept)</v>
      </c>
      <c r="G137" s="839">
        <f t="shared" ca="1" si="64"/>
        <v>0</v>
      </c>
      <c r="H137" s="840" t="str">
        <f t="shared" ca="1" si="64"/>
        <v>CNAM</v>
      </c>
      <c r="I137" s="443" t="s">
        <v>3468</v>
      </c>
      <c r="J137" s="838" t="str">
        <f t="shared" si="68"/>
        <v>Sisteme_de_sanatate!$A:$j</v>
      </c>
      <c r="K137" s="475">
        <f t="shared" ca="1" si="69"/>
        <v>0</v>
      </c>
      <c r="L137" s="480"/>
      <c r="M137" s="477">
        <f t="shared" si="70"/>
        <v>0</v>
      </c>
      <c r="N137" s="480"/>
      <c r="O137" s="477">
        <f t="shared" si="71"/>
        <v>0</v>
      </c>
      <c r="P137" s="480"/>
      <c r="Q137" s="477">
        <f t="shared" si="72"/>
        <v>0</v>
      </c>
      <c r="R137" s="480"/>
      <c r="S137" s="477">
        <f t="shared" ca="1" si="73"/>
        <v>0</v>
      </c>
      <c r="T137" s="475">
        <f t="shared" ca="1" si="74"/>
        <v>0</v>
      </c>
      <c r="U137" s="480"/>
      <c r="V137" s="477">
        <f t="shared" si="75"/>
        <v>0</v>
      </c>
      <c r="W137" s="480"/>
      <c r="X137" s="477">
        <f t="shared" si="76"/>
        <v>0</v>
      </c>
      <c r="Y137" s="480"/>
      <c r="Z137" s="477">
        <f t="shared" si="77"/>
        <v>0</v>
      </c>
      <c r="AA137" s="480"/>
      <c r="AB137" s="477">
        <f t="shared" ca="1" si="78"/>
        <v>0</v>
      </c>
      <c r="AC137" s="475">
        <f t="shared" ca="1" si="79"/>
        <v>0</v>
      </c>
      <c r="AD137" s="480"/>
      <c r="AE137" s="477">
        <f t="shared" si="80"/>
        <v>0</v>
      </c>
      <c r="AF137" s="480"/>
      <c r="AG137" s="477">
        <f t="shared" si="81"/>
        <v>0</v>
      </c>
      <c r="AH137" s="480"/>
      <c r="AI137" s="477">
        <f t="shared" si="82"/>
        <v>0</v>
      </c>
      <c r="AJ137" s="480"/>
      <c r="AK137" s="477">
        <f t="shared" ca="1" si="83"/>
        <v>0</v>
      </c>
      <c r="AL137" s="475">
        <f t="shared" ca="1" si="84"/>
        <v>409101.5</v>
      </c>
      <c r="AM137" s="480"/>
      <c r="AN137" s="477">
        <f t="shared" si="85"/>
        <v>0</v>
      </c>
      <c r="AO137" s="480"/>
      <c r="AP137" s="477">
        <f t="shared" si="86"/>
        <v>0</v>
      </c>
      <c r="AQ137" s="480"/>
      <c r="AR137" s="477">
        <f t="shared" si="87"/>
        <v>0</v>
      </c>
      <c r="AS137" s="480"/>
      <c r="AT137" s="477">
        <f t="shared" ca="1" si="88"/>
        <v>409101.5</v>
      </c>
      <c r="AU137" s="475">
        <f t="shared" ca="1" si="89"/>
        <v>409101.5</v>
      </c>
      <c r="AV137" s="480"/>
      <c r="AW137" s="477">
        <f t="shared" si="90"/>
        <v>0</v>
      </c>
      <c r="AX137" s="480"/>
      <c r="AY137" s="477">
        <f t="shared" si="91"/>
        <v>0</v>
      </c>
      <c r="AZ137" s="480"/>
      <c r="BA137" s="477">
        <f t="shared" si="92"/>
        <v>0</v>
      </c>
      <c r="BB137" s="480"/>
      <c r="BC137" s="850">
        <f t="shared" ca="1" si="93"/>
        <v>818203</v>
      </c>
    </row>
    <row r="138" spans="1:55" ht="28">
      <c r="A138" s="837" t="str">
        <f t="shared" ca="1" si="65"/>
        <v/>
      </c>
      <c r="B138" s="440">
        <v>132</v>
      </c>
      <c r="C138" s="834" t="str">
        <f t="shared" ca="1" si="66"/>
        <v>6.</v>
      </c>
      <c r="D138" s="1757" t="str">
        <f ca="1">IFERROR(VLOOKUP(LEFT(E138,4),Nom_activ_2!D:G,4,0),"")</f>
        <v>6.2.  Consolidarea sistemelor de sănătate prin mecanisme de finanțare bine aliniate pentru TB</v>
      </c>
      <c r="E138" s="1757" t="str">
        <f t="shared" ca="1" si="67"/>
        <v xml:space="preserve">6.2.5. Asigurarea mentenanței echipamentelor din cadrul staționarelor și subdiviziunilor de profil </v>
      </c>
      <c r="F138" s="1777" t="str">
        <f t="shared" ca="1" si="64"/>
        <v>6.2.5.3. Mententanta Xpert, calibrare si reparatie (Malul Drept)</v>
      </c>
      <c r="G138" s="839" t="str">
        <f t="shared" ca="1" si="64"/>
        <v>UCIMP</v>
      </c>
      <c r="H138" s="840" t="str">
        <f t="shared" ca="1" si="64"/>
        <v>GFATM</v>
      </c>
      <c r="I138" s="443" t="s">
        <v>3468</v>
      </c>
      <c r="J138" s="838" t="str">
        <f t="shared" si="68"/>
        <v>Sisteme_de_sanatate!$A:$j</v>
      </c>
      <c r="K138" s="475">
        <f t="shared" ca="1" si="69"/>
        <v>392762.69479999994</v>
      </c>
      <c r="L138" s="480"/>
      <c r="M138" s="477">
        <f t="shared" si="70"/>
        <v>0</v>
      </c>
      <c r="N138" s="480"/>
      <c r="O138" s="477">
        <f t="shared" si="71"/>
        <v>0</v>
      </c>
      <c r="P138" s="480"/>
      <c r="Q138" s="477">
        <f t="shared" si="72"/>
        <v>0</v>
      </c>
      <c r="R138" s="480"/>
      <c r="S138" s="477">
        <f t="shared" ca="1" si="73"/>
        <v>392762.69479999994</v>
      </c>
      <c r="T138" s="475">
        <f t="shared" ca="1" si="74"/>
        <v>425545.9976</v>
      </c>
      <c r="U138" s="480"/>
      <c r="V138" s="477">
        <f t="shared" si="75"/>
        <v>0</v>
      </c>
      <c r="W138" s="480"/>
      <c r="X138" s="477">
        <f t="shared" si="76"/>
        <v>0</v>
      </c>
      <c r="Y138" s="480"/>
      <c r="Z138" s="477">
        <f t="shared" si="77"/>
        <v>0</v>
      </c>
      <c r="AA138" s="480"/>
      <c r="AB138" s="477">
        <f t="shared" ca="1" si="78"/>
        <v>425545.9976</v>
      </c>
      <c r="AC138" s="475">
        <f t="shared" ca="1" si="79"/>
        <v>425545.9976</v>
      </c>
      <c r="AD138" s="480"/>
      <c r="AE138" s="477">
        <f t="shared" si="80"/>
        <v>0</v>
      </c>
      <c r="AF138" s="480"/>
      <c r="AG138" s="477">
        <f t="shared" si="81"/>
        <v>0</v>
      </c>
      <c r="AH138" s="480"/>
      <c r="AI138" s="477">
        <f t="shared" si="82"/>
        <v>0</v>
      </c>
      <c r="AJ138" s="480"/>
      <c r="AK138" s="477">
        <f t="shared" ca="1" si="83"/>
        <v>425545.9976</v>
      </c>
      <c r="AL138" s="475">
        <f t="shared" ca="1" si="84"/>
        <v>-2.4000000266823918E-3</v>
      </c>
      <c r="AM138" s="480"/>
      <c r="AN138" s="477">
        <f t="shared" si="85"/>
        <v>0</v>
      </c>
      <c r="AO138" s="480"/>
      <c r="AP138" s="477">
        <f t="shared" si="86"/>
        <v>0</v>
      </c>
      <c r="AQ138" s="480"/>
      <c r="AR138" s="477">
        <f t="shared" si="87"/>
        <v>0</v>
      </c>
      <c r="AS138" s="480"/>
      <c r="AT138" s="477">
        <f t="shared" ca="1" si="88"/>
        <v>-2.4000000266823918E-3</v>
      </c>
      <c r="AU138" s="475">
        <f t="shared" ca="1" si="89"/>
        <v>-2.4000000266823918E-3</v>
      </c>
      <c r="AV138" s="480"/>
      <c r="AW138" s="477">
        <f t="shared" si="90"/>
        <v>0</v>
      </c>
      <c r="AX138" s="480"/>
      <c r="AY138" s="477">
        <f t="shared" si="91"/>
        <v>0</v>
      </c>
      <c r="AZ138" s="480"/>
      <c r="BA138" s="477">
        <f t="shared" si="92"/>
        <v>0</v>
      </c>
      <c r="BB138" s="480"/>
      <c r="BC138" s="850">
        <f t="shared" ca="1" si="93"/>
        <v>1243854.6851999997</v>
      </c>
    </row>
    <row r="139" spans="1:55" ht="56">
      <c r="A139" s="837" t="str">
        <f t="shared" ca="1" si="65"/>
        <v/>
      </c>
      <c r="B139" s="440">
        <v>133</v>
      </c>
      <c r="C139" s="834" t="str">
        <f t="shared" ca="1" si="66"/>
        <v>3.</v>
      </c>
      <c r="D139" s="1757" t="str">
        <f ca="1">IFERROR(VLOOKUP(LEFT(E139,4),Nom_activ_2!D:G,4,0),"")</f>
        <v>3.3.  Asigurarea aderenței la tratament, inclusiv prin utilizarea metodelor inovative, centrate pe persoană</v>
      </c>
      <c r="E139" s="1757" t="str">
        <f t="shared" ca="1" si="67"/>
        <v>3.3.1. Asigurarea abordării multidisciplinare, inclusiv evaluarea necesitaților si gestionarea cazului pentru fiecare persoana afectata de TB si a familiei si acordarea suportului psihosocial pentru asigurarea aderenței la tratament.</v>
      </c>
      <c r="F139" s="1777" t="str">
        <f t="shared" ca="1" si="64"/>
        <v>3.3.1.1. Servicii acordate prin intermediul echipelor multidisciplinare ale Centrelor comunitare TB, Malul Stang</v>
      </c>
      <c r="G139" s="839" t="str">
        <f t="shared" ca="1" si="64"/>
        <v>PAS</v>
      </c>
      <c r="H139" s="840" t="str">
        <f t="shared" ca="1" si="64"/>
        <v>GFATM</v>
      </c>
      <c r="I139" s="443" t="s">
        <v>3310</v>
      </c>
      <c r="J139" s="838" t="str">
        <f t="shared" si="68"/>
        <v>Aderenta_VOT!$A:$j</v>
      </c>
      <c r="K139" s="475">
        <f t="shared" ca="1" si="69"/>
        <v>1023902.0150000001</v>
      </c>
      <c r="L139" s="480"/>
      <c r="M139" s="477">
        <f t="shared" si="70"/>
        <v>0</v>
      </c>
      <c r="N139" s="480"/>
      <c r="O139" s="477">
        <f t="shared" si="71"/>
        <v>0</v>
      </c>
      <c r="P139" s="480"/>
      <c r="Q139" s="477">
        <f t="shared" si="72"/>
        <v>0</v>
      </c>
      <c r="R139" s="480"/>
      <c r="S139" s="477">
        <f t="shared" ca="1" si="73"/>
        <v>1023902.0150000001</v>
      </c>
      <c r="T139" s="475">
        <f t="shared" ca="1" si="74"/>
        <v>1015733.9350000001</v>
      </c>
      <c r="U139" s="480"/>
      <c r="V139" s="477">
        <f t="shared" si="75"/>
        <v>0</v>
      </c>
      <c r="W139" s="480"/>
      <c r="X139" s="477">
        <f t="shared" si="76"/>
        <v>0</v>
      </c>
      <c r="Y139" s="480"/>
      <c r="Z139" s="477">
        <f t="shared" si="77"/>
        <v>0</v>
      </c>
      <c r="AA139" s="480"/>
      <c r="AB139" s="477">
        <f t="shared" ca="1" si="78"/>
        <v>1015733.9350000001</v>
      </c>
      <c r="AC139" s="475">
        <f t="shared" ca="1" si="79"/>
        <v>1015091.51</v>
      </c>
      <c r="AD139" s="480"/>
      <c r="AE139" s="477">
        <f t="shared" si="80"/>
        <v>0</v>
      </c>
      <c r="AF139" s="480"/>
      <c r="AG139" s="477">
        <f t="shared" si="81"/>
        <v>0</v>
      </c>
      <c r="AH139" s="480"/>
      <c r="AI139" s="477">
        <f t="shared" si="82"/>
        <v>0</v>
      </c>
      <c r="AJ139" s="480"/>
      <c r="AK139" s="477">
        <f t="shared" ca="1" si="83"/>
        <v>1015091.51</v>
      </c>
      <c r="AL139" s="475">
        <f t="shared" ca="1" si="84"/>
        <v>0</v>
      </c>
      <c r="AM139" s="480"/>
      <c r="AN139" s="477">
        <f t="shared" si="85"/>
        <v>0</v>
      </c>
      <c r="AO139" s="480"/>
      <c r="AP139" s="477">
        <f t="shared" si="86"/>
        <v>0</v>
      </c>
      <c r="AQ139" s="480"/>
      <c r="AR139" s="477">
        <f t="shared" si="87"/>
        <v>0</v>
      </c>
      <c r="AS139" s="480"/>
      <c r="AT139" s="477">
        <f t="shared" ca="1" si="88"/>
        <v>0</v>
      </c>
      <c r="AU139" s="475">
        <f t="shared" ca="1" si="89"/>
        <v>0</v>
      </c>
      <c r="AV139" s="480"/>
      <c r="AW139" s="477">
        <f t="shared" si="90"/>
        <v>0</v>
      </c>
      <c r="AX139" s="480"/>
      <c r="AY139" s="477">
        <f t="shared" si="91"/>
        <v>0</v>
      </c>
      <c r="AZ139" s="480"/>
      <c r="BA139" s="477">
        <f t="shared" si="92"/>
        <v>0</v>
      </c>
      <c r="BB139" s="480"/>
      <c r="BC139" s="850">
        <f t="shared" ca="1" si="93"/>
        <v>3054727.46</v>
      </c>
    </row>
    <row r="140" spans="1:55" ht="56">
      <c r="A140" s="837" t="str">
        <f t="shared" ca="1" si="65"/>
        <v/>
      </c>
      <c r="B140" s="440">
        <v>134</v>
      </c>
      <c r="C140" s="834" t="str">
        <f t="shared" ca="1" si="66"/>
        <v>3.</v>
      </c>
      <c r="D140" s="1757" t="str">
        <f ca="1">IFERROR(VLOOKUP(LEFT(E140,4),Nom_activ_2!D:G,4,0),"")</f>
        <v>3.3.  Asigurarea aderenței la tratament, inclusiv prin utilizarea metodelor inovative, centrate pe persoană</v>
      </c>
      <c r="E140" s="1757" t="str">
        <f t="shared" ca="1" si="67"/>
        <v>3.3.1. Asigurarea abordării multidisciplinare, inclusiv evaluarea necesitaților si gestionarea cazului pentru fiecare persoana afectata de TB si a familiei si acordarea suportului psihosocial pentru asigurarea aderenței la tratament.</v>
      </c>
      <c r="F140" s="1777" t="str">
        <f t="shared" ca="1" si="64"/>
        <v>3.3.1.2. Vizitele de supervizare abilitantă a echipelor multidisciplinare (consultant national)</v>
      </c>
      <c r="G140" s="839" t="str">
        <f t="shared" ca="1" si="64"/>
        <v>PAS</v>
      </c>
      <c r="H140" s="840" t="str">
        <f t="shared" ca="1" si="64"/>
        <v>GFATM</v>
      </c>
      <c r="I140" s="443" t="s">
        <v>3310</v>
      </c>
      <c r="J140" s="838" t="str">
        <f t="shared" si="68"/>
        <v>Aderenta_VOT!$A:$j</v>
      </c>
      <c r="K140" s="475">
        <f t="shared" ca="1" si="69"/>
        <v>115584</v>
      </c>
      <c r="L140" s="480"/>
      <c r="M140" s="477">
        <f t="shared" si="70"/>
        <v>0</v>
      </c>
      <c r="N140" s="480"/>
      <c r="O140" s="477">
        <f t="shared" si="71"/>
        <v>0</v>
      </c>
      <c r="P140" s="480"/>
      <c r="Q140" s="477">
        <f t="shared" si="72"/>
        <v>0</v>
      </c>
      <c r="R140" s="480"/>
      <c r="S140" s="477">
        <f t="shared" ca="1" si="73"/>
        <v>115584</v>
      </c>
      <c r="T140" s="475">
        <f t="shared" ca="1" si="74"/>
        <v>115584</v>
      </c>
      <c r="U140" s="480"/>
      <c r="V140" s="477">
        <f t="shared" si="75"/>
        <v>0</v>
      </c>
      <c r="W140" s="480"/>
      <c r="X140" s="477">
        <f t="shared" si="76"/>
        <v>0</v>
      </c>
      <c r="Y140" s="480"/>
      <c r="Z140" s="477">
        <f t="shared" si="77"/>
        <v>0</v>
      </c>
      <c r="AA140" s="480"/>
      <c r="AB140" s="477">
        <f t="shared" ca="1" si="78"/>
        <v>115584</v>
      </c>
      <c r="AC140" s="475">
        <f t="shared" ca="1" si="79"/>
        <v>115584</v>
      </c>
      <c r="AD140" s="480"/>
      <c r="AE140" s="477">
        <f t="shared" si="80"/>
        <v>0</v>
      </c>
      <c r="AF140" s="480"/>
      <c r="AG140" s="477">
        <f t="shared" si="81"/>
        <v>0</v>
      </c>
      <c r="AH140" s="480"/>
      <c r="AI140" s="477">
        <f t="shared" si="82"/>
        <v>0</v>
      </c>
      <c r="AJ140" s="480"/>
      <c r="AK140" s="477">
        <f t="shared" ca="1" si="83"/>
        <v>115584</v>
      </c>
      <c r="AL140" s="475">
        <f t="shared" ca="1" si="84"/>
        <v>0</v>
      </c>
      <c r="AM140" s="480"/>
      <c r="AN140" s="477">
        <f t="shared" si="85"/>
        <v>0</v>
      </c>
      <c r="AO140" s="480"/>
      <c r="AP140" s="477">
        <f t="shared" si="86"/>
        <v>0</v>
      </c>
      <c r="AQ140" s="480"/>
      <c r="AR140" s="477">
        <f t="shared" si="87"/>
        <v>0</v>
      </c>
      <c r="AS140" s="480"/>
      <c r="AT140" s="477">
        <f t="shared" ca="1" si="88"/>
        <v>0</v>
      </c>
      <c r="AU140" s="475">
        <f t="shared" ca="1" si="89"/>
        <v>0</v>
      </c>
      <c r="AV140" s="480"/>
      <c r="AW140" s="477">
        <f t="shared" si="90"/>
        <v>0</v>
      </c>
      <c r="AX140" s="480"/>
      <c r="AY140" s="477">
        <f t="shared" si="91"/>
        <v>0</v>
      </c>
      <c r="AZ140" s="480"/>
      <c r="BA140" s="477">
        <f t="shared" si="92"/>
        <v>0</v>
      </c>
      <c r="BB140" s="480"/>
      <c r="BC140" s="850">
        <f t="shared" ca="1" si="93"/>
        <v>346752</v>
      </c>
    </row>
    <row r="141" spans="1:55" ht="56">
      <c r="A141" s="837" t="str">
        <f t="shared" ca="1" si="65"/>
        <v/>
      </c>
      <c r="B141" s="440">
        <v>135</v>
      </c>
      <c r="C141" s="834" t="str">
        <f t="shared" ca="1" si="66"/>
        <v>3.</v>
      </c>
      <c r="D141" s="1757" t="str">
        <f ca="1">IFERROR(VLOOKUP(LEFT(E141,4),Nom_activ_2!D:G,4,0),"")</f>
        <v>3.3.  Asigurarea aderenței la tratament, inclusiv prin utilizarea metodelor inovative, centrate pe persoană</v>
      </c>
      <c r="E141" s="1757" t="str">
        <f t="shared" ca="1" si="67"/>
        <v>3.3.1. Asigurarea abordării multidisciplinare, inclusiv evaluarea necesitaților si gestionarea cazului pentru fiecare persoana afectata de TB si a familiei si acordarea suportului psihosocial pentru asigurarea aderenței la tratament.</v>
      </c>
      <c r="F141" s="1777" t="str">
        <f t="shared" ca="1" si="64"/>
        <v>3.3.1.3. Elaborare PSO abordare multidisciplinara</v>
      </c>
      <c r="G141" s="839" t="str">
        <f t="shared" ca="1" si="64"/>
        <v>PAS</v>
      </c>
      <c r="H141" s="840" t="str">
        <f t="shared" ca="1" si="64"/>
        <v>GFATM</v>
      </c>
      <c r="I141" s="443" t="s">
        <v>3310</v>
      </c>
      <c r="J141" s="838" t="str">
        <f t="shared" si="68"/>
        <v>Aderenta_VOT!$A:$j</v>
      </c>
      <c r="K141" s="475">
        <f t="shared" ca="1" si="69"/>
        <v>40000</v>
      </c>
      <c r="L141" s="480"/>
      <c r="M141" s="477">
        <f t="shared" si="70"/>
        <v>0</v>
      </c>
      <c r="N141" s="480"/>
      <c r="O141" s="477">
        <f t="shared" si="71"/>
        <v>0</v>
      </c>
      <c r="P141" s="480"/>
      <c r="Q141" s="477">
        <f t="shared" si="72"/>
        <v>0</v>
      </c>
      <c r="R141" s="480"/>
      <c r="S141" s="477">
        <f t="shared" ca="1" si="73"/>
        <v>40000</v>
      </c>
      <c r="T141" s="475">
        <f t="shared" ca="1" si="74"/>
        <v>0</v>
      </c>
      <c r="U141" s="480"/>
      <c r="V141" s="477">
        <f t="shared" si="75"/>
        <v>0</v>
      </c>
      <c r="W141" s="480"/>
      <c r="X141" s="477">
        <f t="shared" si="76"/>
        <v>0</v>
      </c>
      <c r="Y141" s="480"/>
      <c r="Z141" s="477">
        <f t="shared" si="77"/>
        <v>0</v>
      </c>
      <c r="AA141" s="480"/>
      <c r="AB141" s="477">
        <f t="shared" ca="1" si="78"/>
        <v>0</v>
      </c>
      <c r="AC141" s="475">
        <f t="shared" ca="1" si="79"/>
        <v>0</v>
      </c>
      <c r="AD141" s="480"/>
      <c r="AE141" s="477">
        <f t="shared" si="80"/>
        <v>0</v>
      </c>
      <c r="AF141" s="480"/>
      <c r="AG141" s="477">
        <f t="shared" si="81"/>
        <v>0</v>
      </c>
      <c r="AH141" s="480"/>
      <c r="AI141" s="477">
        <f t="shared" si="82"/>
        <v>0</v>
      </c>
      <c r="AJ141" s="480"/>
      <c r="AK141" s="477">
        <f t="shared" ca="1" si="83"/>
        <v>0</v>
      </c>
      <c r="AL141" s="475">
        <f t="shared" ca="1" si="84"/>
        <v>0</v>
      </c>
      <c r="AM141" s="480"/>
      <c r="AN141" s="477">
        <f t="shared" si="85"/>
        <v>0</v>
      </c>
      <c r="AO141" s="480"/>
      <c r="AP141" s="477">
        <f t="shared" si="86"/>
        <v>0</v>
      </c>
      <c r="AQ141" s="480"/>
      <c r="AR141" s="477">
        <f t="shared" si="87"/>
        <v>0</v>
      </c>
      <c r="AS141" s="480"/>
      <c r="AT141" s="477">
        <f t="shared" ca="1" si="88"/>
        <v>0</v>
      </c>
      <c r="AU141" s="475">
        <f t="shared" ca="1" si="89"/>
        <v>0</v>
      </c>
      <c r="AV141" s="480"/>
      <c r="AW141" s="477">
        <f t="shared" si="90"/>
        <v>0</v>
      </c>
      <c r="AX141" s="480"/>
      <c r="AY141" s="477">
        <f t="shared" si="91"/>
        <v>0</v>
      </c>
      <c r="AZ141" s="480"/>
      <c r="BA141" s="477">
        <f t="shared" si="92"/>
        <v>0</v>
      </c>
      <c r="BB141" s="480"/>
      <c r="BC141" s="850">
        <f t="shared" ca="1" si="93"/>
        <v>40000</v>
      </c>
    </row>
    <row r="142" spans="1:55" ht="56">
      <c r="A142" s="837" t="str">
        <f t="shared" ca="1" si="65"/>
        <v/>
      </c>
      <c r="B142" s="440">
        <v>136</v>
      </c>
      <c r="C142" s="834" t="str">
        <f t="shared" ca="1" si="66"/>
        <v>6.</v>
      </c>
      <c r="D142" s="1757" t="str">
        <f ca="1">IFERROR(VLOOKUP(LEFT(E142,4),Nom_activ_2!D:G,4,0),"")</f>
        <v>6.5.  Fortificarea implicării comunității și OSC în controlul TB prin abordare centrată pe persoană</v>
      </c>
      <c r="E142" s="1757" t="str">
        <f t="shared" ca="1" si="67"/>
        <v>6.5.2. Realizarea activităților prin granturi mici pentru educare, informare, intervenții pentru creșterea aderenței la tratament, acompanierea și suportul persoanelor care au finalizat tratamentul pentru prevenirea recidivelor.</v>
      </c>
      <c r="F142" s="1777" t="str">
        <f t="shared" ca="1" si="64"/>
        <v>6.5.2.2. Realizarea activităților prin granturi mici pentru educare, informare, intervenții pentru creșterea aderenței (Malul Stang)</v>
      </c>
      <c r="G142" s="839" t="str">
        <f t="shared" ca="1" si="64"/>
        <v>(NGO)</v>
      </c>
      <c r="H142" s="840" t="str">
        <f t="shared" ca="1" si="64"/>
        <v>GFATM</v>
      </c>
      <c r="I142" s="443" t="s">
        <v>3628</v>
      </c>
      <c r="J142" s="838" t="str">
        <f t="shared" si="68"/>
        <v>ONG_TB!$A:$j</v>
      </c>
      <c r="K142" s="475">
        <f t="shared" ca="1" si="69"/>
        <v>406270.625</v>
      </c>
      <c r="L142" s="480"/>
      <c r="M142" s="477">
        <f t="shared" si="70"/>
        <v>0</v>
      </c>
      <c r="N142" s="480"/>
      <c r="O142" s="477">
        <f t="shared" si="71"/>
        <v>0</v>
      </c>
      <c r="P142" s="480"/>
      <c r="Q142" s="477">
        <f t="shared" si="72"/>
        <v>0</v>
      </c>
      <c r="R142" s="480"/>
      <c r="S142" s="477">
        <f t="shared" ca="1" si="73"/>
        <v>406270.625</v>
      </c>
      <c r="T142" s="475">
        <f t="shared" ca="1" si="74"/>
        <v>504104.14</v>
      </c>
      <c r="U142" s="480"/>
      <c r="V142" s="477">
        <f t="shared" si="75"/>
        <v>0</v>
      </c>
      <c r="W142" s="480"/>
      <c r="X142" s="477">
        <f t="shared" si="76"/>
        <v>0</v>
      </c>
      <c r="Y142" s="480"/>
      <c r="Z142" s="477">
        <f t="shared" si="77"/>
        <v>0</v>
      </c>
      <c r="AA142" s="480"/>
      <c r="AB142" s="477">
        <f t="shared" ca="1" si="78"/>
        <v>504104.14</v>
      </c>
      <c r="AC142" s="475">
        <f t="shared" ca="1" si="79"/>
        <v>609463.31000000006</v>
      </c>
      <c r="AD142" s="480"/>
      <c r="AE142" s="477">
        <f t="shared" si="80"/>
        <v>0</v>
      </c>
      <c r="AF142" s="480"/>
      <c r="AG142" s="477">
        <f t="shared" si="81"/>
        <v>0</v>
      </c>
      <c r="AH142" s="480"/>
      <c r="AI142" s="477">
        <f t="shared" si="82"/>
        <v>0</v>
      </c>
      <c r="AJ142" s="480"/>
      <c r="AK142" s="477">
        <f t="shared" ca="1" si="83"/>
        <v>609463.31000000006</v>
      </c>
      <c r="AL142" s="475">
        <f t="shared" ca="1" si="84"/>
        <v>0</v>
      </c>
      <c r="AM142" s="480"/>
      <c r="AN142" s="477">
        <f t="shared" si="85"/>
        <v>0</v>
      </c>
      <c r="AO142" s="480"/>
      <c r="AP142" s="477">
        <f t="shared" si="86"/>
        <v>0</v>
      </c>
      <c r="AQ142" s="480"/>
      <c r="AR142" s="477">
        <f t="shared" si="87"/>
        <v>0</v>
      </c>
      <c r="AS142" s="480"/>
      <c r="AT142" s="477">
        <f t="shared" ca="1" si="88"/>
        <v>0</v>
      </c>
      <c r="AU142" s="475">
        <f t="shared" ca="1" si="89"/>
        <v>0</v>
      </c>
      <c r="AV142" s="480"/>
      <c r="AW142" s="477">
        <f t="shared" si="90"/>
        <v>0</v>
      </c>
      <c r="AX142" s="480"/>
      <c r="AY142" s="477">
        <f t="shared" si="91"/>
        <v>0</v>
      </c>
      <c r="AZ142" s="480"/>
      <c r="BA142" s="477">
        <f t="shared" si="92"/>
        <v>0</v>
      </c>
      <c r="BB142" s="480"/>
      <c r="BC142" s="850">
        <f t="shared" ca="1" si="93"/>
        <v>1519838.0750000002</v>
      </c>
    </row>
    <row r="143" spans="1:55" ht="56">
      <c r="A143" s="837" t="str">
        <f t="shared" ca="1" si="65"/>
        <v/>
      </c>
      <c r="B143" s="440">
        <v>137</v>
      </c>
      <c r="C143" s="834" t="str">
        <f t="shared" ca="1" si="66"/>
        <v>3.</v>
      </c>
      <c r="D143" s="1757" t="str">
        <f ca="1">IFERROR(VLOOKUP(LEFT(E143,4),Nom_activ_2!D:G,4,0),"")</f>
        <v>3.3.  Asigurarea aderenței la tratament, inclusiv prin utilizarea metodelor inovative, centrate pe persoană</v>
      </c>
      <c r="E143" s="1757" t="str">
        <f t="shared" ca="1" si="67"/>
        <v>3.3.1. Asigurarea abordării multidisciplinare, inclusiv evaluarea necesitaților si gestionarea cazului pentru fiecare persoana afectata de TB si a familiei si acordarea suportului psihosocial pentru asigurarea aderenței la tratament.</v>
      </c>
      <c r="F143" s="1777" t="str">
        <f t="shared" ca="1" si="64"/>
        <v>3.3.1.4. Curs de instruire organizarea lucrului echipei multidisciplinare</v>
      </c>
      <c r="G143" s="839" t="str">
        <f t="shared" ca="1" si="64"/>
        <v>PAS</v>
      </c>
      <c r="H143" s="840" t="str">
        <f t="shared" ca="1" si="64"/>
        <v>GFATM</v>
      </c>
      <c r="I143" s="443" t="s">
        <v>3310</v>
      </c>
      <c r="J143" s="838" t="str">
        <f t="shared" si="68"/>
        <v>Aderenta_VOT!$A:$j</v>
      </c>
      <c r="K143" s="475">
        <f t="shared" ca="1" si="69"/>
        <v>510176</v>
      </c>
      <c r="L143" s="480"/>
      <c r="M143" s="477">
        <f t="shared" si="70"/>
        <v>0</v>
      </c>
      <c r="N143" s="480"/>
      <c r="O143" s="477">
        <f t="shared" si="71"/>
        <v>0</v>
      </c>
      <c r="P143" s="480"/>
      <c r="Q143" s="477">
        <f t="shared" si="72"/>
        <v>0</v>
      </c>
      <c r="R143" s="480"/>
      <c r="S143" s="477">
        <f t="shared" ca="1" si="73"/>
        <v>510176</v>
      </c>
      <c r="T143" s="475">
        <f t="shared" ca="1" si="74"/>
        <v>0</v>
      </c>
      <c r="U143" s="480"/>
      <c r="V143" s="477">
        <f t="shared" si="75"/>
        <v>0</v>
      </c>
      <c r="W143" s="480"/>
      <c r="X143" s="477">
        <f t="shared" si="76"/>
        <v>0</v>
      </c>
      <c r="Y143" s="480"/>
      <c r="Z143" s="477">
        <f t="shared" si="77"/>
        <v>0</v>
      </c>
      <c r="AA143" s="480"/>
      <c r="AB143" s="477">
        <f t="shared" ca="1" si="78"/>
        <v>0</v>
      </c>
      <c r="AC143" s="475">
        <f t="shared" ca="1" si="79"/>
        <v>0</v>
      </c>
      <c r="AD143" s="480"/>
      <c r="AE143" s="477">
        <f t="shared" si="80"/>
        <v>0</v>
      </c>
      <c r="AF143" s="480"/>
      <c r="AG143" s="477">
        <f t="shared" si="81"/>
        <v>0</v>
      </c>
      <c r="AH143" s="480"/>
      <c r="AI143" s="477">
        <f t="shared" si="82"/>
        <v>0</v>
      </c>
      <c r="AJ143" s="480"/>
      <c r="AK143" s="477">
        <f t="shared" ca="1" si="83"/>
        <v>0</v>
      </c>
      <c r="AL143" s="475">
        <f t="shared" ca="1" si="84"/>
        <v>0</v>
      </c>
      <c r="AM143" s="480"/>
      <c r="AN143" s="477">
        <f t="shared" si="85"/>
        <v>0</v>
      </c>
      <c r="AO143" s="480"/>
      <c r="AP143" s="477">
        <f t="shared" si="86"/>
        <v>0</v>
      </c>
      <c r="AQ143" s="480"/>
      <c r="AR143" s="477">
        <f t="shared" si="87"/>
        <v>0</v>
      </c>
      <c r="AS143" s="480"/>
      <c r="AT143" s="477">
        <f t="shared" ca="1" si="88"/>
        <v>0</v>
      </c>
      <c r="AU143" s="475">
        <f t="shared" ca="1" si="89"/>
        <v>0</v>
      </c>
      <c r="AV143" s="480"/>
      <c r="AW143" s="477">
        <f t="shared" si="90"/>
        <v>0</v>
      </c>
      <c r="AX143" s="480"/>
      <c r="AY143" s="477">
        <f t="shared" si="91"/>
        <v>0</v>
      </c>
      <c r="AZ143" s="480"/>
      <c r="BA143" s="477">
        <f t="shared" si="92"/>
        <v>0</v>
      </c>
      <c r="BB143" s="480"/>
      <c r="BC143" s="850">
        <f t="shared" ca="1" si="93"/>
        <v>510176</v>
      </c>
    </row>
    <row r="144" spans="1:55" ht="28">
      <c r="A144" s="837" t="str">
        <f t="shared" ca="1" si="65"/>
        <v/>
      </c>
      <c r="B144" s="440">
        <v>138</v>
      </c>
      <c r="C144" s="834" t="str">
        <f t="shared" ca="1" si="66"/>
        <v>3.</v>
      </c>
      <c r="D144" s="1757" t="str">
        <f ca="1">IFERROR(VLOOKUP(LEFT(E144,4),Nom_activ_2!D:G,4,0),"")</f>
        <v>3.3.  Asigurarea aderenței la tratament, inclusiv prin utilizarea metodelor inovative, centrate pe persoană</v>
      </c>
      <c r="E144" s="1757" t="str">
        <f t="shared" ca="1" si="67"/>
        <v>3.3.2. Asigurarea suportului motivațional lunar (stimulente)</v>
      </c>
      <c r="F144" s="1777" t="str">
        <f t="shared" ca="1" si="64"/>
        <v>3.3.2.1 Asigurarea suportului motivațional lunar (stimulente)_Malul drept</v>
      </c>
      <c r="G144" s="839">
        <f t="shared" ca="1" si="64"/>
        <v>0</v>
      </c>
      <c r="H144" s="840" t="str">
        <f t="shared" ca="1" si="64"/>
        <v>CNAM</v>
      </c>
      <c r="I144" s="443" t="s">
        <v>3310</v>
      </c>
      <c r="J144" s="838" t="str">
        <f t="shared" si="68"/>
        <v>Aderenta_VOT!$A:$j</v>
      </c>
      <c r="K144" s="475">
        <f t="shared" ca="1" si="69"/>
        <v>15316701</v>
      </c>
      <c r="L144" s="480"/>
      <c r="M144" s="477">
        <f t="shared" si="70"/>
        <v>0</v>
      </c>
      <c r="N144" s="480"/>
      <c r="O144" s="477">
        <f t="shared" si="71"/>
        <v>0</v>
      </c>
      <c r="P144" s="480"/>
      <c r="Q144" s="477">
        <f t="shared" si="72"/>
        <v>0</v>
      </c>
      <c r="R144" s="480"/>
      <c r="S144" s="477">
        <f t="shared" ca="1" si="73"/>
        <v>15316701</v>
      </c>
      <c r="T144" s="475">
        <f t="shared" ca="1" si="74"/>
        <v>14812927.949999999</v>
      </c>
      <c r="U144" s="480"/>
      <c r="V144" s="477">
        <f t="shared" si="75"/>
        <v>0</v>
      </c>
      <c r="W144" s="480"/>
      <c r="X144" s="477">
        <f t="shared" si="76"/>
        <v>0</v>
      </c>
      <c r="Y144" s="480"/>
      <c r="Z144" s="477">
        <f t="shared" si="77"/>
        <v>0</v>
      </c>
      <c r="AA144" s="480"/>
      <c r="AB144" s="477">
        <f t="shared" ca="1" si="78"/>
        <v>14812927.949999999</v>
      </c>
      <c r="AC144" s="475">
        <f t="shared" ca="1" si="79"/>
        <v>14344887.75</v>
      </c>
      <c r="AD144" s="480"/>
      <c r="AE144" s="477">
        <f t="shared" si="80"/>
        <v>0</v>
      </c>
      <c r="AF144" s="480"/>
      <c r="AG144" s="477">
        <f t="shared" si="81"/>
        <v>0</v>
      </c>
      <c r="AH144" s="480"/>
      <c r="AI144" s="477">
        <f t="shared" si="82"/>
        <v>0</v>
      </c>
      <c r="AJ144" s="480"/>
      <c r="AK144" s="477">
        <f t="shared" ca="1" si="83"/>
        <v>14344887.75</v>
      </c>
      <c r="AL144" s="475">
        <f t="shared" ca="1" si="84"/>
        <v>13931570.399999999</v>
      </c>
      <c r="AM144" s="480"/>
      <c r="AN144" s="477">
        <f t="shared" si="85"/>
        <v>0</v>
      </c>
      <c r="AO144" s="480"/>
      <c r="AP144" s="477">
        <f t="shared" si="86"/>
        <v>0</v>
      </c>
      <c r="AQ144" s="480"/>
      <c r="AR144" s="477">
        <f t="shared" si="87"/>
        <v>0</v>
      </c>
      <c r="AS144" s="480"/>
      <c r="AT144" s="477">
        <f t="shared" ca="1" si="88"/>
        <v>13931570.399999999</v>
      </c>
      <c r="AU144" s="475">
        <f t="shared" ca="1" si="89"/>
        <v>13540344.75</v>
      </c>
      <c r="AV144" s="480"/>
      <c r="AW144" s="477">
        <f t="shared" si="90"/>
        <v>0</v>
      </c>
      <c r="AX144" s="480"/>
      <c r="AY144" s="477">
        <f t="shared" si="91"/>
        <v>0</v>
      </c>
      <c r="AZ144" s="480"/>
      <c r="BA144" s="477">
        <f t="shared" si="92"/>
        <v>0</v>
      </c>
      <c r="BB144" s="480"/>
      <c r="BC144" s="850">
        <f t="shared" ca="1" si="93"/>
        <v>71946431.849999994</v>
      </c>
    </row>
    <row r="145" spans="1:55" ht="28">
      <c r="A145" s="837" t="str">
        <f t="shared" ca="1" si="65"/>
        <v/>
      </c>
      <c r="B145" s="440">
        <v>139</v>
      </c>
      <c r="C145" s="834" t="str">
        <f t="shared" ca="1" si="66"/>
        <v>3.</v>
      </c>
      <c r="D145" s="1757" t="str">
        <f ca="1">IFERROR(VLOOKUP(LEFT(E145,4),Nom_activ_2!D:G,4,0),"")</f>
        <v>3.3.  Asigurarea aderenței la tratament, inclusiv prin utilizarea metodelor inovative, centrate pe persoană</v>
      </c>
      <c r="E145" s="1757" t="str">
        <f t="shared" ca="1" si="67"/>
        <v>3.3.3. Extinderea utilizării VOT la nivel național</v>
      </c>
      <c r="F145" s="1777" t="str">
        <f t="shared" ca="1" si="64"/>
        <v xml:space="preserve">3.3.3.1. Procurare echipament VOT si servicii internet </v>
      </c>
      <c r="G145" s="839" t="str">
        <f t="shared" ca="1" si="64"/>
        <v>PAS</v>
      </c>
      <c r="H145" s="840" t="str">
        <f t="shared" ca="1" si="64"/>
        <v>GFATM</v>
      </c>
      <c r="I145" s="443" t="s">
        <v>3310</v>
      </c>
      <c r="J145" s="838" t="str">
        <f t="shared" si="68"/>
        <v>Aderenta_VOT!$A:$j</v>
      </c>
      <c r="K145" s="475">
        <f t="shared" ca="1" si="69"/>
        <v>1005600</v>
      </c>
      <c r="L145" s="480"/>
      <c r="M145" s="477">
        <f t="shared" si="70"/>
        <v>0</v>
      </c>
      <c r="N145" s="480"/>
      <c r="O145" s="477">
        <f t="shared" si="71"/>
        <v>0</v>
      </c>
      <c r="P145" s="480"/>
      <c r="Q145" s="477">
        <f t="shared" si="72"/>
        <v>0</v>
      </c>
      <c r="R145" s="480"/>
      <c r="S145" s="477">
        <f t="shared" ca="1" si="73"/>
        <v>1005600</v>
      </c>
      <c r="T145" s="475">
        <f t="shared" ca="1" si="74"/>
        <v>838000</v>
      </c>
      <c r="U145" s="480"/>
      <c r="V145" s="477">
        <f t="shared" si="75"/>
        <v>0</v>
      </c>
      <c r="W145" s="480"/>
      <c r="X145" s="477">
        <f t="shared" si="76"/>
        <v>0</v>
      </c>
      <c r="Y145" s="480"/>
      <c r="Z145" s="477">
        <f t="shared" si="77"/>
        <v>0</v>
      </c>
      <c r="AA145" s="480"/>
      <c r="AB145" s="477">
        <f t="shared" ca="1" si="78"/>
        <v>838000</v>
      </c>
      <c r="AC145" s="475">
        <f t="shared" ca="1" si="79"/>
        <v>670400</v>
      </c>
      <c r="AD145" s="480"/>
      <c r="AE145" s="477">
        <f t="shared" si="80"/>
        <v>0</v>
      </c>
      <c r="AF145" s="480"/>
      <c r="AG145" s="477">
        <f t="shared" si="81"/>
        <v>0</v>
      </c>
      <c r="AH145" s="480"/>
      <c r="AI145" s="477">
        <f t="shared" si="82"/>
        <v>0</v>
      </c>
      <c r="AJ145" s="480"/>
      <c r="AK145" s="477">
        <f t="shared" ca="1" si="83"/>
        <v>670400</v>
      </c>
      <c r="AL145" s="475">
        <f t="shared" ca="1" si="84"/>
        <v>0</v>
      </c>
      <c r="AM145" s="480"/>
      <c r="AN145" s="477">
        <f t="shared" si="85"/>
        <v>0</v>
      </c>
      <c r="AO145" s="480"/>
      <c r="AP145" s="477">
        <f t="shared" si="86"/>
        <v>0</v>
      </c>
      <c r="AQ145" s="480"/>
      <c r="AR145" s="477">
        <f t="shared" si="87"/>
        <v>0</v>
      </c>
      <c r="AS145" s="480"/>
      <c r="AT145" s="477">
        <f t="shared" ca="1" si="88"/>
        <v>0</v>
      </c>
      <c r="AU145" s="475">
        <f t="shared" ca="1" si="89"/>
        <v>0</v>
      </c>
      <c r="AV145" s="480"/>
      <c r="AW145" s="477">
        <f t="shared" si="90"/>
        <v>0</v>
      </c>
      <c r="AX145" s="480"/>
      <c r="AY145" s="477">
        <f t="shared" si="91"/>
        <v>0</v>
      </c>
      <c r="AZ145" s="480"/>
      <c r="BA145" s="477">
        <f t="shared" si="92"/>
        <v>0</v>
      </c>
      <c r="BB145" s="480"/>
      <c r="BC145" s="850">
        <f t="shared" ca="1" si="93"/>
        <v>2514000</v>
      </c>
    </row>
    <row r="146" spans="1:55" ht="28">
      <c r="A146" s="837" t="str">
        <f t="shared" ca="1" si="65"/>
        <v/>
      </c>
      <c r="B146" s="440">
        <v>140</v>
      </c>
      <c r="C146" s="834" t="str">
        <f t="shared" ca="1" si="66"/>
        <v>3.</v>
      </c>
      <c r="D146" s="1757" t="str">
        <f ca="1">IFERROR(VLOOKUP(LEFT(E146,4),Nom_activ_2!D:G,4,0),"")</f>
        <v>3.3.  Asigurarea aderenței la tratament, inclusiv prin utilizarea metodelor inovative, centrate pe persoană</v>
      </c>
      <c r="E146" s="1757" t="str">
        <f t="shared" ca="1" si="67"/>
        <v>3.3.3. Extinderea utilizării VOT la nivel național</v>
      </c>
      <c r="F146" s="1777" t="str">
        <f t="shared" ca="1" si="64"/>
        <v>3.3.3.2. Elaborare materiale informationale VOT</v>
      </c>
      <c r="G146" s="839" t="str">
        <f t="shared" ca="1" si="64"/>
        <v>PAS</v>
      </c>
      <c r="H146" s="840" t="str">
        <f t="shared" ca="1" si="64"/>
        <v>GFATM</v>
      </c>
      <c r="I146" s="443" t="s">
        <v>3310</v>
      </c>
      <c r="J146" s="838" t="str">
        <f t="shared" si="68"/>
        <v>Aderenta_VOT!$A:$j</v>
      </c>
      <c r="K146" s="475">
        <f t="shared" ca="1" si="69"/>
        <v>0</v>
      </c>
      <c r="L146" s="480"/>
      <c r="M146" s="477">
        <f t="shared" si="70"/>
        <v>0</v>
      </c>
      <c r="N146" s="480"/>
      <c r="O146" s="477">
        <f t="shared" si="71"/>
        <v>0</v>
      </c>
      <c r="P146" s="480"/>
      <c r="Q146" s="477">
        <f t="shared" si="72"/>
        <v>0</v>
      </c>
      <c r="R146" s="480"/>
      <c r="S146" s="477">
        <f t="shared" ca="1" si="73"/>
        <v>0</v>
      </c>
      <c r="T146" s="475">
        <f t="shared" ca="1" si="74"/>
        <v>94000</v>
      </c>
      <c r="U146" s="480"/>
      <c r="V146" s="477">
        <f t="shared" si="75"/>
        <v>0</v>
      </c>
      <c r="W146" s="480"/>
      <c r="X146" s="477">
        <f t="shared" si="76"/>
        <v>0</v>
      </c>
      <c r="Y146" s="480"/>
      <c r="Z146" s="477">
        <f t="shared" si="77"/>
        <v>0</v>
      </c>
      <c r="AA146" s="480"/>
      <c r="AB146" s="477">
        <f t="shared" ca="1" si="78"/>
        <v>94000</v>
      </c>
      <c r="AC146" s="475">
        <f t="shared" ca="1" si="79"/>
        <v>0</v>
      </c>
      <c r="AD146" s="480"/>
      <c r="AE146" s="477">
        <f t="shared" si="80"/>
        <v>0</v>
      </c>
      <c r="AF146" s="480"/>
      <c r="AG146" s="477">
        <f t="shared" si="81"/>
        <v>0</v>
      </c>
      <c r="AH146" s="480"/>
      <c r="AI146" s="477">
        <f t="shared" si="82"/>
        <v>0</v>
      </c>
      <c r="AJ146" s="480"/>
      <c r="AK146" s="477">
        <f t="shared" ca="1" si="83"/>
        <v>0</v>
      </c>
      <c r="AL146" s="475">
        <f t="shared" ca="1" si="84"/>
        <v>0</v>
      </c>
      <c r="AM146" s="480"/>
      <c r="AN146" s="477">
        <f t="shared" si="85"/>
        <v>0</v>
      </c>
      <c r="AO146" s="480"/>
      <c r="AP146" s="477">
        <f t="shared" si="86"/>
        <v>0</v>
      </c>
      <c r="AQ146" s="480"/>
      <c r="AR146" s="477">
        <f t="shared" si="87"/>
        <v>0</v>
      </c>
      <c r="AS146" s="480"/>
      <c r="AT146" s="477">
        <f t="shared" ca="1" si="88"/>
        <v>0</v>
      </c>
      <c r="AU146" s="475">
        <f t="shared" ca="1" si="89"/>
        <v>0</v>
      </c>
      <c r="AV146" s="480"/>
      <c r="AW146" s="477">
        <f t="shared" si="90"/>
        <v>0</v>
      </c>
      <c r="AX146" s="480"/>
      <c r="AY146" s="477">
        <f t="shared" si="91"/>
        <v>0</v>
      </c>
      <c r="AZ146" s="480"/>
      <c r="BA146" s="477">
        <f t="shared" si="92"/>
        <v>0</v>
      </c>
      <c r="BB146" s="480"/>
      <c r="BC146" s="850">
        <f t="shared" ca="1" si="93"/>
        <v>94000</v>
      </c>
    </row>
    <row r="147" spans="1:55" ht="28">
      <c r="A147" s="837" t="str">
        <f t="shared" ca="1" si="65"/>
        <v/>
      </c>
      <c r="B147" s="440">
        <v>141</v>
      </c>
      <c r="C147" s="834" t="str">
        <f t="shared" ca="1" si="66"/>
        <v>3.</v>
      </c>
      <c r="D147" s="1757" t="str">
        <f ca="1">IFERROR(VLOOKUP(LEFT(E147,4),Nom_activ_2!D:G,4,0),"")</f>
        <v>3.3.  Asigurarea aderenței la tratament, inclusiv prin utilizarea metodelor inovative, centrate pe persoană</v>
      </c>
      <c r="E147" s="1757" t="str">
        <f t="shared" ca="1" si="67"/>
        <v>3.3.3. Extinderea utilizării VOT la nivel național</v>
      </c>
      <c r="F147" s="1777" t="str">
        <f t="shared" ref="F147:H166" ca="1" si="94">IFERROR(VLOOKUP($B147,INDIRECT($J147),F$5,0),0)</f>
        <v>3.3.3.3. Multiplicarea si distribuirea pacientilor ghidului VOT</v>
      </c>
      <c r="G147" s="839" t="str">
        <f t="shared" ca="1" si="94"/>
        <v>PAS</v>
      </c>
      <c r="H147" s="840" t="str">
        <f t="shared" ca="1" si="94"/>
        <v>GFATM</v>
      </c>
      <c r="I147" s="443" t="s">
        <v>3310</v>
      </c>
      <c r="J147" s="838" t="str">
        <f t="shared" si="68"/>
        <v>Aderenta_VOT!$A:$j</v>
      </c>
      <c r="K147" s="475">
        <f t="shared" ca="1" si="69"/>
        <v>120000</v>
      </c>
      <c r="L147" s="480"/>
      <c r="M147" s="477">
        <f t="shared" si="70"/>
        <v>0</v>
      </c>
      <c r="N147" s="480"/>
      <c r="O147" s="477">
        <f t="shared" si="71"/>
        <v>0</v>
      </c>
      <c r="P147" s="480"/>
      <c r="Q147" s="477">
        <f t="shared" si="72"/>
        <v>0</v>
      </c>
      <c r="R147" s="480"/>
      <c r="S147" s="477">
        <f t="shared" ca="1" si="73"/>
        <v>120000</v>
      </c>
      <c r="T147" s="475">
        <f t="shared" ca="1" si="74"/>
        <v>0</v>
      </c>
      <c r="U147" s="480"/>
      <c r="V147" s="477">
        <f t="shared" si="75"/>
        <v>0</v>
      </c>
      <c r="W147" s="480"/>
      <c r="X147" s="477">
        <f t="shared" si="76"/>
        <v>0</v>
      </c>
      <c r="Y147" s="480"/>
      <c r="Z147" s="477">
        <f t="shared" si="77"/>
        <v>0</v>
      </c>
      <c r="AA147" s="480"/>
      <c r="AB147" s="477">
        <f t="shared" ca="1" si="78"/>
        <v>0</v>
      </c>
      <c r="AC147" s="475">
        <f t="shared" ca="1" si="79"/>
        <v>0</v>
      </c>
      <c r="AD147" s="480"/>
      <c r="AE147" s="477">
        <f t="shared" si="80"/>
        <v>0</v>
      </c>
      <c r="AF147" s="480"/>
      <c r="AG147" s="477">
        <f t="shared" si="81"/>
        <v>0</v>
      </c>
      <c r="AH147" s="480"/>
      <c r="AI147" s="477">
        <f t="shared" si="82"/>
        <v>0</v>
      </c>
      <c r="AJ147" s="480"/>
      <c r="AK147" s="477">
        <f t="shared" ca="1" si="83"/>
        <v>0</v>
      </c>
      <c r="AL147" s="475">
        <f t="shared" ca="1" si="84"/>
        <v>0</v>
      </c>
      <c r="AM147" s="480"/>
      <c r="AN147" s="477">
        <f t="shared" si="85"/>
        <v>0</v>
      </c>
      <c r="AO147" s="480"/>
      <c r="AP147" s="477">
        <f t="shared" si="86"/>
        <v>0</v>
      </c>
      <c r="AQ147" s="480"/>
      <c r="AR147" s="477">
        <f t="shared" si="87"/>
        <v>0</v>
      </c>
      <c r="AS147" s="480"/>
      <c r="AT147" s="477">
        <f t="shared" ca="1" si="88"/>
        <v>0</v>
      </c>
      <c r="AU147" s="475">
        <f t="shared" ca="1" si="89"/>
        <v>0</v>
      </c>
      <c r="AV147" s="480"/>
      <c r="AW147" s="477">
        <f t="shared" si="90"/>
        <v>0</v>
      </c>
      <c r="AX147" s="480"/>
      <c r="AY147" s="477">
        <f t="shared" si="91"/>
        <v>0</v>
      </c>
      <c r="AZ147" s="480"/>
      <c r="BA147" s="477">
        <f t="shared" si="92"/>
        <v>0</v>
      </c>
      <c r="BB147" s="480"/>
      <c r="BC147" s="850">
        <f t="shared" ca="1" si="93"/>
        <v>120000</v>
      </c>
    </row>
    <row r="148" spans="1:55" ht="28">
      <c r="A148" s="837" t="str">
        <f t="shared" ca="1" si="65"/>
        <v/>
      </c>
      <c r="B148" s="440">
        <v>142</v>
      </c>
      <c r="C148" s="834" t="str">
        <f t="shared" ca="1" si="66"/>
        <v>3.</v>
      </c>
      <c r="D148" s="1757" t="str">
        <f ca="1">IFERROR(VLOOKUP(LEFT(E148,4),Nom_activ_2!D:G,4,0),"")</f>
        <v>3.3.  Asigurarea aderenței la tratament, inclusiv prin utilizarea metodelor inovative, centrate pe persoană</v>
      </c>
      <c r="E148" s="1757" t="str">
        <f t="shared" ca="1" si="67"/>
        <v>3.3.3. Extinderea utilizării VOT la nivel național</v>
      </c>
      <c r="F148" s="1777" t="str">
        <f t="shared" ca="1" si="94"/>
        <v>3.3.3.4. Curs de instruire VOT</v>
      </c>
      <c r="G148" s="839" t="str">
        <f t="shared" ca="1" si="94"/>
        <v>PAS</v>
      </c>
      <c r="H148" s="840" t="str">
        <f t="shared" ca="1" si="94"/>
        <v>GFATM</v>
      </c>
      <c r="I148" s="443" t="s">
        <v>3310</v>
      </c>
      <c r="J148" s="838" t="str">
        <f t="shared" si="68"/>
        <v>Aderenta_VOT!$A:$j</v>
      </c>
      <c r="K148" s="475">
        <f t="shared" ca="1" si="69"/>
        <v>81790.8</v>
      </c>
      <c r="L148" s="480"/>
      <c r="M148" s="477">
        <f t="shared" si="70"/>
        <v>0</v>
      </c>
      <c r="N148" s="480"/>
      <c r="O148" s="477">
        <f t="shared" si="71"/>
        <v>0</v>
      </c>
      <c r="P148" s="480"/>
      <c r="Q148" s="477">
        <f t="shared" si="72"/>
        <v>0</v>
      </c>
      <c r="R148" s="480"/>
      <c r="S148" s="477">
        <f t="shared" ca="1" si="73"/>
        <v>81790.8</v>
      </c>
      <c r="T148" s="475">
        <f t="shared" ca="1" si="74"/>
        <v>0</v>
      </c>
      <c r="U148" s="480"/>
      <c r="V148" s="477">
        <f t="shared" si="75"/>
        <v>0</v>
      </c>
      <c r="W148" s="480"/>
      <c r="X148" s="477">
        <f t="shared" si="76"/>
        <v>0</v>
      </c>
      <c r="Y148" s="480"/>
      <c r="Z148" s="477">
        <f t="shared" si="77"/>
        <v>0</v>
      </c>
      <c r="AA148" s="480"/>
      <c r="AB148" s="477">
        <f t="shared" ca="1" si="78"/>
        <v>0</v>
      </c>
      <c r="AC148" s="475">
        <f t="shared" ca="1" si="79"/>
        <v>0</v>
      </c>
      <c r="AD148" s="480"/>
      <c r="AE148" s="477">
        <f t="shared" si="80"/>
        <v>0</v>
      </c>
      <c r="AF148" s="480"/>
      <c r="AG148" s="477">
        <f t="shared" si="81"/>
        <v>0</v>
      </c>
      <c r="AH148" s="480"/>
      <c r="AI148" s="477">
        <f t="shared" si="82"/>
        <v>0</v>
      </c>
      <c r="AJ148" s="480"/>
      <c r="AK148" s="477">
        <f t="shared" ca="1" si="83"/>
        <v>0</v>
      </c>
      <c r="AL148" s="475">
        <f t="shared" ca="1" si="84"/>
        <v>0</v>
      </c>
      <c r="AM148" s="480"/>
      <c r="AN148" s="477">
        <f t="shared" si="85"/>
        <v>0</v>
      </c>
      <c r="AO148" s="480"/>
      <c r="AP148" s="477">
        <f t="shared" si="86"/>
        <v>0</v>
      </c>
      <c r="AQ148" s="480"/>
      <c r="AR148" s="477">
        <f t="shared" si="87"/>
        <v>0</v>
      </c>
      <c r="AS148" s="480"/>
      <c r="AT148" s="477">
        <f t="shared" ca="1" si="88"/>
        <v>0</v>
      </c>
      <c r="AU148" s="475">
        <f t="shared" ca="1" si="89"/>
        <v>0</v>
      </c>
      <c r="AV148" s="480"/>
      <c r="AW148" s="477">
        <f t="shared" si="90"/>
        <v>0</v>
      </c>
      <c r="AX148" s="480"/>
      <c r="AY148" s="477">
        <f t="shared" si="91"/>
        <v>0</v>
      </c>
      <c r="AZ148" s="480"/>
      <c r="BA148" s="477">
        <f t="shared" si="92"/>
        <v>0</v>
      </c>
      <c r="BB148" s="480"/>
      <c r="BC148" s="850">
        <f t="shared" ca="1" si="93"/>
        <v>81790.8</v>
      </c>
    </row>
    <row r="149" spans="1:55" ht="28">
      <c r="A149" s="837" t="str">
        <f t="shared" ca="1" si="65"/>
        <v/>
      </c>
      <c r="B149" s="440">
        <v>143</v>
      </c>
      <c r="C149" s="834" t="str">
        <f t="shared" ca="1" si="66"/>
        <v>5.</v>
      </c>
      <c r="D149" s="1757" t="str">
        <f ca="1">IFERROR(VLOOKUP(LEFT(E149,4),Nom_activ_2!D:G,4,0),"")</f>
        <v>5.2.  Asigurarea informării privind respectarea măsurilor de control al infecției  pentru reducerea riscului de transmitere a TB în societate</v>
      </c>
      <c r="E149" s="1757" t="str">
        <f t="shared" ca="1" si="67"/>
        <v>5.2.1. Desfășurarea activităților de informare și schimbare a atitudinilor  și comportamentelor la nivel național si local</v>
      </c>
      <c r="F149" s="1777" t="str">
        <f t="shared" ca="1" si="94"/>
        <v>5.2.1.6 Evaluarea situatiei la nivel de teritoriu si posibilitatea integrarii ONG in activitatile din cadrul programelor teritoriale de control a tuberculozei</v>
      </c>
      <c r="G149" s="839" t="str">
        <f t="shared" ca="1" si="94"/>
        <v>PAS</v>
      </c>
      <c r="H149" s="840" t="str">
        <f t="shared" ca="1" si="94"/>
        <v>GFATM</v>
      </c>
      <c r="I149" s="443" t="s">
        <v>3386</v>
      </c>
      <c r="J149" s="838" t="str">
        <f t="shared" si="68"/>
        <v>Informare!$A:$j</v>
      </c>
      <c r="K149" s="475">
        <f t="shared" ca="1" si="69"/>
        <v>30000</v>
      </c>
      <c r="L149" s="480"/>
      <c r="M149" s="477">
        <f t="shared" si="70"/>
        <v>0</v>
      </c>
      <c r="N149" s="480"/>
      <c r="O149" s="477">
        <f t="shared" si="71"/>
        <v>0</v>
      </c>
      <c r="P149" s="480"/>
      <c r="Q149" s="477">
        <f t="shared" si="72"/>
        <v>0</v>
      </c>
      <c r="R149" s="480"/>
      <c r="S149" s="477">
        <f t="shared" ca="1" si="73"/>
        <v>30000</v>
      </c>
      <c r="T149" s="475">
        <f t="shared" ca="1" si="74"/>
        <v>30000</v>
      </c>
      <c r="U149" s="480"/>
      <c r="V149" s="477">
        <f t="shared" si="75"/>
        <v>0</v>
      </c>
      <c r="W149" s="480"/>
      <c r="X149" s="477">
        <f t="shared" si="76"/>
        <v>0</v>
      </c>
      <c r="Y149" s="480"/>
      <c r="Z149" s="477">
        <f t="shared" si="77"/>
        <v>0</v>
      </c>
      <c r="AA149" s="480"/>
      <c r="AB149" s="477">
        <f t="shared" ca="1" si="78"/>
        <v>30000</v>
      </c>
      <c r="AC149" s="475">
        <f t="shared" ca="1" si="79"/>
        <v>30000</v>
      </c>
      <c r="AD149" s="480"/>
      <c r="AE149" s="477">
        <f t="shared" si="80"/>
        <v>0</v>
      </c>
      <c r="AF149" s="480"/>
      <c r="AG149" s="477">
        <f t="shared" si="81"/>
        <v>0</v>
      </c>
      <c r="AH149" s="480"/>
      <c r="AI149" s="477">
        <f t="shared" si="82"/>
        <v>0</v>
      </c>
      <c r="AJ149" s="480"/>
      <c r="AK149" s="477">
        <f t="shared" ca="1" si="83"/>
        <v>30000</v>
      </c>
      <c r="AL149" s="475">
        <f t="shared" ca="1" si="84"/>
        <v>0</v>
      </c>
      <c r="AM149" s="480"/>
      <c r="AN149" s="477">
        <f t="shared" si="85"/>
        <v>0</v>
      </c>
      <c r="AO149" s="480"/>
      <c r="AP149" s="477">
        <f t="shared" si="86"/>
        <v>0</v>
      </c>
      <c r="AQ149" s="480"/>
      <c r="AR149" s="477">
        <f t="shared" si="87"/>
        <v>0</v>
      </c>
      <c r="AS149" s="480"/>
      <c r="AT149" s="477">
        <f t="shared" ca="1" si="88"/>
        <v>0</v>
      </c>
      <c r="AU149" s="475">
        <f t="shared" ca="1" si="89"/>
        <v>0</v>
      </c>
      <c r="AV149" s="480"/>
      <c r="AW149" s="477">
        <f t="shared" si="90"/>
        <v>0</v>
      </c>
      <c r="AX149" s="480"/>
      <c r="AY149" s="477">
        <f t="shared" si="91"/>
        <v>0</v>
      </c>
      <c r="AZ149" s="480"/>
      <c r="BA149" s="477">
        <f t="shared" si="92"/>
        <v>0</v>
      </c>
      <c r="BB149" s="480"/>
      <c r="BC149" s="850">
        <f t="shared" ca="1" si="93"/>
        <v>90000</v>
      </c>
    </row>
    <row r="150" spans="1:55" ht="28">
      <c r="A150" s="837" t="str">
        <f t="shared" ca="1" si="65"/>
        <v/>
      </c>
      <c r="B150" s="440">
        <v>144</v>
      </c>
      <c r="C150" s="834" t="str">
        <f t="shared" ca="1" si="66"/>
        <v>3.</v>
      </c>
      <c r="D150" s="1757" t="str">
        <f ca="1">IFERROR(VLOOKUP(LEFT(E150,4),Nom_activ_2!D:G,4,0),"")</f>
        <v>3.3.  Asigurarea aderenței la tratament, inclusiv prin utilizarea metodelor inovative, centrate pe persoană</v>
      </c>
      <c r="E150" s="1757" t="str">
        <f t="shared" ca="1" si="67"/>
        <v>3.3.3. Extinderea utilizării VOT la nivel național</v>
      </c>
      <c r="F150" s="1777" t="str">
        <f t="shared" ca="1" si="94"/>
        <v>3.3.3.5. Plasarea sistemului VOT pe serverul PNCT</v>
      </c>
      <c r="G150" s="839" t="str">
        <f t="shared" ca="1" si="94"/>
        <v>PAS</v>
      </c>
      <c r="H150" s="840" t="str">
        <f t="shared" ca="1" si="94"/>
        <v>GFATM</v>
      </c>
      <c r="I150" s="443" t="s">
        <v>3310</v>
      </c>
      <c r="J150" s="838" t="str">
        <f t="shared" si="68"/>
        <v>Aderenta_VOT!$A:$j</v>
      </c>
      <c r="K150" s="475">
        <f t="shared" ca="1" si="69"/>
        <v>97100</v>
      </c>
      <c r="L150" s="480"/>
      <c r="M150" s="477">
        <f t="shared" si="70"/>
        <v>0</v>
      </c>
      <c r="N150" s="480"/>
      <c r="O150" s="477">
        <f t="shared" si="71"/>
        <v>0</v>
      </c>
      <c r="P150" s="480"/>
      <c r="Q150" s="477">
        <f t="shared" si="72"/>
        <v>0</v>
      </c>
      <c r="R150" s="480"/>
      <c r="S150" s="477">
        <f t="shared" ca="1" si="73"/>
        <v>97100</v>
      </c>
      <c r="T150" s="475">
        <f t="shared" ca="1" si="74"/>
        <v>0</v>
      </c>
      <c r="U150" s="480"/>
      <c r="V150" s="477">
        <f t="shared" si="75"/>
        <v>0</v>
      </c>
      <c r="W150" s="480"/>
      <c r="X150" s="477">
        <f t="shared" si="76"/>
        <v>0</v>
      </c>
      <c r="Y150" s="480"/>
      <c r="Z150" s="477">
        <f t="shared" si="77"/>
        <v>0</v>
      </c>
      <c r="AA150" s="480"/>
      <c r="AB150" s="477">
        <f t="shared" ca="1" si="78"/>
        <v>0</v>
      </c>
      <c r="AC150" s="475">
        <f t="shared" ca="1" si="79"/>
        <v>0</v>
      </c>
      <c r="AD150" s="480"/>
      <c r="AE150" s="477">
        <f t="shared" si="80"/>
        <v>0</v>
      </c>
      <c r="AF150" s="480"/>
      <c r="AG150" s="477">
        <f t="shared" si="81"/>
        <v>0</v>
      </c>
      <c r="AH150" s="480"/>
      <c r="AI150" s="477">
        <f t="shared" si="82"/>
        <v>0</v>
      </c>
      <c r="AJ150" s="480"/>
      <c r="AK150" s="477">
        <f t="shared" ca="1" si="83"/>
        <v>0</v>
      </c>
      <c r="AL150" s="475">
        <f t="shared" ca="1" si="84"/>
        <v>0</v>
      </c>
      <c r="AM150" s="480"/>
      <c r="AN150" s="477">
        <f t="shared" si="85"/>
        <v>0</v>
      </c>
      <c r="AO150" s="480"/>
      <c r="AP150" s="477">
        <f t="shared" si="86"/>
        <v>0</v>
      </c>
      <c r="AQ150" s="480"/>
      <c r="AR150" s="477">
        <f t="shared" si="87"/>
        <v>0</v>
      </c>
      <c r="AS150" s="480"/>
      <c r="AT150" s="477">
        <f t="shared" ca="1" si="88"/>
        <v>0</v>
      </c>
      <c r="AU150" s="475">
        <f t="shared" ca="1" si="89"/>
        <v>0</v>
      </c>
      <c r="AV150" s="480"/>
      <c r="AW150" s="477">
        <f t="shared" si="90"/>
        <v>0</v>
      </c>
      <c r="AX150" s="480"/>
      <c r="AY150" s="477">
        <f t="shared" si="91"/>
        <v>0</v>
      </c>
      <c r="AZ150" s="480"/>
      <c r="BA150" s="477">
        <f t="shared" si="92"/>
        <v>0</v>
      </c>
      <c r="BB150" s="480"/>
      <c r="BC150" s="850">
        <f t="shared" ca="1" si="93"/>
        <v>97100</v>
      </c>
    </row>
    <row r="151" spans="1:55" ht="28">
      <c r="A151" s="837" t="str">
        <f t="shared" ca="1" si="65"/>
        <v/>
      </c>
      <c r="B151" s="440">
        <v>145</v>
      </c>
      <c r="C151" s="834" t="str">
        <f t="shared" ca="1" si="66"/>
        <v>6.</v>
      </c>
      <c r="D151" s="1757" t="str">
        <f ca="1">IFERROR(VLOOKUP(LEFT(E151,4),Nom_activ_2!D:G,4,0),"")</f>
        <v>6.5.  Fortificarea implicării comunității și OSC în controlul TB prin abordare centrată pe persoană</v>
      </c>
      <c r="E151" s="1757" t="str">
        <f t="shared" ca="1" si="67"/>
        <v>6.5.4. Implicarea OSC în reducerea barierelor și asigurarea accesului grupurilor cheie la servicii TB</v>
      </c>
      <c r="F151" s="1777" t="str">
        <f t="shared" ca="1" si="94"/>
        <v>6.5.4.2 Servicii de asistență și consiliere juridică (Granturi ONG)</v>
      </c>
      <c r="G151" s="839" t="str">
        <f t="shared" ca="1" si="94"/>
        <v>(NGO)</v>
      </c>
      <c r="H151" s="840" t="str">
        <f t="shared" ca="1" si="94"/>
        <v>GFATM</v>
      </c>
      <c r="I151" s="443" t="s">
        <v>3628</v>
      </c>
      <c r="J151" s="838" t="str">
        <f t="shared" si="68"/>
        <v>ONG_TB!$A:$j</v>
      </c>
      <c r="K151" s="475">
        <f t="shared" ca="1" si="69"/>
        <v>863487</v>
      </c>
      <c r="L151" s="480"/>
      <c r="M151" s="477">
        <f t="shared" si="70"/>
        <v>0</v>
      </c>
      <c r="N151" s="480"/>
      <c r="O151" s="477">
        <f t="shared" si="71"/>
        <v>0</v>
      </c>
      <c r="P151" s="480"/>
      <c r="Q151" s="477">
        <f t="shared" si="72"/>
        <v>0</v>
      </c>
      <c r="R151" s="480"/>
      <c r="S151" s="477">
        <f t="shared" ca="1" si="73"/>
        <v>863487</v>
      </c>
      <c r="T151" s="475">
        <f t="shared" ca="1" si="74"/>
        <v>863487</v>
      </c>
      <c r="U151" s="480"/>
      <c r="V151" s="477">
        <f t="shared" si="75"/>
        <v>0</v>
      </c>
      <c r="W151" s="480"/>
      <c r="X151" s="477">
        <f t="shared" si="76"/>
        <v>0</v>
      </c>
      <c r="Y151" s="480"/>
      <c r="Z151" s="477">
        <f t="shared" si="77"/>
        <v>0</v>
      </c>
      <c r="AA151" s="480"/>
      <c r="AB151" s="477">
        <f t="shared" ca="1" si="78"/>
        <v>863487</v>
      </c>
      <c r="AC151" s="475">
        <f t="shared" ca="1" si="79"/>
        <v>863487</v>
      </c>
      <c r="AD151" s="480"/>
      <c r="AE151" s="477">
        <f t="shared" si="80"/>
        <v>0</v>
      </c>
      <c r="AF151" s="480"/>
      <c r="AG151" s="477">
        <f t="shared" si="81"/>
        <v>0</v>
      </c>
      <c r="AH151" s="480"/>
      <c r="AI151" s="477">
        <f t="shared" si="82"/>
        <v>0</v>
      </c>
      <c r="AJ151" s="480"/>
      <c r="AK151" s="477">
        <f t="shared" ca="1" si="83"/>
        <v>863487</v>
      </c>
      <c r="AL151" s="475">
        <f t="shared" ca="1" si="84"/>
        <v>0</v>
      </c>
      <c r="AM151" s="480"/>
      <c r="AN151" s="477">
        <f t="shared" si="85"/>
        <v>0</v>
      </c>
      <c r="AO151" s="480"/>
      <c r="AP151" s="477">
        <f t="shared" si="86"/>
        <v>0</v>
      </c>
      <c r="AQ151" s="480"/>
      <c r="AR151" s="477">
        <f t="shared" si="87"/>
        <v>0</v>
      </c>
      <c r="AS151" s="480"/>
      <c r="AT151" s="477">
        <f t="shared" ca="1" si="88"/>
        <v>0</v>
      </c>
      <c r="AU151" s="475">
        <f t="shared" ca="1" si="89"/>
        <v>0</v>
      </c>
      <c r="AV151" s="480"/>
      <c r="AW151" s="477">
        <f t="shared" si="90"/>
        <v>0</v>
      </c>
      <c r="AX151" s="480"/>
      <c r="AY151" s="477">
        <f t="shared" si="91"/>
        <v>0</v>
      </c>
      <c r="AZ151" s="480"/>
      <c r="BA151" s="477">
        <f t="shared" si="92"/>
        <v>0</v>
      </c>
      <c r="BB151" s="480"/>
      <c r="BC151" s="850">
        <f t="shared" ca="1" si="93"/>
        <v>2590461</v>
      </c>
    </row>
    <row r="152" spans="1:55" ht="28">
      <c r="A152" s="837" t="str">
        <f t="shared" ca="1" si="65"/>
        <v/>
      </c>
      <c r="B152" s="440">
        <v>146</v>
      </c>
      <c r="C152" s="834" t="str">
        <f t="shared" ca="1" si="66"/>
        <v>6.</v>
      </c>
      <c r="D152" s="1757" t="str">
        <f ca="1">IFERROR(VLOOKUP(LEFT(E152,4),Nom_activ_2!D:G,4,0),"")</f>
        <v>6.5.  Fortificarea implicării comunității și OSC în controlul TB prin abordare centrată pe persoană</v>
      </c>
      <c r="E152" s="1757" t="str">
        <f t="shared" ca="1" si="67"/>
        <v>6.5.4. Implicarea OSC în reducerea barierelor și asigurarea accesului grupurilor cheie la servicii TB</v>
      </c>
      <c r="F152" s="1777" t="str">
        <f t="shared" ca="1" si="94"/>
        <v>6.5.4.3 Grant pentru fundraising</v>
      </c>
      <c r="G152" s="839" t="str">
        <f t="shared" ca="1" si="94"/>
        <v>(NGO)</v>
      </c>
      <c r="H152" s="840" t="str">
        <f t="shared" ca="1" si="94"/>
        <v>GFATM</v>
      </c>
      <c r="I152" s="443" t="s">
        <v>3628</v>
      </c>
      <c r="J152" s="838" t="str">
        <f t="shared" si="68"/>
        <v>ONG_TB!$A:$j</v>
      </c>
      <c r="K152" s="475">
        <f t="shared" ca="1" si="69"/>
        <v>0</v>
      </c>
      <c r="L152" s="480"/>
      <c r="M152" s="477">
        <f t="shared" si="70"/>
        <v>0</v>
      </c>
      <c r="N152" s="480"/>
      <c r="O152" s="477">
        <f t="shared" si="71"/>
        <v>0</v>
      </c>
      <c r="P152" s="480"/>
      <c r="Q152" s="477">
        <f t="shared" si="72"/>
        <v>0</v>
      </c>
      <c r="R152" s="480"/>
      <c r="S152" s="477">
        <f t="shared" ca="1" si="73"/>
        <v>0</v>
      </c>
      <c r="T152" s="475">
        <f t="shared" ca="1" si="74"/>
        <v>0</v>
      </c>
      <c r="U152" s="480"/>
      <c r="V152" s="477">
        <f t="shared" si="75"/>
        <v>0</v>
      </c>
      <c r="W152" s="480"/>
      <c r="X152" s="477">
        <f t="shared" si="76"/>
        <v>0</v>
      </c>
      <c r="Y152" s="480"/>
      <c r="Z152" s="477">
        <f t="shared" si="77"/>
        <v>0</v>
      </c>
      <c r="AA152" s="480"/>
      <c r="AB152" s="477">
        <f t="shared" ca="1" si="78"/>
        <v>0</v>
      </c>
      <c r="AC152" s="475">
        <f t="shared" ca="1" si="79"/>
        <v>0</v>
      </c>
      <c r="AD152" s="480"/>
      <c r="AE152" s="477">
        <f t="shared" si="80"/>
        <v>0</v>
      </c>
      <c r="AF152" s="480"/>
      <c r="AG152" s="477">
        <f t="shared" si="81"/>
        <v>0</v>
      </c>
      <c r="AH152" s="480"/>
      <c r="AI152" s="477">
        <f t="shared" si="82"/>
        <v>0</v>
      </c>
      <c r="AJ152" s="480"/>
      <c r="AK152" s="477">
        <f t="shared" ca="1" si="83"/>
        <v>0</v>
      </c>
      <c r="AL152" s="475">
        <f t="shared" ca="1" si="84"/>
        <v>0</v>
      </c>
      <c r="AM152" s="480"/>
      <c r="AN152" s="477">
        <f t="shared" si="85"/>
        <v>0</v>
      </c>
      <c r="AO152" s="480"/>
      <c r="AP152" s="477">
        <f t="shared" si="86"/>
        <v>0</v>
      </c>
      <c r="AQ152" s="480"/>
      <c r="AR152" s="477">
        <f t="shared" si="87"/>
        <v>0</v>
      </c>
      <c r="AS152" s="480"/>
      <c r="AT152" s="477">
        <f t="shared" ca="1" si="88"/>
        <v>0</v>
      </c>
      <c r="AU152" s="475">
        <f t="shared" ca="1" si="89"/>
        <v>0</v>
      </c>
      <c r="AV152" s="480"/>
      <c r="AW152" s="477">
        <f t="shared" si="90"/>
        <v>0</v>
      </c>
      <c r="AX152" s="480"/>
      <c r="AY152" s="477">
        <f t="shared" si="91"/>
        <v>0</v>
      </c>
      <c r="AZ152" s="480"/>
      <c r="BA152" s="477">
        <f t="shared" si="92"/>
        <v>0</v>
      </c>
      <c r="BB152" s="480"/>
      <c r="BC152" s="850">
        <f t="shared" ca="1" si="93"/>
        <v>0</v>
      </c>
    </row>
    <row r="153" spans="1:55" ht="56">
      <c r="A153" s="837" t="str">
        <f t="shared" ca="1" si="65"/>
        <v/>
      </c>
      <c r="B153" s="440">
        <v>147</v>
      </c>
      <c r="C153" s="834" t="str">
        <f t="shared" ca="1" si="66"/>
        <v>1.</v>
      </c>
      <c r="D153" s="1757" t="str">
        <f ca="1">IFERROR(VLOOKUP(LEFT(E153,4),Nom_activ_2!D:G,4,0),"")</f>
        <v>1.1.  Depistarea activă a TB în grupurile cu risc și vigilență sporită pentru TB</v>
      </c>
      <c r="E153" s="1757" t="str">
        <f t="shared" ca="1" si="67"/>
        <v>1.1.4. Asigurarea examinării persoanelor din grupurile cu risc și vigilență sporită pentru TB în localități, utilizând instalațiile radiologice mobile cu introducerea inteligenței artificiale medicale</v>
      </c>
      <c r="F153" s="1777" t="str">
        <f t="shared" ca="1" si="94"/>
        <v xml:space="preserve">1.1.4.6. Bonificatie pentru depistarea tuberculozei prin intermediul OSC
</v>
      </c>
      <c r="G153" s="839" t="str">
        <f t="shared" ca="1" si="94"/>
        <v>(NGO)</v>
      </c>
      <c r="H153" s="840" t="str">
        <f t="shared" ca="1" si="94"/>
        <v>GFATM</v>
      </c>
      <c r="I153" s="443" t="s">
        <v>3628</v>
      </c>
      <c r="J153" s="838" t="str">
        <f t="shared" si="68"/>
        <v>ONG_TB!$A:$j</v>
      </c>
      <c r="K153" s="475">
        <f t="shared" ca="1" si="69"/>
        <v>215000</v>
      </c>
      <c r="L153" s="480"/>
      <c r="M153" s="477">
        <f t="shared" si="70"/>
        <v>0</v>
      </c>
      <c r="N153" s="480"/>
      <c r="O153" s="477">
        <f t="shared" si="71"/>
        <v>0</v>
      </c>
      <c r="P153" s="480"/>
      <c r="Q153" s="477">
        <f t="shared" si="72"/>
        <v>0</v>
      </c>
      <c r="R153" s="480"/>
      <c r="S153" s="477">
        <f t="shared" ca="1" si="73"/>
        <v>215000</v>
      </c>
      <c r="T153" s="475">
        <f t="shared" ca="1" si="74"/>
        <v>225000</v>
      </c>
      <c r="U153" s="480"/>
      <c r="V153" s="477">
        <f t="shared" si="75"/>
        <v>0</v>
      </c>
      <c r="W153" s="480"/>
      <c r="X153" s="477">
        <f t="shared" si="76"/>
        <v>0</v>
      </c>
      <c r="Y153" s="480"/>
      <c r="Z153" s="477">
        <f t="shared" si="77"/>
        <v>0</v>
      </c>
      <c r="AA153" s="480"/>
      <c r="AB153" s="477">
        <f t="shared" ca="1" si="78"/>
        <v>225000</v>
      </c>
      <c r="AC153" s="475">
        <f t="shared" ca="1" si="79"/>
        <v>235000</v>
      </c>
      <c r="AD153" s="480"/>
      <c r="AE153" s="477">
        <f t="shared" si="80"/>
        <v>0</v>
      </c>
      <c r="AF153" s="480"/>
      <c r="AG153" s="477">
        <f t="shared" si="81"/>
        <v>0</v>
      </c>
      <c r="AH153" s="480"/>
      <c r="AI153" s="477">
        <f t="shared" si="82"/>
        <v>0</v>
      </c>
      <c r="AJ153" s="480"/>
      <c r="AK153" s="477">
        <f t="shared" ca="1" si="83"/>
        <v>235000</v>
      </c>
      <c r="AL153" s="475">
        <f t="shared" ca="1" si="84"/>
        <v>0</v>
      </c>
      <c r="AM153" s="480"/>
      <c r="AN153" s="477">
        <f t="shared" si="85"/>
        <v>0</v>
      </c>
      <c r="AO153" s="480"/>
      <c r="AP153" s="477">
        <f t="shared" si="86"/>
        <v>0</v>
      </c>
      <c r="AQ153" s="480"/>
      <c r="AR153" s="477">
        <f t="shared" si="87"/>
        <v>0</v>
      </c>
      <c r="AS153" s="480"/>
      <c r="AT153" s="477">
        <f t="shared" ca="1" si="88"/>
        <v>0</v>
      </c>
      <c r="AU153" s="475">
        <f t="shared" ca="1" si="89"/>
        <v>0</v>
      </c>
      <c r="AV153" s="480"/>
      <c r="AW153" s="477">
        <f t="shared" si="90"/>
        <v>0</v>
      </c>
      <c r="AX153" s="480"/>
      <c r="AY153" s="477">
        <f t="shared" si="91"/>
        <v>0</v>
      </c>
      <c r="AZ153" s="480"/>
      <c r="BA153" s="477">
        <f t="shared" si="92"/>
        <v>0</v>
      </c>
      <c r="BB153" s="480"/>
      <c r="BC153" s="850">
        <f t="shared" ca="1" si="93"/>
        <v>675000</v>
      </c>
    </row>
    <row r="154" spans="1:55" ht="28">
      <c r="A154" s="837" t="str">
        <f t="shared" ca="1" si="65"/>
        <v/>
      </c>
      <c r="B154" s="440">
        <v>148</v>
      </c>
      <c r="C154" s="834" t="str">
        <f t="shared" ca="1" si="66"/>
        <v>4.</v>
      </c>
      <c r="D154" s="1757" t="str">
        <f ca="1">IFERROR(VLOOKUP(LEFT(E154,4),Nom_activ_2!D:G,4,0),"")</f>
        <v>4.1.  Consolidarea capacităților pentru realizarea unui control eficient al co-infecţiei TB/HIV</v>
      </c>
      <c r="E154" s="1757" t="str">
        <f t="shared" ca="1" si="67"/>
        <v>4.1.1. Asigurarea unui mecanism  multisectorial de coordonare a PNCT cu celelalte ministere, instituții publice</v>
      </c>
      <c r="F154" s="1777" t="str">
        <f t="shared" ca="1" si="94"/>
        <v>4.1.1.1. Elaborarea unui mecanism multisectorial de responsabilizare</v>
      </c>
      <c r="G154" s="839" t="str">
        <f t="shared" ca="1" si="94"/>
        <v>PAS</v>
      </c>
      <c r="H154" s="840" t="str">
        <f t="shared" ca="1" si="94"/>
        <v>GFATM</v>
      </c>
      <c r="I154" s="443" t="s">
        <v>3315</v>
      </c>
      <c r="J154" s="838" t="str">
        <f t="shared" si="68"/>
        <v>Activ_colaborative!$A:$j</v>
      </c>
      <c r="K154" s="475">
        <f t="shared" ca="1" si="69"/>
        <v>40000</v>
      </c>
      <c r="L154" s="480"/>
      <c r="M154" s="477">
        <f t="shared" si="70"/>
        <v>0</v>
      </c>
      <c r="N154" s="480"/>
      <c r="O154" s="477">
        <f t="shared" si="71"/>
        <v>0</v>
      </c>
      <c r="P154" s="480"/>
      <c r="Q154" s="477">
        <f t="shared" si="72"/>
        <v>0</v>
      </c>
      <c r="R154" s="480"/>
      <c r="S154" s="477">
        <f t="shared" ca="1" si="73"/>
        <v>40000</v>
      </c>
      <c r="T154" s="475">
        <f t="shared" ca="1" si="74"/>
        <v>0</v>
      </c>
      <c r="U154" s="480"/>
      <c r="V154" s="477">
        <f t="shared" si="75"/>
        <v>0</v>
      </c>
      <c r="W154" s="480"/>
      <c r="X154" s="477">
        <f t="shared" si="76"/>
        <v>0</v>
      </c>
      <c r="Y154" s="480"/>
      <c r="Z154" s="477">
        <f t="shared" si="77"/>
        <v>0</v>
      </c>
      <c r="AA154" s="480"/>
      <c r="AB154" s="477">
        <f t="shared" ca="1" si="78"/>
        <v>0</v>
      </c>
      <c r="AC154" s="475">
        <f t="shared" ca="1" si="79"/>
        <v>0</v>
      </c>
      <c r="AD154" s="480"/>
      <c r="AE154" s="477">
        <f t="shared" si="80"/>
        <v>0</v>
      </c>
      <c r="AF154" s="480"/>
      <c r="AG154" s="477">
        <f t="shared" si="81"/>
        <v>0</v>
      </c>
      <c r="AH154" s="480"/>
      <c r="AI154" s="477">
        <f t="shared" si="82"/>
        <v>0</v>
      </c>
      <c r="AJ154" s="480"/>
      <c r="AK154" s="477">
        <f t="shared" ca="1" si="83"/>
        <v>0</v>
      </c>
      <c r="AL154" s="475">
        <f t="shared" ca="1" si="84"/>
        <v>0</v>
      </c>
      <c r="AM154" s="480"/>
      <c r="AN154" s="477">
        <f t="shared" si="85"/>
        <v>0</v>
      </c>
      <c r="AO154" s="480"/>
      <c r="AP154" s="477">
        <f t="shared" si="86"/>
        <v>0</v>
      </c>
      <c r="AQ154" s="480"/>
      <c r="AR154" s="477">
        <f t="shared" si="87"/>
        <v>0</v>
      </c>
      <c r="AS154" s="480"/>
      <c r="AT154" s="477">
        <f t="shared" ca="1" si="88"/>
        <v>0</v>
      </c>
      <c r="AU154" s="475">
        <f t="shared" ca="1" si="89"/>
        <v>0</v>
      </c>
      <c r="AV154" s="480"/>
      <c r="AW154" s="477">
        <f t="shared" si="90"/>
        <v>0</v>
      </c>
      <c r="AX154" s="480"/>
      <c r="AY154" s="477">
        <f t="shared" si="91"/>
        <v>0</v>
      </c>
      <c r="AZ154" s="480"/>
      <c r="BA154" s="477">
        <f t="shared" si="92"/>
        <v>0</v>
      </c>
      <c r="BB154" s="480"/>
      <c r="BC154" s="850">
        <f t="shared" ca="1" si="93"/>
        <v>40000</v>
      </c>
    </row>
    <row r="155" spans="1:55" ht="28">
      <c r="A155" s="837" t="str">
        <f t="shared" ca="1" si="65"/>
        <v/>
      </c>
      <c r="B155" s="440">
        <v>149</v>
      </c>
      <c r="C155" s="834" t="str">
        <f t="shared" ca="1" si="66"/>
        <v>4.</v>
      </c>
      <c r="D155" s="1757" t="str">
        <f ca="1">IFERROR(VLOOKUP(LEFT(E155,4),Nom_activ_2!D:G,4,0),"")</f>
        <v>4.1.  Consolidarea capacităților pentru realizarea unui control eficient al co-infecţiei TB/HIV</v>
      </c>
      <c r="E155" s="1757" t="str">
        <f t="shared" ca="1" si="67"/>
        <v>4.1.1. Asigurarea unui mecanism  multisectorial de coordonare a PNCT cu celelalte ministere, instituții publice</v>
      </c>
      <c r="F155" s="1777" t="str">
        <f t="shared" ca="1" si="94"/>
        <v>4.1.1.2. Sedinte cu privire la mecanism multisectorial de responsabilizare</v>
      </c>
      <c r="G155" s="839" t="str">
        <f t="shared" ca="1" si="94"/>
        <v>PAS</v>
      </c>
      <c r="H155" s="840" t="str">
        <f t="shared" ca="1" si="94"/>
        <v>GFATM</v>
      </c>
      <c r="I155" s="443" t="s">
        <v>3315</v>
      </c>
      <c r="J155" s="838" t="str">
        <f t="shared" si="68"/>
        <v>Activ_colaborative!$A:$j</v>
      </c>
      <c r="K155" s="475">
        <f t="shared" ca="1" si="69"/>
        <v>70192</v>
      </c>
      <c r="L155" s="480"/>
      <c r="M155" s="477">
        <f t="shared" si="70"/>
        <v>0</v>
      </c>
      <c r="N155" s="480"/>
      <c r="O155" s="477">
        <f t="shared" si="71"/>
        <v>0</v>
      </c>
      <c r="P155" s="480"/>
      <c r="Q155" s="477">
        <f t="shared" si="72"/>
        <v>0</v>
      </c>
      <c r="R155" s="480"/>
      <c r="S155" s="477">
        <f t="shared" ca="1" si="73"/>
        <v>70192</v>
      </c>
      <c r="T155" s="475">
        <f t="shared" ca="1" si="74"/>
        <v>0</v>
      </c>
      <c r="U155" s="480"/>
      <c r="V155" s="477">
        <f t="shared" si="75"/>
        <v>0</v>
      </c>
      <c r="W155" s="480"/>
      <c r="X155" s="477">
        <f t="shared" si="76"/>
        <v>0</v>
      </c>
      <c r="Y155" s="480"/>
      <c r="Z155" s="477">
        <f t="shared" si="77"/>
        <v>0</v>
      </c>
      <c r="AA155" s="480"/>
      <c r="AB155" s="477">
        <f t="shared" ca="1" si="78"/>
        <v>0</v>
      </c>
      <c r="AC155" s="475">
        <f t="shared" ca="1" si="79"/>
        <v>0</v>
      </c>
      <c r="AD155" s="480"/>
      <c r="AE155" s="477">
        <f t="shared" si="80"/>
        <v>0</v>
      </c>
      <c r="AF155" s="480"/>
      <c r="AG155" s="477">
        <f t="shared" si="81"/>
        <v>0</v>
      </c>
      <c r="AH155" s="480"/>
      <c r="AI155" s="477">
        <f t="shared" si="82"/>
        <v>0</v>
      </c>
      <c r="AJ155" s="480"/>
      <c r="AK155" s="477">
        <f t="shared" ca="1" si="83"/>
        <v>0</v>
      </c>
      <c r="AL155" s="475">
        <f t="shared" ca="1" si="84"/>
        <v>0</v>
      </c>
      <c r="AM155" s="480"/>
      <c r="AN155" s="477">
        <f t="shared" si="85"/>
        <v>0</v>
      </c>
      <c r="AO155" s="480"/>
      <c r="AP155" s="477">
        <f t="shared" si="86"/>
        <v>0</v>
      </c>
      <c r="AQ155" s="480"/>
      <c r="AR155" s="477">
        <f t="shared" si="87"/>
        <v>0</v>
      </c>
      <c r="AS155" s="480"/>
      <c r="AT155" s="477">
        <f t="shared" ca="1" si="88"/>
        <v>0</v>
      </c>
      <c r="AU155" s="475">
        <f t="shared" ca="1" si="89"/>
        <v>0</v>
      </c>
      <c r="AV155" s="480"/>
      <c r="AW155" s="477">
        <f t="shared" si="90"/>
        <v>0</v>
      </c>
      <c r="AX155" s="480"/>
      <c r="AY155" s="477">
        <f t="shared" si="91"/>
        <v>0</v>
      </c>
      <c r="AZ155" s="480"/>
      <c r="BA155" s="477">
        <f t="shared" si="92"/>
        <v>0</v>
      </c>
      <c r="BB155" s="480"/>
      <c r="BC155" s="850">
        <f t="shared" ca="1" si="93"/>
        <v>70192</v>
      </c>
    </row>
    <row r="156" spans="1:55" ht="28">
      <c r="A156" s="837" t="str">
        <f t="shared" ca="1" si="65"/>
        <v/>
      </c>
      <c r="B156" s="440">
        <v>150</v>
      </c>
      <c r="C156" s="834" t="str">
        <f t="shared" ca="1" si="66"/>
        <v>4.</v>
      </c>
      <c r="D156" s="1757" t="str">
        <f ca="1">IFERROR(VLOOKUP(LEFT(E156,4),Nom_activ_2!D:G,4,0),"")</f>
        <v>4.1.  Consolidarea capacităților pentru realizarea unui control eficient al co-infecţiei TB/HIV</v>
      </c>
      <c r="E156" s="1757" t="str">
        <f t="shared" ca="1" si="67"/>
        <v>4.1.2. Dezvoltarea parteneriatelor colaborative la nivel de comunități prin implicarea OSC și APL</v>
      </c>
      <c r="F156" s="1777" t="str">
        <f t="shared" ca="1" si="94"/>
        <v>4.1.2.1. Elaborarea unui mecanism de parteneriat colaborativ la nivel de comunități prin implicarea OSC și APL</v>
      </c>
      <c r="G156" s="839" t="str">
        <f t="shared" ca="1" si="94"/>
        <v>PAS</v>
      </c>
      <c r="H156" s="840" t="str">
        <f t="shared" ca="1" si="94"/>
        <v>GFATM</v>
      </c>
      <c r="I156" s="443" t="s">
        <v>3315</v>
      </c>
      <c r="J156" s="838" t="str">
        <f t="shared" si="68"/>
        <v>Activ_colaborative!$A:$j</v>
      </c>
      <c r="K156" s="475">
        <f t="shared" ca="1" si="69"/>
        <v>20000</v>
      </c>
      <c r="L156" s="480"/>
      <c r="M156" s="477">
        <f t="shared" si="70"/>
        <v>0</v>
      </c>
      <c r="N156" s="480"/>
      <c r="O156" s="477">
        <f t="shared" si="71"/>
        <v>0</v>
      </c>
      <c r="P156" s="480"/>
      <c r="Q156" s="477">
        <f t="shared" si="72"/>
        <v>0</v>
      </c>
      <c r="R156" s="480"/>
      <c r="S156" s="477">
        <f t="shared" ca="1" si="73"/>
        <v>20000</v>
      </c>
      <c r="T156" s="475">
        <f t="shared" ca="1" si="74"/>
        <v>0</v>
      </c>
      <c r="U156" s="480"/>
      <c r="V156" s="477">
        <f t="shared" si="75"/>
        <v>0</v>
      </c>
      <c r="W156" s="480"/>
      <c r="X156" s="477">
        <f t="shared" si="76"/>
        <v>0</v>
      </c>
      <c r="Y156" s="480"/>
      <c r="Z156" s="477">
        <f t="shared" si="77"/>
        <v>0</v>
      </c>
      <c r="AA156" s="480"/>
      <c r="AB156" s="477">
        <f t="shared" ca="1" si="78"/>
        <v>0</v>
      </c>
      <c r="AC156" s="475">
        <f t="shared" ca="1" si="79"/>
        <v>0</v>
      </c>
      <c r="AD156" s="480"/>
      <c r="AE156" s="477">
        <f t="shared" si="80"/>
        <v>0</v>
      </c>
      <c r="AF156" s="480"/>
      <c r="AG156" s="477">
        <f t="shared" si="81"/>
        <v>0</v>
      </c>
      <c r="AH156" s="480"/>
      <c r="AI156" s="477">
        <f t="shared" si="82"/>
        <v>0</v>
      </c>
      <c r="AJ156" s="480"/>
      <c r="AK156" s="477">
        <f t="shared" ca="1" si="83"/>
        <v>0</v>
      </c>
      <c r="AL156" s="475">
        <f t="shared" ca="1" si="84"/>
        <v>0</v>
      </c>
      <c r="AM156" s="480"/>
      <c r="AN156" s="477">
        <f t="shared" si="85"/>
        <v>0</v>
      </c>
      <c r="AO156" s="480"/>
      <c r="AP156" s="477">
        <f t="shared" si="86"/>
        <v>0</v>
      </c>
      <c r="AQ156" s="480"/>
      <c r="AR156" s="477">
        <f t="shared" si="87"/>
        <v>0</v>
      </c>
      <c r="AS156" s="480"/>
      <c r="AT156" s="477">
        <f t="shared" ca="1" si="88"/>
        <v>0</v>
      </c>
      <c r="AU156" s="475">
        <f t="shared" ca="1" si="89"/>
        <v>0</v>
      </c>
      <c r="AV156" s="480"/>
      <c r="AW156" s="477">
        <f t="shared" si="90"/>
        <v>0</v>
      </c>
      <c r="AX156" s="480"/>
      <c r="AY156" s="477">
        <f t="shared" si="91"/>
        <v>0</v>
      </c>
      <c r="AZ156" s="480"/>
      <c r="BA156" s="477">
        <f t="shared" si="92"/>
        <v>0</v>
      </c>
      <c r="BB156" s="480"/>
      <c r="BC156" s="850">
        <f t="shared" ca="1" si="93"/>
        <v>20000</v>
      </c>
    </row>
    <row r="157" spans="1:55" ht="28">
      <c r="A157" s="837" t="str">
        <f t="shared" ca="1" si="65"/>
        <v/>
      </c>
      <c r="B157" s="440">
        <v>151</v>
      </c>
      <c r="C157" s="834" t="str">
        <f t="shared" ca="1" si="66"/>
        <v>4.</v>
      </c>
      <c r="D157" s="1757" t="str">
        <f ca="1">IFERROR(VLOOKUP(LEFT(E157,4),Nom_activ_2!D:G,4,0),"")</f>
        <v>4.1.  Consolidarea capacităților pentru realizarea unui control eficient al co-infecţiei TB/HIV</v>
      </c>
      <c r="E157" s="1757" t="str">
        <f t="shared" ca="1" si="67"/>
        <v>4.1.2. Dezvoltarea parteneriatelor colaborative la nivel de comunități prin implicarea OSC și APL</v>
      </c>
      <c r="F157" s="1777" t="str">
        <f t="shared" ca="1" si="94"/>
        <v>4.1.2.2. Sedinte cu privire la mecanism multisectorial de responsabilizare</v>
      </c>
      <c r="G157" s="839" t="str">
        <f t="shared" ca="1" si="94"/>
        <v>PAS</v>
      </c>
      <c r="H157" s="840" t="str">
        <f t="shared" ca="1" si="94"/>
        <v>GFATM</v>
      </c>
      <c r="I157" s="443" t="s">
        <v>3315</v>
      </c>
      <c r="J157" s="838" t="str">
        <f t="shared" si="68"/>
        <v>Activ_colaborative!$A:$j</v>
      </c>
      <c r="K157" s="475">
        <f t="shared" ca="1" si="69"/>
        <v>17548</v>
      </c>
      <c r="L157" s="480"/>
      <c r="M157" s="477">
        <f t="shared" si="70"/>
        <v>0</v>
      </c>
      <c r="N157" s="480"/>
      <c r="O157" s="477">
        <f t="shared" si="71"/>
        <v>0</v>
      </c>
      <c r="P157" s="480"/>
      <c r="Q157" s="477">
        <f t="shared" si="72"/>
        <v>0</v>
      </c>
      <c r="R157" s="480"/>
      <c r="S157" s="477">
        <f t="shared" ca="1" si="73"/>
        <v>17548</v>
      </c>
      <c r="T157" s="475">
        <f t="shared" ca="1" si="74"/>
        <v>0</v>
      </c>
      <c r="U157" s="480"/>
      <c r="V157" s="477">
        <f t="shared" si="75"/>
        <v>0</v>
      </c>
      <c r="W157" s="480"/>
      <c r="X157" s="477">
        <f t="shared" si="76"/>
        <v>0</v>
      </c>
      <c r="Y157" s="480"/>
      <c r="Z157" s="477">
        <f t="shared" si="77"/>
        <v>0</v>
      </c>
      <c r="AA157" s="480"/>
      <c r="AB157" s="477">
        <f t="shared" ca="1" si="78"/>
        <v>0</v>
      </c>
      <c r="AC157" s="475">
        <f t="shared" ca="1" si="79"/>
        <v>0</v>
      </c>
      <c r="AD157" s="480"/>
      <c r="AE157" s="477">
        <f t="shared" si="80"/>
        <v>0</v>
      </c>
      <c r="AF157" s="480"/>
      <c r="AG157" s="477">
        <f t="shared" si="81"/>
        <v>0</v>
      </c>
      <c r="AH157" s="480"/>
      <c r="AI157" s="477">
        <f t="shared" si="82"/>
        <v>0</v>
      </c>
      <c r="AJ157" s="480"/>
      <c r="AK157" s="477">
        <f t="shared" ca="1" si="83"/>
        <v>0</v>
      </c>
      <c r="AL157" s="475">
        <f t="shared" ca="1" si="84"/>
        <v>0</v>
      </c>
      <c r="AM157" s="480"/>
      <c r="AN157" s="477">
        <f t="shared" si="85"/>
        <v>0</v>
      </c>
      <c r="AO157" s="480"/>
      <c r="AP157" s="477">
        <f t="shared" si="86"/>
        <v>0</v>
      </c>
      <c r="AQ157" s="480"/>
      <c r="AR157" s="477">
        <f t="shared" si="87"/>
        <v>0</v>
      </c>
      <c r="AS157" s="480"/>
      <c r="AT157" s="477">
        <f t="shared" ca="1" si="88"/>
        <v>0</v>
      </c>
      <c r="AU157" s="475">
        <f t="shared" ca="1" si="89"/>
        <v>0</v>
      </c>
      <c r="AV157" s="480"/>
      <c r="AW157" s="477">
        <f t="shared" si="90"/>
        <v>0</v>
      </c>
      <c r="AX157" s="480"/>
      <c r="AY157" s="477">
        <f t="shared" si="91"/>
        <v>0</v>
      </c>
      <c r="AZ157" s="480"/>
      <c r="BA157" s="477">
        <f t="shared" si="92"/>
        <v>0</v>
      </c>
      <c r="BB157" s="480"/>
      <c r="BC157" s="850">
        <f t="shared" ca="1" si="93"/>
        <v>17548</v>
      </c>
    </row>
    <row r="158" spans="1:55" ht="42">
      <c r="A158" s="837" t="str">
        <f t="shared" ca="1" si="65"/>
        <v/>
      </c>
      <c r="B158" s="440">
        <v>152</v>
      </c>
      <c r="C158" s="834" t="str">
        <f t="shared" ca="1" si="66"/>
        <v>4.</v>
      </c>
      <c r="D158" s="1757" t="str">
        <f ca="1">IFERROR(VLOOKUP(LEFT(E158,4),Nom_activ_2!D:G,4,0),"")</f>
        <v>4.2.  Consolidarea acțiunilor colaborative în controlul TB cu alte programe naționale</v>
      </c>
      <c r="E158" s="1757" t="str">
        <f t="shared" ca="1" si="67"/>
        <v>4.2.1. Elaborarea regulamentului de servicii integrate la nivel teritorial in corespundere cu necesitatile persoanei cu co-morbiditati.</v>
      </c>
      <c r="F158" s="1777" t="str">
        <f t="shared" ca="1" si="94"/>
        <v>4.2.1.1.  Elaborarea regulamentului de servicii integrate la nivel teritorial in corespundere cu necesitatile persoanei cu co-morbiditati.</v>
      </c>
      <c r="G158" s="839" t="str">
        <f t="shared" ca="1" si="94"/>
        <v>PAS</v>
      </c>
      <c r="H158" s="840" t="str">
        <f t="shared" ca="1" si="94"/>
        <v>GFATM</v>
      </c>
      <c r="I158" s="443" t="s">
        <v>3315</v>
      </c>
      <c r="J158" s="838" t="str">
        <f t="shared" si="68"/>
        <v>Activ_colaborative!$A:$j</v>
      </c>
      <c r="K158" s="475">
        <f t="shared" ca="1" si="69"/>
        <v>80000</v>
      </c>
      <c r="L158" s="480"/>
      <c r="M158" s="477">
        <f t="shared" si="70"/>
        <v>0</v>
      </c>
      <c r="N158" s="480"/>
      <c r="O158" s="477">
        <f t="shared" si="71"/>
        <v>0</v>
      </c>
      <c r="P158" s="480"/>
      <c r="Q158" s="477">
        <f t="shared" si="72"/>
        <v>0</v>
      </c>
      <c r="R158" s="480"/>
      <c r="S158" s="477">
        <f t="shared" ca="1" si="73"/>
        <v>80000</v>
      </c>
      <c r="T158" s="475">
        <f t="shared" ca="1" si="74"/>
        <v>0</v>
      </c>
      <c r="U158" s="480"/>
      <c r="V158" s="477">
        <f t="shared" si="75"/>
        <v>0</v>
      </c>
      <c r="W158" s="480"/>
      <c r="X158" s="477">
        <f t="shared" si="76"/>
        <v>0</v>
      </c>
      <c r="Y158" s="480"/>
      <c r="Z158" s="477">
        <f t="shared" si="77"/>
        <v>0</v>
      </c>
      <c r="AA158" s="480"/>
      <c r="AB158" s="477">
        <f t="shared" ca="1" si="78"/>
        <v>0</v>
      </c>
      <c r="AC158" s="475">
        <f t="shared" ca="1" si="79"/>
        <v>0</v>
      </c>
      <c r="AD158" s="480"/>
      <c r="AE158" s="477">
        <f t="shared" si="80"/>
        <v>0</v>
      </c>
      <c r="AF158" s="480"/>
      <c r="AG158" s="477">
        <f t="shared" si="81"/>
        <v>0</v>
      </c>
      <c r="AH158" s="480"/>
      <c r="AI158" s="477">
        <f t="shared" si="82"/>
        <v>0</v>
      </c>
      <c r="AJ158" s="480"/>
      <c r="AK158" s="477">
        <f t="shared" ca="1" si="83"/>
        <v>0</v>
      </c>
      <c r="AL158" s="475">
        <f t="shared" ca="1" si="84"/>
        <v>0</v>
      </c>
      <c r="AM158" s="480"/>
      <c r="AN158" s="477">
        <f t="shared" si="85"/>
        <v>0</v>
      </c>
      <c r="AO158" s="480"/>
      <c r="AP158" s="477">
        <f t="shared" si="86"/>
        <v>0</v>
      </c>
      <c r="AQ158" s="480"/>
      <c r="AR158" s="477">
        <f t="shared" si="87"/>
        <v>0</v>
      </c>
      <c r="AS158" s="480"/>
      <c r="AT158" s="477">
        <f t="shared" ca="1" si="88"/>
        <v>0</v>
      </c>
      <c r="AU158" s="475">
        <f t="shared" ca="1" si="89"/>
        <v>0</v>
      </c>
      <c r="AV158" s="480"/>
      <c r="AW158" s="477">
        <f t="shared" si="90"/>
        <v>0</v>
      </c>
      <c r="AX158" s="480"/>
      <c r="AY158" s="477">
        <f t="shared" si="91"/>
        <v>0</v>
      </c>
      <c r="AZ158" s="480"/>
      <c r="BA158" s="477">
        <f t="shared" si="92"/>
        <v>0</v>
      </c>
      <c r="BB158" s="480"/>
      <c r="BC158" s="850">
        <f t="shared" ca="1" si="93"/>
        <v>80000</v>
      </c>
    </row>
    <row r="159" spans="1:55" ht="42">
      <c r="A159" s="837" t="str">
        <f t="shared" ca="1" si="65"/>
        <v/>
      </c>
      <c r="B159" s="440">
        <v>153</v>
      </c>
      <c r="C159" s="834" t="str">
        <f t="shared" ca="1" si="66"/>
        <v>4.</v>
      </c>
      <c r="D159" s="1757" t="str">
        <f ca="1">IFERROR(VLOOKUP(LEFT(E159,4),Nom_activ_2!D:G,4,0),"")</f>
        <v>4.2.  Consolidarea acțiunilor colaborative în controlul TB cu alte programe naționale</v>
      </c>
      <c r="E159" s="1757" t="str">
        <f t="shared" ca="1" si="67"/>
        <v>4.2.1. Elaborarea regulamentului de servicii integrate la nivel teritorial in corespundere cu necesitatile persoanei cu co-morbiditati.</v>
      </c>
      <c r="F159" s="1777" t="str">
        <f t="shared" ca="1" si="94"/>
        <v>4.2.1.2. Sedinte cu privire la servicii integrate la nivel teritorial in corespundere cu necesitatile persoanei cu co-morbiditati.</v>
      </c>
      <c r="G159" s="839" t="str">
        <f t="shared" ca="1" si="94"/>
        <v>PAS</v>
      </c>
      <c r="H159" s="840" t="str">
        <f t="shared" ca="1" si="94"/>
        <v>GFATM</v>
      </c>
      <c r="I159" s="443" t="s">
        <v>3315</v>
      </c>
      <c r="J159" s="838" t="str">
        <f t="shared" si="68"/>
        <v>Activ_colaborative!$A:$j</v>
      </c>
      <c r="K159" s="475">
        <f t="shared" ca="1" si="69"/>
        <v>70192</v>
      </c>
      <c r="L159" s="480"/>
      <c r="M159" s="477">
        <f t="shared" si="70"/>
        <v>0</v>
      </c>
      <c r="N159" s="480"/>
      <c r="O159" s="477">
        <f t="shared" si="71"/>
        <v>0</v>
      </c>
      <c r="P159" s="480"/>
      <c r="Q159" s="477">
        <f t="shared" si="72"/>
        <v>0</v>
      </c>
      <c r="R159" s="480"/>
      <c r="S159" s="477">
        <f t="shared" ca="1" si="73"/>
        <v>70192</v>
      </c>
      <c r="T159" s="475">
        <f t="shared" ca="1" si="74"/>
        <v>0</v>
      </c>
      <c r="U159" s="480"/>
      <c r="V159" s="477">
        <f t="shared" si="75"/>
        <v>0</v>
      </c>
      <c r="W159" s="480"/>
      <c r="X159" s="477">
        <f t="shared" si="76"/>
        <v>0</v>
      </c>
      <c r="Y159" s="480"/>
      <c r="Z159" s="477">
        <f t="shared" si="77"/>
        <v>0</v>
      </c>
      <c r="AA159" s="480"/>
      <c r="AB159" s="477">
        <f t="shared" ca="1" si="78"/>
        <v>0</v>
      </c>
      <c r="AC159" s="475">
        <f t="shared" ca="1" si="79"/>
        <v>0</v>
      </c>
      <c r="AD159" s="480"/>
      <c r="AE159" s="477">
        <f t="shared" si="80"/>
        <v>0</v>
      </c>
      <c r="AF159" s="480"/>
      <c r="AG159" s="477">
        <f t="shared" si="81"/>
        <v>0</v>
      </c>
      <c r="AH159" s="480"/>
      <c r="AI159" s="477">
        <f t="shared" si="82"/>
        <v>0</v>
      </c>
      <c r="AJ159" s="480"/>
      <c r="AK159" s="477">
        <f t="shared" ca="1" si="83"/>
        <v>0</v>
      </c>
      <c r="AL159" s="475">
        <f t="shared" ca="1" si="84"/>
        <v>0</v>
      </c>
      <c r="AM159" s="480"/>
      <c r="AN159" s="477">
        <f t="shared" si="85"/>
        <v>0</v>
      </c>
      <c r="AO159" s="480"/>
      <c r="AP159" s="477">
        <f t="shared" si="86"/>
        <v>0</v>
      </c>
      <c r="AQ159" s="480"/>
      <c r="AR159" s="477">
        <f t="shared" si="87"/>
        <v>0</v>
      </c>
      <c r="AS159" s="480"/>
      <c r="AT159" s="477">
        <f t="shared" ca="1" si="88"/>
        <v>0</v>
      </c>
      <c r="AU159" s="475">
        <f t="shared" ca="1" si="89"/>
        <v>0</v>
      </c>
      <c r="AV159" s="480"/>
      <c r="AW159" s="477">
        <f t="shared" si="90"/>
        <v>0</v>
      </c>
      <c r="AX159" s="480"/>
      <c r="AY159" s="477">
        <f t="shared" si="91"/>
        <v>0</v>
      </c>
      <c r="AZ159" s="480"/>
      <c r="BA159" s="477">
        <f t="shared" si="92"/>
        <v>0</v>
      </c>
      <c r="BB159" s="480"/>
      <c r="BC159" s="850">
        <f t="shared" ca="1" si="93"/>
        <v>70192</v>
      </c>
    </row>
    <row r="160" spans="1:55" ht="56">
      <c r="A160" s="837" t="str">
        <f t="shared" ca="1" si="65"/>
        <v/>
      </c>
      <c r="B160" s="440">
        <v>154</v>
      </c>
      <c r="C160" s="834" t="str">
        <f t="shared" ca="1" si="66"/>
        <v>4.</v>
      </c>
      <c r="D160" s="1757" t="str">
        <f ca="1">IFERROR(VLOOKUP(LEFT(E160,4),Nom_activ_2!D:G,4,0),"")</f>
        <v>4.2.  Consolidarea acțiunilor colaborative în controlul TB cu alte programe naționale</v>
      </c>
      <c r="E160" s="1757" t="str">
        <f t="shared" ca="1" si="67"/>
        <v>4.2.2. Fortificarea acțiunilor colaborative  pentru depistarea, diagnosticul, tratamentul și prevenirea TB în rândul persoanelor cu patologie combinată: TB_HV, TB_boală mintală, TB_DZ, etc., inclusiv în rândul grupurilor vulnerabile</v>
      </c>
      <c r="F160" s="1777" t="str">
        <f t="shared" ca="1" si="94"/>
        <v xml:space="preserve">4.2.2.1. Curs de instruire pentru depistarea, diagnosticul, tratamentul și prevenirea TB în rândul persoanelor cu patologie combinată: TB/hepatită virală, TB/boală mintală, TB/diabet </v>
      </c>
      <c r="G160" s="839" t="str">
        <f t="shared" ca="1" si="94"/>
        <v>PAS</v>
      </c>
      <c r="H160" s="840" t="str">
        <f t="shared" ca="1" si="94"/>
        <v>GFATM</v>
      </c>
      <c r="I160" s="443" t="s">
        <v>3315</v>
      </c>
      <c r="J160" s="838" t="str">
        <f t="shared" si="68"/>
        <v>Activ_colaborative!$A:$j</v>
      </c>
      <c r="K160" s="475">
        <f t="shared" ca="1" si="69"/>
        <v>0</v>
      </c>
      <c r="L160" s="480"/>
      <c r="M160" s="477">
        <f t="shared" si="70"/>
        <v>0</v>
      </c>
      <c r="N160" s="480"/>
      <c r="O160" s="477">
        <f t="shared" si="71"/>
        <v>0</v>
      </c>
      <c r="P160" s="480"/>
      <c r="Q160" s="477">
        <f t="shared" si="72"/>
        <v>0</v>
      </c>
      <c r="R160" s="480"/>
      <c r="S160" s="477">
        <f t="shared" ca="1" si="73"/>
        <v>0</v>
      </c>
      <c r="T160" s="475">
        <f t="shared" ca="1" si="74"/>
        <v>4280</v>
      </c>
      <c r="U160" s="480"/>
      <c r="V160" s="477">
        <f t="shared" si="75"/>
        <v>0</v>
      </c>
      <c r="W160" s="480"/>
      <c r="X160" s="477">
        <f t="shared" si="76"/>
        <v>0</v>
      </c>
      <c r="Y160" s="480"/>
      <c r="Z160" s="477">
        <f t="shared" si="77"/>
        <v>0</v>
      </c>
      <c r="AA160" s="480"/>
      <c r="AB160" s="477">
        <f t="shared" ca="1" si="78"/>
        <v>4280</v>
      </c>
      <c r="AC160" s="475">
        <f t="shared" ca="1" si="79"/>
        <v>4280</v>
      </c>
      <c r="AD160" s="480"/>
      <c r="AE160" s="477">
        <f t="shared" si="80"/>
        <v>0</v>
      </c>
      <c r="AF160" s="480"/>
      <c r="AG160" s="477">
        <f t="shared" si="81"/>
        <v>0</v>
      </c>
      <c r="AH160" s="480"/>
      <c r="AI160" s="477">
        <f t="shared" si="82"/>
        <v>0</v>
      </c>
      <c r="AJ160" s="480"/>
      <c r="AK160" s="477">
        <f t="shared" ca="1" si="83"/>
        <v>4280</v>
      </c>
      <c r="AL160" s="475">
        <f t="shared" ca="1" si="84"/>
        <v>0</v>
      </c>
      <c r="AM160" s="480"/>
      <c r="AN160" s="477">
        <f t="shared" si="85"/>
        <v>0</v>
      </c>
      <c r="AO160" s="480"/>
      <c r="AP160" s="477">
        <f t="shared" si="86"/>
        <v>0</v>
      </c>
      <c r="AQ160" s="480"/>
      <c r="AR160" s="477">
        <f t="shared" si="87"/>
        <v>0</v>
      </c>
      <c r="AS160" s="480"/>
      <c r="AT160" s="477">
        <f t="shared" ca="1" si="88"/>
        <v>0</v>
      </c>
      <c r="AU160" s="475">
        <f t="shared" ca="1" si="89"/>
        <v>0</v>
      </c>
      <c r="AV160" s="480"/>
      <c r="AW160" s="477">
        <f t="shared" si="90"/>
        <v>0</v>
      </c>
      <c r="AX160" s="480"/>
      <c r="AY160" s="477">
        <f t="shared" si="91"/>
        <v>0</v>
      </c>
      <c r="AZ160" s="480"/>
      <c r="BA160" s="477">
        <f t="shared" si="92"/>
        <v>0</v>
      </c>
      <c r="BB160" s="480"/>
      <c r="BC160" s="850">
        <f t="shared" ca="1" si="93"/>
        <v>8560</v>
      </c>
    </row>
    <row r="161" spans="1:58" ht="56">
      <c r="A161" s="837" t="str">
        <f t="shared" ca="1" si="65"/>
        <v/>
      </c>
      <c r="B161" s="440">
        <v>155</v>
      </c>
      <c r="C161" s="834" t="str">
        <f t="shared" ca="1" si="66"/>
        <v>4.</v>
      </c>
      <c r="D161" s="1757" t="str">
        <f ca="1">IFERROR(VLOOKUP(LEFT(E161,4),Nom_activ_2!D:G,4,0),"")</f>
        <v>4.2.  Consolidarea acțiunilor colaborative în controlul TB cu alte programe naționale</v>
      </c>
      <c r="E161" s="1757" t="str">
        <f t="shared" ca="1" si="67"/>
        <v>4.2.2. Fortificarea acțiunilor colaborative  pentru depistarea, diagnosticul, tratamentul și prevenirea TB în rândul persoanelor cu patologie combinată: TB_HV, TB_boală mintală, TB_DZ, etc., inclusiv în rândul grupurilor vulnerabile</v>
      </c>
      <c r="F161" s="1777" t="str">
        <f t="shared" ca="1" si="94"/>
        <v xml:space="preserve">4.2.2.2. Seminare zonale pentru depistarea, diagnosticul, tratamentul și prevenirea TB în rândul persoanelor cu patologie combinată: TB/hepatită virală, TB/boală mintală, TB/diabet </v>
      </c>
      <c r="G161" s="839" t="str">
        <f t="shared" ca="1" si="94"/>
        <v>PAS</v>
      </c>
      <c r="H161" s="840" t="str">
        <f t="shared" ca="1" si="94"/>
        <v>GFATM</v>
      </c>
      <c r="I161" s="443" t="s">
        <v>3315</v>
      </c>
      <c r="J161" s="838" t="str">
        <f t="shared" si="68"/>
        <v>Activ_colaborative!$A:$j</v>
      </c>
      <c r="K161" s="475">
        <f t="shared" ca="1" si="69"/>
        <v>0</v>
      </c>
      <c r="L161" s="480"/>
      <c r="M161" s="477">
        <f t="shared" si="70"/>
        <v>0</v>
      </c>
      <c r="N161" s="480"/>
      <c r="O161" s="477">
        <f t="shared" si="71"/>
        <v>0</v>
      </c>
      <c r="P161" s="480"/>
      <c r="Q161" s="477">
        <f t="shared" si="72"/>
        <v>0</v>
      </c>
      <c r="R161" s="480"/>
      <c r="S161" s="477">
        <f t="shared" ca="1" si="73"/>
        <v>0</v>
      </c>
      <c r="T161" s="475">
        <f t="shared" ca="1" si="74"/>
        <v>159986.4</v>
      </c>
      <c r="U161" s="480"/>
      <c r="V161" s="477">
        <f t="shared" si="75"/>
        <v>0</v>
      </c>
      <c r="W161" s="480"/>
      <c r="X161" s="477">
        <f t="shared" si="76"/>
        <v>0</v>
      </c>
      <c r="Y161" s="480"/>
      <c r="Z161" s="477">
        <f t="shared" si="77"/>
        <v>0</v>
      </c>
      <c r="AA161" s="480"/>
      <c r="AB161" s="477">
        <f t="shared" ca="1" si="78"/>
        <v>159986.4</v>
      </c>
      <c r="AC161" s="475">
        <f t="shared" ca="1" si="79"/>
        <v>159986.4</v>
      </c>
      <c r="AD161" s="480"/>
      <c r="AE161" s="477">
        <f t="shared" si="80"/>
        <v>0</v>
      </c>
      <c r="AF161" s="480"/>
      <c r="AG161" s="477">
        <f t="shared" si="81"/>
        <v>0</v>
      </c>
      <c r="AH161" s="480"/>
      <c r="AI161" s="477">
        <f t="shared" si="82"/>
        <v>0</v>
      </c>
      <c r="AJ161" s="480"/>
      <c r="AK161" s="477">
        <f t="shared" ca="1" si="83"/>
        <v>159986.4</v>
      </c>
      <c r="AL161" s="475">
        <f t="shared" ca="1" si="84"/>
        <v>0</v>
      </c>
      <c r="AM161" s="480"/>
      <c r="AN161" s="477">
        <f t="shared" si="85"/>
        <v>0</v>
      </c>
      <c r="AO161" s="480"/>
      <c r="AP161" s="477">
        <f t="shared" si="86"/>
        <v>0</v>
      </c>
      <c r="AQ161" s="480"/>
      <c r="AR161" s="477">
        <f t="shared" si="87"/>
        <v>0</v>
      </c>
      <c r="AS161" s="480"/>
      <c r="AT161" s="477">
        <f t="shared" ca="1" si="88"/>
        <v>0</v>
      </c>
      <c r="AU161" s="475">
        <f t="shared" ca="1" si="89"/>
        <v>0</v>
      </c>
      <c r="AV161" s="480"/>
      <c r="AW161" s="477">
        <f t="shared" si="90"/>
        <v>0</v>
      </c>
      <c r="AX161" s="480"/>
      <c r="AY161" s="477">
        <f t="shared" si="91"/>
        <v>0</v>
      </c>
      <c r="AZ161" s="480"/>
      <c r="BA161" s="477">
        <f t="shared" si="92"/>
        <v>0</v>
      </c>
      <c r="BB161" s="480"/>
      <c r="BC161" s="850">
        <f t="shared" ca="1" si="93"/>
        <v>319972.8</v>
      </c>
    </row>
    <row r="162" spans="1:58" ht="42">
      <c r="A162" s="837" t="str">
        <f t="shared" ca="1" si="65"/>
        <v/>
      </c>
      <c r="B162" s="440">
        <v>156</v>
      </c>
      <c r="C162" s="834" t="str">
        <f t="shared" ca="1" si="66"/>
        <v>4.</v>
      </c>
      <c r="D162" s="1757" t="str">
        <f ca="1">IFERROR(VLOOKUP(LEFT(E162,4),Nom_activ_2!D:G,4,0),"")</f>
        <v>4.2.  Consolidarea acțiunilor colaborative în controlul TB cu alte programe naționale</v>
      </c>
      <c r="E162" s="1757" t="str">
        <f t="shared" ca="1" si="67"/>
        <v>4.2.3. Asigurarea platformelor de servicii integrate de prevenire si suport pentru persoanele afectate de TB cu alte co-morbiditați la nivel de OSC și comunitar</v>
      </c>
      <c r="F162" s="1777" t="str">
        <f t="shared" ca="1" si="94"/>
        <v>4.2.3.1.  Asigurarea platformelor de servicii integrate de prevenire si suport pentru CDI la nivel de OSC și comunitar</v>
      </c>
      <c r="G162" s="839">
        <f t="shared" ca="1" si="94"/>
        <v>0</v>
      </c>
      <c r="H162" s="840" t="str">
        <f t="shared" ca="1" si="94"/>
        <v>GFATM</v>
      </c>
      <c r="I162" s="443" t="s">
        <v>3315</v>
      </c>
      <c r="J162" s="838" t="str">
        <f t="shared" si="68"/>
        <v>Activ_colaborative!$A:$j</v>
      </c>
      <c r="K162" s="475">
        <f t="shared" ca="1" si="69"/>
        <v>0</v>
      </c>
      <c r="L162" s="480"/>
      <c r="M162" s="477">
        <f t="shared" si="70"/>
        <v>0</v>
      </c>
      <c r="N162" s="480"/>
      <c r="O162" s="477">
        <f t="shared" si="71"/>
        <v>0</v>
      </c>
      <c r="P162" s="480"/>
      <c r="Q162" s="477">
        <f t="shared" si="72"/>
        <v>0</v>
      </c>
      <c r="R162" s="480"/>
      <c r="S162" s="477">
        <f t="shared" ca="1" si="73"/>
        <v>0</v>
      </c>
      <c r="T162" s="475">
        <f t="shared" ca="1" si="74"/>
        <v>0</v>
      </c>
      <c r="U162" s="480"/>
      <c r="V162" s="477">
        <f t="shared" si="75"/>
        <v>0</v>
      </c>
      <c r="W162" s="480"/>
      <c r="X162" s="477">
        <f t="shared" si="76"/>
        <v>0</v>
      </c>
      <c r="Y162" s="480"/>
      <c r="Z162" s="477">
        <f t="shared" si="77"/>
        <v>0</v>
      </c>
      <c r="AA162" s="480"/>
      <c r="AB162" s="477">
        <f t="shared" ca="1" si="78"/>
        <v>0</v>
      </c>
      <c r="AC162" s="475">
        <f t="shared" ca="1" si="79"/>
        <v>0</v>
      </c>
      <c r="AD162" s="480"/>
      <c r="AE162" s="477">
        <f t="shared" si="80"/>
        <v>0</v>
      </c>
      <c r="AF162" s="480"/>
      <c r="AG162" s="477">
        <f t="shared" si="81"/>
        <v>0</v>
      </c>
      <c r="AH162" s="480"/>
      <c r="AI162" s="477">
        <f t="shared" si="82"/>
        <v>0</v>
      </c>
      <c r="AJ162" s="480"/>
      <c r="AK162" s="477">
        <f t="shared" ca="1" si="83"/>
        <v>0</v>
      </c>
      <c r="AL162" s="475">
        <f t="shared" ca="1" si="84"/>
        <v>0</v>
      </c>
      <c r="AM162" s="480"/>
      <c r="AN162" s="477">
        <f t="shared" si="85"/>
        <v>0</v>
      </c>
      <c r="AO162" s="480"/>
      <c r="AP162" s="477">
        <f t="shared" si="86"/>
        <v>0</v>
      </c>
      <c r="AQ162" s="480"/>
      <c r="AR162" s="477">
        <f t="shared" si="87"/>
        <v>0</v>
      </c>
      <c r="AS162" s="480"/>
      <c r="AT162" s="477">
        <f t="shared" ca="1" si="88"/>
        <v>0</v>
      </c>
      <c r="AU162" s="475">
        <f t="shared" ca="1" si="89"/>
        <v>0</v>
      </c>
      <c r="AV162" s="480"/>
      <c r="AW162" s="477">
        <f t="shared" si="90"/>
        <v>0</v>
      </c>
      <c r="AX162" s="480"/>
      <c r="AY162" s="477">
        <f t="shared" si="91"/>
        <v>0</v>
      </c>
      <c r="AZ162" s="480"/>
      <c r="BA162" s="477">
        <f t="shared" si="92"/>
        <v>0</v>
      </c>
      <c r="BB162" s="480"/>
      <c r="BC162" s="850">
        <f ca="1">K162+T162+AC162+AL162+AU162</f>
        <v>0</v>
      </c>
    </row>
    <row r="163" spans="1:58" ht="42">
      <c r="A163" s="837" t="str">
        <f t="shared" ca="1" si="65"/>
        <v/>
      </c>
      <c r="B163" s="440">
        <v>157</v>
      </c>
      <c r="C163" s="834" t="str">
        <f t="shared" ca="1" si="66"/>
        <v>4.</v>
      </c>
      <c r="D163" s="1757" t="str">
        <f ca="1">IFERROR(VLOOKUP(LEFT(E163,4),Nom_activ_2!D:G,4,0),"")</f>
        <v>4.2.  Consolidarea acțiunilor colaborative în controlul TB cu alte programe naționale</v>
      </c>
      <c r="E163" s="1757" t="str">
        <f t="shared" ca="1" si="67"/>
        <v>4.2.3. Asigurarea platformelor de servicii integrate de prevenire si suport pentru persoanele afectate de TB cu alte co-morbiditați la nivel de OSC și comunitar</v>
      </c>
      <c r="F163" s="1777" t="str">
        <f t="shared" ca="1" si="94"/>
        <v>4.2.3.2.  Asigurarea platformelor de servicii integrate de prevenire si suport pentru PTH la nivel de OSC și comunitar</v>
      </c>
      <c r="G163" s="839">
        <f t="shared" ca="1" si="94"/>
        <v>0</v>
      </c>
      <c r="H163" s="840" t="str">
        <f t="shared" ca="1" si="94"/>
        <v>GFATM</v>
      </c>
      <c r="I163" s="443" t="s">
        <v>3315</v>
      </c>
      <c r="J163" s="838" t="str">
        <f t="shared" si="68"/>
        <v>Activ_colaborative!$A:$j</v>
      </c>
      <c r="K163" s="475">
        <f t="shared" ca="1" si="69"/>
        <v>0</v>
      </c>
      <c r="L163" s="480"/>
      <c r="M163" s="477">
        <f t="shared" si="70"/>
        <v>0</v>
      </c>
      <c r="N163" s="480"/>
      <c r="O163" s="477">
        <f t="shared" si="71"/>
        <v>0</v>
      </c>
      <c r="P163" s="480"/>
      <c r="Q163" s="477">
        <f t="shared" si="72"/>
        <v>0</v>
      </c>
      <c r="R163" s="480"/>
      <c r="S163" s="477">
        <f t="shared" ca="1" si="73"/>
        <v>0</v>
      </c>
      <c r="T163" s="475">
        <f t="shared" ca="1" si="74"/>
        <v>0</v>
      </c>
      <c r="U163" s="480"/>
      <c r="V163" s="477">
        <f t="shared" si="75"/>
        <v>0</v>
      </c>
      <c r="W163" s="480"/>
      <c r="X163" s="477">
        <f t="shared" si="76"/>
        <v>0</v>
      </c>
      <c r="Y163" s="480"/>
      <c r="Z163" s="477">
        <f t="shared" si="77"/>
        <v>0</v>
      </c>
      <c r="AA163" s="480"/>
      <c r="AB163" s="477">
        <f t="shared" ca="1" si="78"/>
        <v>0</v>
      </c>
      <c r="AC163" s="475">
        <f t="shared" ca="1" si="79"/>
        <v>0</v>
      </c>
      <c r="AD163" s="480"/>
      <c r="AE163" s="477">
        <f t="shared" si="80"/>
        <v>0</v>
      </c>
      <c r="AF163" s="480"/>
      <c r="AG163" s="477">
        <f t="shared" si="81"/>
        <v>0</v>
      </c>
      <c r="AH163" s="480"/>
      <c r="AI163" s="477">
        <f t="shared" si="82"/>
        <v>0</v>
      </c>
      <c r="AJ163" s="480"/>
      <c r="AK163" s="477">
        <f t="shared" ca="1" si="83"/>
        <v>0</v>
      </c>
      <c r="AL163" s="475">
        <f t="shared" ca="1" si="84"/>
        <v>0</v>
      </c>
      <c r="AM163" s="480"/>
      <c r="AN163" s="477">
        <f t="shared" si="85"/>
        <v>0</v>
      </c>
      <c r="AO163" s="480"/>
      <c r="AP163" s="477">
        <f t="shared" si="86"/>
        <v>0</v>
      </c>
      <c r="AQ163" s="480"/>
      <c r="AR163" s="477">
        <f t="shared" si="87"/>
        <v>0</v>
      </c>
      <c r="AS163" s="480"/>
      <c r="AT163" s="477">
        <f t="shared" ca="1" si="88"/>
        <v>0</v>
      </c>
      <c r="AU163" s="475">
        <f t="shared" ca="1" si="89"/>
        <v>0</v>
      </c>
      <c r="AV163" s="480"/>
      <c r="AW163" s="477">
        <f t="shared" si="90"/>
        <v>0</v>
      </c>
      <c r="AX163" s="480"/>
      <c r="AY163" s="477">
        <f t="shared" si="91"/>
        <v>0</v>
      </c>
      <c r="AZ163" s="480"/>
      <c r="BA163" s="477">
        <f t="shared" si="92"/>
        <v>0</v>
      </c>
      <c r="BB163" s="480"/>
      <c r="BC163" s="850">
        <f t="shared" ca="1" si="93"/>
        <v>0</v>
      </c>
    </row>
    <row r="164" spans="1:58" ht="42">
      <c r="A164" s="837" t="str">
        <f t="shared" ca="1" si="65"/>
        <v/>
      </c>
      <c r="B164" s="440">
        <v>158</v>
      </c>
      <c r="C164" s="834" t="str">
        <f t="shared" ca="1" si="66"/>
        <v>4.</v>
      </c>
      <c r="D164" s="1757" t="str">
        <f ca="1">IFERROR(VLOOKUP(LEFT(E164,4),Nom_activ_2!D:G,4,0),"")</f>
        <v>4.2.  Consolidarea acțiunilor colaborative în controlul TB cu alte programe naționale</v>
      </c>
      <c r="E164" s="1757" t="str">
        <f t="shared" ca="1" si="67"/>
        <v>4.2.3. Asigurarea platformelor de servicii integrate de prevenire si suport pentru persoanele afectate de TB cu alte co-morbiditați la nivel de OSC și comunitar</v>
      </c>
      <c r="F164" s="1777" t="str">
        <f t="shared" ca="1" si="94"/>
        <v>4.2.3.3.  Asigurarea platformelor de servicii integrate de prevenire si suport pentru PAFA la nivel de OSC și comunitar</v>
      </c>
      <c r="G164" s="839">
        <f t="shared" ca="1" si="94"/>
        <v>0</v>
      </c>
      <c r="H164" s="840" t="str">
        <f t="shared" ca="1" si="94"/>
        <v>GFATM</v>
      </c>
      <c r="I164" s="443" t="s">
        <v>3315</v>
      </c>
      <c r="J164" s="838" t="str">
        <f t="shared" si="68"/>
        <v>Activ_colaborative!$A:$j</v>
      </c>
      <c r="K164" s="475">
        <f t="shared" ca="1" si="69"/>
        <v>0</v>
      </c>
      <c r="L164" s="480"/>
      <c r="M164" s="477">
        <f t="shared" si="70"/>
        <v>0</v>
      </c>
      <c r="N164" s="480"/>
      <c r="O164" s="477">
        <f t="shared" si="71"/>
        <v>0</v>
      </c>
      <c r="P164" s="480"/>
      <c r="Q164" s="477">
        <f t="shared" si="72"/>
        <v>0</v>
      </c>
      <c r="R164" s="480"/>
      <c r="S164" s="477">
        <f t="shared" ca="1" si="73"/>
        <v>0</v>
      </c>
      <c r="T164" s="475">
        <f t="shared" ca="1" si="74"/>
        <v>0</v>
      </c>
      <c r="U164" s="480"/>
      <c r="V164" s="477">
        <f t="shared" si="75"/>
        <v>0</v>
      </c>
      <c r="W164" s="480"/>
      <c r="X164" s="477">
        <f t="shared" si="76"/>
        <v>0</v>
      </c>
      <c r="Y164" s="480"/>
      <c r="Z164" s="477">
        <f t="shared" si="77"/>
        <v>0</v>
      </c>
      <c r="AA164" s="480"/>
      <c r="AB164" s="477">
        <f t="shared" ca="1" si="78"/>
        <v>0</v>
      </c>
      <c r="AC164" s="475">
        <f t="shared" ca="1" si="79"/>
        <v>0</v>
      </c>
      <c r="AD164" s="480"/>
      <c r="AE164" s="477">
        <f t="shared" si="80"/>
        <v>0</v>
      </c>
      <c r="AF164" s="480"/>
      <c r="AG164" s="477">
        <f t="shared" si="81"/>
        <v>0</v>
      </c>
      <c r="AH164" s="480"/>
      <c r="AI164" s="477">
        <f t="shared" si="82"/>
        <v>0</v>
      </c>
      <c r="AJ164" s="480"/>
      <c r="AK164" s="477">
        <f t="shared" ca="1" si="83"/>
        <v>0</v>
      </c>
      <c r="AL164" s="475">
        <f t="shared" ca="1" si="84"/>
        <v>0</v>
      </c>
      <c r="AM164" s="480"/>
      <c r="AN164" s="477">
        <f t="shared" si="85"/>
        <v>0</v>
      </c>
      <c r="AO164" s="480"/>
      <c r="AP164" s="477">
        <f t="shared" si="86"/>
        <v>0</v>
      </c>
      <c r="AQ164" s="480"/>
      <c r="AR164" s="477">
        <f t="shared" si="87"/>
        <v>0</v>
      </c>
      <c r="AS164" s="480"/>
      <c r="AT164" s="477">
        <f t="shared" ca="1" si="88"/>
        <v>0</v>
      </c>
      <c r="AU164" s="475">
        <f t="shared" ca="1" si="89"/>
        <v>0</v>
      </c>
      <c r="AV164" s="480"/>
      <c r="AW164" s="477">
        <f t="shared" si="90"/>
        <v>0</v>
      </c>
      <c r="AX164" s="480"/>
      <c r="AY164" s="477">
        <f t="shared" si="91"/>
        <v>0</v>
      </c>
      <c r="AZ164" s="480"/>
      <c r="BA164" s="477">
        <f t="shared" si="92"/>
        <v>0</v>
      </c>
      <c r="BB164" s="480"/>
      <c r="BC164" s="850">
        <f t="shared" ca="1" si="93"/>
        <v>0</v>
      </c>
      <c r="BF164" s="813">
        <f ca="1">SUM(BC162:BC164)/EUR</f>
        <v>0</v>
      </c>
    </row>
    <row r="165" spans="1:58" ht="28">
      <c r="A165" s="837" t="str">
        <f t="shared" ca="1" si="65"/>
        <v/>
      </c>
      <c r="B165" s="440">
        <v>159</v>
      </c>
      <c r="C165" s="834" t="str">
        <f t="shared" ca="1" si="66"/>
        <v>5.</v>
      </c>
      <c r="D165" s="1757" t="str">
        <f ca="1">IFERROR(VLOOKUP(LEFT(E165,4),Nom_activ_2!D:G,4,0),"")</f>
        <v>5.2.  Asigurarea informării privind respectarea măsurilor de control al infecției  pentru reducerea riscului de transmitere a TB în societate</v>
      </c>
      <c r="E165" s="1757" t="str">
        <f t="shared" ca="1" si="67"/>
        <v>5.2.1. Desfășurarea activităților de informare și schimbare a atitudinilor  și comportamentelor la nivel național si local</v>
      </c>
      <c r="F165" s="1777" t="str">
        <f t="shared" ca="1" si="94"/>
        <v>5.2.1.1. Consultat activități de informare și schimbare a atitudinilor  și comportamentelor la nivel național si local</v>
      </c>
      <c r="G165" s="839" t="str">
        <f t="shared" ca="1" si="94"/>
        <v>PAS</v>
      </c>
      <c r="H165" s="840" t="str">
        <f t="shared" ca="1" si="94"/>
        <v>GFATM</v>
      </c>
      <c r="I165" s="443" t="s">
        <v>3386</v>
      </c>
      <c r="J165" s="838" t="str">
        <f t="shared" si="68"/>
        <v>Informare!$A:$j</v>
      </c>
      <c r="K165" s="475">
        <f t="shared" ca="1" si="69"/>
        <v>298560</v>
      </c>
      <c r="L165" s="480"/>
      <c r="M165" s="477">
        <f t="shared" si="70"/>
        <v>0</v>
      </c>
      <c r="N165" s="480"/>
      <c r="O165" s="477">
        <f t="shared" si="71"/>
        <v>0</v>
      </c>
      <c r="P165" s="480"/>
      <c r="Q165" s="477">
        <f t="shared" si="72"/>
        <v>0</v>
      </c>
      <c r="R165" s="480"/>
      <c r="S165" s="477">
        <f t="shared" ca="1" si="73"/>
        <v>298560</v>
      </c>
      <c r="T165" s="475">
        <f t="shared" ca="1" si="74"/>
        <v>298560</v>
      </c>
      <c r="U165" s="480"/>
      <c r="V165" s="477">
        <f t="shared" si="75"/>
        <v>0</v>
      </c>
      <c r="W165" s="480"/>
      <c r="X165" s="477">
        <f t="shared" si="76"/>
        <v>0</v>
      </c>
      <c r="Y165" s="480"/>
      <c r="Z165" s="477">
        <f t="shared" si="77"/>
        <v>0</v>
      </c>
      <c r="AA165" s="480"/>
      <c r="AB165" s="477">
        <f t="shared" ca="1" si="78"/>
        <v>298560</v>
      </c>
      <c r="AC165" s="475">
        <f t="shared" ca="1" si="79"/>
        <v>298560</v>
      </c>
      <c r="AD165" s="480"/>
      <c r="AE165" s="477">
        <f t="shared" si="80"/>
        <v>0</v>
      </c>
      <c r="AF165" s="480"/>
      <c r="AG165" s="477">
        <f t="shared" si="81"/>
        <v>0</v>
      </c>
      <c r="AH165" s="480"/>
      <c r="AI165" s="477">
        <f t="shared" si="82"/>
        <v>0</v>
      </c>
      <c r="AJ165" s="480"/>
      <c r="AK165" s="477">
        <f t="shared" ca="1" si="83"/>
        <v>298560</v>
      </c>
      <c r="AL165" s="475">
        <f t="shared" ca="1" si="84"/>
        <v>0</v>
      </c>
      <c r="AM165" s="480"/>
      <c r="AN165" s="477">
        <f t="shared" si="85"/>
        <v>0</v>
      </c>
      <c r="AO165" s="480"/>
      <c r="AP165" s="477">
        <f t="shared" si="86"/>
        <v>0</v>
      </c>
      <c r="AQ165" s="480"/>
      <c r="AR165" s="477">
        <f t="shared" si="87"/>
        <v>0</v>
      </c>
      <c r="AS165" s="480"/>
      <c r="AT165" s="477">
        <f t="shared" ca="1" si="88"/>
        <v>0</v>
      </c>
      <c r="AU165" s="475">
        <f t="shared" ca="1" si="89"/>
        <v>0</v>
      </c>
      <c r="AV165" s="480"/>
      <c r="AW165" s="477">
        <f t="shared" si="90"/>
        <v>0</v>
      </c>
      <c r="AX165" s="480"/>
      <c r="AY165" s="477">
        <f t="shared" si="91"/>
        <v>0</v>
      </c>
      <c r="AZ165" s="480"/>
      <c r="BA165" s="477">
        <f t="shared" si="92"/>
        <v>0</v>
      </c>
      <c r="BB165" s="480"/>
      <c r="BC165" s="850">
        <f t="shared" ca="1" si="93"/>
        <v>895680</v>
      </c>
    </row>
    <row r="166" spans="1:58" ht="70">
      <c r="A166" s="837" t="str">
        <f t="shared" ca="1" si="65"/>
        <v/>
      </c>
      <c r="B166" s="440">
        <v>160</v>
      </c>
      <c r="C166" s="834" t="str">
        <f t="shared" ca="1" si="66"/>
        <v>5.</v>
      </c>
      <c r="D166" s="1757" t="str">
        <f ca="1">IFERROR(VLOOKUP(LEFT(E166,4),Nom_activ_2!D:G,4,0),"")</f>
        <v>5.2.  Asigurarea informării privind respectarea măsurilor de control al infecției  pentru reducerea riscului de transmitere a TB în societate</v>
      </c>
      <c r="E166" s="1757" t="str">
        <f t="shared" ca="1" si="67"/>
        <v>5.2.1. Desfășurarea activităților de informare și schimbare a atitudinilor  și comportamentelor la nivel național si local</v>
      </c>
      <c r="F166" s="1777" t="str">
        <f t="shared" ca="1" si="94"/>
        <v>5.2.1.2. Organizarea comisiei parlamentare "Comisia protecţie socială, sănătate şi familie " pentru discutarea problemelor TB cu invitarea conducatorilor canalelor TV si a conducerii consiliului audiovizualului, avind drept scop de baza obtinearea transmiterii gratuite sau la o reducere accesibila a materialilor info vide si audio privind TB</v>
      </c>
      <c r="G166" s="839" t="str">
        <f t="shared" ca="1" si="94"/>
        <v>PAS</v>
      </c>
      <c r="H166" s="840" t="str">
        <f t="shared" ca="1" si="94"/>
        <v>MMPSF</v>
      </c>
      <c r="I166" s="443" t="s">
        <v>3386</v>
      </c>
      <c r="J166" s="838" t="str">
        <f t="shared" si="68"/>
        <v>Informare!$A:$j</v>
      </c>
      <c r="K166" s="475">
        <f t="shared" ca="1" si="69"/>
        <v>0</v>
      </c>
      <c r="L166" s="480"/>
      <c r="M166" s="477">
        <f t="shared" si="70"/>
        <v>0</v>
      </c>
      <c r="N166" s="480"/>
      <c r="O166" s="477">
        <f t="shared" si="71"/>
        <v>0</v>
      </c>
      <c r="P166" s="480"/>
      <c r="Q166" s="477">
        <f t="shared" si="72"/>
        <v>0</v>
      </c>
      <c r="R166" s="480"/>
      <c r="S166" s="477">
        <f t="shared" ca="1" si="73"/>
        <v>0</v>
      </c>
      <c r="T166" s="475">
        <f t="shared" ca="1" si="74"/>
        <v>0</v>
      </c>
      <c r="U166" s="480"/>
      <c r="V166" s="477">
        <f t="shared" si="75"/>
        <v>0</v>
      </c>
      <c r="W166" s="480"/>
      <c r="X166" s="477">
        <f t="shared" si="76"/>
        <v>0</v>
      </c>
      <c r="Y166" s="480"/>
      <c r="Z166" s="477">
        <f t="shared" si="77"/>
        <v>0</v>
      </c>
      <c r="AA166" s="480"/>
      <c r="AB166" s="477">
        <f t="shared" ca="1" si="78"/>
        <v>0</v>
      </c>
      <c r="AC166" s="475">
        <f t="shared" ca="1" si="79"/>
        <v>0</v>
      </c>
      <c r="AD166" s="480"/>
      <c r="AE166" s="477">
        <f t="shared" si="80"/>
        <v>0</v>
      </c>
      <c r="AF166" s="480"/>
      <c r="AG166" s="477">
        <f t="shared" si="81"/>
        <v>0</v>
      </c>
      <c r="AH166" s="480"/>
      <c r="AI166" s="477">
        <f t="shared" si="82"/>
        <v>0</v>
      </c>
      <c r="AJ166" s="480"/>
      <c r="AK166" s="477">
        <f t="shared" ca="1" si="83"/>
        <v>0</v>
      </c>
      <c r="AL166" s="475">
        <f t="shared" ca="1" si="84"/>
        <v>0</v>
      </c>
      <c r="AM166" s="480"/>
      <c r="AN166" s="477">
        <f t="shared" si="85"/>
        <v>0</v>
      </c>
      <c r="AO166" s="480"/>
      <c r="AP166" s="477">
        <f t="shared" si="86"/>
        <v>0</v>
      </c>
      <c r="AQ166" s="480"/>
      <c r="AR166" s="477">
        <f t="shared" si="87"/>
        <v>0</v>
      </c>
      <c r="AS166" s="480"/>
      <c r="AT166" s="477">
        <f t="shared" ca="1" si="88"/>
        <v>0</v>
      </c>
      <c r="AU166" s="475">
        <f t="shared" ca="1" si="89"/>
        <v>0</v>
      </c>
      <c r="AV166" s="480"/>
      <c r="AW166" s="477">
        <f t="shared" si="90"/>
        <v>0</v>
      </c>
      <c r="AX166" s="480"/>
      <c r="AY166" s="477">
        <f t="shared" si="91"/>
        <v>0</v>
      </c>
      <c r="AZ166" s="480"/>
      <c r="BA166" s="477">
        <f t="shared" si="92"/>
        <v>0</v>
      </c>
      <c r="BB166" s="480"/>
      <c r="BC166" s="850">
        <f t="shared" ca="1" si="93"/>
        <v>0</v>
      </c>
    </row>
    <row r="167" spans="1:58" ht="28">
      <c r="A167" s="837" t="str">
        <f t="shared" ca="1" si="65"/>
        <v/>
      </c>
      <c r="B167" s="440">
        <v>161</v>
      </c>
      <c r="C167" s="834" t="str">
        <f t="shared" ca="1" si="66"/>
        <v>5.</v>
      </c>
      <c r="D167" s="1757" t="str">
        <f ca="1">IFERROR(VLOOKUP(LEFT(E167,4),Nom_activ_2!D:G,4,0),"")</f>
        <v>5.2.  Asigurarea informării privind respectarea măsurilor de control al infecției  pentru reducerea riscului de transmitere a TB în societate</v>
      </c>
      <c r="E167" s="1757" t="str">
        <f t="shared" ca="1" si="67"/>
        <v>5.2.1. Desfășurarea activităților de informare și schimbare a atitudinilor  și comportamentelor la nivel național si local</v>
      </c>
      <c r="F167" s="1777" t="str">
        <f t="shared" ref="F167:H186" ca="1" si="95">IFERROR(VLOOKUP($B167,INDIRECT($J167),F$5,0),0)</f>
        <v>5.2.1.3. Sedinte, cu participarea APL privind situatia epidemiologica din teritoriu cu participare multisectoriala</v>
      </c>
      <c r="G167" s="839" t="str">
        <f t="shared" ca="1" si="95"/>
        <v>PAS</v>
      </c>
      <c r="H167" s="840" t="str">
        <f t="shared" ca="1" si="95"/>
        <v>GFATM</v>
      </c>
      <c r="I167" s="443" t="s">
        <v>3386</v>
      </c>
      <c r="J167" s="838" t="str">
        <f t="shared" si="68"/>
        <v>Informare!$A:$j</v>
      </c>
      <c r="K167" s="475">
        <f t="shared" ca="1" si="69"/>
        <v>0</v>
      </c>
      <c r="L167" s="480"/>
      <c r="M167" s="477">
        <f t="shared" si="70"/>
        <v>0</v>
      </c>
      <c r="N167" s="480"/>
      <c r="O167" s="477">
        <f t="shared" si="71"/>
        <v>0</v>
      </c>
      <c r="P167" s="480"/>
      <c r="Q167" s="477">
        <f t="shared" si="72"/>
        <v>0</v>
      </c>
      <c r="R167" s="480"/>
      <c r="S167" s="477">
        <f t="shared" ca="1" si="73"/>
        <v>0</v>
      </c>
      <c r="T167" s="475">
        <f t="shared" ca="1" si="74"/>
        <v>0</v>
      </c>
      <c r="U167" s="480"/>
      <c r="V167" s="477">
        <f t="shared" si="75"/>
        <v>0</v>
      </c>
      <c r="W167" s="480"/>
      <c r="X167" s="477">
        <f t="shared" si="76"/>
        <v>0</v>
      </c>
      <c r="Y167" s="480"/>
      <c r="Z167" s="477">
        <f t="shared" si="77"/>
        <v>0</v>
      </c>
      <c r="AA167" s="480"/>
      <c r="AB167" s="477">
        <f t="shared" ca="1" si="78"/>
        <v>0</v>
      </c>
      <c r="AC167" s="475">
        <f t="shared" ca="1" si="79"/>
        <v>0</v>
      </c>
      <c r="AD167" s="480"/>
      <c r="AE167" s="477">
        <f t="shared" si="80"/>
        <v>0</v>
      </c>
      <c r="AF167" s="480"/>
      <c r="AG167" s="477">
        <f t="shared" si="81"/>
        <v>0</v>
      </c>
      <c r="AH167" s="480"/>
      <c r="AI167" s="477">
        <f t="shared" si="82"/>
        <v>0</v>
      </c>
      <c r="AJ167" s="480"/>
      <c r="AK167" s="477">
        <f t="shared" ca="1" si="83"/>
        <v>0</v>
      </c>
      <c r="AL167" s="475">
        <f t="shared" ca="1" si="84"/>
        <v>0</v>
      </c>
      <c r="AM167" s="480"/>
      <c r="AN167" s="477">
        <f t="shared" si="85"/>
        <v>0</v>
      </c>
      <c r="AO167" s="480"/>
      <c r="AP167" s="477">
        <f t="shared" si="86"/>
        <v>0</v>
      </c>
      <c r="AQ167" s="480"/>
      <c r="AR167" s="477">
        <f t="shared" si="87"/>
        <v>0</v>
      </c>
      <c r="AS167" s="480"/>
      <c r="AT167" s="477">
        <f t="shared" ca="1" si="88"/>
        <v>0</v>
      </c>
      <c r="AU167" s="475">
        <f t="shared" ca="1" si="89"/>
        <v>0</v>
      </c>
      <c r="AV167" s="480"/>
      <c r="AW167" s="477">
        <f t="shared" si="90"/>
        <v>0</v>
      </c>
      <c r="AX167" s="480"/>
      <c r="AY167" s="477">
        <f t="shared" si="91"/>
        <v>0</v>
      </c>
      <c r="AZ167" s="480"/>
      <c r="BA167" s="477">
        <f t="shared" si="92"/>
        <v>0</v>
      </c>
      <c r="BB167" s="480"/>
      <c r="BC167" s="850">
        <f t="shared" ca="1" si="93"/>
        <v>0</v>
      </c>
    </row>
    <row r="168" spans="1:58" ht="28">
      <c r="A168" s="837" t="str">
        <f t="shared" ca="1" si="65"/>
        <v/>
      </c>
      <c r="B168" s="440">
        <v>162</v>
      </c>
      <c r="C168" s="834" t="str">
        <f t="shared" ca="1" si="66"/>
        <v>5.</v>
      </c>
      <c r="D168" s="1757" t="str">
        <f ca="1">IFERROR(VLOOKUP(LEFT(E168,4),Nom_activ_2!D:G,4,0),"")</f>
        <v>5.2.  Asigurarea informării privind respectarea măsurilor de control al infecției  pentru reducerea riscului de transmitere a TB în societate</v>
      </c>
      <c r="E168" s="1757" t="str">
        <f t="shared" ca="1" si="67"/>
        <v>5.2.1. Desfășurarea activităților de informare și schimbare a atitudinilor  și comportamentelor la nivel național si local</v>
      </c>
      <c r="F168" s="1777" t="str">
        <f t="shared" ca="1" si="95"/>
        <v>5.2.1.4. Concursuri la nivel de APL pentru cel mai bun plan de informare a populatiei despre TB</v>
      </c>
      <c r="G168" s="839" t="str">
        <f t="shared" ca="1" si="95"/>
        <v>PAS</v>
      </c>
      <c r="H168" s="840" t="str">
        <f t="shared" ca="1" si="95"/>
        <v>GFATM</v>
      </c>
      <c r="I168" s="443" t="s">
        <v>3386</v>
      </c>
      <c r="J168" s="838" t="str">
        <f t="shared" si="68"/>
        <v>Informare!$A:$j</v>
      </c>
      <c r="K168" s="475">
        <f t="shared" ca="1" si="69"/>
        <v>0</v>
      </c>
      <c r="L168" s="480"/>
      <c r="M168" s="477">
        <f t="shared" si="70"/>
        <v>0</v>
      </c>
      <c r="N168" s="480"/>
      <c r="O168" s="477">
        <f t="shared" si="71"/>
        <v>0</v>
      </c>
      <c r="P168" s="480"/>
      <c r="Q168" s="477">
        <f t="shared" si="72"/>
        <v>0</v>
      </c>
      <c r="R168" s="480"/>
      <c r="S168" s="477">
        <f t="shared" ca="1" si="73"/>
        <v>0</v>
      </c>
      <c r="T168" s="475">
        <f t="shared" ca="1" si="74"/>
        <v>0</v>
      </c>
      <c r="U168" s="480"/>
      <c r="V168" s="477">
        <f t="shared" si="75"/>
        <v>0</v>
      </c>
      <c r="W168" s="480"/>
      <c r="X168" s="477">
        <f t="shared" si="76"/>
        <v>0</v>
      </c>
      <c r="Y168" s="480"/>
      <c r="Z168" s="477">
        <f t="shared" si="77"/>
        <v>0</v>
      </c>
      <c r="AA168" s="480"/>
      <c r="AB168" s="477">
        <f t="shared" ca="1" si="78"/>
        <v>0</v>
      </c>
      <c r="AC168" s="475">
        <f t="shared" ca="1" si="79"/>
        <v>0</v>
      </c>
      <c r="AD168" s="480"/>
      <c r="AE168" s="477">
        <f t="shared" si="80"/>
        <v>0</v>
      </c>
      <c r="AF168" s="480"/>
      <c r="AG168" s="477">
        <f t="shared" si="81"/>
        <v>0</v>
      </c>
      <c r="AH168" s="480"/>
      <c r="AI168" s="477">
        <f t="shared" si="82"/>
        <v>0</v>
      </c>
      <c r="AJ168" s="480"/>
      <c r="AK168" s="477">
        <f t="shared" ca="1" si="83"/>
        <v>0</v>
      </c>
      <c r="AL168" s="475">
        <f t="shared" ca="1" si="84"/>
        <v>0</v>
      </c>
      <c r="AM168" s="480"/>
      <c r="AN168" s="477">
        <f t="shared" si="85"/>
        <v>0</v>
      </c>
      <c r="AO168" s="480"/>
      <c r="AP168" s="477">
        <f t="shared" si="86"/>
        <v>0</v>
      </c>
      <c r="AQ168" s="480"/>
      <c r="AR168" s="477">
        <f t="shared" si="87"/>
        <v>0</v>
      </c>
      <c r="AS168" s="480"/>
      <c r="AT168" s="477">
        <f t="shared" ca="1" si="88"/>
        <v>0</v>
      </c>
      <c r="AU168" s="475">
        <f t="shared" ca="1" si="89"/>
        <v>0</v>
      </c>
      <c r="AV168" s="480"/>
      <c r="AW168" s="477">
        <f t="shared" si="90"/>
        <v>0</v>
      </c>
      <c r="AX168" s="480"/>
      <c r="AY168" s="477">
        <f t="shared" si="91"/>
        <v>0</v>
      </c>
      <c r="AZ168" s="480"/>
      <c r="BA168" s="477">
        <f t="shared" si="92"/>
        <v>0</v>
      </c>
      <c r="BB168" s="480"/>
      <c r="BC168" s="850">
        <f t="shared" ca="1" si="93"/>
        <v>0</v>
      </c>
    </row>
    <row r="169" spans="1:58" ht="28">
      <c r="A169" s="837" t="str">
        <f t="shared" ca="1" si="65"/>
        <v/>
      </c>
      <c r="B169" s="440">
        <v>163</v>
      </c>
      <c r="C169" s="834" t="str">
        <f t="shared" ca="1" si="66"/>
        <v>5.</v>
      </c>
      <c r="D169" s="1757" t="str">
        <f ca="1">IFERROR(VLOOKUP(LEFT(E169,4),Nom_activ_2!D:G,4,0),"")</f>
        <v>5.2.  Asigurarea informării privind respectarea măsurilor de control al infecției  pentru reducerea riscului de transmitere a TB în societate</v>
      </c>
      <c r="E169" s="1757" t="str">
        <f t="shared" ca="1" si="67"/>
        <v>5.2.1. Desfășurarea activităților de informare și schimbare a atitudinilor  și comportamentelor la nivel național si local</v>
      </c>
      <c r="F169" s="1777" t="str">
        <f t="shared" ca="1" si="95"/>
        <v xml:space="preserve">5.2.1.5. Conferinta anuala dedicata zilei de 24 martie </v>
      </c>
      <c r="G169" s="839" t="str">
        <f t="shared" ca="1" si="95"/>
        <v>PAS</v>
      </c>
      <c r="H169" s="840" t="str">
        <f t="shared" ca="1" si="95"/>
        <v>GFATM</v>
      </c>
      <c r="I169" s="443" t="s">
        <v>3386</v>
      </c>
      <c r="J169" s="838" t="str">
        <f t="shared" si="68"/>
        <v>Informare!$A:$j</v>
      </c>
      <c r="K169" s="475">
        <f t="shared" ca="1" si="69"/>
        <v>165400.6</v>
      </c>
      <c r="L169" s="480"/>
      <c r="M169" s="477">
        <f t="shared" si="70"/>
        <v>0</v>
      </c>
      <c r="N169" s="480"/>
      <c r="O169" s="477">
        <f t="shared" si="71"/>
        <v>0</v>
      </c>
      <c r="P169" s="480"/>
      <c r="Q169" s="477">
        <f t="shared" si="72"/>
        <v>0</v>
      </c>
      <c r="R169" s="480"/>
      <c r="S169" s="477">
        <f t="shared" ca="1" si="73"/>
        <v>165400.6</v>
      </c>
      <c r="T169" s="475">
        <f t="shared" ca="1" si="74"/>
        <v>165400.6</v>
      </c>
      <c r="U169" s="480"/>
      <c r="V169" s="477">
        <f t="shared" si="75"/>
        <v>0</v>
      </c>
      <c r="W169" s="480"/>
      <c r="X169" s="477">
        <f t="shared" si="76"/>
        <v>0</v>
      </c>
      <c r="Y169" s="480"/>
      <c r="Z169" s="477">
        <f t="shared" si="77"/>
        <v>0</v>
      </c>
      <c r="AA169" s="480"/>
      <c r="AB169" s="477">
        <f t="shared" ca="1" si="78"/>
        <v>165400.6</v>
      </c>
      <c r="AC169" s="475">
        <f t="shared" ca="1" si="79"/>
        <v>165400.6</v>
      </c>
      <c r="AD169" s="480"/>
      <c r="AE169" s="477">
        <f t="shared" si="80"/>
        <v>0</v>
      </c>
      <c r="AF169" s="480"/>
      <c r="AG169" s="477">
        <f t="shared" si="81"/>
        <v>0</v>
      </c>
      <c r="AH169" s="480"/>
      <c r="AI169" s="477">
        <f t="shared" si="82"/>
        <v>0</v>
      </c>
      <c r="AJ169" s="480"/>
      <c r="AK169" s="477">
        <f t="shared" ca="1" si="83"/>
        <v>165400.6</v>
      </c>
      <c r="AL169" s="475">
        <f t="shared" ca="1" si="84"/>
        <v>0</v>
      </c>
      <c r="AM169" s="480"/>
      <c r="AN169" s="477">
        <f t="shared" si="85"/>
        <v>0</v>
      </c>
      <c r="AO169" s="480"/>
      <c r="AP169" s="477">
        <f t="shared" si="86"/>
        <v>0</v>
      </c>
      <c r="AQ169" s="480"/>
      <c r="AR169" s="477">
        <f t="shared" si="87"/>
        <v>0</v>
      </c>
      <c r="AS169" s="480"/>
      <c r="AT169" s="477">
        <f t="shared" ca="1" si="88"/>
        <v>0</v>
      </c>
      <c r="AU169" s="475">
        <f t="shared" ca="1" si="89"/>
        <v>0</v>
      </c>
      <c r="AV169" s="480"/>
      <c r="AW169" s="477">
        <f t="shared" si="90"/>
        <v>0</v>
      </c>
      <c r="AX169" s="480"/>
      <c r="AY169" s="477">
        <f t="shared" si="91"/>
        <v>0</v>
      </c>
      <c r="AZ169" s="480"/>
      <c r="BA169" s="477">
        <f t="shared" si="92"/>
        <v>0</v>
      </c>
      <c r="BB169" s="480"/>
      <c r="BC169" s="850">
        <f t="shared" ca="1" si="93"/>
        <v>496201.80000000005</v>
      </c>
    </row>
    <row r="170" spans="1:58" ht="42">
      <c r="A170" s="837" t="str">
        <f t="shared" ca="1" si="65"/>
        <v/>
      </c>
      <c r="B170" s="440">
        <v>164</v>
      </c>
      <c r="C170" s="834" t="str">
        <f t="shared" ca="1" si="66"/>
        <v>3.</v>
      </c>
      <c r="D170" s="1757" t="str">
        <f ca="1">IFERROR(VLOOKUP(LEFT(E170,4),Nom_activ_2!D:G,4,0),"")</f>
        <v>3.1.  Asigurarea continuă cu medicamente TB</v>
      </c>
      <c r="E170" s="1757" t="str">
        <f t="shared" ca="1" si="67"/>
        <v>3.1.5. Trecerea la noile regimuri de tratament per orale scurte modificate (mSTR)  cu asigurarea condițiilor pentru cercetare operațională urmată de o tranziție la practica de rutină</v>
      </c>
      <c r="F170" s="1777" t="str">
        <f t="shared" ca="1" si="95"/>
        <v>3.1.5.2. Continuarea cercetarii operationale privind implementarea schemelor scurte de tratament</v>
      </c>
      <c r="G170" s="839" t="str">
        <f t="shared" ca="1" si="95"/>
        <v>PAS</v>
      </c>
      <c r="H170" s="840" t="str">
        <f t="shared" ca="1" si="95"/>
        <v>GFATM</v>
      </c>
      <c r="I170" s="443" t="s">
        <v>3147</v>
      </c>
      <c r="J170" s="838" t="str">
        <f t="shared" si="68"/>
        <v>Tratament_Scheme_scurte!$A:$j</v>
      </c>
      <c r="K170" s="475">
        <f t="shared" ca="1" si="69"/>
        <v>564799.39879999997</v>
      </c>
      <c r="L170" s="480"/>
      <c r="M170" s="477">
        <f t="shared" si="70"/>
        <v>0</v>
      </c>
      <c r="N170" s="480"/>
      <c r="O170" s="477">
        <f t="shared" si="71"/>
        <v>0</v>
      </c>
      <c r="P170" s="480"/>
      <c r="Q170" s="477">
        <f t="shared" si="72"/>
        <v>0</v>
      </c>
      <c r="R170" s="480"/>
      <c r="S170" s="477">
        <f t="shared" ca="1" si="73"/>
        <v>564799.39879999997</v>
      </c>
      <c r="T170" s="475">
        <f t="shared" ca="1" si="74"/>
        <v>242056.88520000002</v>
      </c>
      <c r="U170" s="480"/>
      <c r="V170" s="477">
        <f t="shared" si="75"/>
        <v>0</v>
      </c>
      <c r="W170" s="480"/>
      <c r="X170" s="477">
        <f t="shared" si="76"/>
        <v>0</v>
      </c>
      <c r="Y170" s="480"/>
      <c r="Z170" s="477">
        <f t="shared" si="77"/>
        <v>0</v>
      </c>
      <c r="AA170" s="480"/>
      <c r="AB170" s="477">
        <f t="shared" ca="1" si="78"/>
        <v>242056.88520000002</v>
      </c>
      <c r="AC170" s="475">
        <f t="shared" ca="1" si="79"/>
        <v>0</v>
      </c>
      <c r="AD170" s="480"/>
      <c r="AE170" s="477">
        <f t="shared" si="80"/>
        <v>0</v>
      </c>
      <c r="AF170" s="480"/>
      <c r="AG170" s="477">
        <f t="shared" si="81"/>
        <v>0</v>
      </c>
      <c r="AH170" s="480"/>
      <c r="AI170" s="477">
        <f t="shared" si="82"/>
        <v>0</v>
      </c>
      <c r="AJ170" s="480"/>
      <c r="AK170" s="477">
        <f t="shared" ca="1" si="83"/>
        <v>0</v>
      </c>
      <c r="AL170" s="475">
        <f t="shared" ca="1" si="84"/>
        <v>0</v>
      </c>
      <c r="AM170" s="480"/>
      <c r="AN170" s="477">
        <f t="shared" si="85"/>
        <v>0</v>
      </c>
      <c r="AO170" s="480"/>
      <c r="AP170" s="477">
        <f t="shared" si="86"/>
        <v>0</v>
      </c>
      <c r="AQ170" s="480"/>
      <c r="AR170" s="477">
        <f t="shared" si="87"/>
        <v>0</v>
      </c>
      <c r="AS170" s="480"/>
      <c r="AT170" s="477">
        <f t="shared" ca="1" si="88"/>
        <v>0</v>
      </c>
      <c r="AU170" s="475">
        <f t="shared" ca="1" si="89"/>
        <v>0</v>
      </c>
      <c r="AV170" s="480"/>
      <c r="AW170" s="477">
        <f t="shared" si="90"/>
        <v>0</v>
      </c>
      <c r="AX170" s="480"/>
      <c r="AY170" s="477">
        <f t="shared" si="91"/>
        <v>0</v>
      </c>
      <c r="AZ170" s="480"/>
      <c r="BA170" s="477">
        <f t="shared" si="92"/>
        <v>0</v>
      </c>
      <c r="BB170" s="480"/>
      <c r="BC170" s="850">
        <f t="shared" ca="1" si="93"/>
        <v>806856.28399999999</v>
      </c>
    </row>
    <row r="171" spans="1:58" ht="28">
      <c r="A171" s="837" t="str">
        <f t="shared" ca="1" si="65"/>
        <v/>
      </c>
      <c r="B171" s="440">
        <v>165</v>
      </c>
      <c r="C171" s="834" t="str">
        <f t="shared" ca="1" si="66"/>
        <v>5.</v>
      </c>
      <c r="D171" s="1757" t="str">
        <f ca="1">IFERROR(VLOOKUP(LEFT(E171,4),Nom_activ_2!D:G,4,0),"")</f>
        <v>5.2.  Asigurarea informării privind respectarea măsurilor de control al infecției  pentru reducerea riscului de transmitere a TB în societate</v>
      </c>
      <c r="E171" s="1757" t="str">
        <f t="shared" ca="1" si="67"/>
        <v>5.2.2. Elaborarea și editarea materialelor educaționale și informative despre TB pentru grupurile cheie</v>
      </c>
      <c r="F171" s="1777" t="str">
        <f t="shared" ca="1" si="95"/>
        <v xml:space="preserve">5.2.2.2.  Elaborare, printare, editare materiale informative </v>
      </c>
      <c r="G171" s="839" t="str">
        <f t="shared" ca="1" si="95"/>
        <v>PAS</v>
      </c>
      <c r="H171" s="840" t="str">
        <f t="shared" ca="1" si="95"/>
        <v>GFATM</v>
      </c>
      <c r="I171" s="443" t="s">
        <v>3386</v>
      </c>
      <c r="J171" s="838" t="str">
        <f t="shared" si="68"/>
        <v>Informare!$A:$j</v>
      </c>
      <c r="K171" s="475">
        <f t="shared" ca="1" si="69"/>
        <v>199309.66999999998</v>
      </c>
      <c r="L171" s="480"/>
      <c r="M171" s="477">
        <f t="shared" si="70"/>
        <v>0</v>
      </c>
      <c r="N171" s="480"/>
      <c r="O171" s="477">
        <f t="shared" si="71"/>
        <v>0</v>
      </c>
      <c r="P171" s="480"/>
      <c r="Q171" s="477">
        <f t="shared" si="72"/>
        <v>0</v>
      </c>
      <c r="R171" s="480"/>
      <c r="S171" s="477">
        <f t="shared" ca="1" si="73"/>
        <v>199309.66999999998</v>
      </c>
      <c r="T171" s="475">
        <f t="shared" ca="1" si="74"/>
        <v>0</v>
      </c>
      <c r="U171" s="480"/>
      <c r="V171" s="477">
        <f t="shared" si="75"/>
        <v>0</v>
      </c>
      <c r="W171" s="480"/>
      <c r="X171" s="477">
        <f t="shared" si="76"/>
        <v>0</v>
      </c>
      <c r="Y171" s="480"/>
      <c r="Z171" s="477">
        <f t="shared" si="77"/>
        <v>0</v>
      </c>
      <c r="AA171" s="480"/>
      <c r="AB171" s="477">
        <f t="shared" ca="1" si="78"/>
        <v>0</v>
      </c>
      <c r="AC171" s="475">
        <f t="shared" ca="1" si="79"/>
        <v>17030</v>
      </c>
      <c r="AD171" s="480"/>
      <c r="AE171" s="477">
        <f t="shared" si="80"/>
        <v>0</v>
      </c>
      <c r="AF171" s="480"/>
      <c r="AG171" s="477">
        <f t="shared" si="81"/>
        <v>0</v>
      </c>
      <c r="AH171" s="480"/>
      <c r="AI171" s="477">
        <f t="shared" si="82"/>
        <v>0</v>
      </c>
      <c r="AJ171" s="480"/>
      <c r="AK171" s="477">
        <f t="shared" ca="1" si="83"/>
        <v>17030</v>
      </c>
      <c r="AL171" s="475">
        <f t="shared" ca="1" si="84"/>
        <v>0</v>
      </c>
      <c r="AM171" s="480"/>
      <c r="AN171" s="477">
        <f t="shared" si="85"/>
        <v>0</v>
      </c>
      <c r="AO171" s="480"/>
      <c r="AP171" s="477">
        <f t="shared" si="86"/>
        <v>0</v>
      </c>
      <c r="AQ171" s="480"/>
      <c r="AR171" s="477">
        <f t="shared" si="87"/>
        <v>0</v>
      </c>
      <c r="AS171" s="480"/>
      <c r="AT171" s="477">
        <f t="shared" ca="1" si="88"/>
        <v>0</v>
      </c>
      <c r="AU171" s="475">
        <f t="shared" ca="1" si="89"/>
        <v>0</v>
      </c>
      <c r="AV171" s="480"/>
      <c r="AW171" s="477">
        <f t="shared" si="90"/>
        <v>0</v>
      </c>
      <c r="AX171" s="480"/>
      <c r="AY171" s="477">
        <f t="shared" si="91"/>
        <v>0</v>
      </c>
      <c r="AZ171" s="480"/>
      <c r="BA171" s="477">
        <f t="shared" si="92"/>
        <v>0</v>
      </c>
      <c r="BB171" s="480"/>
      <c r="BC171" s="850">
        <f t="shared" ca="1" si="93"/>
        <v>216339.66999999998</v>
      </c>
    </row>
    <row r="172" spans="1:58" ht="28">
      <c r="A172" s="837" t="str">
        <f t="shared" ca="1" si="65"/>
        <v/>
      </c>
      <c r="B172" s="440">
        <v>166</v>
      </c>
      <c r="C172" s="834" t="str">
        <f t="shared" ca="1" si="66"/>
        <v>2.</v>
      </c>
      <c r="D172" s="1757" t="str">
        <f ca="1">IFERROR(VLOOKUP(LEFT(E172,4),Nom_activ_2!D:G,4,0),"")</f>
        <v xml:space="preserve">2.1.  Asigurarea depistării TB prin aplicarea constantă și extinderea metodelor microbiologice rapide de diagnostic </v>
      </c>
      <c r="E172" s="1757" t="str">
        <f t="shared" ca="1" si="67"/>
        <v>2.1.1. Aplicarea metodelor molecular genetice pentru diagnosticul rapid al TB și RR/MDR TB</v>
      </c>
      <c r="F172" s="1777" t="str">
        <f t="shared" ca="1" si="95"/>
        <v>2.1.1.2. Procurare Xpert MTB/XDR</v>
      </c>
      <c r="G172" s="839" t="str">
        <f t="shared" ca="1" si="95"/>
        <v>UCIMP</v>
      </c>
      <c r="H172" s="840" t="str">
        <f t="shared" ca="1" si="95"/>
        <v>GFATM</v>
      </c>
      <c r="I172" s="443" t="s">
        <v>2378</v>
      </c>
      <c r="J172" s="838" t="str">
        <f t="shared" si="68"/>
        <v>Estimare_laborator!$A:$j</v>
      </c>
      <c r="K172" s="475">
        <f t="shared" ca="1" si="69"/>
        <v>1507412.48</v>
      </c>
      <c r="L172" s="480"/>
      <c r="M172" s="477">
        <f t="shared" si="70"/>
        <v>0</v>
      </c>
      <c r="N172" s="480"/>
      <c r="O172" s="477">
        <f t="shared" si="71"/>
        <v>0</v>
      </c>
      <c r="P172" s="480"/>
      <c r="Q172" s="477">
        <f t="shared" si="72"/>
        <v>0</v>
      </c>
      <c r="R172" s="480"/>
      <c r="S172" s="477">
        <f t="shared" ca="1" si="73"/>
        <v>1507412.48</v>
      </c>
      <c r="T172" s="475">
        <f t="shared" ca="1" si="74"/>
        <v>0</v>
      </c>
      <c r="U172" s="480"/>
      <c r="V172" s="477">
        <f t="shared" si="75"/>
        <v>0</v>
      </c>
      <c r="W172" s="480"/>
      <c r="X172" s="477">
        <f t="shared" si="76"/>
        <v>0</v>
      </c>
      <c r="Y172" s="480"/>
      <c r="Z172" s="477">
        <f t="shared" si="77"/>
        <v>0</v>
      </c>
      <c r="AA172" s="480"/>
      <c r="AB172" s="477">
        <f t="shared" ca="1" si="78"/>
        <v>0</v>
      </c>
      <c r="AC172" s="475">
        <f t="shared" ca="1" si="79"/>
        <v>0</v>
      </c>
      <c r="AD172" s="480"/>
      <c r="AE172" s="477">
        <f t="shared" si="80"/>
        <v>0</v>
      </c>
      <c r="AF172" s="480"/>
      <c r="AG172" s="477">
        <f t="shared" si="81"/>
        <v>0</v>
      </c>
      <c r="AH172" s="480"/>
      <c r="AI172" s="477">
        <f t="shared" si="82"/>
        <v>0</v>
      </c>
      <c r="AJ172" s="480"/>
      <c r="AK172" s="477">
        <f t="shared" ca="1" si="83"/>
        <v>0</v>
      </c>
      <c r="AL172" s="475">
        <f t="shared" ca="1" si="84"/>
        <v>0</v>
      </c>
      <c r="AM172" s="480"/>
      <c r="AN172" s="477">
        <f t="shared" si="85"/>
        <v>0</v>
      </c>
      <c r="AO172" s="480"/>
      <c r="AP172" s="477">
        <f t="shared" si="86"/>
        <v>0</v>
      </c>
      <c r="AQ172" s="480"/>
      <c r="AR172" s="477">
        <f t="shared" si="87"/>
        <v>0</v>
      </c>
      <c r="AS172" s="480"/>
      <c r="AT172" s="477">
        <f t="shared" ca="1" si="88"/>
        <v>0</v>
      </c>
      <c r="AU172" s="475">
        <f t="shared" ca="1" si="89"/>
        <v>0</v>
      </c>
      <c r="AV172" s="480"/>
      <c r="AW172" s="477">
        <f t="shared" si="90"/>
        <v>0</v>
      </c>
      <c r="AX172" s="480"/>
      <c r="AY172" s="477">
        <f t="shared" si="91"/>
        <v>0</v>
      </c>
      <c r="AZ172" s="480"/>
      <c r="BA172" s="477">
        <f t="shared" si="92"/>
        <v>0</v>
      </c>
      <c r="BB172" s="480"/>
      <c r="BC172" s="850">
        <f t="shared" ca="1" si="93"/>
        <v>1507412.48</v>
      </c>
    </row>
    <row r="173" spans="1:58" ht="28">
      <c r="A173" s="837" t="str">
        <f t="shared" ca="1" si="65"/>
        <v/>
      </c>
      <c r="B173" s="440">
        <v>167</v>
      </c>
      <c r="C173" s="834" t="str">
        <f t="shared" ca="1" si="66"/>
        <v>2.</v>
      </c>
      <c r="D173" s="1757" t="str">
        <f ca="1">IFERROR(VLOOKUP(LEFT(E173,4),Nom_activ_2!D:G,4,0),"")</f>
        <v xml:space="preserve">2.1.  Asigurarea depistării TB prin aplicarea constantă și extinderea metodelor microbiologice rapide de diagnostic </v>
      </c>
      <c r="E173" s="1757" t="str">
        <f t="shared" ca="1" si="67"/>
        <v>2.1.1. Aplicarea metodelor molecular genetice pentru diagnosticul rapid al TB și RR/MDR TB</v>
      </c>
      <c r="F173" s="1777" t="str">
        <f t="shared" ca="1" si="95"/>
        <v>2.1.1.2. Procurarea cartrige Xpert MTB/XDR</v>
      </c>
      <c r="G173" s="839" t="str">
        <f t="shared" ca="1" si="95"/>
        <v>UCIMP</v>
      </c>
      <c r="H173" s="840" t="str">
        <f t="shared" ca="1" si="95"/>
        <v>GFATM</v>
      </c>
      <c r="I173" s="443" t="s">
        <v>2378</v>
      </c>
      <c r="J173" s="838" t="str">
        <f t="shared" si="68"/>
        <v>Estimare_laborator!$A:$j</v>
      </c>
      <c r="K173" s="475">
        <f t="shared" ca="1" si="69"/>
        <v>1067543.720163</v>
      </c>
      <c r="L173" s="480"/>
      <c r="M173" s="477">
        <f t="shared" si="70"/>
        <v>0</v>
      </c>
      <c r="N173" s="480"/>
      <c r="O173" s="477">
        <f t="shared" si="71"/>
        <v>0</v>
      </c>
      <c r="P173" s="480"/>
      <c r="Q173" s="477">
        <f t="shared" si="72"/>
        <v>0</v>
      </c>
      <c r="R173" s="480"/>
      <c r="S173" s="477">
        <f t="shared" ca="1" si="73"/>
        <v>1067543.720163</v>
      </c>
      <c r="T173" s="475">
        <f t="shared" ca="1" si="74"/>
        <v>0</v>
      </c>
      <c r="U173" s="480"/>
      <c r="V173" s="477">
        <f t="shared" si="75"/>
        <v>0</v>
      </c>
      <c r="W173" s="480"/>
      <c r="X173" s="477">
        <f t="shared" si="76"/>
        <v>0</v>
      </c>
      <c r="Y173" s="480"/>
      <c r="Z173" s="477">
        <f t="shared" si="77"/>
        <v>0</v>
      </c>
      <c r="AA173" s="480"/>
      <c r="AB173" s="477">
        <f t="shared" ca="1" si="78"/>
        <v>0</v>
      </c>
      <c r="AC173" s="475">
        <f t="shared" ca="1" si="79"/>
        <v>0</v>
      </c>
      <c r="AD173" s="480"/>
      <c r="AE173" s="477">
        <f t="shared" si="80"/>
        <v>0</v>
      </c>
      <c r="AF173" s="480"/>
      <c r="AG173" s="477">
        <f t="shared" si="81"/>
        <v>0</v>
      </c>
      <c r="AH173" s="480"/>
      <c r="AI173" s="477">
        <f t="shared" si="82"/>
        <v>0</v>
      </c>
      <c r="AJ173" s="480"/>
      <c r="AK173" s="477">
        <f t="shared" ca="1" si="83"/>
        <v>0</v>
      </c>
      <c r="AL173" s="475">
        <f t="shared" ca="1" si="84"/>
        <v>0</v>
      </c>
      <c r="AM173" s="480"/>
      <c r="AN173" s="477">
        <f t="shared" si="85"/>
        <v>0</v>
      </c>
      <c r="AO173" s="480"/>
      <c r="AP173" s="477">
        <f t="shared" si="86"/>
        <v>0</v>
      </c>
      <c r="AQ173" s="480"/>
      <c r="AR173" s="477">
        <f t="shared" si="87"/>
        <v>0</v>
      </c>
      <c r="AS173" s="480"/>
      <c r="AT173" s="477">
        <f t="shared" ca="1" si="88"/>
        <v>0</v>
      </c>
      <c r="AU173" s="475">
        <f t="shared" ca="1" si="89"/>
        <v>0</v>
      </c>
      <c r="AV173" s="480"/>
      <c r="AW173" s="477">
        <f t="shared" si="90"/>
        <v>0</v>
      </c>
      <c r="AX173" s="480"/>
      <c r="AY173" s="477">
        <f t="shared" si="91"/>
        <v>0</v>
      </c>
      <c r="AZ173" s="480"/>
      <c r="BA173" s="477">
        <f t="shared" si="92"/>
        <v>0</v>
      </c>
      <c r="BB173" s="480"/>
      <c r="BC173" s="850">
        <f t="shared" ca="1" si="93"/>
        <v>1067543.720163</v>
      </c>
    </row>
    <row r="174" spans="1:58" ht="28">
      <c r="A174" s="837" t="str">
        <f t="shared" ca="1" si="65"/>
        <v/>
      </c>
      <c r="B174" s="440">
        <v>168</v>
      </c>
      <c r="C174" s="834" t="str">
        <f t="shared" ca="1" si="66"/>
        <v>5.</v>
      </c>
      <c r="D174" s="1757" t="str">
        <f ca="1">IFERROR(VLOOKUP(LEFT(E174,4),Nom_activ_2!D:G,4,0),"")</f>
        <v>5.2.  Asigurarea informării privind respectarea măsurilor de control al infecției  pentru reducerea riscului de transmitere a TB în societate</v>
      </c>
      <c r="E174" s="1757" t="str">
        <f t="shared" ca="1" si="67"/>
        <v>5.2.3. Realizarea intervențiilor pentru educare și informare (materiale IEC, intervenții mass media, etc.)</v>
      </c>
      <c r="F174" s="1777" t="str">
        <f t="shared" ca="1" si="95"/>
        <v>5.2.3.1. Elaborarea materialelor video si audio privind tuberculoza</v>
      </c>
      <c r="G174" s="839" t="str">
        <f t="shared" ca="1" si="95"/>
        <v>PAS</v>
      </c>
      <c r="H174" s="840" t="str">
        <f t="shared" ca="1" si="95"/>
        <v>GFATM</v>
      </c>
      <c r="I174" s="443" t="s">
        <v>3386</v>
      </c>
      <c r="J174" s="838" t="str">
        <f t="shared" si="68"/>
        <v>Informare!$A:$j</v>
      </c>
      <c r="K174" s="475">
        <f t="shared" ca="1" si="69"/>
        <v>102000</v>
      </c>
      <c r="L174" s="480"/>
      <c r="M174" s="477">
        <f t="shared" si="70"/>
        <v>0</v>
      </c>
      <c r="N174" s="480"/>
      <c r="O174" s="477">
        <f t="shared" si="71"/>
        <v>0</v>
      </c>
      <c r="P174" s="480"/>
      <c r="Q174" s="477">
        <f t="shared" si="72"/>
        <v>0</v>
      </c>
      <c r="R174" s="480"/>
      <c r="S174" s="477">
        <f t="shared" ca="1" si="73"/>
        <v>102000</v>
      </c>
      <c r="T174" s="475">
        <f t="shared" ca="1" si="74"/>
        <v>0</v>
      </c>
      <c r="U174" s="480"/>
      <c r="V174" s="477">
        <f t="shared" si="75"/>
        <v>0</v>
      </c>
      <c r="W174" s="480"/>
      <c r="X174" s="477">
        <f t="shared" si="76"/>
        <v>0</v>
      </c>
      <c r="Y174" s="480"/>
      <c r="Z174" s="477">
        <f t="shared" si="77"/>
        <v>0</v>
      </c>
      <c r="AA174" s="480"/>
      <c r="AB174" s="477">
        <f t="shared" ca="1" si="78"/>
        <v>0</v>
      </c>
      <c r="AC174" s="475">
        <f t="shared" ca="1" si="79"/>
        <v>0</v>
      </c>
      <c r="AD174" s="480"/>
      <c r="AE174" s="477">
        <f t="shared" si="80"/>
        <v>0</v>
      </c>
      <c r="AF174" s="480"/>
      <c r="AG174" s="477">
        <f t="shared" si="81"/>
        <v>0</v>
      </c>
      <c r="AH174" s="480"/>
      <c r="AI174" s="477">
        <f t="shared" si="82"/>
        <v>0</v>
      </c>
      <c r="AJ174" s="480"/>
      <c r="AK174" s="477">
        <f t="shared" ca="1" si="83"/>
        <v>0</v>
      </c>
      <c r="AL174" s="475">
        <f t="shared" ca="1" si="84"/>
        <v>0</v>
      </c>
      <c r="AM174" s="480"/>
      <c r="AN174" s="477">
        <f t="shared" si="85"/>
        <v>0</v>
      </c>
      <c r="AO174" s="480"/>
      <c r="AP174" s="477">
        <f t="shared" si="86"/>
        <v>0</v>
      </c>
      <c r="AQ174" s="480"/>
      <c r="AR174" s="477">
        <f t="shared" si="87"/>
        <v>0</v>
      </c>
      <c r="AS174" s="480"/>
      <c r="AT174" s="477">
        <f t="shared" ca="1" si="88"/>
        <v>0</v>
      </c>
      <c r="AU174" s="475">
        <f t="shared" ca="1" si="89"/>
        <v>0</v>
      </c>
      <c r="AV174" s="480"/>
      <c r="AW174" s="477">
        <f t="shared" si="90"/>
        <v>0</v>
      </c>
      <c r="AX174" s="480"/>
      <c r="AY174" s="477">
        <f t="shared" si="91"/>
        <v>0</v>
      </c>
      <c r="AZ174" s="480"/>
      <c r="BA174" s="477">
        <f t="shared" si="92"/>
        <v>0</v>
      </c>
      <c r="BB174" s="480"/>
      <c r="BC174" s="850">
        <f t="shared" ca="1" si="93"/>
        <v>102000</v>
      </c>
    </row>
    <row r="175" spans="1:58" ht="28">
      <c r="A175" s="837" t="str">
        <f t="shared" ca="1" si="65"/>
        <v/>
      </c>
      <c r="B175" s="440">
        <v>169</v>
      </c>
      <c r="C175" s="834" t="str">
        <f t="shared" ca="1" si="66"/>
        <v>5.</v>
      </c>
      <c r="D175" s="1757" t="str">
        <f ca="1">IFERROR(VLOOKUP(LEFT(E175,4),Nom_activ_2!D:G,4,0),"")</f>
        <v>5.2.  Asigurarea informării privind respectarea măsurilor de control al infecției  pentru reducerea riscului de transmitere a TB în societate</v>
      </c>
      <c r="E175" s="1757" t="str">
        <f t="shared" ca="1" si="67"/>
        <v>5.2.3. Realizarea intervențiilor pentru educare și informare (materiale IEC, intervenții mass media, etc.)</v>
      </c>
      <c r="F175" s="1777" t="str">
        <f t="shared" ca="1" si="95"/>
        <v>5.2.3.2. Realizarea a 2 campanii de informare cu difuzarea materialelor audio si video</v>
      </c>
      <c r="G175" s="839" t="str">
        <f t="shared" ca="1" si="95"/>
        <v>PAS</v>
      </c>
      <c r="H175" s="840" t="str">
        <f t="shared" ca="1" si="95"/>
        <v>GFATM</v>
      </c>
      <c r="I175" s="443" t="s">
        <v>3386</v>
      </c>
      <c r="J175" s="838" t="str">
        <f t="shared" si="68"/>
        <v>Informare!$A:$j</v>
      </c>
      <c r="K175" s="475">
        <f t="shared" ca="1" si="69"/>
        <v>300000</v>
      </c>
      <c r="L175" s="480"/>
      <c r="M175" s="477">
        <f t="shared" si="70"/>
        <v>0</v>
      </c>
      <c r="N175" s="480"/>
      <c r="O175" s="477">
        <f t="shared" si="71"/>
        <v>0</v>
      </c>
      <c r="P175" s="480"/>
      <c r="Q175" s="477">
        <f t="shared" si="72"/>
        <v>0</v>
      </c>
      <c r="R175" s="480"/>
      <c r="S175" s="477">
        <f t="shared" ca="1" si="73"/>
        <v>300000</v>
      </c>
      <c r="T175" s="475">
        <f t="shared" ca="1" si="74"/>
        <v>300000</v>
      </c>
      <c r="U175" s="480"/>
      <c r="V175" s="477">
        <f t="shared" si="75"/>
        <v>0</v>
      </c>
      <c r="W175" s="480"/>
      <c r="X175" s="477">
        <f t="shared" si="76"/>
        <v>0</v>
      </c>
      <c r="Y175" s="480"/>
      <c r="Z175" s="477">
        <f t="shared" si="77"/>
        <v>0</v>
      </c>
      <c r="AA175" s="480"/>
      <c r="AB175" s="477">
        <f t="shared" ca="1" si="78"/>
        <v>300000</v>
      </c>
      <c r="AC175" s="475">
        <f t="shared" ca="1" si="79"/>
        <v>300000</v>
      </c>
      <c r="AD175" s="480"/>
      <c r="AE175" s="477">
        <f t="shared" si="80"/>
        <v>0</v>
      </c>
      <c r="AF175" s="480"/>
      <c r="AG175" s="477">
        <f t="shared" si="81"/>
        <v>0</v>
      </c>
      <c r="AH175" s="480"/>
      <c r="AI175" s="477">
        <f t="shared" si="82"/>
        <v>0</v>
      </c>
      <c r="AJ175" s="480"/>
      <c r="AK175" s="477">
        <f t="shared" ca="1" si="83"/>
        <v>300000</v>
      </c>
      <c r="AL175" s="475">
        <f t="shared" ca="1" si="84"/>
        <v>0</v>
      </c>
      <c r="AM175" s="480"/>
      <c r="AN175" s="477">
        <f t="shared" si="85"/>
        <v>0</v>
      </c>
      <c r="AO175" s="480"/>
      <c r="AP175" s="477">
        <f t="shared" si="86"/>
        <v>0</v>
      </c>
      <c r="AQ175" s="480"/>
      <c r="AR175" s="477">
        <f t="shared" si="87"/>
        <v>0</v>
      </c>
      <c r="AS175" s="480"/>
      <c r="AT175" s="477">
        <f t="shared" ca="1" si="88"/>
        <v>0</v>
      </c>
      <c r="AU175" s="475">
        <f t="shared" ca="1" si="89"/>
        <v>0</v>
      </c>
      <c r="AV175" s="480"/>
      <c r="AW175" s="477">
        <f t="shared" si="90"/>
        <v>0</v>
      </c>
      <c r="AX175" s="480"/>
      <c r="AY175" s="477">
        <f t="shared" si="91"/>
        <v>0</v>
      </c>
      <c r="AZ175" s="480"/>
      <c r="BA175" s="477">
        <f t="shared" si="92"/>
        <v>0</v>
      </c>
      <c r="BB175" s="480"/>
      <c r="BC175" s="850">
        <f t="shared" ca="1" si="93"/>
        <v>900000</v>
      </c>
    </row>
    <row r="176" spans="1:58" ht="28">
      <c r="A176" s="837" t="str">
        <f t="shared" ca="1" si="65"/>
        <v/>
      </c>
      <c r="B176" s="440">
        <v>170</v>
      </c>
      <c r="C176" s="834" t="str">
        <f t="shared" ca="1" si="66"/>
        <v>6.</v>
      </c>
      <c r="D176" s="1757" t="str">
        <f ca="1">IFERROR(VLOOKUP(LEFT(E176,4),Nom_activ_2!D:G,4,0),"")</f>
        <v>6.5.  Fortificarea implicării comunității și OSC în controlul TB prin abordare centrată pe persoană</v>
      </c>
      <c r="E176" s="1757" t="str">
        <f t="shared" ca="1" si="67"/>
        <v>6.5.4. Implicarea OSC în reducerea barierelor și asigurarea accesului grupurilor cheie la servicii TB</v>
      </c>
      <c r="F176" s="1777" t="str">
        <f t="shared" ca="1" si="95"/>
        <v>6.5.4.4. Auditarea OSC , inclusiv prin prisma utilizarii datelor cu caracter personal si pregatirea acestora catre acreditare</v>
      </c>
      <c r="G176" s="839" t="str">
        <f t="shared" ca="1" si="95"/>
        <v>(NGO)</v>
      </c>
      <c r="H176" s="840" t="str">
        <f t="shared" ca="1" si="95"/>
        <v>GFATM</v>
      </c>
      <c r="I176" s="443" t="s">
        <v>3628</v>
      </c>
      <c r="J176" s="838" t="str">
        <f t="shared" si="68"/>
        <v>ONG_TB!$A:$j</v>
      </c>
      <c r="K176" s="475">
        <f t="shared" ca="1" si="69"/>
        <v>100000</v>
      </c>
      <c r="L176" s="480"/>
      <c r="M176" s="477">
        <f t="shared" si="70"/>
        <v>0</v>
      </c>
      <c r="N176" s="480"/>
      <c r="O176" s="477">
        <f t="shared" si="71"/>
        <v>0</v>
      </c>
      <c r="P176" s="480"/>
      <c r="Q176" s="477">
        <f t="shared" si="72"/>
        <v>0</v>
      </c>
      <c r="R176" s="480"/>
      <c r="S176" s="477">
        <f t="shared" ca="1" si="73"/>
        <v>100000</v>
      </c>
      <c r="T176" s="475">
        <f t="shared" ca="1" si="74"/>
        <v>0</v>
      </c>
      <c r="U176" s="480"/>
      <c r="V176" s="477">
        <f t="shared" si="75"/>
        <v>0</v>
      </c>
      <c r="W176" s="480"/>
      <c r="X176" s="477">
        <f t="shared" si="76"/>
        <v>0</v>
      </c>
      <c r="Y176" s="480"/>
      <c r="Z176" s="477">
        <f t="shared" si="77"/>
        <v>0</v>
      </c>
      <c r="AA176" s="480"/>
      <c r="AB176" s="477">
        <f t="shared" ca="1" si="78"/>
        <v>0</v>
      </c>
      <c r="AC176" s="475">
        <f t="shared" ca="1" si="79"/>
        <v>0</v>
      </c>
      <c r="AD176" s="480"/>
      <c r="AE176" s="477">
        <f t="shared" si="80"/>
        <v>0</v>
      </c>
      <c r="AF176" s="480"/>
      <c r="AG176" s="477">
        <f t="shared" si="81"/>
        <v>0</v>
      </c>
      <c r="AH176" s="480"/>
      <c r="AI176" s="477">
        <f t="shared" si="82"/>
        <v>0</v>
      </c>
      <c r="AJ176" s="480"/>
      <c r="AK176" s="477">
        <f t="shared" ca="1" si="83"/>
        <v>0</v>
      </c>
      <c r="AL176" s="475">
        <f t="shared" ca="1" si="84"/>
        <v>0</v>
      </c>
      <c r="AM176" s="480"/>
      <c r="AN176" s="477">
        <f t="shared" si="85"/>
        <v>0</v>
      </c>
      <c r="AO176" s="480"/>
      <c r="AP176" s="477">
        <f t="shared" si="86"/>
        <v>0</v>
      </c>
      <c r="AQ176" s="480"/>
      <c r="AR176" s="477">
        <f t="shared" si="87"/>
        <v>0</v>
      </c>
      <c r="AS176" s="480"/>
      <c r="AT176" s="477">
        <f t="shared" ca="1" si="88"/>
        <v>0</v>
      </c>
      <c r="AU176" s="475">
        <f t="shared" ca="1" si="89"/>
        <v>0</v>
      </c>
      <c r="AV176" s="480"/>
      <c r="AW176" s="477">
        <f t="shared" si="90"/>
        <v>0</v>
      </c>
      <c r="AX176" s="480"/>
      <c r="AY176" s="477">
        <f t="shared" si="91"/>
        <v>0</v>
      </c>
      <c r="AZ176" s="480"/>
      <c r="BA176" s="477">
        <f t="shared" si="92"/>
        <v>0</v>
      </c>
      <c r="BB176" s="480"/>
      <c r="BC176" s="850">
        <f t="shared" ca="1" si="93"/>
        <v>100000</v>
      </c>
    </row>
    <row r="177" spans="1:55" ht="28">
      <c r="A177" s="837" t="str">
        <f t="shared" ca="1" si="65"/>
        <v/>
      </c>
      <c r="B177" s="440">
        <v>171</v>
      </c>
      <c r="C177" s="834" t="str">
        <f t="shared" ca="1" si="66"/>
        <v>6.</v>
      </c>
      <c r="D177" s="1757" t="str">
        <f ca="1">IFERROR(VLOOKUP(LEFT(E177,4),Nom_activ_2!D:G,4,0),"")</f>
        <v>6.5.  Fortificarea implicării comunității și OSC în controlul TB prin abordare centrată pe persoană</v>
      </c>
      <c r="E177" s="1757" t="str">
        <f t="shared" ca="1" si="67"/>
        <v>6.5.4. Implicarea OSC în reducerea barierelor și asigurarea accesului grupurilor cheie la servicii TB</v>
      </c>
      <c r="F177" s="1777" t="str">
        <f t="shared" ca="1" si="95"/>
        <v>6.5.4.5. Acordarea suportului consultativ pentru procedura de acreditare</v>
      </c>
      <c r="G177" s="839" t="str">
        <f t="shared" ca="1" si="95"/>
        <v>(NGO)</v>
      </c>
      <c r="H177" s="840" t="str">
        <f t="shared" ca="1" si="95"/>
        <v>GFATM</v>
      </c>
      <c r="I177" s="443" t="s">
        <v>3628</v>
      </c>
      <c r="J177" s="838" t="str">
        <f t="shared" si="68"/>
        <v>ONG_TB!$A:$j</v>
      </c>
      <c r="K177" s="475">
        <f t="shared" ca="1" si="69"/>
        <v>41088</v>
      </c>
      <c r="L177" s="480"/>
      <c r="M177" s="477">
        <f t="shared" si="70"/>
        <v>0</v>
      </c>
      <c r="N177" s="480"/>
      <c r="O177" s="477">
        <f t="shared" si="71"/>
        <v>0</v>
      </c>
      <c r="P177" s="480"/>
      <c r="Q177" s="477">
        <f t="shared" si="72"/>
        <v>0</v>
      </c>
      <c r="R177" s="480"/>
      <c r="S177" s="477">
        <f t="shared" ca="1" si="73"/>
        <v>41088</v>
      </c>
      <c r="T177" s="475">
        <f t="shared" ca="1" si="74"/>
        <v>0</v>
      </c>
      <c r="U177" s="480"/>
      <c r="V177" s="477">
        <f t="shared" si="75"/>
        <v>0</v>
      </c>
      <c r="W177" s="480"/>
      <c r="X177" s="477">
        <f t="shared" si="76"/>
        <v>0</v>
      </c>
      <c r="Y177" s="480"/>
      <c r="Z177" s="477">
        <f t="shared" si="77"/>
        <v>0</v>
      </c>
      <c r="AA177" s="480"/>
      <c r="AB177" s="477">
        <f t="shared" ca="1" si="78"/>
        <v>0</v>
      </c>
      <c r="AC177" s="475">
        <f t="shared" ca="1" si="79"/>
        <v>0</v>
      </c>
      <c r="AD177" s="480"/>
      <c r="AE177" s="477">
        <f t="shared" si="80"/>
        <v>0</v>
      </c>
      <c r="AF177" s="480"/>
      <c r="AG177" s="477">
        <f t="shared" si="81"/>
        <v>0</v>
      </c>
      <c r="AH177" s="480"/>
      <c r="AI177" s="477">
        <f t="shared" si="82"/>
        <v>0</v>
      </c>
      <c r="AJ177" s="480"/>
      <c r="AK177" s="477">
        <f t="shared" ca="1" si="83"/>
        <v>0</v>
      </c>
      <c r="AL177" s="475">
        <f t="shared" ca="1" si="84"/>
        <v>0</v>
      </c>
      <c r="AM177" s="480"/>
      <c r="AN177" s="477">
        <f t="shared" si="85"/>
        <v>0</v>
      </c>
      <c r="AO177" s="480"/>
      <c r="AP177" s="477">
        <f t="shared" si="86"/>
        <v>0</v>
      </c>
      <c r="AQ177" s="480"/>
      <c r="AR177" s="477">
        <f t="shared" si="87"/>
        <v>0</v>
      </c>
      <c r="AS177" s="480"/>
      <c r="AT177" s="477">
        <f t="shared" ca="1" si="88"/>
        <v>0</v>
      </c>
      <c r="AU177" s="475">
        <f t="shared" ca="1" si="89"/>
        <v>0</v>
      </c>
      <c r="AV177" s="480"/>
      <c r="AW177" s="477">
        <f t="shared" si="90"/>
        <v>0</v>
      </c>
      <c r="AX177" s="480"/>
      <c r="AY177" s="477">
        <f t="shared" si="91"/>
        <v>0</v>
      </c>
      <c r="AZ177" s="480"/>
      <c r="BA177" s="477">
        <f t="shared" si="92"/>
        <v>0</v>
      </c>
      <c r="BB177" s="480"/>
      <c r="BC177" s="850">
        <f t="shared" ca="1" si="93"/>
        <v>41088</v>
      </c>
    </row>
    <row r="178" spans="1:55" ht="28">
      <c r="A178" s="837" t="str">
        <f t="shared" ca="1" si="65"/>
        <v/>
      </c>
      <c r="B178" s="440">
        <v>172</v>
      </c>
      <c r="C178" s="834" t="str">
        <f t="shared" ca="1" si="66"/>
        <v>5.</v>
      </c>
      <c r="D178" s="1757" t="str">
        <f ca="1">IFERROR(VLOOKUP(LEFT(E178,4),Nom_activ_2!D:G,4,0),"")</f>
        <v>5.2.  Asigurarea informării privind respectarea măsurilor de control al infecției  pentru reducerea riscului de transmitere a TB în societate</v>
      </c>
      <c r="E178" s="1757" t="str">
        <f t="shared" ca="1" si="67"/>
        <v>5.2.3. Realizarea intervențiilor pentru educare și informare (materiale IEC, intervenții mass media, etc.)</v>
      </c>
      <c r="F178" s="1777" t="str">
        <f t="shared" ca="1" si="95"/>
        <v xml:space="preserve">5.2.3.3. Actualizarea site-ul www.tuberculoza.info </v>
      </c>
      <c r="G178" s="839" t="str">
        <f t="shared" ca="1" si="95"/>
        <v>PAS</v>
      </c>
      <c r="H178" s="840" t="str">
        <f t="shared" ca="1" si="95"/>
        <v>GFATM</v>
      </c>
      <c r="I178" s="443" t="s">
        <v>3386</v>
      </c>
      <c r="J178" s="838" t="str">
        <f t="shared" si="68"/>
        <v>Informare!$A:$j</v>
      </c>
      <c r="K178" s="475">
        <f t="shared" ca="1" si="69"/>
        <v>35000</v>
      </c>
      <c r="L178" s="480"/>
      <c r="M178" s="477">
        <f t="shared" si="70"/>
        <v>0</v>
      </c>
      <c r="N178" s="480"/>
      <c r="O178" s="477">
        <f t="shared" si="71"/>
        <v>0</v>
      </c>
      <c r="P178" s="480"/>
      <c r="Q178" s="477">
        <f t="shared" si="72"/>
        <v>0</v>
      </c>
      <c r="R178" s="480"/>
      <c r="S178" s="477">
        <f t="shared" ca="1" si="73"/>
        <v>35000</v>
      </c>
      <c r="T178" s="475">
        <f t="shared" ca="1" si="74"/>
        <v>35000</v>
      </c>
      <c r="U178" s="480"/>
      <c r="V178" s="477">
        <f t="shared" si="75"/>
        <v>0</v>
      </c>
      <c r="W178" s="480"/>
      <c r="X178" s="477">
        <f t="shared" si="76"/>
        <v>0</v>
      </c>
      <c r="Y178" s="480"/>
      <c r="Z178" s="477">
        <f t="shared" si="77"/>
        <v>0</v>
      </c>
      <c r="AA178" s="480"/>
      <c r="AB178" s="477">
        <f t="shared" ca="1" si="78"/>
        <v>35000</v>
      </c>
      <c r="AC178" s="475">
        <f t="shared" ca="1" si="79"/>
        <v>35000</v>
      </c>
      <c r="AD178" s="480"/>
      <c r="AE178" s="477">
        <f t="shared" si="80"/>
        <v>0</v>
      </c>
      <c r="AF178" s="480"/>
      <c r="AG178" s="477">
        <f t="shared" si="81"/>
        <v>0</v>
      </c>
      <c r="AH178" s="480"/>
      <c r="AI178" s="477">
        <f t="shared" si="82"/>
        <v>0</v>
      </c>
      <c r="AJ178" s="480"/>
      <c r="AK178" s="477">
        <f t="shared" ca="1" si="83"/>
        <v>35000</v>
      </c>
      <c r="AL178" s="475">
        <f t="shared" ca="1" si="84"/>
        <v>0</v>
      </c>
      <c r="AM178" s="480"/>
      <c r="AN178" s="477">
        <f t="shared" si="85"/>
        <v>0</v>
      </c>
      <c r="AO178" s="480"/>
      <c r="AP178" s="477">
        <f t="shared" si="86"/>
        <v>0</v>
      </c>
      <c r="AQ178" s="480"/>
      <c r="AR178" s="477">
        <f t="shared" si="87"/>
        <v>0</v>
      </c>
      <c r="AS178" s="480"/>
      <c r="AT178" s="477">
        <f t="shared" ca="1" si="88"/>
        <v>0</v>
      </c>
      <c r="AU178" s="475">
        <f t="shared" ca="1" si="89"/>
        <v>0</v>
      </c>
      <c r="AV178" s="480"/>
      <c r="AW178" s="477">
        <f t="shared" si="90"/>
        <v>0</v>
      </c>
      <c r="AX178" s="480"/>
      <c r="AY178" s="477">
        <f t="shared" si="91"/>
        <v>0</v>
      </c>
      <c r="AZ178" s="480"/>
      <c r="BA178" s="477">
        <f t="shared" si="92"/>
        <v>0</v>
      </c>
      <c r="BB178" s="480"/>
      <c r="BC178" s="850">
        <f t="shared" ca="1" si="93"/>
        <v>105000</v>
      </c>
    </row>
    <row r="179" spans="1:55" ht="42">
      <c r="A179" s="837" t="str">
        <f t="shared" ca="1" si="65"/>
        <v/>
      </c>
      <c r="B179" s="440">
        <v>173</v>
      </c>
      <c r="C179" s="834" t="str">
        <f t="shared" ca="1" si="66"/>
        <v>6.</v>
      </c>
      <c r="D179" s="1757" t="str">
        <f ca="1">IFERROR(VLOOKUP(LEFT(E179,4),Nom_activ_2!D:G,4,0),"")</f>
        <v>6.2.  Consolidarea sistemelor de sănătate prin mecanisme de finanțare bine aliniate pentru TB</v>
      </c>
      <c r="E179" s="1757" t="str">
        <f t="shared" ca="1" si="67"/>
        <v xml:space="preserve">6.2.1. Optimizarea serviciului spitalicesc de profil ftiziopneumologic </v>
      </c>
      <c r="F179" s="1777" t="str">
        <f t="shared" ca="1" si="95"/>
        <v>6.2.1.1. Organizarea a 2 sedinte/mese rotunde cu participarea unui consultant international, pentru a discuta si facilita optimizarea serviciului spitalicesc</v>
      </c>
      <c r="G179" s="839" t="str">
        <f t="shared" ca="1" si="95"/>
        <v>PAS</v>
      </c>
      <c r="H179" s="840" t="str">
        <f t="shared" ca="1" si="95"/>
        <v>GFATM</v>
      </c>
      <c r="I179" s="443" t="s">
        <v>3468</v>
      </c>
      <c r="J179" s="838" t="str">
        <f t="shared" si="68"/>
        <v>Sisteme_de_sanatate!$A:$j</v>
      </c>
      <c r="K179" s="475">
        <f t="shared" ca="1" si="69"/>
        <v>161394.41999999998</v>
      </c>
      <c r="L179" s="480"/>
      <c r="M179" s="477">
        <f t="shared" si="70"/>
        <v>0</v>
      </c>
      <c r="N179" s="480"/>
      <c r="O179" s="477">
        <f t="shared" si="71"/>
        <v>0</v>
      </c>
      <c r="P179" s="480"/>
      <c r="Q179" s="477">
        <f t="shared" si="72"/>
        <v>0</v>
      </c>
      <c r="R179" s="480"/>
      <c r="S179" s="477">
        <f t="shared" ca="1" si="73"/>
        <v>161394.41999999998</v>
      </c>
      <c r="T179" s="475">
        <f t="shared" ca="1" si="74"/>
        <v>0</v>
      </c>
      <c r="U179" s="480"/>
      <c r="V179" s="477">
        <f t="shared" si="75"/>
        <v>0</v>
      </c>
      <c r="W179" s="480"/>
      <c r="X179" s="477">
        <f t="shared" si="76"/>
        <v>0</v>
      </c>
      <c r="Y179" s="480"/>
      <c r="Z179" s="477">
        <f t="shared" si="77"/>
        <v>0</v>
      </c>
      <c r="AA179" s="480"/>
      <c r="AB179" s="477">
        <f t="shared" ca="1" si="78"/>
        <v>0</v>
      </c>
      <c r="AC179" s="475">
        <f t="shared" ca="1" si="79"/>
        <v>0</v>
      </c>
      <c r="AD179" s="480"/>
      <c r="AE179" s="477">
        <f t="shared" si="80"/>
        <v>0</v>
      </c>
      <c r="AF179" s="480"/>
      <c r="AG179" s="477">
        <f t="shared" si="81"/>
        <v>0</v>
      </c>
      <c r="AH179" s="480"/>
      <c r="AI179" s="477">
        <f t="shared" si="82"/>
        <v>0</v>
      </c>
      <c r="AJ179" s="480"/>
      <c r="AK179" s="477">
        <f t="shared" ca="1" si="83"/>
        <v>0</v>
      </c>
      <c r="AL179" s="475">
        <f t="shared" ca="1" si="84"/>
        <v>0</v>
      </c>
      <c r="AM179" s="480"/>
      <c r="AN179" s="477">
        <f t="shared" si="85"/>
        <v>0</v>
      </c>
      <c r="AO179" s="480"/>
      <c r="AP179" s="477">
        <f t="shared" si="86"/>
        <v>0</v>
      </c>
      <c r="AQ179" s="480"/>
      <c r="AR179" s="477">
        <f t="shared" si="87"/>
        <v>0</v>
      </c>
      <c r="AS179" s="480"/>
      <c r="AT179" s="477">
        <f t="shared" ca="1" si="88"/>
        <v>0</v>
      </c>
      <c r="AU179" s="475">
        <f t="shared" ca="1" si="89"/>
        <v>0</v>
      </c>
      <c r="AV179" s="480"/>
      <c r="AW179" s="477">
        <f t="shared" si="90"/>
        <v>0</v>
      </c>
      <c r="AX179" s="480"/>
      <c r="AY179" s="477">
        <f t="shared" si="91"/>
        <v>0</v>
      </c>
      <c r="AZ179" s="480"/>
      <c r="BA179" s="477">
        <f t="shared" si="92"/>
        <v>0</v>
      </c>
      <c r="BB179" s="480"/>
      <c r="BC179" s="850">
        <f t="shared" ca="1" si="93"/>
        <v>161394.41999999998</v>
      </c>
    </row>
    <row r="180" spans="1:55" ht="42">
      <c r="A180" s="837" t="str">
        <f t="shared" ca="1" si="65"/>
        <v/>
      </c>
      <c r="B180" s="440">
        <v>174</v>
      </c>
      <c r="C180" s="834" t="str">
        <f t="shared" ca="1" si="66"/>
        <v>6.</v>
      </c>
      <c r="D180" s="1757" t="str">
        <f ca="1">IFERROR(VLOOKUP(LEFT(E180,4),Nom_activ_2!D:G,4,0),"")</f>
        <v>6.2.  Consolidarea sistemelor de sănătate prin mecanisme de finanțare bine aliniate pentru TB</v>
      </c>
      <c r="E180" s="1757" t="str">
        <f t="shared" ca="1" si="67"/>
        <v>6.2.2. Fortificarea si extinderea rolului serviciului ftiziopneumologic teritorial in managementul clinic al cazurilor TB care nu necesită spitalizare</v>
      </c>
      <c r="F180" s="1777" t="str">
        <f t="shared" ca="1" si="95"/>
        <v>6.2.2.1. Fortificarea si extinderea rolului serviciului ftiziopneumologic teritorial in managementul clinic al cazurilor TB care nu necesită spitalizare</v>
      </c>
      <c r="G180" s="839">
        <f t="shared" ca="1" si="95"/>
        <v>0</v>
      </c>
      <c r="H180" s="840" t="str">
        <f t="shared" ca="1" si="95"/>
        <v>CNAM</v>
      </c>
      <c r="I180" s="443" t="s">
        <v>3468</v>
      </c>
      <c r="J180" s="838" t="str">
        <f t="shared" si="68"/>
        <v>Sisteme_de_sanatate!$A:$j</v>
      </c>
      <c r="K180" s="475">
        <f t="shared" ca="1" si="69"/>
        <v>0</v>
      </c>
      <c r="L180" s="480"/>
      <c r="M180" s="477">
        <f t="shared" si="70"/>
        <v>0</v>
      </c>
      <c r="N180" s="480"/>
      <c r="O180" s="477">
        <f t="shared" si="71"/>
        <v>0</v>
      </c>
      <c r="P180" s="480"/>
      <c r="Q180" s="477">
        <f t="shared" si="72"/>
        <v>0</v>
      </c>
      <c r="R180" s="480"/>
      <c r="S180" s="477">
        <f t="shared" ca="1" si="73"/>
        <v>0</v>
      </c>
      <c r="T180" s="475">
        <f t="shared" ca="1" si="74"/>
        <v>0</v>
      </c>
      <c r="U180" s="480"/>
      <c r="V180" s="477">
        <f t="shared" si="75"/>
        <v>0</v>
      </c>
      <c r="W180" s="480"/>
      <c r="X180" s="477">
        <f t="shared" si="76"/>
        <v>0</v>
      </c>
      <c r="Y180" s="480"/>
      <c r="Z180" s="477">
        <f t="shared" si="77"/>
        <v>0</v>
      </c>
      <c r="AA180" s="480"/>
      <c r="AB180" s="477">
        <f t="shared" ca="1" si="78"/>
        <v>0</v>
      </c>
      <c r="AC180" s="475">
        <f t="shared" ca="1" si="79"/>
        <v>0</v>
      </c>
      <c r="AD180" s="480"/>
      <c r="AE180" s="477">
        <f t="shared" si="80"/>
        <v>0</v>
      </c>
      <c r="AF180" s="480"/>
      <c r="AG180" s="477">
        <f t="shared" si="81"/>
        <v>0</v>
      </c>
      <c r="AH180" s="480"/>
      <c r="AI180" s="477">
        <f t="shared" si="82"/>
        <v>0</v>
      </c>
      <c r="AJ180" s="480"/>
      <c r="AK180" s="477">
        <f t="shared" ca="1" si="83"/>
        <v>0</v>
      </c>
      <c r="AL180" s="475">
        <f t="shared" ca="1" si="84"/>
        <v>0</v>
      </c>
      <c r="AM180" s="480"/>
      <c r="AN180" s="477">
        <f t="shared" si="85"/>
        <v>0</v>
      </c>
      <c r="AO180" s="480"/>
      <c r="AP180" s="477">
        <f t="shared" si="86"/>
        <v>0</v>
      </c>
      <c r="AQ180" s="480"/>
      <c r="AR180" s="477">
        <f t="shared" si="87"/>
        <v>0</v>
      </c>
      <c r="AS180" s="480"/>
      <c r="AT180" s="477">
        <f t="shared" ca="1" si="88"/>
        <v>0</v>
      </c>
      <c r="AU180" s="475">
        <f t="shared" ca="1" si="89"/>
        <v>0</v>
      </c>
      <c r="AV180" s="480"/>
      <c r="AW180" s="477">
        <f t="shared" si="90"/>
        <v>0</v>
      </c>
      <c r="AX180" s="480"/>
      <c r="AY180" s="477">
        <f t="shared" si="91"/>
        <v>0</v>
      </c>
      <c r="AZ180" s="480"/>
      <c r="BA180" s="477">
        <f t="shared" si="92"/>
        <v>0</v>
      </c>
      <c r="BB180" s="480"/>
      <c r="BC180" s="850">
        <f t="shared" ca="1" si="93"/>
        <v>0</v>
      </c>
    </row>
    <row r="181" spans="1:55" ht="42">
      <c r="A181" s="837" t="str">
        <f t="shared" ca="1" si="65"/>
        <v/>
      </c>
      <c r="B181" s="440">
        <v>175</v>
      </c>
      <c r="C181" s="834" t="str">
        <f t="shared" ca="1" si="66"/>
        <v>6.</v>
      </c>
      <c r="D181" s="1757" t="str">
        <f ca="1">IFERROR(VLOOKUP(LEFT(E181,4),Nom_activ_2!D:G,4,0),"")</f>
        <v>6.2.  Consolidarea sistemelor de sănătate prin mecanisme de finanțare bine aliniate pentru TB</v>
      </c>
      <c r="E181" s="1757" t="str">
        <f t="shared" ca="1" si="67"/>
        <v>6.2.3. Revizuirea mecanismelor de contractare a prestatorilor și modalităților de finanțare a serviciilor TB la fiecare nivel - AMP, AMSA, AMS.</v>
      </c>
      <c r="F181" s="1777" t="str">
        <f t="shared" ca="1" si="95"/>
        <v>6.2.3.1. Elaborarea pachetelor de servicii TB care sa corespunda cu rigorile MSMPS, CNAM si elaborate mecanismele de contractare a acestor servicii</v>
      </c>
      <c r="G181" s="839" t="str">
        <f t="shared" ca="1" si="95"/>
        <v>PAS</v>
      </c>
      <c r="H181" s="840" t="str">
        <f t="shared" ca="1" si="95"/>
        <v>GFATM</v>
      </c>
      <c r="I181" s="443" t="s">
        <v>3468</v>
      </c>
      <c r="J181" s="838" t="str">
        <f t="shared" si="68"/>
        <v>Sisteme_de_sanatate!$A:$j</v>
      </c>
      <c r="K181" s="475">
        <f t="shared" ca="1" si="69"/>
        <v>40000</v>
      </c>
      <c r="L181" s="480"/>
      <c r="M181" s="477">
        <f t="shared" si="70"/>
        <v>0</v>
      </c>
      <c r="N181" s="480"/>
      <c r="O181" s="477">
        <f t="shared" si="71"/>
        <v>0</v>
      </c>
      <c r="P181" s="480"/>
      <c r="Q181" s="477">
        <f t="shared" si="72"/>
        <v>0</v>
      </c>
      <c r="R181" s="480"/>
      <c r="S181" s="477">
        <f t="shared" ca="1" si="73"/>
        <v>40000</v>
      </c>
      <c r="T181" s="475">
        <f t="shared" ca="1" si="74"/>
        <v>0</v>
      </c>
      <c r="U181" s="480"/>
      <c r="V181" s="477">
        <f t="shared" si="75"/>
        <v>0</v>
      </c>
      <c r="W181" s="480"/>
      <c r="X181" s="477">
        <f t="shared" si="76"/>
        <v>0</v>
      </c>
      <c r="Y181" s="480"/>
      <c r="Z181" s="477">
        <f t="shared" si="77"/>
        <v>0</v>
      </c>
      <c r="AA181" s="480"/>
      <c r="AB181" s="477">
        <f t="shared" ca="1" si="78"/>
        <v>0</v>
      </c>
      <c r="AC181" s="475">
        <f t="shared" ca="1" si="79"/>
        <v>0</v>
      </c>
      <c r="AD181" s="480"/>
      <c r="AE181" s="477">
        <f t="shared" si="80"/>
        <v>0</v>
      </c>
      <c r="AF181" s="480"/>
      <c r="AG181" s="477">
        <f t="shared" si="81"/>
        <v>0</v>
      </c>
      <c r="AH181" s="480"/>
      <c r="AI181" s="477">
        <f t="shared" si="82"/>
        <v>0</v>
      </c>
      <c r="AJ181" s="480"/>
      <c r="AK181" s="477">
        <f t="shared" ca="1" si="83"/>
        <v>0</v>
      </c>
      <c r="AL181" s="475">
        <f t="shared" ca="1" si="84"/>
        <v>0</v>
      </c>
      <c r="AM181" s="480"/>
      <c r="AN181" s="477">
        <f t="shared" si="85"/>
        <v>0</v>
      </c>
      <c r="AO181" s="480"/>
      <c r="AP181" s="477">
        <f t="shared" si="86"/>
        <v>0</v>
      </c>
      <c r="AQ181" s="480"/>
      <c r="AR181" s="477">
        <f t="shared" si="87"/>
        <v>0</v>
      </c>
      <c r="AS181" s="480"/>
      <c r="AT181" s="477">
        <f t="shared" ca="1" si="88"/>
        <v>0</v>
      </c>
      <c r="AU181" s="475">
        <f t="shared" ca="1" si="89"/>
        <v>0</v>
      </c>
      <c r="AV181" s="480"/>
      <c r="AW181" s="477">
        <f t="shared" si="90"/>
        <v>0</v>
      </c>
      <c r="AX181" s="480"/>
      <c r="AY181" s="477">
        <f t="shared" si="91"/>
        <v>0</v>
      </c>
      <c r="AZ181" s="480"/>
      <c r="BA181" s="477">
        <f t="shared" si="92"/>
        <v>0</v>
      </c>
      <c r="BB181" s="480"/>
      <c r="BC181" s="850">
        <f t="shared" ca="1" si="93"/>
        <v>40000</v>
      </c>
    </row>
    <row r="182" spans="1:55" ht="28">
      <c r="A182" s="837" t="str">
        <f t="shared" ca="1" si="65"/>
        <v/>
      </c>
      <c r="B182" s="440">
        <v>176</v>
      </c>
      <c r="C182" s="834" t="str">
        <f t="shared" ca="1" si="66"/>
        <v>6.</v>
      </c>
      <c r="D182" s="1757" t="str">
        <f ca="1">IFERROR(VLOOKUP(LEFT(E182,4),Nom_activ_2!D:G,4,0),"")</f>
        <v>6.2.  Consolidarea sistemelor de sănătate prin mecanisme de finanțare bine aliniate pentru TB</v>
      </c>
      <c r="E182" s="1757" t="str">
        <f t="shared" ca="1" si="67"/>
        <v>6.2.4. Asigurarea mentenanței staționarelor și subdiviziunilor de profil</v>
      </c>
      <c r="F182" s="1777" t="str">
        <f t="shared" ca="1" si="95"/>
        <v>6.2.4.1.  Asigurarea mentenanței staționarelor</v>
      </c>
      <c r="G182" s="839">
        <f t="shared" ca="1" si="95"/>
        <v>0</v>
      </c>
      <c r="H182" s="840" t="str">
        <f t="shared" ca="1" si="95"/>
        <v>CNAM</v>
      </c>
      <c r="I182" s="443" t="s">
        <v>3468</v>
      </c>
      <c r="J182" s="838" t="str">
        <f t="shared" si="68"/>
        <v>Sisteme_de_sanatate!$A:$j</v>
      </c>
      <c r="K182" s="475">
        <f t="shared" ca="1" si="69"/>
        <v>82099793.640000001</v>
      </c>
      <c r="L182" s="480"/>
      <c r="M182" s="477">
        <f t="shared" si="70"/>
        <v>0</v>
      </c>
      <c r="N182" s="480"/>
      <c r="O182" s="477">
        <f t="shared" si="71"/>
        <v>0</v>
      </c>
      <c r="P182" s="480"/>
      <c r="Q182" s="477">
        <f t="shared" si="72"/>
        <v>0</v>
      </c>
      <c r="R182" s="480"/>
      <c r="S182" s="477">
        <f t="shared" ca="1" si="73"/>
        <v>82099793.640000001</v>
      </c>
      <c r="T182" s="475">
        <f t="shared" ca="1" si="74"/>
        <v>82099793.640000001</v>
      </c>
      <c r="U182" s="480"/>
      <c r="V182" s="477">
        <f t="shared" si="75"/>
        <v>0</v>
      </c>
      <c r="W182" s="480"/>
      <c r="X182" s="477">
        <f t="shared" si="76"/>
        <v>0</v>
      </c>
      <c r="Y182" s="480"/>
      <c r="Z182" s="477">
        <f t="shared" si="77"/>
        <v>0</v>
      </c>
      <c r="AA182" s="480"/>
      <c r="AB182" s="477">
        <f t="shared" ca="1" si="78"/>
        <v>82099793.640000001</v>
      </c>
      <c r="AC182" s="475">
        <f t="shared" ca="1" si="79"/>
        <v>82099793.640000001</v>
      </c>
      <c r="AD182" s="480"/>
      <c r="AE182" s="477">
        <f t="shared" si="80"/>
        <v>0</v>
      </c>
      <c r="AF182" s="480"/>
      <c r="AG182" s="477">
        <f t="shared" si="81"/>
        <v>0</v>
      </c>
      <c r="AH182" s="480"/>
      <c r="AI182" s="477">
        <f t="shared" si="82"/>
        <v>0</v>
      </c>
      <c r="AJ182" s="480"/>
      <c r="AK182" s="477">
        <f t="shared" ca="1" si="83"/>
        <v>82099793.640000001</v>
      </c>
      <c r="AL182" s="475">
        <f t="shared" ca="1" si="84"/>
        <v>82099793.640000001</v>
      </c>
      <c r="AM182" s="480"/>
      <c r="AN182" s="477">
        <f t="shared" si="85"/>
        <v>0</v>
      </c>
      <c r="AO182" s="480"/>
      <c r="AP182" s="477">
        <f t="shared" si="86"/>
        <v>0</v>
      </c>
      <c r="AQ182" s="480"/>
      <c r="AR182" s="477">
        <f t="shared" si="87"/>
        <v>0</v>
      </c>
      <c r="AS182" s="480"/>
      <c r="AT182" s="477">
        <f t="shared" ca="1" si="88"/>
        <v>82099793.640000001</v>
      </c>
      <c r="AU182" s="475">
        <f t="shared" ca="1" si="89"/>
        <v>82099793.640000001</v>
      </c>
      <c r="AV182" s="480"/>
      <c r="AW182" s="477">
        <f t="shared" si="90"/>
        <v>0</v>
      </c>
      <c r="AX182" s="480"/>
      <c r="AY182" s="477">
        <f t="shared" si="91"/>
        <v>0</v>
      </c>
      <c r="AZ182" s="480"/>
      <c r="BA182" s="477">
        <f t="shared" si="92"/>
        <v>0</v>
      </c>
      <c r="BB182" s="480"/>
      <c r="BC182" s="850">
        <f t="shared" ca="1" si="93"/>
        <v>410498968.19999999</v>
      </c>
    </row>
    <row r="183" spans="1:55" ht="28">
      <c r="A183" s="837" t="str">
        <f t="shared" ca="1" si="65"/>
        <v/>
      </c>
      <c r="B183" s="440">
        <v>177</v>
      </c>
      <c r="C183" s="834" t="str">
        <f t="shared" ca="1" si="66"/>
        <v>6.</v>
      </c>
      <c r="D183" s="1757" t="str">
        <f ca="1">IFERROR(VLOOKUP(LEFT(E183,4),Nom_activ_2!D:G,4,0),"")</f>
        <v>6.2.  Consolidarea sistemelor de sănătate prin mecanisme de finanțare bine aliniate pentru TB</v>
      </c>
      <c r="E183" s="1757" t="str">
        <f t="shared" ca="1" si="67"/>
        <v>6.2.4. Asigurarea mentenanței staționarelor și subdiviziunilor de profil</v>
      </c>
      <c r="F183" s="1777" t="str">
        <f t="shared" ca="1" si="95"/>
        <v>6.2.4.2.  Asigurarea mentenanței laboratoarelor in microbiologia tuberculozei</v>
      </c>
      <c r="G183" s="839">
        <f t="shared" ca="1" si="95"/>
        <v>0</v>
      </c>
      <c r="H183" s="840" t="str">
        <f t="shared" ca="1" si="95"/>
        <v>CNAM</v>
      </c>
      <c r="I183" s="443" t="s">
        <v>3468</v>
      </c>
      <c r="J183" s="838" t="str">
        <f t="shared" si="68"/>
        <v>Sisteme_de_sanatate!$A:$j</v>
      </c>
      <c r="K183" s="475">
        <f t="shared" ca="1" si="69"/>
        <v>42504883</v>
      </c>
      <c r="L183" s="480"/>
      <c r="M183" s="477">
        <f t="shared" si="70"/>
        <v>0</v>
      </c>
      <c r="N183" s="480"/>
      <c r="O183" s="477">
        <f t="shared" si="71"/>
        <v>0</v>
      </c>
      <c r="P183" s="480"/>
      <c r="Q183" s="477">
        <f t="shared" si="72"/>
        <v>0</v>
      </c>
      <c r="R183" s="480"/>
      <c r="S183" s="477">
        <f t="shared" ca="1" si="73"/>
        <v>42504883</v>
      </c>
      <c r="T183" s="475">
        <f t="shared" ca="1" si="74"/>
        <v>42504883</v>
      </c>
      <c r="U183" s="480"/>
      <c r="V183" s="477">
        <f t="shared" si="75"/>
        <v>0</v>
      </c>
      <c r="W183" s="480"/>
      <c r="X183" s="477">
        <f t="shared" si="76"/>
        <v>0</v>
      </c>
      <c r="Y183" s="480"/>
      <c r="Z183" s="477">
        <f t="shared" si="77"/>
        <v>0</v>
      </c>
      <c r="AA183" s="480"/>
      <c r="AB183" s="477">
        <f t="shared" ca="1" si="78"/>
        <v>42504883</v>
      </c>
      <c r="AC183" s="475">
        <f t="shared" ca="1" si="79"/>
        <v>42504883</v>
      </c>
      <c r="AD183" s="480"/>
      <c r="AE183" s="477">
        <f t="shared" si="80"/>
        <v>0</v>
      </c>
      <c r="AF183" s="480"/>
      <c r="AG183" s="477">
        <f t="shared" si="81"/>
        <v>0</v>
      </c>
      <c r="AH183" s="480"/>
      <c r="AI183" s="477">
        <f t="shared" si="82"/>
        <v>0</v>
      </c>
      <c r="AJ183" s="480"/>
      <c r="AK183" s="477">
        <f t="shared" ca="1" si="83"/>
        <v>42504883</v>
      </c>
      <c r="AL183" s="475">
        <f t="shared" ca="1" si="84"/>
        <v>42504883</v>
      </c>
      <c r="AM183" s="480"/>
      <c r="AN183" s="477">
        <f t="shared" si="85"/>
        <v>0</v>
      </c>
      <c r="AO183" s="480"/>
      <c r="AP183" s="477">
        <f t="shared" si="86"/>
        <v>0</v>
      </c>
      <c r="AQ183" s="480"/>
      <c r="AR183" s="477">
        <f t="shared" si="87"/>
        <v>0</v>
      </c>
      <c r="AS183" s="480"/>
      <c r="AT183" s="477">
        <f t="shared" ca="1" si="88"/>
        <v>42504883</v>
      </c>
      <c r="AU183" s="475">
        <f t="shared" ca="1" si="89"/>
        <v>42504883</v>
      </c>
      <c r="AV183" s="480"/>
      <c r="AW183" s="477">
        <f t="shared" si="90"/>
        <v>0</v>
      </c>
      <c r="AX183" s="480"/>
      <c r="AY183" s="477">
        <f t="shared" si="91"/>
        <v>0</v>
      </c>
      <c r="AZ183" s="480"/>
      <c r="BA183" s="477">
        <f t="shared" si="92"/>
        <v>0</v>
      </c>
      <c r="BB183" s="480"/>
      <c r="BC183" s="850">
        <f t="shared" ca="1" si="93"/>
        <v>212524415</v>
      </c>
    </row>
    <row r="184" spans="1:55" ht="28">
      <c r="A184" s="837" t="str">
        <f t="shared" ca="1" si="65"/>
        <v/>
      </c>
      <c r="B184" s="440">
        <v>178</v>
      </c>
      <c r="C184" s="834" t="str">
        <f t="shared" ca="1" si="66"/>
        <v>6.</v>
      </c>
      <c r="D184" s="1757" t="str">
        <f ca="1">IFERROR(VLOOKUP(LEFT(E184,4),Nom_activ_2!D:G,4,0),"")</f>
        <v>6.2.  Consolidarea sistemelor de sănătate prin mecanisme de finanțare bine aliniate pentru TB</v>
      </c>
      <c r="E184" s="1757" t="str">
        <f t="shared" ca="1" si="67"/>
        <v xml:space="preserve">6.2.5. Asigurarea mentenanței echipamentelor din cadrul staționarelor și subdiviziunilor de profil </v>
      </c>
      <c r="F184" s="1777" t="str">
        <f t="shared" ca="1" si="95"/>
        <v xml:space="preserve">6.2.5.1. Asigurarea mentenanței echipamentelor din cadrul staționarelor și subdiviziunilor de profil, contractare specialisti </v>
      </c>
      <c r="G184" s="839" t="str">
        <f t="shared" ca="1" si="95"/>
        <v>PAS</v>
      </c>
      <c r="H184" s="840" t="str">
        <f t="shared" ca="1" si="95"/>
        <v>GFATM</v>
      </c>
      <c r="I184" s="443" t="s">
        <v>3468</v>
      </c>
      <c r="J184" s="838" t="str">
        <f t="shared" si="68"/>
        <v>Sisteme_de_sanatate!$A:$j</v>
      </c>
      <c r="K184" s="475">
        <f t="shared" ca="1" si="69"/>
        <v>0</v>
      </c>
      <c r="L184" s="480"/>
      <c r="M184" s="477">
        <f t="shared" si="70"/>
        <v>0</v>
      </c>
      <c r="N184" s="480"/>
      <c r="O184" s="477">
        <f t="shared" si="71"/>
        <v>0</v>
      </c>
      <c r="P184" s="480"/>
      <c r="Q184" s="477">
        <f t="shared" si="72"/>
        <v>0</v>
      </c>
      <c r="R184" s="480"/>
      <c r="S184" s="477">
        <f t="shared" ca="1" si="73"/>
        <v>0</v>
      </c>
      <c r="T184" s="475">
        <f t="shared" ca="1" si="74"/>
        <v>0</v>
      </c>
      <c r="U184" s="480"/>
      <c r="V184" s="477">
        <f t="shared" si="75"/>
        <v>0</v>
      </c>
      <c r="W184" s="480"/>
      <c r="X184" s="477">
        <f t="shared" si="76"/>
        <v>0</v>
      </c>
      <c r="Y184" s="480"/>
      <c r="Z184" s="477">
        <f t="shared" si="77"/>
        <v>0</v>
      </c>
      <c r="AA184" s="480"/>
      <c r="AB184" s="477">
        <f t="shared" ca="1" si="78"/>
        <v>0</v>
      </c>
      <c r="AC184" s="475">
        <f t="shared" ca="1" si="79"/>
        <v>0</v>
      </c>
      <c r="AD184" s="480"/>
      <c r="AE184" s="477">
        <f t="shared" si="80"/>
        <v>0</v>
      </c>
      <c r="AF184" s="480"/>
      <c r="AG184" s="477">
        <f t="shared" si="81"/>
        <v>0</v>
      </c>
      <c r="AH184" s="480"/>
      <c r="AI184" s="477">
        <f t="shared" si="82"/>
        <v>0</v>
      </c>
      <c r="AJ184" s="480"/>
      <c r="AK184" s="477">
        <f t="shared" ca="1" si="83"/>
        <v>0</v>
      </c>
      <c r="AL184" s="475">
        <f t="shared" ca="1" si="84"/>
        <v>0</v>
      </c>
      <c r="AM184" s="480"/>
      <c r="AN184" s="477">
        <f t="shared" si="85"/>
        <v>0</v>
      </c>
      <c r="AO184" s="480"/>
      <c r="AP184" s="477">
        <f t="shared" si="86"/>
        <v>0</v>
      </c>
      <c r="AQ184" s="480"/>
      <c r="AR184" s="477">
        <f t="shared" si="87"/>
        <v>0</v>
      </c>
      <c r="AS184" s="480"/>
      <c r="AT184" s="477">
        <f t="shared" ca="1" si="88"/>
        <v>0</v>
      </c>
      <c r="AU184" s="475">
        <f t="shared" ca="1" si="89"/>
        <v>0</v>
      </c>
      <c r="AV184" s="480"/>
      <c r="AW184" s="477">
        <f t="shared" si="90"/>
        <v>0</v>
      </c>
      <c r="AX184" s="480"/>
      <c r="AY184" s="477">
        <f t="shared" si="91"/>
        <v>0</v>
      </c>
      <c r="AZ184" s="480"/>
      <c r="BA184" s="477">
        <f t="shared" si="92"/>
        <v>0</v>
      </c>
      <c r="BB184" s="480"/>
      <c r="BC184" s="850">
        <f t="shared" ca="1" si="93"/>
        <v>0</v>
      </c>
    </row>
    <row r="185" spans="1:55" ht="42">
      <c r="A185" s="837" t="str">
        <f t="shared" ca="1" si="65"/>
        <v/>
      </c>
      <c r="B185" s="440">
        <v>179</v>
      </c>
      <c r="C185" s="834" t="str">
        <f t="shared" ca="1" si="66"/>
        <v>6.</v>
      </c>
      <c r="D185" s="1757" t="str">
        <f ca="1">IFERROR(VLOOKUP(LEFT(E185,4),Nom_activ_2!D:G,4,0),"")</f>
        <v>6.2.  Consolidarea sistemelor de sănătate prin mecanisme de finanțare bine aliniate pentru TB</v>
      </c>
      <c r="E185" s="1757" t="str">
        <f t="shared" ca="1" si="67"/>
        <v>6.2.6. Elaborarea mecanismului de raportare a cheltuielilor faptice pentru realizarea activităților PNCT la fiecare nivel din sistemul de sănătate</v>
      </c>
      <c r="F185" s="1777" t="str">
        <f t="shared" ca="1" si="95"/>
        <v>6.2.6.1. Consultanta internationala si nationala in elaborarea mecanismului de raportare a cheltuielilor faptice pentru realizarea activităților PNCT la fiecare nivel din sistemul de sănătate</v>
      </c>
      <c r="G185" s="839" t="str">
        <f t="shared" ca="1" si="95"/>
        <v>PAS</v>
      </c>
      <c r="H185" s="840" t="str">
        <f t="shared" ca="1" si="95"/>
        <v>GFATM</v>
      </c>
      <c r="I185" s="443" t="s">
        <v>3468</v>
      </c>
      <c r="J185" s="838" t="str">
        <f t="shared" si="68"/>
        <v>Sisteme_de_sanatate!$A:$j</v>
      </c>
      <c r="K185" s="475">
        <f t="shared" ca="1" si="69"/>
        <v>143029.75</v>
      </c>
      <c r="L185" s="480"/>
      <c r="M185" s="477">
        <f t="shared" si="70"/>
        <v>0</v>
      </c>
      <c r="N185" s="480"/>
      <c r="O185" s="477">
        <f t="shared" si="71"/>
        <v>0</v>
      </c>
      <c r="P185" s="480"/>
      <c r="Q185" s="477">
        <f t="shared" si="72"/>
        <v>0</v>
      </c>
      <c r="R185" s="480"/>
      <c r="S185" s="477">
        <f t="shared" ca="1" si="73"/>
        <v>143029.75</v>
      </c>
      <c r="T185" s="475">
        <f t="shared" ca="1" si="74"/>
        <v>0</v>
      </c>
      <c r="U185" s="480"/>
      <c r="V185" s="477">
        <f t="shared" si="75"/>
        <v>0</v>
      </c>
      <c r="W185" s="480"/>
      <c r="X185" s="477">
        <f t="shared" si="76"/>
        <v>0</v>
      </c>
      <c r="Y185" s="480"/>
      <c r="Z185" s="477">
        <f t="shared" si="77"/>
        <v>0</v>
      </c>
      <c r="AA185" s="480"/>
      <c r="AB185" s="477">
        <f t="shared" ca="1" si="78"/>
        <v>0</v>
      </c>
      <c r="AC185" s="475">
        <f t="shared" ca="1" si="79"/>
        <v>0</v>
      </c>
      <c r="AD185" s="480"/>
      <c r="AE185" s="477">
        <f t="shared" si="80"/>
        <v>0</v>
      </c>
      <c r="AF185" s="480"/>
      <c r="AG185" s="477">
        <f t="shared" si="81"/>
        <v>0</v>
      </c>
      <c r="AH185" s="480"/>
      <c r="AI185" s="477">
        <f t="shared" si="82"/>
        <v>0</v>
      </c>
      <c r="AJ185" s="480"/>
      <c r="AK185" s="477">
        <f t="shared" ca="1" si="83"/>
        <v>0</v>
      </c>
      <c r="AL185" s="475">
        <f t="shared" ca="1" si="84"/>
        <v>0</v>
      </c>
      <c r="AM185" s="480"/>
      <c r="AN185" s="477">
        <f t="shared" si="85"/>
        <v>0</v>
      </c>
      <c r="AO185" s="480"/>
      <c r="AP185" s="477">
        <f t="shared" si="86"/>
        <v>0</v>
      </c>
      <c r="AQ185" s="480"/>
      <c r="AR185" s="477">
        <f t="shared" si="87"/>
        <v>0</v>
      </c>
      <c r="AS185" s="480"/>
      <c r="AT185" s="477">
        <f t="shared" ca="1" si="88"/>
        <v>0</v>
      </c>
      <c r="AU185" s="475">
        <f t="shared" ca="1" si="89"/>
        <v>0</v>
      </c>
      <c r="AV185" s="480"/>
      <c r="AW185" s="477">
        <f t="shared" si="90"/>
        <v>0</v>
      </c>
      <c r="AX185" s="480"/>
      <c r="AY185" s="477">
        <f t="shared" si="91"/>
        <v>0</v>
      </c>
      <c r="AZ185" s="480"/>
      <c r="BA185" s="477">
        <f t="shared" si="92"/>
        <v>0</v>
      </c>
      <c r="BB185" s="480"/>
      <c r="BC185" s="850">
        <f t="shared" ca="1" si="93"/>
        <v>143029.75</v>
      </c>
    </row>
    <row r="186" spans="1:55" ht="42">
      <c r="A186" s="837" t="str">
        <f t="shared" ca="1" si="65"/>
        <v/>
      </c>
      <c r="B186" s="440">
        <v>180</v>
      </c>
      <c r="C186" s="834" t="str">
        <f t="shared" ca="1" si="66"/>
        <v>6.</v>
      </c>
      <c r="D186" s="1757" t="str">
        <f ca="1">IFERROR(VLOOKUP(LEFT(E186,4),Nom_activ_2!D:G,4,0),"")</f>
        <v>6.3.  Consolidarea capacităților resurselor umane implicate în controlul TB</v>
      </c>
      <c r="E186" s="1757" t="str">
        <f t="shared" ca="1" si="67"/>
        <v>6.3.1. Instruirea continuă a personalului din diferite servicii implicate in controlul TB, inclusiv și instruirea la distanță pe platforme digitale cu obținerea certificării</v>
      </c>
      <c r="F186" s="1777" t="str">
        <f t="shared" ca="1" si="95"/>
        <v>6.3.1.2. Contractare consultanti pentru revizuirea curiculei de studiu TB studenti, rezidenti, specialisti de alt profil.</v>
      </c>
      <c r="G186" s="839" t="str">
        <f t="shared" ca="1" si="95"/>
        <v>PAS</v>
      </c>
      <c r="H186" s="840" t="str">
        <f t="shared" ca="1" si="95"/>
        <v>GFATM</v>
      </c>
      <c r="I186" s="443" t="s">
        <v>3468</v>
      </c>
      <c r="J186" s="838" t="str">
        <f t="shared" si="68"/>
        <v>Sisteme_de_sanatate!$A:$j</v>
      </c>
      <c r="K186" s="475">
        <f t="shared" ca="1" si="69"/>
        <v>0</v>
      </c>
      <c r="L186" s="480"/>
      <c r="M186" s="477">
        <f t="shared" si="70"/>
        <v>0</v>
      </c>
      <c r="N186" s="480"/>
      <c r="O186" s="477">
        <f t="shared" si="71"/>
        <v>0</v>
      </c>
      <c r="P186" s="480"/>
      <c r="Q186" s="477">
        <f t="shared" si="72"/>
        <v>0</v>
      </c>
      <c r="R186" s="480"/>
      <c r="S186" s="477">
        <f t="shared" ca="1" si="73"/>
        <v>0</v>
      </c>
      <c r="T186" s="475">
        <f t="shared" ca="1" si="74"/>
        <v>40000</v>
      </c>
      <c r="U186" s="480"/>
      <c r="V186" s="477">
        <f t="shared" si="75"/>
        <v>0</v>
      </c>
      <c r="W186" s="480"/>
      <c r="X186" s="477">
        <f t="shared" si="76"/>
        <v>0</v>
      </c>
      <c r="Y186" s="480"/>
      <c r="Z186" s="477">
        <f t="shared" si="77"/>
        <v>0</v>
      </c>
      <c r="AA186" s="480"/>
      <c r="AB186" s="477">
        <f t="shared" ca="1" si="78"/>
        <v>40000</v>
      </c>
      <c r="AC186" s="475">
        <f t="shared" ca="1" si="79"/>
        <v>0</v>
      </c>
      <c r="AD186" s="480"/>
      <c r="AE186" s="477">
        <f t="shared" si="80"/>
        <v>0</v>
      </c>
      <c r="AF186" s="480"/>
      <c r="AG186" s="477">
        <f t="shared" si="81"/>
        <v>0</v>
      </c>
      <c r="AH186" s="480"/>
      <c r="AI186" s="477">
        <f t="shared" si="82"/>
        <v>0</v>
      </c>
      <c r="AJ186" s="480"/>
      <c r="AK186" s="477">
        <f t="shared" ca="1" si="83"/>
        <v>0</v>
      </c>
      <c r="AL186" s="475">
        <f t="shared" ca="1" si="84"/>
        <v>0</v>
      </c>
      <c r="AM186" s="480"/>
      <c r="AN186" s="477">
        <f t="shared" si="85"/>
        <v>0</v>
      </c>
      <c r="AO186" s="480"/>
      <c r="AP186" s="477">
        <f t="shared" si="86"/>
        <v>0</v>
      </c>
      <c r="AQ186" s="480"/>
      <c r="AR186" s="477">
        <f t="shared" si="87"/>
        <v>0</v>
      </c>
      <c r="AS186" s="480"/>
      <c r="AT186" s="477">
        <f t="shared" ca="1" si="88"/>
        <v>0</v>
      </c>
      <c r="AU186" s="475">
        <f t="shared" ca="1" si="89"/>
        <v>0</v>
      </c>
      <c r="AV186" s="480"/>
      <c r="AW186" s="477">
        <f t="shared" si="90"/>
        <v>0</v>
      </c>
      <c r="AX186" s="480"/>
      <c r="AY186" s="477">
        <f t="shared" si="91"/>
        <v>0</v>
      </c>
      <c r="AZ186" s="480"/>
      <c r="BA186" s="477">
        <f t="shared" si="92"/>
        <v>0</v>
      </c>
      <c r="BB186" s="480"/>
      <c r="BC186" s="850">
        <f t="shared" ca="1" si="93"/>
        <v>40000</v>
      </c>
    </row>
    <row r="187" spans="1:55" ht="42">
      <c r="A187" s="837" t="str">
        <f t="shared" ca="1" si="65"/>
        <v/>
      </c>
      <c r="B187" s="440">
        <v>181</v>
      </c>
      <c r="C187" s="834" t="str">
        <f t="shared" ca="1" si="66"/>
        <v>6.</v>
      </c>
      <c r="D187" s="1757" t="str">
        <f ca="1">IFERROR(VLOOKUP(LEFT(E187,4),Nom_activ_2!D:G,4,0),"")</f>
        <v>6.3.  Consolidarea capacităților resurselor umane implicate în controlul TB</v>
      </c>
      <c r="E187" s="1757" t="str">
        <f t="shared" ca="1" si="67"/>
        <v>6.3.1. Instruirea continuă a personalului din diferite servicii implicate in controlul TB, inclusiv și instruirea la distanță pe platforme digitale cu obținerea certificării</v>
      </c>
      <c r="F187" s="1777" t="str">
        <f t="shared" ref="F187:H206" ca="1" si="96">IFERROR(VLOOKUP($B187,INDIRECT($J187),F$5,0),0)</f>
        <v>6.3.1.3. Organizarea platformei de instruire on-line si telemedicina in cadrul IFP(inclusiv clinica Vorniceni, Bender)</v>
      </c>
      <c r="G187" s="839" t="str">
        <f t="shared" ca="1" si="96"/>
        <v>PAS</v>
      </c>
      <c r="H187" s="840" t="str">
        <f t="shared" ca="1" si="96"/>
        <v>GFATM</v>
      </c>
      <c r="I187" s="443" t="s">
        <v>3468</v>
      </c>
      <c r="J187" s="838" t="str">
        <f t="shared" si="68"/>
        <v>Sisteme_de_sanatate!$A:$j</v>
      </c>
      <c r="K187" s="475">
        <f t="shared" ca="1" si="69"/>
        <v>450000</v>
      </c>
      <c r="L187" s="480"/>
      <c r="M187" s="477">
        <f t="shared" si="70"/>
        <v>0</v>
      </c>
      <c r="N187" s="480"/>
      <c r="O187" s="477">
        <f t="shared" si="71"/>
        <v>0</v>
      </c>
      <c r="P187" s="480"/>
      <c r="Q187" s="477">
        <f t="shared" si="72"/>
        <v>0</v>
      </c>
      <c r="R187" s="480"/>
      <c r="S187" s="477">
        <f t="shared" ca="1" si="73"/>
        <v>450000</v>
      </c>
      <c r="T187" s="475">
        <f t="shared" ca="1" si="74"/>
        <v>0</v>
      </c>
      <c r="U187" s="480"/>
      <c r="V187" s="477">
        <f t="shared" si="75"/>
        <v>0</v>
      </c>
      <c r="W187" s="480"/>
      <c r="X187" s="477">
        <f t="shared" si="76"/>
        <v>0</v>
      </c>
      <c r="Y187" s="480"/>
      <c r="Z187" s="477">
        <f t="shared" si="77"/>
        <v>0</v>
      </c>
      <c r="AA187" s="480"/>
      <c r="AB187" s="477">
        <f t="shared" ca="1" si="78"/>
        <v>0</v>
      </c>
      <c r="AC187" s="475">
        <f t="shared" ca="1" si="79"/>
        <v>0</v>
      </c>
      <c r="AD187" s="480"/>
      <c r="AE187" s="477">
        <f t="shared" si="80"/>
        <v>0</v>
      </c>
      <c r="AF187" s="480"/>
      <c r="AG187" s="477">
        <f t="shared" si="81"/>
        <v>0</v>
      </c>
      <c r="AH187" s="480"/>
      <c r="AI187" s="477">
        <f t="shared" si="82"/>
        <v>0</v>
      </c>
      <c r="AJ187" s="480"/>
      <c r="AK187" s="477">
        <f t="shared" ca="1" si="83"/>
        <v>0</v>
      </c>
      <c r="AL187" s="475">
        <f t="shared" ca="1" si="84"/>
        <v>0</v>
      </c>
      <c r="AM187" s="480"/>
      <c r="AN187" s="477">
        <f t="shared" si="85"/>
        <v>0</v>
      </c>
      <c r="AO187" s="480"/>
      <c r="AP187" s="477">
        <f t="shared" si="86"/>
        <v>0</v>
      </c>
      <c r="AQ187" s="480"/>
      <c r="AR187" s="477">
        <f t="shared" si="87"/>
        <v>0</v>
      </c>
      <c r="AS187" s="480"/>
      <c r="AT187" s="477">
        <f t="shared" ca="1" si="88"/>
        <v>0</v>
      </c>
      <c r="AU187" s="475">
        <f t="shared" ca="1" si="89"/>
        <v>0</v>
      </c>
      <c r="AV187" s="480"/>
      <c r="AW187" s="477">
        <f t="shared" si="90"/>
        <v>0</v>
      </c>
      <c r="AX187" s="480"/>
      <c r="AY187" s="477">
        <f t="shared" si="91"/>
        <v>0</v>
      </c>
      <c r="AZ187" s="480"/>
      <c r="BA187" s="477">
        <f t="shared" si="92"/>
        <v>0</v>
      </c>
      <c r="BB187" s="480"/>
      <c r="BC187" s="850">
        <f t="shared" ca="1" si="93"/>
        <v>450000</v>
      </c>
    </row>
    <row r="188" spans="1:55" ht="42">
      <c r="A188" s="837" t="str">
        <f t="shared" ca="1" si="65"/>
        <v/>
      </c>
      <c r="B188" s="440">
        <v>182</v>
      </c>
      <c r="C188" s="834" t="str">
        <f t="shared" ca="1" si="66"/>
        <v>6.</v>
      </c>
      <c r="D188" s="1757" t="str">
        <f ca="1">IFERROR(VLOOKUP(LEFT(E188,4),Nom_activ_2!D:G,4,0),"")</f>
        <v>6.3.  Consolidarea capacităților resurselor umane implicate în controlul TB</v>
      </c>
      <c r="E188" s="1757" t="str">
        <f t="shared" ca="1" si="67"/>
        <v>6.3.1. Instruirea continuă a personalului din diferite servicii implicate in controlul TB, inclusiv și instruirea la distanță pe platforme digitale cu obținerea certificării</v>
      </c>
      <c r="F188" s="1777" t="str">
        <f t="shared" ca="1" si="96"/>
        <v>6.3.1.1. Dezvoltarea platformei e-learning prin adaptarea platformei on-line Moodle</v>
      </c>
      <c r="G188" s="839" t="str">
        <f t="shared" ca="1" si="96"/>
        <v>PAS</v>
      </c>
      <c r="H188" s="840" t="str">
        <f t="shared" ca="1" si="96"/>
        <v>GFATM</v>
      </c>
      <c r="I188" s="443" t="s">
        <v>3468</v>
      </c>
      <c r="J188" s="838" t="str">
        <f t="shared" si="68"/>
        <v>Sisteme_de_sanatate!$A:$j</v>
      </c>
      <c r="K188" s="475">
        <f t="shared" ca="1" si="69"/>
        <v>264453.15000000002</v>
      </c>
      <c r="L188" s="480"/>
      <c r="M188" s="477">
        <f t="shared" si="70"/>
        <v>0</v>
      </c>
      <c r="N188" s="480"/>
      <c r="O188" s="477">
        <f t="shared" si="71"/>
        <v>0</v>
      </c>
      <c r="P188" s="480"/>
      <c r="Q188" s="477">
        <f t="shared" si="72"/>
        <v>0</v>
      </c>
      <c r="R188" s="480"/>
      <c r="S188" s="477">
        <f t="shared" ca="1" si="73"/>
        <v>264453.15000000002</v>
      </c>
      <c r="T188" s="475">
        <f t="shared" ca="1" si="74"/>
        <v>0</v>
      </c>
      <c r="U188" s="480"/>
      <c r="V188" s="477">
        <f t="shared" si="75"/>
        <v>0</v>
      </c>
      <c r="W188" s="480"/>
      <c r="X188" s="477">
        <f t="shared" si="76"/>
        <v>0</v>
      </c>
      <c r="Y188" s="480"/>
      <c r="Z188" s="477">
        <f t="shared" si="77"/>
        <v>0</v>
      </c>
      <c r="AA188" s="480"/>
      <c r="AB188" s="477">
        <f t="shared" ca="1" si="78"/>
        <v>0</v>
      </c>
      <c r="AC188" s="475">
        <f t="shared" ca="1" si="79"/>
        <v>0</v>
      </c>
      <c r="AD188" s="480"/>
      <c r="AE188" s="477">
        <f t="shared" si="80"/>
        <v>0</v>
      </c>
      <c r="AF188" s="480"/>
      <c r="AG188" s="477">
        <f t="shared" si="81"/>
        <v>0</v>
      </c>
      <c r="AH188" s="480"/>
      <c r="AI188" s="477">
        <f t="shared" si="82"/>
        <v>0</v>
      </c>
      <c r="AJ188" s="480"/>
      <c r="AK188" s="477">
        <f t="shared" ca="1" si="83"/>
        <v>0</v>
      </c>
      <c r="AL188" s="475">
        <f t="shared" ca="1" si="84"/>
        <v>0</v>
      </c>
      <c r="AM188" s="480"/>
      <c r="AN188" s="477">
        <f t="shared" si="85"/>
        <v>0</v>
      </c>
      <c r="AO188" s="480"/>
      <c r="AP188" s="477">
        <f t="shared" si="86"/>
        <v>0</v>
      </c>
      <c r="AQ188" s="480"/>
      <c r="AR188" s="477">
        <f t="shared" si="87"/>
        <v>0</v>
      </c>
      <c r="AS188" s="480"/>
      <c r="AT188" s="477">
        <f t="shared" ca="1" si="88"/>
        <v>0</v>
      </c>
      <c r="AU188" s="475">
        <f t="shared" ca="1" si="89"/>
        <v>0</v>
      </c>
      <c r="AV188" s="480"/>
      <c r="AW188" s="477">
        <f t="shared" si="90"/>
        <v>0</v>
      </c>
      <c r="AX188" s="480"/>
      <c r="AY188" s="477">
        <f t="shared" si="91"/>
        <v>0</v>
      </c>
      <c r="AZ188" s="480"/>
      <c r="BA188" s="477">
        <f t="shared" si="92"/>
        <v>0</v>
      </c>
      <c r="BB188" s="480"/>
      <c r="BC188" s="850">
        <f t="shared" ca="1" si="93"/>
        <v>264453.15000000002</v>
      </c>
    </row>
    <row r="189" spans="1:55" ht="28">
      <c r="A189" s="837" t="str">
        <f t="shared" ca="1" si="65"/>
        <v/>
      </c>
      <c r="B189" s="440">
        <v>183</v>
      </c>
      <c r="C189" s="834" t="str">
        <f t="shared" ca="1" si="66"/>
        <v>6.</v>
      </c>
      <c r="D189" s="1757" t="str">
        <f ca="1">IFERROR(VLOOKUP(LEFT(E189,4),Nom_activ_2!D:G,4,0),"")</f>
        <v>6.3.  Consolidarea capacităților resurselor umane implicate în controlul TB</v>
      </c>
      <c r="E189" s="1757" t="str">
        <f t="shared" ca="1" si="67"/>
        <v>6.3.2. Instruirea prin rezidenţiat a specialiștilor în ftiziopneumologie</v>
      </c>
      <c r="F189" s="1777" t="str">
        <f t="shared" ca="1" si="96"/>
        <v>6.3.2.1. Instruirea prin rezidenţiat a specialiștilor în ftiziopneumologie</v>
      </c>
      <c r="G189" s="839">
        <f t="shared" ca="1" si="96"/>
        <v>0</v>
      </c>
      <c r="H189" s="840" t="str">
        <f t="shared" ca="1" si="96"/>
        <v>MMPSF</v>
      </c>
      <c r="I189" s="443" t="s">
        <v>3468</v>
      </c>
      <c r="J189" s="838" t="str">
        <f t="shared" si="68"/>
        <v>Sisteme_de_sanatate!$A:$j</v>
      </c>
      <c r="K189" s="475">
        <f t="shared" ca="1" si="69"/>
        <v>588371</v>
      </c>
      <c r="L189" s="480"/>
      <c r="M189" s="477">
        <f t="shared" si="70"/>
        <v>0</v>
      </c>
      <c r="N189" s="480"/>
      <c r="O189" s="477">
        <f t="shared" si="71"/>
        <v>0</v>
      </c>
      <c r="P189" s="480"/>
      <c r="Q189" s="477">
        <f t="shared" si="72"/>
        <v>0</v>
      </c>
      <c r="R189" s="480"/>
      <c r="S189" s="477">
        <f t="shared" ca="1" si="73"/>
        <v>588371</v>
      </c>
      <c r="T189" s="475">
        <f t="shared" ca="1" si="74"/>
        <v>588371</v>
      </c>
      <c r="U189" s="480"/>
      <c r="V189" s="477">
        <f t="shared" si="75"/>
        <v>0</v>
      </c>
      <c r="W189" s="480"/>
      <c r="X189" s="477">
        <f t="shared" si="76"/>
        <v>0</v>
      </c>
      <c r="Y189" s="480"/>
      <c r="Z189" s="477">
        <f t="shared" si="77"/>
        <v>0</v>
      </c>
      <c r="AA189" s="480"/>
      <c r="AB189" s="477">
        <f t="shared" ca="1" si="78"/>
        <v>588371</v>
      </c>
      <c r="AC189" s="475">
        <f t="shared" ca="1" si="79"/>
        <v>588371</v>
      </c>
      <c r="AD189" s="480"/>
      <c r="AE189" s="477">
        <f t="shared" si="80"/>
        <v>0</v>
      </c>
      <c r="AF189" s="480"/>
      <c r="AG189" s="477">
        <f t="shared" si="81"/>
        <v>0</v>
      </c>
      <c r="AH189" s="480"/>
      <c r="AI189" s="477">
        <f t="shared" si="82"/>
        <v>0</v>
      </c>
      <c r="AJ189" s="480"/>
      <c r="AK189" s="477">
        <f t="shared" ca="1" si="83"/>
        <v>588371</v>
      </c>
      <c r="AL189" s="475">
        <f t="shared" ca="1" si="84"/>
        <v>588371</v>
      </c>
      <c r="AM189" s="480"/>
      <c r="AN189" s="477">
        <f t="shared" si="85"/>
        <v>0</v>
      </c>
      <c r="AO189" s="480"/>
      <c r="AP189" s="477">
        <f t="shared" si="86"/>
        <v>0</v>
      </c>
      <c r="AQ189" s="480"/>
      <c r="AR189" s="477">
        <f t="shared" si="87"/>
        <v>0</v>
      </c>
      <c r="AS189" s="480"/>
      <c r="AT189" s="477">
        <f t="shared" ca="1" si="88"/>
        <v>588371</v>
      </c>
      <c r="AU189" s="475">
        <f t="shared" ca="1" si="89"/>
        <v>588371</v>
      </c>
      <c r="AV189" s="480"/>
      <c r="AW189" s="477">
        <f t="shared" si="90"/>
        <v>0</v>
      </c>
      <c r="AX189" s="480"/>
      <c r="AY189" s="477">
        <f t="shared" si="91"/>
        <v>0</v>
      </c>
      <c r="AZ189" s="480"/>
      <c r="BA189" s="477">
        <f t="shared" si="92"/>
        <v>0</v>
      </c>
      <c r="BB189" s="480"/>
      <c r="BC189" s="850">
        <f t="shared" ca="1" si="93"/>
        <v>2941855</v>
      </c>
    </row>
    <row r="190" spans="1:55" ht="28">
      <c r="A190" s="837" t="str">
        <f t="shared" ca="1" si="65"/>
        <v/>
      </c>
      <c r="B190" s="440">
        <v>184</v>
      </c>
      <c r="C190" s="834" t="str">
        <f t="shared" ca="1" si="66"/>
        <v>6.</v>
      </c>
      <c r="D190" s="1757" t="str">
        <f ca="1">IFERROR(VLOOKUP(LEFT(E190,4),Nom_activ_2!D:G,4,0),"")</f>
        <v>6.3.  Consolidarea capacităților resurselor umane implicate în controlul TB</v>
      </c>
      <c r="E190" s="1757" t="str">
        <f t="shared" ca="1" si="67"/>
        <v xml:space="preserve">6.3.3. Organizarea întrunirilor/instruirilor la nivel central și teritorial cu participarea părților implicate în controlul TB </v>
      </c>
      <c r="F190" s="1777" t="str">
        <f t="shared" ca="1" si="96"/>
        <v>6.3.3.1. Organziarea seminarelor zonale</v>
      </c>
      <c r="G190" s="839" t="str">
        <f t="shared" ca="1" si="96"/>
        <v>PAS</v>
      </c>
      <c r="H190" s="840" t="str">
        <f t="shared" ca="1" si="96"/>
        <v>GFATM</v>
      </c>
      <c r="I190" s="443" t="s">
        <v>3468</v>
      </c>
      <c r="J190" s="838" t="str">
        <f t="shared" si="68"/>
        <v>Sisteme_de_sanatate!$A:$j</v>
      </c>
      <c r="K190" s="475">
        <f t="shared" ca="1" si="69"/>
        <v>419440</v>
      </c>
      <c r="L190" s="480"/>
      <c r="M190" s="477">
        <f t="shared" si="70"/>
        <v>0</v>
      </c>
      <c r="N190" s="480"/>
      <c r="O190" s="477">
        <f t="shared" si="71"/>
        <v>0</v>
      </c>
      <c r="P190" s="480"/>
      <c r="Q190" s="477">
        <f t="shared" si="72"/>
        <v>0</v>
      </c>
      <c r="R190" s="480"/>
      <c r="S190" s="477">
        <f t="shared" ca="1" si="73"/>
        <v>419440</v>
      </c>
      <c r="T190" s="475">
        <f t="shared" ca="1" si="74"/>
        <v>419440</v>
      </c>
      <c r="U190" s="480"/>
      <c r="V190" s="477">
        <f t="shared" si="75"/>
        <v>0</v>
      </c>
      <c r="W190" s="480"/>
      <c r="X190" s="477">
        <f t="shared" si="76"/>
        <v>0</v>
      </c>
      <c r="Y190" s="480"/>
      <c r="Z190" s="477">
        <f t="shared" si="77"/>
        <v>0</v>
      </c>
      <c r="AA190" s="480"/>
      <c r="AB190" s="477">
        <f t="shared" ca="1" si="78"/>
        <v>419440</v>
      </c>
      <c r="AC190" s="475">
        <f t="shared" ca="1" si="79"/>
        <v>419440</v>
      </c>
      <c r="AD190" s="480"/>
      <c r="AE190" s="477">
        <f t="shared" si="80"/>
        <v>0</v>
      </c>
      <c r="AF190" s="480"/>
      <c r="AG190" s="477">
        <f t="shared" si="81"/>
        <v>0</v>
      </c>
      <c r="AH190" s="480"/>
      <c r="AI190" s="477">
        <f t="shared" si="82"/>
        <v>0</v>
      </c>
      <c r="AJ190" s="480"/>
      <c r="AK190" s="477">
        <f t="shared" ca="1" si="83"/>
        <v>419440</v>
      </c>
      <c r="AL190" s="475">
        <f t="shared" ca="1" si="84"/>
        <v>0</v>
      </c>
      <c r="AM190" s="480"/>
      <c r="AN190" s="477">
        <f t="shared" si="85"/>
        <v>0</v>
      </c>
      <c r="AO190" s="480"/>
      <c r="AP190" s="477">
        <f t="shared" si="86"/>
        <v>0</v>
      </c>
      <c r="AQ190" s="480"/>
      <c r="AR190" s="477">
        <f t="shared" si="87"/>
        <v>0</v>
      </c>
      <c r="AS190" s="480"/>
      <c r="AT190" s="477">
        <f t="shared" ca="1" si="88"/>
        <v>0</v>
      </c>
      <c r="AU190" s="475">
        <f t="shared" ca="1" si="89"/>
        <v>0</v>
      </c>
      <c r="AV190" s="480"/>
      <c r="AW190" s="477">
        <f t="shared" si="90"/>
        <v>0</v>
      </c>
      <c r="AX190" s="480"/>
      <c r="AY190" s="477">
        <f t="shared" si="91"/>
        <v>0</v>
      </c>
      <c r="AZ190" s="480"/>
      <c r="BA190" s="477">
        <f t="shared" si="92"/>
        <v>0</v>
      </c>
      <c r="BB190" s="480"/>
      <c r="BC190" s="850">
        <f t="shared" ca="1" si="93"/>
        <v>1258320</v>
      </c>
    </row>
    <row r="191" spans="1:55" ht="42">
      <c r="A191" s="837" t="str">
        <f t="shared" ca="1" si="65"/>
        <v/>
      </c>
      <c r="B191" s="440">
        <v>185</v>
      </c>
      <c r="C191" s="834" t="str">
        <f t="shared" si="66"/>
        <v>6.</v>
      </c>
      <c r="D191" s="1757" t="str">
        <f>IFERROR(VLOOKUP(LEFT(E191,4),Nom_activ_2!D:G,4,0),"")</f>
        <v>6.3.  Consolidarea capacităților resurselor umane implicate în controlul TB</v>
      </c>
      <c r="E191" s="1757" t="s">
        <v>3490</v>
      </c>
      <c r="F191" s="1777" t="str">
        <f t="shared" ca="1" si="96"/>
        <v>6.3.5.1. Instruirea în activități de control TB a personalului, care prestează servicii nemedicale  - OSC, outreach și de la egal la egal, psihologii si managerii de caz, suporterii prin training-uri.</v>
      </c>
      <c r="G191" s="839" t="str">
        <f t="shared" ca="1" si="96"/>
        <v>PAS</v>
      </c>
      <c r="H191" s="840" t="str">
        <f t="shared" ca="1" si="96"/>
        <v>GFATM</v>
      </c>
      <c r="I191" s="443" t="s">
        <v>3468</v>
      </c>
      <c r="J191" s="838" t="str">
        <f t="shared" si="68"/>
        <v>Sisteme_de_sanatate!$A:$j</v>
      </c>
      <c r="K191" s="475">
        <f t="shared" ca="1" si="69"/>
        <v>70192</v>
      </c>
      <c r="L191" s="480"/>
      <c r="M191" s="477">
        <f t="shared" si="70"/>
        <v>0</v>
      </c>
      <c r="N191" s="480"/>
      <c r="O191" s="477">
        <f t="shared" si="71"/>
        <v>0</v>
      </c>
      <c r="P191" s="480"/>
      <c r="Q191" s="477">
        <f t="shared" si="72"/>
        <v>0</v>
      </c>
      <c r="R191" s="480"/>
      <c r="S191" s="477">
        <f t="shared" ca="1" si="73"/>
        <v>70192</v>
      </c>
      <c r="T191" s="475">
        <f t="shared" ca="1" si="74"/>
        <v>70192</v>
      </c>
      <c r="U191" s="480"/>
      <c r="V191" s="477">
        <f t="shared" si="75"/>
        <v>0</v>
      </c>
      <c r="W191" s="480"/>
      <c r="X191" s="477">
        <f t="shared" si="76"/>
        <v>0</v>
      </c>
      <c r="Y191" s="480"/>
      <c r="Z191" s="477">
        <f t="shared" si="77"/>
        <v>0</v>
      </c>
      <c r="AA191" s="480"/>
      <c r="AB191" s="477">
        <f t="shared" ca="1" si="78"/>
        <v>70192</v>
      </c>
      <c r="AC191" s="475">
        <f t="shared" ca="1" si="79"/>
        <v>70192</v>
      </c>
      <c r="AD191" s="480"/>
      <c r="AE191" s="477">
        <f t="shared" si="80"/>
        <v>0</v>
      </c>
      <c r="AF191" s="480"/>
      <c r="AG191" s="477">
        <f t="shared" si="81"/>
        <v>0</v>
      </c>
      <c r="AH191" s="480"/>
      <c r="AI191" s="477">
        <f t="shared" si="82"/>
        <v>0</v>
      </c>
      <c r="AJ191" s="480"/>
      <c r="AK191" s="477">
        <f t="shared" ca="1" si="83"/>
        <v>70192</v>
      </c>
      <c r="AL191" s="475">
        <f t="shared" ca="1" si="84"/>
        <v>0</v>
      </c>
      <c r="AM191" s="480"/>
      <c r="AN191" s="477">
        <f t="shared" si="85"/>
        <v>0</v>
      </c>
      <c r="AO191" s="480"/>
      <c r="AP191" s="477">
        <f t="shared" si="86"/>
        <v>0</v>
      </c>
      <c r="AQ191" s="480"/>
      <c r="AR191" s="477">
        <f t="shared" si="87"/>
        <v>0</v>
      </c>
      <c r="AS191" s="480"/>
      <c r="AT191" s="477">
        <f t="shared" ca="1" si="88"/>
        <v>0</v>
      </c>
      <c r="AU191" s="475">
        <f t="shared" ca="1" si="89"/>
        <v>0</v>
      </c>
      <c r="AV191" s="480"/>
      <c r="AW191" s="477">
        <f t="shared" si="90"/>
        <v>0</v>
      </c>
      <c r="AX191" s="480"/>
      <c r="AY191" s="477">
        <f t="shared" si="91"/>
        <v>0</v>
      </c>
      <c r="AZ191" s="480"/>
      <c r="BA191" s="477">
        <f t="shared" si="92"/>
        <v>0</v>
      </c>
      <c r="BB191" s="480"/>
      <c r="BC191" s="850">
        <f t="shared" ca="1" si="93"/>
        <v>210576</v>
      </c>
    </row>
    <row r="192" spans="1:55" ht="42">
      <c r="A192" s="837" t="str">
        <f t="shared" ca="1" si="65"/>
        <v/>
      </c>
      <c r="B192" s="440">
        <v>186</v>
      </c>
      <c r="C192" s="834" t="str">
        <f t="shared" si="66"/>
        <v>6.</v>
      </c>
      <c r="D192" s="1757" t="str">
        <f>IFERROR(VLOOKUP(LEFT(E192,4),Nom_activ_2!D:G,4,0),"")</f>
        <v>6.3.  Consolidarea capacităților resurselor umane implicate în controlul TB</v>
      </c>
      <c r="E192" s="1757" t="s">
        <v>3490</v>
      </c>
      <c r="F192" s="1777" t="str">
        <f t="shared" ca="1" si="96"/>
        <v>6.3.5.2. Instruirea în activități de control TB a personalului, care prestează servicii nemedicale  - OSC, outreach și de la egal la egal, psihologii si managerii de caz, suporterii prin training-uri peste hotarele tarii</v>
      </c>
      <c r="G192" s="839" t="str">
        <f t="shared" ca="1" si="96"/>
        <v>PAS</v>
      </c>
      <c r="H192" s="840" t="str">
        <f t="shared" ca="1" si="96"/>
        <v>GFATM</v>
      </c>
      <c r="I192" s="443" t="s">
        <v>3468</v>
      </c>
      <c r="J192" s="838" t="str">
        <f t="shared" si="68"/>
        <v>Sisteme_de_sanatate!$A:$j</v>
      </c>
      <c r="K192" s="475">
        <f t="shared" ca="1" si="69"/>
        <v>80987.813081489992</v>
      </c>
      <c r="L192" s="480"/>
      <c r="M192" s="477">
        <f t="shared" si="70"/>
        <v>0</v>
      </c>
      <c r="N192" s="480"/>
      <c r="O192" s="477">
        <f t="shared" si="71"/>
        <v>0</v>
      </c>
      <c r="P192" s="480"/>
      <c r="Q192" s="477">
        <f t="shared" si="72"/>
        <v>0</v>
      </c>
      <c r="R192" s="480"/>
      <c r="S192" s="477">
        <f t="shared" ca="1" si="73"/>
        <v>80987.813081489992</v>
      </c>
      <c r="T192" s="475">
        <f t="shared" ca="1" si="74"/>
        <v>80987.813081489992</v>
      </c>
      <c r="U192" s="480"/>
      <c r="V192" s="477">
        <f t="shared" si="75"/>
        <v>0</v>
      </c>
      <c r="W192" s="480"/>
      <c r="X192" s="477">
        <f t="shared" si="76"/>
        <v>0</v>
      </c>
      <c r="Y192" s="480"/>
      <c r="Z192" s="477">
        <f t="shared" si="77"/>
        <v>0</v>
      </c>
      <c r="AA192" s="480"/>
      <c r="AB192" s="477">
        <f t="shared" ca="1" si="78"/>
        <v>80987.813081489992</v>
      </c>
      <c r="AC192" s="475">
        <f t="shared" ca="1" si="79"/>
        <v>80987.813081489992</v>
      </c>
      <c r="AD192" s="480"/>
      <c r="AE192" s="477">
        <f t="shared" si="80"/>
        <v>0</v>
      </c>
      <c r="AF192" s="480"/>
      <c r="AG192" s="477">
        <f t="shared" si="81"/>
        <v>0</v>
      </c>
      <c r="AH192" s="480"/>
      <c r="AI192" s="477">
        <f t="shared" si="82"/>
        <v>0</v>
      </c>
      <c r="AJ192" s="480"/>
      <c r="AK192" s="477">
        <f t="shared" ca="1" si="83"/>
        <v>80987.813081489992</v>
      </c>
      <c r="AL192" s="475">
        <f t="shared" ca="1" si="84"/>
        <v>0</v>
      </c>
      <c r="AM192" s="480"/>
      <c r="AN192" s="477">
        <f t="shared" si="85"/>
        <v>0</v>
      </c>
      <c r="AO192" s="480"/>
      <c r="AP192" s="477">
        <f t="shared" si="86"/>
        <v>0</v>
      </c>
      <c r="AQ192" s="480"/>
      <c r="AR192" s="477">
        <f t="shared" si="87"/>
        <v>0</v>
      </c>
      <c r="AS192" s="480"/>
      <c r="AT192" s="477">
        <f t="shared" ca="1" si="88"/>
        <v>0</v>
      </c>
      <c r="AU192" s="475">
        <f t="shared" ca="1" si="89"/>
        <v>0</v>
      </c>
      <c r="AV192" s="480"/>
      <c r="AW192" s="477">
        <f t="shared" si="90"/>
        <v>0</v>
      </c>
      <c r="AX192" s="480"/>
      <c r="AY192" s="477">
        <f t="shared" si="91"/>
        <v>0</v>
      </c>
      <c r="AZ192" s="480"/>
      <c r="BA192" s="477">
        <f t="shared" si="92"/>
        <v>0</v>
      </c>
      <c r="BB192" s="480"/>
      <c r="BC192" s="850">
        <f t="shared" ca="1" si="93"/>
        <v>242963.43924446998</v>
      </c>
    </row>
    <row r="193" spans="1:55" ht="28">
      <c r="A193" s="837" t="str">
        <f t="shared" ca="1" si="65"/>
        <v/>
      </c>
      <c r="B193" s="440">
        <v>187</v>
      </c>
      <c r="C193" s="834" t="str">
        <f t="shared" ca="1" si="66"/>
        <v>6.</v>
      </c>
      <c r="D193" s="1757" t="str">
        <f ca="1">IFERROR(VLOOKUP(LEFT(E193,4),Nom_activ_2!D:G,4,0),"")</f>
        <v>6.3.  Consolidarea capacităților resurselor umane implicate în controlul TB</v>
      </c>
      <c r="E193" s="1757" t="str">
        <f t="shared" ca="1" si="67"/>
        <v>6.3.6. Planificarea resurselor umane termen mediu și lung în baza abordării pe necesități</v>
      </c>
      <c r="F193" s="1777" t="str">
        <f t="shared" ca="1" si="96"/>
        <v>6.3.6.1. Consultant in planificarea resurselor umane termen mediu și lung în baza abordării pe necesități</v>
      </c>
      <c r="G193" s="839" t="str">
        <f t="shared" ca="1" si="96"/>
        <v>PAS</v>
      </c>
      <c r="H193" s="840" t="str">
        <f t="shared" ca="1" si="96"/>
        <v>GFATM</v>
      </c>
      <c r="I193" s="443" t="s">
        <v>3468</v>
      </c>
      <c r="J193" s="838" t="str">
        <f t="shared" si="68"/>
        <v>Sisteme_de_sanatate!$A:$j</v>
      </c>
      <c r="K193" s="475">
        <f t="shared" ca="1" si="69"/>
        <v>20000</v>
      </c>
      <c r="L193" s="480"/>
      <c r="M193" s="477">
        <f t="shared" si="70"/>
        <v>0</v>
      </c>
      <c r="N193" s="480"/>
      <c r="O193" s="477">
        <f t="shared" si="71"/>
        <v>0</v>
      </c>
      <c r="P193" s="480"/>
      <c r="Q193" s="477">
        <f t="shared" si="72"/>
        <v>0</v>
      </c>
      <c r="R193" s="480"/>
      <c r="S193" s="477">
        <f t="shared" ca="1" si="73"/>
        <v>20000</v>
      </c>
      <c r="T193" s="475">
        <f t="shared" ca="1" si="74"/>
        <v>0</v>
      </c>
      <c r="U193" s="480"/>
      <c r="V193" s="477">
        <f t="shared" si="75"/>
        <v>0</v>
      </c>
      <c r="W193" s="480"/>
      <c r="X193" s="477">
        <f t="shared" si="76"/>
        <v>0</v>
      </c>
      <c r="Y193" s="480"/>
      <c r="Z193" s="477">
        <f t="shared" si="77"/>
        <v>0</v>
      </c>
      <c r="AA193" s="480"/>
      <c r="AB193" s="477">
        <f t="shared" ca="1" si="78"/>
        <v>0</v>
      </c>
      <c r="AC193" s="475">
        <f t="shared" ca="1" si="79"/>
        <v>0</v>
      </c>
      <c r="AD193" s="480"/>
      <c r="AE193" s="477">
        <f t="shared" si="80"/>
        <v>0</v>
      </c>
      <c r="AF193" s="480"/>
      <c r="AG193" s="477">
        <f t="shared" si="81"/>
        <v>0</v>
      </c>
      <c r="AH193" s="480"/>
      <c r="AI193" s="477">
        <f t="shared" si="82"/>
        <v>0</v>
      </c>
      <c r="AJ193" s="480"/>
      <c r="AK193" s="477">
        <f t="shared" ca="1" si="83"/>
        <v>0</v>
      </c>
      <c r="AL193" s="475">
        <f t="shared" ca="1" si="84"/>
        <v>0</v>
      </c>
      <c r="AM193" s="480"/>
      <c r="AN193" s="477">
        <f t="shared" si="85"/>
        <v>0</v>
      </c>
      <c r="AO193" s="480"/>
      <c r="AP193" s="477">
        <f t="shared" si="86"/>
        <v>0</v>
      </c>
      <c r="AQ193" s="480"/>
      <c r="AR193" s="477">
        <f t="shared" si="87"/>
        <v>0</v>
      </c>
      <c r="AS193" s="480"/>
      <c r="AT193" s="477">
        <f t="shared" ca="1" si="88"/>
        <v>0</v>
      </c>
      <c r="AU193" s="475">
        <f t="shared" ca="1" si="89"/>
        <v>0</v>
      </c>
      <c r="AV193" s="480"/>
      <c r="AW193" s="477">
        <f t="shared" si="90"/>
        <v>0</v>
      </c>
      <c r="AX193" s="480"/>
      <c r="AY193" s="477">
        <f t="shared" si="91"/>
        <v>0</v>
      </c>
      <c r="AZ193" s="480"/>
      <c r="BA193" s="477">
        <f t="shared" si="92"/>
        <v>0</v>
      </c>
      <c r="BB193" s="480"/>
      <c r="BC193" s="850">
        <f t="shared" ca="1" si="93"/>
        <v>20000</v>
      </c>
    </row>
    <row r="194" spans="1:55" ht="70">
      <c r="A194" s="837" t="str">
        <f t="shared" ca="1" si="65"/>
        <v/>
      </c>
      <c r="B194" s="440">
        <v>188</v>
      </c>
      <c r="C194" s="834" t="str">
        <f t="shared" ca="1" si="66"/>
        <v>6.</v>
      </c>
      <c r="D194" s="1757" t="str">
        <f ca="1">IFERROR(VLOOKUP(LEFT(E194,4),Nom_activ_2!D:G,4,0),"")</f>
        <v>6.5.  Fortificarea implicării comunității și OSC în controlul TB prin abordare centrată pe persoană</v>
      </c>
      <c r="E194" s="1757" t="str">
        <f t="shared" ca="1" si="67"/>
        <v>6.5.1. Elaborarea și implementarea mecanismelor de contractare în cadrul fondurilor de stat sau a altor mecanisme de finanțare relevante pentru OSC-uri pentru asigurarea oferirii suportului psihosocial și serviciilor de depistarea activă a TB</v>
      </c>
      <c r="F194" s="1777" t="str">
        <f t="shared" ca="1" si="96"/>
        <v>6.5.1.1. Consultant elaborare și implementare a mecanismelor de contractare în cadrul fondurilor de stat sau a altor mecanisme de finanțare relevante pentru OSC-uri .</v>
      </c>
      <c r="G194" s="839" t="str">
        <f t="shared" ca="1" si="96"/>
        <v>PAS</v>
      </c>
      <c r="H194" s="840" t="str">
        <f t="shared" ca="1" si="96"/>
        <v>GFATM</v>
      </c>
      <c r="I194" s="443" t="s">
        <v>3468</v>
      </c>
      <c r="J194" s="838" t="str">
        <f t="shared" si="68"/>
        <v>Sisteme_de_sanatate!$A:$j</v>
      </c>
      <c r="K194" s="475">
        <f t="shared" ca="1" si="69"/>
        <v>0</v>
      </c>
      <c r="L194" s="480"/>
      <c r="M194" s="477">
        <f t="shared" si="70"/>
        <v>0</v>
      </c>
      <c r="N194" s="480"/>
      <c r="O194" s="477">
        <f t="shared" si="71"/>
        <v>0</v>
      </c>
      <c r="P194" s="480"/>
      <c r="Q194" s="477">
        <f t="shared" si="72"/>
        <v>0</v>
      </c>
      <c r="R194" s="480"/>
      <c r="S194" s="477">
        <f t="shared" ca="1" si="73"/>
        <v>0</v>
      </c>
      <c r="T194" s="475">
        <f t="shared" ca="1" si="74"/>
        <v>40000</v>
      </c>
      <c r="U194" s="480"/>
      <c r="V194" s="477">
        <f t="shared" si="75"/>
        <v>0</v>
      </c>
      <c r="W194" s="480"/>
      <c r="X194" s="477">
        <f t="shared" si="76"/>
        <v>0</v>
      </c>
      <c r="Y194" s="480"/>
      <c r="Z194" s="477">
        <f t="shared" si="77"/>
        <v>0</v>
      </c>
      <c r="AA194" s="480"/>
      <c r="AB194" s="477">
        <f t="shared" ca="1" si="78"/>
        <v>40000</v>
      </c>
      <c r="AC194" s="475">
        <f t="shared" ca="1" si="79"/>
        <v>0</v>
      </c>
      <c r="AD194" s="480"/>
      <c r="AE194" s="477">
        <f t="shared" si="80"/>
        <v>0</v>
      </c>
      <c r="AF194" s="480"/>
      <c r="AG194" s="477">
        <f t="shared" si="81"/>
        <v>0</v>
      </c>
      <c r="AH194" s="480"/>
      <c r="AI194" s="477">
        <f t="shared" si="82"/>
        <v>0</v>
      </c>
      <c r="AJ194" s="480"/>
      <c r="AK194" s="477">
        <f t="shared" ca="1" si="83"/>
        <v>0</v>
      </c>
      <c r="AL194" s="475">
        <f t="shared" ca="1" si="84"/>
        <v>0</v>
      </c>
      <c r="AM194" s="480"/>
      <c r="AN194" s="477">
        <f t="shared" si="85"/>
        <v>0</v>
      </c>
      <c r="AO194" s="480"/>
      <c r="AP194" s="477">
        <f t="shared" si="86"/>
        <v>0</v>
      </c>
      <c r="AQ194" s="480"/>
      <c r="AR194" s="477">
        <f t="shared" si="87"/>
        <v>0</v>
      </c>
      <c r="AS194" s="480"/>
      <c r="AT194" s="477">
        <f t="shared" ca="1" si="88"/>
        <v>0</v>
      </c>
      <c r="AU194" s="475">
        <f t="shared" ca="1" si="89"/>
        <v>0</v>
      </c>
      <c r="AV194" s="480"/>
      <c r="AW194" s="477">
        <f t="shared" si="90"/>
        <v>0</v>
      </c>
      <c r="AX194" s="480"/>
      <c r="AY194" s="477">
        <f t="shared" si="91"/>
        <v>0</v>
      </c>
      <c r="AZ194" s="480"/>
      <c r="BA194" s="477">
        <f t="shared" si="92"/>
        <v>0</v>
      </c>
      <c r="BB194" s="480"/>
      <c r="BC194" s="850">
        <f t="shared" ca="1" si="93"/>
        <v>40000</v>
      </c>
    </row>
    <row r="195" spans="1:55" ht="56">
      <c r="A195" s="837" t="str">
        <f t="shared" ca="1" si="65"/>
        <v/>
      </c>
      <c r="B195" s="440">
        <v>189</v>
      </c>
      <c r="C195" s="834" t="str">
        <f t="shared" ca="1" si="66"/>
        <v>6.</v>
      </c>
      <c r="D195" s="1757" t="str">
        <f ca="1">IFERROR(VLOOKUP(LEFT(E195,4),Nom_activ_2!D:G,4,0),"")</f>
        <v>6.5.  Fortificarea implicării comunității și OSC în controlul TB prin abordare centrată pe persoană</v>
      </c>
      <c r="E195" s="1757" t="str">
        <f t="shared" ca="1" si="67"/>
        <v>6.5.2. Realizarea activităților prin granturi mici pentru educare, informare, intervenții pentru creșterea aderenței la tratament, acompanierea și suportul persoanelor care au finalizat tratamentul pentru prevenirea recidivelor.</v>
      </c>
      <c r="F195" s="1777" t="str">
        <f t="shared" ca="1" si="96"/>
        <v>6.5.2.1. Realizarea activităților prin granturi mici pentru educare, informare, intervenții pentru creșterea aderenței (Malul Drept)</v>
      </c>
      <c r="G195" s="839" t="str">
        <f t="shared" ca="1" si="96"/>
        <v>(NGO)</v>
      </c>
      <c r="H195" s="840" t="str">
        <f t="shared" ca="1" si="96"/>
        <v>GFATM</v>
      </c>
      <c r="I195" s="443" t="s">
        <v>3628</v>
      </c>
      <c r="J195" s="838" t="str">
        <f t="shared" si="68"/>
        <v>ONG_TB!$A:$j</v>
      </c>
      <c r="K195" s="475">
        <f t="shared" ca="1" si="69"/>
        <v>1392933.9100000001</v>
      </c>
      <c r="L195" s="480"/>
      <c r="M195" s="477">
        <f t="shared" si="70"/>
        <v>0</v>
      </c>
      <c r="N195" s="480"/>
      <c r="O195" s="477">
        <f t="shared" si="71"/>
        <v>0</v>
      </c>
      <c r="P195" s="480"/>
      <c r="Q195" s="477">
        <f t="shared" si="72"/>
        <v>0</v>
      </c>
      <c r="R195" s="480"/>
      <c r="S195" s="477">
        <f t="shared" ca="1" si="73"/>
        <v>1392933.9100000001</v>
      </c>
      <c r="T195" s="475">
        <f t="shared" ca="1" si="74"/>
        <v>1687902.75</v>
      </c>
      <c r="U195" s="480"/>
      <c r="V195" s="477">
        <f t="shared" si="75"/>
        <v>0</v>
      </c>
      <c r="W195" s="480"/>
      <c r="X195" s="477">
        <f t="shared" si="76"/>
        <v>0</v>
      </c>
      <c r="Y195" s="480"/>
      <c r="Z195" s="477">
        <f t="shared" si="77"/>
        <v>0</v>
      </c>
      <c r="AA195" s="480"/>
      <c r="AB195" s="477">
        <f t="shared" ca="1" si="78"/>
        <v>1687902.75</v>
      </c>
      <c r="AC195" s="475">
        <f t="shared" ca="1" si="79"/>
        <v>1961694.2200000002</v>
      </c>
      <c r="AD195" s="480"/>
      <c r="AE195" s="477">
        <f t="shared" si="80"/>
        <v>0</v>
      </c>
      <c r="AF195" s="480"/>
      <c r="AG195" s="477">
        <f t="shared" si="81"/>
        <v>0</v>
      </c>
      <c r="AH195" s="480"/>
      <c r="AI195" s="477">
        <f t="shared" si="82"/>
        <v>0</v>
      </c>
      <c r="AJ195" s="480"/>
      <c r="AK195" s="477">
        <f t="shared" ca="1" si="83"/>
        <v>1961694.2200000002</v>
      </c>
      <c r="AL195" s="475">
        <f t="shared" ca="1" si="84"/>
        <v>0</v>
      </c>
      <c r="AM195" s="480"/>
      <c r="AN195" s="477">
        <f t="shared" si="85"/>
        <v>0</v>
      </c>
      <c r="AO195" s="480"/>
      <c r="AP195" s="477">
        <f t="shared" si="86"/>
        <v>0</v>
      </c>
      <c r="AQ195" s="480"/>
      <c r="AR195" s="477">
        <f t="shared" si="87"/>
        <v>0</v>
      </c>
      <c r="AS195" s="480"/>
      <c r="AT195" s="477">
        <f t="shared" ca="1" si="88"/>
        <v>0</v>
      </c>
      <c r="AU195" s="475">
        <f t="shared" ca="1" si="89"/>
        <v>0</v>
      </c>
      <c r="AV195" s="480"/>
      <c r="AW195" s="477">
        <f t="shared" si="90"/>
        <v>0</v>
      </c>
      <c r="AX195" s="480"/>
      <c r="AY195" s="477">
        <f t="shared" si="91"/>
        <v>0</v>
      </c>
      <c r="AZ195" s="480"/>
      <c r="BA195" s="477">
        <f t="shared" si="92"/>
        <v>0</v>
      </c>
      <c r="BB195" s="480"/>
      <c r="BC195" s="850">
        <f t="shared" ca="1" si="93"/>
        <v>5042530.8800000008</v>
      </c>
    </row>
    <row r="196" spans="1:55" ht="56">
      <c r="A196" s="837" t="str">
        <f t="shared" ca="1" si="65"/>
        <v/>
      </c>
      <c r="B196" s="440">
        <v>190</v>
      </c>
      <c r="C196" s="834" t="str">
        <f t="shared" ca="1" si="66"/>
        <v>6.</v>
      </c>
      <c r="D196" s="1757" t="str">
        <f ca="1">IFERROR(VLOOKUP(LEFT(E196,4),Nom_activ_2!D:G,4,0),"")</f>
        <v>6.5.  Fortificarea implicării comunității și OSC în controlul TB prin abordare centrată pe persoană</v>
      </c>
      <c r="E196" s="1757" t="str">
        <f t="shared" ca="1" si="67"/>
        <v>6.5.2. Realizarea activităților prin granturi mici pentru educare, informare, intervenții pentru creșterea aderenței la tratament, acompanierea și suportul persoanelor care au finalizat tratamentul pentru prevenirea recidivelor.</v>
      </c>
      <c r="F196" s="1777" t="str">
        <f t="shared" ca="1" si="96"/>
        <v>6.5.2.1. Realizarea activităților prin granturi mici pentru educare, informare, intervenții pentru creșterea aderenței (Malul Drept)</v>
      </c>
      <c r="G196" s="839">
        <f t="shared" ca="1" si="96"/>
        <v>0</v>
      </c>
      <c r="H196" s="840" t="str">
        <f t="shared" ca="1" si="96"/>
        <v>CNAM</v>
      </c>
      <c r="I196" s="443" t="s">
        <v>3628</v>
      </c>
      <c r="J196" s="838" t="str">
        <f t="shared" si="68"/>
        <v>ONG_TB!$A:$j</v>
      </c>
      <c r="K196" s="475">
        <f t="shared" ca="1" si="69"/>
        <v>0</v>
      </c>
      <c r="L196" s="480"/>
      <c r="M196" s="477">
        <f t="shared" si="70"/>
        <v>0</v>
      </c>
      <c r="N196" s="480"/>
      <c r="O196" s="477">
        <f t="shared" si="71"/>
        <v>0</v>
      </c>
      <c r="P196" s="480"/>
      <c r="Q196" s="477">
        <f t="shared" si="72"/>
        <v>0</v>
      </c>
      <c r="R196" s="480"/>
      <c r="S196" s="477">
        <f t="shared" ca="1" si="73"/>
        <v>0</v>
      </c>
      <c r="T196" s="475">
        <f t="shared" ca="1" si="74"/>
        <v>0</v>
      </c>
      <c r="U196" s="480"/>
      <c r="V196" s="477">
        <f t="shared" si="75"/>
        <v>0</v>
      </c>
      <c r="W196" s="480"/>
      <c r="X196" s="477">
        <f t="shared" si="76"/>
        <v>0</v>
      </c>
      <c r="Y196" s="480"/>
      <c r="Z196" s="477">
        <f t="shared" si="77"/>
        <v>0</v>
      </c>
      <c r="AA196" s="480"/>
      <c r="AB196" s="477">
        <f t="shared" ca="1" si="78"/>
        <v>0</v>
      </c>
      <c r="AC196" s="475">
        <f t="shared" ca="1" si="79"/>
        <v>0</v>
      </c>
      <c r="AD196" s="480"/>
      <c r="AE196" s="477">
        <f t="shared" si="80"/>
        <v>0</v>
      </c>
      <c r="AF196" s="480"/>
      <c r="AG196" s="477">
        <f t="shared" si="81"/>
        <v>0</v>
      </c>
      <c r="AH196" s="480"/>
      <c r="AI196" s="477">
        <f t="shared" si="82"/>
        <v>0</v>
      </c>
      <c r="AJ196" s="480"/>
      <c r="AK196" s="477">
        <f t="shared" ca="1" si="83"/>
        <v>0</v>
      </c>
      <c r="AL196" s="475">
        <f t="shared" ca="1" si="84"/>
        <v>1901603.7250000001</v>
      </c>
      <c r="AM196" s="480"/>
      <c r="AN196" s="477">
        <f t="shared" si="85"/>
        <v>0</v>
      </c>
      <c r="AO196" s="480"/>
      <c r="AP196" s="477">
        <f t="shared" si="86"/>
        <v>0</v>
      </c>
      <c r="AQ196" s="480"/>
      <c r="AR196" s="477">
        <f t="shared" si="87"/>
        <v>0</v>
      </c>
      <c r="AS196" s="480"/>
      <c r="AT196" s="477">
        <f t="shared" ca="1" si="88"/>
        <v>1901603.7250000001</v>
      </c>
      <c r="AU196" s="475">
        <f t="shared" ca="1" si="89"/>
        <v>1845597.27</v>
      </c>
      <c r="AV196" s="480"/>
      <c r="AW196" s="477">
        <f t="shared" si="90"/>
        <v>0</v>
      </c>
      <c r="AX196" s="480"/>
      <c r="AY196" s="477">
        <f t="shared" si="91"/>
        <v>0</v>
      </c>
      <c r="AZ196" s="480"/>
      <c r="BA196" s="477">
        <f t="shared" si="92"/>
        <v>0</v>
      </c>
      <c r="BB196" s="480"/>
      <c r="BC196" s="850">
        <f t="shared" ca="1" si="93"/>
        <v>3747200.9950000001</v>
      </c>
    </row>
    <row r="197" spans="1:55" ht="42">
      <c r="A197" s="837" t="str">
        <f t="shared" ca="1" si="65"/>
        <v/>
      </c>
      <c r="B197" s="440">
        <v>191</v>
      </c>
      <c r="C197" s="834" t="str">
        <f t="shared" ca="1" si="66"/>
        <v>6.</v>
      </c>
      <c r="D197" s="1757" t="str">
        <f ca="1">IFERROR(VLOOKUP(LEFT(E197,4),Nom_activ_2!D:G,4,0),"")</f>
        <v>6.5.  Fortificarea implicării comunității și OSC în controlul TB prin abordare centrată pe persoană</v>
      </c>
      <c r="E197" s="1757" t="str">
        <f t="shared" ca="1" si="67"/>
        <v>6.5.3. Documentarea barierelor de acces (financiare, stigma, DO, gen) și estimarea mărimii populațiilor cheie</v>
      </c>
      <c r="F197" s="1777" t="str">
        <f t="shared" ca="1" si="96"/>
        <v>6.5.3.1. Contractarea unei companii sociologice pentru studiu "Documentarea barierelor de acces (financiare, stigma, DO, gen) și estimarea mărimii populațiilor cheie"</v>
      </c>
      <c r="G197" s="839" t="str">
        <f t="shared" ca="1" si="96"/>
        <v>PAS</v>
      </c>
      <c r="H197" s="840" t="str">
        <f t="shared" ca="1" si="96"/>
        <v>GFATM</v>
      </c>
      <c r="I197" s="443" t="s">
        <v>3468</v>
      </c>
      <c r="J197" s="838" t="str">
        <f t="shared" si="68"/>
        <v>Sisteme_de_sanatate!$A:$j</v>
      </c>
      <c r="K197" s="475">
        <f t="shared" ca="1" si="69"/>
        <v>256000</v>
      </c>
      <c r="L197" s="480"/>
      <c r="M197" s="477">
        <f t="shared" si="70"/>
        <v>0</v>
      </c>
      <c r="N197" s="480"/>
      <c r="O197" s="477">
        <f t="shared" si="71"/>
        <v>0</v>
      </c>
      <c r="P197" s="480"/>
      <c r="Q197" s="477">
        <f t="shared" si="72"/>
        <v>0</v>
      </c>
      <c r="R197" s="480"/>
      <c r="S197" s="477">
        <f t="shared" ca="1" si="73"/>
        <v>256000</v>
      </c>
      <c r="T197" s="475">
        <f t="shared" ca="1" si="74"/>
        <v>0</v>
      </c>
      <c r="U197" s="480"/>
      <c r="V197" s="477">
        <f t="shared" si="75"/>
        <v>0</v>
      </c>
      <c r="W197" s="480"/>
      <c r="X197" s="477">
        <f t="shared" si="76"/>
        <v>0</v>
      </c>
      <c r="Y197" s="480"/>
      <c r="Z197" s="477">
        <f t="shared" si="77"/>
        <v>0</v>
      </c>
      <c r="AA197" s="480"/>
      <c r="AB197" s="477">
        <f t="shared" ca="1" si="78"/>
        <v>0</v>
      </c>
      <c r="AC197" s="475">
        <f t="shared" ca="1" si="79"/>
        <v>0</v>
      </c>
      <c r="AD197" s="480"/>
      <c r="AE197" s="477">
        <f t="shared" si="80"/>
        <v>0</v>
      </c>
      <c r="AF197" s="480"/>
      <c r="AG197" s="477">
        <f t="shared" si="81"/>
        <v>0</v>
      </c>
      <c r="AH197" s="480"/>
      <c r="AI197" s="477">
        <f t="shared" si="82"/>
        <v>0</v>
      </c>
      <c r="AJ197" s="480"/>
      <c r="AK197" s="477">
        <f t="shared" ca="1" si="83"/>
        <v>0</v>
      </c>
      <c r="AL197" s="475">
        <f t="shared" ca="1" si="84"/>
        <v>0</v>
      </c>
      <c r="AM197" s="480"/>
      <c r="AN197" s="477">
        <f t="shared" si="85"/>
        <v>0</v>
      </c>
      <c r="AO197" s="480"/>
      <c r="AP197" s="477">
        <f t="shared" si="86"/>
        <v>0</v>
      </c>
      <c r="AQ197" s="480"/>
      <c r="AR197" s="477">
        <f t="shared" si="87"/>
        <v>0</v>
      </c>
      <c r="AS197" s="480"/>
      <c r="AT197" s="477">
        <f t="shared" ca="1" si="88"/>
        <v>0</v>
      </c>
      <c r="AU197" s="475">
        <f t="shared" ca="1" si="89"/>
        <v>0</v>
      </c>
      <c r="AV197" s="480"/>
      <c r="AW197" s="477">
        <f t="shared" si="90"/>
        <v>0</v>
      </c>
      <c r="AX197" s="480"/>
      <c r="AY197" s="477">
        <f t="shared" si="91"/>
        <v>0</v>
      </c>
      <c r="AZ197" s="480"/>
      <c r="BA197" s="477">
        <f t="shared" si="92"/>
        <v>0</v>
      </c>
      <c r="BB197" s="480"/>
      <c r="BC197" s="850">
        <f t="shared" ca="1" si="93"/>
        <v>256000</v>
      </c>
    </row>
    <row r="198" spans="1:55" ht="28">
      <c r="A198" s="837" t="str">
        <f t="shared" ca="1" si="65"/>
        <v/>
      </c>
      <c r="B198" s="440">
        <v>192</v>
      </c>
      <c r="C198" s="834" t="str">
        <f t="shared" ca="1" si="66"/>
        <v>6.</v>
      </c>
      <c r="D198" s="1757" t="str">
        <f ca="1">IFERROR(VLOOKUP(LEFT(E198,4),Nom_activ_2!D:G,4,0),"")</f>
        <v>6.5.  Fortificarea implicării comunității și OSC în controlul TB prin abordare centrată pe persoană</v>
      </c>
      <c r="E198" s="1757" t="str">
        <f t="shared" ca="1" si="67"/>
        <v>6.5.3. Documentarea barierelor de acces (financiare, stigma, DO, gen) și estimarea mărimii populațiilor cheie</v>
      </c>
      <c r="F198" s="1777" t="str">
        <f t="shared" ca="1" si="96"/>
        <v>6.5.3.2 Masa rotunda pentru discutarea rezultatelor cercetarii operationale privind accesul la servicii si stabilirea unui plan de actiuni.</v>
      </c>
      <c r="G198" s="839" t="str">
        <f t="shared" ca="1" si="96"/>
        <v>PAS</v>
      </c>
      <c r="H198" s="840" t="str">
        <f t="shared" ca="1" si="96"/>
        <v>GFATM</v>
      </c>
      <c r="I198" s="443" t="s">
        <v>3468</v>
      </c>
      <c r="J198" s="838" t="str">
        <f t="shared" si="68"/>
        <v>Sisteme_de_sanatate!$A:$j</v>
      </c>
      <c r="K198" s="475">
        <f t="shared" ca="1" si="69"/>
        <v>0</v>
      </c>
      <c r="L198" s="480"/>
      <c r="M198" s="477">
        <f t="shared" si="70"/>
        <v>0</v>
      </c>
      <c r="N198" s="480"/>
      <c r="O198" s="477">
        <f t="shared" si="71"/>
        <v>0</v>
      </c>
      <c r="P198" s="480"/>
      <c r="Q198" s="477">
        <f t="shared" si="72"/>
        <v>0</v>
      </c>
      <c r="R198" s="480"/>
      <c r="S198" s="477">
        <f t="shared" ca="1" si="73"/>
        <v>0</v>
      </c>
      <c r="T198" s="475">
        <f t="shared" ca="1" si="74"/>
        <v>0</v>
      </c>
      <c r="U198" s="480"/>
      <c r="V198" s="477">
        <f t="shared" si="75"/>
        <v>0</v>
      </c>
      <c r="W198" s="480"/>
      <c r="X198" s="477">
        <f t="shared" si="76"/>
        <v>0</v>
      </c>
      <c r="Y198" s="480"/>
      <c r="Z198" s="477">
        <f t="shared" si="77"/>
        <v>0</v>
      </c>
      <c r="AA198" s="480"/>
      <c r="AB198" s="477">
        <f t="shared" ca="1" si="78"/>
        <v>0</v>
      </c>
      <c r="AC198" s="475">
        <f t="shared" ca="1" si="79"/>
        <v>0</v>
      </c>
      <c r="AD198" s="480"/>
      <c r="AE198" s="477">
        <f t="shared" si="80"/>
        <v>0</v>
      </c>
      <c r="AF198" s="480"/>
      <c r="AG198" s="477">
        <f t="shared" si="81"/>
        <v>0</v>
      </c>
      <c r="AH198" s="480"/>
      <c r="AI198" s="477">
        <f t="shared" si="82"/>
        <v>0</v>
      </c>
      <c r="AJ198" s="480"/>
      <c r="AK198" s="477">
        <f t="shared" ca="1" si="83"/>
        <v>0</v>
      </c>
      <c r="AL198" s="475">
        <f t="shared" ca="1" si="84"/>
        <v>0</v>
      </c>
      <c r="AM198" s="480"/>
      <c r="AN198" s="477">
        <f t="shared" si="85"/>
        <v>0</v>
      </c>
      <c r="AO198" s="480"/>
      <c r="AP198" s="477">
        <f t="shared" si="86"/>
        <v>0</v>
      </c>
      <c r="AQ198" s="480"/>
      <c r="AR198" s="477">
        <f t="shared" si="87"/>
        <v>0</v>
      </c>
      <c r="AS198" s="480"/>
      <c r="AT198" s="477">
        <f t="shared" ca="1" si="88"/>
        <v>0</v>
      </c>
      <c r="AU198" s="475">
        <f t="shared" ca="1" si="89"/>
        <v>0</v>
      </c>
      <c r="AV198" s="480"/>
      <c r="AW198" s="477">
        <f t="shared" si="90"/>
        <v>0</v>
      </c>
      <c r="AX198" s="480"/>
      <c r="AY198" s="477">
        <f t="shared" si="91"/>
        <v>0</v>
      </c>
      <c r="AZ198" s="480"/>
      <c r="BA198" s="477">
        <f t="shared" si="92"/>
        <v>0</v>
      </c>
      <c r="BB198" s="480"/>
      <c r="BC198" s="850">
        <f t="shared" ca="1" si="93"/>
        <v>0</v>
      </c>
    </row>
    <row r="199" spans="1:55" ht="42">
      <c r="A199" s="837" t="str">
        <f t="shared" ref="A199:A262" ca="1" si="97">IF(B199="","",IF(COUNTA(C199:H199)&lt;6,"Completati  toate campurile col C:H",""))</f>
        <v/>
      </c>
      <c r="B199" s="440">
        <v>193</v>
      </c>
      <c r="C199" s="834" t="str">
        <f t="shared" ref="C199:C262" ca="1" si="98">IFERROR(LEFT(D199,2),"")</f>
        <v>6.</v>
      </c>
      <c r="D199" s="1757" t="str">
        <f ca="1">IFERROR(VLOOKUP(LEFT(E199,4),Nom_activ_2!D:G,4,0),"")</f>
        <v>6.5.  Fortificarea implicării comunității și OSC în controlul TB prin abordare centrată pe persoană</v>
      </c>
      <c r="E199" s="1757" t="str">
        <f t="shared" ref="E199:E262" ca="1" si="99">IFERROR(VLOOKUP($B199,INDIRECT($J199),E$5,0),"")</f>
        <v>6.5.3. Documentarea barierelor de acces (financiare, stigma, DO, gen) și estimarea mărimii populațiilor cheie</v>
      </c>
      <c r="F199" s="1777" t="str">
        <f t="shared" ca="1" si="96"/>
        <v>6.5.3.3. Revizuirea actelor normative pentru inlaturarea barierelor la accesul la servicii constatate in cadrul cercetarii operationale. Vor fi contractati 3 consultanti nationali (MSMPS, jurist, ONG)</v>
      </c>
      <c r="G199" s="839" t="str">
        <f t="shared" ca="1" si="96"/>
        <v>PAS</v>
      </c>
      <c r="H199" s="840" t="str">
        <f t="shared" ca="1" si="96"/>
        <v>GFATM</v>
      </c>
      <c r="I199" s="443" t="s">
        <v>3468</v>
      </c>
      <c r="J199" s="838" t="str">
        <f t="shared" ref="J199:J262" si="100">I199&amp;"!$A:$j"</f>
        <v>Sisteme_de_sanatate!$A:$j</v>
      </c>
      <c r="K199" s="475">
        <f t="shared" ref="K199:K262" ca="1" si="101">IFERROR(VLOOKUP($B199,INDIRECT($J199),K$5,0),0)</f>
        <v>60000</v>
      </c>
      <c r="L199" s="480"/>
      <c r="M199" s="477">
        <f t="shared" ref="M199:M262" si="102">IF(L199="",0,K199*L199)</f>
        <v>0</v>
      </c>
      <c r="N199" s="480"/>
      <c r="O199" s="477">
        <f t="shared" ref="O199:O262" si="103">IF(N199="",0,M199*N199)</f>
        <v>0</v>
      </c>
      <c r="P199" s="480"/>
      <c r="Q199" s="477">
        <f t="shared" ref="Q199:Q262" si="104">IF(P199="",0,O199*P199)</f>
        <v>0</v>
      </c>
      <c r="R199" s="480"/>
      <c r="S199" s="477">
        <f t="shared" ref="S199:S262" ca="1" si="105">IFERROR(K199-M199-O199-Q199,0)</f>
        <v>60000</v>
      </c>
      <c r="T199" s="475">
        <f t="shared" ref="T199:T262" ca="1" si="106">IFERROR(VLOOKUP($B199,INDIRECT($J199),T$5,0),0)</f>
        <v>0</v>
      </c>
      <c r="U199" s="480"/>
      <c r="V199" s="477">
        <f t="shared" ref="V199:V262" si="107">IF(U199="",0,T199*U199)</f>
        <v>0</v>
      </c>
      <c r="W199" s="480"/>
      <c r="X199" s="477">
        <f t="shared" ref="X199:X262" si="108">IF(W199="",0,V199*W199)</f>
        <v>0</v>
      </c>
      <c r="Y199" s="480"/>
      <c r="Z199" s="477">
        <f t="shared" ref="Z199:Z262" si="109">IF(Y199="",0,X199*Y199)</f>
        <v>0</v>
      </c>
      <c r="AA199" s="480"/>
      <c r="AB199" s="477">
        <f t="shared" ref="AB199:AB262" ca="1" si="110">IFERROR(T199-V199-X199-Z199,0)</f>
        <v>0</v>
      </c>
      <c r="AC199" s="475">
        <f t="shared" ref="AC199:AC262" ca="1" si="111">IFERROR(VLOOKUP($B199,INDIRECT($J199),AC$5,0),0)</f>
        <v>0</v>
      </c>
      <c r="AD199" s="480"/>
      <c r="AE199" s="477">
        <f t="shared" ref="AE199:AE262" si="112">IF(AD199="",0,AC199*AD199)</f>
        <v>0</v>
      </c>
      <c r="AF199" s="480"/>
      <c r="AG199" s="477">
        <f t="shared" ref="AG199:AG262" si="113">IF(AF199="",0,AE199*AF199)</f>
        <v>0</v>
      </c>
      <c r="AH199" s="480"/>
      <c r="AI199" s="477">
        <f t="shared" ref="AI199:AI262" si="114">IF(AH199="",0,AG199*AH199)</f>
        <v>0</v>
      </c>
      <c r="AJ199" s="480"/>
      <c r="AK199" s="477">
        <f t="shared" ref="AK199:AK262" ca="1" si="115">IFERROR(AC199-AE199-AG199-AI199,0)</f>
        <v>0</v>
      </c>
      <c r="AL199" s="475">
        <f t="shared" ref="AL199:AL262" ca="1" si="116">IFERROR(VLOOKUP($B199,INDIRECT($J199),AL$5,0),0)</f>
        <v>0</v>
      </c>
      <c r="AM199" s="480"/>
      <c r="AN199" s="477">
        <f t="shared" ref="AN199:AN262" si="117">IF(AM199="",0,AL199*AM199)</f>
        <v>0</v>
      </c>
      <c r="AO199" s="480"/>
      <c r="AP199" s="477">
        <f t="shared" ref="AP199:AP262" si="118">IF(AO199="",0,AN199*AO199)</f>
        <v>0</v>
      </c>
      <c r="AQ199" s="480"/>
      <c r="AR199" s="477">
        <f t="shared" ref="AR199:AR262" si="119">IF(AQ199="",0,AP199*AQ199)</f>
        <v>0</v>
      </c>
      <c r="AS199" s="480"/>
      <c r="AT199" s="477">
        <f t="shared" ref="AT199:AT262" ca="1" si="120">IFERROR(AL199-AN199-AP199-AR199,0)</f>
        <v>0</v>
      </c>
      <c r="AU199" s="475">
        <f t="shared" ref="AU199:AU262" ca="1" si="121">IFERROR(VLOOKUP($B199,INDIRECT($J199),AU$5,0),0)</f>
        <v>0</v>
      </c>
      <c r="AV199" s="480"/>
      <c r="AW199" s="477">
        <f t="shared" ref="AW199:AW262" si="122">IF(AV199="",0,AU199*AV199)</f>
        <v>0</v>
      </c>
      <c r="AX199" s="480"/>
      <c r="AY199" s="477">
        <f t="shared" ref="AY199:AY262" si="123">IF(AX199="",0,AW199*AX199)</f>
        <v>0</v>
      </c>
      <c r="AZ199" s="480"/>
      <c r="BA199" s="477">
        <f t="shared" ref="BA199:BA262" si="124">IF(AZ199="",0,AY199*AZ199)</f>
        <v>0</v>
      </c>
      <c r="BB199" s="480"/>
      <c r="BC199" s="850">
        <f t="shared" ref="BC199:BC262" ca="1" si="125">K199+T199+AC199+AL199+AU199</f>
        <v>60000</v>
      </c>
    </row>
    <row r="200" spans="1:55" ht="28">
      <c r="A200" s="837" t="str">
        <f t="shared" ca="1" si="97"/>
        <v/>
      </c>
      <c r="B200" s="440">
        <v>194</v>
      </c>
      <c r="C200" s="834" t="str">
        <f t="shared" ca="1" si="98"/>
        <v>6.</v>
      </c>
      <c r="D200" s="1757" t="str">
        <f ca="1">IFERROR(VLOOKUP(LEFT(E200,4),Nom_activ_2!D:G,4,0),"")</f>
        <v>6.5.  Fortificarea implicării comunității și OSC în controlul TB prin abordare centrată pe persoană</v>
      </c>
      <c r="E200" s="1757" t="str">
        <f t="shared" ca="1" si="99"/>
        <v>6.5.3. Documentarea barierelor de acces (financiare, stigma, DO, gen) și estimarea mărimii populațiilor cheie</v>
      </c>
      <c r="F200" s="1777" t="str">
        <f t="shared" ca="1" si="96"/>
        <v>6.5.3.4. Realizarea exercitiului de estimare a marimii populatiilor cheie</v>
      </c>
      <c r="G200" s="839" t="str">
        <f t="shared" ca="1" si="96"/>
        <v>PAS</v>
      </c>
      <c r="H200" s="840" t="str">
        <f t="shared" ca="1" si="96"/>
        <v>GFATM</v>
      </c>
      <c r="I200" s="443" t="s">
        <v>3468</v>
      </c>
      <c r="J200" s="838" t="str">
        <f t="shared" si="100"/>
        <v>Sisteme_de_sanatate!$A:$j</v>
      </c>
      <c r="K200" s="475">
        <f t="shared" ca="1" si="101"/>
        <v>40000</v>
      </c>
      <c r="L200" s="480"/>
      <c r="M200" s="477">
        <f t="shared" si="102"/>
        <v>0</v>
      </c>
      <c r="N200" s="480"/>
      <c r="O200" s="477">
        <f t="shared" si="103"/>
        <v>0</v>
      </c>
      <c r="P200" s="480"/>
      <c r="Q200" s="477">
        <f t="shared" si="104"/>
        <v>0</v>
      </c>
      <c r="R200" s="480"/>
      <c r="S200" s="477">
        <f t="shared" ca="1" si="105"/>
        <v>40000</v>
      </c>
      <c r="T200" s="475">
        <f t="shared" ca="1" si="106"/>
        <v>0</v>
      </c>
      <c r="U200" s="480"/>
      <c r="V200" s="477">
        <f t="shared" si="107"/>
        <v>0</v>
      </c>
      <c r="W200" s="480"/>
      <c r="X200" s="477">
        <f t="shared" si="108"/>
        <v>0</v>
      </c>
      <c r="Y200" s="480"/>
      <c r="Z200" s="477">
        <f t="shared" si="109"/>
        <v>0</v>
      </c>
      <c r="AA200" s="480"/>
      <c r="AB200" s="477">
        <f t="shared" ca="1" si="110"/>
        <v>0</v>
      </c>
      <c r="AC200" s="475">
        <f t="shared" ca="1" si="111"/>
        <v>0</v>
      </c>
      <c r="AD200" s="480"/>
      <c r="AE200" s="477">
        <f t="shared" si="112"/>
        <v>0</v>
      </c>
      <c r="AF200" s="480"/>
      <c r="AG200" s="477">
        <f t="shared" si="113"/>
        <v>0</v>
      </c>
      <c r="AH200" s="480"/>
      <c r="AI200" s="477">
        <f t="shared" si="114"/>
        <v>0</v>
      </c>
      <c r="AJ200" s="480"/>
      <c r="AK200" s="477">
        <f t="shared" ca="1" si="115"/>
        <v>0</v>
      </c>
      <c r="AL200" s="475">
        <f t="shared" ca="1" si="116"/>
        <v>0</v>
      </c>
      <c r="AM200" s="480"/>
      <c r="AN200" s="477">
        <f t="shared" si="117"/>
        <v>0</v>
      </c>
      <c r="AO200" s="480"/>
      <c r="AP200" s="477">
        <f t="shared" si="118"/>
        <v>0</v>
      </c>
      <c r="AQ200" s="480"/>
      <c r="AR200" s="477">
        <f t="shared" si="119"/>
        <v>0</v>
      </c>
      <c r="AS200" s="480"/>
      <c r="AT200" s="477">
        <f t="shared" ca="1" si="120"/>
        <v>0</v>
      </c>
      <c r="AU200" s="475">
        <f t="shared" ca="1" si="121"/>
        <v>0</v>
      </c>
      <c r="AV200" s="480"/>
      <c r="AW200" s="477">
        <f t="shared" si="122"/>
        <v>0</v>
      </c>
      <c r="AX200" s="480"/>
      <c r="AY200" s="477">
        <f t="shared" si="123"/>
        <v>0</v>
      </c>
      <c r="AZ200" s="480"/>
      <c r="BA200" s="477">
        <f t="shared" si="124"/>
        <v>0</v>
      </c>
      <c r="BB200" s="480"/>
      <c r="BC200" s="850">
        <f t="shared" ca="1" si="125"/>
        <v>40000</v>
      </c>
    </row>
    <row r="201" spans="1:55" ht="28">
      <c r="A201" s="837" t="str">
        <f t="shared" ca="1" si="97"/>
        <v/>
      </c>
      <c r="B201" s="440">
        <v>195</v>
      </c>
      <c r="C201" s="834" t="str">
        <f t="shared" ca="1" si="98"/>
        <v>6.</v>
      </c>
      <c r="D201" s="1757" t="str">
        <f ca="1">IFERROR(VLOOKUP(LEFT(E201,4),Nom_activ_2!D:G,4,0),"")</f>
        <v>6.5.  Fortificarea implicării comunității și OSC în controlul TB prin abordare centrată pe persoană</v>
      </c>
      <c r="E201" s="1757" t="str">
        <f t="shared" ca="1" si="99"/>
        <v>6.5.4. Implicarea OSC în reducerea barierelor și asigurarea accesului grupurilor cheie la servicii TB</v>
      </c>
      <c r="F201" s="1777" t="str">
        <f t="shared" ca="1" si="96"/>
        <v>6.5.4.1. Granturi mici  - OSC în reducerea barierelor și asigurarea accesului grupurilor cheie la servicii TB</v>
      </c>
      <c r="G201" s="839" t="str">
        <f t="shared" ca="1" si="96"/>
        <v>(NGO)</v>
      </c>
      <c r="H201" s="840" t="str">
        <f t="shared" ca="1" si="96"/>
        <v>GFATM</v>
      </c>
      <c r="I201" s="443" t="s">
        <v>3628</v>
      </c>
      <c r="J201" s="838" t="str">
        <f t="shared" si="100"/>
        <v>ONG_TB!$A:$j</v>
      </c>
      <c r="K201" s="475">
        <f t="shared" ca="1" si="101"/>
        <v>0</v>
      </c>
      <c r="L201" s="480"/>
      <c r="M201" s="477">
        <f t="shared" si="102"/>
        <v>0</v>
      </c>
      <c r="N201" s="480"/>
      <c r="O201" s="477">
        <f t="shared" si="103"/>
        <v>0</v>
      </c>
      <c r="P201" s="480"/>
      <c r="Q201" s="477">
        <f t="shared" si="104"/>
        <v>0</v>
      </c>
      <c r="R201" s="480"/>
      <c r="S201" s="477">
        <f t="shared" ca="1" si="105"/>
        <v>0</v>
      </c>
      <c r="T201" s="475">
        <f t="shared" ca="1" si="106"/>
        <v>490618</v>
      </c>
      <c r="U201" s="480"/>
      <c r="V201" s="477">
        <f t="shared" si="107"/>
        <v>0</v>
      </c>
      <c r="W201" s="480"/>
      <c r="X201" s="477">
        <f t="shared" si="108"/>
        <v>0</v>
      </c>
      <c r="Y201" s="480"/>
      <c r="Z201" s="477">
        <f t="shared" si="109"/>
        <v>0</v>
      </c>
      <c r="AA201" s="480"/>
      <c r="AB201" s="477">
        <f t="shared" ca="1" si="110"/>
        <v>490618</v>
      </c>
      <c r="AC201" s="475">
        <f t="shared" ca="1" si="111"/>
        <v>490618</v>
      </c>
      <c r="AD201" s="480"/>
      <c r="AE201" s="477">
        <f t="shared" si="112"/>
        <v>0</v>
      </c>
      <c r="AF201" s="480"/>
      <c r="AG201" s="477">
        <f t="shared" si="113"/>
        <v>0</v>
      </c>
      <c r="AH201" s="480"/>
      <c r="AI201" s="477">
        <f t="shared" si="114"/>
        <v>0</v>
      </c>
      <c r="AJ201" s="480"/>
      <c r="AK201" s="477">
        <f t="shared" ca="1" si="115"/>
        <v>490618</v>
      </c>
      <c r="AL201" s="475">
        <f t="shared" ca="1" si="116"/>
        <v>0</v>
      </c>
      <c r="AM201" s="480"/>
      <c r="AN201" s="477">
        <f t="shared" si="117"/>
        <v>0</v>
      </c>
      <c r="AO201" s="480"/>
      <c r="AP201" s="477">
        <f t="shared" si="118"/>
        <v>0</v>
      </c>
      <c r="AQ201" s="480"/>
      <c r="AR201" s="477">
        <f t="shared" si="119"/>
        <v>0</v>
      </c>
      <c r="AS201" s="480"/>
      <c r="AT201" s="477">
        <f t="shared" ca="1" si="120"/>
        <v>0</v>
      </c>
      <c r="AU201" s="475">
        <f t="shared" ca="1" si="121"/>
        <v>0</v>
      </c>
      <c r="AV201" s="480"/>
      <c r="AW201" s="477">
        <f t="shared" si="122"/>
        <v>0</v>
      </c>
      <c r="AX201" s="480"/>
      <c r="AY201" s="477">
        <f t="shared" si="123"/>
        <v>0</v>
      </c>
      <c r="AZ201" s="480"/>
      <c r="BA201" s="477">
        <f t="shared" si="124"/>
        <v>0</v>
      </c>
      <c r="BB201" s="480"/>
      <c r="BC201" s="850">
        <f t="shared" ca="1" si="125"/>
        <v>981236</v>
      </c>
    </row>
    <row r="202" spans="1:55" ht="56">
      <c r="A202" s="837" t="str">
        <f t="shared" ca="1" si="97"/>
        <v/>
      </c>
      <c r="B202" s="440">
        <v>196</v>
      </c>
      <c r="C202" s="834" t="str">
        <f t="shared" ca="1" si="98"/>
        <v>6.</v>
      </c>
      <c r="D202" s="1757" t="str">
        <f ca="1">IFERROR(VLOOKUP(LEFT(E202,4),Nom_activ_2!D:G,4,0),"")</f>
        <v xml:space="preserve">6.6.  Protecția socială, reducerea sărăciei și acțiuni asupra altor factori determinanți ai TB, inclusiv printre migranți si deținuți </v>
      </c>
      <c r="E202" s="1757" t="str">
        <f t="shared" ca="1" si="99"/>
        <v xml:space="preserve">6.6.1. Fortificarea controlului TB în penitenciare, acompanierea și suportul persoanelor eliberate din detenție în asigurarea continuității tratamentului, inclusiv prin implicarea OSC </v>
      </c>
      <c r="F202" s="1777" t="str">
        <f t="shared" ca="1" si="96"/>
        <v xml:space="preserve">6.6.1.1. Granturi mici - Fortificarea controlului TB în penitenciare, acompanierea și suportul persoanelor eliberate din detenție în asigurarea continuității tratamentului, inclusiv prin implicarea OSC </v>
      </c>
      <c r="G202" s="839" t="str">
        <f t="shared" ca="1" si="96"/>
        <v>(NGO)</v>
      </c>
      <c r="H202" s="840" t="str">
        <f t="shared" ca="1" si="96"/>
        <v>GFATM</v>
      </c>
      <c r="I202" s="443" t="s">
        <v>3628</v>
      </c>
      <c r="J202" s="838" t="str">
        <f t="shared" si="100"/>
        <v>ONG_TB!$A:$j</v>
      </c>
      <c r="K202" s="475">
        <f t="shared" ca="1" si="101"/>
        <v>399288.83999999997</v>
      </c>
      <c r="L202" s="480"/>
      <c r="M202" s="477">
        <f t="shared" si="102"/>
        <v>0</v>
      </c>
      <c r="N202" s="480"/>
      <c r="O202" s="477">
        <f t="shared" si="103"/>
        <v>0</v>
      </c>
      <c r="P202" s="480"/>
      <c r="Q202" s="477">
        <f t="shared" si="104"/>
        <v>0</v>
      </c>
      <c r="R202" s="480"/>
      <c r="S202" s="477">
        <f t="shared" ca="1" si="105"/>
        <v>399288.83999999997</v>
      </c>
      <c r="T202" s="475">
        <f t="shared" ca="1" si="106"/>
        <v>391877.57</v>
      </c>
      <c r="U202" s="480"/>
      <c r="V202" s="477">
        <f t="shared" si="107"/>
        <v>0</v>
      </c>
      <c r="W202" s="480"/>
      <c r="X202" s="477">
        <f t="shared" si="108"/>
        <v>0</v>
      </c>
      <c r="Y202" s="480"/>
      <c r="Z202" s="477">
        <f t="shared" si="109"/>
        <v>0</v>
      </c>
      <c r="AA202" s="480"/>
      <c r="AB202" s="477">
        <f t="shared" ca="1" si="110"/>
        <v>391877.57</v>
      </c>
      <c r="AC202" s="475">
        <f t="shared" ca="1" si="111"/>
        <v>385553.51</v>
      </c>
      <c r="AD202" s="480"/>
      <c r="AE202" s="477">
        <f t="shared" si="112"/>
        <v>0</v>
      </c>
      <c r="AF202" s="480"/>
      <c r="AG202" s="477">
        <f t="shared" si="113"/>
        <v>0</v>
      </c>
      <c r="AH202" s="480"/>
      <c r="AI202" s="477">
        <f t="shared" si="114"/>
        <v>0</v>
      </c>
      <c r="AJ202" s="480"/>
      <c r="AK202" s="477">
        <f t="shared" ca="1" si="115"/>
        <v>385553.51</v>
      </c>
      <c r="AL202" s="475">
        <f t="shared" ca="1" si="116"/>
        <v>0</v>
      </c>
      <c r="AM202" s="480"/>
      <c r="AN202" s="477">
        <f t="shared" si="117"/>
        <v>0</v>
      </c>
      <c r="AO202" s="480"/>
      <c r="AP202" s="477">
        <f t="shared" si="118"/>
        <v>0</v>
      </c>
      <c r="AQ202" s="480"/>
      <c r="AR202" s="477">
        <f t="shared" si="119"/>
        <v>0</v>
      </c>
      <c r="AS202" s="480"/>
      <c r="AT202" s="477">
        <f t="shared" ca="1" si="120"/>
        <v>0</v>
      </c>
      <c r="AU202" s="475">
        <f t="shared" ca="1" si="121"/>
        <v>0</v>
      </c>
      <c r="AV202" s="480"/>
      <c r="AW202" s="477">
        <f t="shared" si="122"/>
        <v>0</v>
      </c>
      <c r="AX202" s="480"/>
      <c r="AY202" s="477">
        <f t="shared" si="123"/>
        <v>0</v>
      </c>
      <c r="AZ202" s="480"/>
      <c r="BA202" s="477">
        <f t="shared" si="124"/>
        <v>0</v>
      </c>
      <c r="BB202" s="480"/>
      <c r="BC202" s="850">
        <f t="shared" ca="1" si="125"/>
        <v>1176719.92</v>
      </c>
    </row>
    <row r="203" spans="1:55" ht="28">
      <c r="A203" s="837" t="str">
        <f t="shared" ca="1" si="97"/>
        <v/>
      </c>
      <c r="B203" s="440">
        <v>197</v>
      </c>
      <c r="C203" s="834" t="str">
        <f t="shared" ca="1" si="98"/>
        <v>6.</v>
      </c>
      <c r="D203" s="1757" t="str">
        <f ca="1">IFERROR(VLOOKUP(LEFT(E203,4),Nom_activ_2!D:G,4,0),"")</f>
        <v xml:space="preserve">6.6.  Protecția socială, reducerea sărăciei și acțiuni asupra altor factori determinanți ai TB, inclusiv printre migranți si deținuți </v>
      </c>
      <c r="E203" s="1757" t="str">
        <f t="shared" ca="1" si="99"/>
        <v>6.6.2. Fortificarea controlului TB în rândul migranților</v>
      </c>
      <c r="F203" s="1777" t="str">
        <f t="shared" ca="1" si="96"/>
        <v>6.6.2.1. Cercetare sociologica TB în rândul migranților și imigranților</v>
      </c>
      <c r="G203" s="839" t="str">
        <f t="shared" ca="1" si="96"/>
        <v>PAS</v>
      </c>
      <c r="H203" s="840" t="str">
        <f t="shared" ca="1" si="96"/>
        <v>GFATM</v>
      </c>
      <c r="I203" s="443" t="s">
        <v>3468</v>
      </c>
      <c r="J203" s="838" t="str">
        <f t="shared" si="100"/>
        <v>Sisteme_de_sanatate!$A:$j</v>
      </c>
      <c r="K203" s="475">
        <f t="shared" ca="1" si="101"/>
        <v>0</v>
      </c>
      <c r="L203" s="480"/>
      <c r="M203" s="477">
        <f t="shared" si="102"/>
        <v>0</v>
      </c>
      <c r="N203" s="480"/>
      <c r="O203" s="477">
        <f t="shared" si="103"/>
        <v>0</v>
      </c>
      <c r="P203" s="480"/>
      <c r="Q203" s="477">
        <f t="shared" si="104"/>
        <v>0</v>
      </c>
      <c r="R203" s="480"/>
      <c r="S203" s="477">
        <f t="shared" ca="1" si="105"/>
        <v>0</v>
      </c>
      <c r="T203" s="475">
        <f t="shared" ca="1" si="106"/>
        <v>0</v>
      </c>
      <c r="U203" s="480"/>
      <c r="V203" s="477">
        <f t="shared" si="107"/>
        <v>0</v>
      </c>
      <c r="W203" s="480"/>
      <c r="X203" s="477">
        <f t="shared" si="108"/>
        <v>0</v>
      </c>
      <c r="Y203" s="480"/>
      <c r="Z203" s="477">
        <f t="shared" si="109"/>
        <v>0</v>
      </c>
      <c r="AA203" s="480"/>
      <c r="AB203" s="477">
        <f t="shared" ca="1" si="110"/>
        <v>0</v>
      </c>
      <c r="AC203" s="475">
        <f t="shared" ca="1" si="111"/>
        <v>0</v>
      </c>
      <c r="AD203" s="480"/>
      <c r="AE203" s="477">
        <f t="shared" si="112"/>
        <v>0</v>
      </c>
      <c r="AF203" s="480"/>
      <c r="AG203" s="477">
        <f t="shared" si="113"/>
        <v>0</v>
      </c>
      <c r="AH203" s="480"/>
      <c r="AI203" s="477">
        <f t="shared" si="114"/>
        <v>0</v>
      </c>
      <c r="AJ203" s="480"/>
      <c r="AK203" s="477">
        <f t="shared" ca="1" si="115"/>
        <v>0</v>
      </c>
      <c r="AL203" s="475">
        <f t="shared" ca="1" si="116"/>
        <v>0</v>
      </c>
      <c r="AM203" s="480"/>
      <c r="AN203" s="477">
        <f t="shared" si="117"/>
        <v>0</v>
      </c>
      <c r="AO203" s="480"/>
      <c r="AP203" s="477">
        <f t="shared" si="118"/>
        <v>0</v>
      </c>
      <c r="AQ203" s="480"/>
      <c r="AR203" s="477">
        <f t="shared" si="119"/>
        <v>0</v>
      </c>
      <c r="AS203" s="480"/>
      <c r="AT203" s="477">
        <f t="shared" ca="1" si="120"/>
        <v>0</v>
      </c>
      <c r="AU203" s="475">
        <f t="shared" ca="1" si="121"/>
        <v>0</v>
      </c>
      <c r="AV203" s="480"/>
      <c r="AW203" s="477">
        <f t="shared" si="122"/>
        <v>0</v>
      </c>
      <c r="AX203" s="480"/>
      <c r="AY203" s="477">
        <f t="shared" si="123"/>
        <v>0</v>
      </c>
      <c r="AZ203" s="480"/>
      <c r="BA203" s="477">
        <f t="shared" si="124"/>
        <v>0</v>
      </c>
      <c r="BB203" s="480"/>
      <c r="BC203" s="850">
        <f t="shared" ca="1" si="125"/>
        <v>0</v>
      </c>
    </row>
    <row r="204" spans="1:55" ht="28">
      <c r="A204" s="837" t="str">
        <f t="shared" ca="1" si="97"/>
        <v/>
      </c>
      <c r="B204" s="440">
        <v>198</v>
      </c>
      <c r="C204" s="834" t="str">
        <f t="shared" ca="1" si="98"/>
        <v>6.</v>
      </c>
      <c r="D204" s="1757" t="str">
        <f ca="1">IFERROR(VLOOKUP(LEFT(E204,4),Nom_activ_2!D:G,4,0),"")</f>
        <v xml:space="preserve">6.6.  Protecția socială, reducerea sărăciei și acțiuni asupra altor factori determinanți ai TB, inclusiv printre migranți si deținuți </v>
      </c>
      <c r="E204" s="1757" t="str">
        <f t="shared" ca="1" si="99"/>
        <v>6.6.2. Fortificarea controlului TB în rândul migranților</v>
      </c>
      <c r="F204" s="1777" t="str">
        <f t="shared" ca="1" si="96"/>
        <v>6.6.2.2. Masa rotunda - Cercetarea sociologica TB în rândul migranților  și imigranților</v>
      </c>
      <c r="G204" s="839" t="str">
        <f t="shared" ca="1" si="96"/>
        <v>PAS</v>
      </c>
      <c r="H204" s="840" t="str">
        <f t="shared" ca="1" si="96"/>
        <v>GFATM</v>
      </c>
      <c r="I204" s="443" t="s">
        <v>3468</v>
      </c>
      <c r="J204" s="838" t="str">
        <f t="shared" si="100"/>
        <v>Sisteme_de_sanatate!$A:$j</v>
      </c>
      <c r="K204" s="475">
        <f t="shared" ca="1" si="101"/>
        <v>0</v>
      </c>
      <c r="L204" s="480"/>
      <c r="M204" s="477">
        <f t="shared" si="102"/>
        <v>0</v>
      </c>
      <c r="N204" s="480"/>
      <c r="O204" s="477">
        <f t="shared" si="103"/>
        <v>0</v>
      </c>
      <c r="P204" s="480"/>
      <c r="Q204" s="477">
        <f t="shared" si="104"/>
        <v>0</v>
      </c>
      <c r="R204" s="480"/>
      <c r="S204" s="477">
        <f t="shared" ca="1" si="105"/>
        <v>0</v>
      </c>
      <c r="T204" s="475">
        <f t="shared" ca="1" si="106"/>
        <v>0</v>
      </c>
      <c r="U204" s="480"/>
      <c r="V204" s="477">
        <f t="shared" si="107"/>
        <v>0</v>
      </c>
      <c r="W204" s="480"/>
      <c r="X204" s="477">
        <f t="shared" si="108"/>
        <v>0</v>
      </c>
      <c r="Y204" s="480"/>
      <c r="Z204" s="477">
        <f t="shared" si="109"/>
        <v>0</v>
      </c>
      <c r="AA204" s="480"/>
      <c r="AB204" s="477">
        <f t="shared" ca="1" si="110"/>
        <v>0</v>
      </c>
      <c r="AC204" s="475">
        <f t="shared" ca="1" si="111"/>
        <v>0</v>
      </c>
      <c r="AD204" s="480"/>
      <c r="AE204" s="477">
        <f t="shared" si="112"/>
        <v>0</v>
      </c>
      <c r="AF204" s="480"/>
      <c r="AG204" s="477">
        <f t="shared" si="113"/>
        <v>0</v>
      </c>
      <c r="AH204" s="480"/>
      <c r="AI204" s="477">
        <f t="shared" si="114"/>
        <v>0</v>
      </c>
      <c r="AJ204" s="480"/>
      <c r="AK204" s="477">
        <f t="shared" ca="1" si="115"/>
        <v>0</v>
      </c>
      <c r="AL204" s="475">
        <f t="shared" ca="1" si="116"/>
        <v>0</v>
      </c>
      <c r="AM204" s="480"/>
      <c r="AN204" s="477">
        <f t="shared" si="117"/>
        <v>0</v>
      </c>
      <c r="AO204" s="480"/>
      <c r="AP204" s="477">
        <f t="shared" si="118"/>
        <v>0</v>
      </c>
      <c r="AQ204" s="480"/>
      <c r="AR204" s="477">
        <f t="shared" si="119"/>
        <v>0</v>
      </c>
      <c r="AS204" s="480"/>
      <c r="AT204" s="477">
        <f t="shared" ca="1" si="120"/>
        <v>0</v>
      </c>
      <c r="AU204" s="475">
        <f t="shared" ca="1" si="121"/>
        <v>0</v>
      </c>
      <c r="AV204" s="480"/>
      <c r="AW204" s="477">
        <f t="shared" si="122"/>
        <v>0</v>
      </c>
      <c r="AX204" s="480"/>
      <c r="AY204" s="477">
        <f t="shared" si="123"/>
        <v>0</v>
      </c>
      <c r="AZ204" s="480"/>
      <c r="BA204" s="477">
        <f t="shared" si="124"/>
        <v>0</v>
      </c>
      <c r="BB204" s="480"/>
      <c r="BC204" s="850">
        <f t="shared" ca="1" si="125"/>
        <v>0</v>
      </c>
    </row>
    <row r="205" spans="1:55" ht="28">
      <c r="A205" s="837" t="str">
        <f t="shared" ca="1" si="97"/>
        <v/>
      </c>
      <c r="B205" s="440">
        <v>199</v>
      </c>
      <c r="C205" s="834" t="str">
        <f t="shared" ca="1" si="98"/>
        <v>6.</v>
      </c>
      <c r="D205" s="1757" t="str">
        <f ca="1">IFERROR(VLOOKUP(LEFT(E205,4),Nom_activ_2!D:G,4,0),"")</f>
        <v xml:space="preserve">6.6.  Protecția socială, reducerea sărăciei și acțiuni asupra altor factori determinanți ai TB, inclusiv printre migranți si deținuți </v>
      </c>
      <c r="E205" s="1757" t="str">
        <f t="shared" ca="1" si="99"/>
        <v>6.6.2. Fortificarea controlului TB în rândul migranților</v>
      </c>
      <c r="F205" s="1777" t="str">
        <f t="shared" ca="1" si="96"/>
        <v>6.6.2.3. Sesiuni informationale cu serviciile de graniceri si vamale despre TB</v>
      </c>
      <c r="G205" s="839" t="str">
        <f t="shared" ca="1" si="96"/>
        <v>PAS</v>
      </c>
      <c r="H205" s="840" t="str">
        <f t="shared" ca="1" si="96"/>
        <v>GFATM</v>
      </c>
      <c r="I205" s="443" t="s">
        <v>3468</v>
      </c>
      <c r="J205" s="838" t="str">
        <f t="shared" si="100"/>
        <v>Sisteme_de_sanatate!$A:$j</v>
      </c>
      <c r="K205" s="475">
        <f t="shared" ca="1" si="101"/>
        <v>0</v>
      </c>
      <c r="L205" s="480"/>
      <c r="M205" s="477">
        <f t="shared" si="102"/>
        <v>0</v>
      </c>
      <c r="N205" s="480"/>
      <c r="O205" s="477">
        <f t="shared" si="103"/>
        <v>0</v>
      </c>
      <c r="P205" s="480"/>
      <c r="Q205" s="477">
        <f t="shared" si="104"/>
        <v>0</v>
      </c>
      <c r="R205" s="480"/>
      <c r="S205" s="477">
        <f t="shared" ca="1" si="105"/>
        <v>0</v>
      </c>
      <c r="T205" s="475">
        <f t="shared" ca="1" si="106"/>
        <v>0</v>
      </c>
      <c r="U205" s="480"/>
      <c r="V205" s="477">
        <f t="shared" si="107"/>
        <v>0</v>
      </c>
      <c r="W205" s="480"/>
      <c r="X205" s="477">
        <f t="shared" si="108"/>
        <v>0</v>
      </c>
      <c r="Y205" s="480"/>
      <c r="Z205" s="477">
        <f t="shared" si="109"/>
        <v>0</v>
      </c>
      <c r="AA205" s="480"/>
      <c r="AB205" s="477">
        <f t="shared" ca="1" si="110"/>
        <v>0</v>
      </c>
      <c r="AC205" s="475">
        <f t="shared" ca="1" si="111"/>
        <v>0</v>
      </c>
      <c r="AD205" s="480"/>
      <c r="AE205" s="477">
        <f t="shared" si="112"/>
        <v>0</v>
      </c>
      <c r="AF205" s="480"/>
      <c r="AG205" s="477">
        <f t="shared" si="113"/>
        <v>0</v>
      </c>
      <c r="AH205" s="480"/>
      <c r="AI205" s="477">
        <f t="shared" si="114"/>
        <v>0</v>
      </c>
      <c r="AJ205" s="480"/>
      <c r="AK205" s="477">
        <f t="shared" ca="1" si="115"/>
        <v>0</v>
      </c>
      <c r="AL205" s="475">
        <f t="shared" ca="1" si="116"/>
        <v>0</v>
      </c>
      <c r="AM205" s="480"/>
      <c r="AN205" s="477">
        <f t="shared" si="117"/>
        <v>0</v>
      </c>
      <c r="AO205" s="480"/>
      <c r="AP205" s="477">
        <f t="shared" si="118"/>
        <v>0</v>
      </c>
      <c r="AQ205" s="480"/>
      <c r="AR205" s="477">
        <f t="shared" si="119"/>
        <v>0</v>
      </c>
      <c r="AS205" s="480"/>
      <c r="AT205" s="477">
        <f t="shared" ca="1" si="120"/>
        <v>0</v>
      </c>
      <c r="AU205" s="475">
        <f t="shared" ca="1" si="121"/>
        <v>0</v>
      </c>
      <c r="AV205" s="480"/>
      <c r="AW205" s="477">
        <f t="shared" si="122"/>
        <v>0</v>
      </c>
      <c r="AX205" s="480"/>
      <c r="AY205" s="477">
        <f t="shared" si="123"/>
        <v>0</v>
      </c>
      <c r="AZ205" s="480"/>
      <c r="BA205" s="477">
        <f t="shared" si="124"/>
        <v>0</v>
      </c>
      <c r="BB205" s="480"/>
      <c r="BC205" s="850">
        <f t="shared" ca="1" si="125"/>
        <v>0</v>
      </c>
    </row>
    <row r="206" spans="1:55" ht="56">
      <c r="A206" s="837" t="str">
        <f t="shared" ca="1" si="97"/>
        <v/>
      </c>
      <c r="B206" s="440">
        <v>200</v>
      </c>
      <c r="C206" s="834" t="str">
        <f t="shared" ca="1" si="98"/>
        <v>6.</v>
      </c>
      <c r="D206" s="1757" t="str">
        <f ca="1">IFERROR(VLOOKUP(LEFT(E206,4),Nom_activ_2!D:G,4,0),"")</f>
        <v>6.5.  Fortificarea implicării comunității și OSC în controlul TB prin abordare centrată pe persoană</v>
      </c>
      <c r="E206" s="1757" t="str">
        <f t="shared" ca="1" si="99"/>
        <v>6.5.2. Realizarea activităților prin granturi mici pentru educare, informare, intervenții pentru creșterea aderenței la tratament, acompanierea și suportul persoanelor care au finalizat tratamentul pentru prevenirea recidivelor.</v>
      </c>
      <c r="F206" s="1777" t="str">
        <f t="shared" ca="1" si="96"/>
        <v>6.5.2.2. Realizarea activităților prin granturi mici pentru educare, informare, intervenții pentru creșterea aderenței (Malul Stang)</v>
      </c>
      <c r="G206" s="839">
        <f t="shared" ca="1" si="96"/>
        <v>0</v>
      </c>
      <c r="H206" s="840" t="str">
        <f t="shared" ca="1" si="96"/>
        <v>Buget local (Malul Stang)</v>
      </c>
      <c r="I206" s="443" t="s">
        <v>3628</v>
      </c>
      <c r="J206" s="838" t="str">
        <f t="shared" si="100"/>
        <v>ONG_TB!$A:$j</v>
      </c>
      <c r="K206" s="475">
        <f t="shared" ca="1" si="101"/>
        <v>0</v>
      </c>
      <c r="L206" s="480"/>
      <c r="M206" s="477">
        <f t="shared" si="102"/>
        <v>0</v>
      </c>
      <c r="N206" s="480"/>
      <c r="O206" s="477">
        <f t="shared" si="103"/>
        <v>0</v>
      </c>
      <c r="P206" s="480"/>
      <c r="Q206" s="477">
        <f t="shared" si="104"/>
        <v>0</v>
      </c>
      <c r="R206" s="480"/>
      <c r="S206" s="477">
        <f t="shared" ca="1" si="105"/>
        <v>0</v>
      </c>
      <c r="T206" s="475">
        <f t="shared" ca="1" si="106"/>
        <v>0</v>
      </c>
      <c r="U206" s="480"/>
      <c r="V206" s="477">
        <f t="shared" si="107"/>
        <v>0</v>
      </c>
      <c r="W206" s="480"/>
      <c r="X206" s="477">
        <f t="shared" si="108"/>
        <v>0</v>
      </c>
      <c r="Y206" s="480"/>
      <c r="Z206" s="477">
        <f t="shared" si="109"/>
        <v>0</v>
      </c>
      <c r="AA206" s="480"/>
      <c r="AB206" s="477">
        <f t="shared" ca="1" si="110"/>
        <v>0</v>
      </c>
      <c r="AC206" s="475">
        <f t="shared" ca="1" si="111"/>
        <v>0</v>
      </c>
      <c r="AD206" s="480"/>
      <c r="AE206" s="477">
        <f t="shared" si="112"/>
        <v>0</v>
      </c>
      <c r="AF206" s="480"/>
      <c r="AG206" s="477">
        <f t="shared" si="113"/>
        <v>0</v>
      </c>
      <c r="AH206" s="480"/>
      <c r="AI206" s="477">
        <f t="shared" si="114"/>
        <v>0</v>
      </c>
      <c r="AJ206" s="480"/>
      <c r="AK206" s="477">
        <f t="shared" ca="1" si="115"/>
        <v>0</v>
      </c>
      <c r="AL206" s="475">
        <f t="shared" ca="1" si="116"/>
        <v>618388.56000000006</v>
      </c>
      <c r="AM206" s="480"/>
      <c r="AN206" s="477">
        <f t="shared" si="117"/>
        <v>0</v>
      </c>
      <c r="AO206" s="480"/>
      <c r="AP206" s="477">
        <f t="shared" si="118"/>
        <v>0</v>
      </c>
      <c r="AQ206" s="480"/>
      <c r="AR206" s="477">
        <f t="shared" si="119"/>
        <v>0</v>
      </c>
      <c r="AS206" s="480"/>
      <c r="AT206" s="477">
        <f t="shared" ca="1" si="120"/>
        <v>618388.56000000006</v>
      </c>
      <c r="AU206" s="475">
        <f t="shared" ca="1" si="121"/>
        <v>619788.15500000003</v>
      </c>
      <c r="AV206" s="480"/>
      <c r="AW206" s="477">
        <f t="shared" si="122"/>
        <v>0</v>
      </c>
      <c r="AX206" s="480"/>
      <c r="AY206" s="477">
        <f t="shared" si="123"/>
        <v>0</v>
      </c>
      <c r="AZ206" s="480"/>
      <c r="BA206" s="477">
        <f t="shared" si="124"/>
        <v>0</v>
      </c>
      <c r="BB206" s="480"/>
      <c r="BC206" s="850">
        <f t="shared" ca="1" si="125"/>
        <v>1238176.7150000001</v>
      </c>
    </row>
    <row r="207" spans="1:55" ht="42">
      <c r="A207" s="837" t="str">
        <f t="shared" ca="1" si="97"/>
        <v/>
      </c>
      <c r="B207" s="440">
        <v>201</v>
      </c>
      <c r="C207" s="834" t="str">
        <f t="shared" ca="1" si="98"/>
        <v>6.</v>
      </c>
      <c r="D207" s="1757" t="str">
        <f ca="1">IFERROR(VLOOKUP(LEFT(E207,4),Nom_activ_2!D:G,4,0),"")</f>
        <v xml:space="preserve">6.6.  Protecția socială, reducerea sărăciei și acțiuni asupra altor factori determinanți ai TB, inclusiv printre migranți si deținuți </v>
      </c>
      <c r="E207" s="1757" t="str">
        <f t="shared" ca="1" si="99"/>
        <v>6.6.3. Elaborarea PSO pentru conduita cazului de TB la solicitanții de azil, inclusiv de transfer transfrontalier a cazului TB</v>
      </c>
      <c r="F207" s="1777" t="str">
        <f t="shared" ref="F207:H226" ca="1" si="126">IFERROR(VLOOKUP($B207,INDIRECT($J207),F$5,0),0)</f>
        <v>6.6.3.1. Elaborarea PSO pentru conduita cazului de TB la solicitanții de azil, inclusiv de transfer transfrontalier a cazului TB</v>
      </c>
      <c r="G207" s="839" t="str">
        <f t="shared" ca="1" si="126"/>
        <v>PAS</v>
      </c>
      <c r="H207" s="840" t="str">
        <f t="shared" ca="1" si="126"/>
        <v>GFATM</v>
      </c>
      <c r="I207" s="443" t="s">
        <v>3468</v>
      </c>
      <c r="J207" s="838" t="str">
        <f t="shared" si="100"/>
        <v>Sisteme_de_sanatate!$A:$j</v>
      </c>
      <c r="K207" s="475">
        <f t="shared" ca="1" si="101"/>
        <v>40000</v>
      </c>
      <c r="L207" s="480"/>
      <c r="M207" s="477">
        <f t="shared" si="102"/>
        <v>0</v>
      </c>
      <c r="N207" s="480"/>
      <c r="O207" s="477">
        <f t="shared" si="103"/>
        <v>0</v>
      </c>
      <c r="P207" s="480"/>
      <c r="Q207" s="477">
        <f t="shared" si="104"/>
        <v>0</v>
      </c>
      <c r="R207" s="480"/>
      <c r="S207" s="477">
        <f t="shared" ca="1" si="105"/>
        <v>40000</v>
      </c>
      <c r="T207" s="475">
        <f t="shared" ca="1" si="106"/>
        <v>0</v>
      </c>
      <c r="U207" s="480"/>
      <c r="V207" s="477">
        <f t="shared" si="107"/>
        <v>0</v>
      </c>
      <c r="W207" s="480"/>
      <c r="X207" s="477">
        <f t="shared" si="108"/>
        <v>0</v>
      </c>
      <c r="Y207" s="480"/>
      <c r="Z207" s="477">
        <f t="shared" si="109"/>
        <v>0</v>
      </c>
      <c r="AA207" s="480"/>
      <c r="AB207" s="477">
        <f t="shared" ca="1" si="110"/>
        <v>0</v>
      </c>
      <c r="AC207" s="475">
        <f t="shared" ca="1" si="111"/>
        <v>0</v>
      </c>
      <c r="AD207" s="480"/>
      <c r="AE207" s="477">
        <f t="shared" si="112"/>
        <v>0</v>
      </c>
      <c r="AF207" s="480"/>
      <c r="AG207" s="477">
        <f t="shared" si="113"/>
        <v>0</v>
      </c>
      <c r="AH207" s="480"/>
      <c r="AI207" s="477">
        <f t="shared" si="114"/>
        <v>0</v>
      </c>
      <c r="AJ207" s="480"/>
      <c r="AK207" s="477">
        <f t="shared" ca="1" si="115"/>
        <v>0</v>
      </c>
      <c r="AL207" s="475">
        <f t="shared" ca="1" si="116"/>
        <v>0</v>
      </c>
      <c r="AM207" s="480"/>
      <c r="AN207" s="477">
        <f t="shared" si="117"/>
        <v>0</v>
      </c>
      <c r="AO207" s="480"/>
      <c r="AP207" s="477">
        <f t="shared" si="118"/>
        <v>0</v>
      </c>
      <c r="AQ207" s="480"/>
      <c r="AR207" s="477">
        <f t="shared" si="119"/>
        <v>0</v>
      </c>
      <c r="AS207" s="480"/>
      <c r="AT207" s="477">
        <f t="shared" ca="1" si="120"/>
        <v>0</v>
      </c>
      <c r="AU207" s="475">
        <f t="shared" ca="1" si="121"/>
        <v>0</v>
      </c>
      <c r="AV207" s="480"/>
      <c r="AW207" s="477">
        <f t="shared" si="122"/>
        <v>0</v>
      </c>
      <c r="AX207" s="480"/>
      <c r="AY207" s="477">
        <f t="shared" si="123"/>
        <v>0</v>
      </c>
      <c r="AZ207" s="480"/>
      <c r="BA207" s="477">
        <f t="shared" si="124"/>
        <v>0</v>
      </c>
      <c r="BB207" s="480"/>
      <c r="BC207" s="850">
        <f t="shared" ca="1" si="125"/>
        <v>40000</v>
      </c>
    </row>
    <row r="208" spans="1:55" ht="42">
      <c r="A208" s="837" t="str">
        <f t="shared" ca="1" si="97"/>
        <v/>
      </c>
      <c r="B208" s="440">
        <v>202</v>
      </c>
      <c r="C208" s="834" t="str">
        <f t="shared" ca="1" si="98"/>
        <v>6.</v>
      </c>
      <c r="D208" s="1757" t="str">
        <f ca="1">IFERROR(VLOOKUP(LEFT(E208,4),Nom_activ_2!D:G,4,0),"")</f>
        <v>6.7.  Realizarea Strategiei de pledoarie, comunicare și mobilizare socială în controlul TB, inclusiv prin reducerea stigmei și discriminării, cu alocarea resurselor necesare</v>
      </c>
      <c r="E208" s="1757" t="str">
        <f t="shared" ca="1" si="99"/>
        <v>6.7.1. Realizarea activităților de educare a pacienților cu TB privind Carta pacientului TB și Declarația Drepturilor Persoanelor cu TB</v>
      </c>
      <c r="F208" s="1777" t="str">
        <f t="shared" ca="1" si="126"/>
        <v>6.7.1.1. Traducere si multiplicare Carta pacientului TB și Declarația Drepturilor Persoanelor cu TB</v>
      </c>
      <c r="G208" s="839" t="str">
        <f t="shared" ca="1" si="126"/>
        <v>PAS</v>
      </c>
      <c r="H208" s="840" t="str">
        <f t="shared" ca="1" si="126"/>
        <v>GFATM</v>
      </c>
      <c r="I208" s="443" t="s">
        <v>3468</v>
      </c>
      <c r="J208" s="838" t="str">
        <f t="shared" si="100"/>
        <v>Sisteme_de_sanatate!$A:$j</v>
      </c>
      <c r="K208" s="475">
        <f t="shared" ca="1" si="101"/>
        <v>0</v>
      </c>
      <c r="L208" s="480"/>
      <c r="M208" s="477">
        <f t="shared" si="102"/>
        <v>0</v>
      </c>
      <c r="N208" s="480"/>
      <c r="O208" s="477">
        <f t="shared" si="103"/>
        <v>0</v>
      </c>
      <c r="P208" s="480"/>
      <c r="Q208" s="477">
        <f t="shared" si="104"/>
        <v>0</v>
      </c>
      <c r="R208" s="480"/>
      <c r="S208" s="477">
        <f t="shared" ca="1" si="105"/>
        <v>0</v>
      </c>
      <c r="T208" s="475">
        <f t="shared" ca="1" si="106"/>
        <v>0</v>
      </c>
      <c r="U208" s="480"/>
      <c r="V208" s="477">
        <f t="shared" si="107"/>
        <v>0</v>
      </c>
      <c r="W208" s="480"/>
      <c r="X208" s="477">
        <f t="shared" si="108"/>
        <v>0</v>
      </c>
      <c r="Y208" s="480"/>
      <c r="Z208" s="477">
        <f t="shared" si="109"/>
        <v>0</v>
      </c>
      <c r="AA208" s="480"/>
      <c r="AB208" s="477">
        <f t="shared" ca="1" si="110"/>
        <v>0</v>
      </c>
      <c r="AC208" s="475">
        <f t="shared" ca="1" si="111"/>
        <v>0</v>
      </c>
      <c r="AD208" s="480"/>
      <c r="AE208" s="477">
        <f t="shared" si="112"/>
        <v>0</v>
      </c>
      <c r="AF208" s="480"/>
      <c r="AG208" s="477">
        <f t="shared" si="113"/>
        <v>0</v>
      </c>
      <c r="AH208" s="480"/>
      <c r="AI208" s="477">
        <f t="shared" si="114"/>
        <v>0</v>
      </c>
      <c r="AJ208" s="480"/>
      <c r="AK208" s="477">
        <f t="shared" ca="1" si="115"/>
        <v>0</v>
      </c>
      <c r="AL208" s="475">
        <f t="shared" ca="1" si="116"/>
        <v>0</v>
      </c>
      <c r="AM208" s="480"/>
      <c r="AN208" s="477">
        <f t="shared" si="117"/>
        <v>0</v>
      </c>
      <c r="AO208" s="480"/>
      <c r="AP208" s="477">
        <f t="shared" si="118"/>
        <v>0</v>
      </c>
      <c r="AQ208" s="480"/>
      <c r="AR208" s="477">
        <f t="shared" si="119"/>
        <v>0</v>
      </c>
      <c r="AS208" s="480"/>
      <c r="AT208" s="477">
        <f t="shared" ca="1" si="120"/>
        <v>0</v>
      </c>
      <c r="AU208" s="475">
        <f t="shared" ca="1" si="121"/>
        <v>0</v>
      </c>
      <c r="AV208" s="480"/>
      <c r="AW208" s="477">
        <f t="shared" si="122"/>
        <v>0</v>
      </c>
      <c r="AX208" s="480"/>
      <c r="AY208" s="477">
        <f t="shared" si="123"/>
        <v>0</v>
      </c>
      <c r="AZ208" s="480"/>
      <c r="BA208" s="477">
        <f t="shared" si="124"/>
        <v>0</v>
      </c>
      <c r="BB208" s="480"/>
      <c r="BC208" s="850">
        <f t="shared" ca="1" si="125"/>
        <v>0</v>
      </c>
    </row>
    <row r="209" spans="1:61" ht="42">
      <c r="A209" s="837" t="str">
        <f t="shared" ca="1" si="97"/>
        <v/>
      </c>
      <c r="B209" s="440">
        <v>203</v>
      </c>
      <c r="C209" s="834" t="str">
        <f t="shared" ca="1" si="98"/>
        <v>6.</v>
      </c>
      <c r="D209" s="1757" t="str">
        <f ca="1">IFERROR(VLOOKUP(LEFT(E209,4),Nom_activ_2!D:G,4,0),"")</f>
        <v>6.7.  Realizarea Strategiei de pledoarie, comunicare și mobilizare socială în controlul TB, inclusiv prin reducerea stigmei și discriminării, cu alocarea resurselor necesare</v>
      </c>
      <c r="E209" s="1757" t="str">
        <f t="shared" ca="1" si="99"/>
        <v>6.7.1. Realizarea activităților de educare a pacienților cu TB privind Carta pacientului TB și Declarația Drepturilor Persoanelor cu TB</v>
      </c>
      <c r="F209" s="1777" t="str">
        <f t="shared" ca="1" si="126"/>
        <v>6.7.1.2. Elaborarea unui spot video</v>
      </c>
      <c r="G209" s="839" t="str">
        <f t="shared" ca="1" si="126"/>
        <v>PAS</v>
      </c>
      <c r="H209" s="840" t="str">
        <f t="shared" ca="1" si="126"/>
        <v>GFATM</v>
      </c>
      <c r="I209" s="443" t="s">
        <v>3468</v>
      </c>
      <c r="J209" s="838" t="str">
        <f t="shared" si="100"/>
        <v>Sisteme_de_sanatate!$A:$j</v>
      </c>
      <c r="K209" s="475">
        <f t="shared" ca="1" si="101"/>
        <v>0</v>
      </c>
      <c r="L209" s="480"/>
      <c r="M209" s="477">
        <f t="shared" si="102"/>
        <v>0</v>
      </c>
      <c r="N209" s="480"/>
      <c r="O209" s="477">
        <f t="shared" si="103"/>
        <v>0</v>
      </c>
      <c r="P209" s="480"/>
      <c r="Q209" s="477">
        <f t="shared" si="104"/>
        <v>0</v>
      </c>
      <c r="R209" s="480"/>
      <c r="S209" s="477">
        <f t="shared" ca="1" si="105"/>
        <v>0</v>
      </c>
      <c r="T209" s="475">
        <f t="shared" ca="1" si="106"/>
        <v>0</v>
      </c>
      <c r="U209" s="480"/>
      <c r="V209" s="477">
        <f t="shared" si="107"/>
        <v>0</v>
      </c>
      <c r="W209" s="480"/>
      <c r="X209" s="477">
        <f t="shared" si="108"/>
        <v>0</v>
      </c>
      <c r="Y209" s="480"/>
      <c r="Z209" s="477">
        <f t="shared" si="109"/>
        <v>0</v>
      </c>
      <c r="AA209" s="480"/>
      <c r="AB209" s="477">
        <f t="shared" ca="1" si="110"/>
        <v>0</v>
      </c>
      <c r="AC209" s="475">
        <f t="shared" ca="1" si="111"/>
        <v>0</v>
      </c>
      <c r="AD209" s="480"/>
      <c r="AE209" s="477">
        <f t="shared" si="112"/>
        <v>0</v>
      </c>
      <c r="AF209" s="480"/>
      <c r="AG209" s="477">
        <f t="shared" si="113"/>
        <v>0</v>
      </c>
      <c r="AH209" s="480"/>
      <c r="AI209" s="477">
        <f t="shared" si="114"/>
        <v>0</v>
      </c>
      <c r="AJ209" s="480"/>
      <c r="AK209" s="477">
        <f t="shared" ca="1" si="115"/>
        <v>0</v>
      </c>
      <c r="AL209" s="475">
        <f t="shared" ca="1" si="116"/>
        <v>0</v>
      </c>
      <c r="AM209" s="480"/>
      <c r="AN209" s="477">
        <f t="shared" si="117"/>
        <v>0</v>
      </c>
      <c r="AO209" s="480"/>
      <c r="AP209" s="477">
        <f t="shared" si="118"/>
        <v>0</v>
      </c>
      <c r="AQ209" s="480"/>
      <c r="AR209" s="477">
        <f t="shared" si="119"/>
        <v>0</v>
      </c>
      <c r="AS209" s="480"/>
      <c r="AT209" s="477">
        <f t="shared" ca="1" si="120"/>
        <v>0</v>
      </c>
      <c r="AU209" s="475">
        <f t="shared" ca="1" si="121"/>
        <v>0</v>
      </c>
      <c r="AV209" s="480"/>
      <c r="AW209" s="477">
        <f t="shared" si="122"/>
        <v>0</v>
      </c>
      <c r="AX209" s="480"/>
      <c r="AY209" s="477">
        <f t="shared" si="123"/>
        <v>0</v>
      </c>
      <c r="AZ209" s="480"/>
      <c r="BA209" s="477">
        <f t="shared" si="124"/>
        <v>0</v>
      </c>
      <c r="BB209" s="480"/>
      <c r="BC209" s="850">
        <f t="shared" ca="1" si="125"/>
        <v>0</v>
      </c>
    </row>
    <row r="210" spans="1:61" ht="42">
      <c r="A210" s="837" t="str">
        <f t="shared" ca="1" si="97"/>
        <v/>
      </c>
      <c r="B210" s="440">
        <v>204</v>
      </c>
      <c r="C210" s="834" t="str">
        <f t="shared" ca="1" si="98"/>
        <v>6.</v>
      </c>
      <c r="D210" s="1757" t="str">
        <f ca="1">IFERROR(VLOOKUP(LEFT(E210,4),Nom_activ_2!D:G,4,0),"")</f>
        <v>6.7.  Realizarea Strategiei de pledoarie, comunicare și mobilizare socială în controlul TB, inclusiv prin reducerea stigmei și discriminării, cu alocarea resurselor necesare</v>
      </c>
      <c r="E210" s="1757" t="str">
        <f t="shared" ca="1" si="99"/>
        <v xml:space="preserve">6.7.2. Dezvoltarea instrumentelor inovative de comunicare prin utilizarea tehnologiilor informaționale </v>
      </c>
      <c r="F210" s="1777" t="str">
        <f t="shared" ca="1" si="126"/>
        <v>6.7.2.1. Ajustare sistem VOT</v>
      </c>
      <c r="G210" s="839" t="str">
        <f t="shared" ca="1" si="126"/>
        <v>PAS</v>
      </c>
      <c r="H210" s="840" t="str">
        <f t="shared" ca="1" si="126"/>
        <v>GFATM</v>
      </c>
      <c r="I210" s="443" t="s">
        <v>3468</v>
      </c>
      <c r="J210" s="838" t="str">
        <f t="shared" si="100"/>
        <v>Sisteme_de_sanatate!$A:$j</v>
      </c>
      <c r="K210" s="475">
        <f t="shared" ca="1" si="101"/>
        <v>116508</v>
      </c>
      <c r="L210" s="480"/>
      <c r="M210" s="477">
        <f t="shared" si="102"/>
        <v>0</v>
      </c>
      <c r="N210" s="480"/>
      <c r="O210" s="477">
        <f t="shared" si="103"/>
        <v>0</v>
      </c>
      <c r="P210" s="480"/>
      <c r="Q210" s="477">
        <f t="shared" si="104"/>
        <v>0</v>
      </c>
      <c r="R210" s="480"/>
      <c r="S210" s="477">
        <f t="shared" ca="1" si="105"/>
        <v>116508</v>
      </c>
      <c r="T210" s="475">
        <f t="shared" ca="1" si="106"/>
        <v>0</v>
      </c>
      <c r="U210" s="480"/>
      <c r="V210" s="477">
        <f t="shared" si="107"/>
        <v>0</v>
      </c>
      <c r="W210" s="480"/>
      <c r="X210" s="477">
        <f t="shared" si="108"/>
        <v>0</v>
      </c>
      <c r="Y210" s="480"/>
      <c r="Z210" s="477">
        <f t="shared" si="109"/>
        <v>0</v>
      </c>
      <c r="AA210" s="480"/>
      <c r="AB210" s="477">
        <f t="shared" ca="1" si="110"/>
        <v>0</v>
      </c>
      <c r="AC210" s="475">
        <f t="shared" ca="1" si="111"/>
        <v>0</v>
      </c>
      <c r="AD210" s="480"/>
      <c r="AE210" s="477">
        <f t="shared" si="112"/>
        <v>0</v>
      </c>
      <c r="AF210" s="480"/>
      <c r="AG210" s="477">
        <f t="shared" si="113"/>
        <v>0</v>
      </c>
      <c r="AH210" s="480"/>
      <c r="AI210" s="477">
        <f t="shared" si="114"/>
        <v>0</v>
      </c>
      <c r="AJ210" s="480"/>
      <c r="AK210" s="477">
        <f t="shared" ca="1" si="115"/>
        <v>0</v>
      </c>
      <c r="AL210" s="475">
        <f t="shared" ca="1" si="116"/>
        <v>0</v>
      </c>
      <c r="AM210" s="480"/>
      <c r="AN210" s="477">
        <f t="shared" si="117"/>
        <v>0</v>
      </c>
      <c r="AO210" s="480"/>
      <c r="AP210" s="477">
        <f t="shared" si="118"/>
        <v>0</v>
      </c>
      <c r="AQ210" s="480"/>
      <c r="AR210" s="477">
        <f t="shared" si="119"/>
        <v>0</v>
      </c>
      <c r="AS210" s="480"/>
      <c r="AT210" s="477">
        <f t="shared" ca="1" si="120"/>
        <v>0</v>
      </c>
      <c r="AU210" s="475">
        <f t="shared" ca="1" si="121"/>
        <v>0</v>
      </c>
      <c r="AV210" s="480"/>
      <c r="AW210" s="477">
        <f t="shared" si="122"/>
        <v>0</v>
      </c>
      <c r="AX210" s="480"/>
      <c r="AY210" s="477">
        <f t="shared" si="123"/>
        <v>0</v>
      </c>
      <c r="AZ210" s="480"/>
      <c r="BA210" s="477">
        <f t="shared" si="124"/>
        <v>0</v>
      </c>
      <c r="BB210" s="480"/>
      <c r="BC210" s="850">
        <f t="shared" ca="1" si="125"/>
        <v>116508</v>
      </c>
      <c r="BF210"/>
      <c r="BG210"/>
      <c r="BH210"/>
      <c r="BI210"/>
    </row>
    <row r="211" spans="1:61" ht="42">
      <c r="A211" s="837" t="str">
        <f t="shared" ca="1" si="97"/>
        <v/>
      </c>
      <c r="B211" s="440">
        <v>205</v>
      </c>
      <c r="C211" s="834" t="str">
        <f t="shared" ca="1" si="98"/>
        <v>6.</v>
      </c>
      <c r="D211" s="1757" t="str">
        <f ca="1">IFERROR(VLOOKUP(LEFT(E211,4),Nom_activ_2!D:G,4,0),"")</f>
        <v>6.7.  Realizarea Strategiei de pledoarie, comunicare și mobilizare socială în controlul TB, inclusiv prin reducerea stigmei și discriminării, cu alocarea resurselor necesare</v>
      </c>
      <c r="E211" s="1757" t="str">
        <f t="shared" ca="1" si="99"/>
        <v xml:space="preserve">6.7.3. Dezvoltarea și implementarea mecanismelor de monitorizare a calității serviciilor TB în raport cu respectarea drepturilor pacientului </v>
      </c>
      <c r="F211" s="1777" t="str">
        <f t="shared" ca="1" si="126"/>
        <v>6.7.3.1. Organizarea instruirilor pentru persoanele care urmează tratament TB în utilizarea aplicațiilor;</v>
      </c>
      <c r="G211" s="839" t="str">
        <f t="shared" ca="1" si="126"/>
        <v>PAS</v>
      </c>
      <c r="H211" s="840" t="str">
        <f t="shared" ca="1" si="126"/>
        <v>GFATM</v>
      </c>
      <c r="I211" s="443" t="s">
        <v>3468</v>
      </c>
      <c r="J211" s="838" t="str">
        <f t="shared" si="100"/>
        <v>Sisteme_de_sanatate!$A:$j</v>
      </c>
      <c r="K211" s="475">
        <f t="shared" ca="1" si="101"/>
        <v>83845.2</v>
      </c>
      <c r="L211" s="480"/>
      <c r="M211" s="477">
        <f t="shared" si="102"/>
        <v>0</v>
      </c>
      <c r="N211" s="480"/>
      <c r="O211" s="477">
        <f t="shared" si="103"/>
        <v>0</v>
      </c>
      <c r="P211" s="480"/>
      <c r="Q211" s="477">
        <f t="shared" si="104"/>
        <v>0</v>
      </c>
      <c r="R211" s="480"/>
      <c r="S211" s="477">
        <f t="shared" ca="1" si="105"/>
        <v>83845.2</v>
      </c>
      <c r="T211" s="475">
        <f t="shared" ca="1" si="106"/>
        <v>83845.2</v>
      </c>
      <c r="U211" s="480"/>
      <c r="V211" s="477">
        <f t="shared" si="107"/>
        <v>0</v>
      </c>
      <c r="W211" s="480"/>
      <c r="X211" s="477">
        <f t="shared" si="108"/>
        <v>0</v>
      </c>
      <c r="Y211" s="480"/>
      <c r="Z211" s="477">
        <f t="shared" si="109"/>
        <v>0</v>
      </c>
      <c r="AA211" s="480"/>
      <c r="AB211" s="477">
        <f t="shared" ca="1" si="110"/>
        <v>83845.2</v>
      </c>
      <c r="AC211" s="475">
        <f t="shared" ca="1" si="111"/>
        <v>83845.2</v>
      </c>
      <c r="AD211" s="480"/>
      <c r="AE211" s="477">
        <f t="shared" si="112"/>
        <v>0</v>
      </c>
      <c r="AF211" s="480"/>
      <c r="AG211" s="477">
        <f t="shared" si="113"/>
        <v>0</v>
      </c>
      <c r="AH211" s="480"/>
      <c r="AI211" s="477">
        <f t="shared" si="114"/>
        <v>0</v>
      </c>
      <c r="AJ211" s="480"/>
      <c r="AK211" s="477">
        <f t="shared" ca="1" si="115"/>
        <v>83845.2</v>
      </c>
      <c r="AL211" s="475">
        <f t="shared" ca="1" si="116"/>
        <v>0</v>
      </c>
      <c r="AM211" s="480"/>
      <c r="AN211" s="477">
        <f t="shared" si="117"/>
        <v>0</v>
      </c>
      <c r="AO211" s="480"/>
      <c r="AP211" s="477">
        <f t="shared" si="118"/>
        <v>0</v>
      </c>
      <c r="AQ211" s="480"/>
      <c r="AR211" s="477">
        <f t="shared" si="119"/>
        <v>0</v>
      </c>
      <c r="AS211" s="480"/>
      <c r="AT211" s="477">
        <f t="shared" ca="1" si="120"/>
        <v>0</v>
      </c>
      <c r="AU211" s="475">
        <f t="shared" ca="1" si="121"/>
        <v>0</v>
      </c>
      <c r="AV211" s="480"/>
      <c r="AW211" s="477">
        <f t="shared" si="122"/>
        <v>0</v>
      </c>
      <c r="AX211" s="480"/>
      <c r="AY211" s="477">
        <f t="shared" si="123"/>
        <v>0</v>
      </c>
      <c r="AZ211" s="480"/>
      <c r="BA211" s="477">
        <f t="shared" si="124"/>
        <v>0</v>
      </c>
      <c r="BB211" s="480"/>
      <c r="BC211" s="850">
        <f t="shared" ca="1" si="125"/>
        <v>251535.59999999998</v>
      </c>
      <c r="BF211"/>
      <c r="BG211"/>
      <c r="BH211"/>
      <c r="BI211"/>
    </row>
    <row r="212" spans="1:61" ht="42">
      <c r="A212" s="837" t="str">
        <f t="shared" ca="1" si="97"/>
        <v/>
      </c>
      <c r="B212" s="440">
        <v>206</v>
      </c>
      <c r="C212" s="834" t="str">
        <f t="shared" ca="1" si="98"/>
        <v>6.</v>
      </c>
      <c r="D212" s="1757" t="str">
        <f ca="1">IFERROR(VLOOKUP(LEFT(E212,4),Nom_activ_2!D:G,4,0),"")</f>
        <v>6.7.  Realizarea Strategiei de pledoarie, comunicare și mobilizare socială în controlul TB, inclusiv prin reducerea stigmei și discriminării, cu alocarea resurselor necesare</v>
      </c>
      <c r="E212" s="1757" t="str">
        <f t="shared" ca="1" si="99"/>
        <v xml:space="preserve">6.7.3. Dezvoltarea și implementarea mecanismelor de monitorizare a calității serviciilor TB în raport cu respectarea drepturilor pacientului </v>
      </c>
      <c r="F212" s="1777" t="str">
        <f t="shared" ca="1" si="126"/>
        <v xml:space="preserve">6.7.3.2. Dezvoltarea și implementarea mecanismelor de monitorizare a calității serviciilor TB în raport cu respectarea drepturilor pacientului </v>
      </c>
      <c r="G212" s="839" t="str">
        <f t="shared" ca="1" si="126"/>
        <v>PAS</v>
      </c>
      <c r="H212" s="840" t="str">
        <f t="shared" ca="1" si="126"/>
        <v>GFATM</v>
      </c>
      <c r="I212" s="443" t="s">
        <v>3468</v>
      </c>
      <c r="J212" s="838" t="str">
        <f t="shared" si="100"/>
        <v>Sisteme_de_sanatate!$A:$j</v>
      </c>
      <c r="K212" s="475">
        <f t="shared" ca="1" si="101"/>
        <v>35000</v>
      </c>
      <c r="L212" s="480"/>
      <c r="M212" s="477">
        <f t="shared" si="102"/>
        <v>0</v>
      </c>
      <c r="N212" s="480"/>
      <c r="O212" s="477">
        <f t="shared" si="103"/>
        <v>0</v>
      </c>
      <c r="P212" s="480"/>
      <c r="Q212" s="477">
        <f t="shared" si="104"/>
        <v>0</v>
      </c>
      <c r="R212" s="480"/>
      <c r="S212" s="477">
        <f t="shared" ca="1" si="105"/>
        <v>35000</v>
      </c>
      <c r="T212" s="475">
        <f t="shared" ca="1" si="106"/>
        <v>35000</v>
      </c>
      <c r="U212" s="480"/>
      <c r="V212" s="477">
        <f t="shared" si="107"/>
        <v>0</v>
      </c>
      <c r="W212" s="480"/>
      <c r="X212" s="477">
        <f t="shared" si="108"/>
        <v>0</v>
      </c>
      <c r="Y212" s="480"/>
      <c r="Z212" s="477">
        <f t="shared" si="109"/>
        <v>0</v>
      </c>
      <c r="AA212" s="480"/>
      <c r="AB212" s="477">
        <f t="shared" ca="1" si="110"/>
        <v>35000</v>
      </c>
      <c r="AC212" s="475">
        <f t="shared" ca="1" si="111"/>
        <v>35000</v>
      </c>
      <c r="AD212" s="480"/>
      <c r="AE212" s="477">
        <f t="shared" si="112"/>
        <v>0</v>
      </c>
      <c r="AF212" s="480"/>
      <c r="AG212" s="477">
        <f t="shared" si="113"/>
        <v>0</v>
      </c>
      <c r="AH212" s="480"/>
      <c r="AI212" s="477">
        <f t="shared" si="114"/>
        <v>0</v>
      </c>
      <c r="AJ212" s="480"/>
      <c r="AK212" s="477">
        <f t="shared" ca="1" si="115"/>
        <v>35000</v>
      </c>
      <c r="AL212" s="475">
        <f t="shared" ca="1" si="116"/>
        <v>0</v>
      </c>
      <c r="AM212" s="480"/>
      <c r="AN212" s="477">
        <f t="shared" si="117"/>
        <v>0</v>
      </c>
      <c r="AO212" s="480"/>
      <c r="AP212" s="477">
        <f t="shared" si="118"/>
        <v>0</v>
      </c>
      <c r="AQ212" s="480"/>
      <c r="AR212" s="477">
        <f t="shared" si="119"/>
        <v>0</v>
      </c>
      <c r="AS212" s="480"/>
      <c r="AT212" s="477">
        <f t="shared" ca="1" si="120"/>
        <v>0</v>
      </c>
      <c r="AU212" s="475">
        <f t="shared" ca="1" si="121"/>
        <v>0</v>
      </c>
      <c r="AV212" s="480"/>
      <c r="AW212" s="477">
        <f t="shared" si="122"/>
        <v>0</v>
      </c>
      <c r="AX212" s="480"/>
      <c r="AY212" s="477">
        <f t="shared" si="123"/>
        <v>0</v>
      </c>
      <c r="AZ212" s="480"/>
      <c r="BA212" s="477">
        <f t="shared" si="124"/>
        <v>0</v>
      </c>
      <c r="BB212" s="480"/>
      <c r="BC212" s="850">
        <f t="shared" ca="1" si="125"/>
        <v>105000</v>
      </c>
      <c r="BF212"/>
      <c r="BG212"/>
      <c r="BH212"/>
      <c r="BI212"/>
    </row>
    <row r="213" spans="1:61" ht="42">
      <c r="A213" s="837" t="str">
        <f t="shared" ca="1" si="97"/>
        <v/>
      </c>
      <c r="B213" s="440">
        <v>207</v>
      </c>
      <c r="C213" s="834" t="str">
        <f t="shared" ca="1" si="98"/>
        <v>6.</v>
      </c>
      <c r="D213" s="1757" t="str">
        <f ca="1">IFERROR(VLOOKUP(LEFT(E213,4),Nom_activ_2!D:G,4,0),"")</f>
        <v>6.7.  Realizarea Strategiei de pledoarie, comunicare și mobilizare socială în controlul TB, inclusiv prin reducerea stigmei și discriminării, cu alocarea resurselor necesare</v>
      </c>
      <c r="E213" s="1757" t="str">
        <f t="shared" ca="1" si="99"/>
        <v xml:space="preserve">6.7.3. Dezvoltarea și implementarea mecanismelor de monitorizare a calității serviciilor TB în raport cu respectarea drepturilor pacientului </v>
      </c>
      <c r="F213" s="1777" t="str">
        <f t="shared" ca="1" si="126"/>
        <v xml:space="preserve">6.7.3.3. Dezvoltarea unui algoritm de schimb de date intre PNCT si ONG.
</v>
      </c>
      <c r="G213" s="839" t="str">
        <f t="shared" ca="1" si="126"/>
        <v>PAS</v>
      </c>
      <c r="H213" s="840" t="str">
        <f t="shared" ca="1" si="126"/>
        <v>GFATM</v>
      </c>
      <c r="I213" s="443" t="s">
        <v>3468</v>
      </c>
      <c r="J213" s="838" t="str">
        <f t="shared" si="100"/>
        <v>Sisteme_de_sanatate!$A:$j</v>
      </c>
      <c r="K213" s="475">
        <f t="shared" ca="1" si="101"/>
        <v>0</v>
      </c>
      <c r="L213" s="480"/>
      <c r="M213" s="477">
        <f t="shared" si="102"/>
        <v>0</v>
      </c>
      <c r="N213" s="480"/>
      <c r="O213" s="477">
        <f t="shared" si="103"/>
        <v>0</v>
      </c>
      <c r="P213" s="480"/>
      <c r="Q213" s="477">
        <f t="shared" si="104"/>
        <v>0</v>
      </c>
      <c r="R213" s="480"/>
      <c r="S213" s="477">
        <f t="shared" ca="1" si="105"/>
        <v>0</v>
      </c>
      <c r="T213" s="475">
        <f t="shared" ca="1" si="106"/>
        <v>20000</v>
      </c>
      <c r="U213" s="480"/>
      <c r="V213" s="477">
        <f t="shared" si="107"/>
        <v>0</v>
      </c>
      <c r="W213" s="480"/>
      <c r="X213" s="477">
        <f t="shared" si="108"/>
        <v>0</v>
      </c>
      <c r="Y213" s="480"/>
      <c r="Z213" s="477">
        <f t="shared" si="109"/>
        <v>0</v>
      </c>
      <c r="AA213" s="480"/>
      <c r="AB213" s="477">
        <f t="shared" ca="1" si="110"/>
        <v>20000</v>
      </c>
      <c r="AC213" s="475">
        <f t="shared" ca="1" si="111"/>
        <v>0</v>
      </c>
      <c r="AD213" s="480"/>
      <c r="AE213" s="477">
        <f t="shared" si="112"/>
        <v>0</v>
      </c>
      <c r="AF213" s="480"/>
      <c r="AG213" s="477">
        <f t="shared" si="113"/>
        <v>0</v>
      </c>
      <c r="AH213" s="480"/>
      <c r="AI213" s="477">
        <f t="shared" si="114"/>
        <v>0</v>
      </c>
      <c r="AJ213" s="480"/>
      <c r="AK213" s="477">
        <f t="shared" ca="1" si="115"/>
        <v>0</v>
      </c>
      <c r="AL213" s="475">
        <f t="shared" ca="1" si="116"/>
        <v>0</v>
      </c>
      <c r="AM213" s="480"/>
      <c r="AN213" s="477">
        <f t="shared" si="117"/>
        <v>0</v>
      </c>
      <c r="AO213" s="480"/>
      <c r="AP213" s="477">
        <f t="shared" si="118"/>
        <v>0</v>
      </c>
      <c r="AQ213" s="480"/>
      <c r="AR213" s="477">
        <f t="shared" si="119"/>
        <v>0</v>
      </c>
      <c r="AS213" s="480"/>
      <c r="AT213" s="477">
        <f t="shared" ca="1" si="120"/>
        <v>0</v>
      </c>
      <c r="AU213" s="475">
        <f t="shared" ca="1" si="121"/>
        <v>0</v>
      </c>
      <c r="AV213" s="480"/>
      <c r="AW213" s="477">
        <f t="shared" si="122"/>
        <v>0</v>
      </c>
      <c r="AX213" s="480"/>
      <c r="AY213" s="477">
        <f t="shared" si="123"/>
        <v>0</v>
      </c>
      <c r="AZ213" s="480"/>
      <c r="BA213" s="477">
        <f t="shared" si="124"/>
        <v>0</v>
      </c>
      <c r="BB213" s="480"/>
      <c r="BC213" s="850">
        <f t="shared" ca="1" si="125"/>
        <v>20000</v>
      </c>
      <c r="BF213"/>
      <c r="BG213"/>
      <c r="BH213"/>
      <c r="BI213"/>
    </row>
    <row r="214" spans="1:61" ht="42">
      <c r="A214" s="837" t="str">
        <f t="shared" ca="1" si="97"/>
        <v/>
      </c>
      <c r="B214" s="440">
        <v>208</v>
      </c>
      <c r="C214" s="834" t="str">
        <f t="shared" ca="1" si="98"/>
        <v>6.</v>
      </c>
      <c r="D214" s="1757" t="str">
        <f ca="1">IFERROR(VLOOKUP(LEFT(E214,4),Nom_activ_2!D:G,4,0),"")</f>
        <v>6.7.  Realizarea Strategiei de pledoarie, comunicare și mobilizare socială în controlul TB, inclusiv prin reducerea stigmei și discriminării, cu alocarea resurselor necesare</v>
      </c>
      <c r="E214" s="1757" t="str">
        <f t="shared" ca="1" si="99"/>
        <v xml:space="preserve">6.7.3. Dezvoltarea și implementarea mecanismelor de monitorizare a calității serviciilor TB în raport cu respectarea drepturilor pacientului </v>
      </c>
      <c r="F214" s="1777" t="str">
        <f t="shared" ca="1" si="126"/>
        <v xml:space="preserve">6.7.3.4. Dezvoltarea și implementarea mecanismelor de monitorizare a calității serviciilor TB în raport cu respectarea drepturilor pacientului </v>
      </c>
      <c r="G214" s="839" t="str">
        <f t="shared" ca="1" si="126"/>
        <v>PAS</v>
      </c>
      <c r="H214" s="840" t="str">
        <f t="shared" ca="1" si="126"/>
        <v>GFATM</v>
      </c>
      <c r="I214" s="443" t="s">
        <v>3468</v>
      </c>
      <c r="J214" s="838" t="str">
        <f t="shared" si="100"/>
        <v>Sisteme_de_sanatate!$A:$j</v>
      </c>
      <c r="K214" s="475">
        <f t="shared" ca="1" si="101"/>
        <v>17548</v>
      </c>
      <c r="L214" s="480"/>
      <c r="M214" s="477">
        <f t="shared" si="102"/>
        <v>0</v>
      </c>
      <c r="N214" s="480"/>
      <c r="O214" s="477">
        <f t="shared" si="103"/>
        <v>0</v>
      </c>
      <c r="P214" s="480"/>
      <c r="Q214" s="477">
        <f t="shared" si="104"/>
        <v>0</v>
      </c>
      <c r="R214" s="480"/>
      <c r="S214" s="477">
        <f t="shared" ca="1" si="105"/>
        <v>17548</v>
      </c>
      <c r="T214" s="475">
        <f t="shared" ca="1" si="106"/>
        <v>17548</v>
      </c>
      <c r="U214" s="480"/>
      <c r="V214" s="477">
        <f t="shared" si="107"/>
        <v>0</v>
      </c>
      <c r="W214" s="480"/>
      <c r="X214" s="477">
        <f t="shared" si="108"/>
        <v>0</v>
      </c>
      <c r="Y214" s="480"/>
      <c r="Z214" s="477">
        <f t="shared" si="109"/>
        <v>0</v>
      </c>
      <c r="AA214" s="480"/>
      <c r="AB214" s="477">
        <f t="shared" ca="1" si="110"/>
        <v>17548</v>
      </c>
      <c r="AC214" s="475">
        <f t="shared" ca="1" si="111"/>
        <v>17548</v>
      </c>
      <c r="AD214" s="480"/>
      <c r="AE214" s="477">
        <f t="shared" si="112"/>
        <v>0</v>
      </c>
      <c r="AF214" s="480"/>
      <c r="AG214" s="477">
        <f t="shared" si="113"/>
        <v>0</v>
      </c>
      <c r="AH214" s="480"/>
      <c r="AI214" s="477">
        <f t="shared" si="114"/>
        <v>0</v>
      </c>
      <c r="AJ214" s="480"/>
      <c r="AK214" s="477">
        <f t="shared" ca="1" si="115"/>
        <v>17548</v>
      </c>
      <c r="AL214" s="475">
        <f t="shared" ca="1" si="116"/>
        <v>0</v>
      </c>
      <c r="AM214" s="480"/>
      <c r="AN214" s="477">
        <f t="shared" si="117"/>
        <v>0</v>
      </c>
      <c r="AO214" s="480"/>
      <c r="AP214" s="477">
        <f t="shared" si="118"/>
        <v>0</v>
      </c>
      <c r="AQ214" s="480"/>
      <c r="AR214" s="477">
        <f t="shared" si="119"/>
        <v>0</v>
      </c>
      <c r="AS214" s="480"/>
      <c r="AT214" s="477">
        <f t="shared" ca="1" si="120"/>
        <v>0</v>
      </c>
      <c r="AU214" s="475">
        <f t="shared" ca="1" si="121"/>
        <v>0</v>
      </c>
      <c r="AV214" s="480"/>
      <c r="AW214" s="477">
        <f t="shared" si="122"/>
        <v>0</v>
      </c>
      <c r="AX214" s="480"/>
      <c r="AY214" s="477">
        <f t="shared" si="123"/>
        <v>0</v>
      </c>
      <c r="AZ214" s="480"/>
      <c r="BA214" s="477">
        <f t="shared" si="124"/>
        <v>0</v>
      </c>
      <c r="BB214" s="480"/>
      <c r="BC214" s="850">
        <f t="shared" ca="1" si="125"/>
        <v>52644</v>
      </c>
      <c r="BF214"/>
      <c r="BG214"/>
      <c r="BH214"/>
      <c r="BI214"/>
    </row>
    <row r="215" spans="1:61" ht="28">
      <c r="A215" s="837" t="str">
        <f t="shared" ca="1" si="97"/>
        <v/>
      </c>
      <c r="B215" s="440">
        <v>209</v>
      </c>
      <c r="C215" s="834" t="str">
        <f t="shared" ca="1" si="98"/>
        <v>7.</v>
      </c>
      <c r="D215" s="1757" t="str">
        <f ca="1">IFERROR(VLOOKUP(LEFT(E215,4),Nom_activ_2!D:G,4,0),"")</f>
        <v>7.2.  Realizarea studiilor operaționale</v>
      </c>
      <c r="E215" s="1757" t="str">
        <f t="shared" ca="1" si="99"/>
        <v>7.2.3. Participarea OSC în  realizarea studiilor operaționale, inclusiv în realizarea acestora la nivel de comunitate</v>
      </c>
      <c r="F215" s="1777" t="str">
        <f t="shared" ca="1" si="126"/>
        <v>7.2.3.1. Realizarea a doua studii de cheltuieli catastrofice pentru pacientul cu TB</v>
      </c>
      <c r="G215" s="839" t="str">
        <f t="shared" ca="1" si="126"/>
        <v>PAS</v>
      </c>
      <c r="H215" s="840" t="str">
        <f t="shared" ca="1" si="126"/>
        <v>GFATM</v>
      </c>
      <c r="I215" s="443" t="s">
        <v>3468</v>
      </c>
      <c r="J215" s="838" t="str">
        <f t="shared" si="100"/>
        <v>Sisteme_de_sanatate!$A:$j</v>
      </c>
      <c r="K215" s="475">
        <f t="shared" ca="1" si="101"/>
        <v>0</v>
      </c>
      <c r="L215" s="480"/>
      <c r="M215" s="477">
        <f t="shared" si="102"/>
        <v>0</v>
      </c>
      <c r="N215" s="480"/>
      <c r="O215" s="477">
        <f t="shared" si="103"/>
        <v>0</v>
      </c>
      <c r="P215" s="480"/>
      <c r="Q215" s="477">
        <f t="shared" si="104"/>
        <v>0</v>
      </c>
      <c r="R215" s="480"/>
      <c r="S215" s="477">
        <f t="shared" ca="1" si="105"/>
        <v>0</v>
      </c>
      <c r="T215" s="475">
        <f t="shared" ca="1" si="106"/>
        <v>0</v>
      </c>
      <c r="U215" s="480"/>
      <c r="V215" s="477">
        <f t="shared" si="107"/>
        <v>0</v>
      </c>
      <c r="W215" s="480"/>
      <c r="X215" s="477">
        <f t="shared" si="108"/>
        <v>0</v>
      </c>
      <c r="Y215" s="480"/>
      <c r="Z215" s="477">
        <f t="shared" si="109"/>
        <v>0</v>
      </c>
      <c r="AA215" s="480"/>
      <c r="AB215" s="477">
        <f t="shared" ca="1" si="110"/>
        <v>0</v>
      </c>
      <c r="AC215" s="475">
        <f t="shared" ca="1" si="111"/>
        <v>256000</v>
      </c>
      <c r="AD215" s="480"/>
      <c r="AE215" s="477">
        <f t="shared" si="112"/>
        <v>0</v>
      </c>
      <c r="AF215" s="480"/>
      <c r="AG215" s="477">
        <f t="shared" si="113"/>
        <v>0</v>
      </c>
      <c r="AH215" s="480"/>
      <c r="AI215" s="477">
        <f t="shared" si="114"/>
        <v>0</v>
      </c>
      <c r="AJ215" s="480"/>
      <c r="AK215" s="477">
        <f t="shared" ca="1" si="115"/>
        <v>256000</v>
      </c>
      <c r="AL215" s="475">
        <f t="shared" ca="1" si="116"/>
        <v>0</v>
      </c>
      <c r="AM215" s="480"/>
      <c r="AN215" s="477">
        <f t="shared" si="117"/>
        <v>0</v>
      </c>
      <c r="AO215" s="480"/>
      <c r="AP215" s="477">
        <f t="shared" si="118"/>
        <v>0</v>
      </c>
      <c r="AQ215" s="480"/>
      <c r="AR215" s="477">
        <f t="shared" si="119"/>
        <v>0</v>
      </c>
      <c r="AS215" s="480"/>
      <c r="AT215" s="477">
        <f t="shared" ca="1" si="120"/>
        <v>0</v>
      </c>
      <c r="AU215" s="475">
        <f t="shared" ca="1" si="121"/>
        <v>0</v>
      </c>
      <c r="AV215" s="480"/>
      <c r="AW215" s="477">
        <f t="shared" si="122"/>
        <v>0</v>
      </c>
      <c r="AX215" s="480"/>
      <c r="AY215" s="477">
        <f t="shared" si="123"/>
        <v>0</v>
      </c>
      <c r="AZ215" s="480"/>
      <c r="BA215" s="477">
        <f t="shared" si="124"/>
        <v>0</v>
      </c>
      <c r="BB215" s="480"/>
      <c r="BC215" s="850">
        <f t="shared" ca="1" si="125"/>
        <v>256000</v>
      </c>
      <c r="BF215"/>
      <c r="BG215"/>
      <c r="BH215"/>
      <c r="BI215"/>
    </row>
    <row r="216" spans="1:61" ht="28">
      <c r="A216" s="837" t="str">
        <f t="shared" ca="1" si="97"/>
        <v/>
      </c>
      <c r="B216" s="440">
        <v>210</v>
      </c>
      <c r="C216" s="834" t="str">
        <f t="shared" ca="1" si="98"/>
        <v>7.</v>
      </c>
      <c r="D216" s="1757" t="str">
        <f ca="1">IFERROR(VLOOKUP(LEFT(E216,4),Nom_activ_2!D:G,4,0),"")</f>
        <v>7.2.  Realizarea studiilor operaționale</v>
      </c>
      <c r="E216" s="1757" t="str">
        <f t="shared" ca="1" si="99"/>
        <v>7.2.3. Participarea OSC în  realizarea studiilor operaționale, inclusiv în realizarea acestora la nivel de comunitate</v>
      </c>
      <c r="F216" s="1777" t="str">
        <f t="shared" ca="1" si="126"/>
        <v>7.2.3.2. Realizarea a doua studii KAP TB</v>
      </c>
      <c r="G216" s="839" t="str">
        <f t="shared" ca="1" si="126"/>
        <v>PAS</v>
      </c>
      <c r="H216" s="840" t="str">
        <f t="shared" ca="1" si="126"/>
        <v>GFATM</v>
      </c>
      <c r="I216" s="443" t="s">
        <v>3468</v>
      </c>
      <c r="J216" s="838" t="str">
        <f t="shared" si="100"/>
        <v>Sisteme_de_sanatate!$A:$j</v>
      </c>
      <c r="K216" s="475">
        <f t="shared" ca="1" si="101"/>
        <v>256000</v>
      </c>
      <c r="L216" s="480"/>
      <c r="M216" s="477">
        <f t="shared" si="102"/>
        <v>0</v>
      </c>
      <c r="N216" s="480"/>
      <c r="O216" s="477">
        <f t="shared" si="103"/>
        <v>0</v>
      </c>
      <c r="P216" s="480"/>
      <c r="Q216" s="477">
        <f t="shared" si="104"/>
        <v>0</v>
      </c>
      <c r="R216" s="480"/>
      <c r="S216" s="477">
        <f t="shared" ca="1" si="105"/>
        <v>256000</v>
      </c>
      <c r="T216" s="475">
        <f t="shared" ca="1" si="106"/>
        <v>0</v>
      </c>
      <c r="U216" s="480"/>
      <c r="V216" s="477">
        <f t="shared" si="107"/>
        <v>0</v>
      </c>
      <c r="W216" s="480"/>
      <c r="X216" s="477">
        <f t="shared" si="108"/>
        <v>0</v>
      </c>
      <c r="Y216" s="480"/>
      <c r="Z216" s="477">
        <f t="shared" si="109"/>
        <v>0</v>
      </c>
      <c r="AA216" s="480"/>
      <c r="AB216" s="477">
        <f t="shared" ca="1" si="110"/>
        <v>0</v>
      </c>
      <c r="AC216" s="475">
        <f t="shared" ca="1" si="111"/>
        <v>0</v>
      </c>
      <c r="AD216" s="480"/>
      <c r="AE216" s="477">
        <f t="shared" si="112"/>
        <v>0</v>
      </c>
      <c r="AF216" s="480"/>
      <c r="AG216" s="477">
        <f t="shared" si="113"/>
        <v>0</v>
      </c>
      <c r="AH216" s="480"/>
      <c r="AI216" s="477">
        <f t="shared" si="114"/>
        <v>0</v>
      </c>
      <c r="AJ216" s="480"/>
      <c r="AK216" s="477">
        <f t="shared" ca="1" si="115"/>
        <v>0</v>
      </c>
      <c r="AL216" s="475">
        <f t="shared" ca="1" si="116"/>
        <v>0</v>
      </c>
      <c r="AM216" s="480"/>
      <c r="AN216" s="477">
        <f t="shared" si="117"/>
        <v>0</v>
      </c>
      <c r="AO216" s="480"/>
      <c r="AP216" s="477">
        <f t="shared" si="118"/>
        <v>0</v>
      </c>
      <c r="AQ216" s="480"/>
      <c r="AR216" s="477">
        <f t="shared" si="119"/>
        <v>0</v>
      </c>
      <c r="AS216" s="480"/>
      <c r="AT216" s="477">
        <f t="shared" ca="1" si="120"/>
        <v>0</v>
      </c>
      <c r="AU216" s="475">
        <f t="shared" ca="1" si="121"/>
        <v>0</v>
      </c>
      <c r="AV216" s="480"/>
      <c r="AW216" s="477">
        <f t="shared" si="122"/>
        <v>0</v>
      </c>
      <c r="AX216" s="480"/>
      <c r="AY216" s="477">
        <f t="shared" si="123"/>
        <v>0</v>
      </c>
      <c r="AZ216" s="480"/>
      <c r="BA216" s="477">
        <f t="shared" si="124"/>
        <v>0</v>
      </c>
      <c r="BB216" s="480"/>
      <c r="BC216" s="850">
        <f t="shared" ca="1" si="125"/>
        <v>256000</v>
      </c>
      <c r="BF216"/>
      <c r="BG216"/>
      <c r="BH216"/>
      <c r="BI216"/>
    </row>
    <row r="217" spans="1:61" ht="28">
      <c r="A217" s="837" t="str">
        <f t="shared" ca="1" si="97"/>
        <v/>
      </c>
      <c r="B217" s="440">
        <v>211</v>
      </c>
      <c r="C217" s="834" t="str">
        <f t="shared" ca="1" si="98"/>
        <v>7.</v>
      </c>
      <c r="D217" s="1757" t="str">
        <f ca="1">IFERROR(VLOOKUP(LEFT(E217,4),Nom_activ_2!D:G,4,0),"")</f>
        <v>7.2.  Realizarea studiilor operaționale</v>
      </c>
      <c r="E217" s="1757" t="str">
        <f t="shared" ca="1" si="99"/>
        <v>7.2.3. Participarea OSC în  realizarea studiilor operaționale, inclusiv în realizarea acestora la nivel de comunitate</v>
      </c>
      <c r="F217" s="1777" t="str">
        <f t="shared" ca="1" si="126"/>
        <v>7.2.3.3. Realizarea auditului clinic al cazurilor TB/HIV</v>
      </c>
      <c r="G217" s="839" t="str">
        <f t="shared" ca="1" si="126"/>
        <v>PAS</v>
      </c>
      <c r="H217" s="840" t="str">
        <f t="shared" ca="1" si="126"/>
        <v>GFATM</v>
      </c>
      <c r="I217" s="443" t="s">
        <v>3468</v>
      </c>
      <c r="J217" s="838" t="str">
        <f t="shared" si="100"/>
        <v>Sisteme_de_sanatate!$A:$j</v>
      </c>
      <c r="K217" s="475">
        <f t="shared" ca="1" si="101"/>
        <v>302750</v>
      </c>
      <c r="L217" s="480"/>
      <c r="M217" s="477">
        <f t="shared" si="102"/>
        <v>0</v>
      </c>
      <c r="N217" s="480"/>
      <c r="O217" s="477">
        <f t="shared" si="103"/>
        <v>0</v>
      </c>
      <c r="P217" s="480"/>
      <c r="Q217" s="477">
        <f t="shared" si="104"/>
        <v>0</v>
      </c>
      <c r="R217" s="480"/>
      <c r="S217" s="477">
        <f t="shared" ca="1" si="105"/>
        <v>302750</v>
      </c>
      <c r="T217" s="475">
        <f t="shared" ca="1" si="106"/>
        <v>0</v>
      </c>
      <c r="U217" s="480"/>
      <c r="V217" s="477">
        <f t="shared" si="107"/>
        <v>0</v>
      </c>
      <c r="W217" s="480"/>
      <c r="X217" s="477">
        <f t="shared" si="108"/>
        <v>0</v>
      </c>
      <c r="Y217" s="480"/>
      <c r="Z217" s="477">
        <f t="shared" si="109"/>
        <v>0</v>
      </c>
      <c r="AA217" s="480"/>
      <c r="AB217" s="477">
        <f t="shared" ca="1" si="110"/>
        <v>0</v>
      </c>
      <c r="AC217" s="475">
        <f t="shared" ca="1" si="111"/>
        <v>0</v>
      </c>
      <c r="AD217" s="480"/>
      <c r="AE217" s="477">
        <f t="shared" si="112"/>
        <v>0</v>
      </c>
      <c r="AF217" s="480"/>
      <c r="AG217" s="477">
        <f t="shared" si="113"/>
        <v>0</v>
      </c>
      <c r="AH217" s="480"/>
      <c r="AI217" s="477">
        <f t="shared" si="114"/>
        <v>0</v>
      </c>
      <c r="AJ217" s="480"/>
      <c r="AK217" s="477">
        <f t="shared" ca="1" si="115"/>
        <v>0</v>
      </c>
      <c r="AL217" s="475">
        <f t="shared" ca="1" si="116"/>
        <v>0</v>
      </c>
      <c r="AM217" s="480"/>
      <c r="AN217" s="477">
        <f t="shared" si="117"/>
        <v>0</v>
      </c>
      <c r="AO217" s="480"/>
      <c r="AP217" s="477">
        <f t="shared" si="118"/>
        <v>0</v>
      </c>
      <c r="AQ217" s="480"/>
      <c r="AR217" s="477">
        <f t="shared" si="119"/>
        <v>0</v>
      </c>
      <c r="AS217" s="480"/>
      <c r="AT217" s="477">
        <f t="shared" ca="1" si="120"/>
        <v>0</v>
      </c>
      <c r="AU217" s="475">
        <f t="shared" ca="1" si="121"/>
        <v>0</v>
      </c>
      <c r="AV217" s="480"/>
      <c r="AW217" s="477">
        <f t="shared" si="122"/>
        <v>0</v>
      </c>
      <c r="AX217" s="480"/>
      <c r="AY217" s="477">
        <f t="shared" si="123"/>
        <v>0</v>
      </c>
      <c r="AZ217" s="480"/>
      <c r="BA217" s="477">
        <f t="shared" si="124"/>
        <v>0</v>
      </c>
      <c r="BB217" s="480"/>
      <c r="BC217" s="850">
        <f t="shared" ca="1" si="125"/>
        <v>302750</v>
      </c>
    </row>
    <row r="218" spans="1:61" ht="28">
      <c r="A218" s="837" t="str">
        <f t="shared" ca="1" si="97"/>
        <v/>
      </c>
      <c r="B218" s="440">
        <v>212</v>
      </c>
      <c r="C218" s="834" t="str">
        <f t="shared" ca="1" si="98"/>
        <v>7.</v>
      </c>
      <c r="D218" s="1757" t="str">
        <f ca="1">IFERROR(VLOOKUP(LEFT(E218,4),Nom_activ_2!D:G,4,0),"")</f>
        <v>7.2.  Realizarea studiilor operaționale</v>
      </c>
      <c r="E218" s="1757" t="str">
        <f t="shared" ca="1" si="99"/>
        <v>7.2.3. Participarea OSC în  realizarea studiilor operaționale, inclusiv în realizarea acestora la nivel de comunitate</v>
      </c>
      <c r="F218" s="1777" t="str">
        <f t="shared" ca="1" si="126"/>
        <v>7.2.3.4. Realizarea studiului privind implementarea inteligentei artificiale in procesul de screening la TB</v>
      </c>
      <c r="G218" s="839" t="str">
        <f t="shared" ca="1" si="126"/>
        <v>PAS</v>
      </c>
      <c r="H218" s="840" t="str">
        <f t="shared" ca="1" si="126"/>
        <v>GFATM</v>
      </c>
      <c r="I218" s="443" t="s">
        <v>3468</v>
      </c>
      <c r="J218" s="838" t="str">
        <f t="shared" si="100"/>
        <v>Sisteme_de_sanatate!$A:$j</v>
      </c>
      <c r="K218" s="475">
        <f t="shared" ca="1" si="101"/>
        <v>0</v>
      </c>
      <c r="L218" s="480"/>
      <c r="M218" s="477">
        <f t="shared" si="102"/>
        <v>0</v>
      </c>
      <c r="N218" s="480"/>
      <c r="O218" s="477">
        <f t="shared" si="103"/>
        <v>0</v>
      </c>
      <c r="P218" s="480"/>
      <c r="Q218" s="477">
        <f t="shared" si="104"/>
        <v>0</v>
      </c>
      <c r="R218" s="480"/>
      <c r="S218" s="477">
        <f t="shared" ca="1" si="105"/>
        <v>0</v>
      </c>
      <c r="T218" s="475">
        <f t="shared" ca="1" si="106"/>
        <v>256000</v>
      </c>
      <c r="U218" s="480"/>
      <c r="V218" s="477">
        <f t="shared" si="107"/>
        <v>0</v>
      </c>
      <c r="W218" s="480"/>
      <c r="X218" s="477">
        <f t="shared" si="108"/>
        <v>0</v>
      </c>
      <c r="Y218" s="480"/>
      <c r="Z218" s="477">
        <f t="shared" si="109"/>
        <v>0</v>
      </c>
      <c r="AA218" s="480"/>
      <c r="AB218" s="477">
        <f t="shared" ca="1" si="110"/>
        <v>256000</v>
      </c>
      <c r="AC218" s="475">
        <f t="shared" ca="1" si="111"/>
        <v>0</v>
      </c>
      <c r="AD218" s="480"/>
      <c r="AE218" s="477">
        <f t="shared" si="112"/>
        <v>0</v>
      </c>
      <c r="AF218" s="480"/>
      <c r="AG218" s="477">
        <f t="shared" si="113"/>
        <v>0</v>
      </c>
      <c r="AH218" s="480"/>
      <c r="AI218" s="477">
        <f t="shared" si="114"/>
        <v>0</v>
      </c>
      <c r="AJ218" s="480"/>
      <c r="AK218" s="477">
        <f t="shared" ca="1" si="115"/>
        <v>0</v>
      </c>
      <c r="AL218" s="475">
        <f t="shared" ca="1" si="116"/>
        <v>0</v>
      </c>
      <c r="AM218" s="480"/>
      <c r="AN218" s="477">
        <f t="shared" si="117"/>
        <v>0</v>
      </c>
      <c r="AO218" s="480"/>
      <c r="AP218" s="477">
        <f t="shared" si="118"/>
        <v>0</v>
      </c>
      <c r="AQ218" s="480"/>
      <c r="AR218" s="477">
        <f t="shared" si="119"/>
        <v>0</v>
      </c>
      <c r="AS218" s="480"/>
      <c r="AT218" s="477">
        <f t="shared" ca="1" si="120"/>
        <v>0</v>
      </c>
      <c r="AU218" s="475">
        <f t="shared" ca="1" si="121"/>
        <v>0</v>
      </c>
      <c r="AV218" s="480"/>
      <c r="AW218" s="477">
        <f t="shared" si="122"/>
        <v>0</v>
      </c>
      <c r="AX218" s="480"/>
      <c r="AY218" s="477">
        <f t="shared" si="123"/>
        <v>0</v>
      </c>
      <c r="AZ218" s="480"/>
      <c r="BA218" s="477">
        <f t="shared" si="124"/>
        <v>0</v>
      </c>
      <c r="BB218" s="480"/>
      <c r="BC218" s="850">
        <f t="shared" ca="1" si="125"/>
        <v>256000</v>
      </c>
      <c r="BF218"/>
      <c r="BG218"/>
      <c r="BH218"/>
      <c r="BI218"/>
    </row>
    <row r="219" spans="1:61" ht="28">
      <c r="A219" s="837" t="str">
        <f t="shared" ca="1" si="97"/>
        <v/>
      </c>
      <c r="B219" s="440">
        <v>213</v>
      </c>
      <c r="C219" s="834" t="str">
        <f t="shared" ca="1" si="98"/>
        <v>5.</v>
      </c>
      <c r="D219" s="1757" t="str">
        <f ca="1">IFERROR(VLOOKUP(LEFT(E219,4),Nom_activ_2!D:G,4,0),"")</f>
        <v>5.2.  Asigurarea informării privind respectarea măsurilor de control al infecției  pentru reducerea riscului de transmitere a TB în societate</v>
      </c>
      <c r="E219" s="1757" t="str">
        <f t="shared" ca="1" si="99"/>
        <v>5.2.2. Elaborarea și editarea materialelor educaționale și informative despre TB pentru grupurile cheie</v>
      </c>
      <c r="F219" s="1777" t="str">
        <f t="shared" ca="1" si="126"/>
        <v>5.2.2.1.  Consultant national in informare și schimbare a atitudinilor la nivel național si local</v>
      </c>
      <c r="G219" s="839" t="str">
        <f t="shared" ca="1" si="126"/>
        <v>PAS</v>
      </c>
      <c r="H219" s="840" t="str">
        <f t="shared" ca="1" si="126"/>
        <v>GFATM</v>
      </c>
      <c r="I219" s="443" t="s">
        <v>3386</v>
      </c>
      <c r="J219" s="838" t="str">
        <f t="shared" si="100"/>
        <v>Informare!$A:$j</v>
      </c>
      <c r="K219" s="475">
        <f t="shared" ca="1" si="101"/>
        <v>30000</v>
      </c>
      <c r="L219" s="480"/>
      <c r="M219" s="477">
        <f t="shared" si="102"/>
        <v>0</v>
      </c>
      <c r="N219" s="480"/>
      <c r="O219" s="477">
        <f t="shared" si="103"/>
        <v>0</v>
      </c>
      <c r="P219" s="480"/>
      <c r="Q219" s="477">
        <f t="shared" si="104"/>
        <v>0</v>
      </c>
      <c r="R219" s="480"/>
      <c r="S219" s="477">
        <f t="shared" ca="1" si="105"/>
        <v>30000</v>
      </c>
      <c r="T219" s="475">
        <f t="shared" ca="1" si="106"/>
        <v>30000</v>
      </c>
      <c r="U219" s="480"/>
      <c r="V219" s="477">
        <f t="shared" si="107"/>
        <v>0</v>
      </c>
      <c r="W219" s="480"/>
      <c r="X219" s="477">
        <f t="shared" si="108"/>
        <v>0</v>
      </c>
      <c r="Y219" s="480"/>
      <c r="Z219" s="477">
        <f t="shared" si="109"/>
        <v>0</v>
      </c>
      <c r="AA219" s="480"/>
      <c r="AB219" s="477">
        <f t="shared" ca="1" si="110"/>
        <v>30000</v>
      </c>
      <c r="AC219" s="475">
        <f t="shared" ca="1" si="111"/>
        <v>30000</v>
      </c>
      <c r="AD219" s="480"/>
      <c r="AE219" s="477">
        <f t="shared" si="112"/>
        <v>0</v>
      </c>
      <c r="AF219" s="480"/>
      <c r="AG219" s="477">
        <f t="shared" si="113"/>
        <v>0</v>
      </c>
      <c r="AH219" s="480"/>
      <c r="AI219" s="477">
        <f t="shared" si="114"/>
        <v>0</v>
      </c>
      <c r="AJ219" s="480"/>
      <c r="AK219" s="477">
        <f t="shared" ca="1" si="115"/>
        <v>30000</v>
      </c>
      <c r="AL219" s="475">
        <f t="shared" ca="1" si="116"/>
        <v>0</v>
      </c>
      <c r="AM219" s="480"/>
      <c r="AN219" s="477">
        <f t="shared" si="117"/>
        <v>0</v>
      </c>
      <c r="AO219" s="480"/>
      <c r="AP219" s="477">
        <f t="shared" si="118"/>
        <v>0</v>
      </c>
      <c r="AQ219" s="480"/>
      <c r="AR219" s="477">
        <f t="shared" si="119"/>
        <v>0</v>
      </c>
      <c r="AS219" s="480"/>
      <c r="AT219" s="477">
        <f t="shared" ca="1" si="120"/>
        <v>0</v>
      </c>
      <c r="AU219" s="475">
        <f t="shared" ca="1" si="121"/>
        <v>0</v>
      </c>
      <c r="AV219" s="480"/>
      <c r="AW219" s="477">
        <f t="shared" si="122"/>
        <v>0</v>
      </c>
      <c r="AX219" s="480"/>
      <c r="AY219" s="477">
        <f t="shared" si="123"/>
        <v>0</v>
      </c>
      <c r="AZ219" s="480"/>
      <c r="BA219" s="477">
        <f t="shared" si="124"/>
        <v>0</v>
      </c>
      <c r="BB219" s="480"/>
      <c r="BC219" s="850">
        <f t="shared" ca="1" si="125"/>
        <v>90000</v>
      </c>
      <c r="BF219"/>
      <c r="BG219"/>
      <c r="BH219"/>
      <c r="BI219"/>
    </row>
    <row r="220" spans="1:61" ht="28">
      <c r="A220" s="837" t="str">
        <f t="shared" ca="1" si="97"/>
        <v/>
      </c>
      <c r="B220" s="440">
        <v>214</v>
      </c>
      <c r="C220" s="834" t="str">
        <f t="shared" ca="1" si="98"/>
        <v>6.</v>
      </c>
      <c r="D220" s="1757" t="str">
        <f ca="1">IFERROR(VLOOKUP(LEFT(E220,4),Nom_activ_2!D:G,4,0),"")</f>
        <v>6.2.  Consolidarea sistemelor de sănătate prin mecanisme de finanțare bine aliniate pentru TB</v>
      </c>
      <c r="E220" s="1757" t="str">
        <f t="shared" ca="1" si="99"/>
        <v xml:space="preserve">6.2.5. Asigurarea mentenanței echipamentelor din cadrul staționarelor și subdiviziunilor de profil </v>
      </c>
      <c r="F220" s="1777" t="str">
        <f t="shared" ca="1" si="126"/>
        <v xml:space="preserve">6.2.5.1. Asigurarea mentenanței echipamentelor din cadrul staționarelor și subdiviziunilor de profil, contractare specialisti </v>
      </c>
      <c r="G220" s="839">
        <f t="shared" ca="1" si="126"/>
        <v>0</v>
      </c>
      <c r="H220" s="840" t="str">
        <f t="shared" ca="1" si="126"/>
        <v>CNAM</v>
      </c>
      <c r="I220" s="443" t="s">
        <v>3468</v>
      </c>
      <c r="J220" s="838" t="str">
        <f t="shared" si="100"/>
        <v>Sisteme_de_sanatate!$A:$j</v>
      </c>
      <c r="K220" s="475">
        <f t="shared" ca="1" si="101"/>
        <v>0</v>
      </c>
      <c r="L220" s="480"/>
      <c r="M220" s="477">
        <f t="shared" si="102"/>
        <v>0</v>
      </c>
      <c r="N220" s="480"/>
      <c r="O220" s="477">
        <f t="shared" si="103"/>
        <v>0</v>
      </c>
      <c r="P220" s="480"/>
      <c r="Q220" s="477">
        <f t="shared" si="104"/>
        <v>0</v>
      </c>
      <c r="R220" s="480"/>
      <c r="S220" s="477">
        <f t="shared" ca="1" si="105"/>
        <v>0</v>
      </c>
      <c r="T220" s="475">
        <f t="shared" ca="1" si="106"/>
        <v>0</v>
      </c>
      <c r="U220" s="480"/>
      <c r="V220" s="477">
        <f t="shared" si="107"/>
        <v>0</v>
      </c>
      <c r="W220" s="480"/>
      <c r="X220" s="477">
        <f t="shared" si="108"/>
        <v>0</v>
      </c>
      <c r="Y220" s="480"/>
      <c r="Z220" s="477">
        <f t="shared" si="109"/>
        <v>0</v>
      </c>
      <c r="AA220" s="480"/>
      <c r="AB220" s="477">
        <f t="shared" ca="1" si="110"/>
        <v>0</v>
      </c>
      <c r="AC220" s="475">
        <f t="shared" ca="1" si="111"/>
        <v>0</v>
      </c>
      <c r="AD220" s="480"/>
      <c r="AE220" s="477">
        <f t="shared" si="112"/>
        <v>0</v>
      </c>
      <c r="AF220" s="480"/>
      <c r="AG220" s="477">
        <f t="shared" si="113"/>
        <v>0</v>
      </c>
      <c r="AH220" s="480"/>
      <c r="AI220" s="477">
        <f t="shared" si="114"/>
        <v>0</v>
      </c>
      <c r="AJ220" s="480"/>
      <c r="AK220" s="477">
        <f t="shared" ca="1" si="115"/>
        <v>0</v>
      </c>
      <c r="AL220" s="475">
        <f t="shared" ca="1" si="116"/>
        <v>0</v>
      </c>
      <c r="AM220" s="480"/>
      <c r="AN220" s="477">
        <f t="shared" si="117"/>
        <v>0</v>
      </c>
      <c r="AO220" s="480"/>
      <c r="AP220" s="477">
        <f t="shared" si="118"/>
        <v>0</v>
      </c>
      <c r="AQ220" s="480"/>
      <c r="AR220" s="477">
        <f t="shared" si="119"/>
        <v>0</v>
      </c>
      <c r="AS220" s="480"/>
      <c r="AT220" s="477">
        <f t="shared" ca="1" si="120"/>
        <v>0</v>
      </c>
      <c r="AU220" s="475">
        <f t="shared" ca="1" si="121"/>
        <v>0</v>
      </c>
      <c r="AV220" s="480"/>
      <c r="AW220" s="477">
        <f t="shared" si="122"/>
        <v>0</v>
      </c>
      <c r="AX220" s="480"/>
      <c r="AY220" s="477">
        <f t="shared" si="123"/>
        <v>0</v>
      </c>
      <c r="AZ220" s="480"/>
      <c r="BA220" s="477">
        <f t="shared" si="124"/>
        <v>0</v>
      </c>
      <c r="BB220" s="480"/>
      <c r="BC220" s="850">
        <f t="shared" ca="1" si="125"/>
        <v>0</v>
      </c>
    </row>
    <row r="221" spans="1:61" ht="56">
      <c r="A221" s="837" t="str">
        <f t="shared" ca="1" si="97"/>
        <v/>
      </c>
      <c r="B221" s="440">
        <v>215</v>
      </c>
      <c r="C221" s="834" t="str">
        <f t="shared" ca="1" si="98"/>
        <v>3.</v>
      </c>
      <c r="D221" s="1757" t="str">
        <f ca="1">IFERROR(VLOOKUP(LEFT(E221,4),Nom_activ_2!D:G,4,0),"")</f>
        <v>3.3.  Asigurarea aderenței la tratament, inclusiv prin utilizarea metodelor inovative, centrate pe persoană</v>
      </c>
      <c r="E221" s="1757" t="str">
        <f t="shared" ca="1" si="99"/>
        <v>3.3.1. Asigurarea abordării multidisciplinare, inclusiv evaluarea necesitaților si gestionarea cazului pentru fiecare persoana afectata de TB si a familiei si acordarea suportului psihosocial pentru asigurarea aderenței la tratament.</v>
      </c>
      <c r="F221" s="1777" t="str">
        <f t="shared" ca="1" si="126"/>
        <v>3.3.1.2. Vizitele de supervizare abilitantă a echipelor multidisciplinare (consultant national)</v>
      </c>
      <c r="G221" s="839">
        <f t="shared" ca="1" si="126"/>
        <v>0</v>
      </c>
      <c r="H221" s="840" t="str">
        <f t="shared" ca="1" si="126"/>
        <v>Buget local (Malul Stang)</v>
      </c>
      <c r="I221" s="443" t="s">
        <v>3310</v>
      </c>
      <c r="J221" s="838" t="str">
        <f t="shared" si="100"/>
        <v>Aderenta_VOT!$A:$j</v>
      </c>
      <c r="K221" s="475">
        <f t="shared" ca="1" si="101"/>
        <v>0</v>
      </c>
      <c r="L221" s="480"/>
      <c r="M221" s="477">
        <f t="shared" si="102"/>
        <v>0</v>
      </c>
      <c r="N221" s="480"/>
      <c r="O221" s="477">
        <f t="shared" si="103"/>
        <v>0</v>
      </c>
      <c r="P221" s="480"/>
      <c r="Q221" s="477">
        <f t="shared" si="104"/>
        <v>0</v>
      </c>
      <c r="R221" s="480"/>
      <c r="S221" s="477">
        <f t="shared" ca="1" si="105"/>
        <v>0</v>
      </c>
      <c r="T221" s="475">
        <f t="shared" ca="1" si="106"/>
        <v>0</v>
      </c>
      <c r="U221" s="480"/>
      <c r="V221" s="477">
        <f t="shared" si="107"/>
        <v>0</v>
      </c>
      <c r="W221" s="480"/>
      <c r="X221" s="477">
        <f t="shared" si="108"/>
        <v>0</v>
      </c>
      <c r="Y221" s="480"/>
      <c r="Z221" s="477">
        <f t="shared" si="109"/>
        <v>0</v>
      </c>
      <c r="AA221" s="480"/>
      <c r="AB221" s="477">
        <f t="shared" ca="1" si="110"/>
        <v>0</v>
      </c>
      <c r="AC221" s="475">
        <f t="shared" ca="1" si="111"/>
        <v>0</v>
      </c>
      <c r="AD221" s="480"/>
      <c r="AE221" s="477">
        <f t="shared" si="112"/>
        <v>0</v>
      </c>
      <c r="AF221" s="480"/>
      <c r="AG221" s="477">
        <f t="shared" si="113"/>
        <v>0</v>
      </c>
      <c r="AH221" s="480"/>
      <c r="AI221" s="477">
        <f t="shared" si="114"/>
        <v>0</v>
      </c>
      <c r="AJ221" s="480"/>
      <c r="AK221" s="477">
        <f t="shared" ca="1" si="115"/>
        <v>0</v>
      </c>
      <c r="AL221" s="475">
        <f t="shared" ca="1" si="116"/>
        <v>115584</v>
      </c>
      <c r="AM221" s="480"/>
      <c r="AN221" s="477">
        <f t="shared" si="117"/>
        <v>0</v>
      </c>
      <c r="AO221" s="480"/>
      <c r="AP221" s="477">
        <f t="shared" si="118"/>
        <v>0</v>
      </c>
      <c r="AQ221" s="480"/>
      <c r="AR221" s="477">
        <f t="shared" si="119"/>
        <v>0</v>
      </c>
      <c r="AS221" s="480"/>
      <c r="AT221" s="477">
        <f t="shared" ca="1" si="120"/>
        <v>115584</v>
      </c>
      <c r="AU221" s="475">
        <f t="shared" ca="1" si="121"/>
        <v>115584</v>
      </c>
      <c r="AV221" s="480"/>
      <c r="AW221" s="477">
        <f t="shared" si="122"/>
        <v>0</v>
      </c>
      <c r="AX221" s="480"/>
      <c r="AY221" s="477">
        <f t="shared" si="123"/>
        <v>0</v>
      </c>
      <c r="AZ221" s="480"/>
      <c r="BA221" s="477">
        <f t="shared" si="124"/>
        <v>0</v>
      </c>
      <c r="BB221" s="480"/>
      <c r="BC221" s="850">
        <f t="shared" ca="1" si="125"/>
        <v>231168</v>
      </c>
    </row>
    <row r="222" spans="1:61" ht="56">
      <c r="A222" s="837" t="str">
        <f t="shared" ca="1" si="97"/>
        <v/>
      </c>
      <c r="B222" s="440">
        <v>216</v>
      </c>
      <c r="C222" s="834" t="str">
        <f t="shared" ca="1" si="98"/>
        <v>1.</v>
      </c>
      <c r="D222" s="1757" t="str">
        <f ca="1">IFERROR(VLOOKUP(LEFT(E222,4),Nom_activ_2!D:G,4,0),"")</f>
        <v>1.1.  Depistarea activă a TB în grupurile cu risc și vigilență sporită pentru TB</v>
      </c>
      <c r="E222" s="1757" t="str">
        <f t="shared" ca="1" si="99"/>
        <v>1.1.4. Asigurarea examinării persoanelor din grupurile cu risc și vigilență sporită pentru TB în localități, utilizând instalațiile radiologice mobile cu introducerea inteligenței artificiale medicale</v>
      </c>
      <c r="F222" s="1777" t="str">
        <f t="shared" ca="1" si="126"/>
        <v xml:space="preserve">1.1.4.1. Achizitionarea instrumentelor de inteligență artificială (IA) pentru 7 vehicule mobile echipate cu Xrays.(4 pentru malul drept si 3 pentru malul sting) </v>
      </c>
      <c r="G222" s="839">
        <f t="shared" ca="1" si="126"/>
        <v>0</v>
      </c>
      <c r="H222" s="840" t="str">
        <f t="shared" ca="1" si="126"/>
        <v>CNAM</v>
      </c>
      <c r="I222" s="443" t="s">
        <v>2013</v>
      </c>
      <c r="J222" s="838" t="str">
        <f t="shared" si="100"/>
        <v>Exam_grup_risc!$A:$j</v>
      </c>
      <c r="K222" s="475">
        <f t="shared" ca="1" si="101"/>
        <v>0</v>
      </c>
      <c r="L222" s="480"/>
      <c r="M222" s="477">
        <f t="shared" si="102"/>
        <v>0</v>
      </c>
      <c r="N222" s="480"/>
      <c r="O222" s="477">
        <f t="shared" si="103"/>
        <v>0</v>
      </c>
      <c r="P222" s="480"/>
      <c r="Q222" s="477">
        <f t="shared" si="104"/>
        <v>0</v>
      </c>
      <c r="R222" s="480"/>
      <c r="S222" s="477">
        <f t="shared" ca="1" si="105"/>
        <v>0</v>
      </c>
      <c r="T222" s="475">
        <f t="shared" ca="1" si="106"/>
        <v>0</v>
      </c>
      <c r="U222" s="480"/>
      <c r="V222" s="477">
        <f t="shared" si="107"/>
        <v>0</v>
      </c>
      <c r="W222" s="480"/>
      <c r="X222" s="477">
        <f t="shared" si="108"/>
        <v>0</v>
      </c>
      <c r="Y222" s="480"/>
      <c r="Z222" s="477">
        <f t="shared" si="109"/>
        <v>0</v>
      </c>
      <c r="AA222" s="480"/>
      <c r="AB222" s="477">
        <f t="shared" ca="1" si="110"/>
        <v>0</v>
      </c>
      <c r="AC222" s="475">
        <f t="shared" ca="1" si="111"/>
        <v>0</v>
      </c>
      <c r="AD222" s="480"/>
      <c r="AE222" s="477">
        <f t="shared" si="112"/>
        <v>0</v>
      </c>
      <c r="AF222" s="480"/>
      <c r="AG222" s="477">
        <f t="shared" si="113"/>
        <v>0</v>
      </c>
      <c r="AH222" s="480"/>
      <c r="AI222" s="477">
        <f t="shared" si="114"/>
        <v>0</v>
      </c>
      <c r="AJ222" s="480"/>
      <c r="AK222" s="477">
        <f t="shared" ca="1" si="115"/>
        <v>0</v>
      </c>
      <c r="AL222" s="475">
        <f t="shared" ca="1" si="116"/>
        <v>1475880</v>
      </c>
      <c r="AM222" s="480"/>
      <c r="AN222" s="477">
        <f t="shared" si="117"/>
        <v>0</v>
      </c>
      <c r="AO222" s="480"/>
      <c r="AP222" s="477">
        <f t="shared" si="118"/>
        <v>0</v>
      </c>
      <c r="AQ222" s="480"/>
      <c r="AR222" s="477">
        <f t="shared" si="119"/>
        <v>0</v>
      </c>
      <c r="AS222" s="480"/>
      <c r="AT222" s="477">
        <f t="shared" ca="1" si="120"/>
        <v>1475880</v>
      </c>
      <c r="AU222" s="475">
        <f t="shared" ca="1" si="121"/>
        <v>1475880</v>
      </c>
      <c r="AV222" s="480"/>
      <c r="AW222" s="477">
        <f t="shared" si="122"/>
        <v>0</v>
      </c>
      <c r="AX222" s="480"/>
      <c r="AY222" s="477">
        <f t="shared" si="123"/>
        <v>0</v>
      </c>
      <c r="AZ222" s="480"/>
      <c r="BA222" s="477">
        <f t="shared" si="124"/>
        <v>0</v>
      </c>
      <c r="BB222" s="480"/>
      <c r="BC222" s="850">
        <f t="shared" ca="1" si="125"/>
        <v>2951760</v>
      </c>
    </row>
    <row r="223" spans="1:61" ht="56">
      <c r="A223" s="837" t="str">
        <f t="shared" ca="1" si="97"/>
        <v/>
      </c>
      <c r="B223" s="440">
        <v>217</v>
      </c>
      <c r="C223" s="834" t="str">
        <f t="shared" ca="1" si="98"/>
        <v>1.</v>
      </c>
      <c r="D223" s="1757" t="str">
        <f ca="1">IFERROR(VLOOKUP(LEFT(E223,4),Nom_activ_2!D:G,4,0),"")</f>
        <v>1.1.  Depistarea activă a TB în grupurile cu risc și vigilență sporită pentru TB</v>
      </c>
      <c r="E223" s="1757" t="str">
        <f t="shared" ca="1" si="99"/>
        <v>1.1.4. Asigurarea examinării persoanelor din grupurile cu risc și vigilență sporită pentru TB în localități, utilizând instalațiile radiologice mobile cu introducerea inteligenței artificiale medicale</v>
      </c>
      <c r="F223" s="1777" t="str">
        <f t="shared" ca="1" si="126"/>
        <v xml:space="preserve">1.1.4.1. Achizitionarea instrumentelor de inteligență artificială (IA) pentru 7 vehicule mobile echipate cu Xrays.(4 pentru malul drept si 3 pentru malul sting) </v>
      </c>
      <c r="G223" s="839" t="str">
        <f t="shared" ca="1" si="126"/>
        <v>PAS</v>
      </c>
      <c r="H223" s="840" t="str">
        <f t="shared" ca="1" si="126"/>
        <v>GFATM</v>
      </c>
      <c r="I223" s="443" t="s">
        <v>2013</v>
      </c>
      <c r="J223" s="838" t="str">
        <f t="shared" si="100"/>
        <v>Exam_grup_risc!$A:$j</v>
      </c>
      <c r="K223" s="475">
        <f t="shared" ca="1" si="101"/>
        <v>948766.92</v>
      </c>
      <c r="L223" s="480"/>
      <c r="M223" s="477">
        <f t="shared" si="102"/>
        <v>0</v>
      </c>
      <c r="N223" s="480"/>
      <c r="O223" s="477">
        <f t="shared" si="103"/>
        <v>0</v>
      </c>
      <c r="P223" s="480"/>
      <c r="Q223" s="477">
        <f t="shared" si="104"/>
        <v>0</v>
      </c>
      <c r="R223" s="480"/>
      <c r="S223" s="477">
        <f t="shared" ca="1" si="105"/>
        <v>948766.92</v>
      </c>
      <c r="T223" s="475">
        <f t="shared" ca="1" si="106"/>
        <v>737940</v>
      </c>
      <c r="U223" s="480"/>
      <c r="V223" s="477">
        <f t="shared" si="107"/>
        <v>0</v>
      </c>
      <c r="W223" s="480"/>
      <c r="X223" s="477">
        <f t="shared" si="108"/>
        <v>0</v>
      </c>
      <c r="Y223" s="480"/>
      <c r="Z223" s="477">
        <f t="shared" si="109"/>
        <v>0</v>
      </c>
      <c r="AA223" s="480"/>
      <c r="AB223" s="477">
        <f t="shared" ca="1" si="110"/>
        <v>737940</v>
      </c>
      <c r="AC223" s="475">
        <f t="shared" ca="1" si="111"/>
        <v>737940</v>
      </c>
      <c r="AD223" s="480"/>
      <c r="AE223" s="477">
        <f t="shared" si="112"/>
        <v>0</v>
      </c>
      <c r="AF223" s="480"/>
      <c r="AG223" s="477">
        <f t="shared" si="113"/>
        <v>0</v>
      </c>
      <c r="AH223" s="480"/>
      <c r="AI223" s="477">
        <f t="shared" si="114"/>
        <v>0</v>
      </c>
      <c r="AJ223" s="480"/>
      <c r="AK223" s="477">
        <f t="shared" ca="1" si="115"/>
        <v>737940</v>
      </c>
      <c r="AL223" s="475">
        <f t="shared" ca="1" si="116"/>
        <v>0</v>
      </c>
      <c r="AM223" s="480"/>
      <c r="AN223" s="477">
        <f t="shared" si="117"/>
        <v>0</v>
      </c>
      <c r="AO223" s="480"/>
      <c r="AP223" s="477">
        <f t="shared" si="118"/>
        <v>0</v>
      </c>
      <c r="AQ223" s="480"/>
      <c r="AR223" s="477">
        <f t="shared" si="119"/>
        <v>0</v>
      </c>
      <c r="AS223" s="480"/>
      <c r="AT223" s="477">
        <f t="shared" ca="1" si="120"/>
        <v>0</v>
      </c>
      <c r="AU223" s="475">
        <f t="shared" ca="1" si="121"/>
        <v>0</v>
      </c>
      <c r="AV223" s="480"/>
      <c r="AW223" s="477">
        <f t="shared" si="122"/>
        <v>0</v>
      </c>
      <c r="AX223" s="480"/>
      <c r="AY223" s="477">
        <f t="shared" si="123"/>
        <v>0</v>
      </c>
      <c r="AZ223" s="480"/>
      <c r="BA223" s="477">
        <f t="shared" si="124"/>
        <v>0</v>
      </c>
      <c r="BB223" s="480"/>
      <c r="BC223" s="850">
        <f t="shared" ca="1" si="125"/>
        <v>2424646.92</v>
      </c>
    </row>
    <row r="224" spans="1:61" ht="56">
      <c r="A224" s="837" t="str">
        <f t="shared" ca="1" si="97"/>
        <v/>
      </c>
      <c r="B224" s="440">
        <v>218</v>
      </c>
      <c r="C224" s="834" t="str">
        <f t="shared" ca="1" si="98"/>
        <v>1.</v>
      </c>
      <c r="D224" s="1757" t="str">
        <f ca="1">IFERROR(VLOOKUP(LEFT(E224,4),Nom_activ_2!D:G,4,0),"")</f>
        <v>1.1.  Depistarea activă a TB în grupurile cu risc și vigilență sporită pentru TB</v>
      </c>
      <c r="E224" s="1757" t="str">
        <f t="shared" ca="1" si="99"/>
        <v>1.1.4. Asigurarea examinării persoanelor din grupurile cu risc și vigilență sporită pentru TB în localități, utilizând instalațiile radiologice mobile cu introducerea inteligenței artificiale medicale</v>
      </c>
      <c r="F224" s="1777" t="str">
        <f t="shared" ca="1" si="126"/>
        <v xml:space="preserve">1.1.4.1. Achizitionarea instrumentelor de inteligență artificială (IA) pentru 7 vehicule mobile echipate cu Xrays.(4 pentru malul drept si 3 pentru malul sting) </v>
      </c>
      <c r="G224" s="839">
        <f t="shared" ca="1" si="126"/>
        <v>0</v>
      </c>
      <c r="H224" s="840" t="str">
        <f t="shared" ca="1" si="126"/>
        <v>Buget local (Malul Stang)</v>
      </c>
      <c r="I224" s="443" t="s">
        <v>2013</v>
      </c>
      <c r="J224" s="838" t="str">
        <f t="shared" si="100"/>
        <v>Exam_grup_risc!$A:$j</v>
      </c>
      <c r="K224" s="475">
        <f t="shared" ca="1" si="101"/>
        <v>0</v>
      </c>
      <c r="L224" s="480"/>
      <c r="M224" s="477">
        <f t="shared" si="102"/>
        <v>0</v>
      </c>
      <c r="N224" s="480"/>
      <c r="O224" s="477">
        <f t="shared" si="103"/>
        <v>0</v>
      </c>
      <c r="P224" s="480"/>
      <c r="Q224" s="477">
        <f t="shared" si="104"/>
        <v>0</v>
      </c>
      <c r="R224" s="480"/>
      <c r="S224" s="477">
        <f t="shared" ca="1" si="105"/>
        <v>0</v>
      </c>
      <c r="T224" s="475">
        <f t="shared" ca="1" si="106"/>
        <v>0</v>
      </c>
      <c r="U224" s="480"/>
      <c r="V224" s="477">
        <f t="shared" si="107"/>
        <v>0</v>
      </c>
      <c r="W224" s="480"/>
      <c r="X224" s="477">
        <f t="shared" si="108"/>
        <v>0</v>
      </c>
      <c r="Y224" s="480"/>
      <c r="Z224" s="477">
        <f t="shared" si="109"/>
        <v>0</v>
      </c>
      <c r="AA224" s="480"/>
      <c r="AB224" s="477">
        <f t="shared" ca="1" si="110"/>
        <v>0</v>
      </c>
      <c r="AC224" s="475">
        <f t="shared" ca="1" si="111"/>
        <v>0</v>
      </c>
      <c r="AD224" s="480"/>
      <c r="AE224" s="477">
        <f t="shared" si="112"/>
        <v>0</v>
      </c>
      <c r="AF224" s="480"/>
      <c r="AG224" s="477">
        <f t="shared" si="113"/>
        <v>0</v>
      </c>
      <c r="AH224" s="480"/>
      <c r="AI224" s="477">
        <f t="shared" si="114"/>
        <v>0</v>
      </c>
      <c r="AJ224" s="480"/>
      <c r="AK224" s="477">
        <f t="shared" ca="1" si="115"/>
        <v>0</v>
      </c>
      <c r="AL224" s="475">
        <f t="shared" ca="1" si="116"/>
        <v>737940</v>
      </c>
      <c r="AM224" s="480"/>
      <c r="AN224" s="477">
        <f t="shared" si="117"/>
        <v>0</v>
      </c>
      <c r="AO224" s="480"/>
      <c r="AP224" s="477">
        <f t="shared" si="118"/>
        <v>0</v>
      </c>
      <c r="AQ224" s="480"/>
      <c r="AR224" s="477">
        <f t="shared" si="119"/>
        <v>0</v>
      </c>
      <c r="AS224" s="480"/>
      <c r="AT224" s="477">
        <f t="shared" ca="1" si="120"/>
        <v>737940</v>
      </c>
      <c r="AU224" s="475">
        <f t="shared" ca="1" si="121"/>
        <v>737940</v>
      </c>
      <c r="AV224" s="480"/>
      <c r="AW224" s="477">
        <f t="shared" si="122"/>
        <v>0</v>
      </c>
      <c r="AX224" s="480"/>
      <c r="AY224" s="477">
        <f t="shared" si="123"/>
        <v>0</v>
      </c>
      <c r="AZ224" s="480"/>
      <c r="BA224" s="477">
        <f t="shared" si="124"/>
        <v>0</v>
      </c>
      <c r="BB224" s="480"/>
      <c r="BC224" s="850">
        <f t="shared" ca="1" si="125"/>
        <v>1475880</v>
      </c>
    </row>
    <row r="225" spans="1:55" ht="42">
      <c r="A225" s="837" t="str">
        <f t="shared" ca="1" si="97"/>
        <v/>
      </c>
      <c r="B225" s="440">
        <v>219</v>
      </c>
      <c r="C225" s="834" t="str">
        <f t="shared" ca="1" si="98"/>
        <v>6.</v>
      </c>
      <c r="D225" s="1757" t="str">
        <f ca="1">IFERROR(VLOOKUP(LEFT(E225,4),Nom_activ_2!D:G,4,0),"")</f>
        <v>6.1.  Consolidarea capacităților pentru managementul eficient al PNCT</v>
      </c>
      <c r="E225" s="1757" t="str">
        <f t="shared" ca="1" si="99"/>
        <v xml:space="preserve">6.1.2. Actualizarea, integrarea, menținerea și ajustarea continuă a sistemului informațional de colectare a datelor, inclusiv a sistemului informațional de M&amp;E </v>
      </c>
      <c r="F225" s="1777" t="str">
        <f t="shared" ca="1" si="126"/>
        <v xml:space="preserve">6.1.2.2. Actualizarea, integrarea, menținerea și ajustarea continuă a sistemului informațional de colectare a datelor, inclusiv a sistemului informațional de M&amp;E </v>
      </c>
      <c r="G225" s="839">
        <f t="shared" ca="1" si="126"/>
        <v>0</v>
      </c>
      <c r="H225" s="840" t="str">
        <f t="shared" ca="1" si="126"/>
        <v>CNAM</v>
      </c>
      <c r="I225" s="443" t="s">
        <v>3124</v>
      </c>
      <c r="J225" s="838" t="str">
        <f t="shared" si="100"/>
        <v>PNCT!$A:$j</v>
      </c>
      <c r="K225" s="475">
        <f t="shared" ca="1" si="101"/>
        <v>0</v>
      </c>
      <c r="L225" s="480"/>
      <c r="M225" s="477">
        <f t="shared" si="102"/>
        <v>0</v>
      </c>
      <c r="N225" s="480"/>
      <c r="O225" s="477">
        <f t="shared" si="103"/>
        <v>0</v>
      </c>
      <c r="P225" s="480"/>
      <c r="Q225" s="477">
        <f t="shared" si="104"/>
        <v>0</v>
      </c>
      <c r="R225" s="480"/>
      <c r="S225" s="477">
        <f t="shared" ca="1" si="105"/>
        <v>0</v>
      </c>
      <c r="T225" s="475">
        <f t="shared" ca="1" si="106"/>
        <v>0</v>
      </c>
      <c r="U225" s="480"/>
      <c r="V225" s="477">
        <f t="shared" si="107"/>
        <v>0</v>
      </c>
      <c r="W225" s="480"/>
      <c r="X225" s="477">
        <f t="shared" si="108"/>
        <v>0</v>
      </c>
      <c r="Y225" s="480"/>
      <c r="Z225" s="477">
        <f t="shared" si="109"/>
        <v>0</v>
      </c>
      <c r="AA225" s="480"/>
      <c r="AB225" s="477">
        <f t="shared" ca="1" si="110"/>
        <v>0</v>
      </c>
      <c r="AC225" s="475">
        <f t="shared" ca="1" si="111"/>
        <v>0</v>
      </c>
      <c r="AD225" s="480"/>
      <c r="AE225" s="477">
        <f t="shared" si="112"/>
        <v>0</v>
      </c>
      <c r="AF225" s="480"/>
      <c r="AG225" s="477">
        <f t="shared" si="113"/>
        <v>0</v>
      </c>
      <c r="AH225" s="480"/>
      <c r="AI225" s="477">
        <f t="shared" si="114"/>
        <v>0</v>
      </c>
      <c r="AJ225" s="480"/>
      <c r="AK225" s="477">
        <f t="shared" ca="1" si="115"/>
        <v>0</v>
      </c>
      <c r="AL225" s="475">
        <f t="shared" ca="1" si="116"/>
        <v>392494.06</v>
      </c>
      <c r="AM225" s="480"/>
      <c r="AN225" s="477">
        <f t="shared" si="117"/>
        <v>0</v>
      </c>
      <c r="AO225" s="480"/>
      <c r="AP225" s="477">
        <f t="shared" si="118"/>
        <v>0</v>
      </c>
      <c r="AQ225" s="480"/>
      <c r="AR225" s="477">
        <f t="shared" si="119"/>
        <v>0</v>
      </c>
      <c r="AS225" s="480"/>
      <c r="AT225" s="477">
        <f t="shared" ca="1" si="120"/>
        <v>392494.06</v>
      </c>
      <c r="AU225" s="475">
        <f t="shared" ca="1" si="121"/>
        <v>392494.06</v>
      </c>
      <c r="AV225" s="480"/>
      <c r="AW225" s="477">
        <f t="shared" si="122"/>
        <v>0</v>
      </c>
      <c r="AX225" s="480"/>
      <c r="AY225" s="477">
        <f t="shared" si="123"/>
        <v>0</v>
      </c>
      <c r="AZ225" s="480"/>
      <c r="BA225" s="477">
        <f t="shared" si="124"/>
        <v>0</v>
      </c>
      <c r="BB225" s="480"/>
      <c r="BC225" s="850">
        <f t="shared" ca="1" si="125"/>
        <v>784988.12</v>
      </c>
    </row>
    <row r="226" spans="1:55" ht="28">
      <c r="A226" s="837" t="str">
        <f t="shared" ca="1" si="97"/>
        <v/>
      </c>
      <c r="B226" s="440">
        <v>220</v>
      </c>
      <c r="C226" s="834" t="str">
        <f t="shared" ca="1" si="98"/>
        <v>7.</v>
      </c>
      <c r="D226" s="1757" t="str">
        <f ca="1">IFERROR(VLOOKUP(LEFT(E226,4),Nom_activ_2!D:G,4,0),"")</f>
        <v>7.2.  Realizarea studiilor operaționale</v>
      </c>
      <c r="E226" s="1757" t="str">
        <f t="shared" ca="1" si="99"/>
        <v>7.2.3. Participarea OSC în  realizarea studiilor operaționale, inclusiv în realizarea acestora la nivel de comunitate</v>
      </c>
      <c r="F226" s="1777" t="str">
        <f t="shared" ca="1" si="126"/>
        <v>7.2.3.2. Realizarea a doua studii KAP TB</v>
      </c>
      <c r="G226" s="839">
        <f t="shared" ca="1" si="126"/>
        <v>0</v>
      </c>
      <c r="H226" s="840" t="str">
        <f t="shared" ca="1" si="126"/>
        <v>CNAM</v>
      </c>
      <c r="I226" s="443" t="s">
        <v>3468</v>
      </c>
      <c r="J226" s="838" t="str">
        <f t="shared" si="100"/>
        <v>Sisteme_de_sanatate!$A:$j</v>
      </c>
      <c r="K226" s="475">
        <f t="shared" ca="1" si="101"/>
        <v>0</v>
      </c>
      <c r="L226" s="480"/>
      <c r="M226" s="477">
        <f t="shared" si="102"/>
        <v>0</v>
      </c>
      <c r="N226" s="480"/>
      <c r="O226" s="477">
        <f t="shared" si="103"/>
        <v>0</v>
      </c>
      <c r="P226" s="480"/>
      <c r="Q226" s="477">
        <f t="shared" si="104"/>
        <v>0</v>
      </c>
      <c r="R226" s="480"/>
      <c r="S226" s="477">
        <f t="shared" ca="1" si="105"/>
        <v>0</v>
      </c>
      <c r="T226" s="475">
        <f t="shared" ca="1" si="106"/>
        <v>0</v>
      </c>
      <c r="U226" s="480"/>
      <c r="V226" s="477">
        <f t="shared" si="107"/>
        <v>0</v>
      </c>
      <c r="W226" s="480"/>
      <c r="X226" s="477">
        <f t="shared" si="108"/>
        <v>0</v>
      </c>
      <c r="Y226" s="480"/>
      <c r="Z226" s="477">
        <f t="shared" si="109"/>
        <v>0</v>
      </c>
      <c r="AA226" s="480"/>
      <c r="AB226" s="477">
        <f t="shared" ca="1" si="110"/>
        <v>0</v>
      </c>
      <c r="AC226" s="475">
        <f t="shared" ca="1" si="111"/>
        <v>0</v>
      </c>
      <c r="AD226" s="480"/>
      <c r="AE226" s="477">
        <f t="shared" si="112"/>
        <v>0</v>
      </c>
      <c r="AF226" s="480"/>
      <c r="AG226" s="477">
        <f t="shared" si="113"/>
        <v>0</v>
      </c>
      <c r="AH226" s="480"/>
      <c r="AI226" s="477">
        <f t="shared" si="114"/>
        <v>0</v>
      </c>
      <c r="AJ226" s="480"/>
      <c r="AK226" s="477">
        <f t="shared" ca="1" si="115"/>
        <v>0</v>
      </c>
      <c r="AL226" s="475">
        <f t="shared" ca="1" si="116"/>
        <v>0</v>
      </c>
      <c r="AM226" s="480"/>
      <c r="AN226" s="477">
        <f t="shared" si="117"/>
        <v>0</v>
      </c>
      <c r="AO226" s="480"/>
      <c r="AP226" s="477">
        <f t="shared" si="118"/>
        <v>0</v>
      </c>
      <c r="AQ226" s="480"/>
      <c r="AR226" s="477">
        <f t="shared" si="119"/>
        <v>0</v>
      </c>
      <c r="AS226" s="480"/>
      <c r="AT226" s="477">
        <f t="shared" ca="1" si="120"/>
        <v>0</v>
      </c>
      <c r="AU226" s="475">
        <f t="shared" ca="1" si="121"/>
        <v>256000</v>
      </c>
      <c r="AV226" s="480"/>
      <c r="AW226" s="477">
        <f t="shared" si="122"/>
        <v>0</v>
      </c>
      <c r="AX226" s="480"/>
      <c r="AY226" s="477">
        <f t="shared" si="123"/>
        <v>0</v>
      </c>
      <c r="AZ226" s="480"/>
      <c r="BA226" s="477">
        <f t="shared" si="124"/>
        <v>0</v>
      </c>
      <c r="BB226" s="480"/>
      <c r="BC226" s="850">
        <f t="shared" ca="1" si="125"/>
        <v>256000</v>
      </c>
    </row>
    <row r="227" spans="1:55" ht="56">
      <c r="A227" s="837" t="str">
        <f t="shared" ca="1" si="97"/>
        <v/>
      </c>
      <c r="B227" s="440">
        <v>221</v>
      </c>
      <c r="C227" s="834" t="str">
        <f t="shared" ca="1" si="98"/>
        <v>1.</v>
      </c>
      <c r="D227" s="1757" t="str">
        <f ca="1">IFERROR(VLOOKUP(LEFT(E227,4),Nom_activ_2!D:G,4,0),"")</f>
        <v>1.1.  Depistarea activă a TB în grupurile cu risc și vigilență sporită pentru TB</v>
      </c>
      <c r="E227" s="1757" t="str">
        <f t="shared" ca="1" si="99"/>
        <v>1.1.4. Asigurarea examinării persoanelor din grupurile cu risc și vigilență sporită pentru TB în localități, utilizând instalațiile radiologice mobile cu introducerea inteligenței artificiale medicale</v>
      </c>
      <c r="F227" s="1777" t="str">
        <f t="shared" ref="F227:H246" ca="1" si="127">IFERROR(VLOOKUP($B227,INDIRECT($J227),F$5,0),0)</f>
        <v xml:space="preserve">1.1.4.5.Asigurarea examinării persoanelor din populațiile-cheie - PTHIV, PAFA, consumatori de droguri și alte grupuri vulnerabile, cu acces redus la AMP, cu suportul OSC (Malul Stang)
</v>
      </c>
      <c r="G227" s="839" t="str">
        <f t="shared" ca="1" si="127"/>
        <v>(NGO)</v>
      </c>
      <c r="H227" s="840" t="str">
        <f t="shared" ca="1" si="127"/>
        <v>GFATM</v>
      </c>
      <c r="I227" s="443" t="s">
        <v>3628</v>
      </c>
      <c r="J227" s="838" t="str">
        <f t="shared" si="100"/>
        <v>ONG_TB!$A:$j</v>
      </c>
      <c r="K227" s="475">
        <f t="shared" ca="1" si="101"/>
        <v>1777584</v>
      </c>
      <c r="L227" s="480"/>
      <c r="M227" s="477">
        <f t="shared" si="102"/>
        <v>0</v>
      </c>
      <c r="N227" s="480"/>
      <c r="O227" s="477">
        <f t="shared" si="103"/>
        <v>0</v>
      </c>
      <c r="P227" s="480"/>
      <c r="Q227" s="477">
        <f t="shared" si="104"/>
        <v>0</v>
      </c>
      <c r="R227" s="480"/>
      <c r="S227" s="477">
        <f t="shared" ca="1" si="105"/>
        <v>1777584</v>
      </c>
      <c r="T227" s="475">
        <f t="shared" ca="1" si="106"/>
        <v>2022768.0000000002</v>
      </c>
      <c r="U227" s="480"/>
      <c r="V227" s="477">
        <f t="shared" si="107"/>
        <v>0</v>
      </c>
      <c r="W227" s="480"/>
      <c r="X227" s="477">
        <f t="shared" si="108"/>
        <v>0</v>
      </c>
      <c r="Y227" s="480"/>
      <c r="Z227" s="477">
        <f t="shared" si="109"/>
        <v>0</v>
      </c>
      <c r="AA227" s="480"/>
      <c r="AB227" s="477">
        <f t="shared" ca="1" si="110"/>
        <v>2022768.0000000002</v>
      </c>
      <c r="AC227" s="475">
        <f t="shared" ca="1" si="111"/>
        <v>2084064.0000000002</v>
      </c>
      <c r="AD227" s="480"/>
      <c r="AE227" s="477">
        <f t="shared" si="112"/>
        <v>0</v>
      </c>
      <c r="AF227" s="480"/>
      <c r="AG227" s="477">
        <f t="shared" si="113"/>
        <v>0</v>
      </c>
      <c r="AH227" s="480"/>
      <c r="AI227" s="477">
        <f t="shared" si="114"/>
        <v>0</v>
      </c>
      <c r="AJ227" s="480"/>
      <c r="AK227" s="477">
        <f t="shared" ca="1" si="115"/>
        <v>2084064.0000000002</v>
      </c>
      <c r="AL227" s="475">
        <f t="shared" ca="1" si="116"/>
        <v>0</v>
      </c>
      <c r="AM227" s="480"/>
      <c r="AN227" s="477">
        <f t="shared" si="117"/>
        <v>0</v>
      </c>
      <c r="AO227" s="480"/>
      <c r="AP227" s="477">
        <f t="shared" si="118"/>
        <v>0</v>
      </c>
      <c r="AQ227" s="480"/>
      <c r="AR227" s="477">
        <f t="shared" si="119"/>
        <v>0</v>
      </c>
      <c r="AS227" s="480"/>
      <c r="AT227" s="477">
        <f t="shared" ca="1" si="120"/>
        <v>0</v>
      </c>
      <c r="AU227" s="475">
        <f t="shared" ca="1" si="121"/>
        <v>0</v>
      </c>
      <c r="AV227" s="480"/>
      <c r="AW227" s="477">
        <f t="shared" si="122"/>
        <v>0</v>
      </c>
      <c r="AX227" s="480"/>
      <c r="AY227" s="477">
        <f t="shared" si="123"/>
        <v>0</v>
      </c>
      <c r="AZ227" s="480"/>
      <c r="BA227" s="477">
        <f t="shared" si="124"/>
        <v>0</v>
      </c>
      <c r="BB227" s="480"/>
      <c r="BC227" s="850">
        <f t="shared" ca="1" si="125"/>
        <v>5884416</v>
      </c>
    </row>
    <row r="228" spans="1:55" ht="42">
      <c r="A228" s="837" t="str">
        <f t="shared" ca="1" si="97"/>
        <v/>
      </c>
      <c r="B228" s="440">
        <v>222</v>
      </c>
      <c r="C228" s="834" t="str">
        <f t="shared" ca="1" si="98"/>
        <v>3.</v>
      </c>
      <c r="D228" s="1757" t="str">
        <f ca="1">IFERROR(VLOOKUP(LEFT(E228,4),Nom_activ_2!D:G,4,0),"")</f>
        <v>3.2.  Asigurarea monitorizării tratamentului, managementului și prevenirii reacțiilor adverse la medicamente TB</v>
      </c>
      <c r="E228" s="1757" t="str">
        <f t="shared" ca="1" si="99"/>
        <v>3.2.1. Elaborarea mecanismului de asigurarea accesului la medicamente pentru prevenirea și tratamentul reacțiilor adverse la preparatele TB</v>
      </c>
      <c r="F228" s="1777" t="str">
        <f t="shared" ca="1" si="127"/>
        <v>3.2.1.1.  Elaborarea mecanismului de asigurarea accesului la medicamente pentru prevenirea și tratamentul reacțiilor adverse la preparatele TB</v>
      </c>
      <c r="G228" s="839" t="str">
        <f t="shared" ca="1" si="127"/>
        <v>PAS</v>
      </c>
      <c r="H228" s="840" t="str">
        <f t="shared" ca="1" si="127"/>
        <v>GFATM</v>
      </c>
      <c r="I228" s="443" t="s">
        <v>3088</v>
      </c>
      <c r="J228" s="838" t="str">
        <f t="shared" si="100"/>
        <v>RA_farmacovigilenta!$A:$j</v>
      </c>
      <c r="K228" s="475">
        <f t="shared" ca="1" si="101"/>
        <v>0</v>
      </c>
      <c r="L228" s="480"/>
      <c r="M228" s="477">
        <f t="shared" si="102"/>
        <v>0</v>
      </c>
      <c r="N228" s="480"/>
      <c r="O228" s="477">
        <f t="shared" si="103"/>
        <v>0</v>
      </c>
      <c r="P228" s="480"/>
      <c r="Q228" s="477">
        <f t="shared" si="104"/>
        <v>0</v>
      </c>
      <c r="R228" s="480"/>
      <c r="S228" s="477">
        <f t="shared" ca="1" si="105"/>
        <v>0</v>
      </c>
      <c r="T228" s="475">
        <f t="shared" ca="1" si="106"/>
        <v>0</v>
      </c>
      <c r="U228" s="480"/>
      <c r="V228" s="477">
        <f t="shared" si="107"/>
        <v>0</v>
      </c>
      <c r="W228" s="480"/>
      <c r="X228" s="477">
        <f t="shared" si="108"/>
        <v>0</v>
      </c>
      <c r="Y228" s="480"/>
      <c r="Z228" s="477">
        <f t="shared" si="109"/>
        <v>0</v>
      </c>
      <c r="AA228" s="480"/>
      <c r="AB228" s="477">
        <f t="shared" ca="1" si="110"/>
        <v>0</v>
      </c>
      <c r="AC228" s="475">
        <f t="shared" ca="1" si="111"/>
        <v>0</v>
      </c>
      <c r="AD228" s="480"/>
      <c r="AE228" s="477">
        <f t="shared" si="112"/>
        <v>0</v>
      </c>
      <c r="AF228" s="480"/>
      <c r="AG228" s="477">
        <f t="shared" si="113"/>
        <v>0</v>
      </c>
      <c r="AH228" s="480"/>
      <c r="AI228" s="477">
        <f t="shared" si="114"/>
        <v>0</v>
      </c>
      <c r="AJ228" s="480"/>
      <c r="AK228" s="477">
        <f t="shared" ca="1" si="115"/>
        <v>0</v>
      </c>
      <c r="AL228" s="475">
        <f t="shared" ca="1" si="116"/>
        <v>0</v>
      </c>
      <c r="AM228" s="480"/>
      <c r="AN228" s="477">
        <f t="shared" si="117"/>
        <v>0</v>
      </c>
      <c r="AO228" s="480"/>
      <c r="AP228" s="477">
        <f t="shared" si="118"/>
        <v>0</v>
      </c>
      <c r="AQ228" s="480"/>
      <c r="AR228" s="477">
        <f t="shared" si="119"/>
        <v>0</v>
      </c>
      <c r="AS228" s="480"/>
      <c r="AT228" s="477">
        <f t="shared" ca="1" si="120"/>
        <v>0</v>
      </c>
      <c r="AU228" s="475">
        <f t="shared" ca="1" si="121"/>
        <v>0</v>
      </c>
      <c r="AV228" s="480"/>
      <c r="AW228" s="477">
        <f t="shared" si="122"/>
        <v>0</v>
      </c>
      <c r="AX228" s="480"/>
      <c r="AY228" s="477">
        <f t="shared" si="123"/>
        <v>0</v>
      </c>
      <c r="AZ228" s="480"/>
      <c r="BA228" s="477">
        <f t="shared" si="124"/>
        <v>0</v>
      </c>
      <c r="BB228" s="480"/>
      <c r="BC228" s="850">
        <f t="shared" ca="1" si="125"/>
        <v>0</v>
      </c>
    </row>
    <row r="229" spans="1:55" ht="42">
      <c r="A229" s="837" t="str">
        <f t="shared" ca="1" si="97"/>
        <v/>
      </c>
      <c r="B229" s="440">
        <v>223</v>
      </c>
      <c r="C229" s="834" t="str">
        <f t="shared" ca="1" si="98"/>
        <v>6.</v>
      </c>
      <c r="D229" s="1757" t="str">
        <f ca="1">IFERROR(VLOOKUP(LEFT(E229,4),Nom_activ_2!D:G,4,0),"")</f>
        <v>6.7.  Realizarea Strategiei de pledoarie, comunicare și mobilizare socială în controlul TB, inclusiv prin reducerea stigmei și discriminării, cu alocarea resurselor necesare</v>
      </c>
      <c r="E229" s="1757" t="str">
        <f t="shared" ca="1" si="99"/>
        <v xml:space="preserve">6.7.3. Dezvoltarea și implementarea mecanismelor de monitorizare a calității serviciilor TB în raport cu respectarea drepturilor pacientului </v>
      </c>
      <c r="F229" s="1777" t="str">
        <f t="shared" ca="1" si="127"/>
        <v>6.7.3.5. Elaborarea PSO pentru OSC cu privire la monitorizarea  calității serviciilor TB în raport cu respectarea drepturilor pacientului</v>
      </c>
      <c r="G229" s="839" t="str">
        <f t="shared" ca="1" si="127"/>
        <v>PAS</v>
      </c>
      <c r="H229" s="840" t="str">
        <f t="shared" ca="1" si="127"/>
        <v>GFATM</v>
      </c>
      <c r="I229" s="443" t="s">
        <v>3468</v>
      </c>
      <c r="J229" s="838" t="str">
        <f t="shared" si="100"/>
        <v>Sisteme_de_sanatate!$A:$j</v>
      </c>
      <c r="K229" s="475">
        <f t="shared" ca="1" si="101"/>
        <v>26300</v>
      </c>
      <c r="L229" s="480"/>
      <c r="M229" s="477">
        <f t="shared" si="102"/>
        <v>0</v>
      </c>
      <c r="N229" s="480"/>
      <c r="O229" s="477">
        <f t="shared" si="103"/>
        <v>0</v>
      </c>
      <c r="P229" s="480"/>
      <c r="Q229" s="477">
        <f t="shared" si="104"/>
        <v>0</v>
      </c>
      <c r="R229" s="480"/>
      <c r="S229" s="477">
        <f t="shared" ca="1" si="105"/>
        <v>26300</v>
      </c>
      <c r="T229" s="475">
        <f t="shared" ca="1" si="106"/>
        <v>0</v>
      </c>
      <c r="U229" s="480"/>
      <c r="V229" s="477">
        <f t="shared" si="107"/>
        <v>0</v>
      </c>
      <c r="W229" s="480"/>
      <c r="X229" s="477">
        <f t="shared" si="108"/>
        <v>0</v>
      </c>
      <c r="Y229" s="480"/>
      <c r="Z229" s="477">
        <f t="shared" si="109"/>
        <v>0</v>
      </c>
      <c r="AA229" s="480"/>
      <c r="AB229" s="477">
        <f t="shared" ca="1" si="110"/>
        <v>0</v>
      </c>
      <c r="AC229" s="475">
        <f t="shared" ca="1" si="111"/>
        <v>0</v>
      </c>
      <c r="AD229" s="480"/>
      <c r="AE229" s="477">
        <f t="shared" si="112"/>
        <v>0</v>
      </c>
      <c r="AF229" s="480"/>
      <c r="AG229" s="477">
        <f t="shared" si="113"/>
        <v>0</v>
      </c>
      <c r="AH229" s="480"/>
      <c r="AI229" s="477">
        <f t="shared" si="114"/>
        <v>0</v>
      </c>
      <c r="AJ229" s="480"/>
      <c r="AK229" s="477">
        <f t="shared" ca="1" si="115"/>
        <v>0</v>
      </c>
      <c r="AL229" s="475">
        <f t="shared" ca="1" si="116"/>
        <v>0</v>
      </c>
      <c r="AM229" s="480"/>
      <c r="AN229" s="477">
        <f t="shared" si="117"/>
        <v>0</v>
      </c>
      <c r="AO229" s="480"/>
      <c r="AP229" s="477">
        <f t="shared" si="118"/>
        <v>0</v>
      </c>
      <c r="AQ229" s="480"/>
      <c r="AR229" s="477">
        <f t="shared" si="119"/>
        <v>0</v>
      </c>
      <c r="AS229" s="480"/>
      <c r="AT229" s="477">
        <f t="shared" ca="1" si="120"/>
        <v>0</v>
      </c>
      <c r="AU229" s="475">
        <f t="shared" ca="1" si="121"/>
        <v>0</v>
      </c>
      <c r="AV229" s="480"/>
      <c r="AW229" s="477">
        <f t="shared" si="122"/>
        <v>0</v>
      </c>
      <c r="AX229" s="480"/>
      <c r="AY229" s="477">
        <f t="shared" si="123"/>
        <v>0</v>
      </c>
      <c r="AZ229" s="480"/>
      <c r="BA229" s="477">
        <f t="shared" si="124"/>
        <v>0</v>
      </c>
      <c r="BB229" s="480"/>
      <c r="BC229" s="850">
        <f t="shared" ca="1" si="125"/>
        <v>26300</v>
      </c>
    </row>
    <row r="230" spans="1:55" ht="42">
      <c r="A230" s="837" t="str">
        <f t="shared" ca="1" si="97"/>
        <v/>
      </c>
      <c r="B230" s="440">
        <v>224</v>
      </c>
      <c r="C230" s="834" t="str">
        <f t="shared" ca="1" si="98"/>
        <v>6.</v>
      </c>
      <c r="D230" s="1757" t="str">
        <f ca="1">IFERROR(VLOOKUP(LEFT(E230,4),Nom_activ_2!D:G,4,0),"")</f>
        <v>6.7.  Realizarea Strategiei de pledoarie, comunicare și mobilizare socială în controlul TB, inclusiv prin reducerea stigmei și discriminării, cu alocarea resurselor necesare</v>
      </c>
      <c r="E230" s="1757" t="str">
        <f t="shared" ca="1" si="99"/>
        <v xml:space="preserve">6.7.3. Dezvoltarea și implementarea mecanismelor de monitorizare a calității serviciilor TB în raport cu respectarea drepturilor pacientului </v>
      </c>
      <c r="F230" s="1777" t="str">
        <f t="shared" ca="1" si="127"/>
        <v>6.7.3.6. Curs de instruire PSO pentru OSC cu privire la monitorizarea  calității serviciilor TB în raport cu respectarea drepturilor pacientului</v>
      </c>
      <c r="G230" s="839" t="str">
        <f t="shared" ca="1" si="127"/>
        <v>PAS</v>
      </c>
      <c r="H230" s="840" t="str">
        <f t="shared" ca="1" si="127"/>
        <v>GFATM</v>
      </c>
      <c r="I230" s="443" t="s">
        <v>3468</v>
      </c>
      <c r="J230" s="838" t="str">
        <f t="shared" si="100"/>
        <v>Sisteme_de_sanatate!$A:$j</v>
      </c>
      <c r="K230" s="475">
        <f t="shared" ca="1" si="101"/>
        <v>0</v>
      </c>
      <c r="L230" s="480"/>
      <c r="M230" s="477">
        <f t="shared" si="102"/>
        <v>0</v>
      </c>
      <c r="N230" s="480"/>
      <c r="O230" s="477">
        <f t="shared" si="103"/>
        <v>0</v>
      </c>
      <c r="P230" s="480"/>
      <c r="Q230" s="477">
        <f t="shared" si="104"/>
        <v>0</v>
      </c>
      <c r="R230" s="480"/>
      <c r="S230" s="477">
        <f t="shared" ca="1" si="105"/>
        <v>0</v>
      </c>
      <c r="T230" s="475">
        <f t="shared" ca="1" si="106"/>
        <v>17548</v>
      </c>
      <c r="U230" s="480"/>
      <c r="V230" s="477">
        <f t="shared" si="107"/>
        <v>0</v>
      </c>
      <c r="W230" s="480"/>
      <c r="X230" s="477">
        <f t="shared" si="108"/>
        <v>0</v>
      </c>
      <c r="Y230" s="480"/>
      <c r="Z230" s="477">
        <f t="shared" si="109"/>
        <v>0</v>
      </c>
      <c r="AA230" s="480"/>
      <c r="AB230" s="477">
        <f t="shared" ca="1" si="110"/>
        <v>17548</v>
      </c>
      <c r="AC230" s="475">
        <f t="shared" ca="1" si="111"/>
        <v>0</v>
      </c>
      <c r="AD230" s="480"/>
      <c r="AE230" s="477">
        <f t="shared" si="112"/>
        <v>0</v>
      </c>
      <c r="AF230" s="480"/>
      <c r="AG230" s="477">
        <f t="shared" si="113"/>
        <v>0</v>
      </c>
      <c r="AH230" s="480"/>
      <c r="AI230" s="477">
        <f t="shared" si="114"/>
        <v>0</v>
      </c>
      <c r="AJ230" s="480"/>
      <c r="AK230" s="477">
        <f t="shared" ca="1" si="115"/>
        <v>0</v>
      </c>
      <c r="AL230" s="475">
        <f t="shared" ca="1" si="116"/>
        <v>0</v>
      </c>
      <c r="AM230" s="480"/>
      <c r="AN230" s="477">
        <f t="shared" si="117"/>
        <v>0</v>
      </c>
      <c r="AO230" s="480"/>
      <c r="AP230" s="477">
        <f t="shared" si="118"/>
        <v>0</v>
      </c>
      <c r="AQ230" s="480"/>
      <c r="AR230" s="477">
        <f t="shared" si="119"/>
        <v>0</v>
      </c>
      <c r="AS230" s="480"/>
      <c r="AT230" s="477">
        <f t="shared" ca="1" si="120"/>
        <v>0</v>
      </c>
      <c r="AU230" s="475">
        <f t="shared" ca="1" si="121"/>
        <v>0</v>
      </c>
      <c r="AV230" s="480"/>
      <c r="AW230" s="477">
        <f t="shared" si="122"/>
        <v>0</v>
      </c>
      <c r="AX230" s="480"/>
      <c r="AY230" s="477">
        <f t="shared" si="123"/>
        <v>0</v>
      </c>
      <c r="AZ230" s="480"/>
      <c r="BA230" s="477">
        <f t="shared" si="124"/>
        <v>0</v>
      </c>
      <c r="BB230" s="480"/>
      <c r="BC230" s="850">
        <f t="shared" ca="1" si="125"/>
        <v>17548</v>
      </c>
    </row>
    <row r="231" spans="1:55" ht="42">
      <c r="A231" s="837" t="str">
        <f t="shared" ca="1" si="97"/>
        <v/>
      </c>
      <c r="B231" s="440">
        <v>225</v>
      </c>
      <c r="C231" s="834" t="str">
        <f t="shared" ca="1" si="98"/>
        <v>3.</v>
      </c>
      <c r="D231" s="1757" t="str">
        <f ca="1">IFERROR(VLOOKUP(LEFT(E231,4),Nom_activ_2!D:G,4,0),"")</f>
        <v>3.2.  Asigurarea monitorizării tratamentului, managementului și prevenirii reacțiilor adverse la medicamente TB</v>
      </c>
      <c r="E231" s="1757" t="str">
        <f t="shared" ca="1" si="99"/>
        <v>3.2.2. Asigurarea actualizării Regulamentului privind managementul medicamentelor TB și sistemului de farmacovigilență în tratamentul pacienților cu TB</v>
      </c>
      <c r="F231" s="1777" t="str">
        <f t="shared" ca="1" si="127"/>
        <v>3.2.2.3. Curs de instruire farmacovigilenta, medici ftiziopneumologi din teritoriu</v>
      </c>
      <c r="G231" s="839">
        <f t="shared" ca="1" si="127"/>
        <v>0</v>
      </c>
      <c r="H231" s="840" t="str">
        <f t="shared" ca="1" si="127"/>
        <v>CNAM</v>
      </c>
      <c r="I231" s="443" t="s">
        <v>3088</v>
      </c>
      <c r="J231" s="838" t="str">
        <f t="shared" si="100"/>
        <v>RA_farmacovigilenta!$A:$j</v>
      </c>
      <c r="K231" s="475">
        <f t="shared" ca="1" si="101"/>
        <v>0</v>
      </c>
      <c r="L231" s="480"/>
      <c r="M231" s="477">
        <f t="shared" si="102"/>
        <v>0</v>
      </c>
      <c r="N231" s="480"/>
      <c r="O231" s="477">
        <f t="shared" si="103"/>
        <v>0</v>
      </c>
      <c r="P231" s="480"/>
      <c r="Q231" s="477">
        <f t="shared" si="104"/>
        <v>0</v>
      </c>
      <c r="R231" s="480"/>
      <c r="S231" s="477">
        <f t="shared" ca="1" si="105"/>
        <v>0</v>
      </c>
      <c r="T231" s="475">
        <f t="shared" ca="1" si="106"/>
        <v>0</v>
      </c>
      <c r="U231" s="480"/>
      <c r="V231" s="477">
        <f t="shared" si="107"/>
        <v>0</v>
      </c>
      <c r="W231" s="480"/>
      <c r="X231" s="477">
        <f t="shared" si="108"/>
        <v>0</v>
      </c>
      <c r="Y231" s="480"/>
      <c r="Z231" s="477">
        <f t="shared" si="109"/>
        <v>0</v>
      </c>
      <c r="AA231" s="480"/>
      <c r="AB231" s="477">
        <f t="shared" ca="1" si="110"/>
        <v>0</v>
      </c>
      <c r="AC231" s="475">
        <f t="shared" ca="1" si="111"/>
        <v>0</v>
      </c>
      <c r="AD231" s="480"/>
      <c r="AE231" s="477">
        <f t="shared" si="112"/>
        <v>0</v>
      </c>
      <c r="AF231" s="480"/>
      <c r="AG231" s="477">
        <f t="shared" si="113"/>
        <v>0</v>
      </c>
      <c r="AH231" s="480"/>
      <c r="AI231" s="477">
        <f t="shared" si="114"/>
        <v>0</v>
      </c>
      <c r="AJ231" s="480"/>
      <c r="AK231" s="477">
        <f t="shared" ca="1" si="115"/>
        <v>0</v>
      </c>
      <c r="AL231" s="475">
        <f t="shared" ca="1" si="116"/>
        <v>0</v>
      </c>
      <c r="AM231" s="480"/>
      <c r="AN231" s="477">
        <f t="shared" si="117"/>
        <v>0</v>
      </c>
      <c r="AO231" s="480"/>
      <c r="AP231" s="477">
        <f t="shared" si="118"/>
        <v>0</v>
      </c>
      <c r="AQ231" s="480"/>
      <c r="AR231" s="477">
        <f t="shared" si="119"/>
        <v>0</v>
      </c>
      <c r="AS231" s="480"/>
      <c r="AT231" s="477">
        <f t="shared" ca="1" si="120"/>
        <v>0</v>
      </c>
      <c r="AU231" s="475">
        <f t="shared" ca="1" si="121"/>
        <v>413833.19999999995</v>
      </c>
      <c r="AV231" s="480"/>
      <c r="AW231" s="477">
        <f t="shared" si="122"/>
        <v>0</v>
      </c>
      <c r="AX231" s="480"/>
      <c r="AY231" s="477">
        <f t="shared" si="123"/>
        <v>0</v>
      </c>
      <c r="AZ231" s="480"/>
      <c r="BA231" s="477">
        <f t="shared" si="124"/>
        <v>0</v>
      </c>
      <c r="BB231" s="480"/>
      <c r="BC231" s="850">
        <f t="shared" ca="1" si="125"/>
        <v>413833.19999999995</v>
      </c>
    </row>
    <row r="232" spans="1:55" ht="28">
      <c r="A232" s="837" t="str">
        <f t="shared" ca="1" si="97"/>
        <v/>
      </c>
      <c r="B232" s="440">
        <v>226</v>
      </c>
      <c r="C232" s="834" t="str">
        <f t="shared" ca="1" si="98"/>
        <v>3.</v>
      </c>
      <c r="D232" s="1757" t="str">
        <f ca="1">IFERROR(VLOOKUP(LEFT(E232,4),Nom_activ_2!D:G,4,0),"")</f>
        <v>3.3.  Asigurarea aderenței la tratament, inclusiv prin utilizarea metodelor inovative, centrate pe persoană</v>
      </c>
      <c r="E232" s="1757" t="str">
        <f t="shared" ca="1" si="99"/>
        <v>3.3.3. Extinderea utilizării VOT la nivel național</v>
      </c>
      <c r="F232" s="1777" t="str">
        <f t="shared" ca="1" si="127"/>
        <v>3.3.3.4. Curs de instruire VOT</v>
      </c>
      <c r="G232" s="839">
        <f t="shared" ca="1" si="127"/>
        <v>0</v>
      </c>
      <c r="H232" s="840" t="str">
        <f t="shared" ca="1" si="127"/>
        <v>CNAM</v>
      </c>
      <c r="I232" s="443" t="s">
        <v>3310</v>
      </c>
      <c r="J232" s="838" t="str">
        <f t="shared" si="100"/>
        <v>Aderenta_VOT!$A:$j</v>
      </c>
      <c r="K232" s="475">
        <f t="shared" ca="1" si="101"/>
        <v>0</v>
      </c>
      <c r="L232" s="480"/>
      <c r="M232" s="477">
        <f t="shared" si="102"/>
        <v>0</v>
      </c>
      <c r="N232" s="480"/>
      <c r="O232" s="477">
        <f t="shared" si="103"/>
        <v>0</v>
      </c>
      <c r="P232" s="480"/>
      <c r="Q232" s="477">
        <f t="shared" si="104"/>
        <v>0</v>
      </c>
      <c r="R232" s="480"/>
      <c r="S232" s="477">
        <f t="shared" ca="1" si="105"/>
        <v>0</v>
      </c>
      <c r="T232" s="475">
        <f t="shared" ca="1" si="106"/>
        <v>61343.100000000006</v>
      </c>
      <c r="U232" s="480"/>
      <c r="V232" s="477">
        <f t="shared" si="107"/>
        <v>0</v>
      </c>
      <c r="W232" s="480"/>
      <c r="X232" s="477">
        <f t="shared" si="108"/>
        <v>0</v>
      </c>
      <c r="Y232" s="480"/>
      <c r="Z232" s="477">
        <f t="shared" si="109"/>
        <v>0</v>
      </c>
      <c r="AA232" s="480"/>
      <c r="AB232" s="477">
        <f t="shared" ca="1" si="110"/>
        <v>61343.100000000006</v>
      </c>
      <c r="AC232" s="475">
        <f t="shared" ca="1" si="111"/>
        <v>61343.100000000006</v>
      </c>
      <c r="AD232" s="480"/>
      <c r="AE232" s="477">
        <f t="shared" si="112"/>
        <v>0</v>
      </c>
      <c r="AF232" s="480"/>
      <c r="AG232" s="477">
        <f t="shared" si="113"/>
        <v>0</v>
      </c>
      <c r="AH232" s="480"/>
      <c r="AI232" s="477">
        <f t="shared" si="114"/>
        <v>0</v>
      </c>
      <c r="AJ232" s="480"/>
      <c r="AK232" s="477">
        <f t="shared" ca="1" si="115"/>
        <v>61343.100000000006</v>
      </c>
      <c r="AL232" s="475">
        <f t="shared" ca="1" si="116"/>
        <v>40895.4</v>
      </c>
      <c r="AM232" s="480"/>
      <c r="AN232" s="477">
        <f t="shared" si="117"/>
        <v>0</v>
      </c>
      <c r="AO232" s="480"/>
      <c r="AP232" s="477">
        <f t="shared" si="118"/>
        <v>0</v>
      </c>
      <c r="AQ232" s="480"/>
      <c r="AR232" s="477">
        <f t="shared" si="119"/>
        <v>0</v>
      </c>
      <c r="AS232" s="480"/>
      <c r="AT232" s="477">
        <f t="shared" ca="1" si="120"/>
        <v>40895.4</v>
      </c>
      <c r="AU232" s="475">
        <f t="shared" ca="1" si="121"/>
        <v>40895.4</v>
      </c>
      <c r="AV232" s="480"/>
      <c r="AW232" s="477">
        <f t="shared" si="122"/>
        <v>0</v>
      </c>
      <c r="AX232" s="480"/>
      <c r="AY232" s="477">
        <f t="shared" si="123"/>
        <v>0</v>
      </c>
      <c r="AZ232" s="480"/>
      <c r="BA232" s="477">
        <f t="shared" si="124"/>
        <v>0</v>
      </c>
      <c r="BB232" s="480"/>
      <c r="BC232" s="850">
        <f t="shared" ca="1" si="125"/>
        <v>204477</v>
      </c>
    </row>
    <row r="233" spans="1:55" ht="28">
      <c r="A233" s="837" t="str">
        <f t="shared" ca="1" si="97"/>
        <v/>
      </c>
      <c r="B233" s="2234">
        <v>227</v>
      </c>
      <c r="C233" s="834" t="str">
        <f t="shared" ca="1" si="98"/>
        <v>3.</v>
      </c>
      <c r="D233" s="1757" t="str">
        <f ca="1">IFERROR(VLOOKUP(LEFT(E233,4),Nom_activ_2!D:G,4,0),"")</f>
        <v>3.3.  Asigurarea aderenței la tratament, inclusiv prin utilizarea metodelor inovative, centrate pe persoană</v>
      </c>
      <c r="E233" s="1757" t="str">
        <f t="shared" ca="1" si="99"/>
        <v>3.3.2. Asigurarea suportului motivațional lunar (stimulente)</v>
      </c>
      <c r="F233" s="1777" t="str">
        <f t="shared" ca="1" si="127"/>
        <v>3.3.2.1 Asigurarea suportului motivațional lunar (stimulente)_Malul stang</v>
      </c>
      <c r="G233" s="2233" t="str">
        <f t="shared" ca="1" si="127"/>
        <v>(NGO)</v>
      </c>
      <c r="H233" s="840" t="str">
        <f t="shared" ca="1" si="127"/>
        <v>GFATM</v>
      </c>
      <c r="I233" s="443" t="s">
        <v>3310</v>
      </c>
      <c r="J233" s="838" t="str">
        <f t="shared" si="100"/>
        <v>Aderenta_VOT!$A:$j</v>
      </c>
      <c r="K233" s="475">
        <f t="shared" ca="1" si="101"/>
        <v>3525747.2600000002</v>
      </c>
      <c r="L233" s="480"/>
      <c r="M233" s="477">
        <f t="shared" si="102"/>
        <v>0</v>
      </c>
      <c r="N233" s="480"/>
      <c r="O233" s="477">
        <f t="shared" si="103"/>
        <v>0</v>
      </c>
      <c r="P233" s="480"/>
      <c r="Q233" s="477">
        <f t="shared" si="104"/>
        <v>0</v>
      </c>
      <c r="R233" s="480"/>
      <c r="S233" s="477">
        <f t="shared" ca="1" si="105"/>
        <v>3525747.2600000002</v>
      </c>
      <c r="T233" s="475">
        <f t="shared" ca="1" si="106"/>
        <v>3493356.14</v>
      </c>
      <c r="U233" s="480"/>
      <c r="V233" s="477">
        <f t="shared" si="107"/>
        <v>0</v>
      </c>
      <c r="W233" s="480"/>
      <c r="X233" s="477">
        <f t="shared" si="108"/>
        <v>0</v>
      </c>
      <c r="Y233" s="480"/>
      <c r="Z233" s="477">
        <f t="shared" si="109"/>
        <v>0</v>
      </c>
      <c r="AA233" s="480"/>
      <c r="AB233" s="477">
        <f t="shared" ca="1" si="110"/>
        <v>3493356.14</v>
      </c>
      <c r="AC233" s="475">
        <f t="shared" ca="1" si="111"/>
        <v>3506768.38</v>
      </c>
      <c r="AD233" s="480"/>
      <c r="AE233" s="477">
        <f t="shared" si="112"/>
        <v>0</v>
      </c>
      <c r="AF233" s="480"/>
      <c r="AG233" s="477">
        <f t="shared" si="113"/>
        <v>0</v>
      </c>
      <c r="AH233" s="480"/>
      <c r="AI233" s="477">
        <f t="shared" si="114"/>
        <v>0</v>
      </c>
      <c r="AJ233" s="480"/>
      <c r="AK233" s="477">
        <f t="shared" ca="1" si="115"/>
        <v>3506768.38</v>
      </c>
      <c r="AL233" s="475">
        <f t="shared" ca="1" si="116"/>
        <v>0</v>
      </c>
      <c r="AM233" s="480"/>
      <c r="AN233" s="477">
        <f t="shared" si="117"/>
        <v>0</v>
      </c>
      <c r="AO233" s="480"/>
      <c r="AP233" s="477">
        <f t="shared" si="118"/>
        <v>0</v>
      </c>
      <c r="AQ233" s="480"/>
      <c r="AR233" s="477">
        <f t="shared" si="119"/>
        <v>0</v>
      </c>
      <c r="AS233" s="480"/>
      <c r="AT233" s="477">
        <f t="shared" ca="1" si="120"/>
        <v>0</v>
      </c>
      <c r="AU233" s="475">
        <f t="shared" ca="1" si="121"/>
        <v>0</v>
      </c>
      <c r="AV233" s="480"/>
      <c r="AW233" s="477">
        <f t="shared" si="122"/>
        <v>0</v>
      </c>
      <c r="AX233" s="480"/>
      <c r="AY233" s="477">
        <f t="shared" si="123"/>
        <v>0</v>
      </c>
      <c r="AZ233" s="480"/>
      <c r="BA233" s="477">
        <f t="shared" si="124"/>
        <v>0</v>
      </c>
      <c r="BB233" s="480"/>
      <c r="BC233" s="850">
        <f t="shared" ca="1" si="125"/>
        <v>10525871.780000001</v>
      </c>
    </row>
    <row r="234" spans="1:55" ht="44" customHeight="1">
      <c r="A234" s="837" t="str">
        <f t="shared" ca="1" si="97"/>
        <v/>
      </c>
      <c r="B234" s="440">
        <v>228</v>
      </c>
      <c r="C234" s="834" t="str">
        <f t="shared" ca="1" si="98"/>
        <v>3.</v>
      </c>
      <c r="D234" s="1757" t="str">
        <f ca="1">IFERROR(VLOOKUP(LEFT(E234,4),Nom_activ_2!D:G,4,0),"")</f>
        <v>3.3.  Asigurarea aderenței la tratament, inclusiv prin utilizarea metodelor inovative, centrate pe persoană</v>
      </c>
      <c r="E234" s="1757" t="str">
        <f t="shared" ca="1" si="99"/>
        <v>3.3.2. Asigurarea suportului motivațional lunar (stimulente)</v>
      </c>
      <c r="F234" s="1777" t="str">
        <f t="shared" ca="1" si="127"/>
        <v>3.3.2.1 Asigurarea suportului motivațional lunar (stimulente)_Malul stang</v>
      </c>
      <c r="G234" s="839">
        <f t="shared" ca="1" si="127"/>
        <v>0</v>
      </c>
      <c r="H234" s="840" t="str">
        <f t="shared" ca="1" si="127"/>
        <v>Buget local (Malul Stang)</v>
      </c>
      <c r="I234" s="443" t="s">
        <v>3310</v>
      </c>
      <c r="J234" s="838" t="str">
        <f t="shared" si="100"/>
        <v>Aderenta_VOT!$A:$j</v>
      </c>
      <c r="K234" s="475">
        <f t="shared" ca="1" si="101"/>
        <v>0</v>
      </c>
      <c r="L234" s="480"/>
      <c r="M234" s="477">
        <f t="shared" si="102"/>
        <v>0</v>
      </c>
      <c r="N234" s="480"/>
      <c r="O234" s="477">
        <f t="shared" si="103"/>
        <v>0</v>
      </c>
      <c r="P234" s="480"/>
      <c r="Q234" s="477">
        <f t="shared" si="104"/>
        <v>0</v>
      </c>
      <c r="R234" s="480"/>
      <c r="S234" s="477">
        <f t="shared" ca="1" si="105"/>
        <v>0</v>
      </c>
      <c r="T234" s="475">
        <f t="shared" ca="1" si="106"/>
        <v>0</v>
      </c>
      <c r="U234" s="480"/>
      <c r="V234" s="477">
        <f t="shared" si="107"/>
        <v>0</v>
      </c>
      <c r="W234" s="480"/>
      <c r="X234" s="477">
        <f t="shared" si="108"/>
        <v>0</v>
      </c>
      <c r="Y234" s="480"/>
      <c r="Z234" s="477">
        <f t="shared" si="109"/>
        <v>0</v>
      </c>
      <c r="AA234" s="480"/>
      <c r="AB234" s="477">
        <f t="shared" ca="1" si="110"/>
        <v>0</v>
      </c>
      <c r="AC234" s="475">
        <f t="shared" ca="1" si="111"/>
        <v>0</v>
      </c>
      <c r="AD234" s="480"/>
      <c r="AE234" s="477">
        <f t="shared" si="112"/>
        <v>0</v>
      </c>
      <c r="AF234" s="480"/>
      <c r="AG234" s="477">
        <f t="shared" si="113"/>
        <v>0</v>
      </c>
      <c r="AH234" s="480"/>
      <c r="AI234" s="477">
        <f t="shared" si="114"/>
        <v>0</v>
      </c>
      <c r="AJ234" s="480"/>
      <c r="AK234" s="477">
        <f t="shared" ca="1" si="115"/>
        <v>0</v>
      </c>
      <c r="AL234" s="475">
        <f t="shared" ca="1" si="116"/>
        <v>3541756.02</v>
      </c>
      <c r="AM234" s="480"/>
      <c r="AN234" s="477">
        <f t="shared" si="117"/>
        <v>0</v>
      </c>
      <c r="AO234" s="480"/>
      <c r="AP234" s="477">
        <f t="shared" si="118"/>
        <v>0</v>
      </c>
      <c r="AQ234" s="480"/>
      <c r="AR234" s="477">
        <f t="shared" si="119"/>
        <v>0</v>
      </c>
      <c r="AS234" s="480"/>
      <c r="AT234" s="477">
        <f t="shared" ca="1" si="120"/>
        <v>3541756.02</v>
      </c>
      <c r="AU234" s="475">
        <f t="shared" ca="1" si="121"/>
        <v>3563947.86</v>
      </c>
      <c r="AV234" s="480"/>
      <c r="AW234" s="477">
        <f t="shared" si="122"/>
        <v>0</v>
      </c>
      <c r="AX234" s="480"/>
      <c r="AY234" s="477">
        <f t="shared" si="123"/>
        <v>0</v>
      </c>
      <c r="AZ234" s="480"/>
      <c r="BA234" s="477">
        <f t="shared" si="124"/>
        <v>0</v>
      </c>
      <c r="BB234" s="480"/>
      <c r="BC234" s="850">
        <f t="shared" ca="1" si="125"/>
        <v>7105703.8799999999</v>
      </c>
    </row>
    <row r="235" spans="1:55">
      <c r="A235" s="837" t="str">
        <f t="shared" ca="1" si="97"/>
        <v/>
      </c>
      <c r="B235" s="440">
        <v>229</v>
      </c>
      <c r="C235" s="834" t="str">
        <f t="shared" ca="1" si="98"/>
        <v>5.</v>
      </c>
      <c r="D235" s="1757" t="str">
        <f ca="1">IFERROR(VLOOKUP(LEFT(E235,4),Nom_activ_2!D:G,4,0),"")</f>
        <v>5.1.  Asigurarea măsurilor de profilaxie specifică</v>
      </c>
      <c r="E235" s="1757" t="str">
        <f t="shared" ca="1" si="99"/>
        <v>5.1.6. Realizarea tratamentului ITBL în rândul contacților</v>
      </c>
      <c r="F235" s="1777" t="str">
        <f t="shared" ca="1" si="127"/>
        <v>Malul Drept, Chimioprofilaxie  TB sensibila, sector civil</v>
      </c>
      <c r="G235" s="839">
        <f t="shared" ca="1" si="127"/>
        <v>0</v>
      </c>
      <c r="H235" s="840" t="str">
        <f t="shared" ca="1" si="127"/>
        <v>GFATM</v>
      </c>
      <c r="I235" s="443" t="s">
        <v>2035</v>
      </c>
      <c r="J235" s="838" t="str">
        <f t="shared" si="100"/>
        <v>ITL!$A:$j</v>
      </c>
      <c r="K235" s="475">
        <f t="shared" ca="1" si="101"/>
        <v>1511600.8077581038</v>
      </c>
      <c r="L235" s="480"/>
      <c r="M235" s="477">
        <f t="shared" si="102"/>
        <v>0</v>
      </c>
      <c r="N235" s="480"/>
      <c r="O235" s="477">
        <f t="shared" si="103"/>
        <v>0</v>
      </c>
      <c r="P235" s="480"/>
      <c r="Q235" s="477">
        <f t="shared" si="104"/>
        <v>0</v>
      </c>
      <c r="R235" s="480"/>
      <c r="S235" s="477">
        <f t="shared" ca="1" si="105"/>
        <v>1511600.8077581038</v>
      </c>
      <c r="T235" s="475">
        <f t="shared" ca="1" si="106"/>
        <v>1287137.6363048111</v>
      </c>
      <c r="U235" s="480"/>
      <c r="V235" s="477">
        <f t="shared" si="107"/>
        <v>0</v>
      </c>
      <c r="W235" s="480"/>
      <c r="X235" s="477">
        <f t="shared" si="108"/>
        <v>0</v>
      </c>
      <c r="Y235" s="480"/>
      <c r="Z235" s="477">
        <f t="shared" si="109"/>
        <v>0</v>
      </c>
      <c r="AA235" s="480"/>
      <c r="AB235" s="477">
        <f t="shared" ca="1" si="110"/>
        <v>1287137.6363048111</v>
      </c>
      <c r="AC235" s="475">
        <f t="shared" ca="1" si="111"/>
        <v>1074426.4633569261</v>
      </c>
      <c r="AD235" s="480"/>
      <c r="AE235" s="477">
        <f t="shared" si="112"/>
        <v>0</v>
      </c>
      <c r="AF235" s="480"/>
      <c r="AG235" s="477">
        <f t="shared" si="113"/>
        <v>0</v>
      </c>
      <c r="AH235" s="480"/>
      <c r="AI235" s="477">
        <f t="shared" si="114"/>
        <v>0</v>
      </c>
      <c r="AJ235" s="480"/>
      <c r="AK235" s="477">
        <f t="shared" ca="1" si="115"/>
        <v>1074426.4633569261</v>
      </c>
      <c r="AL235" s="475">
        <f t="shared" ca="1" si="116"/>
        <v>0</v>
      </c>
      <c r="AM235" s="480"/>
      <c r="AN235" s="477">
        <f t="shared" si="117"/>
        <v>0</v>
      </c>
      <c r="AO235" s="480"/>
      <c r="AP235" s="477">
        <f t="shared" si="118"/>
        <v>0</v>
      </c>
      <c r="AQ235" s="480"/>
      <c r="AR235" s="477">
        <f t="shared" si="119"/>
        <v>0</v>
      </c>
      <c r="AS235" s="480"/>
      <c r="AT235" s="477">
        <f t="shared" ca="1" si="120"/>
        <v>0</v>
      </c>
      <c r="AU235" s="475">
        <f t="shared" ca="1" si="121"/>
        <v>0</v>
      </c>
      <c r="AV235" s="480"/>
      <c r="AW235" s="477">
        <f t="shared" si="122"/>
        <v>0</v>
      </c>
      <c r="AX235" s="480"/>
      <c r="AY235" s="477">
        <f t="shared" si="123"/>
        <v>0</v>
      </c>
      <c r="AZ235" s="480"/>
      <c r="BA235" s="477">
        <f t="shared" si="124"/>
        <v>0</v>
      </c>
      <c r="BB235" s="480"/>
      <c r="BC235" s="850">
        <f t="shared" ca="1" si="125"/>
        <v>3873164.9074198408</v>
      </c>
    </row>
    <row r="236" spans="1:55">
      <c r="A236" s="837" t="str">
        <f t="shared" ca="1" si="97"/>
        <v/>
      </c>
      <c r="B236" s="440">
        <v>230</v>
      </c>
      <c r="C236" s="834" t="str">
        <f t="shared" ca="1" si="98"/>
        <v>5.</v>
      </c>
      <c r="D236" s="1757" t="str">
        <f ca="1">IFERROR(VLOOKUP(LEFT(E236,4),Nom_activ_2!D:G,4,0),"")</f>
        <v>5.1.  Asigurarea măsurilor de profilaxie specifică</v>
      </c>
      <c r="E236" s="1757" t="str">
        <f t="shared" ca="1" si="99"/>
        <v>5.1.6. Realizarea tratamentului ITBL în rândul contacților</v>
      </c>
      <c r="F236" s="1777" t="str">
        <f t="shared" ca="1" si="127"/>
        <v>Malul Stang, Chimioprofilaxie  TB sensibila, sector civil</v>
      </c>
      <c r="G236" s="839">
        <f t="shared" ca="1" si="127"/>
        <v>0</v>
      </c>
      <c r="H236" s="840" t="str">
        <f t="shared" ca="1" si="127"/>
        <v>GFATM</v>
      </c>
      <c r="I236" s="443" t="s">
        <v>2035</v>
      </c>
      <c r="J236" s="838" t="str">
        <f t="shared" si="100"/>
        <v>ITL!$A:$j</v>
      </c>
      <c r="K236" s="475">
        <f t="shared" ca="1" si="101"/>
        <v>208597.97347099197</v>
      </c>
      <c r="L236" s="480"/>
      <c r="M236" s="477">
        <f t="shared" si="102"/>
        <v>0</v>
      </c>
      <c r="N236" s="480"/>
      <c r="O236" s="477">
        <f t="shared" si="103"/>
        <v>0</v>
      </c>
      <c r="P236" s="480"/>
      <c r="Q236" s="477">
        <f t="shared" si="104"/>
        <v>0</v>
      </c>
      <c r="R236" s="480"/>
      <c r="S236" s="477">
        <f t="shared" ca="1" si="105"/>
        <v>208597.97347099197</v>
      </c>
      <c r="T236" s="475">
        <f t="shared" ca="1" si="106"/>
        <v>174810.97776794396</v>
      </c>
      <c r="U236" s="480"/>
      <c r="V236" s="477">
        <f t="shared" si="107"/>
        <v>0</v>
      </c>
      <c r="W236" s="480"/>
      <c r="X236" s="477">
        <f t="shared" si="108"/>
        <v>0</v>
      </c>
      <c r="Y236" s="480"/>
      <c r="Z236" s="477">
        <f t="shared" si="109"/>
        <v>0</v>
      </c>
      <c r="AA236" s="480"/>
      <c r="AB236" s="477">
        <f t="shared" ca="1" si="110"/>
        <v>174810.97776794396</v>
      </c>
      <c r="AC236" s="475">
        <f t="shared" ca="1" si="111"/>
        <v>144255.7816538832</v>
      </c>
      <c r="AD236" s="480"/>
      <c r="AE236" s="477">
        <f t="shared" si="112"/>
        <v>0</v>
      </c>
      <c r="AF236" s="480"/>
      <c r="AG236" s="477">
        <f t="shared" si="113"/>
        <v>0</v>
      </c>
      <c r="AH236" s="480"/>
      <c r="AI236" s="477">
        <f t="shared" si="114"/>
        <v>0</v>
      </c>
      <c r="AJ236" s="480"/>
      <c r="AK236" s="477">
        <f t="shared" ca="1" si="115"/>
        <v>144255.7816538832</v>
      </c>
      <c r="AL236" s="475">
        <f t="shared" ca="1" si="116"/>
        <v>0</v>
      </c>
      <c r="AM236" s="480"/>
      <c r="AN236" s="477">
        <f t="shared" si="117"/>
        <v>0</v>
      </c>
      <c r="AO236" s="480"/>
      <c r="AP236" s="477">
        <f t="shared" si="118"/>
        <v>0</v>
      </c>
      <c r="AQ236" s="480"/>
      <c r="AR236" s="477">
        <f t="shared" si="119"/>
        <v>0</v>
      </c>
      <c r="AS236" s="480"/>
      <c r="AT236" s="477">
        <f t="shared" ca="1" si="120"/>
        <v>0</v>
      </c>
      <c r="AU236" s="475">
        <f t="shared" ca="1" si="121"/>
        <v>0</v>
      </c>
      <c r="AV236" s="480"/>
      <c r="AW236" s="477">
        <f t="shared" si="122"/>
        <v>0</v>
      </c>
      <c r="AX236" s="480"/>
      <c r="AY236" s="477">
        <f t="shared" si="123"/>
        <v>0</v>
      </c>
      <c r="AZ236" s="480"/>
      <c r="BA236" s="477">
        <f t="shared" si="124"/>
        <v>0</v>
      </c>
      <c r="BB236" s="480"/>
      <c r="BC236" s="850">
        <f t="shared" ca="1" si="125"/>
        <v>527664.7328928191</v>
      </c>
    </row>
    <row r="237" spans="1:55">
      <c r="A237" s="837" t="str">
        <f t="shared" ca="1" si="97"/>
        <v/>
      </c>
      <c r="B237" s="440">
        <v>231</v>
      </c>
      <c r="C237" s="834" t="str">
        <f t="shared" ca="1" si="98"/>
        <v>5.</v>
      </c>
      <c r="D237" s="1757" t="str">
        <f ca="1">IFERROR(VLOOKUP(LEFT(E237,4),Nom_activ_2!D:G,4,0),"")</f>
        <v>5.1.  Asigurarea măsurilor de profilaxie specifică</v>
      </c>
      <c r="E237" s="1757" t="str">
        <f t="shared" ca="1" si="99"/>
        <v>5.1.6. Realizarea tratamentului ITBL în rândul contacților</v>
      </c>
      <c r="F237" s="1777" t="str">
        <f t="shared" ca="1" si="127"/>
        <v>Malul Drept, Chimioprofilaxie sector penitenciar</v>
      </c>
      <c r="G237" s="839">
        <f t="shared" ca="1" si="127"/>
        <v>0</v>
      </c>
      <c r="H237" s="840" t="str">
        <f t="shared" ca="1" si="127"/>
        <v>GFATM</v>
      </c>
      <c r="I237" s="443" t="s">
        <v>2035</v>
      </c>
      <c r="J237" s="838" t="str">
        <f t="shared" si="100"/>
        <v>ITL!$A:$j</v>
      </c>
      <c r="K237" s="475">
        <f t="shared" ca="1" si="101"/>
        <v>167465.97870206399</v>
      </c>
      <c r="L237" s="480"/>
      <c r="M237" s="477">
        <f t="shared" si="102"/>
        <v>0</v>
      </c>
      <c r="N237" s="480"/>
      <c r="O237" s="477">
        <f t="shared" si="103"/>
        <v>0</v>
      </c>
      <c r="P237" s="480"/>
      <c r="Q237" s="477">
        <f t="shared" si="104"/>
        <v>0</v>
      </c>
      <c r="R237" s="480"/>
      <c r="S237" s="477">
        <f t="shared" ca="1" si="105"/>
        <v>167465.97870206399</v>
      </c>
      <c r="T237" s="475">
        <f t="shared" ca="1" si="106"/>
        <v>148956.58105604642</v>
      </c>
      <c r="U237" s="480"/>
      <c r="V237" s="477">
        <f t="shared" si="107"/>
        <v>0</v>
      </c>
      <c r="W237" s="480"/>
      <c r="X237" s="477">
        <f t="shared" si="108"/>
        <v>0</v>
      </c>
      <c r="Y237" s="480"/>
      <c r="Z237" s="477">
        <f t="shared" si="109"/>
        <v>0</v>
      </c>
      <c r="AA237" s="480"/>
      <c r="AB237" s="477">
        <f t="shared" ca="1" si="110"/>
        <v>148956.58105604642</v>
      </c>
      <c r="AC237" s="475">
        <f t="shared" ca="1" si="111"/>
        <v>128684.38363421758</v>
      </c>
      <c r="AD237" s="480"/>
      <c r="AE237" s="477">
        <f t="shared" si="112"/>
        <v>0</v>
      </c>
      <c r="AF237" s="480"/>
      <c r="AG237" s="477">
        <f t="shared" si="113"/>
        <v>0</v>
      </c>
      <c r="AH237" s="480"/>
      <c r="AI237" s="477">
        <f t="shared" si="114"/>
        <v>0</v>
      </c>
      <c r="AJ237" s="480"/>
      <c r="AK237" s="477">
        <f t="shared" ca="1" si="115"/>
        <v>128684.38363421758</v>
      </c>
      <c r="AL237" s="475">
        <f t="shared" ca="1" si="116"/>
        <v>0</v>
      </c>
      <c r="AM237" s="480"/>
      <c r="AN237" s="477">
        <f t="shared" si="117"/>
        <v>0</v>
      </c>
      <c r="AO237" s="480"/>
      <c r="AP237" s="477">
        <f t="shared" si="118"/>
        <v>0</v>
      </c>
      <c r="AQ237" s="480"/>
      <c r="AR237" s="477">
        <f t="shared" si="119"/>
        <v>0</v>
      </c>
      <c r="AS237" s="480"/>
      <c r="AT237" s="477">
        <f t="shared" ca="1" si="120"/>
        <v>0</v>
      </c>
      <c r="AU237" s="475">
        <f t="shared" ca="1" si="121"/>
        <v>0</v>
      </c>
      <c r="AV237" s="480"/>
      <c r="AW237" s="477">
        <f t="shared" si="122"/>
        <v>0</v>
      </c>
      <c r="AX237" s="480"/>
      <c r="AY237" s="477">
        <f t="shared" si="123"/>
        <v>0</v>
      </c>
      <c r="AZ237" s="480"/>
      <c r="BA237" s="477">
        <f t="shared" si="124"/>
        <v>0</v>
      </c>
      <c r="BB237" s="480"/>
      <c r="BC237" s="850">
        <f t="shared" ca="1" si="125"/>
        <v>445106.94339232799</v>
      </c>
    </row>
    <row r="238" spans="1:55">
      <c r="A238" s="837" t="str">
        <f t="shared" ca="1" si="97"/>
        <v/>
      </c>
      <c r="B238" s="440">
        <v>232</v>
      </c>
      <c r="C238" s="834" t="str">
        <f t="shared" ca="1" si="98"/>
        <v>5.</v>
      </c>
      <c r="D238" s="1757" t="str">
        <f ca="1">IFERROR(VLOOKUP(LEFT(E238,4),Nom_activ_2!D:G,4,0),"")</f>
        <v>5.1.  Asigurarea măsurilor de profilaxie specifică</v>
      </c>
      <c r="E238" s="1757" t="str">
        <f t="shared" ca="1" si="99"/>
        <v>5.1.6. Realizarea tratamentului ITBL în rândul contacților</v>
      </c>
      <c r="F238" s="1777" t="str">
        <f t="shared" ca="1" si="127"/>
        <v>Malul Stang, Chimioprofilaxie sector penitenciar</v>
      </c>
      <c r="G238" s="839">
        <f t="shared" ca="1" si="127"/>
        <v>0</v>
      </c>
      <c r="H238" s="840" t="str">
        <f t="shared" ca="1" si="127"/>
        <v>GFATM</v>
      </c>
      <c r="I238" s="443" t="s">
        <v>2035</v>
      </c>
      <c r="J238" s="838" t="str">
        <f t="shared" si="100"/>
        <v>ITL!$A:$j</v>
      </c>
      <c r="K238" s="475">
        <f t="shared" ca="1" si="101"/>
        <v>36137.395404129602</v>
      </c>
      <c r="L238" s="480"/>
      <c r="M238" s="477">
        <f t="shared" si="102"/>
        <v>0</v>
      </c>
      <c r="N238" s="480"/>
      <c r="O238" s="477">
        <f t="shared" si="103"/>
        <v>0</v>
      </c>
      <c r="P238" s="480"/>
      <c r="Q238" s="477">
        <f t="shared" si="104"/>
        <v>0</v>
      </c>
      <c r="R238" s="480"/>
      <c r="S238" s="477">
        <f t="shared" ca="1" si="105"/>
        <v>36137.395404129602</v>
      </c>
      <c r="T238" s="475">
        <f t="shared" ca="1" si="106"/>
        <v>33493.195740412797</v>
      </c>
      <c r="U238" s="480"/>
      <c r="V238" s="477">
        <f t="shared" si="107"/>
        <v>0</v>
      </c>
      <c r="W238" s="480"/>
      <c r="X238" s="477">
        <f t="shared" si="108"/>
        <v>0</v>
      </c>
      <c r="Y238" s="480"/>
      <c r="Z238" s="477">
        <f t="shared" si="109"/>
        <v>0</v>
      </c>
      <c r="AA238" s="480"/>
      <c r="AB238" s="477">
        <f t="shared" ca="1" si="110"/>
        <v>33493.195740412797</v>
      </c>
      <c r="AC238" s="475">
        <f t="shared" ca="1" si="111"/>
        <v>31730.395964601597</v>
      </c>
      <c r="AD238" s="480"/>
      <c r="AE238" s="477">
        <f t="shared" si="112"/>
        <v>0</v>
      </c>
      <c r="AF238" s="480"/>
      <c r="AG238" s="477">
        <f t="shared" si="113"/>
        <v>0</v>
      </c>
      <c r="AH238" s="480"/>
      <c r="AI238" s="477">
        <f t="shared" si="114"/>
        <v>0</v>
      </c>
      <c r="AJ238" s="480"/>
      <c r="AK238" s="477">
        <f t="shared" ca="1" si="115"/>
        <v>31730.395964601597</v>
      </c>
      <c r="AL238" s="475">
        <f t="shared" ca="1" si="116"/>
        <v>0</v>
      </c>
      <c r="AM238" s="480"/>
      <c r="AN238" s="477">
        <f t="shared" si="117"/>
        <v>0</v>
      </c>
      <c r="AO238" s="480"/>
      <c r="AP238" s="477">
        <f t="shared" si="118"/>
        <v>0</v>
      </c>
      <c r="AQ238" s="480"/>
      <c r="AR238" s="477">
        <f t="shared" si="119"/>
        <v>0</v>
      </c>
      <c r="AS238" s="480"/>
      <c r="AT238" s="477">
        <f t="shared" ca="1" si="120"/>
        <v>0</v>
      </c>
      <c r="AU238" s="475">
        <f t="shared" ca="1" si="121"/>
        <v>0</v>
      </c>
      <c r="AV238" s="480"/>
      <c r="AW238" s="477">
        <f t="shared" si="122"/>
        <v>0</v>
      </c>
      <c r="AX238" s="480"/>
      <c r="AY238" s="477">
        <f t="shared" si="123"/>
        <v>0</v>
      </c>
      <c r="AZ238" s="480"/>
      <c r="BA238" s="477">
        <f t="shared" si="124"/>
        <v>0</v>
      </c>
      <c r="BB238" s="480"/>
      <c r="BC238" s="850">
        <f t="shared" ca="1" si="125"/>
        <v>101360.987109144</v>
      </c>
    </row>
    <row r="239" spans="1:55" ht="28">
      <c r="A239" s="837" t="str">
        <f t="shared" ca="1" si="97"/>
        <v/>
      </c>
      <c r="B239" s="440">
        <v>233</v>
      </c>
      <c r="C239" s="834" t="str">
        <f t="shared" ca="1" si="98"/>
        <v>5.</v>
      </c>
      <c r="D239" s="1757" t="str">
        <f ca="1">IFERROR(VLOOKUP(LEFT(E239,4),Nom_activ_2!D:G,4,0),"")</f>
        <v>5.1.  Asigurarea măsurilor de profilaxie specifică</v>
      </c>
      <c r="E239" s="1757" t="str">
        <f t="shared" ca="1" si="99"/>
        <v>5.1.5. Asigurarea tratamentului profilactic TB în rândul persoanelor care trăiesc cu HIV</v>
      </c>
      <c r="F239" s="1777" t="str">
        <f t="shared" ca="1" si="127"/>
        <v>Malul Drept, Chimioprofilaxie PTH</v>
      </c>
      <c r="G239" s="839">
        <f t="shared" ca="1" si="127"/>
        <v>0</v>
      </c>
      <c r="H239" s="840" t="str">
        <f t="shared" ca="1" si="127"/>
        <v>GFATM</v>
      </c>
      <c r="I239" s="443" t="s">
        <v>2035</v>
      </c>
      <c r="J239" s="838" t="str">
        <f t="shared" si="100"/>
        <v>ITL!$A:$j</v>
      </c>
      <c r="K239" s="475">
        <f t="shared" ca="1" si="101"/>
        <v>297913.16211209283</v>
      </c>
      <c r="L239" s="480"/>
      <c r="M239" s="477">
        <f t="shared" si="102"/>
        <v>0</v>
      </c>
      <c r="N239" s="480"/>
      <c r="O239" s="477">
        <f t="shared" si="103"/>
        <v>0</v>
      </c>
      <c r="P239" s="480"/>
      <c r="Q239" s="477">
        <f t="shared" si="104"/>
        <v>0</v>
      </c>
      <c r="R239" s="480"/>
      <c r="S239" s="477">
        <f t="shared" ca="1" si="105"/>
        <v>297913.16211209283</v>
      </c>
      <c r="T239" s="475">
        <f t="shared" ca="1" si="106"/>
        <v>272352.56536283036</v>
      </c>
      <c r="U239" s="480"/>
      <c r="V239" s="477">
        <f t="shared" si="107"/>
        <v>0</v>
      </c>
      <c r="W239" s="480"/>
      <c r="X239" s="477">
        <f t="shared" si="108"/>
        <v>0</v>
      </c>
      <c r="Y239" s="480"/>
      <c r="Z239" s="477">
        <f t="shared" si="109"/>
        <v>0</v>
      </c>
      <c r="AA239" s="480"/>
      <c r="AB239" s="477">
        <f t="shared" ca="1" si="110"/>
        <v>272352.56536283036</v>
      </c>
      <c r="AC239" s="475">
        <f t="shared" ca="1" si="111"/>
        <v>233570.97029498397</v>
      </c>
      <c r="AD239" s="480"/>
      <c r="AE239" s="477">
        <f t="shared" si="112"/>
        <v>0</v>
      </c>
      <c r="AF239" s="480"/>
      <c r="AG239" s="477">
        <f t="shared" si="113"/>
        <v>0</v>
      </c>
      <c r="AH239" s="480"/>
      <c r="AI239" s="477">
        <f t="shared" si="114"/>
        <v>0</v>
      </c>
      <c r="AJ239" s="480"/>
      <c r="AK239" s="477">
        <f t="shared" ca="1" si="115"/>
        <v>233570.97029498397</v>
      </c>
      <c r="AL239" s="475">
        <f t="shared" ca="1" si="116"/>
        <v>0</v>
      </c>
      <c r="AM239" s="480"/>
      <c r="AN239" s="477">
        <f t="shared" si="117"/>
        <v>0</v>
      </c>
      <c r="AO239" s="480"/>
      <c r="AP239" s="477">
        <f t="shared" si="118"/>
        <v>0</v>
      </c>
      <c r="AQ239" s="480"/>
      <c r="AR239" s="477">
        <f t="shared" si="119"/>
        <v>0</v>
      </c>
      <c r="AS239" s="480"/>
      <c r="AT239" s="477">
        <f t="shared" ca="1" si="120"/>
        <v>0</v>
      </c>
      <c r="AU239" s="475">
        <f t="shared" ca="1" si="121"/>
        <v>0</v>
      </c>
      <c r="AV239" s="480"/>
      <c r="AW239" s="477">
        <f t="shared" si="122"/>
        <v>0</v>
      </c>
      <c r="AX239" s="480"/>
      <c r="AY239" s="477">
        <f t="shared" si="123"/>
        <v>0</v>
      </c>
      <c r="AZ239" s="480"/>
      <c r="BA239" s="477">
        <f t="shared" si="124"/>
        <v>0</v>
      </c>
      <c r="BB239" s="480"/>
      <c r="BC239" s="850">
        <f t="shared" ca="1" si="125"/>
        <v>803836.69776990719</v>
      </c>
    </row>
    <row r="240" spans="1:55" ht="28">
      <c r="A240" s="837" t="str">
        <f t="shared" ca="1" si="97"/>
        <v/>
      </c>
      <c r="B240" s="440">
        <v>234</v>
      </c>
      <c r="C240" s="834" t="str">
        <f t="shared" ca="1" si="98"/>
        <v>5.</v>
      </c>
      <c r="D240" s="1757" t="str">
        <f ca="1">IFERROR(VLOOKUP(LEFT(E240,4),Nom_activ_2!D:G,4,0),"")</f>
        <v>5.1.  Asigurarea măsurilor de profilaxie specifică</v>
      </c>
      <c r="E240" s="1757" t="str">
        <f t="shared" ca="1" si="99"/>
        <v>5.1.5. Asigurarea tratamentului profilactic TB în rândul persoanelor care trăiesc cu HIV</v>
      </c>
      <c r="F240" s="1777" t="str">
        <f t="shared" ca="1" si="127"/>
        <v>Malul Stang, Chimioprofilaxie PTH</v>
      </c>
      <c r="G240" s="839">
        <f t="shared" ca="1" si="127"/>
        <v>0</v>
      </c>
      <c r="H240" s="840" t="str">
        <f t="shared" ca="1" si="127"/>
        <v>GFATM</v>
      </c>
      <c r="I240" s="443" t="s">
        <v>2035</v>
      </c>
      <c r="J240" s="838" t="str">
        <f t="shared" si="100"/>
        <v>ITL!$A:$j</v>
      </c>
      <c r="K240" s="475">
        <f t="shared" ca="1" si="101"/>
        <v>99598.187333332782</v>
      </c>
      <c r="L240" s="480"/>
      <c r="M240" s="477">
        <f t="shared" si="102"/>
        <v>0</v>
      </c>
      <c r="N240" s="480"/>
      <c r="O240" s="477">
        <f t="shared" si="103"/>
        <v>0</v>
      </c>
      <c r="P240" s="480"/>
      <c r="Q240" s="477">
        <f t="shared" si="104"/>
        <v>0</v>
      </c>
      <c r="R240" s="480"/>
      <c r="S240" s="477">
        <f t="shared" ca="1" si="105"/>
        <v>99598.187333332782</v>
      </c>
      <c r="T240" s="475">
        <f t="shared" ca="1" si="106"/>
        <v>90784.188454276795</v>
      </c>
      <c r="U240" s="480"/>
      <c r="V240" s="477">
        <f t="shared" si="107"/>
        <v>0</v>
      </c>
      <c r="W240" s="480"/>
      <c r="X240" s="477">
        <f t="shared" si="108"/>
        <v>0</v>
      </c>
      <c r="Y240" s="480"/>
      <c r="Z240" s="477">
        <f t="shared" si="109"/>
        <v>0</v>
      </c>
      <c r="AA240" s="480"/>
      <c r="AB240" s="477">
        <f t="shared" ca="1" si="110"/>
        <v>90784.188454276795</v>
      </c>
      <c r="AC240" s="475">
        <f t="shared" ca="1" si="111"/>
        <v>77563.190135692785</v>
      </c>
      <c r="AD240" s="480"/>
      <c r="AE240" s="477">
        <f t="shared" si="112"/>
        <v>0</v>
      </c>
      <c r="AF240" s="480"/>
      <c r="AG240" s="477">
        <f t="shared" si="113"/>
        <v>0</v>
      </c>
      <c r="AH240" s="480"/>
      <c r="AI240" s="477">
        <f t="shared" si="114"/>
        <v>0</v>
      </c>
      <c r="AJ240" s="480"/>
      <c r="AK240" s="477">
        <f t="shared" ca="1" si="115"/>
        <v>77563.190135692785</v>
      </c>
      <c r="AL240" s="475">
        <f t="shared" ca="1" si="116"/>
        <v>0</v>
      </c>
      <c r="AM240" s="480"/>
      <c r="AN240" s="477">
        <f t="shared" si="117"/>
        <v>0</v>
      </c>
      <c r="AO240" s="480"/>
      <c r="AP240" s="477">
        <f t="shared" si="118"/>
        <v>0</v>
      </c>
      <c r="AQ240" s="480"/>
      <c r="AR240" s="477">
        <f t="shared" si="119"/>
        <v>0</v>
      </c>
      <c r="AS240" s="480"/>
      <c r="AT240" s="477">
        <f t="shared" ca="1" si="120"/>
        <v>0</v>
      </c>
      <c r="AU240" s="475">
        <f t="shared" ca="1" si="121"/>
        <v>0</v>
      </c>
      <c r="AV240" s="480"/>
      <c r="AW240" s="477">
        <f t="shared" si="122"/>
        <v>0</v>
      </c>
      <c r="AX240" s="480"/>
      <c r="AY240" s="477">
        <f t="shared" si="123"/>
        <v>0</v>
      </c>
      <c r="AZ240" s="480"/>
      <c r="BA240" s="477">
        <f t="shared" si="124"/>
        <v>0</v>
      </c>
      <c r="BB240" s="480"/>
      <c r="BC240" s="850">
        <f t="shared" ca="1" si="125"/>
        <v>267945.56592330238</v>
      </c>
    </row>
    <row r="241" spans="1:55" ht="28">
      <c r="A241" s="837" t="str">
        <f t="shared" ca="1" si="97"/>
        <v/>
      </c>
      <c r="B241" s="440">
        <v>235</v>
      </c>
      <c r="C241" s="834" t="str">
        <f t="shared" ca="1" si="98"/>
        <v>7.</v>
      </c>
      <c r="D241" s="1757" t="str">
        <f ca="1">IFERROR(VLOOKUP(LEFT(E241,4),Nom_activ_2!D:G,4,0),"")</f>
        <v>7.1.  Efectuarea cercetărilor științifice aplicative</v>
      </c>
      <c r="E241" s="1757" t="str">
        <f t="shared" ca="1" si="99"/>
        <v>7.1.2. Realizarea cercetărilor conform agendei stabilite, cu revizuirea agendei la necesitate</v>
      </c>
      <c r="F241" s="1777" t="str">
        <f t="shared" ca="1" si="127"/>
        <v>7.1.2.1 Realizarea cercetărilor conform agendei stabilite, cu revizuirea agendei la necesitate</v>
      </c>
      <c r="G241" s="839">
        <f t="shared" ca="1" si="127"/>
        <v>0</v>
      </c>
      <c r="H241" s="840" t="str">
        <f t="shared" ca="1" si="127"/>
        <v>MMPSF</v>
      </c>
      <c r="I241" s="443" t="s">
        <v>3468</v>
      </c>
      <c r="J241" s="838" t="str">
        <f t="shared" si="100"/>
        <v>Sisteme_de_sanatate!$A:$j</v>
      </c>
      <c r="K241" s="475">
        <f t="shared" ca="1" si="101"/>
        <v>2188724</v>
      </c>
      <c r="L241" s="480"/>
      <c r="M241" s="477">
        <f t="shared" si="102"/>
        <v>0</v>
      </c>
      <c r="N241" s="480"/>
      <c r="O241" s="477">
        <f t="shared" si="103"/>
        <v>0</v>
      </c>
      <c r="P241" s="480"/>
      <c r="Q241" s="477">
        <f t="shared" si="104"/>
        <v>0</v>
      </c>
      <c r="R241" s="480"/>
      <c r="S241" s="477">
        <f t="shared" ca="1" si="105"/>
        <v>2188724</v>
      </c>
      <c r="T241" s="475">
        <f t="shared" ca="1" si="106"/>
        <v>2424160</v>
      </c>
      <c r="U241" s="480"/>
      <c r="V241" s="477">
        <f t="shared" si="107"/>
        <v>0</v>
      </c>
      <c r="W241" s="480"/>
      <c r="X241" s="477">
        <f t="shared" si="108"/>
        <v>0</v>
      </c>
      <c r="Y241" s="480"/>
      <c r="Z241" s="477">
        <f t="shared" si="109"/>
        <v>0</v>
      </c>
      <c r="AA241" s="480"/>
      <c r="AB241" s="477">
        <f t="shared" ca="1" si="110"/>
        <v>2424160</v>
      </c>
      <c r="AC241" s="475">
        <f t="shared" ca="1" si="111"/>
        <v>2625367</v>
      </c>
      <c r="AD241" s="480"/>
      <c r="AE241" s="477">
        <f t="shared" si="112"/>
        <v>0</v>
      </c>
      <c r="AF241" s="480"/>
      <c r="AG241" s="477">
        <f t="shared" si="113"/>
        <v>0</v>
      </c>
      <c r="AH241" s="480"/>
      <c r="AI241" s="477">
        <f t="shared" si="114"/>
        <v>0</v>
      </c>
      <c r="AJ241" s="480"/>
      <c r="AK241" s="477">
        <f t="shared" ca="1" si="115"/>
        <v>2625367</v>
      </c>
      <c r="AL241" s="475">
        <f t="shared" ca="1" si="116"/>
        <v>2853809</v>
      </c>
      <c r="AM241" s="480"/>
      <c r="AN241" s="477">
        <f t="shared" si="117"/>
        <v>0</v>
      </c>
      <c r="AO241" s="480"/>
      <c r="AP241" s="477">
        <f t="shared" si="118"/>
        <v>0</v>
      </c>
      <c r="AQ241" s="480"/>
      <c r="AR241" s="477">
        <f t="shared" si="119"/>
        <v>0</v>
      </c>
      <c r="AS241" s="480"/>
      <c r="AT241" s="477">
        <f t="shared" ca="1" si="120"/>
        <v>2853809</v>
      </c>
      <c r="AU241" s="475">
        <f t="shared" ca="1" si="121"/>
        <v>3076500</v>
      </c>
      <c r="AV241" s="480"/>
      <c r="AW241" s="477">
        <f t="shared" si="122"/>
        <v>0</v>
      </c>
      <c r="AX241" s="480"/>
      <c r="AY241" s="477">
        <f t="shared" si="123"/>
        <v>0</v>
      </c>
      <c r="AZ241" s="480"/>
      <c r="BA241" s="477">
        <f t="shared" si="124"/>
        <v>0</v>
      </c>
      <c r="BB241" s="480"/>
      <c r="BC241" s="850">
        <f t="shared" ca="1" si="125"/>
        <v>13168560</v>
      </c>
    </row>
    <row r="242" spans="1:55" ht="56">
      <c r="A242" s="837" t="str">
        <f t="shared" ca="1" si="97"/>
        <v/>
      </c>
      <c r="B242" s="440">
        <v>236</v>
      </c>
      <c r="C242" s="834" t="str">
        <f t="shared" ref="C242" ca="1" si="128">IFERROR(LEFT(D242,2),"")</f>
        <v>1.</v>
      </c>
      <c r="D242" s="1757" t="str">
        <f ca="1">IFERROR(VLOOKUP(LEFT(E242,4),Nom_activ_2!D:G,4,0),"")</f>
        <v>1.1.  Depistarea activă a TB în grupurile cu risc și vigilență sporită pentru TB</v>
      </c>
      <c r="E242" s="1757" t="str">
        <f t="shared" ca="1" si="99"/>
        <v>1.1.4. Asigurarea examinării persoanelor din grupurile cu risc și vigilență sporită pentru TB în localități, utilizând instalațiile radiologice mobile cu introducerea inteligenței artificiale medicale</v>
      </c>
      <c r="F242" s="1777" t="str">
        <f t="shared" ca="1" si="127"/>
        <v xml:space="preserve">1.1.4.5.Asigurarea examinării persoanelor din populațiile-cheie - PTHIV, PAFA, consumatori de droguri și alte grupuri vulnerabile, cu acces redus la AMP, cu suportul OSC (Malul Stang)
</v>
      </c>
      <c r="G242" s="839">
        <f t="shared" ca="1" si="127"/>
        <v>0</v>
      </c>
      <c r="H242" s="840" t="str">
        <f t="shared" ca="1" si="127"/>
        <v>Buget local (Malul Stang)</v>
      </c>
      <c r="I242" s="443" t="s">
        <v>3628</v>
      </c>
      <c r="J242" s="838" t="str">
        <f t="shared" si="100"/>
        <v>ONG_TB!$A:$j</v>
      </c>
      <c r="K242" s="475">
        <f t="shared" ca="1" si="101"/>
        <v>0</v>
      </c>
      <c r="L242" s="480"/>
      <c r="M242" s="477">
        <f t="shared" si="102"/>
        <v>0</v>
      </c>
      <c r="N242" s="480"/>
      <c r="O242" s="477">
        <f t="shared" si="103"/>
        <v>0</v>
      </c>
      <c r="P242" s="480"/>
      <c r="Q242" s="477">
        <f t="shared" si="104"/>
        <v>0</v>
      </c>
      <c r="R242" s="480"/>
      <c r="S242" s="477">
        <f t="shared" ca="1" si="105"/>
        <v>0</v>
      </c>
      <c r="T242" s="475">
        <f t="shared" ca="1" si="106"/>
        <v>0</v>
      </c>
      <c r="U242" s="480"/>
      <c r="V242" s="477">
        <f t="shared" si="107"/>
        <v>0</v>
      </c>
      <c r="W242" s="480"/>
      <c r="X242" s="477">
        <f t="shared" si="108"/>
        <v>0</v>
      </c>
      <c r="Y242" s="480"/>
      <c r="Z242" s="477">
        <f t="shared" si="109"/>
        <v>0</v>
      </c>
      <c r="AA242" s="480"/>
      <c r="AB242" s="477">
        <f t="shared" ca="1" si="110"/>
        <v>0</v>
      </c>
      <c r="AC242" s="475">
        <f t="shared" ca="1" si="111"/>
        <v>0</v>
      </c>
      <c r="AD242" s="480"/>
      <c r="AE242" s="477">
        <f t="shared" si="112"/>
        <v>0</v>
      </c>
      <c r="AF242" s="480"/>
      <c r="AG242" s="477">
        <f t="shared" si="113"/>
        <v>0</v>
      </c>
      <c r="AH242" s="480"/>
      <c r="AI242" s="477">
        <f t="shared" si="114"/>
        <v>0</v>
      </c>
      <c r="AJ242" s="480"/>
      <c r="AK242" s="477">
        <f t="shared" ca="1" si="115"/>
        <v>0</v>
      </c>
      <c r="AL242" s="475">
        <f t="shared" ca="1" si="116"/>
        <v>2084064.0000000002</v>
      </c>
      <c r="AM242" s="480"/>
      <c r="AN242" s="477">
        <f t="shared" si="117"/>
        <v>0</v>
      </c>
      <c r="AO242" s="480"/>
      <c r="AP242" s="477">
        <f t="shared" si="118"/>
        <v>0</v>
      </c>
      <c r="AQ242" s="480"/>
      <c r="AR242" s="477">
        <f t="shared" si="119"/>
        <v>0</v>
      </c>
      <c r="AS242" s="480"/>
      <c r="AT242" s="477">
        <f t="shared" ca="1" si="120"/>
        <v>2084064.0000000002</v>
      </c>
      <c r="AU242" s="475">
        <f t="shared" ca="1" si="121"/>
        <v>2084064.0000000002</v>
      </c>
      <c r="AV242" s="480"/>
      <c r="AW242" s="477">
        <f t="shared" si="122"/>
        <v>0</v>
      </c>
      <c r="AX242" s="480"/>
      <c r="AY242" s="477">
        <f t="shared" si="123"/>
        <v>0</v>
      </c>
      <c r="AZ242" s="480"/>
      <c r="BA242" s="477">
        <f t="shared" si="124"/>
        <v>0</v>
      </c>
      <c r="BB242" s="480"/>
      <c r="BC242" s="850">
        <f t="shared" ca="1" si="125"/>
        <v>4168128.0000000005</v>
      </c>
    </row>
    <row r="243" spans="1:55" ht="28">
      <c r="A243" s="837" t="str">
        <f t="shared" ca="1" si="97"/>
        <v/>
      </c>
      <c r="B243" s="440">
        <v>237</v>
      </c>
      <c r="C243" s="834" t="str">
        <f t="shared" ca="1" si="98"/>
        <v>6.</v>
      </c>
      <c r="D243" s="1757" t="str">
        <f ca="1">IFERROR(VLOOKUP(LEFT(E243,4),Nom_activ_2!D:G,4,0),"")</f>
        <v>6.5.  Fortificarea implicării comunității și OSC în controlul TB prin abordare centrată pe persoană</v>
      </c>
      <c r="E243" s="1757" t="str">
        <f t="shared" ca="1" si="99"/>
        <v>6.5.4. Implicarea OSC în reducerea barierelor și asigurarea accesului grupurilor cheie la servicii TB</v>
      </c>
      <c r="F243" s="1777" t="str">
        <f t="shared" ca="1" si="127"/>
        <v>6.5.4.6. Elaborarea metodologiei de identificare si referire către asistență juridică</v>
      </c>
      <c r="G243" s="839" t="str">
        <f t="shared" ca="1" si="127"/>
        <v>(NGO)</v>
      </c>
      <c r="H243" s="840" t="str">
        <f t="shared" ca="1" si="127"/>
        <v>GFATM</v>
      </c>
      <c r="I243" s="443" t="s">
        <v>3628</v>
      </c>
      <c r="J243" s="838" t="str">
        <f t="shared" si="100"/>
        <v>ONG_TB!$A:$j</v>
      </c>
      <c r="K243" s="475">
        <f t="shared" ca="1" si="101"/>
        <v>20000</v>
      </c>
      <c r="L243" s="480"/>
      <c r="M243" s="477">
        <f t="shared" si="102"/>
        <v>0</v>
      </c>
      <c r="N243" s="480"/>
      <c r="O243" s="477">
        <f t="shared" si="103"/>
        <v>0</v>
      </c>
      <c r="P243" s="480"/>
      <c r="Q243" s="477">
        <f t="shared" si="104"/>
        <v>0</v>
      </c>
      <c r="R243" s="480"/>
      <c r="S243" s="477">
        <f t="shared" ca="1" si="105"/>
        <v>20000</v>
      </c>
      <c r="T243" s="475">
        <f t="shared" ca="1" si="106"/>
        <v>0</v>
      </c>
      <c r="U243" s="480"/>
      <c r="V243" s="477">
        <f t="shared" si="107"/>
        <v>0</v>
      </c>
      <c r="W243" s="480"/>
      <c r="X243" s="477">
        <f t="shared" si="108"/>
        <v>0</v>
      </c>
      <c r="Y243" s="480"/>
      <c r="Z243" s="477">
        <f t="shared" si="109"/>
        <v>0</v>
      </c>
      <c r="AA243" s="480"/>
      <c r="AB243" s="477">
        <f t="shared" ca="1" si="110"/>
        <v>0</v>
      </c>
      <c r="AC243" s="475">
        <f t="shared" ca="1" si="111"/>
        <v>0</v>
      </c>
      <c r="AD243" s="480"/>
      <c r="AE243" s="477">
        <f t="shared" si="112"/>
        <v>0</v>
      </c>
      <c r="AF243" s="480"/>
      <c r="AG243" s="477">
        <f t="shared" si="113"/>
        <v>0</v>
      </c>
      <c r="AH243" s="480"/>
      <c r="AI243" s="477">
        <f t="shared" si="114"/>
        <v>0</v>
      </c>
      <c r="AJ243" s="480"/>
      <c r="AK243" s="477">
        <f t="shared" ca="1" si="115"/>
        <v>0</v>
      </c>
      <c r="AL243" s="475">
        <f t="shared" ca="1" si="116"/>
        <v>0</v>
      </c>
      <c r="AM243" s="480"/>
      <c r="AN243" s="477">
        <f t="shared" si="117"/>
        <v>0</v>
      </c>
      <c r="AO243" s="480"/>
      <c r="AP243" s="477">
        <f t="shared" si="118"/>
        <v>0</v>
      </c>
      <c r="AQ243" s="480"/>
      <c r="AR243" s="477">
        <f t="shared" si="119"/>
        <v>0</v>
      </c>
      <c r="AS243" s="480"/>
      <c r="AT243" s="477">
        <f t="shared" ca="1" si="120"/>
        <v>0</v>
      </c>
      <c r="AU243" s="475">
        <f t="shared" ca="1" si="121"/>
        <v>0</v>
      </c>
      <c r="AV243" s="480"/>
      <c r="AW243" s="477">
        <f t="shared" si="122"/>
        <v>0</v>
      </c>
      <c r="AX243" s="480"/>
      <c r="AY243" s="477">
        <f t="shared" si="123"/>
        <v>0</v>
      </c>
      <c r="AZ243" s="480"/>
      <c r="BA243" s="477">
        <f t="shared" si="124"/>
        <v>0</v>
      </c>
      <c r="BB243" s="480"/>
      <c r="BC243" s="850">
        <f t="shared" ca="1" si="125"/>
        <v>20000</v>
      </c>
    </row>
    <row r="244" spans="1:55" ht="42">
      <c r="A244" s="837" t="str">
        <f t="shared" ca="1" si="97"/>
        <v/>
      </c>
      <c r="B244" s="440">
        <v>238</v>
      </c>
      <c r="C244" s="834" t="str">
        <f t="shared" ca="1" si="98"/>
        <v>6.</v>
      </c>
      <c r="D244" s="1757" t="str">
        <f ca="1">IFERROR(VLOOKUP(LEFT(E244,4),Nom_activ_2!D:G,4,0),"")</f>
        <v>6.1.  Consolidarea capacităților pentru managementul eficient al PNCT</v>
      </c>
      <c r="E244" s="1757" t="str">
        <f t="shared" ca="1" si="99"/>
        <v xml:space="preserve">6.1.2. Actualizarea, integrarea, menținerea și ajustarea continuă a sistemului informațional de colectare a datelor, inclusiv a sistemului informațional de M&amp;E </v>
      </c>
      <c r="F244" s="1777" t="str">
        <f t="shared" ca="1" si="127"/>
        <v>6.1.2.2. Actualizarea, integrarea, menținerea și ajustarea continuă a sistemului informațional de colectare a datelor, inclusiv a sistemului informațional de M&amp;E  (achizitie calculatoare)</v>
      </c>
      <c r="G244" s="839" t="str">
        <f t="shared" ca="1" si="127"/>
        <v>PAS</v>
      </c>
      <c r="H244" s="840" t="str">
        <f t="shared" ca="1" si="127"/>
        <v>GFATM</v>
      </c>
      <c r="I244" s="443" t="s">
        <v>3124</v>
      </c>
      <c r="J244" s="838" t="str">
        <f t="shared" si="100"/>
        <v>PNCT!$A:$j</v>
      </c>
      <c r="K244" s="475">
        <f t="shared" ca="1" si="101"/>
        <v>0</v>
      </c>
      <c r="L244" s="480"/>
      <c r="M244" s="477">
        <f t="shared" si="102"/>
        <v>0</v>
      </c>
      <c r="N244" s="480"/>
      <c r="O244" s="477">
        <f t="shared" si="103"/>
        <v>0</v>
      </c>
      <c r="P244" s="480"/>
      <c r="Q244" s="477">
        <f t="shared" si="104"/>
        <v>0</v>
      </c>
      <c r="R244" s="480"/>
      <c r="S244" s="477">
        <f t="shared" ca="1" si="105"/>
        <v>0</v>
      </c>
      <c r="T244" s="475">
        <f t="shared" ca="1" si="106"/>
        <v>1180000</v>
      </c>
      <c r="U244" s="480"/>
      <c r="V244" s="477">
        <f t="shared" si="107"/>
        <v>0</v>
      </c>
      <c r="W244" s="480"/>
      <c r="X244" s="477">
        <f t="shared" si="108"/>
        <v>0</v>
      </c>
      <c r="Y244" s="480"/>
      <c r="Z244" s="477">
        <f t="shared" si="109"/>
        <v>0</v>
      </c>
      <c r="AA244" s="480"/>
      <c r="AB244" s="477">
        <f t="shared" ca="1" si="110"/>
        <v>1180000</v>
      </c>
      <c r="AC244" s="475">
        <f t="shared" ca="1" si="111"/>
        <v>0</v>
      </c>
      <c r="AD244" s="480"/>
      <c r="AE244" s="477">
        <f t="shared" si="112"/>
        <v>0</v>
      </c>
      <c r="AF244" s="480"/>
      <c r="AG244" s="477">
        <f t="shared" si="113"/>
        <v>0</v>
      </c>
      <c r="AH244" s="480"/>
      <c r="AI244" s="477">
        <f t="shared" si="114"/>
        <v>0</v>
      </c>
      <c r="AJ244" s="480"/>
      <c r="AK244" s="477">
        <f t="shared" ca="1" si="115"/>
        <v>0</v>
      </c>
      <c r="AL244" s="475">
        <f t="shared" ca="1" si="116"/>
        <v>0</v>
      </c>
      <c r="AM244" s="480"/>
      <c r="AN244" s="477">
        <f t="shared" si="117"/>
        <v>0</v>
      </c>
      <c r="AO244" s="480"/>
      <c r="AP244" s="477">
        <f t="shared" si="118"/>
        <v>0</v>
      </c>
      <c r="AQ244" s="480"/>
      <c r="AR244" s="477">
        <f t="shared" si="119"/>
        <v>0</v>
      </c>
      <c r="AS244" s="480"/>
      <c r="AT244" s="477">
        <f t="shared" ca="1" si="120"/>
        <v>0</v>
      </c>
      <c r="AU244" s="475">
        <f t="shared" ca="1" si="121"/>
        <v>0</v>
      </c>
      <c r="AV244" s="480"/>
      <c r="AW244" s="477">
        <f t="shared" si="122"/>
        <v>0</v>
      </c>
      <c r="AX244" s="480"/>
      <c r="AY244" s="477">
        <f t="shared" si="123"/>
        <v>0</v>
      </c>
      <c r="AZ244" s="480"/>
      <c r="BA244" s="477">
        <f t="shared" si="124"/>
        <v>0</v>
      </c>
      <c r="BB244" s="480"/>
      <c r="BC244" s="850">
        <f t="shared" ca="1" si="125"/>
        <v>1180000</v>
      </c>
    </row>
    <row r="245" spans="1:55" ht="42">
      <c r="A245" s="837" t="str">
        <f t="shared" ca="1" si="97"/>
        <v/>
      </c>
      <c r="B245" s="440">
        <v>239</v>
      </c>
      <c r="C245" s="834" t="str">
        <f t="shared" ca="1" si="98"/>
        <v>6.</v>
      </c>
      <c r="D245" s="1757" t="str">
        <f ca="1">IFERROR(VLOOKUP(LEFT(E245,4),Nom_activ_2!D:G,4,0),"")</f>
        <v>6.1.  Consolidarea capacităților pentru managementul eficient al PNCT</v>
      </c>
      <c r="E245" s="1757" t="str">
        <f t="shared" ca="1" si="99"/>
        <v xml:space="preserve">6.1.2. Actualizarea, integrarea, menținerea și ajustarea continuă a sistemului informațional de colectare a datelor, inclusiv a sistemului informațional de M&amp;E </v>
      </c>
      <c r="F245" s="1777" t="str">
        <f t="shared" ca="1" si="127"/>
        <v>6.1.2.1. Sustinerea echipei PNCT, inclusiv costuri administrative</v>
      </c>
      <c r="G245" s="839" t="str">
        <f t="shared" ca="1" si="127"/>
        <v>PAS</v>
      </c>
      <c r="H245" s="840" t="str">
        <f t="shared" ca="1" si="127"/>
        <v>GFATM</v>
      </c>
      <c r="I245" s="443" t="s">
        <v>3124</v>
      </c>
      <c r="J245" s="838" t="str">
        <f t="shared" si="100"/>
        <v>PNCT!$A:$j</v>
      </c>
      <c r="K245" s="475">
        <f t="shared" ca="1" si="101"/>
        <v>474000</v>
      </c>
      <c r="L245" s="480"/>
      <c r="M245" s="477">
        <f t="shared" si="102"/>
        <v>0</v>
      </c>
      <c r="N245" s="480"/>
      <c r="O245" s="477">
        <f t="shared" si="103"/>
        <v>0</v>
      </c>
      <c r="P245" s="480"/>
      <c r="Q245" s="477">
        <f t="shared" si="104"/>
        <v>0</v>
      </c>
      <c r="R245" s="480"/>
      <c r="S245" s="477">
        <f t="shared" ca="1" si="105"/>
        <v>474000</v>
      </c>
      <c r="T245" s="475">
        <f t="shared" ca="1" si="106"/>
        <v>474000</v>
      </c>
      <c r="U245" s="480"/>
      <c r="V245" s="477">
        <f t="shared" si="107"/>
        <v>0</v>
      </c>
      <c r="W245" s="480"/>
      <c r="X245" s="477">
        <f t="shared" si="108"/>
        <v>0</v>
      </c>
      <c r="Y245" s="480"/>
      <c r="Z245" s="477">
        <f t="shared" si="109"/>
        <v>0</v>
      </c>
      <c r="AA245" s="480"/>
      <c r="AB245" s="477">
        <f t="shared" ca="1" si="110"/>
        <v>474000</v>
      </c>
      <c r="AC245" s="475">
        <f t="shared" ca="1" si="111"/>
        <v>474000</v>
      </c>
      <c r="AD245" s="480"/>
      <c r="AE245" s="477">
        <f t="shared" si="112"/>
        <v>0</v>
      </c>
      <c r="AF245" s="480"/>
      <c r="AG245" s="477">
        <f t="shared" si="113"/>
        <v>0</v>
      </c>
      <c r="AH245" s="480"/>
      <c r="AI245" s="477">
        <f t="shared" si="114"/>
        <v>0</v>
      </c>
      <c r="AJ245" s="480"/>
      <c r="AK245" s="477">
        <f t="shared" ca="1" si="115"/>
        <v>474000</v>
      </c>
      <c r="AL245" s="475">
        <f t="shared" ca="1" si="116"/>
        <v>0</v>
      </c>
      <c r="AM245" s="480"/>
      <c r="AN245" s="477">
        <f t="shared" si="117"/>
        <v>0</v>
      </c>
      <c r="AO245" s="480"/>
      <c r="AP245" s="477">
        <f t="shared" si="118"/>
        <v>0</v>
      </c>
      <c r="AQ245" s="480"/>
      <c r="AR245" s="477">
        <f t="shared" si="119"/>
        <v>0</v>
      </c>
      <c r="AS245" s="480"/>
      <c r="AT245" s="477">
        <f t="shared" ca="1" si="120"/>
        <v>0</v>
      </c>
      <c r="AU245" s="475">
        <f t="shared" ca="1" si="121"/>
        <v>0</v>
      </c>
      <c r="AV245" s="480"/>
      <c r="AW245" s="477">
        <f t="shared" si="122"/>
        <v>0</v>
      </c>
      <c r="AX245" s="480"/>
      <c r="AY245" s="477">
        <f t="shared" si="123"/>
        <v>0</v>
      </c>
      <c r="AZ245" s="480"/>
      <c r="BA245" s="477">
        <f t="shared" si="124"/>
        <v>0</v>
      </c>
      <c r="BB245" s="480"/>
      <c r="BC245" s="850">
        <f t="shared" ca="1" si="125"/>
        <v>1422000</v>
      </c>
    </row>
    <row r="246" spans="1:55" ht="28">
      <c r="A246" s="837" t="str">
        <f t="shared" ca="1" si="97"/>
        <v/>
      </c>
      <c r="B246" s="440">
        <v>240</v>
      </c>
      <c r="C246" s="834" t="str">
        <f t="shared" ca="1" si="98"/>
        <v>6.</v>
      </c>
      <c r="D246" s="1757" t="str">
        <f ca="1">IFERROR(VLOOKUP(LEFT(E246,4),Nom_activ_2!D:G,4,0),"")</f>
        <v>6.5.  Fortificarea implicării comunității și OSC în controlul TB prin abordare centrată pe persoană</v>
      </c>
      <c r="E246" s="1757" t="str">
        <f t="shared" ca="1" si="99"/>
        <v>6.5.4. Implicarea OSC în reducerea barierelor și asigurarea accesului grupurilor cheie la servicii TB</v>
      </c>
      <c r="F246" s="1777" t="str">
        <f t="shared" ca="1" si="127"/>
        <v xml:space="preserve">6.5.4.8. Cartarea serviciilor disponibile in comunitate pentru încadrarea in câmpul muncii </v>
      </c>
      <c r="G246" s="839" t="str">
        <f t="shared" ca="1" si="127"/>
        <v>(NGO)</v>
      </c>
      <c r="H246" s="840" t="str">
        <f t="shared" ca="1" si="127"/>
        <v>GFATM</v>
      </c>
      <c r="I246" s="443" t="s">
        <v>3628</v>
      </c>
      <c r="J246" s="838" t="str">
        <f t="shared" si="100"/>
        <v>ONG_TB!$A:$j</v>
      </c>
      <c r="K246" s="475">
        <f t="shared" ca="1" si="101"/>
        <v>0</v>
      </c>
      <c r="L246" s="480"/>
      <c r="M246" s="477">
        <f t="shared" si="102"/>
        <v>0</v>
      </c>
      <c r="N246" s="480"/>
      <c r="O246" s="477">
        <f t="shared" si="103"/>
        <v>0</v>
      </c>
      <c r="P246" s="480"/>
      <c r="Q246" s="477">
        <f t="shared" si="104"/>
        <v>0</v>
      </c>
      <c r="R246" s="480"/>
      <c r="S246" s="477">
        <f t="shared" ca="1" si="105"/>
        <v>0</v>
      </c>
      <c r="T246" s="475">
        <f t="shared" ca="1" si="106"/>
        <v>0</v>
      </c>
      <c r="U246" s="480"/>
      <c r="V246" s="477">
        <f t="shared" si="107"/>
        <v>0</v>
      </c>
      <c r="W246" s="480"/>
      <c r="X246" s="477">
        <f t="shared" si="108"/>
        <v>0</v>
      </c>
      <c r="Y246" s="480"/>
      <c r="Z246" s="477">
        <f t="shared" si="109"/>
        <v>0</v>
      </c>
      <c r="AA246" s="480"/>
      <c r="AB246" s="477">
        <f t="shared" ca="1" si="110"/>
        <v>0</v>
      </c>
      <c r="AC246" s="475">
        <f t="shared" ca="1" si="111"/>
        <v>0</v>
      </c>
      <c r="AD246" s="480"/>
      <c r="AE246" s="477">
        <f t="shared" si="112"/>
        <v>0</v>
      </c>
      <c r="AF246" s="480"/>
      <c r="AG246" s="477">
        <f t="shared" si="113"/>
        <v>0</v>
      </c>
      <c r="AH246" s="480"/>
      <c r="AI246" s="477">
        <f t="shared" si="114"/>
        <v>0</v>
      </c>
      <c r="AJ246" s="480"/>
      <c r="AK246" s="477">
        <f t="shared" ca="1" si="115"/>
        <v>0</v>
      </c>
      <c r="AL246" s="475">
        <f t="shared" ca="1" si="116"/>
        <v>0</v>
      </c>
      <c r="AM246" s="480"/>
      <c r="AN246" s="477">
        <f t="shared" si="117"/>
        <v>0</v>
      </c>
      <c r="AO246" s="480"/>
      <c r="AP246" s="477">
        <f t="shared" si="118"/>
        <v>0</v>
      </c>
      <c r="AQ246" s="480"/>
      <c r="AR246" s="477">
        <f t="shared" si="119"/>
        <v>0</v>
      </c>
      <c r="AS246" s="480"/>
      <c r="AT246" s="477">
        <f t="shared" ca="1" si="120"/>
        <v>0</v>
      </c>
      <c r="AU246" s="475">
        <f t="shared" ca="1" si="121"/>
        <v>0</v>
      </c>
      <c r="AV246" s="480"/>
      <c r="AW246" s="477">
        <f t="shared" si="122"/>
        <v>0</v>
      </c>
      <c r="AX246" s="480"/>
      <c r="AY246" s="477">
        <f t="shared" si="123"/>
        <v>0</v>
      </c>
      <c r="AZ246" s="480"/>
      <c r="BA246" s="477">
        <f t="shared" si="124"/>
        <v>0</v>
      </c>
      <c r="BB246" s="480"/>
      <c r="BC246" s="850">
        <f t="shared" ca="1" si="125"/>
        <v>0</v>
      </c>
    </row>
    <row r="247" spans="1:55" ht="28">
      <c r="A247" s="837" t="str">
        <f t="shared" ca="1" si="97"/>
        <v/>
      </c>
      <c r="B247" s="440">
        <v>241</v>
      </c>
      <c r="C247" s="834" t="str">
        <f t="shared" ca="1" si="98"/>
        <v>6.</v>
      </c>
      <c r="D247" s="1757" t="str">
        <f ca="1">IFERROR(VLOOKUP(LEFT(E247,4),Nom_activ_2!D:G,4,0),"")</f>
        <v>6.5.  Fortificarea implicării comunității și OSC în controlul TB prin abordare centrată pe persoană</v>
      </c>
      <c r="E247" s="1757" t="str">
        <f t="shared" ca="1" si="99"/>
        <v>6.5.4. Implicarea OSC în reducerea barierelor și asigurarea accesului grupurilor cheie la servicii TB</v>
      </c>
      <c r="F247" s="1777" t="str">
        <f t="shared" ref="F247:H266" ca="1" si="129">IFERROR(VLOOKUP($B247,INDIRECT($J247),F$5,0),0)</f>
        <v>6.5.4.9. Elaborarea SOP pentru managementul de caz pentru reintegrare si incadrare in cimpul muncii</v>
      </c>
      <c r="G247" s="839" t="str">
        <f t="shared" ca="1" si="129"/>
        <v>(NGO)</v>
      </c>
      <c r="H247" s="840" t="str">
        <f t="shared" ca="1" si="129"/>
        <v>GFATM</v>
      </c>
      <c r="I247" s="443" t="s">
        <v>3628</v>
      </c>
      <c r="J247" s="838" t="str">
        <f t="shared" si="100"/>
        <v>ONG_TB!$A:$j</v>
      </c>
      <c r="K247" s="475">
        <f t="shared" ca="1" si="101"/>
        <v>0</v>
      </c>
      <c r="L247" s="480"/>
      <c r="M247" s="477">
        <f t="shared" si="102"/>
        <v>0</v>
      </c>
      <c r="N247" s="480"/>
      <c r="O247" s="477">
        <f t="shared" si="103"/>
        <v>0</v>
      </c>
      <c r="P247" s="480"/>
      <c r="Q247" s="477">
        <f t="shared" si="104"/>
        <v>0</v>
      </c>
      <c r="R247" s="480"/>
      <c r="S247" s="477">
        <f t="shared" ca="1" si="105"/>
        <v>0</v>
      </c>
      <c r="T247" s="475">
        <f t="shared" ca="1" si="106"/>
        <v>0</v>
      </c>
      <c r="U247" s="480"/>
      <c r="V247" s="477">
        <f t="shared" si="107"/>
        <v>0</v>
      </c>
      <c r="W247" s="480"/>
      <c r="X247" s="477">
        <f t="shared" si="108"/>
        <v>0</v>
      </c>
      <c r="Y247" s="480"/>
      <c r="Z247" s="477">
        <f t="shared" si="109"/>
        <v>0</v>
      </c>
      <c r="AA247" s="480"/>
      <c r="AB247" s="477">
        <f t="shared" ca="1" si="110"/>
        <v>0</v>
      </c>
      <c r="AC247" s="475">
        <f t="shared" ca="1" si="111"/>
        <v>0</v>
      </c>
      <c r="AD247" s="480"/>
      <c r="AE247" s="477">
        <f t="shared" si="112"/>
        <v>0</v>
      </c>
      <c r="AF247" s="480"/>
      <c r="AG247" s="477">
        <f t="shared" si="113"/>
        <v>0</v>
      </c>
      <c r="AH247" s="480"/>
      <c r="AI247" s="477">
        <f t="shared" si="114"/>
        <v>0</v>
      </c>
      <c r="AJ247" s="480"/>
      <c r="AK247" s="477">
        <f t="shared" ca="1" si="115"/>
        <v>0</v>
      </c>
      <c r="AL247" s="475">
        <f t="shared" ca="1" si="116"/>
        <v>0</v>
      </c>
      <c r="AM247" s="480"/>
      <c r="AN247" s="477">
        <f t="shared" si="117"/>
        <v>0</v>
      </c>
      <c r="AO247" s="480"/>
      <c r="AP247" s="477">
        <f t="shared" si="118"/>
        <v>0</v>
      </c>
      <c r="AQ247" s="480"/>
      <c r="AR247" s="477">
        <f t="shared" si="119"/>
        <v>0</v>
      </c>
      <c r="AS247" s="480"/>
      <c r="AT247" s="477">
        <f t="shared" ca="1" si="120"/>
        <v>0</v>
      </c>
      <c r="AU247" s="475">
        <f t="shared" ca="1" si="121"/>
        <v>0</v>
      </c>
      <c r="AV247" s="480"/>
      <c r="AW247" s="477">
        <f t="shared" si="122"/>
        <v>0</v>
      </c>
      <c r="AX247" s="480"/>
      <c r="AY247" s="477">
        <f t="shared" si="123"/>
        <v>0</v>
      </c>
      <c r="AZ247" s="480"/>
      <c r="BA247" s="477">
        <f t="shared" si="124"/>
        <v>0</v>
      </c>
      <c r="BB247" s="480"/>
      <c r="BC247" s="850">
        <f t="shared" ca="1" si="125"/>
        <v>0</v>
      </c>
    </row>
    <row r="248" spans="1:55" ht="28">
      <c r="A248" s="837" t="str">
        <f t="shared" ca="1" si="97"/>
        <v/>
      </c>
      <c r="B248" s="440">
        <v>242</v>
      </c>
      <c r="C248" s="834" t="str">
        <f t="shared" ca="1" si="98"/>
        <v>3.</v>
      </c>
      <c r="D248" s="1757" t="str">
        <f ca="1">IFERROR(VLOOKUP(LEFT(E248,4),Nom_activ_2!D:G,4,0),"")</f>
        <v>3.1.  Asigurarea continuă cu medicamente TB</v>
      </c>
      <c r="E248" s="1757" t="str">
        <f t="shared" ca="1" si="99"/>
        <v xml:space="preserve">3.1.2. Asigurarea continuă cu medicamente pentru tratamentul TB RR/MDR/XDR </v>
      </c>
      <c r="F248" s="1777" t="str">
        <f t="shared" ca="1" si="129"/>
        <v>Contributia anuala GLC</v>
      </c>
      <c r="G248" s="839">
        <f t="shared" ca="1" si="129"/>
        <v>0</v>
      </c>
      <c r="H248" s="840" t="str">
        <f t="shared" ca="1" si="129"/>
        <v>GFATM</v>
      </c>
      <c r="I248" s="443" t="s">
        <v>3124</v>
      </c>
      <c r="J248" s="838" t="str">
        <f t="shared" si="100"/>
        <v>PNCT!$A:$j</v>
      </c>
      <c r="K248" s="475">
        <f t="shared" ca="1" si="101"/>
        <v>878445.5</v>
      </c>
      <c r="L248" s="480"/>
      <c r="M248" s="477">
        <f t="shared" si="102"/>
        <v>0</v>
      </c>
      <c r="N248" s="480"/>
      <c r="O248" s="477">
        <f t="shared" si="103"/>
        <v>0</v>
      </c>
      <c r="P248" s="480"/>
      <c r="Q248" s="477">
        <f t="shared" si="104"/>
        <v>0</v>
      </c>
      <c r="R248" s="480"/>
      <c r="S248" s="477">
        <f t="shared" ca="1" si="105"/>
        <v>878445.5</v>
      </c>
      <c r="T248" s="475">
        <f t="shared" ca="1" si="106"/>
        <v>878445.5</v>
      </c>
      <c r="U248" s="480"/>
      <c r="V248" s="477">
        <f t="shared" si="107"/>
        <v>0</v>
      </c>
      <c r="W248" s="480"/>
      <c r="X248" s="477">
        <f t="shared" si="108"/>
        <v>0</v>
      </c>
      <c r="Y248" s="480"/>
      <c r="Z248" s="477">
        <f t="shared" si="109"/>
        <v>0</v>
      </c>
      <c r="AA248" s="480"/>
      <c r="AB248" s="477">
        <f t="shared" ca="1" si="110"/>
        <v>878445.5</v>
      </c>
      <c r="AC248" s="475">
        <f t="shared" ca="1" si="111"/>
        <v>878445.5</v>
      </c>
      <c r="AD248" s="480"/>
      <c r="AE248" s="477">
        <f t="shared" si="112"/>
        <v>0</v>
      </c>
      <c r="AF248" s="480"/>
      <c r="AG248" s="477">
        <f t="shared" si="113"/>
        <v>0</v>
      </c>
      <c r="AH248" s="480"/>
      <c r="AI248" s="477">
        <f t="shared" si="114"/>
        <v>0</v>
      </c>
      <c r="AJ248" s="480"/>
      <c r="AK248" s="477">
        <f t="shared" ca="1" si="115"/>
        <v>878445.5</v>
      </c>
      <c r="AL248" s="475">
        <f t="shared" ca="1" si="116"/>
        <v>0</v>
      </c>
      <c r="AM248" s="480"/>
      <c r="AN248" s="477">
        <f t="shared" si="117"/>
        <v>0</v>
      </c>
      <c r="AO248" s="480"/>
      <c r="AP248" s="477">
        <f t="shared" si="118"/>
        <v>0</v>
      </c>
      <c r="AQ248" s="480"/>
      <c r="AR248" s="477">
        <f t="shared" si="119"/>
        <v>0</v>
      </c>
      <c r="AS248" s="480"/>
      <c r="AT248" s="477">
        <f t="shared" ca="1" si="120"/>
        <v>0</v>
      </c>
      <c r="AU248" s="475">
        <f t="shared" ca="1" si="121"/>
        <v>0</v>
      </c>
      <c r="AV248" s="480"/>
      <c r="AW248" s="477">
        <f t="shared" si="122"/>
        <v>0</v>
      </c>
      <c r="AX248" s="480"/>
      <c r="AY248" s="477">
        <f t="shared" si="123"/>
        <v>0</v>
      </c>
      <c r="AZ248" s="480"/>
      <c r="BA248" s="477">
        <f t="shared" si="124"/>
        <v>0</v>
      </c>
      <c r="BB248" s="480"/>
      <c r="BC248" s="850">
        <f t="shared" ca="1" si="125"/>
        <v>2635336.5</v>
      </c>
    </row>
    <row r="249" spans="1:55" ht="42">
      <c r="A249" s="837" t="str">
        <f t="shared" ca="1" si="97"/>
        <v/>
      </c>
      <c r="B249" s="440">
        <v>243</v>
      </c>
      <c r="C249" s="834" t="str">
        <f t="shared" ca="1" si="98"/>
        <v>6.</v>
      </c>
      <c r="D249" s="1757" t="str">
        <f ca="1">IFERROR(VLOOKUP(LEFT(E249,4),Nom_activ_2!D:G,4,0),"")</f>
        <v>6.1.  Consolidarea capacităților pentru managementul eficient al PNCT</v>
      </c>
      <c r="E249" s="1757" t="str">
        <f t="shared" ca="1" si="99"/>
        <v xml:space="preserve">6.1.2. Actualizarea, integrarea, menținerea și ajustarea continuă a sistemului informațional de colectare a datelor, inclusiv a sistemului informațional de M&amp;E </v>
      </c>
      <c r="F249" s="1777" t="str">
        <f t="shared" ca="1" si="129"/>
        <v>6.1.2.2. Actualizarea, integrarea, menținerea și ajustarea continuă a sistemului informațional de colectare a datelor, inclusiv a sistemului informațional de M&amp;E  (specialist IT)</v>
      </c>
      <c r="G249" s="839" t="str">
        <f t="shared" ca="1" si="129"/>
        <v>PAS</v>
      </c>
      <c r="H249" s="840" t="str">
        <f t="shared" ca="1" si="129"/>
        <v>GFATM</v>
      </c>
      <c r="I249" s="443" t="s">
        <v>3124</v>
      </c>
      <c r="J249" s="838" t="str">
        <f t="shared" si="100"/>
        <v>PNCT!$A:$j</v>
      </c>
      <c r="K249" s="475">
        <f t="shared" ca="1" si="101"/>
        <v>0</v>
      </c>
      <c r="L249" s="480"/>
      <c r="M249" s="477">
        <f t="shared" si="102"/>
        <v>0</v>
      </c>
      <c r="N249" s="480"/>
      <c r="O249" s="477">
        <f t="shared" si="103"/>
        <v>0</v>
      </c>
      <c r="P249" s="480"/>
      <c r="Q249" s="477">
        <f t="shared" si="104"/>
        <v>0</v>
      </c>
      <c r="R249" s="480"/>
      <c r="S249" s="477">
        <f t="shared" ca="1" si="105"/>
        <v>0</v>
      </c>
      <c r="T249" s="475">
        <f t="shared" ca="1" si="106"/>
        <v>0</v>
      </c>
      <c r="U249" s="480"/>
      <c r="V249" s="477">
        <f t="shared" si="107"/>
        <v>0</v>
      </c>
      <c r="W249" s="480"/>
      <c r="X249" s="477">
        <f t="shared" si="108"/>
        <v>0</v>
      </c>
      <c r="Y249" s="480"/>
      <c r="Z249" s="477">
        <f t="shared" si="109"/>
        <v>0</v>
      </c>
      <c r="AA249" s="480"/>
      <c r="AB249" s="477">
        <f t="shared" ca="1" si="110"/>
        <v>0</v>
      </c>
      <c r="AC249" s="475">
        <f t="shared" ca="1" si="111"/>
        <v>0</v>
      </c>
      <c r="AD249" s="480"/>
      <c r="AE249" s="477">
        <f t="shared" si="112"/>
        <v>0</v>
      </c>
      <c r="AF249" s="480"/>
      <c r="AG249" s="477">
        <f t="shared" si="113"/>
        <v>0</v>
      </c>
      <c r="AH249" s="480"/>
      <c r="AI249" s="477">
        <f t="shared" si="114"/>
        <v>0</v>
      </c>
      <c r="AJ249" s="480"/>
      <c r="AK249" s="477">
        <f t="shared" ca="1" si="115"/>
        <v>0</v>
      </c>
      <c r="AL249" s="475">
        <f t="shared" ca="1" si="116"/>
        <v>0</v>
      </c>
      <c r="AM249" s="480"/>
      <c r="AN249" s="477">
        <f t="shared" si="117"/>
        <v>0</v>
      </c>
      <c r="AO249" s="480"/>
      <c r="AP249" s="477">
        <f t="shared" si="118"/>
        <v>0</v>
      </c>
      <c r="AQ249" s="480"/>
      <c r="AR249" s="477">
        <f t="shared" si="119"/>
        <v>0</v>
      </c>
      <c r="AS249" s="480"/>
      <c r="AT249" s="477">
        <f t="shared" ca="1" si="120"/>
        <v>0</v>
      </c>
      <c r="AU249" s="475">
        <f t="shared" ca="1" si="121"/>
        <v>0</v>
      </c>
      <c r="AV249" s="480"/>
      <c r="AW249" s="477">
        <f t="shared" si="122"/>
        <v>0</v>
      </c>
      <c r="AX249" s="480"/>
      <c r="AY249" s="477">
        <f t="shared" si="123"/>
        <v>0</v>
      </c>
      <c r="AZ249" s="480"/>
      <c r="BA249" s="477">
        <f t="shared" si="124"/>
        <v>0</v>
      </c>
      <c r="BB249" s="480"/>
      <c r="BC249" s="850">
        <f t="shared" ca="1" si="125"/>
        <v>0</v>
      </c>
    </row>
    <row r="250" spans="1:55" ht="42">
      <c r="A250" s="837" t="str">
        <f t="shared" ca="1" si="97"/>
        <v/>
      </c>
      <c r="B250" s="440">
        <v>244</v>
      </c>
      <c r="C250" s="834" t="str">
        <f t="shared" ca="1" si="98"/>
        <v>6.</v>
      </c>
      <c r="D250" s="1757" t="str">
        <f ca="1">IFERROR(VLOOKUP(LEFT(E250,4),Nom_activ_2!D:G,4,0),"")</f>
        <v>6.1.  Consolidarea capacităților pentru managementul eficient al PNCT</v>
      </c>
      <c r="E250" s="1757" t="str">
        <f t="shared" ca="1" si="99"/>
        <v xml:space="preserve">6.1.2. Actualizarea, integrarea, menținerea și ajustarea continuă a sistemului informațional de colectare a datelor, inclusiv a sistemului informațional de M&amp;E </v>
      </c>
      <c r="F250" s="1777" t="str">
        <f t="shared" ca="1" si="129"/>
        <v>6.1.2.2. Actualizarea, integrarea, menținerea și ajustarea continuă a sistemului informațional de colectare a datelor, inclusiv a sistemului informațional de M&amp;E  (specialist IT)</v>
      </c>
      <c r="G250" s="839">
        <f t="shared" ca="1" si="129"/>
        <v>0</v>
      </c>
      <c r="H250" s="840" t="str">
        <f t="shared" ca="1" si="129"/>
        <v>CNAM</v>
      </c>
      <c r="I250" s="443" t="s">
        <v>3124</v>
      </c>
      <c r="J250" s="838" t="str">
        <f t="shared" si="100"/>
        <v>PNCT!$A:$j</v>
      </c>
      <c r="K250" s="475">
        <f t="shared" ca="1" si="101"/>
        <v>0</v>
      </c>
      <c r="L250" s="480"/>
      <c r="M250" s="477">
        <f t="shared" si="102"/>
        <v>0</v>
      </c>
      <c r="N250" s="480"/>
      <c r="O250" s="477">
        <f t="shared" si="103"/>
        <v>0</v>
      </c>
      <c r="P250" s="480"/>
      <c r="Q250" s="477">
        <f t="shared" si="104"/>
        <v>0</v>
      </c>
      <c r="R250" s="480"/>
      <c r="S250" s="477">
        <f t="shared" ca="1" si="105"/>
        <v>0</v>
      </c>
      <c r="T250" s="475">
        <f t="shared" ca="1" si="106"/>
        <v>0</v>
      </c>
      <c r="U250" s="480"/>
      <c r="V250" s="477">
        <f t="shared" si="107"/>
        <v>0</v>
      </c>
      <c r="W250" s="480"/>
      <c r="X250" s="477">
        <f t="shared" si="108"/>
        <v>0</v>
      </c>
      <c r="Y250" s="480"/>
      <c r="Z250" s="477">
        <f t="shared" si="109"/>
        <v>0</v>
      </c>
      <c r="AA250" s="480"/>
      <c r="AB250" s="477">
        <f t="shared" ca="1" si="110"/>
        <v>0</v>
      </c>
      <c r="AC250" s="475">
        <f t="shared" ca="1" si="111"/>
        <v>0</v>
      </c>
      <c r="AD250" s="480"/>
      <c r="AE250" s="477">
        <f t="shared" si="112"/>
        <v>0</v>
      </c>
      <c r="AF250" s="480"/>
      <c r="AG250" s="477">
        <f t="shared" si="113"/>
        <v>0</v>
      </c>
      <c r="AH250" s="480"/>
      <c r="AI250" s="477">
        <f t="shared" si="114"/>
        <v>0</v>
      </c>
      <c r="AJ250" s="480"/>
      <c r="AK250" s="477">
        <f t="shared" ca="1" si="115"/>
        <v>0</v>
      </c>
      <c r="AL250" s="475">
        <f t="shared" ca="1" si="116"/>
        <v>0</v>
      </c>
      <c r="AM250" s="480"/>
      <c r="AN250" s="477">
        <f t="shared" si="117"/>
        <v>0</v>
      </c>
      <c r="AO250" s="480"/>
      <c r="AP250" s="477">
        <f t="shared" si="118"/>
        <v>0</v>
      </c>
      <c r="AQ250" s="480"/>
      <c r="AR250" s="477">
        <f t="shared" si="119"/>
        <v>0</v>
      </c>
      <c r="AS250" s="480"/>
      <c r="AT250" s="477">
        <f t="shared" ca="1" si="120"/>
        <v>0</v>
      </c>
      <c r="AU250" s="475">
        <f t="shared" ca="1" si="121"/>
        <v>0</v>
      </c>
      <c r="AV250" s="480"/>
      <c r="AW250" s="477">
        <f t="shared" si="122"/>
        <v>0</v>
      </c>
      <c r="AX250" s="480"/>
      <c r="AY250" s="477">
        <f t="shared" si="123"/>
        <v>0</v>
      </c>
      <c r="AZ250" s="480"/>
      <c r="BA250" s="477">
        <f t="shared" si="124"/>
        <v>0</v>
      </c>
      <c r="BB250" s="480"/>
      <c r="BC250" s="850">
        <f t="shared" ca="1" si="125"/>
        <v>0</v>
      </c>
    </row>
    <row r="251" spans="1:55" ht="28">
      <c r="A251" s="837" t="str">
        <f t="shared" ca="1" si="97"/>
        <v/>
      </c>
      <c r="B251" s="440">
        <v>245</v>
      </c>
      <c r="C251" s="834" t="str">
        <f t="shared" ca="1" si="98"/>
        <v>6.</v>
      </c>
      <c r="D251" s="1757" t="str">
        <f ca="1">IFERROR(VLOOKUP(LEFT(E251,4),Nom_activ_2!D:G,4,0),"")</f>
        <v>6.2.  Consolidarea sistemelor de sănătate prin mecanisme de finanțare bine aliniate pentru TB</v>
      </c>
      <c r="E251" s="1757" t="str">
        <f t="shared" ca="1" si="99"/>
        <v>6.2.7. Asigurarea mentenanței unităților de stocare a medicamentelor și dispozitivelor medicale la nivel central</v>
      </c>
      <c r="F251" s="1777" t="str">
        <f t="shared" ca="1" si="129"/>
        <v>Mentenanta unităților de stocare a medicamentelor și dispozitivelor medicale la nivel central</v>
      </c>
      <c r="G251" s="839">
        <f t="shared" ca="1" si="129"/>
        <v>0</v>
      </c>
      <c r="H251" s="840" t="str">
        <f t="shared" ca="1" si="129"/>
        <v>CNAM</v>
      </c>
      <c r="I251" s="443" t="s">
        <v>3124</v>
      </c>
      <c r="J251" s="838" t="str">
        <f t="shared" si="100"/>
        <v>PNCT!$A:$j</v>
      </c>
      <c r="K251" s="475">
        <f t="shared" ca="1" si="101"/>
        <v>0</v>
      </c>
      <c r="L251" s="480"/>
      <c r="M251" s="477">
        <f t="shared" si="102"/>
        <v>0</v>
      </c>
      <c r="N251" s="480"/>
      <c r="O251" s="477">
        <f t="shared" si="103"/>
        <v>0</v>
      </c>
      <c r="P251" s="480"/>
      <c r="Q251" s="477">
        <f t="shared" si="104"/>
        <v>0</v>
      </c>
      <c r="R251" s="480"/>
      <c r="S251" s="477">
        <f t="shared" ca="1" si="105"/>
        <v>0</v>
      </c>
      <c r="T251" s="475">
        <f t="shared" ca="1" si="106"/>
        <v>0</v>
      </c>
      <c r="U251" s="480"/>
      <c r="V251" s="477">
        <f t="shared" si="107"/>
        <v>0</v>
      </c>
      <c r="W251" s="480"/>
      <c r="X251" s="477">
        <f t="shared" si="108"/>
        <v>0</v>
      </c>
      <c r="Y251" s="480"/>
      <c r="Z251" s="477">
        <f t="shared" si="109"/>
        <v>0</v>
      </c>
      <c r="AA251" s="480"/>
      <c r="AB251" s="477">
        <f t="shared" ca="1" si="110"/>
        <v>0</v>
      </c>
      <c r="AC251" s="475">
        <f t="shared" ca="1" si="111"/>
        <v>0</v>
      </c>
      <c r="AD251" s="480"/>
      <c r="AE251" s="477">
        <f t="shared" si="112"/>
        <v>0</v>
      </c>
      <c r="AF251" s="480"/>
      <c r="AG251" s="477">
        <f t="shared" si="113"/>
        <v>0</v>
      </c>
      <c r="AH251" s="480"/>
      <c r="AI251" s="477">
        <f t="shared" si="114"/>
        <v>0</v>
      </c>
      <c r="AJ251" s="480"/>
      <c r="AK251" s="477">
        <f t="shared" ca="1" si="115"/>
        <v>0</v>
      </c>
      <c r="AL251" s="475">
        <f t="shared" ca="1" si="116"/>
        <v>374400</v>
      </c>
      <c r="AM251" s="480"/>
      <c r="AN251" s="477">
        <f t="shared" si="117"/>
        <v>0</v>
      </c>
      <c r="AO251" s="480"/>
      <c r="AP251" s="477">
        <f t="shared" si="118"/>
        <v>0</v>
      </c>
      <c r="AQ251" s="480"/>
      <c r="AR251" s="477">
        <f t="shared" si="119"/>
        <v>0</v>
      </c>
      <c r="AS251" s="480"/>
      <c r="AT251" s="477">
        <f t="shared" ca="1" si="120"/>
        <v>374400</v>
      </c>
      <c r="AU251" s="475">
        <f t="shared" ca="1" si="121"/>
        <v>374400</v>
      </c>
      <c r="AV251" s="480"/>
      <c r="AW251" s="477">
        <f t="shared" si="122"/>
        <v>0</v>
      </c>
      <c r="AX251" s="480"/>
      <c r="AY251" s="477">
        <f t="shared" si="123"/>
        <v>0</v>
      </c>
      <c r="AZ251" s="480"/>
      <c r="BA251" s="477">
        <f t="shared" si="124"/>
        <v>0</v>
      </c>
      <c r="BB251" s="480"/>
      <c r="BC251" s="850">
        <f t="shared" ca="1" si="125"/>
        <v>748800</v>
      </c>
    </row>
    <row r="252" spans="1:55" ht="28">
      <c r="A252" s="837" t="str">
        <f t="shared" ca="1" si="97"/>
        <v/>
      </c>
      <c r="B252" s="440">
        <v>246</v>
      </c>
      <c r="C252" s="834" t="str">
        <f t="shared" ca="1" si="98"/>
        <v>6.</v>
      </c>
      <c r="D252" s="1757" t="str">
        <f ca="1">IFERROR(VLOOKUP(LEFT(E252,4),Nom_activ_2!D:G,4,0),"")</f>
        <v>6.2.  Consolidarea sistemelor de sănătate prin mecanisme de finanțare bine aliniate pentru TB</v>
      </c>
      <c r="E252" s="1757" t="str">
        <f t="shared" ca="1" si="99"/>
        <v xml:space="preserve">6.2.5. Asigurarea mentenanței echipamentelor din cadrul staționarelor și subdiviziunilor de profil </v>
      </c>
      <c r="F252" s="1777" t="str">
        <f t="shared" ca="1" si="129"/>
        <v>6.2.5.3. Mententanta Xpert, calibrare si reparatie (Malul Stang)</v>
      </c>
      <c r="G252" s="839">
        <f t="shared" ca="1" si="129"/>
        <v>0</v>
      </c>
      <c r="H252" s="840" t="str">
        <f t="shared" ca="1" si="129"/>
        <v>Buget local (Malul Stang)</v>
      </c>
      <c r="I252" s="443" t="s">
        <v>3468</v>
      </c>
      <c r="J252" s="838" t="str">
        <f t="shared" si="100"/>
        <v>Sisteme_de_sanatate!$A:$j</v>
      </c>
      <c r="K252" s="475">
        <f t="shared" ca="1" si="101"/>
        <v>0</v>
      </c>
      <c r="L252" s="480"/>
      <c r="M252" s="477">
        <f t="shared" si="102"/>
        <v>0</v>
      </c>
      <c r="N252" s="480"/>
      <c r="O252" s="477">
        <f t="shared" si="103"/>
        <v>0</v>
      </c>
      <c r="P252" s="480"/>
      <c r="Q252" s="477">
        <f t="shared" si="104"/>
        <v>0</v>
      </c>
      <c r="R252" s="480"/>
      <c r="S252" s="477">
        <f t="shared" ca="1" si="105"/>
        <v>0</v>
      </c>
      <c r="T252" s="475">
        <f t="shared" ca="1" si="106"/>
        <v>0</v>
      </c>
      <c r="U252" s="480"/>
      <c r="V252" s="477">
        <f t="shared" si="107"/>
        <v>0</v>
      </c>
      <c r="W252" s="480"/>
      <c r="X252" s="477">
        <f t="shared" si="108"/>
        <v>0</v>
      </c>
      <c r="Y252" s="480"/>
      <c r="Z252" s="477">
        <f t="shared" si="109"/>
        <v>0</v>
      </c>
      <c r="AA252" s="480"/>
      <c r="AB252" s="477">
        <f t="shared" ca="1" si="110"/>
        <v>0</v>
      </c>
      <c r="AC252" s="475">
        <f t="shared" ca="1" si="111"/>
        <v>0</v>
      </c>
      <c r="AD252" s="480"/>
      <c r="AE252" s="477">
        <f t="shared" si="112"/>
        <v>0</v>
      </c>
      <c r="AF252" s="480"/>
      <c r="AG252" s="477">
        <f t="shared" si="113"/>
        <v>0</v>
      </c>
      <c r="AH252" s="480"/>
      <c r="AI252" s="477">
        <f t="shared" si="114"/>
        <v>0</v>
      </c>
      <c r="AJ252" s="480"/>
      <c r="AK252" s="477">
        <f t="shared" ca="1" si="115"/>
        <v>0</v>
      </c>
      <c r="AL252" s="475">
        <f t="shared" ca="1" si="116"/>
        <v>75264.375</v>
      </c>
      <c r="AM252" s="480"/>
      <c r="AN252" s="477">
        <f t="shared" si="117"/>
        <v>0</v>
      </c>
      <c r="AO252" s="480"/>
      <c r="AP252" s="477">
        <f t="shared" si="118"/>
        <v>0</v>
      </c>
      <c r="AQ252" s="480"/>
      <c r="AR252" s="477">
        <f t="shared" si="119"/>
        <v>0</v>
      </c>
      <c r="AS252" s="480"/>
      <c r="AT252" s="477">
        <f t="shared" ca="1" si="120"/>
        <v>75264.375</v>
      </c>
      <c r="AU252" s="475">
        <f t="shared" ca="1" si="121"/>
        <v>75264.375</v>
      </c>
      <c r="AV252" s="480"/>
      <c r="AW252" s="477">
        <f t="shared" si="122"/>
        <v>0</v>
      </c>
      <c r="AX252" s="480"/>
      <c r="AY252" s="477">
        <f t="shared" si="123"/>
        <v>0</v>
      </c>
      <c r="AZ252" s="480"/>
      <c r="BA252" s="477">
        <f t="shared" si="124"/>
        <v>0</v>
      </c>
      <c r="BB252" s="480"/>
      <c r="BC252" s="850">
        <f t="shared" ca="1" si="125"/>
        <v>150528.75</v>
      </c>
    </row>
    <row r="253" spans="1:55" ht="28">
      <c r="A253" s="837" t="str">
        <f t="shared" ca="1" si="97"/>
        <v/>
      </c>
      <c r="B253" s="440">
        <v>247</v>
      </c>
      <c r="C253" s="834" t="str">
        <f t="shared" ca="1" si="98"/>
        <v>6.</v>
      </c>
      <c r="D253" s="1757" t="str">
        <f ca="1">IFERROR(VLOOKUP(LEFT(E253,4),Nom_activ_2!D:G,4,0),"")</f>
        <v>6.2.  Consolidarea sistemelor de sănătate prin mecanisme de finanțare bine aliniate pentru TB</v>
      </c>
      <c r="E253" s="1757" t="str">
        <f t="shared" ca="1" si="99"/>
        <v xml:space="preserve">6.2.5. Asigurarea mentenanței echipamentelor din cadrul staționarelor și subdiviziunilor de profil </v>
      </c>
      <c r="F253" s="1777" t="str">
        <f t="shared" ca="1" si="129"/>
        <v>6.2.5.3. Mententanta Xpert, calibrare si reparatie (Malul Stang)</v>
      </c>
      <c r="G253" s="839" t="str">
        <f t="shared" ca="1" si="129"/>
        <v>UCIMP</v>
      </c>
      <c r="H253" s="840" t="str">
        <f t="shared" ca="1" si="129"/>
        <v>GFATM</v>
      </c>
      <c r="I253" s="443" t="s">
        <v>3468</v>
      </c>
      <c r="J253" s="838" t="str">
        <f t="shared" si="100"/>
        <v>Sisteme_de_sanatate!$A:$j</v>
      </c>
      <c r="K253" s="475">
        <f t="shared" ca="1" si="101"/>
        <v>71785.721799999999</v>
      </c>
      <c r="L253" s="480"/>
      <c r="M253" s="477">
        <f t="shared" si="102"/>
        <v>0</v>
      </c>
      <c r="N253" s="480"/>
      <c r="O253" s="477">
        <f t="shared" si="103"/>
        <v>0</v>
      </c>
      <c r="P253" s="480"/>
      <c r="Q253" s="477">
        <f t="shared" si="104"/>
        <v>0</v>
      </c>
      <c r="R253" s="480"/>
      <c r="S253" s="477">
        <f t="shared" ca="1" si="105"/>
        <v>71785.721799999999</v>
      </c>
      <c r="T253" s="475">
        <f t="shared" ca="1" si="106"/>
        <v>79375.489399999991</v>
      </c>
      <c r="U253" s="480"/>
      <c r="V253" s="477">
        <f t="shared" si="107"/>
        <v>0</v>
      </c>
      <c r="W253" s="480"/>
      <c r="X253" s="477">
        <f t="shared" si="108"/>
        <v>0</v>
      </c>
      <c r="Y253" s="480"/>
      <c r="Z253" s="477">
        <f t="shared" si="109"/>
        <v>0</v>
      </c>
      <c r="AA253" s="480"/>
      <c r="AB253" s="477">
        <f t="shared" ca="1" si="110"/>
        <v>79375.489399999991</v>
      </c>
      <c r="AC253" s="475">
        <f t="shared" ca="1" si="111"/>
        <v>79375.489399999991</v>
      </c>
      <c r="AD253" s="480"/>
      <c r="AE253" s="477">
        <f t="shared" si="112"/>
        <v>0</v>
      </c>
      <c r="AF253" s="480"/>
      <c r="AG253" s="477">
        <f t="shared" si="113"/>
        <v>0</v>
      </c>
      <c r="AH253" s="480"/>
      <c r="AI253" s="477">
        <f t="shared" si="114"/>
        <v>0</v>
      </c>
      <c r="AJ253" s="480"/>
      <c r="AK253" s="477">
        <f t="shared" ca="1" si="115"/>
        <v>79375.489399999991</v>
      </c>
      <c r="AL253" s="475">
        <f t="shared" ca="1" si="116"/>
        <v>-6.0000000667059794E-4</v>
      </c>
      <c r="AM253" s="480"/>
      <c r="AN253" s="477">
        <f t="shared" si="117"/>
        <v>0</v>
      </c>
      <c r="AO253" s="480"/>
      <c r="AP253" s="477">
        <f t="shared" si="118"/>
        <v>0</v>
      </c>
      <c r="AQ253" s="480"/>
      <c r="AR253" s="477">
        <f t="shared" si="119"/>
        <v>0</v>
      </c>
      <c r="AS253" s="480"/>
      <c r="AT253" s="477">
        <f t="shared" ca="1" si="120"/>
        <v>-6.0000000667059794E-4</v>
      </c>
      <c r="AU253" s="475">
        <f t="shared" ca="1" si="121"/>
        <v>-6.0000000667059794E-4</v>
      </c>
      <c r="AV253" s="480"/>
      <c r="AW253" s="477">
        <f t="shared" si="122"/>
        <v>0</v>
      </c>
      <c r="AX253" s="480"/>
      <c r="AY253" s="477">
        <f t="shared" si="123"/>
        <v>0</v>
      </c>
      <c r="AZ253" s="480"/>
      <c r="BA253" s="477">
        <f t="shared" si="124"/>
        <v>0</v>
      </c>
      <c r="BB253" s="480"/>
      <c r="BC253" s="850">
        <f t="shared" ca="1" si="125"/>
        <v>230536.69939999998</v>
      </c>
    </row>
    <row r="254" spans="1:55">
      <c r="A254" s="837" t="str">
        <f t="shared" si="97"/>
        <v/>
      </c>
      <c r="B254" s="440"/>
      <c r="C254" s="834" t="str">
        <f t="shared" ca="1" si="98"/>
        <v/>
      </c>
      <c r="D254" s="1757" t="str">
        <f ca="1">IFERROR(VLOOKUP(LEFT(E254,4),Nom_activ_2!D:G,4,0),"")</f>
        <v/>
      </c>
      <c r="E254" s="1757" t="str">
        <f t="shared" ca="1" si="99"/>
        <v/>
      </c>
      <c r="F254" s="1777">
        <f t="shared" ca="1" si="129"/>
        <v>0</v>
      </c>
      <c r="G254" s="839">
        <f t="shared" ca="1" si="129"/>
        <v>0</v>
      </c>
      <c r="H254" s="840">
        <f t="shared" ca="1" si="129"/>
        <v>0</v>
      </c>
      <c r="I254" s="443"/>
      <c r="J254" s="838" t="str">
        <f t="shared" si="100"/>
        <v>!$A:$j</v>
      </c>
      <c r="K254" s="475">
        <f t="shared" ca="1" si="101"/>
        <v>0</v>
      </c>
      <c r="L254" s="480"/>
      <c r="M254" s="477">
        <f t="shared" si="102"/>
        <v>0</v>
      </c>
      <c r="N254" s="480"/>
      <c r="O254" s="477">
        <f t="shared" si="103"/>
        <v>0</v>
      </c>
      <c r="P254" s="480"/>
      <c r="Q254" s="477">
        <f t="shared" si="104"/>
        <v>0</v>
      </c>
      <c r="R254" s="480"/>
      <c r="S254" s="477">
        <f t="shared" ca="1" si="105"/>
        <v>0</v>
      </c>
      <c r="T254" s="475">
        <f t="shared" ca="1" si="106"/>
        <v>0</v>
      </c>
      <c r="U254" s="480"/>
      <c r="V254" s="477">
        <f t="shared" si="107"/>
        <v>0</v>
      </c>
      <c r="W254" s="480"/>
      <c r="X254" s="477">
        <f t="shared" si="108"/>
        <v>0</v>
      </c>
      <c r="Y254" s="480"/>
      <c r="Z254" s="477">
        <f t="shared" si="109"/>
        <v>0</v>
      </c>
      <c r="AA254" s="480"/>
      <c r="AB254" s="477">
        <f t="shared" ca="1" si="110"/>
        <v>0</v>
      </c>
      <c r="AC254" s="475">
        <f t="shared" ca="1" si="111"/>
        <v>0</v>
      </c>
      <c r="AD254" s="480"/>
      <c r="AE254" s="477">
        <f t="shared" si="112"/>
        <v>0</v>
      </c>
      <c r="AF254" s="480"/>
      <c r="AG254" s="477">
        <f t="shared" si="113"/>
        <v>0</v>
      </c>
      <c r="AH254" s="480"/>
      <c r="AI254" s="477">
        <f t="shared" si="114"/>
        <v>0</v>
      </c>
      <c r="AJ254" s="480"/>
      <c r="AK254" s="477">
        <f t="shared" ca="1" si="115"/>
        <v>0</v>
      </c>
      <c r="AL254" s="475">
        <f t="shared" ca="1" si="116"/>
        <v>0</v>
      </c>
      <c r="AM254" s="480"/>
      <c r="AN254" s="477">
        <f t="shared" si="117"/>
        <v>0</v>
      </c>
      <c r="AO254" s="480"/>
      <c r="AP254" s="477">
        <f t="shared" si="118"/>
        <v>0</v>
      </c>
      <c r="AQ254" s="480"/>
      <c r="AR254" s="477">
        <f t="shared" si="119"/>
        <v>0</v>
      </c>
      <c r="AS254" s="480"/>
      <c r="AT254" s="477">
        <f t="shared" ca="1" si="120"/>
        <v>0</v>
      </c>
      <c r="AU254" s="475">
        <f t="shared" ca="1" si="121"/>
        <v>0</v>
      </c>
      <c r="AV254" s="480"/>
      <c r="AW254" s="477">
        <f t="shared" si="122"/>
        <v>0</v>
      </c>
      <c r="AX254" s="480"/>
      <c r="AY254" s="477">
        <f t="shared" si="123"/>
        <v>0</v>
      </c>
      <c r="AZ254" s="480"/>
      <c r="BA254" s="477">
        <f t="shared" si="124"/>
        <v>0</v>
      </c>
      <c r="BB254" s="480"/>
      <c r="BC254" s="850">
        <f t="shared" ca="1" si="125"/>
        <v>0</v>
      </c>
    </row>
    <row r="255" spans="1:55">
      <c r="A255" s="837" t="str">
        <f t="shared" si="97"/>
        <v/>
      </c>
      <c r="B255" s="440"/>
      <c r="C255" s="834" t="str">
        <f t="shared" ca="1" si="98"/>
        <v/>
      </c>
      <c r="D255" s="1757" t="str">
        <f ca="1">IFERROR(VLOOKUP(LEFT(E255,4),Nom_activ_2!D:G,4,0),"")</f>
        <v/>
      </c>
      <c r="E255" s="1757" t="str">
        <f t="shared" ca="1" si="99"/>
        <v/>
      </c>
      <c r="F255" s="1777">
        <f t="shared" ca="1" si="129"/>
        <v>0</v>
      </c>
      <c r="G255" s="839">
        <f t="shared" ca="1" si="129"/>
        <v>0</v>
      </c>
      <c r="H255" s="840">
        <f t="shared" ca="1" si="129"/>
        <v>0</v>
      </c>
      <c r="I255" s="443"/>
      <c r="J255" s="838" t="str">
        <f t="shared" si="100"/>
        <v>!$A:$j</v>
      </c>
      <c r="K255" s="475">
        <f t="shared" ca="1" si="101"/>
        <v>0</v>
      </c>
      <c r="L255" s="480"/>
      <c r="M255" s="477">
        <f t="shared" si="102"/>
        <v>0</v>
      </c>
      <c r="N255" s="480"/>
      <c r="O255" s="477">
        <f t="shared" si="103"/>
        <v>0</v>
      </c>
      <c r="P255" s="480"/>
      <c r="Q255" s="477">
        <f t="shared" si="104"/>
        <v>0</v>
      </c>
      <c r="R255" s="480"/>
      <c r="S255" s="477">
        <f t="shared" ca="1" si="105"/>
        <v>0</v>
      </c>
      <c r="T255" s="475">
        <f t="shared" ca="1" si="106"/>
        <v>0</v>
      </c>
      <c r="U255" s="480"/>
      <c r="V255" s="477">
        <f t="shared" si="107"/>
        <v>0</v>
      </c>
      <c r="W255" s="480"/>
      <c r="X255" s="477">
        <f t="shared" si="108"/>
        <v>0</v>
      </c>
      <c r="Y255" s="480"/>
      <c r="Z255" s="477">
        <f t="shared" si="109"/>
        <v>0</v>
      </c>
      <c r="AA255" s="480"/>
      <c r="AB255" s="477">
        <f t="shared" ca="1" si="110"/>
        <v>0</v>
      </c>
      <c r="AC255" s="475">
        <f t="shared" ca="1" si="111"/>
        <v>0</v>
      </c>
      <c r="AD255" s="480"/>
      <c r="AE255" s="477">
        <f t="shared" si="112"/>
        <v>0</v>
      </c>
      <c r="AF255" s="480"/>
      <c r="AG255" s="477">
        <f t="shared" si="113"/>
        <v>0</v>
      </c>
      <c r="AH255" s="480"/>
      <c r="AI255" s="477">
        <f t="shared" si="114"/>
        <v>0</v>
      </c>
      <c r="AJ255" s="480"/>
      <c r="AK255" s="477">
        <f t="shared" ca="1" si="115"/>
        <v>0</v>
      </c>
      <c r="AL255" s="475">
        <f t="shared" ca="1" si="116"/>
        <v>0</v>
      </c>
      <c r="AM255" s="480"/>
      <c r="AN255" s="477">
        <f t="shared" si="117"/>
        <v>0</v>
      </c>
      <c r="AO255" s="480"/>
      <c r="AP255" s="477">
        <f t="shared" si="118"/>
        <v>0</v>
      </c>
      <c r="AQ255" s="480"/>
      <c r="AR255" s="477">
        <f t="shared" si="119"/>
        <v>0</v>
      </c>
      <c r="AS255" s="480"/>
      <c r="AT255" s="477">
        <f t="shared" ca="1" si="120"/>
        <v>0</v>
      </c>
      <c r="AU255" s="475">
        <f t="shared" ca="1" si="121"/>
        <v>0</v>
      </c>
      <c r="AV255" s="480"/>
      <c r="AW255" s="477">
        <f t="shared" si="122"/>
        <v>0</v>
      </c>
      <c r="AX255" s="480"/>
      <c r="AY255" s="477">
        <f t="shared" si="123"/>
        <v>0</v>
      </c>
      <c r="AZ255" s="480"/>
      <c r="BA255" s="477">
        <f t="shared" si="124"/>
        <v>0</v>
      </c>
      <c r="BB255" s="480"/>
      <c r="BC255" s="850">
        <f t="shared" ca="1" si="125"/>
        <v>0</v>
      </c>
    </row>
    <row r="256" spans="1:55">
      <c r="A256" s="837" t="str">
        <f t="shared" si="97"/>
        <v/>
      </c>
      <c r="B256" s="440"/>
      <c r="C256" s="834" t="str">
        <f t="shared" ca="1" si="98"/>
        <v/>
      </c>
      <c r="D256" s="1757" t="str">
        <f ca="1">IFERROR(VLOOKUP(LEFT(E256,4),Nom_activ_2!D:G,4,0),"")</f>
        <v/>
      </c>
      <c r="E256" s="1757" t="str">
        <f t="shared" ca="1" si="99"/>
        <v/>
      </c>
      <c r="F256" s="1777">
        <f t="shared" ca="1" si="129"/>
        <v>0</v>
      </c>
      <c r="G256" s="839">
        <f t="shared" ca="1" si="129"/>
        <v>0</v>
      </c>
      <c r="H256" s="840">
        <f t="shared" ca="1" si="129"/>
        <v>0</v>
      </c>
      <c r="I256" s="443"/>
      <c r="J256" s="838" t="str">
        <f t="shared" si="100"/>
        <v>!$A:$j</v>
      </c>
      <c r="K256" s="475">
        <f t="shared" ca="1" si="101"/>
        <v>0</v>
      </c>
      <c r="L256" s="480"/>
      <c r="M256" s="477">
        <f t="shared" si="102"/>
        <v>0</v>
      </c>
      <c r="N256" s="480"/>
      <c r="O256" s="477">
        <f t="shared" si="103"/>
        <v>0</v>
      </c>
      <c r="P256" s="480"/>
      <c r="Q256" s="477">
        <f t="shared" si="104"/>
        <v>0</v>
      </c>
      <c r="R256" s="480"/>
      <c r="S256" s="477">
        <f t="shared" ca="1" si="105"/>
        <v>0</v>
      </c>
      <c r="T256" s="475">
        <f t="shared" ca="1" si="106"/>
        <v>0</v>
      </c>
      <c r="U256" s="480"/>
      <c r="V256" s="477">
        <f t="shared" si="107"/>
        <v>0</v>
      </c>
      <c r="W256" s="480"/>
      <c r="X256" s="477">
        <f t="shared" si="108"/>
        <v>0</v>
      </c>
      <c r="Y256" s="480"/>
      <c r="Z256" s="477">
        <f t="shared" si="109"/>
        <v>0</v>
      </c>
      <c r="AA256" s="480"/>
      <c r="AB256" s="477">
        <f t="shared" ca="1" si="110"/>
        <v>0</v>
      </c>
      <c r="AC256" s="475">
        <f t="shared" ca="1" si="111"/>
        <v>0</v>
      </c>
      <c r="AD256" s="480"/>
      <c r="AE256" s="477">
        <f t="shared" si="112"/>
        <v>0</v>
      </c>
      <c r="AF256" s="480"/>
      <c r="AG256" s="477">
        <f t="shared" si="113"/>
        <v>0</v>
      </c>
      <c r="AH256" s="480"/>
      <c r="AI256" s="477">
        <f t="shared" si="114"/>
        <v>0</v>
      </c>
      <c r="AJ256" s="480"/>
      <c r="AK256" s="477">
        <f t="shared" ca="1" si="115"/>
        <v>0</v>
      </c>
      <c r="AL256" s="475">
        <f t="shared" ca="1" si="116"/>
        <v>0</v>
      </c>
      <c r="AM256" s="480"/>
      <c r="AN256" s="477">
        <f t="shared" si="117"/>
        <v>0</v>
      </c>
      <c r="AO256" s="480"/>
      <c r="AP256" s="477">
        <f t="shared" si="118"/>
        <v>0</v>
      </c>
      <c r="AQ256" s="480"/>
      <c r="AR256" s="477">
        <f t="shared" si="119"/>
        <v>0</v>
      </c>
      <c r="AS256" s="480"/>
      <c r="AT256" s="477">
        <f t="shared" ca="1" si="120"/>
        <v>0</v>
      </c>
      <c r="AU256" s="475">
        <f t="shared" ca="1" si="121"/>
        <v>0</v>
      </c>
      <c r="AV256" s="480"/>
      <c r="AW256" s="477">
        <f t="shared" si="122"/>
        <v>0</v>
      </c>
      <c r="AX256" s="480"/>
      <c r="AY256" s="477">
        <f t="shared" si="123"/>
        <v>0</v>
      </c>
      <c r="AZ256" s="480"/>
      <c r="BA256" s="477">
        <f t="shared" si="124"/>
        <v>0</v>
      </c>
      <c r="BB256" s="480"/>
      <c r="BC256" s="850">
        <f t="shared" ca="1" si="125"/>
        <v>0</v>
      </c>
    </row>
    <row r="257" spans="1:55">
      <c r="A257" s="837" t="str">
        <f t="shared" si="97"/>
        <v/>
      </c>
      <c r="B257" s="440"/>
      <c r="C257" s="834" t="str">
        <f t="shared" ca="1" si="98"/>
        <v/>
      </c>
      <c r="D257" s="1757" t="str">
        <f ca="1">IFERROR(VLOOKUP(LEFT(E257,4),Nom_activ_2!D:G,4,0),"")</f>
        <v/>
      </c>
      <c r="E257" s="1757" t="str">
        <f t="shared" ca="1" si="99"/>
        <v/>
      </c>
      <c r="F257" s="1777">
        <f t="shared" ca="1" si="129"/>
        <v>0</v>
      </c>
      <c r="G257" s="839">
        <f t="shared" ca="1" si="129"/>
        <v>0</v>
      </c>
      <c r="H257" s="840">
        <f t="shared" ca="1" si="129"/>
        <v>0</v>
      </c>
      <c r="I257" s="443"/>
      <c r="J257" s="838" t="str">
        <f t="shared" si="100"/>
        <v>!$A:$j</v>
      </c>
      <c r="K257" s="475">
        <f t="shared" ca="1" si="101"/>
        <v>0</v>
      </c>
      <c r="L257" s="480"/>
      <c r="M257" s="477">
        <f t="shared" si="102"/>
        <v>0</v>
      </c>
      <c r="N257" s="480"/>
      <c r="O257" s="477">
        <f t="shared" si="103"/>
        <v>0</v>
      </c>
      <c r="P257" s="480"/>
      <c r="Q257" s="477">
        <f t="shared" si="104"/>
        <v>0</v>
      </c>
      <c r="R257" s="480"/>
      <c r="S257" s="477">
        <f t="shared" ca="1" si="105"/>
        <v>0</v>
      </c>
      <c r="T257" s="475">
        <f t="shared" ca="1" si="106"/>
        <v>0</v>
      </c>
      <c r="U257" s="480"/>
      <c r="V257" s="477">
        <f t="shared" si="107"/>
        <v>0</v>
      </c>
      <c r="W257" s="480"/>
      <c r="X257" s="477">
        <f t="shared" si="108"/>
        <v>0</v>
      </c>
      <c r="Y257" s="480"/>
      <c r="Z257" s="477">
        <f t="shared" si="109"/>
        <v>0</v>
      </c>
      <c r="AA257" s="480"/>
      <c r="AB257" s="477">
        <f t="shared" ca="1" si="110"/>
        <v>0</v>
      </c>
      <c r="AC257" s="475">
        <f t="shared" ca="1" si="111"/>
        <v>0</v>
      </c>
      <c r="AD257" s="480"/>
      <c r="AE257" s="477">
        <f t="shared" si="112"/>
        <v>0</v>
      </c>
      <c r="AF257" s="480"/>
      <c r="AG257" s="477">
        <f t="shared" si="113"/>
        <v>0</v>
      </c>
      <c r="AH257" s="480"/>
      <c r="AI257" s="477">
        <f t="shared" si="114"/>
        <v>0</v>
      </c>
      <c r="AJ257" s="480"/>
      <c r="AK257" s="477">
        <f t="shared" ca="1" si="115"/>
        <v>0</v>
      </c>
      <c r="AL257" s="475">
        <f t="shared" ca="1" si="116"/>
        <v>0</v>
      </c>
      <c r="AM257" s="480"/>
      <c r="AN257" s="477">
        <f t="shared" si="117"/>
        <v>0</v>
      </c>
      <c r="AO257" s="480"/>
      <c r="AP257" s="477">
        <f t="shared" si="118"/>
        <v>0</v>
      </c>
      <c r="AQ257" s="480"/>
      <c r="AR257" s="477">
        <f t="shared" si="119"/>
        <v>0</v>
      </c>
      <c r="AS257" s="480"/>
      <c r="AT257" s="477">
        <f t="shared" ca="1" si="120"/>
        <v>0</v>
      </c>
      <c r="AU257" s="475">
        <f t="shared" ca="1" si="121"/>
        <v>0</v>
      </c>
      <c r="AV257" s="480"/>
      <c r="AW257" s="477">
        <f t="shared" si="122"/>
        <v>0</v>
      </c>
      <c r="AX257" s="480"/>
      <c r="AY257" s="477">
        <f t="shared" si="123"/>
        <v>0</v>
      </c>
      <c r="AZ257" s="480"/>
      <c r="BA257" s="477">
        <f t="shared" si="124"/>
        <v>0</v>
      </c>
      <c r="BB257" s="480"/>
      <c r="BC257" s="850">
        <f t="shared" ca="1" si="125"/>
        <v>0</v>
      </c>
    </row>
    <row r="258" spans="1:55">
      <c r="A258" s="837" t="str">
        <f t="shared" si="97"/>
        <v/>
      </c>
      <c r="B258" s="440"/>
      <c r="C258" s="834" t="str">
        <f t="shared" ca="1" si="98"/>
        <v/>
      </c>
      <c r="D258" s="1757" t="str">
        <f ca="1">IFERROR(VLOOKUP(LEFT(E258,4),Nom_activ_2!D:G,4,0),"")</f>
        <v/>
      </c>
      <c r="E258" s="1757" t="str">
        <f t="shared" ca="1" si="99"/>
        <v/>
      </c>
      <c r="F258" s="1777">
        <f t="shared" ca="1" si="129"/>
        <v>0</v>
      </c>
      <c r="G258" s="839">
        <f t="shared" ca="1" si="129"/>
        <v>0</v>
      </c>
      <c r="H258" s="840">
        <f t="shared" ca="1" si="129"/>
        <v>0</v>
      </c>
      <c r="I258" s="443"/>
      <c r="J258" s="838" t="str">
        <f t="shared" si="100"/>
        <v>!$A:$j</v>
      </c>
      <c r="K258" s="475">
        <f t="shared" ca="1" si="101"/>
        <v>0</v>
      </c>
      <c r="L258" s="480"/>
      <c r="M258" s="477">
        <f t="shared" si="102"/>
        <v>0</v>
      </c>
      <c r="N258" s="480"/>
      <c r="O258" s="477">
        <f t="shared" si="103"/>
        <v>0</v>
      </c>
      <c r="P258" s="480"/>
      <c r="Q258" s="477">
        <f t="shared" si="104"/>
        <v>0</v>
      </c>
      <c r="R258" s="480"/>
      <c r="S258" s="477">
        <f t="shared" ca="1" si="105"/>
        <v>0</v>
      </c>
      <c r="T258" s="475">
        <f t="shared" ca="1" si="106"/>
        <v>0</v>
      </c>
      <c r="U258" s="480"/>
      <c r="V258" s="477">
        <f t="shared" si="107"/>
        <v>0</v>
      </c>
      <c r="W258" s="480"/>
      <c r="X258" s="477">
        <f t="shared" si="108"/>
        <v>0</v>
      </c>
      <c r="Y258" s="480"/>
      <c r="Z258" s="477">
        <f t="shared" si="109"/>
        <v>0</v>
      </c>
      <c r="AA258" s="480"/>
      <c r="AB258" s="477">
        <f t="shared" ca="1" si="110"/>
        <v>0</v>
      </c>
      <c r="AC258" s="475">
        <f t="shared" ca="1" si="111"/>
        <v>0</v>
      </c>
      <c r="AD258" s="480"/>
      <c r="AE258" s="477">
        <f t="shared" si="112"/>
        <v>0</v>
      </c>
      <c r="AF258" s="480"/>
      <c r="AG258" s="477">
        <f t="shared" si="113"/>
        <v>0</v>
      </c>
      <c r="AH258" s="480"/>
      <c r="AI258" s="477">
        <f t="shared" si="114"/>
        <v>0</v>
      </c>
      <c r="AJ258" s="480"/>
      <c r="AK258" s="477">
        <f t="shared" ca="1" si="115"/>
        <v>0</v>
      </c>
      <c r="AL258" s="475">
        <f t="shared" ca="1" si="116"/>
        <v>0</v>
      </c>
      <c r="AM258" s="480"/>
      <c r="AN258" s="477">
        <f t="shared" si="117"/>
        <v>0</v>
      </c>
      <c r="AO258" s="480"/>
      <c r="AP258" s="477">
        <f t="shared" si="118"/>
        <v>0</v>
      </c>
      <c r="AQ258" s="480"/>
      <c r="AR258" s="477">
        <f t="shared" si="119"/>
        <v>0</v>
      </c>
      <c r="AS258" s="480"/>
      <c r="AT258" s="477">
        <f t="shared" ca="1" si="120"/>
        <v>0</v>
      </c>
      <c r="AU258" s="475">
        <f t="shared" ca="1" si="121"/>
        <v>0</v>
      </c>
      <c r="AV258" s="480"/>
      <c r="AW258" s="477">
        <f t="shared" si="122"/>
        <v>0</v>
      </c>
      <c r="AX258" s="480"/>
      <c r="AY258" s="477">
        <f t="shared" si="123"/>
        <v>0</v>
      </c>
      <c r="AZ258" s="480"/>
      <c r="BA258" s="477">
        <f t="shared" si="124"/>
        <v>0</v>
      </c>
      <c r="BB258" s="480"/>
      <c r="BC258" s="850">
        <f t="shared" ca="1" si="125"/>
        <v>0</v>
      </c>
    </row>
    <row r="259" spans="1:55">
      <c r="A259" s="837" t="str">
        <f t="shared" si="97"/>
        <v/>
      </c>
      <c r="B259" s="440"/>
      <c r="C259" s="834" t="str">
        <f t="shared" ca="1" si="98"/>
        <v/>
      </c>
      <c r="D259" s="1757" t="str">
        <f ca="1">IFERROR(VLOOKUP(LEFT(E259,4),Nom_activ_2!D:G,4,0),"")</f>
        <v/>
      </c>
      <c r="E259" s="1757" t="str">
        <f t="shared" ca="1" si="99"/>
        <v/>
      </c>
      <c r="F259" s="1777">
        <f t="shared" ca="1" si="129"/>
        <v>0</v>
      </c>
      <c r="G259" s="839">
        <f t="shared" ca="1" si="129"/>
        <v>0</v>
      </c>
      <c r="H259" s="840">
        <f t="shared" ca="1" si="129"/>
        <v>0</v>
      </c>
      <c r="I259" s="443"/>
      <c r="J259" s="838" t="str">
        <f t="shared" si="100"/>
        <v>!$A:$j</v>
      </c>
      <c r="K259" s="475">
        <f t="shared" ca="1" si="101"/>
        <v>0</v>
      </c>
      <c r="L259" s="480"/>
      <c r="M259" s="477">
        <f t="shared" si="102"/>
        <v>0</v>
      </c>
      <c r="N259" s="480"/>
      <c r="O259" s="477">
        <f t="shared" si="103"/>
        <v>0</v>
      </c>
      <c r="P259" s="480"/>
      <c r="Q259" s="477">
        <f t="shared" si="104"/>
        <v>0</v>
      </c>
      <c r="R259" s="480"/>
      <c r="S259" s="477">
        <f t="shared" ca="1" si="105"/>
        <v>0</v>
      </c>
      <c r="T259" s="475">
        <f t="shared" ca="1" si="106"/>
        <v>0</v>
      </c>
      <c r="U259" s="480"/>
      <c r="V259" s="477">
        <f t="shared" si="107"/>
        <v>0</v>
      </c>
      <c r="W259" s="480"/>
      <c r="X259" s="477">
        <f t="shared" si="108"/>
        <v>0</v>
      </c>
      <c r="Y259" s="480"/>
      <c r="Z259" s="477">
        <f t="shared" si="109"/>
        <v>0</v>
      </c>
      <c r="AA259" s="480"/>
      <c r="AB259" s="477">
        <f t="shared" ca="1" si="110"/>
        <v>0</v>
      </c>
      <c r="AC259" s="475">
        <f t="shared" ca="1" si="111"/>
        <v>0</v>
      </c>
      <c r="AD259" s="480"/>
      <c r="AE259" s="477">
        <f t="shared" si="112"/>
        <v>0</v>
      </c>
      <c r="AF259" s="480"/>
      <c r="AG259" s="477">
        <f t="shared" si="113"/>
        <v>0</v>
      </c>
      <c r="AH259" s="480"/>
      <c r="AI259" s="477">
        <f t="shared" si="114"/>
        <v>0</v>
      </c>
      <c r="AJ259" s="480"/>
      <c r="AK259" s="477">
        <f t="shared" ca="1" si="115"/>
        <v>0</v>
      </c>
      <c r="AL259" s="475">
        <f t="shared" ca="1" si="116"/>
        <v>0</v>
      </c>
      <c r="AM259" s="480"/>
      <c r="AN259" s="477">
        <f t="shared" si="117"/>
        <v>0</v>
      </c>
      <c r="AO259" s="480"/>
      <c r="AP259" s="477">
        <f t="shared" si="118"/>
        <v>0</v>
      </c>
      <c r="AQ259" s="480"/>
      <c r="AR259" s="477">
        <f t="shared" si="119"/>
        <v>0</v>
      </c>
      <c r="AS259" s="480"/>
      <c r="AT259" s="477">
        <f t="shared" ca="1" si="120"/>
        <v>0</v>
      </c>
      <c r="AU259" s="475">
        <f t="shared" ca="1" si="121"/>
        <v>0</v>
      </c>
      <c r="AV259" s="480"/>
      <c r="AW259" s="477">
        <f t="shared" si="122"/>
        <v>0</v>
      </c>
      <c r="AX259" s="480"/>
      <c r="AY259" s="477">
        <f t="shared" si="123"/>
        <v>0</v>
      </c>
      <c r="AZ259" s="480"/>
      <c r="BA259" s="477">
        <f t="shared" si="124"/>
        <v>0</v>
      </c>
      <c r="BB259" s="480"/>
      <c r="BC259" s="850">
        <f t="shared" ca="1" si="125"/>
        <v>0</v>
      </c>
    </row>
    <row r="260" spans="1:55">
      <c r="A260" s="837" t="str">
        <f t="shared" si="97"/>
        <v/>
      </c>
      <c r="B260" s="440"/>
      <c r="C260" s="834" t="str">
        <f t="shared" ca="1" si="98"/>
        <v/>
      </c>
      <c r="D260" s="1757" t="str">
        <f ca="1">IFERROR(VLOOKUP(LEFT(E260,4),Nom_activ_2!D:G,4,0),"")</f>
        <v/>
      </c>
      <c r="E260" s="1757" t="str">
        <f t="shared" ca="1" si="99"/>
        <v/>
      </c>
      <c r="F260" s="1777">
        <f t="shared" ca="1" si="129"/>
        <v>0</v>
      </c>
      <c r="G260" s="839">
        <f t="shared" ca="1" si="129"/>
        <v>0</v>
      </c>
      <c r="H260" s="840">
        <f t="shared" ca="1" si="129"/>
        <v>0</v>
      </c>
      <c r="I260" s="443"/>
      <c r="J260" s="838" t="str">
        <f t="shared" si="100"/>
        <v>!$A:$j</v>
      </c>
      <c r="K260" s="475">
        <f t="shared" ca="1" si="101"/>
        <v>0</v>
      </c>
      <c r="L260" s="480"/>
      <c r="M260" s="477">
        <f t="shared" si="102"/>
        <v>0</v>
      </c>
      <c r="N260" s="480"/>
      <c r="O260" s="477">
        <f t="shared" si="103"/>
        <v>0</v>
      </c>
      <c r="P260" s="480"/>
      <c r="Q260" s="477">
        <f t="shared" si="104"/>
        <v>0</v>
      </c>
      <c r="R260" s="480"/>
      <c r="S260" s="477">
        <f t="shared" ca="1" si="105"/>
        <v>0</v>
      </c>
      <c r="T260" s="475">
        <f t="shared" ca="1" si="106"/>
        <v>0</v>
      </c>
      <c r="U260" s="480"/>
      <c r="V260" s="477">
        <f t="shared" si="107"/>
        <v>0</v>
      </c>
      <c r="W260" s="480"/>
      <c r="X260" s="477">
        <f t="shared" si="108"/>
        <v>0</v>
      </c>
      <c r="Y260" s="480"/>
      <c r="Z260" s="477">
        <f t="shared" si="109"/>
        <v>0</v>
      </c>
      <c r="AA260" s="480"/>
      <c r="AB260" s="477">
        <f t="shared" ca="1" si="110"/>
        <v>0</v>
      </c>
      <c r="AC260" s="475">
        <f t="shared" ca="1" si="111"/>
        <v>0</v>
      </c>
      <c r="AD260" s="480"/>
      <c r="AE260" s="477">
        <f t="shared" si="112"/>
        <v>0</v>
      </c>
      <c r="AF260" s="480"/>
      <c r="AG260" s="477">
        <f t="shared" si="113"/>
        <v>0</v>
      </c>
      <c r="AH260" s="480"/>
      <c r="AI260" s="477">
        <f t="shared" si="114"/>
        <v>0</v>
      </c>
      <c r="AJ260" s="480"/>
      <c r="AK260" s="477">
        <f t="shared" ca="1" si="115"/>
        <v>0</v>
      </c>
      <c r="AL260" s="475">
        <f t="shared" ca="1" si="116"/>
        <v>0</v>
      </c>
      <c r="AM260" s="480"/>
      <c r="AN260" s="477">
        <f t="shared" si="117"/>
        <v>0</v>
      </c>
      <c r="AO260" s="480"/>
      <c r="AP260" s="477">
        <f t="shared" si="118"/>
        <v>0</v>
      </c>
      <c r="AQ260" s="480"/>
      <c r="AR260" s="477">
        <f t="shared" si="119"/>
        <v>0</v>
      </c>
      <c r="AS260" s="480"/>
      <c r="AT260" s="477">
        <f t="shared" ca="1" si="120"/>
        <v>0</v>
      </c>
      <c r="AU260" s="475">
        <f t="shared" ca="1" si="121"/>
        <v>0</v>
      </c>
      <c r="AV260" s="480"/>
      <c r="AW260" s="477">
        <f t="shared" si="122"/>
        <v>0</v>
      </c>
      <c r="AX260" s="480"/>
      <c r="AY260" s="477">
        <f t="shared" si="123"/>
        <v>0</v>
      </c>
      <c r="AZ260" s="480"/>
      <c r="BA260" s="477">
        <f t="shared" si="124"/>
        <v>0</v>
      </c>
      <c r="BB260" s="480"/>
      <c r="BC260" s="850">
        <f t="shared" ca="1" si="125"/>
        <v>0</v>
      </c>
    </row>
    <row r="261" spans="1:55">
      <c r="A261" s="837" t="str">
        <f t="shared" si="97"/>
        <v/>
      </c>
      <c r="B261" s="440"/>
      <c r="C261" s="834" t="str">
        <f t="shared" ca="1" si="98"/>
        <v/>
      </c>
      <c r="D261" s="1757" t="str">
        <f ca="1">IFERROR(VLOOKUP(LEFT(E261,4),Nom_activ_2!D:G,4,0),"")</f>
        <v/>
      </c>
      <c r="E261" s="1757" t="str">
        <f t="shared" ca="1" si="99"/>
        <v/>
      </c>
      <c r="F261" s="1777">
        <f t="shared" ca="1" si="129"/>
        <v>0</v>
      </c>
      <c r="G261" s="839">
        <f t="shared" ca="1" si="129"/>
        <v>0</v>
      </c>
      <c r="H261" s="840">
        <f t="shared" ca="1" si="129"/>
        <v>0</v>
      </c>
      <c r="I261" s="443"/>
      <c r="J261" s="838" t="str">
        <f t="shared" si="100"/>
        <v>!$A:$j</v>
      </c>
      <c r="K261" s="475">
        <f t="shared" ca="1" si="101"/>
        <v>0</v>
      </c>
      <c r="L261" s="480"/>
      <c r="M261" s="477">
        <f t="shared" si="102"/>
        <v>0</v>
      </c>
      <c r="N261" s="480"/>
      <c r="O261" s="477">
        <f t="shared" si="103"/>
        <v>0</v>
      </c>
      <c r="P261" s="480"/>
      <c r="Q261" s="477">
        <f t="shared" si="104"/>
        <v>0</v>
      </c>
      <c r="R261" s="480"/>
      <c r="S261" s="477">
        <f t="shared" ca="1" si="105"/>
        <v>0</v>
      </c>
      <c r="T261" s="475">
        <f t="shared" ca="1" si="106"/>
        <v>0</v>
      </c>
      <c r="U261" s="480"/>
      <c r="V261" s="477">
        <f t="shared" si="107"/>
        <v>0</v>
      </c>
      <c r="W261" s="480"/>
      <c r="X261" s="477">
        <f t="shared" si="108"/>
        <v>0</v>
      </c>
      <c r="Y261" s="480"/>
      <c r="Z261" s="477">
        <f t="shared" si="109"/>
        <v>0</v>
      </c>
      <c r="AA261" s="480"/>
      <c r="AB261" s="477">
        <f t="shared" ca="1" si="110"/>
        <v>0</v>
      </c>
      <c r="AC261" s="475">
        <f t="shared" ca="1" si="111"/>
        <v>0</v>
      </c>
      <c r="AD261" s="480"/>
      <c r="AE261" s="477">
        <f t="shared" si="112"/>
        <v>0</v>
      </c>
      <c r="AF261" s="480"/>
      <c r="AG261" s="477">
        <f t="shared" si="113"/>
        <v>0</v>
      </c>
      <c r="AH261" s="480"/>
      <c r="AI261" s="477">
        <f t="shared" si="114"/>
        <v>0</v>
      </c>
      <c r="AJ261" s="480"/>
      <c r="AK261" s="477">
        <f t="shared" ca="1" si="115"/>
        <v>0</v>
      </c>
      <c r="AL261" s="475">
        <f t="shared" ca="1" si="116"/>
        <v>0</v>
      </c>
      <c r="AM261" s="480"/>
      <c r="AN261" s="477">
        <f t="shared" si="117"/>
        <v>0</v>
      </c>
      <c r="AO261" s="480"/>
      <c r="AP261" s="477">
        <f t="shared" si="118"/>
        <v>0</v>
      </c>
      <c r="AQ261" s="480"/>
      <c r="AR261" s="477">
        <f t="shared" si="119"/>
        <v>0</v>
      </c>
      <c r="AS261" s="480"/>
      <c r="AT261" s="477">
        <f t="shared" ca="1" si="120"/>
        <v>0</v>
      </c>
      <c r="AU261" s="475">
        <f t="shared" ca="1" si="121"/>
        <v>0</v>
      </c>
      <c r="AV261" s="480"/>
      <c r="AW261" s="477">
        <f t="shared" si="122"/>
        <v>0</v>
      </c>
      <c r="AX261" s="480"/>
      <c r="AY261" s="477">
        <f t="shared" si="123"/>
        <v>0</v>
      </c>
      <c r="AZ261" s="480"/>
      <c r="BA261" s="477">
        <f t="shared" si="124"/>
        <v>0</v>
      </c>
      <c r="BB261" s="480"/>
      <c r="BC261" s="850">
        <f t="shared" ca="1" si="125"/>
        <v>0</v>
      </c>
    </row>
    <row r="262" spans="1:55">
      <c r="A262" s="837" t="str">
        <f t="shared" si="97"/>
        <v/>
      </c>
      <c r="B262" s="440"/>
      <c r="C262" s="834" t="str">
        <f t="shared" ca="1" si="98"/>
        <v/>
      </c>
      <c r="D262" s="1757" t="str">
        <f ca="1">IFERROR(VLOOKUP(LEFT(E262,4),Nom_activ_2!D:G,4,0),"")</f>
        <v/>
      </c>
      <c r="E262" s="1757" t="str">
        <f t="shared" ca="1" si="99"/>
        <v/>
      </c>
      <c r="F262" s="1777">
        <f t="shared" ca="1" si="129"/>
        <v>0</v>
      </c>
      <c r="G262" s="839">
        <f t="shared" ca="1" si="129"/>
        <v>0</v>
      </c>
      <c r="H262" s="840">
        <f t="shared" ca="1" si="129"/>
        <v>0</v>
      </c>
      <c r="I262" s="443"/>
      <c r="J262" s="838" t="str">
        <f t="shared" si="100"/>
        <v>!$A:$j</v>
      </c>
      <c r="K262" s="475">
        <f t="shared" ca="1" si="101"/>
        <v>0</v>
      </c>
      <c r="L262" s="480"/>
      <c r="M262" s="477">
        <f t="shared" si="102"/>
        <v>0</v>
      </c>
      <c r="N262" s="480"/>
      <c r="O262" s="477">
        <f t="shared" si="103"/>
        <v>0</v>
      </c>
      <c r="P262" s="480"/>
      <c r="Q262" s="477">
        <f t="shared" si="104"/>
        <v>0</v>
      </c>
      <c r="R262" s="480"/>
      <c r="S262" s="477">
        <f t="shared" ca="1" si="105"/>
        <v>0</v>
      </c>
      <c r="T262" s="475">
        <f t="shared" ca="1" si="106"/>
        <v>0</v>
      </c>
      <c r="U262" s="480"/>
      <c r="V262" s="477">
        <f t="shared" si="107"/>
        <v>0</v>
      </c>
      <c r="W262" s="480"/>
      <c r="X262" s="477">
        <f t="shared" si="108"/>
        <v>0</v>
      </c>
      <c r="Y262" s="480"/>
      <c r="Z262" s="477">
        <f t="shared" si="109"/>
        <v>0</v>
      </c>
      <c r="AA262" s="480"/>
      <c r="AB262" s="477">
        <f t="shared" ca="1" si="110"/>
        <v>0</v>
      </c>
      <c r="AC262" s="475">
        <f t="shared" ca="1" si="111"/>
        <v>0</v>
      </c>
      <c r="AD262" s="480"/>
      <c r="AE262" s="477">
        <f t="shared" si="112"/>
        <v>0</v>
      </c>
      <c r="AF262" s="480"/>
      <c r="AG262" s="477">
        <f t="shared" si="113"/>
        <v>0</v>
      </c>
      <c r="AH262" s="480"/>
      <c r="AI262" s="477">
        <f t="shared" si="114"/>
        <v>0</v>
      </c>
      <c r="AJ262" s="480"/>
      <c r="AK262" s="477">
        <f t="shared" ca="1" si="115"/>
        <v>0</v>
      </c>
      <c r="AL262" s="475">
        <f t="shared" ca="1" si="116"/>
        <v>0</v>
      </c>
      <c r="AM262" s="480"/>
      <c r="AN262" s="477">
        <f t="shared" si="117"/>
        <v>0</v>
      </c>
      <c r="AO262" s="480"/>
      <c r="AP262" s="477">
        <f t="shared" si="118"/>
        <v>0</v>
      </c>
      <c r="AQ262" s="480"/>
      <c r="AR262" s="477">
        <f t="shared" si="119"/>
        <v>0</v>
      </c>
      <c r="AS262" s="480"/>
      <c r="AT262" s="477">
        <f t="shared" ca="1" si="120"/>
        <v>0</v>
      </c>
      <c r="AU262" s="475">
        <f t="shared" ca="1" si="121"/>
        <v>0</v>
      </c>
      <c r="AV262" s="480"/>
      <c r="AW262" s="477">
        <f t="shared" si="122"/>
        <v>0</v>
      </c>
      <c r="AX262" s="480"/>
      <c r="AY262" s="477">
        <f t="shared" si="123"/>
        <v>0</v>
      </c>
      <c r="AZ262" s="480"/>
      <c r="BA262" s="477">
        <f t="shared" si="124"/>
        <v>0</v>
      </c>
      <c r="BB262" s="480"/>
      <c r="BC262" s="850">
        <f t="shared" ca="1" si="125"/>
        <v>0</v>
      </c>
    </row>
    <row r="263" spans="1:55">
      <c r="A263" s="837" t="str">
        <f t="shared" ref="A263:A326" si="130">IF(B263="","",IF(COUNTA(C263:H263)&lt;6,"Completati  toate campurile col C:H",""))</f>
        <v/>
      </c>
      <c r="B263" s="440"/>
      <c r="C263" s="834" t="str">
        <f t="shared" ref="C263:C326" ca="1" si="131">IFERROR(LEFT(D263,2),"")</f>
        <v/>
      </c>
      <c r="D263" s="1757" t="str">
        <f ca="1">IFERROR(VLOOKUP(LEFT(E263,4),Nom_activ_2!D:G,4,0),"")</f>
        <v/>
      </c>
      <c r="E263" s="1757" t="str">
        <f t="shared" ref="E263:E326" ca="1" si="132">IFERROR(VLOOKUP($B263,INDIRECT($J263),E$5,0),"")</f>
        <v/>
      </c>
      <c r="F263" s="1777">
        <f t="shared" ca="1" si="129"/>
        <v>0</v>
      </c>
      <c r="G263" s="839">
        <f t="shared" ca="1" si="129"/>
        <v>0</v>
      </c>
      <c r="H263" s="840">
        <f t="shared" ca="1" si="129"/>
        <v>0</v>
      </c>
      <c r="I263" s="443"/>
      <c r="J263" s="838" t="str">
        <f t="shared" ref="J263:J326" si="133">I263&amp;"!$A:$j"</f>
        <v>!$A:$j</v>
      </c>
      <c r="K263" s="475">
        <f t="shared" ref="K263:K326" ca="1" si="134">IFERROR(VLOOKUP($B263,INDIRECT($J263),K$5,0),0)</f>
        <v>0</v>
      </c>
      <c r="L263" s="480"/>
      <c r="M263" s="477">
        <f t="shared" ref="M263:M326" si="135">IF(L263="",0,K263*L263)</f>
        <v>0</v>
      </c>
      <c r="N263" s="480"/>
      <c r="O263" s="477">
        <f t="shared" ref="O263:O326" si="136">IF(N263="",0,M263*N263)</f>
        <v>0</v>
      </c>
      <c r="P263" s="480"/>
      <c r="Q263" s="477">
        <f t="shared" ref="Q263:Q326" si="137">IF(P263="",0,O263*P263)</f>
        <v>0</v>
      </c>
      <c r="R263" s="480"/>
      <c r="S263" s="477">
        <f t="shared" ref="S263:S326" ca="1" si="138">IFERROR(K263-M263-O263-Q263,0)</f>
        <v>0</v>
      </c>
      <c r="T263" s="475">
        <f t="shared" ref="T263:T326" ca="1" si="139">IFERROR(VLOOKUP($B263,INDIRECT($J263),T$5,0),0)</f>
        <v>0</v>
      </c>
      <c r="U263" s="480"/>
      <c r="V263" s="477">
        <f t="shared" ref="V263:V326" si="140">IF(U263="",0,T263*U263)</f>
        <v>0</v>
      </c>
      <c r="W263" s="480"/>
      <c r="X263" s="477">
        <f t="shared" ref="X263:X326" si="141">IF(W263="",0,V263*W263)</f>
        <v>0</v>
      </c>
      <c r="Y263" s="480"/>
      <c r="Z263" s="477">
        <f t="shared" ref="Z263:Z326" si="142">IF(Y263="",0,X263*Y263)</f>
        <v>0</v>
      </c>
      <c r="AA263" s="480"/>
      <c r="AB263" s="477">
        <f t="shared" ref="AB263:AB326" ca="1" si="143">IFERROR(T263-V263-X263-Z263,0)</f>
        <v>0</v>
      </c>
      <c r="AC263" s="475">
        <f t="shared" ref="AC263:AC326" ca="1" si="144">IFERROR(VLOOKUP($B263,INDIRECT($J263),AC$5,0),0)</f>
        <v>0</v>
      </c>
      <c r="AD263" s="480"/>
      <c r="AE263" s="477">
        <f t="shared" ref="AE263:AE326" si="145">IF(AD263="",0,AC263*AD263)</f>
        <v>0</v>
      </c>
      <c r="AF263" s="480"/>
      <c r="AG263" s="477">
        <f t="shared" ref="AG263:AG326" si="146">IF(AF263="",0,AE263*AF263)</f>
        <v>0</v>
      </c>
      <c r="AH263" s="480"/>
      <c r="AI263" s="477">
        <f t="shared" ref="AI263:AI326" si="147">IF(AH263="",0,AG263*AH263)</f>
        <v>0</v>
      </c>
      <c r="AJ263" s="480"/>
      <c r="AK263" s="477">
        <f t="shared" ref="AK263:AK326" ca="1" si="148">IFERROR(AC263-AE263-AG263-AI263,0)</f>
        <v>0</v>
      </c>
      <c r="AL263" s="475">
        <f t="shared" ref="AL263:AL326" ca="1" si="149">IFERROR(VLOOKUP($B263,INDIRECT($J263),AL$5,0),0)</f>
        <v>0</v>
      </c>
      <c r="AM263" s="480"/>
      <c r="AN263" s="477">
        <f t="shared" ref="AN263:AN326" si="150">IF(AM263="",0,AL263*AM263)</f>
        <v>0</v>
      </c>
      <c r="AO263" s="480"/>
      <c r="AP263" s="477">
        <f t="shared" ref="AP263:AP326" si="151">IF(AO263="",0,AN263*AO263)</f>
        <v>0</v>
      </c>
      <c r="AQ263" s="480"/>
      <c r="AR263" s="477">
        <f t="shared" ref="AR263:AR326" si="152">IF(AQ263="",0,AP263*AQ263)</f>
        <v>0</v>
      </c>
      <c r="AS263" s="480"/>
      <c r="AT263" s="477">
        <f t="shared" ref="AT263:AT326" ca="1" si="153">IFERROR(AL263-AN263-AP263-AR263,0)</f>
        <v>0</v>
      </c>
      <c r="AU263" s="475">
        <f t="shared" ref="AU263:AU326" ca="1" si="154">IFERROR(VLOOKUP($B263,INDIRECT($J263),AU$5,0),0)</f>
        <v>0</v>
      </c>
      <c r="AV263" s="480"/>
      <c r="AW263" s="477">
        <f t="shared" ref="AW263:AW326" si="155">IF(AV263="",0,AU263*AV263)</f>
        <v>0</v>
      </c>
      <c r="AX263" s="480"/>
      <c r="AY263" s="477">
        <f t="shared" ref="AY263:AY326" si="156">IF(AX263="",0,AW263*AX263)</f>
        <v>0</v>
      </c>
      <c r="AZ263" s="480"/>
      <c r="BA263" s="477">
        <f t="shared" ref="BA263:BA326" si="157">IF(AZ263="",0,AY263*AZ263)</f>
        <v>0</v>
      </c>
      <c r="BB263" s="480"/>
      <c r="BC263" s="850">
        <f t="shared" ref="BC263:BC326" ca="1" si="158">K263+T263+AC263+AL263+AU263</f>
        <v>0</v>
      </c>
    </row>
    <row r="264" spans="1:55">
      <c r="A264" s="837" t="str">
        <f t="shared" si="130"/>
        <v/>
      </c>
      <c r="B264" s="440"/>
      <c r="C264" s="834" t="str">
        <f t="shared" ca="1" si="131"/>
        <v/>
      </c>
      <c r="D264" s="1757" t="str">
        <f ca="1">IFERROR(VLOOKUP(LEFT(E264,4),Nom_activ_2!D:G,4,0),"")</f>
        <v/>
      </c>
      <c r="E264" s="1757" t="str">
        <f t="shared" ca="1" si="132"/>
        <v/>
      </c>
      <c r="F264" s="1777">
        <f t="shared" ca="1" si="129"/>
        <v>0</v>
      </c>
      <c r="G264" s="839">
        <f t="shared" ca="1" si="129"/>
        <v>0</v>
      </c>
      <c r="H264" s="840">
        <f t="shared" ca="1" si="129"/>
        <v>0</v>
      </c>
      <c r="I264" s="443"/>
      <c r="J264" s="838" t="str">
        <f t="shared" si="133"/>
        <v>!$A:$j</v>
      </c>
      <c r="K264" s="475">
        <f t="shared" ca="1" si="134"/>
        <v>0</v>
      </c>
      <c r="L264" s="480"/>
      <c r="M264" s="477">
        <f t="shared" si="135"/>
        <v>0</v>
      </c>
      <c r="N264" s="480"/>
      <c r="O264" s="477">
        <f t="shared" si="136"/>
        <v>0</v>
      </c>
      <c r="P264" s="480"/>
      <c r="Q264" s="477">
        <f t="shared" si="137"/>
        <v>0</v>
      </c>
      <c r="R264" s="480"/>
      <c r="S264" s="477">
        <f t="shared" ca="1" si="138"/>
        <v>0</v>
      </c>
      <c r="T264" s="475">
        <f t="shared" ca="1" si="139"/>
        <v>0</v>
      </c>
      <c r="U264" s="480"/>
      <c r="V264" s="477">
        <f t="shared" si="140"/>
        <v>0</v>
      </c>
      <c r="W264" s="480"/>
      <c r="X264" s="477">
        <f t="shared" si="141"/>
        <v>0</v>
      </c>
      <c r="Y264" s="480"/>
      <c r="Z264" s="477">
        <f t="shared" si="142"/>
        <v>0</v>
      </c>
      <c r="AA264" s="480"/>
      <c r="AB264" s="477">
        <f t="shared" ca="1" si="143"/>
        <v>0</v>
      </c>
      <c r="AC264" s="475">
        <f t="shared" ca="1" si="144"/>
        <v>0</v>
      </c>
      <c r="AD264" s="480"/>
      <c r="AE264" s="477">
        <f t="shared" si="145"/>
        <v>0</v>
      </c>
      <c r="AF264" s="480"/>
      <c r="AG264" s="477">
        <f t="shared" si="146"/>
        <v>0</v>
      </c>
      <c r="AH264" s="480"/>
      <c r="AI264" s="477">
        <f t="shared" si="147"/>
        <v>0</v>
      </c>
      <c r="AJ264" s="480"/>
      <c r="AK264" s="477">
        <f t="shared" ca="1" si="148"/>
        <v>0</v>
      </c>
      <c r="AL264" s="475">
        <f t="shared" ca="1" si="149"/>
        <v>0</v>
      </c>
      <c r="AM264" s="480"/>
      <c r="AN264" s="477">
        <f t="shared" si="150"/>
        <v>0</v>
      </c>
      <c r="AO264" s="480"/>
      <c r="AP264" s="477">
        <f t="shared" si="151"/>
        <v>0</v>
      </c>
      <c r="AQ264" s="480"/>
      <c r="AR264" s="477">
        <f t="shared" si="152"/>
        <v>0</v>
      </c>
      <c r="AS264" s="480"/>
      <c r="AT264" s="477">
        <f t="shared" ca="1" si="153"/>
        <v>0</v>
      </c>
      <c r="AU264" s="475">
        <f t="shared" ca="1" si="154"/>
        <v>0</v>
      </c>
      <c r="AV264" s="480"/>
      <c r="AW264" s="477">
        <f t="shared" si="155"/>
        <v>0</v>
      </c>
      <c r="AX264" s="480"/>
      <c r="AY264" s="477">
        <f t="shared" si="156"/>
        <v>0</v>
      </c>
      <c r="AZ264" s="480"/>
      <c r="BA264" s="477">
        <f t="shared" si="157"/>
        <v>0</v>
      </c>
      <c r="BB264" s="480"/>
      <c r="BC264" s="850">
        <f t="shared" ca="1" si="158"/>
        <v>0</v>
      </c>
    </row>
    <row r="265" spans="1:55">
      <c r="A265" s="837" t="str">
        <f t="shared" si="130"/>
        <v/>
      </c>
      <c r="B265" s="440"/>
      <c r="C265" s="834" t="str">
        <f t="shared" ca="1" si="131"/>
        <v/>
      </c>
      <c r="D265" s="1757" t="str">
        <f ca="1">IFERROR(VLOOKUP(LEFT(E265,4),Nom_activ_2!D:G,4,0),"")</f>
        <v/>
      </c>
      <c r="E265" s="1757" t="str">
        <f t="shared" ca="1" si="132"/>
        <v/>
      </c>
      <c r="F265" s="1777">
        <f t="shared" ca="1" si="129"/>
        <v>0</v>
      </c>
      <c r="G265" s="839">
        <f t="shared" ca="1" si="129"/>
        <v>0</v>
      </c>
      <c r="H265" s="840">
        <f t="shared" ca="1" si="129"/>
        <v>0</v>
      </c>
      <c r="I265" s="443"/>
      <c r="J265" s="838" t="str">
        <f t="shared" si="133"/>
        <v>!$A:$j</v>
      </c>
      <c r="K265" s="475">
        <f t="shared" ca="1" si="134"/>
        <v>0</v>
      </c>
      <c r="L265" s="480"/>
      <c r="M265" s="477">
        <f t="shared" si="135"/>
        <v>0</v>
      </c>
      <c r="N265" s="480"/>
      <c r="O265" s="477">
        <f t="shared" si="136"/>
        <v>0</v>
      </c>
      <c r="P265" s="480"/>
      <c r="Q265" s="477">
        <f t="shared" si="137"/>
        <v>0</v>
      </c>
      <c r="R265" s="480"/>
      <c r="S265" s="477">
        <f t="shared" ca="1" si="138"/>
        <v>0</v>
      </c>
      <c r="T265" s="475">
        <f t="shared" ca="1" si="139"/>
        <v>0</v>
      </c>
      <c r="U265" s="480"/>
      <c r="V265" s="477">
        <f t="shared" si="140"/>
        <v>0</v>
      </c>
      <c r="W265" s="480"/>
      <c r="X265" s="477">
        <f t="shared" si="141"/>
        <v>0</v>
      </c>
      <c r="Y265" s="480"/>
      <c r="Z265" s="477">
        <f t="shared" si="142"/>
        <v>0</v>
      </c>
      <c r="AA265" s="480"/>
      <c r="AB265" s="477">
        <f t="shared" ca="1" si="143"/>
        <v>0</v>
      </c>
      <c r="AC265" s="475">
        <f t="shared" ca="1" si="144"/>
        <v>0</v>
      </c>
      <c r="AD265" s="480"/>
      <c r="AE265" s="477">
        <f t="shared" si="145"/>
        <v>0</v>
      </c>
      <c r="AF265" s="480"/>
      <c r="AG265" s="477">
        <f t="shared" si="146"/>
        <v>0</v>
      </c>
      <c r="AH265" s="480"/>
      <c r="AI265" s="477">
        <f t="shared" si="147"/>
        <v>0</v>
      </c>
      <c r="AJ265" s="480"/>
      <c r="AK265" s="477">
        <f t="shared" ca="1" si="148"/>
        <v>0</v>
      </c>
      <c r="AL265" s="475">
        <f t="shared" ca="1" si="149"/>
        <v>0</v>
      </c>
      <c r="AM265" s="480"/>
      <c r="AN265" s="477">
        <f t="shared" si="150"/>
        <v>0</v>
      </c>
      <c r="AO265" s="480"/>
      <c r="AP265" s="477">
        <f t="shared" si="151"/>
        <v>0</v>
      </c>
      <c r="AQ265" s="480"/>
      <c r="AR265" s="477">
        <f t="shared" si="152"/>
        <v>0</v>
      </c>
      <c r="AS265" s="480"/>
      <c r="AT265" s="477">
        <f t="shared" ca="1" si="153"/>
        <v>0</v>
      </c>
      <c r="AU265" s="475">
        <f t="shared" ca="1" si="154"/>
        <v>0</v>
      </c>
      <c r="AV265" s="480"/>
      <c r="AW265" s="477">
        <f t="shared" si="155"/>
        <v>0</v>
      </c>
      <c r="AX265" s="480"/>
      <c r="AY265" s="477">
        <f t="shared" si="156"/>
        <v>0</v>
      </c>
      <c r="AZ265" s="480"/>
      <c r="BA265" s="477">
        <f t="shared" si="157"/>
        <v>0</v>
      </c>
      <c r="BB265" s="480"/>
      <c r="BC265" s="850">
        <f t="shared" ca="1" si="158"/>
        <v>0</v>
      </c>
    </row>
    <row r="266" spans="1:55">
      <c r="A266" s="837" t="str">
        <f t="shared" si="130"/>
        <v/>
      </c>
      <c r="B266" s="440"/>
      <c r="C266" s="834" t="str">
        <f t="shared" ca="1" si="131"/>
        <v/>
      </c>
      <c r="D266" s="1757" t="str">
        <f ca="1">IFERROR(VLOOKUP(LEFT(E266,4),Nom_activ_2!D:G,4,0),"")</f>
        <v/>
      </c>
      <c r="E266" s="1757" t="str">
        <f t="shared" ca="1" si="132"/>
        <v/>
      </c>
      <c r="F266" s="1777">
        <f t="shared" ca="1" si="129"/>
        <v>0</v>
      </c>
      <c r="G266" s="839">
        <f t="shared" ca="1" si="129"/>
        <v>0</v>
      </c>
      <c r="H266" s="840">
        <f t="shared" ca="1" si="129"/>
        <v>0</v>
      </c>
      <c r="I266" s="443"/>
      <c r="J266" s="838" t="str">
        <f t="shared" si="133"/>
        <v>!$A:$j</v>
      </c>
      <c r="K266" s="475">
        <f t="shared" ca="1" si="134"/>
        <v>0</v>
      </c>
      <c r="L266" s="480"/>
      <c r="M266" s="477">
        <f t="shared" si="135"/>
        <v>0</v>
      </c>
      <c r="N266" s="480"/>
      <c r="O266" s="477">
        <f t="shared" si="136"/>
        <v>0</v>
      </c>
      <c r="P266" s="480"/>
      <c r="Q266" s="477">
        <f t="shared" si="137"/>
        <v>0</v>
      </c>
      <c r="R266" s="480"/>
      <c r="S266" s="477">
        <f t="shared" ca="1" si="138"/>
        <v>0</v>
      </c>
      <c r="T266" s="475">
        <f t="shared" ca="1" si="139"/>
        <v>0</v>
      </c>
      <c r="U266" s="480"/>
      <c r="V266" s="477">
        <f t="shared" si="140"/>
        <v>0</v>
      </c>
      <c r="W266" s="480"/>
      <c r="X266" s="477">
        <f t="shared" si="141"/>
        <v>0</v>
      </c>
      <c r="Y266" s="480"/>
      <c r="Z266" s="477">
        <f t="shared" si="142"/>
        <v>0</v>
      </c>
      <c r="AA266" s="480"/>
      <c r="AB266" s="477">
        <f t="shared" ca="1" si="143"/>
        <v>0</v>
      </c>
      <c r="AC266" s="475">
        <f t="shared" ca="1" si="144"/>
        <v>0</v>
      </c>
      <c r="AD266" s="480"/>
      <c r="AE266" s="477">
        <f t="shared" si="145"/>
        <v>0</v>
      </c>
      <c r="AF266" s="480"/>
      <c r="AG266" s="477">
        <f t="shared" si="146"/>
        <v>0</v>
      </c>
      <c r="AH266" s="480"/>
      <c r="AI266" s="477">
        <f t="shared" si="147"/>
        <v>0</v>
      </c>
      <c r="AJ266" s="480"/>
      <c r="AK266" s="477">
        <f t="shared" ca="1" si="148"/>
        <v>0</v>
      </c>
      <c r="AL266" s="475">
        <f t="shared" ca="1" si="149"/>
        <v>0</v>
      </c>
      <c r="AM266" s="480"/>
      <c r="AN266" s="477">
        <f t="shared" si="150"/>
        <v>0</v>
      </c>
      <c r="AO266" s="480"/>
      <c r="AP266" s="477">
        <f t="shared" si="151"/>
        <v>0</v>
      </c>
      <c r="AQ266" s="480"/>
      <c r="AR266" s="477">
        <f t="shared" si="152"/>
        <v>0</v>
      </c>
      <c r="AS266" s="480"/>
      <c r="AT266" s="477">
        <f t="shared" ca="1" si="153"/>
        <v>0</v>
      </c>
      <c r="AU266" s="475">
        <f t="shared" ca="1" si="154"/>
        <v>0</v>
      </c>
      <c r="AV266" s="480"/>
      <c r="AW266" s="477">
        <f t="shared" si="155"/>
        <v>0</v>
      </c>
      <c r="AX266" s="480"/>
      <c r="AY266" s="477">
        <f t="shared" si="156"/>
        <v>0</v>
      </c>
      <c r="AZ266" s="480"/>
      <c r="BA266" s="477">
        <f t="shared" si="157"/>
        <v>0</v>
      </c>
      <c r="BB266" s="480"/>
      <c r="BC266" s="850">
        <f t="shared" ca="1" si="158"/>
        <v>0</v>
      </c>
    </row>
    <row r="267" spans="1:55">
      <c r="A267" s="837" t="str">
        <f t="shared" si="130"/>
        <v/>
      </c>
      <c r="B267" s="440"/>
      <c r="C267" s="834" t="str">
        <f t="shared" ca="1" si="131"/>
        <v/>
      </c>
      <c r="D267" s="1757" t="str">
        <f ca="1">IFERROR(VLOOKUP(LEFT(E267,4),Nom_activ_2!D:G,4,0),"")</f>
        <v/>
      </c>
      <c r="E267" s="1757" t="str">
        <f t="shared" ca="1" si="132"/>
        <v/>
      </c>
      <c r="F267" s="1777">
        <f t="shared" ref="F267:H286" ca="1" si="159">IFERROR(VLOOKUP($B267,INDIRECT($J267),F$5,0),0)</f>
        <v>0</v>
      </c>
      <c r="G267" s="839">
        <f t="shared" ca="1" si="159"/>
        <v>0</v>
      </c>
      <c r="H267" s="840">
        <f t="shared" ca="1" si="159"/>
        <v>0</v>
      </c>
      <c r="I267" s="443"/>
      <c r="J267" s="838" t="str">
        <f t="shared" si="133"/>
        <v>!$A:$j</v>
      </c>
      <c r="K267" s="475">
        <f t="shared" ca="1" si="134"/>
        <v>0</v>
      </c>
      <c r="L267" s="480"/>
      <c r="M267" s="477">
        <f t="shared" si="135"/>
        <v>0</v>
      </c>
      <c r="N267" s="480"/>
      <c r="O267" s="477">
        <f t="shared" si="136"/>
        <v>0</v>
      </c>
      <c r="P267" s="480"/>
      <c r="Q267" s="477">
        <f t="shared" si="137"/>
        <v>0</v>
      </c>
      <c r="R267" s="480"/>
      <c r="S267" s="477">
        <f t="shared" ca="1" si="138"/>
        <v>0</v>
      </c>
      <c r="T267" s="475">
        <f t="shared" ca="1" si="139"/>
        <v>0</v>
      </c>
      <c r="U267" s="480"/>
      <c r="V267" s="477">
        <f t="shared" si="140"/>
        <v>0</v>
      </c>
      <c r="W267" s="480"/>
      <c r="X267" s="477">
        <f t="shared" si="141"/>
        <v>0</v>
      </c>
      <c r="Y267" s="480"/>
      <c r="Z267" s="477">
        <f t="shared" si="142"/>
        <v>0</v>
      </c>
      <c r="AA267" s="480"/>
      <c r="AB267" s="477">
        <f t="shared" ca="1" si="143"/>
        <v>0</v>
      </c>
      <c r="AC267" s="475">
        <f t="shared" ca="1" si="144"/>
        <v>0</v>
      </c>
      <c r="AD267" s="480"/>
      <c r="AE267" s="477">
        <f t="shared" si="145"/>
        <v>0</v>
      </c>
      <c r="AF267" s="480"/>
      <c r="AG267" s="477">
        <f t="shared" si="146"/>
        <v>0</v>
      </c>
      <c r="AH267" s="480"/>
      <c r="AI267" s="477">
        <f t="shared" si="147"/>
        <v>0</v>
      </c>
      <c r="AJ267" s="480"/>
      <c r="AK267" s="477">
        <f t="shared" ca="1" si="148"/>
        <v>0</v>
      </c>
      <c r="AL267" s="475">
        <f t="shared" ca="1" si="149"/>
        <v>0</v>
      </c>
      <c r="AM267" s="480"/>
      <c r="AN267" s="477">
        <f t="shared" si="150"/>
        <v>0</v>
      </c>
      <c r="AO267" s="480"/>
      <c r="AP267" s="477">
        <f t="shared" si="151"/>
        <v>0</v>
      </c>
      <c r="AQ267" s="480"/>
      <c r="AR267" s="477">
        <f t="shared" si="152"/>
        <v>0</v>
      </c>
      <c r="AS267" s="480"/>
      <c r="AT267" s="477">
        <f t="shared" ca="1" si="153"/>
        <v>0</v>
      </c>
      <c r="AU267" s="475">
        <f t="shared" ca="1" si="154"/>
        <v>0</v>
      </c>
      <c r="AV267" s="480"/>
      <c r="AW267" s="477">
        <f t="shared" si="155"/>
        <v>0</v>
      </c>
      <c r="AX267" s="480"/>
      <c r="AY267" s="477">
        <f t="shared" si="156"/>
        <v>0</v>
      </c>
      <c r="AZ267" s="480"/>
      <c r="BA267" s="477">
        <f t="shared" si="157"/>
        <v>0</v>
      </c>
      <c r="BB267" s="480"/>
      <c r="BC267" s="850">
        <f t="shared" ca="1" si="158"/>
        <v>0</v>
      </c>
    </row>
    <row r="268" spans="1:55">
      <c r="A268" s="837" t="str">
        <f t="shared" si="130"/>
        <v/>
      </c>
      <c r="B268" s="440"/>
      <c r="C268" s="834" t="str">
        <f t="shared" ca="1" si="131"/>
        <v/>
      </c>
      <c r="D268" s="1757" t="str">
        <f ca="1">IFERROR(VLOOKUP(LEFT(E268,4),Nom_activ_2!D:G,4,0),"")</f>
        <v/>
      </c>
      <c r="E268" s="1757" t="str">
        <f t="shared" ca="1" si="132"/>
        <v/>
      </c>
      <c r="F268" s="1777">
        <f t="shared" ca="1" si="159"/>
        <v>0</v>
      </c>
      <c r="G268" s="839">
        <f t="shared" ca="1" si="159"/>
        <v>0</v>
      </c>
      <c r="H268" s="840">
        <f t="shared" ca="1" si="159"/>
        <v>0</v>
      </c>
      <c r="I268" s="443"/>
      <c r="J268" s="838" t="str">
        <f t="shared" si="133"/>
        <v>!$A:$j</v>
      </c>
      <c r="K268" s="475">
        <f t="shared" ca="1" si="134"/>
        <v>0</v>
      </c>
      <c r="L268" s="480"/>
      <c r="M268" s="477">
        <f t="shared" si="135"/>
        <v>0</v>
      </c>
      <c r="N268" s="480"/>
      <c r="O268" s="477">
        <f t="shared" si="136"/>
        <v>0</v>
      </c>
      <c r="P268" s="480"/>
      <c r="Q268" s="477">
        <f t="shared" si="137"/>
        <v>0</v>
      </c>
      <c r="R268" s="480"/>
      <c r="S268" s="477">
        <f t="shared" ca="1" si="138"/>
        <v>0</v>
      </c>
      <c r="T268" s="475">
        <f t="shared" ca="1" si="139"/>
        <v>0</v>
      </c>
      <c r="U268" s="480"/>
      <c r="V268" s="477">
        <f t="shared" si="140"/>
        <v>0</v>
      </c>
      <c r="W268" s="480"/>
      <c r="X268" s="477">
        <f t="shared" si="141"/>
        <v>0</v>
      </c>
      <c r="Y268" s="480"/>
      <c r="Z268" s="477">
        <f t="shared" si="142"/>
        <v>0</v>
      </c>
      <c r="AA268" s="480"/>
      <c r="AB268" s="477">
        <f t="shared" ca="1" si="143"/>
        <v>0</v>
      </c>
      <c r="AC268" s="475">
        <f t="shared" ca="1" si="144"/>
        <v>0</v>
      </c>
      <c r="AD268" s="480"/>
      <c r="AE268" s="477">
        <f t="shared" si="145"/>
        <v>0</v>
      </c>
      <c r="AF268" s="480"/>
      <c r="AG268" s="477">
        <f t="shared" si="146"/>
        <v>0</v>
      </c>
      <c r="AH268" s="480"/>
      <c r="AI268" s="477">
        <f t="shared" si="147"/>
        <v>0</v>
      </c>
      <c r="AJ268" s="480"/>
      <c r="AK268" s="477">
        <f t="shared" ca="1" si="148"/>
        <v>0</v>
      </c>
      <c r="AL268" s="475">
        <f t="shared" ca="1" si="149"/>
        <v>0</v>
      </c>
      <c r="AM268" s="480"/>
      <c r="AN268" s="477">
        <f t="shared" si="150"/>
        <v>0</v>
      </c>
      <c r="AO268" s="480"/>
      <c r="AP268" s="477">
        <f t="shared" si="151"/>
        <v>0</v>
      </c>
      <c r="AQ268" s="480"/>
      <c r="AR268" s="477">
        <f t="shared" si="152"/>
        <v>0</v>
      </c>
      <c r="AS268" s="480"/>
      <c r="AT268" s="477">
        <f t="shared" ca="1" si="153"/>
        <v>0</v>
      </c>
      <c r="AU268" s="475">
        <f t="shared" ca="1" si="154"/>
        <v>0</v>
      </c>
      <c r="AV268" s="480"/>
      <c r="AW268" s="477">
        <f t="shared" si="155"/>
        <v>0</v>
      </c>
      <c r="AX268" s="480"/>
      <c r="AY268" s="477">
        <f t="shared" si="156"/>
        <v>0</v>
      </c>
      <c r="AZ268" s="480"/>
      <c r="BA268" s="477">
        <f t="shared" si="157"/>
        <v>0</v>
      </c>
      <c r="BB268" s="480"/>
      <c r="BC268" s="850">
        <f t="shared" ca="1" si="158"/>
        <v>0</v>
      </c>
    </row>
    <row r="269" spans="1:55">
      <c r="A269" s="837" t="str">
        <f t="shared" si="130"/>
        <v/>
      </c>
      <c r="B269" s="440"/>
      <c r="C269" s="834" t="str">
        <f t="shared" ca="1" si="131"/>
        <v/>
      </c>
      <c r="D269" s="1757" t="str">
        <f ca="1">IFERROR(VLOOKUP(LEFT(E269,4),Nom_activ_2!D:G,4,0),"")</f>
        <v/>
      </c>
      <c r="E269" s="1757" t="str">
        <f t="shared" ca="1" si="132"/>
        <v/>
      </c>
      <c r="F269" s="1777">
        <f t="shared" ca="1" si="159"/>
        <v>0</v>
      </c>
      <c r="G269" s="839">
        <f t="shared" ca="1" si="159"/>
        <v>0</v>
      </c>
      <c r="H269" s="840">
        <f t="shared" ca="1" si="159"/>
        <v>0</v>
      </c>
      <c r="I269" s="443"/>
      <c r="J269" s="838" t="str">
        <f t="shared" si="133"/>
        <v>!$A:$j</v>
      </c>
      <c r="K269" s="475">
        <f t="shared" ca="1" si="134"/>
        <v>0</v>
      </c>
      <c r="L269" s="480"/>
      <c r="M269" s="477">
        <f t="shared" si="135"/>
        <v>0</v>
      </c>
      <c r="N269" s="480"/>
      <c r="O269" s="477">
        <f t="shared" si="136"/>
        <v>0</v>
      </c>
      <c r="P269" s="480"/>
      <c r="Q269" s="477">
        <f t="shared" si="137"/>
        <v>0</v>
      </c>
      <c r="R269" s="480"/>
      <c r="S269" s="477">
        <f t="shared" ca="1" si="138"/>
        <v>0</v>
      </c>
      <c r="T269" s="475">
        <f t="shared" ca="1" si="139"/>
        <v>0</v>
      </c>
      <c r="U269" s="480"/>
      <c r="V269" s="477">
        <f t="shared" si="140"/>
        <v>0</v>
      </c>
      <c r="W269" s="480"/>
      <c r="X269" s="477">
        <f t="shared" si="141"/>
        <v>0</v>
      </c>
      <c r="Y269" s="480"/>
      <c r="Z269" s="477">
        <f t="shared" si="142"/>
        <v>0</v>
      </c>
      <c r="AA269" s="480"/>
      <c r="AB269" s="477">
        <f t="shared" ca="1" si="143"/>
        <v>0</v>
      </c>
      <c r="AC269" s="475">
        <f t="shared" ca="1" si="144"/>
        <v>0</v>
      </c>
      <c r="AD269" s="480"/>
      <c r="AE269" s="477">
        <f t="shared" si="145"/>
        <v>0</v>
      </c>
      <c r="AF269" s="480"/>
      <c r="AG269" s="477">
        <f t="shared" si="146"/>
        <v>0</v>
      </c>
      <c r="AH269" s="480"/>
      <c r="AI269" s="477">
        <f t="shared" si="147"/>
        <v>0</v>
      </c>
      <c r="AJ269" s="480"/>
      <c r="AK269" s="477">
        <f t="shared" ca="1" si="148"/>
        <v>0</v>
      </c>
      <c r="AL269" s="475">
        <f t="shared" ca="1" si="149"/>
        <v>0</v>
      </c>
      <c r="AM269" s="480"/>
      <c r="AN269" s="477">
        <f t="shared" si="150"/>
        <v>0</v>
      </c>
      <c r="AO269" s="480"/>
      <c r="AP269" s="477">
        <f t="shared" si="151"/>
        <v>0</v>
      </c>
      <c r="AQ269" s="480"/>
      <c r="AR269" s="477">
        <f t="shared" si="152"/>
        <v>0</v>
      </c>
      <c r="AS269" s="480"/>
      <c r="AT269" s="477">
        <f t="shared" ca="1" si="153"/>
        <v>0</v>
      </c>
      <c r="AU269" s="475">
        <f t="shared" ca="1" si="154"/>
        <v>0</v>
      </c>
      <c r="AV269" s="480"/>
      <c r="AW269" s="477">
        <f t="shared" si="155"/>
        <v>0</v>
      </c>
      <c r="AX269" s="480"/>
      <c r="AY269" s="477">
        <f t="shared" si="156"/>
        <v>0</v>
      </c>
      <c r="AZ269" s="480"/>
      <c r="BA269" s="477">
        <f t="shared" si="157"/>
        <v>0</v>
      </c>
      <c r="BB269" s="480"/>
      <c r="BC269" s="850">
        <f t="shared" ca="1" si="158"/>
        <v>0</v>
      </c>
    </row>
    <row r="270" spans="1:55">
      <c r="A270" s="837" t="str">
        <f t="shared" si="130"/>
        <v/>
      </c>
      <c r="B270" s="440"/>
      <c r="C270" s="834" t="str">
        <f t="shared" ca="1" si="131"/>
        <v/>
      </c>
      <c r="D270" s="1757" t="str">
        <f ca="1">IFERROR(VLOOKUP(LEFT(E270,4),Nom_activ_2!D:G,4,0),"")</f>
        <v/>
      </c>
      <c r="E270" s="1757" t="str">
        <f t="shared" ca="1" si="132"/>
        <v/>
      </c>
      <c r="F270" s="1777">
        <f t="shared" ca="1" si="159"/>
        <v>0</v>
      </c>
      <c r="G270" s="839">
        <f t="shared" ca="1" si="159"/>
        <v>0</v>
      </c>
      <c r="H270" s="840">
        <f t="shared" ca="1" si="159"/>
        <v>0</v>
      </c>
      <c r="I270" s="443"/>
      <c r="J270" s="838" t="str">
        <f t="shared" si="133"/>
        <v>!$A:$j</v>
      </c>
      <c r="K270" s="475">
        <f t="shared" ca="1" si="134"/>
        <v>0</v>
      </c>
      <c r="L270" s="480"/>
      <c r="M270" s="477">
        <f t="shared" si="135"/>
        <v>0</v>
      </c>
      <c r="N270" s="480"/>
      <c r="O270" s="477">
        <f t="shared" si="136"/>
        <v>0</v>
      </c>
      <c r="P270" s="480"/>
      <c r="Q270" s="477">
        <f t="shared" si="137"/>
        <v>0</v>
      </c>
      <c r="R270" s="480"/>
      <c r="S270" s="477">
        <f t="shared" ca="1" si="138"/>
        <v>0</v>
      </c>
      <c r="T270" s="475">
        <f t="shared" ca="1" si="139"/>
        <v>0</v>
      </c>
      <c r="U270" s="480"/>
      <c r="V270" s="477">
        <f t="shared" si="140"/>
        <v>0</v>
      </c>
      <c r="W270" s="480"/>
      <c r="X270" s="477">
        <f t="shared" si="141"/>
        <v>0</v>
      </c>
      <c r="Y270" s="480"/>
      <c r="Z270" s="477">
        <f t="shared" si="142"/>
        <v>0</v>
      </c>
      <c r="AA270" s="480"/>
      <c r="AB270" s="477">
        <f t="shared" ca="1" si="143"/>
        <v>0</v>
      </c>
      <c r="AC270" s="475">
        <f t="shared" ca="1" si="144"/>
        <v>0</v>
      </c>
      <c r="AD270" s="480"/>
      <c r="AE270" s="477">
        <f t="shared" si="145"/>
        <v>0</v>
      </c>
      <c r="AF270" s="480"/>
      <c r="AG270" s="477">
        <f t="shared" si="146"/>
        <v>0</v>
      </c>
      <c r="AH270" s="480"/>
      <c r="AI270" s="477">
        <f t="shared" si="147"/>
        <v>0</v>
      </c>
      <c r="AJ270" s="480"/>
      <c r="AK270" s="477">
        <f t="shared" ca="1" si="148"/>
        <v>0</v>
      </c>
      <c r="AL270" s="475">
        <f t="shared" ca="1" si="149"/>
        <v>0</v>
      </c>
      <c r="AM270" s="480"/>
      <c r="AN270" s="477">
        <f t="shared" si="150"/>
        <v>0</v>
      </c>
      <c r="AO270" s="480"/>
      <c r="AP270" s="477">
        <f t="shared" si="151"/>
        <v>0</v>
      </c>
      <c r="AQ270" s="480"/>
      <c r="AR270" s="477">
        <f t="shared" si="152"/>
        <v>0</v>
      </c>
      <c r="AS270" s="480"/>
      <c r="AT270" s="477">
        <f t="shared" ca="1" si="153"/>
        <v>0</v>
      </c>
      <c r="AU270" s="475">
        <f t="shared" ca="1" si="154"/>
        <v>0</v>
      </c>
      <c r="AV270" s="480"/>
      <c r="AW270" s="477">
        <f t="shared" si="155"/>
        <v>0</v>
      </c>
      <c r="AX270" s="480"/>
      <c r="AY270" s="477">
        <f t="shared" si="156"/>
        <v>0</v>
      </c>
      <c r="AZ270" s="480"/>
      <c r="BA270" s="477">
        <f t="shared" si="157"/>
        <v>0</v>
      </c>
      <c r="BB270" s="480"/>
      <c r="BC270" s="850">
        <f t="shared" ca="1" si="158"/>
        <v>0</v>
      </c>
    </row>
    <row r="271" spans="1:55">
      <c r="A271" s="837" t="str">
        <f t="shared" si="130"/>
        <v/>
      </c>
      <c r="B271" s="440"/>
      <c r="C271" s="834" t="str">
        <f t="shared" ca="1" si="131"/>
        <v/>
      </c>
      <c r="D271" s="1757" t="str">
        <f ca="1">IFERROR(VLOOKUP(LEFT(E271,4),Nom_activ_2!D:G,4,0),"")</f>
        <v/>
      </c>
      <c r="E271" s="1757" t="str">
        <f t="shared" ca="1" si="132"/>
        <v/>
      </c>
      <c r="F271" s="1777">
        <f t="shared" ca="1" si="159"/>
        <v>0</v>
      </c>
      <c r="G271" s="839">
        <f t="shared" ca="1" si="159"/>
        <v>0</v>
      </c>
      <c r="H271" s="840">
        <f t="shared" ca="1" si="159"/>
        <v>0</v>
      </c>
      <c r="I271" s="443"/>
      <c r="J271" s="838" t="str">
        <f t="shared" si="133"/>
        <v>!$A:$j</v>
      </c>
      <c r="K271" s="475">
        <f t="shared" ca="1" si="134"/>
        <v>0</v>
      </c>
      <c r="L271" s="480"/>
      <c r="M271" s="477">
        <f t="shared" si="135"/>
        <v>0</v>
      </c>
      <c r="N271" s="480"/>
      <c r="O271" s="477">
        <f t="shared" si="136"/>
        <v>0</v>
      </c>
      <c r="P271" s="480"/>
      <c r="Q271" s="477">
        <f t="shared" si="137"/>
        <v>0</v>
      </c>
      <c r="R271" s="480"/>
      <c r="S271" s="477">
        <f t="shared" ca="1" si="138"/>
        <v>0</v>
      </c>
      <c r="T271" s="475">
        <f t="shared" ca="1" si="139"/>
        <v>0</v>
      </c>
      <c r="U271" s="480"/>
      <c r="V271" s="477">
        <f t="shared" si="140"/>
        <v>0</v>
      </c>
      <c r="W271" s="480"/>
      <c r="X271" s="477">
        <f t="shared" si="141"/>
        <v>0</v>
      </c>
      <c r="Y271" s="480"/>
      <c r="Z271" s="477">
        <f t="shared" si="142"/>
        <v>0</v>
      </c>
      <c r="AA271" s="480"/>
      <c r="AB271" s="477">
        <f t="shared" ca="1" si="143"/>
        <v>0</v>
      </c>
      <c r="AC271" s="475">
        <f t="shared" ca="1" si="144"/>
        <v>0</v>
      </c>
      <c r="AD271" s="480"/>
      <c r="AE271" s="477">
        <f t="shared" si="145"/>
        <v>0</v>
      </c>
      <c r="AF271" s="480"/>
      <c r="AG271" s="477">
        <f t="shared" si="146"/>
        <v>0</v>
      </c>
      <c r="AH271" s="480"/>
      <c r="AI271" s="477">
        <f t="shared" si="147"/>
        <v>0</v>
      </c>
      <c r="AJ271" s="480"/>
      <c r="AK271" s="477">
        <f t="shared" ca="1" si="148"/>
        <v>0</v>
      </c>
      <c r="AL271" s="475">
        <f t="shared" ca="1" si="149"/>
        <v>0</v>
      </c>
      <c r="AM271" s="480"/>
      <c r="AN271" s="477">
        <f t="shared" si="150"/>
        <v>0</v>
      </c>
      <c r="AO271" s="480"/>
      <c r="AP271" s="477">
        <f t="shared" si="151"/>
        <v>0</v>
      </c>
      <c r="AQ271" s="480"/>
      <c r="AR271" s="477">
        <f t="shared" si="152"/>
        <v>0</v>
      </c>
      <c r="AS271" s="480"/>
      <c r="AT271" s="477">
        <f t="shared" ca="1" si="153"/>
        <v>0</v>
      </c>
      <c r="AU271" s="475">
        <f t="shared" ca="1" si="154"/>
        <v>0</v>
      </c>
      <c r="AV271" s="480"/>
      <c r="AW271" s="477">
        <f t="shared" si="155"/>
        <v>0</v>
      </c>
      <c r="AX271" s="480"/>
      <c r="AY271" s="477">
        <f t="shared" si="156"/>
        <v>0</v>
      </c>
      <c r="AZ271" s="480"/>
      <c r="BA271" s="477">
        <f t="shared" si="157"/>
        <v>0</v>
      </c>
      <c r="BB271" s="480"/>
      <c r="BC271" s="850">
        <f t="shared" ca="1" si="158"/>
        <v>0</v>
      </c>
    </row>
    <row r="272" spans="1:55">
      <c r="A272" s="837" t="str">
        <f t="shared" si="130"/>
        <v/>
      </c>
      <c r="B272" s="440"/>
      <c r="C272" s="834" t="str">
        <f t="shared" ca="1" si="131"/>
        <v/>
      </c>
      <c r="D272" s="1757" t="str">
        <f ca="1">IFERROR(VLOOKUP(LEFT(E272,4),Nom_activ_2!D:G,4,0),"")</f>
        <v/>
      </c>
      <c r="E272" s="1757" t="str">
        <f t="shared" ca="1" si="132"/>
        <v/>
      </c>
      <c r="F272" s="1777">
        <f t="shared" ca="1" si="159"/>
        <v>0</v>
      </c>
      <c r="G272" s="839">
        <f t="shared" ca="1" si="159"/>
        <v>0</v>
      </c>
      <c r="H272" s="840">
        <f t="shared" ca="1" si="159"/>
        <v>0</v>
      </c>
      <c r="I272" s="443"/>
      <c r="J272" s="838" t="str">
        <f t="shared" si="133"/>
        <v>!$A:$j</v>
      </c>
      <c r="K272" s="475">
        <f t="shared" ca="1" si="134"/>
        <v>0</v>
      </c>
      <c r="L272" s="480"/>
      <c r="M272" s="477">
        <f t="shared" si="135"/>
        <v>0</v>
      </c>
      <c r="N272" s="480"/>
      <c r="O272" s="477">
        <f t="shared" si="136"/>
        <v>0</v>
      </c>
      <c r="P272" s="480"/>
      <c r="Q272" s="477">
        <f t="shared" si="137"/>
        <v>0</v>
      </c>
      <c r="R272" s="480"/>
      <c r="S272" s="477">
        <f t="shared" ca="1" si="138"/>
        <v>0</v>
      </c>
      <c r="T272" s="475">
        <f t="shared" ca="1" si="139"/>
        <v>0</v>
      </c>
      <c r="U272" s="480"/>
      <c r="V272" s="477">
        <f t="shared" si="140"/>
        <v>0</v>
      </c>
      <c r="W272" s="480"/>
      <c r="X272" s="477">
        <f t="shared" si="141"/>
        <v>0</v>
      </c>
      <c r="Y272" s="480"/>
      <c r="Z272" s="477">
        <f t="shared" si="142"/>
        <v>0</v>
      </c>
      <c r="AA272" s="480"/>
      <c r="AB272" s="477">
        <f t="shared" ca="1" si="143"/>
        <v>0</v>
      </c>
      <c r="AC272" s="475">
        <f t="shared" ca="1" si="144"/>
        <v>0</v>
      </c>
      <c r="AD272" s="480"/>
      <c r="AE272" s="477">
        <f t="shared" si="145"/>
        <v>0</v>
      </c>
      <c r="AF272" s="480"/>
      <c r="AG272" s="477">
        <f t="shared" si="146"/>
        <v>0</v>
      </c>
      <c r="AH272" s="480"/>
      <c r="AI272" s="477">
        <f t="shared" si="147"/>
        <v>0</v>
      </c>
      <c r="AJ272" s="480"/>
      <c r="AK272" s="477">
        <f t="shared" ca="1" si="148"/>
        <v>0</v>
      </c>
      <c r="AL272" s="475">
        <f t="shared" ca="1" si="149"/>
        <v>0</v>
      </c>
      <c r="AM272" s="480"/>
      <c r="AN272" s="477">
        <f t="shared" si="150"/>
        <v>0</v>
      </c>
      <c r="AO272" s="480"/>
      <c r="AP272" s="477">
        <f t="shared" si="151"/>
        <v>0</v>
      </c>
      <c r="AQ272" s="480"/>
      <c r="AR272" s="477">
        <f t="shared" si="152"/>
        <v>0</v>
      </c>
      <c r="AS272" s="480"/>
      <c r="AT272" s="477">
        <f t="shared" ca="1" si="153"/>
        <v>0</v>
      </c>
      <c r="AU272" s="475">
        <f t="shared" ca="1" si="154"/>
        <v>0</v>
      </c>
      <c r="AV272" s="480"/>
      <c r="AW272" s="477">
        <f t="shared" si="155"/>
        <v>0</v>
      </c>
      <c r="AX272" s="480"/>
      <c r="AY272" s="477">
        <f t="shared" si="156"/>
        <v>0</v>
      </c>
      <c r="AZ272" s="480"/>
      <c r="BA272" s="477">
        <f t="shared" si="157"/>
        <v>0</v>
      </c>
      <c r="BB272" s="480"/>
      <c r="BC272" s="850">
        <f t="shared" ca="1" si="158"/>
        <v>0</v>
      </c>
    </row>
    <row r="273" spans="1:55">
      <c r="A273" s="837" t="str">
        <f t="shared" si="130"/>
        <v/>
      </c>
      <c r="B273" s="440"/>
      <c r="C273" s="834" t="str">
        <f t="shared" ca="1" si="131"/>
        <v/>
      </c>
      <c r="D273" s="1757" t="str">
        <f ca="1">IFERROR(VLOOKUP(LEFT(E273,4),Nom_activ_2!D:G,4,0),"")</f>
        <v/>
      </c>
      <c r="E273" s="1757" t="str">
        <f t="shared" ca="1" si="132"/>
        <v/>
      </c>
      <c r="F273" s="1777">
        <f t="shared" ca="1" si="159"/>
        <v>0</v>
      </c>
      <c r="G273" s="839">
        <f t="shared" ca="1" si="159"/>
        <v>0</v>
      </c>
      <c r="H273" s="840">
        <f t="shared" ca="1" si="159"/>
        <v>0</v>
      </c>
      <c r="I273" s="443"/>
      <c r="J273" s="838" t="str">
        <f t="shared" si="133"/>
        <v>!$A:$j</v>
      </c>
      <c r="K273" s="475">
        <f t="shared" ca="1" si="134"/>
        <v>0</v>
      </c>
      <c r="L273" s="480"/>
      <c r="M273" s="477">
        <f t="shared" si="135"/>
        <v>0</v>
      </c>
      <c r="N273" s="480"/>
      <c r="O273" s="477">
        <f t="shared" si="136"/>
        <v>0</v>
      </c>
      <c r="P273" s="480"/>
      <c r="Q273" s="477">
        <f t="shared" si="137"/>
        <v>0</v>
      </c>
      <c r="R273" s="480"/>
      <c r="S273" s="477">
        <f t="shared" ca="1" si="138"/>
        <v>0</v>
      </c>
      <c r="T273" s="475">
        <f t="shared" ca="1" si="139"/>
        <v>0</v>
      </c>
      <c r="U273" s="480"/>
      <c r="V273" s="477">
        <f t="shared" si="140"/>
        <v>0</v>
      </c>
      <c r="W273" s="480"/>
      <c r="X273" s="477">
        <f t="shared" si="141"/>
        <v>0</v>
      </c>
      <c r="Y273" s="480"/>
      <c r="Z273" s="477">
        <f t="shared" si="142"/>
        <v>0</v>
      </c>
      <c r="AA273" s="480"/>
      <c r="AB273" s="477">
        <f t="shared" ca="1" si="143"/>
        <v>0</v>
      </c>
      <c r="AC273" s="475">
        <f t="shared" ca="1" si="144"/>
        <v>0</v>
      </c>
      <c r="AD273" s="480"/>
      <c r="AE273" s="477">
        <f t="shared" si="145"/>
        <v>0</v>
      </c>
      <c r="AF273" s="480"/>
      <c r="AG273" s="477">
        <f t="shared" si="146"/>
        <v>0</v>
      </c>
      <c r="AH273" s="480"/>
      <c r="AI273" s="477">
        <f t="shared" si="147"/>
        <v>0</v>
      </c>
      <c r="AJ273" s="480"/>
      <c r="AK273" s="477">
        <f t="shared" ca="1" si="148"/>
        <v>0</v>
      </c>
      <c r="AL273" s="475">
        <f t="shared" ca="1" si="149"/>
        <v>0</v>
      </c>
      <c r="AM273" s="480"/>
      <c r="AN273" s="477">
        <f t="shared" si="150"/>
        <v>0</v>
      </c>
      <c r="AO273" s="480"/>
      <c r="AP273" s="477">
        <f t="shared" si="151"/>
        <v>0</v>
      </c>
      <c r="AQ273" s="480"/>
      <c r="AR273" s="477">
        <f t="shared" si="152"/>
        <v>0</v>
      </c>
      <c r="AS273" s="480"/>
      <c r="AT273" s="477">
        <f t="shared" ca="1" si="153"/>
        <v>0</v>
      </c>
      <c r="AU273" s="475">
        <f t="shared" ca="1" si="154"/>
        <v>0</v>
      </c>
      <c r="AV273" s="480"/>
      <c r="AW273" s="477">
        <f t="shared" si="155"/>
        <v>0</v>
      </c>
      <c r="AX273" s="480"/>
      <c r="AY273" s="477">
        <f t="shared" si="156"/>
        <v>0</v>
      </c>
      <c r="AZ273" s="480"/>
      <c r="BA273" s="477">
        <f t="shared" si="157"/>
        <v>0</v>
      </c>
      <c r="BB273" s="480"/>
      <c r="BC273" s="850">
        <f t="shared" ca="1" si="158"/>
        <v>0</v>
      </c>
    </row>
    <row r="274" spans="1:55">
      <c r="A274" s="837" t="str">
        <f t="shared" si="130"/>
        <v/>
      </c>
      <c r="B274" s="440"/>
      <c r="C274" s="834" t="str">
        <f t="shared" ca="1" si="131"/>
        <v/>
      </c>
      <c r="D274" s="1757" t="str">
        <f ca="1">IFERROR(VLOOKUP(LEFT(E274,4),Nom_activ_2!D:G,4,0),"")</f>
        <v/>
      </c>
      <c r="E274" s="1757" t="str">
        <f t="shared" ca="1" si="132"/>
        <v/>
      </c>
      <c r="F274" s="1777">
        <f t="shared" ca="1" si="159"/>
        <v>0</v>
      </c>
      <c r="G274" s="839">
        <f t="shared" ca="1" si="159"/>
        <v>0</v>
      </c>
      <c r="H274" s="840">
        <f t="shared" ca="1" si="159"/>
        <v>0</v>
      </c>
      <c r="I274" s="443"/>
      <c r="J274" s="838" t="str">
        <f t="shared" si="133"/>
        <v>!$A:$j</v>
      </c>
      <c r="K274" s="475">
        <f t="shared" ca="1" si="134"/>
        <v>0</v>
      </c>
      <c r="L274" s="480"/>
      <c r="M274" s="477">
        <f t="shared" si="135"/>
        <v>0</v>
      </c>
      <c r="N274" s="480"/>
      <c r="O274" s="477">
        <f t="shared" si="136"/>
        <v>0</v>
      </c>
      <c r="P274" s="480"/>
      <c r="Q274" s="477">
        <f t="shared" si="137"/>
        <v>0</v>
      </c>
      <c r="R274" s="480"/>
      <c r="S274" s="477">
        <f t="shared" ca="1" si="138"/>
        <v>0</v>
      </c>
      <c r="T274" s="475">
        <f t="shared" ca="1" si="139"/>
        <v>0</v>
      </c>
      <c r="U274" s="480"/>
      <c r="V274" s="477">
        <f t="shared" si="140"/>
        <v>0</v>
      </c>
      <c r="W274" s="480"/>
      <c r="X274" s="477">
        <f t="shared" si="141"/>
        <v>0</v>
      </c>
      <c r="Y274" s="480"/>
      <c r="Z274" s="477">
        <f t="shared" si="142"/>
        <v>0</v>
      </c>
      <c r="AA274" s="480"/>
      <c r="AB274" s="477">
        <f t="shared" ca="1" si="143"/>
        <v>0</v>
      </c>
      <c r="AC274" s="475">
        <f t="shared" ca="1" si="144"/>
        <v>0</v>
      </c>
      <c r="AD274" s="480"/>
      <c r="AE274" s="477">
        <f t="shared" si="145"/>
        <v>0</v>
      </c>
      <c r="AF274" s="480"/>
      <c r="AG274" s="477">
        <f t="shared" si="146"/>
        <v>0</v>
      </c>
      <c r="AH274" s="480"/>
      <c r="AI274" s="477">
        <f t="shared" si="147"/>
        <v>0</v>
      </c>
      <c r="AJ274" s="480"/>
      <c r="AK274" s="477">
        <f t="shared" ca="1" si="148"/>
        <v>0</v>
      </c>
      <c r="AL274" s="475">
        <f t="shared" ca="1" si="149"/>
        <v>0</v>
      </c>
      <c r="AM274" s="480"/>
      <c r="AN274" s="477">
        <f t="shared" si="150"/>
        <v>0</v>
      </c>
      <c r="AO274" s="480"/>
      <c r="AP274" s="477">
        <f t="shared" si="151"/>
        <v>0</v>
      </c>
      <c r="AQ274" s="480"/>
      <c r="AR274" s="477">
        <f t="shared" si="152"/>
        <v>0</v>
      </c>
      <c r="AS274" s="480"/>
      <c r="AT274" s="477">
        <f t="shared" ca="1" si="153"/>
        <v>0</v>
      </c>
      <c r="AU274" s="475">
        <f t="shared" ca="1" si="154"/>
        <v>0</v>
      </c>
      <c r="AV274" s="480"/>
      <c r="AW274" s="477">
        <f t="shared" si="155"/>
        <v>0</v>
      </c>
      <c r="AX274" s="480"/>
      <c r="AY274" s="477">
        <f t="shared" si="156"/>
        <v>0</v>
      </c>
      <c r="AZ274" s="480"/>
      <c r="BA274" s="477">
        <f t="shared" si="157"/>
        <v>0</v>
      </c>
      <c r="BB274" s="480"/>
      <c r="BC274" s="850">
        <f t="shared" ca="1" si="158"/>
        <v>0</v>
      </c>
    </row>
    <row r="275" spans="1:55">
      <c r="A275" s="837" t="str">
        <f t="shared" si="130"/>
        <v/>
      </c>
      <c r="B275" s="440"/>
      <c r="C275" s="834" t="str">
        <f t="shared" ca="1" si="131"/>
        <v/>
      </c>
      <c r="D275" s="1757" t="str">
        <f ca="1">IFERROR(VLOOKUP(LEFT(E275,4),Nom_activ_2!D:G,4,0),"")</f>
        <v/>
      </c>
      <c r="E275" s="1757" t="str">
        <f t="shared" ca="1" si="132"/>
        <v/>
      </c>
      <c r="F275" s="1777">
        <f t="shared" ca="1" si="159"/>
        <v>0</v>
      </c>
      <c r="G275" s="839">
        <f t="shared" ca="1" si="159"/>
        <v>0</v>
      </c>
      <c r="H275" s="840">
        <f t="shared" ca="1" si="159"/>
        <v>0</v>
      </c>
      <c r="I275" s="443"/>
      <c r="J275" s="838" t="str">
        <f t="shared" si="133"/>
        <v>!$A:$j</v>
      </c>
      <c r="K275" s="475">
        <f t="shared" ca="1" si="134"/>
        <v>0</v>
      </c>
      <c r="L275" s="480"/>
      <c r="M275" s="477">
        <f t="shared" si="135"/>
        <v>0</v>
      </c>
      <c r="N275" s="480"/>
      <c r="O275" s="477">
        <f t="shared" si="136"/>
        <v>0</v>
      </c>
      <c r="P275" s="480"/>
      <c r="Q275" s="477">
        <f t="shared" si="137"/>
        <v>0</v>
      </c>
      <c r="R275" s="480"/>
      <c r="S275" s="477">
        <f t="shared" ca="1" si="138"/>
        <v>0</v>
      </c>
      <c r="T275" s="475">
        <f t="shared" ca="1" si="139"/>
        <v>0</v>
      </c>
      <c r="U275" s="480"/>
      <c r="V275" s="477">
        <f t="shared" si="140"/>
        <v>0</v>
      </c>
      <c r="W275" s="480"/>
      <c r="X275" s="477">
        <f t="shared" si="141"/>
        <v>0</v>
      </c>
      <c r="Y275" s="480"/>
      <c r="Z275" s="477">
        <f t="shared" si="142"/>
        <v>0</v>
      </c>
      <c r="AA275" s="480"/>
      <c r="AB275" s="477">
        <f t="shared" ca="1" si="143"/>
        <v>0</v>
      </c>
      <c r="AC275" s="475">
        <f t="shared" ca="1" si="144"/>
        <v>0</v>
      </c>
      <c r="AD275" s="480"/>
      <c r="AE275" s="477">
        <f t="shared" si="145"/>
        <v>0</v>
      </c>
      <c r="AF275" s="480"/>
      <c r="AG275" s="477">
        <f t="shared" si="146"/>
        <v>0</v>
      </c>
      <c r="AH275" s="480"/>
      <c r="AI275" s="477">
        <f t="shared" si="147"/>
        <v>0</v>
      </c>
      <c r="AJ275" s="480"/>
      <c r="AK275" s="477">
        <f t="shared" ca="1" si="148"/>
        <v>0</v>
      </c>
      <c r="AL275" s="475">
        <f t="shared" ca="1" si="149"/>
        <v>0</v>
      </c>
      <c r="AM275" s="480"/>
      <c r="AN275" s="477">
        <f t="shared" si="150"/>
        <v>0</v>
      </c>
      <c r="AO275" s="480"/>
      <c r="AP275" s="477">
        <f t="shared" si="151"/>
        <v>0</v>
      </c>
      <c r="AQ275" s="480"/>
      <c r="AR275" s="477">
        <f t="shared" si="152"/>
        <v>0</v>
      </c>
      <c r="AS275" s="480"/>
      <c r="AT275" s="477">
        <f t="shared" ca="1" si="153"/>
        <v>0</v>
      </c>
      <c r="AU275" s="475">
        <f t="shared" ca="1" si="154"/>
        <v>0</v>
      </c>
      <c r="AV275" s="480"/>
      <c r="AW275" s="477">
        <f t="shared" si="155"/>
        <v>0</v>
      </c>
      <c r="AX275" s="480"/>
      <c r="AY275" s="477">
        <f t="shared" si="156"/>
        <v>0</v>
      </c>
      <c r="AZ275" s="480"/>
      <c r="BA275" s="477">
        <f t="shared" si="157"/>
        <v>0</v>
      </c>
      <c r="BB275" s="480"/>
      <c r="BC275" s="850">
        <f t="shared" ca="1" si="158"/>
        <v>0</v>
      </c>
    </row>
    <row r="276" spans="1:55">
      <c r="A276" s="837" t="str">
        <f t="shared" si="130"/>
        <v/>
      </c>
      <c r="B276" s="440"/>
      <c r="C276" s="834" t="str">
        <f t="shared" ca="1" si="131"/>
        <v/>
      </c>
      <c r="D276" s="1757" t="str">
        <f ca="1">IFERROR(VLOOKUP(LEFT(E276,4),Nom_activ_2!D:G,4,0),"")</f>
        <v/>
      </c>
      <c r="E276" s="1757" t="str">
        <f t="shared" ca="1" si="132"/>
        <v/>
      </c>
      <c r="F276" s="1777">
        <f t="shared" ca="1" si="159"/>
        <v>0</v>
      </c>
      <c r="G276" s="839">
        <f t="shared" ca="1" si="159"/>
        <v>0</v>
      </c>
      <c r="H276" s="840">
        <f t="shared" ca="1" si="159"/>
        <v>0</v>
      </c>
      <c r="I276" s="443"/>
      <c r="J276" s="838" t="str">
        <f t="shared" si="133"/>
        <v>!$A:$j</v>
      </c>
      <c r="K276" s="475">
        <f t="shared" ca="1" si="134"/>
        <v>0</v>
      </c>
      <c r="L276" s="480"/>
      <c r="M276" s="477">
        <f t="shared" si="135"/>
        <v>0</v>
      </c>
      <c r="N276" s="480"/>
      <c r="O276" s="477">
        <f t="shared" si="136"/>
        <v>0</v>
      </c>
      <c r="P276" s="480"/>
      <c r="Q276" s="477">
        <f t="shared" si="137"/>
        <v>0</v>
      </c>
      <c r="R276" s="480"/>
      <c r="S276" s="477">
        <f t="shared" ca="1" si="138"/>
        <v>0</v>
      </c>
      <c r="T276" s="475">
        <f t="shared" ca="1" si="139"/>
        <v>0</v>
      </c>
      <c r="U276" s="480"/>
      <c r="V276" s="477">
        <f t="shared" si="140"/>
        <v>0</v>
      </c>
      <c r="W276" s="480"/>
      <c r="X276" s="477">
        <f t="shared" si="141"/>
        <v>0</v>
      </c>
      <c r="Y276" s="480"/>
      <c r="Z276" s="477">
        <f t="shared" si="142"/>
        <v>0</v>
      </c>
      <c r="AA276" s="480"/>
      <c r="AB276" s="477">
        <f t="shared" ca="1" si="143"/>
        <v>0</v>
      </c>
      <c r="AC276" s="475">
        <f t="shared" ca="1" si="144"/>
        <v>0</v>
      </c>
      <c r="AD276" s="480"/>
      <c r="AE276" s="477">
        <f t="shared" si="145"/>
        <v>0</v>
      </c>
      <c r="AF276" s="480"/>
      <c r="AG276" s="477">
        <f t="shared" si="146"/>
        <v>0</v>
      </c>
      <c r="AH276" s="480"/>
      <c r="AI276" s="477">
        <f t="shared" si="147"/>
        <v>0</v>
      </c>
      <c r="AJ276" s="480"/>
      <c r="AK276" s="477">
        <f t="shared" ca="1" si="148"/>
        <v>0</v>
      </c>
      <c r="AL276" s="475">
        <f t="shared" ca="1" si="149"/>
        <v>0</v>
      </c>
      <c r="AM276" s="480"/>
      <c r="AN276" s="477">
        <f t="shared" si="150"/>
        <v>0</v>
      </c>
      <c r="AO276" s="480"/>
      <c r="AP276" s="477">
        <f t="shared" si="151"/>
        <v>0</v>
      </c>
      <c r="AQ276" s="480"/>
      <c r="AR276" s="477">
        <f t="shared" si="152"/>
        <v>0</v>
      </c>
      <c r="AS276" s="480"/>
      <c r="AT276" s="477">
        <f t="shared" ca="1" si="153"/>
        <v>0</v>
      </c>
      <c r="AU276" s="475">
        <f t="shared" ca="1" si="154"/>
        <v>0</v>
      </c>
      <c r="AV276" s="480"/>
      <c r="AW276" s="477">
        <f t="shared" si="155"/>
        <v>0</v>
      </c>
      <c r="AX276" s="480"/>
      <c r="AY276" s="477">
        <f t="shared" si="156"/>
        <v>0</v>
      </c>
      <c r="AZ276" s="480"/>
      <c r="BA276" s="477">
        <f t="shared" si="157"/>
        <v>0</v>
      </c>
      <c r="BB276" s="480"/>
      <c r="BC276" s="850">
        <f t="shared" ca="1" si="158"/>
        <v>0</v>
      </c>
    </row>
    <row r="277" spans="1:55">
      <c r="A277" s="837" t="str">
        <f t="shared" si="130"/>
        <v/>
      </c>
      <c r="B277" s="440"/>
      <c r="C277" s="834" t="str">
        <f t="shared" ca="1" si="131"/>
        <v/>
      </c>
      <c r="D277" s="1757" t="str">
        <f ca="1">IFERROR(VLOOKUP(LEFT(E277,4),Nom_activ_2!D:G,4,0),"")</f>
        <v/>
      </c>
      <c r="E277" s="1757" t="str">
        <f t="shared" ca="1" si="132"/>
        <v/>
      </c>
      <c r="F277" s="1777">
        <f t="shared" ca="1" si="159"/>
        <v>0</v>
      </c>
      <c r="G277" s="839">
        <f t="shared" ca="1" si="159"/>
        <v>0</v>
      </c>
      <c r="H277" s="840">
        <f t="shared" ca="1" si="159"/>
        <v>0</v>
      </c>
      <c r="I277" s="443"/>
      <c r="J277" s="838" t="str">
        <f t="shared" si="133"/>
        <v>!$A:$j</v>
      </c>
      <c r="K277" s="475">
        <f t="shared" ca="1" si="134"/>
        <v>0</v>
      </c>
      <c r="L277" s="480"/>
      <c r="M277" s="477">
        <f t="shared" si="135"/>
        <v>0</v>
      </c>
      <c r="N277" s="480"/>
      <c r="O277" s="477">
        <f t="shared" si="136"/>
        <v>0</v>
      </c>
      <c r="P277" s="480"/>
      <c r="Q277" s="477">
        <f t="shared" si="137"/>
        <v>0</v>
      </c>
      <c r="R277" s="480"/>
      <c r="S277" s="477">
        <f t="shared" ca="1" si="138"/>
        <v>0</v>
      </c>
      <c r="T277" s="475">
        <f t="shared" ca="1" si="139"/>
        <v>0</v>
      </c>
      <c r="U277" s="480"/>
      <c r="V277" s="477">
        <f t="shared" si="140"/>
        <v>0</v>
      </c>
      <c r="W277" s="480"/>
      <c r="X277" s="477">
        <f t="shared" si="141"/>
        <v>0</v>
      </c>
      <c r="Y277" s="480"/>
      <c r="Z277" s="477">
        <f t="shared" si="142"/>
        <v>0</v>
      </c>
      <c r="AA277" s="480"/>
      <c r="AB277" s="477">
        <f t="shared" ca="1" si="143"/>
        <v>0</v>
      </c>
      <c r="AC277" s="475">
        <f t="shared" ca="1" si="144"/>
        <v>0</v>
      </c>
      <c r="AD277" s="480"/>
      <c r="AE277" s="477">
        <f t="shared" si="145"/>
        <v>0</v>
      </c>
      <c r="AF277" s="480"/>
      <c r="AG277" s="477">
        <f t="shared" si="146"/>
        <v>0</v>
      </c>
      <c r="AH277" s="480"/>
      <c r="AI277" s="477">
        <f t="shared" si="147"/>
        <v>0</v>
      </c>
      <c r="AJ277" s="480"/>
      <c r="AK277" s="477">
        <f t="shared" ca="1" si="148"/>
        <v>0</v>
      </c>
      <c r="AL277" s="475">
        <f t="shared" ca="1" si="149"/>
        <v>0</v>
      </c>
      <c r="AM277" s="480"/>
      <c r="AN277" s="477">
        <f t="shared" si="150"/>
        <v>0</v>
      </c>
      <c r="AO277" s="480"/>
      <c r="AP277" s="477">
        <f t="shared" si="151"/>
        <v>0</v>
      </c>
      <c r="AQ277" s="480"/>
      <c r="AR277" s="477">
        <f t="shared" si="152"/>
        <v>0</v>
      </c>
      <c r="AS277" s="480"/>
      <c r="AT277" s="477">
        <f t="shared" ca="1" si="153"/>
        <v>0</v>
      </c>
      <c r="AU277" s="475">
        <f t="shared" ca="1" si="154"/>
        <v>0</v>
      </c>
      <c r="AV277" s="480"/>
      <c r="AW277" s="477">
        <f t="shared" si="155"/>
        <v>0</v>
      </c>
      <c r="AX277" s="480"/>
      <c r="AY277" s="477">
        <f t="shared" si="156"/>
        <v>0</v>
      </c>
      <c r="AZ277" s="480"/>
      <c r="BA277" s="477">
        <f t="shared" si="157"/>
        <v>0</v>
      </c>
      <c r="BB277" s="480"/>
      <c r="BC277" s="850">
        <f t="shared" ca="1" si="158"/>
        <v>0</v>
      </c>
    </row>
    <row r="278" spans="1:55">
      <c r="A278" s="837" t="str">
        <f t="shared" si="130"/>
        <v/>
      </c>
      <c r="B278" s="440"/>
      <c r="C278" s="834" t="str">
        <f t="shared" ca="1" si="131"/>
        <v/>
      </c>
      <c r="D278" s="1757" t="str">
        <f ca="1">IFERROR(VLOOKUP(LEFT(E278,4),Nom_activ_2!D:G,4,0),"")</f>
        <v/>
      </c>
      <c r="E278" s="1757" t="str">
        <f t="shared" ca="1" si="132"/>
        <v/>
      </c>
      <c r="F278" s="1777">
        <f t="shared" ca="1" si="159"/>
        <v>0</v>
      </c>
      <c r="G278" s="839">
        <f t="shared" ca="1" si="159"/>
        <v>0</v>
      </c>
      <c r="H278" s="840">
        <f t="shared" ca="1" si="159"/>
        <v>0</v>
      </c>
      <c r="I278" s="443"/>
      <c r="J278" s="838" t="str">
        <f t="shared" si="133"/>
        <v>!$A:$j</v>
      </c>
      <c r="K278" s="475">
        <f t="shared" ca="1" si="134"/>
        <v>0</v>
      </c>
      <c r="L278" s="480"/>
      <c r="M278" s="477">
        <f t="shared" si="135"/>
        <v>0</v>
      </c>
      <c r="N278" s="480"/>
      <c r="O278" s="477">
        <f t="shared" si="136"/>
        <v>0</v>
      </c>
      <c r="P278" s="480"/>
      <c r="Q278" s="477">
        <f t="shared" si="137"/>
        <v>0</v>
      </c>
      <c r="R278" s="480"/>
      <c r="S278" s="477">
        <f t="shared" ca="1" si="138"/>
        <v>0</v>
      </c>
      <c r="T278" s="475">
        <f t="shared" ca="1" si="139"/>
        <v>0</v>
      </c>
      <c r="U278" s="480"/>
      <c r="V278" s="477">
        <f t="shared" si="140"/>
        <v>0</v>
      </c>
      <c r="W278" s="480"/>
      <c r="X278" s="477">
        <f t="shared" si="141"/>
        <v>0</v>
      </c>
      <c r="Y278" s="480"/>
      <c r="Z278" s="477">
        <f t="shared" si="142"/>
        <v>0</v>
      </c>
      <c r="AA278" s="480"/>
      <c r="AB278" s="477">
        <f t="shared" ca="1" si="143"/>
        <v>0</v>
      </c>
      <c r="AC278" s="475">
        <f t="shared" ca="1" si="144"/>
        <v>0</v>
      </c>
      <c r="AD278" s="480"/>
      <c r="AE278" s="477">
        <f t="shared" si="145"/>
        <v>0</v>
      </c>
      <c r="AF278" s="480"/>
      <c r="AG278" s="477">
        <f t="shared" si="146"/>
        <v>0</v>
      </c>
      <c r="AH278" s="480"/>
      <c r="AI278" s="477">
        <f t="shared" si="147"/>
        <v>0</v>
      </c>
      <c r="AJ278" s="480"/>
      <c r="AK278" s="477">
        <f t="shared" ca="1" si="148"/>
        <v>0</v>
      </c>
      <c r="AL278" s="475">
        <f t="shared" ca="1" si="149"/>
        <v>0</v>
      </c>
      <c r="AM278" s="480"/>
      <c r="AN278" s="477">
        <f t="shared" si="150"/>
        <v>0</v>
      </c>
      <c r="AO278" s="480"/>
      <c r="AP278" s="477">
        <f t="shared" si="151"/>
        <v>0</v>
      </c>
      <c r="AQ278" s="480"/>
      <c r="AR278" s="477">
        <f t="shared" si="152"/>
        <v>0</v>
      </c>
      <c r="AS278" s="480"/>
      <c r="AT278" s="477">
        <f t="shared" ca="1" si="153"/>
        <v>0</v>
      </c>
      <c r="AU278" s="475">
        <f t="shared" ca="1" si="154"/>
        <v>0</v>
      </c>
      <c r="AV278" s="480"/>
      <c r="AW278" s="477">
        <f t="shared" si="155"/>
        <v>0</v>
      </c>
      <c r="AX278" s="480"/>
      <c r="AY278" s="477">
        <f t="shared" si="156"/>
        <v>0</v>
      </c>
      <c r="AZ278" s="480"/>
      <c r="BA278" s="477">
        <f t="shared" si="157"/>
        <v>0</v>
      </c>
      <c r="BB278" s="480"/>
      <c r="BC278" s="850">
        <f t="shared" ca="1" si="158"/>
        <v>0</v>
      </c>
    </row>
    <row r="279" spans="1:55">
      <c r="A279" s="837" t="str">
        <f t="shared" si="130"/>
        <v/>
      </c>
      <c r="B279" s="440"/>
      <c r="C279" s="834" t="str">
        <f t="shared" ca="1" si="131"/>
        <v/>
      </c>
      <c r="D279" s="1757" t="str">
        <f ca="1">IFERROR(VLOOKUP(LEFT(E279,4),Nom_activ_2!D:G,4,0),"")</f>
        <v/>
      </c>
      <c r="E279" s="1757" t="str">
        <f t="shared" ca="1" si="132"/>
        <v/>
      </c>
      <c r="F279" s="1777">
        <f t="shared" ca="1" si="159"/>
        <v>0</v>
      </c>
      <c r="G279" s="839">
        <f t="shared" ca="1" si="159"/>
        <v>0</v>
      </c>
      <c r="H279" s="840">
        <f t="shared" ca="1" si="159"/>
        <v>0</v>
      </c>
      <c r="I279" s="443"/>
      <c r="J279" s="838" t="str">
        <f t="shared" si="133"/>
        <v>!$A:$j</v>
      </c>
      <c r="K279" s="475">
        <f t="shared" ca="1" si="134"/>
        <v>0</v>
      </c>
      <c r="L279" s="480"/>
      <c r="M279" s="477">
        <f t="shared" si="135"/>
        <v>0</v>
      </c>
      <c r="N279" s="480"/>
      <c r="O279" s="477">
        <f t="shared" si="136"/>
        <v>0</v>
      </c>
      <c r="P279" s="480"/>
      <c r="Q279" s="477">
        <f t="shared" si="137"/>
        <v>0</v>
      </c>
      <c r="R279" s="480"/>
      <c r="S279" s="477">
        <f t="shared" ca="1" si="138"/>
        <v>0</v>
      </c>
      <c r="T279" s="475">
        <f t="shared" ca="1" si="139"/>
        <v>0</v>
      </c>
      <c r="U279" s="480"/>
      <c r="V279" s="477">
        <f t="shared" si="140"/>
        <v>0</v>
      </c>
      <c r="W279" s="480"/>
      <c r="X279" s="477">
        <f t="shared" si="141"/>
        <v>0</v>
      </c>
      <c r="Y279" s="480"/>
      <c r="Z279" s="477">
        <f t="shared" si="142"/>
        <v>0</v>
      </c>
      <c r="AA279" s="480"/>
      <c r="AB279" s="477">
        <f t="shared" ca="1" si="143"/>
        <v>0</v>
      </c>
      <c r="AC279" s="475">
        <f t="shared" ca="1" si="144"/>
        <v>0</v>
      </c>
      <c r="AD279" s="480"/>
      <c r="AE279" s="477">
        <f t="shared" si="145"/>
        <v>0</v>
      </c>
      <c r="AF279" s="480"/>
      <c r="AG279" s="477">
        <f t="shared" si="146"/>
        <v>0</v>
      </c>
      <c r="AH279" s="480"/>
      <c r="AI279" s="477">
        <f t="shared" si="147"/>
        <v>0</v>
      </c>
      <c r="AJ279" s="480"/>
      <c r="AK279" s="477">
        <f t="shared" ca="1" si="148"/>
        <v>0</v>
      </c>
      <c r="AL279" s="475">
        <f t="shared" ca="1" si="149"/>
        <v>0</v>
      </c>
      <c r="AM279" s="480"/>
      <c r="AN279" s="477">
        <f t="shared" si="150"/>
        <v>0</v>
      </c>
      <c r="AO279" s="480"/>
      <c r="AP279" s="477">
        <f t="shared" si="151"/>
        <v>0</v>
      </c>
      <c r="AQ279" s="480"/>
      <c r="AR279" s="477">
        <f t="shared" si="152"/>
        <v>0</v>
      </c>
      <c r="AS279" s="480"/>
      <c r="AT279" s="477">
        <f t="shared" ca="1" si="153"/>
        <v>0</v>
      </c>
      <c r="AU279" s="475">
        <f t="shared" ca="1" si="154"/>
        <v>0</v>
      </c>
      <c r="AV279" s="480"/>
      <c r="AW279" s="477">
        <f t="shared" si="155"/>
        <v>0</v>
      </c>
      <c r="AX279" s="480"/>
      <c r="AY279" s="477">
        <f t="shared" si="156"/>
        <v>0</v>
      </c>
      <c r="AZ279" s="480"/>
      <c r="BA279" s="477">
        <f t="shared" si="157"/>
        <v>0</v>
      </c>
      <c r="BB279" s="480"/>
      <c r="BC279" s="850">
        <f t="shared" ca="1" si="158"/>
        <v>0</v>
      </c>
    </row>
    <row r="280" spans="1:55">
      <c r="A280" s="837" t="str">
        <f t="shared" si="130"/>
        <v/>
      </c>
      <c r="B280" s="440"/>
      <c r="C280" s="834" t="str">
        <f t="shared" ca="1" si="131"/>
        <v/>
      </c>
      <c r="D280" s="1757" t="str">
        <f ca="1">IFERROR(VLOOKUP(LEFT(E280,4),Nom_activ_2!D:G,4,0),"")</f>
        <v/>
      </c>
      <c r="E280" s="1757" t="str">
        <f t="shared" ca="1" si="132"/>
        <v/>
      </c>
      <c r="F280" s="1777">
        <f t="shared" ca="1" si="159"/>
        <v>0</v>
      </c>
      <c r="G280" s="839">
        <f t="shared" ca="1" si="159"/>
        <v>0</v>
      </c>
      <c r="H280" s="840">
        <f t="shared" ca="1" si="159"/>
        <v>0</v>
      </c>
      <c r="I280" s="443"/>
      <c r="J280" s="838" t="str">
        <f t="shared" si="133"/>
        <v>!$A:$j</v>
      </c>
      <c r="K280" s="475">
        <f t="shared" ca="1" si="134"/>
        <v>0</v>
      </c>
      <c r="L280" s="480"/>
      <c r="M280" s="477">
        <f t="shared" si="135"/>
        <v>0</v>
      </c>
      <c r="N280" s="480"/>
      <c r="O280" s="477">
        <f t="shared" si="136"/>
        <v>0</v>
      </c>
      <c r="P280" s="480"/>
      <c r="Q280" s="477">
        <f t="shared" si="137"/>
        <v>0</v>
      </c>
      <c r="R280" s="480"/>
      <c r="S280" s="477">
        <f t="shared" ca="1" si="138"/>
        <v>0</v>
      </c>
      <c r="T280" s="475">
        <f t="shared" ca="1" si="139"/>
        <v>0</v>
      </c>
      <c r="U280" s="480"/>
      <c r="V280" s="477">
        <f t="shared" si="140"/>
        <v>0</v>
      </c>
      <c r="W280" s="480"/>
      <c r="X280" s="477">
        <f t="shared" si="141"/>
        <v>0</v>
      </c>
      <c r="Y280" s="480"/>
      <c r="Z280" s="477">
        <f t="shared" si="142"/>
        <v>0</v>
      </c>
      <c r="AA280" s="480"/>
      <c r="AB280" s="477">
        <f t="shared" ca="1" si="143"/>
        <v>0</v>
      </c>
      <c r="AC280" s="475">
        <f t="shared" ca="1" si="144"/>
        <v>0</v>
      </c>
      <c r="AD280" s="480"/>
      <c r="AE280" s="477">
        <f t="shared" si="145"/>
        <v>0</v>
      </c>
      <c r="AF280" s="480"/>
      <c r="AG280" s="477">
        <f t="shared" si="146"/>
        <v>0</v>
      </c>
      <c r="AH280" s="480"/>
      <c r="AI280" s="477">
        <f t="shared" si="147"/>
        <v>0</v>
      </c>
      <c r="AJ280" s="480"/>
      <c r="AK280" s="477">
        <f t="shared" ca="1" si="148"/>
        <v>0</v>
      </c>
      <c r="AL280" s="475">
        <f t="shared" ca="1" si="149"/>
        <v>0</v>
      </c>
      <c r="AM280" s="480"/>
      <c r="AN280" s="477">
        <f t="shared" si="150"/>
        <v>0</v>
      </c>
      <c r="AO280" s="480"/>
      <c r="AP280" s="477">
        <f t="shared" si="151"/>
        <v>0</v>
      </c>
      <c r="AQ280" s="480"/>
      <c r="AR280" s="477">
        <f t="shared" si="152"/>
        <v>0</v>
      </c>
      <c r="AS280" s="480"/>
      <c r="AT280" s="477">
        <f t="shared" ca="1" si="153"/>
        <v>0</v>
      </c>
      <c r="AU280" s="475">
        <f t="shared" ca="1" si="154"/>
        <v>0</v>
      </c>
      <c r="AV280" s="480"/>
      <c r="AW280" s="477">
        <f t="shared" si="155"/>
        <v>0</v>
      </c>
      <c r="AX280" s="480"/>
      <c r="AY280" s="477">
        <f t="shared" si="156"/>
        <v>0</v>
      </c>
      <c r="AZ280" s="480"/>
      <c r="BA280" s="477">
        <f t="shared" si="157"/>
        <v>0</v>
      </c>
      <c r="BB280" s="480"/>
      <c r="BC280" s="850">
        <f t="shared" ca="1" si="158"/>
        <v>0</v>
      </c>
    </row>
    <row r="281" spans="1:55">
      <c r="A281" s="837" t="str">
        <f t="shared" si="130"/>
        <v/>
      </c>
      <c r="B281" s="440"/>
      <c r="C281" s="834" t="str">
        <f t="shared" ca="1" si="131"/>
        <v/>
      </c>
      <c r="D281" s="1757" t="str">
        <f ca="1">IFERROR(VLOOKUP(LEFT(E281,4),Nom_activ_2!D:G,4,0),"")</f>
        <v/>
      </c>
      <c r="E281" s="1757" t="str">
        <f t="shared" ca="1" si="132"/>
        <v/>
      </c>
      <c r="F281" s="1777">
        <f t="shared" ca="1" si="159"/>
        <v>0</v>
      </c>
      <c r="G281" s="839">
        <f t="shared" ca="1" si="159"/>
        <v>0</v>
      </c>
      <c r="H281" s="840">
        <f t="shared" ca="1" si="159"/>
        <v>0</v>
      </c>
      <c r="I281" s="443"/>
      <c r="J281" s="838" t="str">
        <f t="shared" si="133"/>
        <v>!$A:$j</v>
      </c>
      <c r="K281" s="475">
        <f t="shared" ca="1" si="134"/>
        <v>0</v>
      </c>
      <c r="L281" s="480"/>
      <c r="M281" s="477">
        <f t="shared" si="135"/>
        <v>0</v>
      </c>
      <c r="N281" s="480"/>
      <c r="O281" s="477">
        <f t="shared" si="136"/>
        <v>0</v>
      </c>
      <c r="P281" s="480"/>
      <c r="Q281" s="477">
        <f t="shared" si="137"/>
        <v>0</v>
      </c>
      <c r="R281" s="480"/>
      <c r="S281" s="477">
        <f t="shared" ca="1" si="138"/>
        <v>0</v>
      </c>
      <c r="T281" s="475">
        <f t="shared" ca="1" si="139"/>
        <v>0</v>
      </c>
      <c r="U281" s="480"/>
      <c r="V281" s="477">
        <f t="shared" si="140"/>
        <v>0</v>
      </c>
      <c r="W281" s="480"/>
      <c r="X281" s="477">
        <f t="shared" si="141"/>
        <v>0</v>
      </c>
      <c r="Y281" s="480"/>
      <c r="Z281" s="477">
        <f t="shared" si="142"/>
        <v>0</v>
      </c>
      <c r="AA281" s="480"/>
      <c r="AB281" s="477">
        <f t="shared" ca="1" si="143"/>
        <v>0</v>
      </c>
      <c r="AC281" s="475">
        <f t="shared" ca="1" si="144"/>
        <v>0</v>
      </c>
      <c r="AD281" s="480"/>
      <c r="AE281" s="477">
        <f t="shared" si="145"/>
        <v>0</v>
      </c>
      <c r="AF281" s="480"/>
      <c r="AG281" s="477">
        <f t="shared" si="146"/>
        <v>0</v>
      </c>
      <c r="AH281" s="480"/>
      <c r="AI281" s="477">
        <f t="shared" si="147"/>
        <v>0</v>
      </c>
      <c r="AJ281" s="480"/>
      <c r="AK281" s="477">
        <f t="shared" ca="1" si="148"/>
        <v>0</v>
      </c>
      <c r="AL281" s="475">
        <f t="shared" ca="1" si="149"/>
        <v>0</v>
      </c>
      <c r="AM281" s="480"/>
      <c r="AN281" s="477">
        <f t="shared" si="150"/>
        <v>0</v>
      </c>
      <c r="AO281" s="480"/>
      <c r="AP281" s="477">
        <f t="shared" si="151"/>
        <v>0</v>
      </c>
      <c r="AQ281" s="480"/>
      <c r="AR281" s="477">
        <f t="shared" si="152"/>
        <v>0</v>
      </c>
      <c r="AS281" s="480"/>
      <c r="AT281" s="477">
        <f t="shared" ca="1" si="153"/>
        <v>0</v>
      </c>
      <c r="AU281" s="475">
        <f t="shared" ca="1" si="154"/>
        <v>0</v>
      </c>
      <c r="AV281" s="480"/>
      <c r="AW281" s="477">
        <f t="shared" si="155"/>
        <v>0</v>
      </c>
      <c r="AX281" s="480"/>
      <c r="AY281" s="477">
        <f t="shared" si="156"/>
        <v>0</v>
      </c>
      <c r="AZ281" s="480"/>
      <c r="BA281" s="477">
        <f t="shared" si="157"/>
        <v>0</v>
      </c>
      <c r="BB281" s="480"/>
      <c r="BC281" s="850">
        <f t="shared" ca="1" si="158"/>
        <v>0</v>
      </c>
    </row>
    <row r="282" spans="1:55">
      <c r="A282" s="837" t="str">
        <f t="shared" si="130"/>
        <v/>
      </c>
      <c r="B282" s="440"/>
      <c r="C282" s="834" t="str">
        <f t="shared" ca="1" si="131"/>
        <v/>
      </c>
      <c r="D282" s="1757" t="str">
        <f ca="1">IFERROR(VLOOKUP(LEFT(E282,4),Nom_activ_2!D:G,4,0),"")</f>
        <v/>
      </c>
      <c r="E282" s="1757" t="str">
        <f t="shared" ca="1" si="132"/>
        <v/>
      </c>
      <c r="F282" s="1777">
        <f t="shared" ca="1" si="159"/>
        <v>0</v>
      </c>
      <c r="G282" s="839">
        <f t="shared" ca="1" si="159"/>
        <v>0</v>
      </c>
      <c r="H282" s="840">
        <f t="shared" ca="1" si="159"/>
        <v>0</v>
      </c>
      <c r="I282" s="443"/>
      <c r="J282" s="838" t="str">
        <f t="shared" si="133"/>
        <v>!$A:$j</v>
      </c>
      <c r="K282" s="475">
        <f t="shared" ca="1" si="134"/>
        <v>0</v>
      </c>
      <c r="L282" s="480"/>
      <c r="M282" s="477">
        <f t="shared" si="135"/>
        <v>0</v>
      </c>
      <c r="N282" s="480"/>
      <c r="O282" s="477">
        <f t="shared" si="136"/>
        <v>0</v>
      </c>
      <c r="P282" s="480"/>
      <c r="Q282" s="477">
        <f t="shared" si="137"/>
        <v>0</v>
      </c>
      <c r="R282" s="480"/>
      <c r="S282" s="477">
        <f t="shared" ca="1" si="138"/>
        <v>0</v>
      </c>
      <c r="T282" s="475">
        <f t="shared" ca="1" si="139"/>
        <v>0</v>
      </c>
      <c r="U282" s="480"/>
      <c r="V282" s="477">
        <f t="shared" si="140"/>
        <v>0</v>
      </c>
      <c r="W282" s="480"/>
      <c r="X282" s="477">
        <f t="shared" si="141"/>
        <v>0</v>
      </c>
      <c r="Y282" s="480"/>
      <c r="Z282" s="477">
        <f t="shared" si="142"/>
        <v>0</v>
      </c>
      <c r="AA282" s="480"/>
      <c r="AB282" s="477">
        <f t="shared" ca="1" si="143"/>
        <v>0</v>
      </c>
      <c r="AC282" s="475">
        <f t="shared" ca="1" si="144"/>
        <v>0</v>
      </c>
      <c r="AD282" s="480"/>
      <c r="AE282" s="477">
        <f t="shared" si="145"/>
        <v>0</v>
      </c>
      <c r="AF282" s="480"/>
      <c r="AG282" s="477">
        <f t="shared" si="146"/>
        <v>0</v>
      </c>
      <c r="AH282" s="480"/>
      <c r="AI282" s="477">
        <f t="shared" si="147"/>
        <v>0</v>
      </c>
      <c r="AJ282" s="480"/>
      <c r="AK282" s="477">
        <f t="shared" ca="1" si="148"/>
        <v>0</v>
      </c>
      <c r="AL282" s="475">
        <f t="shared" ca="1" si="149"/>
        <v>0</v>
      </c>
      <c r="AM282" s="480"/>
      <c r="AN282" s="477">
        <f t="shared" si="150"/>
        <v>0</v>
      </c>
      <c r="AO282" s="480"/>
      <c r="AP282" s="477">
        <f t="shared" si="151"/>
        <v>0</v>
      </c>
      <c r="AQ282" s="480"/>
      <c r="AR282" s="477">
        <f t="shared" si="152"/>
        <v>0</v>
      </c>
      <c r="AS282" s="480"/>
      <c r="AT282" s="477">
        <f t="shared" ca="1" si="153"/>
        <v>0</v>
      </c>
      <c r="AU282" s="475">
        <f t="shared" ca="1" si="154"/>
        <v>0</v>
      </c>
      <c r="AV282" s="480"/>
      <c r="AW282" s="477">
        <f t="shared" si="155"/>
        <v>0</v>
      </c>
      <c r="AX282" s="480"/>
      <c r="AY282" s="477">
        <f t="shared" si="156"/>
        <v>0</v>
      </c>
      <c r="AZ282" s="480"/>
      <c r="BA282" s="477">
        <f t="shared" si="157"/>
        <v>0</v>
      </c>
      <c r="BB282" s="480"/>
      <c r="BC282" s="850">
        <f t="shared" ca="1" si="158"/>
        <v>0</v>
      </c>
    </row>
    <row r="283" spans="1:55">
      <c r="A283" s="837" t="str">
        <f t="shared" si="130"/>
        <v/>
      </c>
      <c r="B283" s="440"/>
      <c r="C283" s="834" t="str">
        <f t="shared" ca="1" si="131"/>
        <v/>
      </c>
      <c r="D283" s="1757" t="str">
        <f ca="1">IFERROR(VLOOKUP(LEFT(E283,4),Nom_activ_2!D:G,4,0),"")</f>
        <v/>
      </c>
      <c r="E283" s="1757" t="str">
        <f t="shared" ca="1" si="132"/>
        <v/>
      </c>
      <c r="F283" s="1777">
        <f t="shared" ca="1" si="159"/>
        <v>0</v>
      </c>
      <c r="G283" s="839">
        <f t="shared" ca="1" si="159"/>
        <v>0</v>
      </c>
      <c r="H283" s="840">
        <f t="shared" ca="1" si="159"/>
        <v>0</v>
      </c>
      <c r="I283" s="443"/>
      <c r="J283" s="838" t="str">
        <f t="shared" si="133"/>
        <v>!$A:$j</v>
      </c>
      <c r="K283" s="475">
        <f t="shared" ca="1" si="134"/>
        <v>0</v>
      </c>
      <c r="L283" s="480"/>
      <c r="M283" s="477">
        <f t="shared" si="135"/>
        <v>0</v>
      </c>
      <c r="N283" s="480"/>
      <c r="O283" s="477">
        <f t="shared" si="136"/>
        <v>0</v>
      </c>
      <c r="P283" s="480"/>
      <c r="Q283" s="477">
        <f t="shared" si="137"/>
        <v>0</v>
      </c>
      <c r="R283" s="480"/>
      <c r="S283" s="477">
        <f t="shared" ca="1" si="138"/>
        <v>0</v>
      </c>
      <c r="T283" s="475">
        <f t="shared" ca="1" si="139"/>
        <v>0</v>
      </c>
      <c r="U283" s="480"/>
      <c r="V283" s="477">
        <f t="shared" si="140"/>
        <v>0</v>
      </c>
      <c r="W283" s="480"/>
      <c r="X283" s="477">
        <f t="shared" si="141"/>
        <v>0</v>
      </c>
      <c r="Y283" s="480"/>
      <c r="Z283" s="477">
        <f t="shared" si="142"/>
        <v>0</v>
      </c>
      <c r="AA283" s="480"/>
      <c r="AB283" s="477">
        <f t="shared" ca="1" si="143"/>
        <v>0</v>
      </c>
      <c r="AC283" s="475">
        <f t="shared" ca="1" si="144"/>
        <v>0</v>
      </c>
      <c r="AD283" s="480"/>
      <c r="AE283" s="477">
        <f t="shared" si="145"/>
        <v>0</v>
      </c>
      <c r="AF283" s="480"/>
      <c r="AG283" s="477">
        <f t="shared" si="146"/>
        <v>0</v>
      </c>
      <c r="AH283" s="480"/>
      <c r="AI283" s="477">
        <f t="shared" si="147"/>
        <v>0</v>
      </c>
      <c r="AJ283" s="480"/>
      <c r="AK283" s="477">
        <f t="shared" ca="1" si="148"/>
        <v>0</v>
      </c>
      <c r="AL283" s="475">
        <f t="shared" ca="1" si="149"/>
        <v>0</v>
      </c>
      <c r="AM283" s="480"/>
      <c r="AN283" s="477">
        <f t="shared" si="150"/>
        <v>0</v>
      </c>
      <c r="AO283" s="480"/>
      <c r="AP283" s="477">
        <f t="shared" si="151"/>
        <v>0</v>
      </c>
      <c r="AQ283" s="480"/>
      <c r="AR283" s="477">
        <f t="shared" si="152"/>
        <v>0</v>
      </c>
      <c r="AS283" s="480"/>
      <c r="AT283" s="477">
        <f t="shared" ca="1" si="153"/>
        <v>0</v>
      </c>
      <c r="AU283" s="475">
        <f t="shared" ca="1" si="154"/>
        <v>0</v>
      </c>
      <c r="AV283" s="480"/>
      <c r="AW283" s="477">
        <f t="shared" si="155"/>
        <v>0</v>
      </c>
      <c r="AX283" s="480"/>
      <c r="AY283" s="477">
        <f t="shared" si="156"/>
        <v>0</v>
      </c>
      <c r="AZ283" s="480"/>
      <c r="BA283" s="477">
        <f t="shared" si="157"/>
        <v>0</v>
      </c>
      <c r="BB283" s="480"/>
      <c r="BC283" s="850">
        <f t="shared" ca="1" si="158"/>
        <v>0</v>
      </c>
    </row>
    <row r="284" spans="1:55">
      <c r="A284" s="837" t="str">
        <f t="shared" si="130"/>
        <v/>
      </c>
      <c r="B284" s="440"/>
      <c r="C284" s="834" t="str">
        <f t="shared" ca="1" si="131"/>
        <v/>
      </c>
      <c r="D284" s="1757" t="str">
        <f ca="1">IFERROR(VLOOKUP(LEFT(E284,4),Nom_activ_2!D:G,4,0),"")</f>
        <v/>
      </c>
      <c r="E284" s="1757" t="str">
        <f t="shared" ca="1" si="132"/>
        <v/>
      </c>
      <c r="F284" s="1777">
        <f t="shared" ca="1" si="159"/>
        <v>0</v>
      </c>
      <c r="G284" s="839">
        <f t="shared" ca="1" si="159"/>
        <v>0</v>
      </c>
      <c r="H284" s="840">
        <f t="shared" ca="1" si="159"/>
        <v>0</v>
      </c>
      <c r="I284" s="443"/>
      <c r="J284" s="838" t="str">
        <f t="shared" si="133"/>
        <v>!$A:$j</v>
      </c>
      <c r="K284" s="475">
        <f t="shared" ca="1" si="134"/>
        <v>0</v>
      </c>
      <c r="L284" s="480"/>
      <c r="M284" s="477">
        <f t="shared" si="135"/>
        <v>0</v>
      </c>
      <c r="N284" s="480"/>
      <c r="O284" s="477">
        <f t="shared" si="136"/>
        <v>0</v>
      </c>
      <c r="P284" s="480"/>
      <c r="Q284" s="477">
        <f t="shared" si="137"/>
        <v>0</v>
      </c>
      <c r="R284" s="480"/>
      <c r="S284" s="477">
        <f t="shared" ca="1" si="138"/>
        <v>0</v>
      </c>
      <c r="T284" s="475">
        <f t="shared" ca="1" si="139"/>
        <v>0</v>
      </c>
      <c r="U284" s="480"/>
      <c r="V284" s="477">
        <f t="shared" si="140"/>
        <v>0</v>
      </c>
      <c r="W284" s="480"/>
      <c r="X284" s="477">
        <f t="shared" si="141"/>
        <v>0</v>
      </c>
      <c r="Y284" s="480"/>
      <c r="Z284" s="477">
        <f t="shared" si="142"/>
        <v>0</v>
      </c>
      <c r="AA284" s="480"/>
      <c r="AB284" s="477">
        <f t="shared" ca="1" si="143"/>
        <v>0</v>
      </c>
      <c r="AC284" s="475">
        <f t="shared" ca="1" si="144"/>
        <v>0</v>
      </c>
      <c r="AD284" s="480"/>
      <c r="AE284" s="477">
        <f t="shared" si="145"/>
        <v>0</v>
      </c>
      <c r="AF284" s="480"/>
      <c r="AG284" s="477">
        <f t="shared" si="146"/>
        <v>0</v>
      </c>
      <c r="AH284" s="480"/>
      <c r="AI284" s="477">
        <f t="shared" si="147"/>
        <v>0</v>
      </c>
      <c r="AJ284" s="480"/>
      <c r="AK284" s="477">
        <f t="shared" ca="1" si="148"/>
        <v>0</v>
      </c>
      <c r="AL284" s="475">
        <f t="shared" ca="1" si="149"/>
        <v>0</v>
      </c>
      <c r="AM284" s="480"/>
      <c r="AN284" s="477">
        <f t="shared" si="150"/>
        <v>0</v>
      </c>
      <c r="AO284" s="480"/>
      <c r="AP284" s="477">
        <f t="shared" si="151"/>
        <v>0</v>
      </c>
      <c r="AQ284" s="480"/>
      <c r="AR284" s="477">
        <f t="shared" si="152"/>
        <v>0</v>
      </c>
      <c r="AS284" s="480"/>
      <c r="AT284" s="477">
        <f t="shared" ca="1" si="153"/>
        <v>0</v>
      </c>
      <c r="AU284" s="475">
        <f t="shared" ca="1" si="154"/>
        <v>0</v>
      </c>
      <c r="AV284" s="480"/>
      <c r="AW284" s="477">
        <f t="shared" si="155"/>
        <v>0</v>
      </c>
      <c r="AX284" s="480"/>
      <c r="AY284" s="477">
        <f t="shared" si="156"/>
        <v>0</v>
      </c>
      <c r="AZ284" s="480"/>
      <c r="BA284" s="477">
        <f t="shared" si="157"/>
        <v>0</v>
      </c>
      <c r="BB284" s="480"/>
      <c r="BC284" s="850">
        <f t="shared" ca="1" si="158"/>
        <v>0</v>
      </c>
    </row>
    <row r="285" spans="1:55">
      <c r="A285" s="837" t="str">
        <f t="shared" si="130"/>
        <v/>
      </c>
      <c r="B285" s="440"/>
      <c r="C285" s="834" t="str">
        <f t="shared" ca="1" si="131"/>
        <v/>
      </c>
      <c r="D285" s="1757" t="str">
        <f ca="1">IFERROR(VLOOKUP(LEFT(E285,4),Nom_activ_2!D:G,4,0),"")</f>
        <v/>
      </c>
      <c r="E285" s="1757" t="str">
        <f t="shared" ca="1" si="132"/>
        <v/>
      </c>
      <c r="F285" s="1777">
        <f t="shared" ca="1" si="159"/>
        <v>0</v>
      </c>
      <c r="G285" s="839">
        <f t="shared" ca="1" si="159"/>
        <v>0</v>
      </c>
      <c r="H285" s="840">
        <f t="shared" ca="1" si="159"/>
        <v>0</v>
      </c>
      <c r="I285" s="443"/>
      <c r="J285" s="838" t="str">
        <f t="shared" si="133"/>
        <v>!$A:$j</v>
      </c>
      <c r="K285" s="475">
        <f t="shared" ca="1" si="134"/>
        <v>0</v>
      </c>
      <c r="L285" s="480"/>
      <c r="M285" s="477">
        <f t="shared" si="135"/>
        <v>0</v>
      </c>
      <c r="N285" s="480"/>
      <c r="O285" s="477">
        <f t="shared" si="136"/>
        <v>0</v>
      </c>
      <c r="P285" s="480"/>
      <c r="Q285" s="477">
        <f t="shared" si="137"/>
        <v>0</v>
      </c>
      <c r="R285" s="480"/>
      <c r="S285" s="477">
        <f t="shared" ca="1" si="138"/>
        <v>0</v>
      </c>
      <c r="T285" s="475">
        <f t="shared" ca="1" si="139"/>
        <v>0</v>
      </c>
      <c r="U285" s="480"/>
      <c r="V285" s="477">
        <f t="shared" si="140"/>
        <v>0</v>
      </c>
      <c r="W285" s="480"/>
      <c r="X285" s="477">
        <f t="shared" si="141"/>
        <v>0</v>
      </c>
      <c r="Y285" s="480"/>
      <c r="Z285" s="477">
        <f t="shared" si="142"/>
        <v>0</v>
      </c>
      <c r="AA285" s="480"/>
      <c r="AB285" s="477">
        <f t="shared" ca="1" si="143"/>
        <v>0</v>
      </c>
      <c r="AC285" s="475">
        <f t="shared" ca="1" si="144"/>
        <v>0</v>
      </c>
      <c r="AD285" s="480"/>
      <c r="AE285" s="477">
        <f t="shared" si="145"/>
        <v>0</v>
      </c>
      <c r="AF285" s="480"/>
      <c r="AG285" s="477">
        <f t="shared" si="146"/>
        <v>0</v>
      </c>
      <c r="AH285" s="480"/>
      <c r="AI285" s="477">
        <f t="shared" si="147"/>
        <v>0</v>
      </c>
      <c r="AJ285" s="480"/>
      <c r="AK285" s="477">
        <f t="shared" ca="1" si="148"/>
        <v>0</v>
      </c>
      <c r="AL285" s="475">
        <f t="shared" ca="1" si="149"/>
        <v>0</v>
      </c>
      <c r="AM285" s="480"/>
      <c r="AN285" s="477">
        <f t="shared" si="150"/>
        <v>0</v>
      </c>
      <c r="AO285" s="480"/>
      <c r="AP285" s="477">
        <f t="shared" si="151"/>
        <v>0</v>
      </c>
      <c r="AQ285" s="480"/>
      <c r="AR285" s="477">
        <f t="shared" si="152"/>
        <v>0</v>
      </c>
      <c r="AS285" s="480"/>
      <c r="AT285" s="477">
        <f t="shared" ca="1" si="153"/>
        <v>0</v>
      </c>
      <c r="AU285" s="475">
        <f t="shared" ca="1" si="154"/>
        <v>0</v>
      </c>
      <c r="AV285" s="480"/>
      <c r="AW285" s="477">
        <f t="shared" si="155"/>
        <v>0</v>
      </c>
      <c r="AX285" s="480"/>
      <c r="AY285" s="477">
        <f t="shared" si="156"/>
        <v>0</v>
      </c>
      <c r="AZ285" s="480"/>
      <c r="BA285" s="477">
        <f t="shared" si="157"/>
        <v>0</v>
      </c>
      <c r="BB285" s="480"/>
      <c r="BC285" s="850">
        <f t="shared" ca="1" si="158"/>
        <v>0</v>
      </c>
    </row>
    <row r="286" spans="1:55">
      <c r="A286" s="837" t="str">
        <f t="shared" si="130"/>
        <v/>
      </c>
      <c r="B286" s="440"/>
      <c r="C286" s="834" t="str">
        <f t="shared" ca="1" si="131"/>
        <v/>
      </c>
      <c r="D286" s="1757" t="str">
        <f ca="1">IFERROR(VLOOKUP(LEFT(E286,4),Nom_activ_2!D:G,4,0),"")</f>
        <v/>
      </c>
      <c r="E286" s="1757" t="str">
        <f t="shared" ca="1" si="132"/>
        <v/>
      </c>
      <c r="F286" s="1777">
        <f t="shared" ca="1" si="159"/>
        <v>0</v>
      </c>
      <c r="G286" s="839">
        <f t="shared" ca="1" si="159"/>
        <v>0</v>
      </c>
      <c r="H286" s="840">
        <f t="shared" ca="1" si="159"/>
        <v>0</v>
      </c>
      <c r="I286" s="443"/>
      <c r="J286" s="838" t="str">
        <f t="shared" si="133"/>
        <v>!$A:$j</v>
      </c>
      <c r="K286" s="475">
        <f t="shared" ca="1" si="134"/>
        <v>0</v>
      </c>
      <c r="L286" s="480"/>
      <c r="M286" s="477">
        <f t="shared" si="135"/>
        <v>0</v>
      </c>
      <c r="N286" s="480"/>
      <c r="O286" s="477">
        <f t="shared" si="136"/>
        <v>0</v>
      </c>
      <c r="P286" s="480"/>
      <c r="Q286" s="477">
        <f t="shared" si="137"/>
        <v>0</v>
      </c>
      <c r="R286" s="480"/>
      <c r="S286" s="477">
        <f t="shared" ca="1" si="138"/>
        <v>0</v>
      </c>
      <c r="T286" s="475">
        <f t="shared" ca="1" si="139"/>
        <v>0</v>
      </c>
      <c r="U286" s="480"/>
      <c r="V286" s="477">
        <f t="shared" si="140"/>
        <v>0</v>
      </c>
      <c r="W286" s="480"/>
      <c r="X286" s="477">
        <f t="shared" si="141"/>
        <v>0</v>
      </c>
      <c r="Y286" s="480"/>
      <c r="Z286" s="477">
        <f t="shared" si="142"/>
        <v>0</v>
      </c>
      <c r="AA286" s="480"/>
      <c r="AB286" s="477">
        <f t="shared" ca="1" si="143"/>
        <v>0</v>
      </c>
      <c r="AC286" s="475">
        <f t="shared" ca="1" si="144"/>
        <v>0</v>
      </c>
      <c r="AD286" s="480"/>
      <c r="AE286" s="477">
        <f t="shared" si="145"/>
        <v>0</v>
      </c>
      <c r="AF286" s="480"/>
      <c r="AG286" s="477">
        <f t="shared" si="146"/>
        <v>0</v>
      </c>
      <c r="AH286" s="480"/>
      <c r="AI286" s="477">
        <f t="shared" si="147"/>
        <v>0</v>
      </c>
      <c r="AJ286" s="480"/>
      <c r="AK286" s="477">
        <f t="shared" ca="1" si="148"/>
        <v>0</v>
      </c>
      <c r="AL286" s="475">
        <f t="shared" ca="1" si="149"/>
        <v>0</v>
      </c>
      <c r="AM286" s="480"/>
      <c r="AN286" s="477">
        <f t="shared" si="150"/>
        <v>0</v>
      </c>
      <c r="AO286" s="480"/>
      <c r="AP286" s="477">
        <f t="shared" si="151"/>
        <v>0</v>
      </c>
      <c r="AQ286" s="480"/>
      <c r="AR286" s="477">
        <f t="shared" si="152"/>
        <v>0</v>
      </c>
      <c r="AS286" s="480"/>
      <c r="AT286" s="477">
        <f t="shared" ca="1" si="153"/>
        <v>0</v>
      </c>
      <c r="AU286" s="475">
        <f t="shared" ca="1" si="154"/>
        <v>0</v>
      </c>
      <c r="AV286" s="480"/>
      <c r="AW286" s="477">
        <f t="shared" si="155"/>
        <v>0</v>
      </c>
      <c r="AX286" s="480"/>
      <c r="AY286" s="477">
        <f t="shared" si="156"/>
        <v>0</v>
      </c>
      <c r="AZ286" s="480"/>
      <c r="BA286" s="477">
        <f t="shared" si="157"/>
        <v>0</v>
      </c>
      <c r="BB286" s="480"/>
      <c r="BC286" s="850">
        <f t="shared" ca="1" si="158"/>
        <v>0</v>
      </c>
    </row>
    <row r="287" spans="1:55">
      <c r="A287" s="837" t="str">
        <f t="shared" si="130"/>
        <v/>
      </c>
      <c r="B287" s="440"/>
      <c r="C287" s="834" t="str">
        <f t="shared" ca="1" si="131"/>
        <v/>
      </c>
      <c r="D287" s="1757" t="str">
        <f ca="1">IFERROR(VLOOKUP(LEFT(E287,4),Nom_activ_2!D:G,4,0),"")</f>
        <v/>
      </c>
      <c r="E287" s="1757" t="str">
        <f t="shared" ca="1" si="132"/>
        <v/>
      </c>
      <c r="F287" s="1777">
        <f t="shared" ref="F287:H306" ca="1" si="160">IFERROR(VLOOKUP($B287,INDIRECT($J287),F$5,0),0)</f>
        <v>0</v>
      </c>
      <c r="G287" s="839">
        <f t="shared" ca="1" si="160"/>
        <v>0</v>
      </c>
      <c r="H287" s="840">
        <f t="shared" ca="1" si="160"/>
        <v>0</v>
      </c>
      <c r="I287" s="443"/>
      <c r="J287" s="838" t="str">
        <f t="shared" si="133"/>
        <v>!$A:$j</v>
      </c>
      <c r="K287" s="475">
        <f t="shared" ca="1" si="134"/>
        <v>0</v>
      </c>
      <c r="L287" s="480"/>
      <c r="M287" s="477">
        <f t="shared" si="135"/>
        <v>0</v>
      </c>
      <c r="N287" s="480"/>
      <c r="O287" s="477">
        <f t="shared" si="136"/>
        <v>0</v>
      </c>
      <c r="P287" s="480"/>
      <c r="Q287" s="477">
        <f t="shared" si="137"/>
        <v>0</v>
      </c>
      <c r="R287" s="480"/>
      <c r="S287" s="477">
        <f t="shared" ca="1" si="138"/>
        <v>0</v>
      </c>
      <c r="T287" s="475">
        <f t="shared" ca="1" si="139"/>
        <v>0</v>
      </c>
      <c r="U287" s="480"/>
      <c r="V287" s="477">
        <f t="shared" si="140"/>
        <v>0</v>
      </c>
      <c r="W287" s="480"/>
      <c r="X287" s="477">
        <f t="shared" si="141"/>
        <v>0</v>
      </c>
      <c r="Y287" s="480"/>
      <c r="Z287" s="477">
        <f t="shared" si="142"/>
        <v>0</v>
      </c>
      <c r="AA287" s="480"/>
      <c r="AB287" s="477">
        <f t="shared" ca="1" si="143"/>
        <v>0</v>
      </c>
      <c r="AC287" s="475">
        <f t="shared" ca="1" si="144"/>
        <v>0</v>
      </c>
      <c r="AD287" s="480"/>
      <c r="AE287" s="477">
        <f t="shared" si="145"/>
        <v>0</v>
      </c>
      <c r="AF287" s="480"/>
      <c r="AG287" s="477">
        <f t="shared" si="146"/>
        <v>0</v>
      </c>
      <c r="AH287" s="480"/>
      <c r="AI287" s="477">
        <f t="shared" si="147"/>
        <v>0</v>
      </c>
      <c r="AJ287" s="480"/>
      <c r="AK287" s="477">
        <f t="shared" ca="1" si="148"/>
        <v>0</v>
      </c>
      <c r="AL287" s="475">
        <f t="shared" ca="1" si="149"/>
        <v>0</v>
      </c>
      <c r="AM287" s="480"/>
      <c r="AN287" s="477">
        <f t="shared" si="150"/>
        <v>0</v>
      </c>
      <c r="AO287" s="480"/>
      <c r="AP287" s="477">
        <f t="shared" si="151"/>
        <v>0</v>
      </c>
      <c r="AQ287" s="480"/>
      <c r="AR287" s="477">
        <f t="shared" si="152"/>
        <v>0</v>
      </c>
      <c r="AS287" s="480"/>
      <c r="AT287" s="477">
        <f t="shared" ca="1" si="153"/>
        <v>0</v>
      </c>
      <c r="AU287" s="475">
        <f t="shared" ca="1" si="154"/>
        <v>0</v>
      </c>
      <c r="AV287" s="480"/>
      <c r="AW287" s="477">
        <f t="shared" si="155"/>
        <v>0</v>
      </c>
      <c r="AX287" s="480"/>
      <c r="AY287" s="477">
        <f t="shared" si="156"/>
        <v>0</v>
      </c>
      <c r="AZ287" s="480"/>
      <c r="BA287" s="477">
        <f t="shared" si="157"/>
        <v>0</v>
      </c>
      <c r="BB287" s="480"/>
      <c r="BC287" s="850">
        <f t="shared" ca="1" si="158"/>
        <v>0</v>
      </c>
    </row>
    <row r="288" spans="1:55">
      <c r="A288" s="837" t="str">
        <f t="shared" si="130"/>
        <v/>
      </c>
      <c r="B288" s="440"/>
      <c r="C288" s="834" t="str">
        <f t="shared" ca="1" si="131"/>
        <v/>
      </c>
      <c r="D288" s="1757" t="str">
        <f ca="1">IFERROR(VLOOKUP(LEFT(E288,4),Nom_activ_2!D:G,4,0),"")</f>
        <v/>
      </c>
      <c r="E288" s="1757" t="str">
        <f t="shared" ca="1" si="132"/>
        <v/>
      </c>
      <c r="F288" s="1777">
        <f t="shared" ca="1" si="160"/>
        <v>0</v>
      </c>
      <c r="G288" s="839">
        <f t="shared" ca="1" si="160"/>
        <v>0</v>
      </c>
      <c r="H288" s="840">
        <f t="shared" ca="1" si="160"/>
        <v>0</v>
      </c>
      <c r="I288" s="443"/>
      <c r="J288" s="838" t="str">
        <f t="shared" si="133"/>
        <v>!$A:$j</v>
      </c>
      <c r="K288" s="475">
        <f t="shared" ca="1" si="134"/>
        <v>0</v>
      </c>
      <c r="L288" s="480"/>
      <c r="M288" s="477">
        <f t="shared" si="135"/>
        <v>0</v>
      </c>
      <c r="N288" s="480"/>
      <c r="O288" s="477">
        <f t="shared" si="136"/>
        <v>0</v>
      </c>
      <c r="P288" s="480"/>
      <c r="Q288" s="477">
        <f t="shared" si="137"/>
        <v>0</v>
      </c>
      <c r="R288" s="480"/>
      <c r="S288" s="477">
        <f t="shared" ca="1" si="138"/>
        <v>0</v>
      </c>
      <c r="T288" s="475">
        <f t="shared" ca="1" si="139"/>
        <v>0</v>
      </c>
      <c r="U288" s="480"/>
      <c r="V288" s="477">
        <f t="shared" si="140"/>
        <v>0</v>
      </c>
      <c r="W288" s="480"/>
      <c r="X288" s="477">
        <f t="shared" si="141"/>
        <v>0</v>
      </c>
      <c r="Y288" s="480"/>
      <c r="Z288" s="477">
        <f t="shared" si="142"/>
        <v>0</v>
      </c>
      <c r="AA288" s="480"/>
      <c r="AB288" s="477">
        <f t="shared" ca="1" si="143"/>
        <v>0</v>
      </c>
      <c r="AC288" s="475">
        <f t="shared" ca="1" si="144"/>
        <v>0</v>
      </c>
      <c r="AD288" s="480"/>
      <c r="AE288" s="477">
        <f t="shared" si="145"/>
        <v>0</v>
      </c>
      <c r="AF288" s="480"/>
      <c r="AG288" s="477">
        <f t="shared" si="146"/>
        <v>0</v>
      </c>
      <c r="AH288" s="480"/>
      <c r="AI288" s="477">
        <f t="shared" si="147"/>
        <v>0</v>
      </c>
      <c r="AJ288" s="480"/>
      <c r="AK288" s="477">
        <f t="shared" ca="1" si="148"/>
        <v>0</v>
      </c>
      <c r="AL288" s="475">
        <f t="shared" ca="1" si="149"/>
        <v>0</v>
      </c>
      <c r="AM288" s="480"/>
      <c r="AN288" s="477">
        <f t="shared" si="150"/>
        <v>0</v>
      </c>
      <c r="AO288" s="480"/>
      <c r="AP288" s="477">
        <f t="shared" si="151"/>
        <v>0</v>
      </c>
      <c r="AQ288" s="480"/>
      <c r="AR288" s="477">
        <f t="shared" si="152"/>
        <v>0</v>
      </c>
      <c r="AS288" s="480"/>
      <c r="AT288" s="477">
        <f t="shared" ca="1" si="153"/>
        <v>0</v>
      </c>
      <c r="AU288" s="475">
        <f t="shared" ca="1" si="154"/>
        <v>0</v>
      </c>
      <c r="AV288" s="480"/>
      <c r="AW288" s="477">
        <f t="shared" si="155"/>
        <v>0</v>
      </c>
      <c r="AX288" s="480"/>
      <c r="AY288" s="477">
        <f t="shared" si="156"/>
        <v>0</v>
      </c>
      <c r="AZ288" s="480"/>
      <c r="BA288" s="477">
        <f t="shared" si="157"/>
        <v>0</v>
      </c>
      <c r="BB288" s="480"/>
      <c r="BC288" s="850">
        <f t="shared" ca="1" si="158"/>
        <v>0</v>
      </c>
    </row>
    <row r="289" spans="1:55">
      <c r="A289" s="837" t="str">
        <f t="shared" si="130"/>
        <v/>
      </c>
      <c r="B289" s="440"/>
      <c r="C289" s="834" t="str">
        <f t="shared" ca="1" si="131"/>
        <v/>
      </c>
      <c r="D289" s="1757" t="str">
        <f ca="1">IFERROR(VLOOKUP(LEFT(E289,4),Nom_activ_2!D:G,4,0),"")</f>
        <v/>
      </c>
      <c r="E289" s="1757" t="str">
        <f t="shared" ca="1" si="132"/>
        <v/>
      </c>
      <c r="F289" s="1777">
        <f t="shared" ca="1" si="160"/>
        <v>0</v>
      </c>
      <c r="G289" s="839">
        <f t="shared" ca="1" si="160"/>
        <v>0</v>
      </c>
      <c r="H289" s="840">
        <f t="shared" ca="1" si="160"/>
        <v>0</v>
      </c>
      <c r="I289" s="443"/>
      <c r="J289" s="838" t="str">
        <f t="shared" si="133"/>
        <v>!$A:$j</v>
      </c>
      <c r="K289" s="475">
        <f t="shared" ca="1" si="134"/>
        <v>0</v>
      </c>
      <c r="L289" s="480"/>
      <c r="M289" s="477">
        <f t="shared" si="135"/>
        <v>0</v>
      </c>
      <c r="N289" s="480"/>
      <c r="O289" s="477">
        <f t="shared" si="136"/>
        <v>0</v>
      </c>
      <c r="P289" s="480"/>
      <c r="Q289" s="477">
        <f t="shared" si="137"/>
        <v>0</v>
      </c>
      <c r="R289" s="480"/>
      <c r="S289" s="477">
        <f t="shared" ca="1" si="138"/>
        <v>0</v>
      </c>
      <c r="T289" s="475">
        <f t="shared" ca="1" si="139"/>
        <v>0</v>
      </c>
      <c r="U289" s="480"/>
      <c r="V289" s="477">
        <f t="shared" si="140"/>
        <v>0</v>
      </c>
      <c r="W289" s="480"/>
      <c r="X289" s="477">
        <f t="shared" si="141"/>
        <v>0</v>
      </c>
      <c r="Y289" s="480"/>
      <c r="Z289" s="477">
        <f t="shared" si="142"/>
        <v>0</v>
      </c>
      <c r="AA289" s="480"/>
      <c r="AB289" s="477">
        <f t="shared" ca="1" si="143"/>
        <v>0</v>
      </c>
      <c r="AC289" s="475">
        <f t="shared" ca="1" si="144"/>
        <v>0</v>
      </c>
      <c r="AD289" s="480"/>
      <c r="AE289" s="477">
        <f t="shared" si="145"/>
        <v>0</v>
      </c>
      <c r="AF289" s="480"/>
      <c r="AG289" s="477">
        <f t="shared" si="146"/>
        <v>0</v>
      </c>
      <c r="AH289" s="480"/>
      <c r="AI289" s="477">
        <f t="shared" si="147"/>
        <v>0</v>
      </c>
      <c r="AJ289" s="480"/>
      <c r="AK289" s="477">
        <f t="shared" ca="1" si="148"/>
        <v>0</v>
      </c>
      <c r="AL289" s="475">
        <f t="shared" ca="1" si="149"/>
        <v>0</v>
      </c>
      <c r="AM289" s="480"/>
      <c r="AN289" s="477">
        <f t="shared" si="150"/>
        <v>0</v>
      </c>
      <c r="AO289" s="480"/>
      <c r="AP289" s="477">
        <f t="shared" si="151"/>
        <v>0</v>
      </c>
      <c r="AQ289" s="480"/>
      <c r="AR289" s="477">
        <f t="shared" si="152"/>
        <v>0</v>
      </c>
      <c r="AS289" s="480"/>
      <c r="AT289" s="477">
        <f t="shared" ca="1" si="153"/>
        <v>0</v>
      </c>
      <c r="AU289" s="475">
        <f t="shared" ca="1" si="154"/>
        <v>0</v>
      </c>
      <c r="AV289" s="480"/>
      <c r="AW289" s="477">
        <f t="shared" si="155"/>
        <v>0</v>
      </c>
      <c r="AX289" s="480"/>
      <c r="AY289" s="477">
        <f t="shared" si="156"/>
        <v>0</v>
      </c>
      <c r="AZ289" s="480"/>
      <c r="BA289" s="477">
        <f t="shared" si="157"/>
        <v>0</v>
      </c>
      <c r="BB289" s="480"/>
      <c r="BC289" s="850">
        <f t="shared" ca="1" si="158"/>
        <v>0</v>
      </c>
    </row>
    <row r="290" spans="1:55">
      <c r="A290" s="837" t="str">
        <f t="shared" si="130"/>
        <v/>
      </c>
      <c r="B290" s="440"/>
      <c r="C290" s="834" t="str">
        <f t="shared" ca="1" si="131"/>
        <v/>
      </c>
      <c r="D290" s="1757" t="str">
        <f ca="1">IFERROR(VLOOKUP(LEFT(E290,4),Nom_activ_2!D:G,4,0),"")</f>
        <v/>
      </c>
      <c r="E290" s="1757" t="str">
        <f t="shared" ca="1" si="132"/>
        <v/>
      </c>
      <c r="F290" s="1777">
        <f t="shared" ca="1" si="160"/>
        <v>0</v>
      </c>
      <c r="G290" s="839">
        <f t="shared" ca="1" si="160"/>
        <v>0</v>
      </c>
      <c r="H290" s="840">
        <f t="shared" ca="1" si="160"/>
        <v>0</v>
      </c>
      <c r="I290" s="443"/>
      <c r="J290" s="838" t="str">
        <f t="shared" si="133"/>
        <v>!$A:$j</v>
      </c>
      <c r="K290" s="475">
        <f t="shared" ca="1" si="134"/>
        <v>0</v>
      </c>
      <c r="L290" s="480"/>
      <c r="M290" s="477">
        <f t="shared" si="135"/>
        <v>0</v>
      </c>
      <c r="N290" s="480"/>
      <c r="O290" s="477">
        <f t="shared" si="136"/>
        <v>0</v>
      </c>
      <c r="P290" s="480"/>
      <c r="Q290" s="477">
        <f t="shared" si="137"/>
        <v>0</v>
      </c>
      <c r="R290" s="480"/>
      <c r="S290" s="477">
        <f t="shared" ca="1" si="138"/>
        <v>0</v>
      </c>
      <c r="T290" s="475">
        <f t="shared" ca="1" si="139"/>
        <v>0</v>
      </c>
      <c r="U290" s="480"/>
      <c r="V290" s="477">
        <f t="shared" si="140"/>
        <v>0</v>
      </c>
      <c r="W290" s="480"/>
      <c r="X290" s="477">
        <f t="shared" si="141"/>
        <v>0</v>
      </c>
      <c r="Y290" s="480"/>
      <c r="Z290" s="477">
        <f t="shared" si="142"/>
        <v>0</v>
      </c>
      <c r="AA290" s="480"/>
      <c r="AB290" s="477">
        <f t="shared" ca="1" si="143"/>
        <v>0</v>
      </c>
      <c r="AC290" s="475">
        <f t="shared" ca="1" si="144"/>
        <v>0</v>
      </c>
      <c r="AD290" s="480"/>
      <c r="AE290" s="477">
        <f t="shared" si="145"/>
        <v>0</v>
      </c>
      <c r="AF290" s="480"/>
      <c r="AG290" s="477">
        <f t="shared" si="146"/>
        <v>0</v>
      </c>
      <c r="AH290" s="480"/>
      <c r="AI290" s="477">
        <f t="shared" si="147"/>
        <v>0</v>
      </c>
      <c r="AJ290" s="480"/>
      <c r="AK290" s="477">
        <f t="shared" ca="1" si="148"/>
        <v>0</v>
      </c>
      <c r="AL290" s="475">
        <f t="shared" ca="1" si="149"/>
        <v>0</v>
      </c>
      <c r="AM290" s="480"/>
      <c r="AN290" s="477">
        <f t="shared" si="150"/>
        <v>0</v>
      </c>
      <c r="AO290" s="480"/>
      <c r="AP290" s="477">
        <f t="shared" si="151"/>
        <v>0</v>
      </c>
      <c r="AQ290" s="480"/>
      <c r="AR290" s="477">
        <f t="shared" si="152"/>
        <v>0</v>
      </c>
      <c r="AS290" s="480"/>
      <c r="AT290" s="477">
        <f t="shared" ca="1" si="153"/>
        <v>0</v>
      </c>
      <c r="AU290" s="475">
        <f t="shared" ca="1" si="154"/>
        <v>0</v>
      </c>
      <c r="AV290" s="480"/>
      <c r="AW290" s="477">
        <f t="shared" si="155"/>
        <v>0</v>
      </c>
      <c r="AX290" s="480"/>
      <c r="AY290" s="477">
        <f t="shared" si="156"/>
        <v>0</v>
      </c>
      <c r="AZ290" s="480"/>
      <c r="BA290" s="477">
        <f t="shared" si="157"/>
        <v>0</v>
      </c>
      <c r="BB290" s="480"/>
      <c r="BC290" s="850">
        <f t="shared" ca="1" si="158"/>
        <v>0</v>
      </c>
    </row>
    <row r="291" spans="1:55">
      <c r="A291" s="837" t="str">
        <f t="shared" si="130"/>
        <v/>
      </c>
      <c r="B291" s="440"/>
      <c r="C291" s="834" t="str">
        <f t="shared" ca="1" si="131"/>
        <v/>
      </c>
      <c r="D291" s="1757" t="str">
        <f ca="1">IFERROR(VLOOKUP(LEFT(E291,4),Nom_activ_2!D:G,4,0),"")</f>
        <v/>
      </c>
      <c r="E291" s="1757" t="str">
        <f t="shared" ca="1" si="132"/>
        <v/>
      </c>
      <c r="F291" s="1777">
        <f t="shared" ca="1" si="160"/>
        <v>0</v>
      </c>
      <c r="G291" s="839">
        <f t="shared" ca="1" si="160"/>
        <v>0</v>
      </c>
      <c r="H291" s="840">
        <f t="shared" ca="1" si="160"/>
        <v>0</v>
      </c>
      <c r="I291" s="443"/>
      <c r="J291" s="838" t="str">
        <f t="shared" si="133"/>
        <v>!$A:$j</v>
      </c>
      <c r="K291" s="475">
        <f t="shared" ca="1" si="134"/>
        <v>0</v>
      </c>
      <c r="L291" s="480"/>
      <c r="M291" s="477">
        <f t="shared" si="135"/>
        <v>0</v>
      </c>
      <c r="N291" s="480"/>
      <c r="O291" s="477">
        <f t="shared" si="136"/>
        <v>0</v>
      </c>
      <c r="P291" s="480"/>
      <c r="Q291" s="477">
        <f t="shared" si="137"/>
        <v>0</v>
      </c>
      <c r="R291" s="480"/>
      <c r="S291" s="477">
        <f t="shared" ca="1" si="138"/>
        <v>0</v>
      </c>
      <c r="T291" s="475">
        <f t="shared" ca="1" si="139"/>
        <v>0</v>
      </c>
      <c r="U291" s="480"/>
      <c r="V291" s="477">
        <f t="shared" si="140"/>
        <v>0</v>
      </c>
      <c r="W291" s="480"/>
      <c r="X291" s="477">
        <f t="shared" si="141"/>
        <v>0</v>
      </c>
      <c r="Y291" s="480"/>
      <c r="Z291" s="477">
        <f t="shared" si="142"/>
        <v>0</v>
      </c>
      <c r="AA291" s="480"/>
      <c r="AB291" s="477">
        <f t="shared" ca="1" si="143"/>
        <v>0</v>
      </c>
      <c r="AC291" s="475">
        <f t="shared" ca="1" si="144"/>
        <v>0</v>
      </c>
      <c r="AD291" s="480"/>
      <c r="AE291" s="477">
        <f t="shared" si="145"/>
        <v>0</v>
      </c>
      <c r="AF291" s="480"/>
      <c r="AG291" s="477">
        <f t="shared" si="146"/>
        <v>0</v>
      </c>
      <c r="AH291" s="480"/>
      <c r="AI291" s="477">
        <f t="shared" si="147"/>
        <v>0</v>
      </c>
      <c r="AJ291" s="480"/>
      <c r="AK291" s="477">
        <f t="shared" ca="1" si="148"/>
        <v>0</v>
      </c>
      <c r="AL291" s="475">
        <f t="shared" ca="1" si="149"/>
        <v>0</v>
      </c>
      <c r="AM291" s="480"/>
      <c r="AN291" s="477">
        <f t="shared" si="150"/>
        <v>0</v>
      </c>
      <c r="AO291" s="480"/>
      <c r="AP291" s="477">
        <f t="shared" si="151"/>
        <v>0</v>
      </c>
      <c r="AQ291" s="480"/>
      <c r="AR291" s="477">
        <f t="shared" si="152"/>
        <v>0</v>
      </c>
      <c r="AS291" s="480"/>
      <c r="AT291" s="477">
        <f t="shared" ca="1" si="153"/>
        <v>0</v>
      </c>
      <c r="AU291" s="475">
        <f t="shared" ca="1" si="154"/>
        <v>0</v>
      </c>
      <c r="AV291" s="480"/>
      <c r="AW291" s="477">
        <f t="shared" si="155"/>
        <v>0</v>
      </c>
      <c r="AX291" s="480"/>
      <c r="AY291" s="477">
        <f t="shared" si="156"/>
        <v>0</v>
      </c>
      <c r="AZ291" s="480"/>
      <c r="BA291" s="477">
        <f t="shared" si="157"/>
        <v>0</v>
      </c>
      <c r="BB291" s="480"/>
      <c r="BC291" s="850">
        <f t="shared" ca="1" si="158"/>
        <v>0</v>
      </c>
    </row>
    <row r="292" spans="1:55">
      <c r="A292" s="837" t="str">
        <f t="shared" si="130"/>
        <v/>
      </c>
      <c r="B292" s="440"/>
      <c r="C292" s="834" t="str">
        <f t="shared" ca="1" si="131"/>
        <v/>
      </c>
      <c r="D292" s="1757" t="str">
        <f ca="1">IFERROR(VLOOKUP(LEFT(E292,4),Nom_activ_2!D:G,4,0),"")</f>
        <v/>
      </c>
      <c r="E292" s="1757" t="str">
        <f t="shared" ca="1" si="132"/>
        <v/>
      </c>
      <c r="F292" s="1777">
        <f t="shared" ca="1" si="160"/>
        <v>0</v>
      </c>
      <c r="G292" s="839">
        <f t="shared" ca="1" si="160"/>
        <v>0</v>
      </c>
      <c r="H292" s="840">
        <f t="shared" ca="1" si="160"/>
        <v>0</v>
      </c>
      <c r="I292" s="443"/>
      <c r="J292" s="838" t="str">
        <f t="shared" si="133"/>
        <v>!$A:$j</v>
      </c>
      <c r="K292" s="475">
        <f t="shared" ca="1" si="134"/>
        <v>0</v>
      </c>
      <c r="L292" s="480"/>
      <c r="M292" s="477">
        <f t="shared" si="135"/>
        <v>0</v>
      </c>
      <c r="N292" s="480"/>
      <c r="O292" s="477">
        <f t="shared" si="136"/>
        <v>0</v>
      </c>
      <c r="P292" s="480"/>
      <c r="Q292" s="477">
        <f t="shared" si="137"/>
        <v>0</v>
      </c>
      <c r="R292" s="480"/>
      <c r="S292" s="477">
        <f t="shared" ca="1" si="138"/>
        <v>0</v>
      </c>
      <c r="T292" s="475">
        <f t="shared" ca="1" si="139"/>
        <v>0</v>
      </c>
      <c r="U292" s="480"/>
      <c r="V292" s="477">
        <f t="shared" si="140"/>
        <v>0</v>
      </c>
      <c r="W292" s="480"/>
      <c r="X292" s="477">
        <f t="shared" si="141"/>
        <v>0</v>
      </c>
      <c r="Y292" s="480"/>
      <c r="Z292" s="477">
        <f t="shared" si="142"/>
        <v>0</v>
      </c>
      <c r="AA292" s="480"/>
      <c r="AB292" s="477">
        <f t="shared" ca="1" si="143"/>
        <v>0</v>
      </c>
      <c r="AC292" s="475">
        <f t="shared" ca="1" si="144"/>
        <v>0</v>
      </c>
      <c r="AD292" s="480"/>
      <c r="AE292" s="477">
        <f t="shared" si="145"/>
        <v>0</v>
      </c>
      <c r="AF292" s="480"/>
      <c r="AG292" s="477">
        <f t="shared" si="146"/>
        <v>0</v>
      </c>
      <c r="AH292" s="480"/>
      <c r="AI292" s="477">
        <f t="shared" si="147"/>
        <v>0</v>
      </c>
      <c r="AJ292" s="480"/>
      <c r="AK292" s="477">
        <f t="shared" ca="1" si="148"/>
        <v>0</v>
      </c>
      <c r="AL292" s="475">
        <f t="shared" ca="1" si="149"/>
        <v>0</v>
      </c>
      <c r="AM292" s="480"/>
      <c r="AN292" s="477">
        <f t="shared" si="150"/>
        <v>0</v>
      </c>
      <c r="AO292" s="480"/>
      <c r="AP292" s="477">
        <f t="shared" si="151"/>
        <v>0</v>
      </c>
      <c r="AQ292" s="480"/>
      <c r="AR292" s="477">
        <f t="shared" si="152"/>
        <v>0</v>
      </c>
      <c r="AS292" s="480"/>
      <c r="AT292" s="477">
        <f t="shared" ca="1" si="153"/>
        <v>0</v>
      </c>
      <c r="AU292" s="475">
        <f t="shared" ca="1" si="154"/>
        <v>0</v>
      </c>
      <c r="AV292" s="480"/>
      <c r="AW292" s="477">
        <f t="shared" si="155"/>
        <v>0</v>
      </c>
      <c r="AX292" s="480"/>
      <c r="AY292" s="477">
        <f t="shared" si="156"/>
        <v>0</v>
      </c>
      <c r="AZ292" s="480"/>
      <c r="BA292" s="477">
        <f t="shared" si="157"/>
        <v>0</v>
      </c>
      <c r="BB292" s="480"/>
      <c r="BC292" s="850">
        <f t="shared" ca="1" si="158"/>
        <v>0</v>
      </c>
    </row>
    <row r="293" spans="1:55">
      <c r="A293" s="837" t="str">
        <f t="shared" si="130"/>
        <v/>
      </c>
      <c r="B293" s="440"/>
      <c r="C293" s="834" t="str">
        <f t="shared" ca="1" si="131"/>
        <v/>
      </c>
      <c r="D293" s="1757" t="str">
        <f ca="1">IFERROR(VLOOKUP(LEFT(E293,4),Nom_activ_2!D:G,4,0),"")</f>
        <v/>
      </c>
      <c r="E293" s="1757" t="str">
        <f t="shared" ca="1" si="132"/>
        <v/>
      </c>
      <c r="F293" s="1777">
        <f t="shared" ca="1" si="160"/>
        <v>0</v>
      </c>
      <c r="G293" s="839">
        <f t="shared" ca="1" si="160"/>
        <v>0</v>
      </c>
      <c r="H293" s="840">
        <f t="shared" ca="1" si="160"/>
        <v>0</v>
      </c>
      <c r="I293" s="443"/>
      <c r="J293" s="838" t="str">
        <f t="shared" si="133"/>
        <v>!$A:$j</v>
      </c>
      <c r="K293" s="475">
        <f t="shared" ca="1" si="134"/>
        <v>0</v>
      </c>
      <c r="L293" s="480"/>
      <c r="M293" s="477">
        <f t="shared" si="135"/>
        <v>0</v>
      </c>
      <c r="N293" s="480"/>
      <c r="O293" s="477">
        <f t="shared" si="136"/>
        <v>0</v>
      </c>
      <c r="P293" s="480"/>
      <c r="Q293" s="477">
        <f t="shared" si="137"/>
        <v>0</v>
      </c>
      <c r="R293" s="480"/>
      <c r="S293" s="477">
        <f t="shared" ca="1" si="138"/>
        <v>0</v>
      </c>
      <c r="T293" s="475">
        <f t="shared" ca="1" si="139"/>
        <v>0</v>
      </c>
      <c r="U293" s="480"/>
      <c r="V293" s="477">
        <f t="shared" si="140"/>
        <v>0</v>
      </c>
      <c r="W293" s="480"/>
      <c r="X293" s="477">
        <f t="shared" si="141"/>
        <v>0</v>
      </c>
      <c r="Y293" s="480"/>
      <c r="Z293" s="477">
        <f t="shared" si="142"/>
        <v>0</v>
      </c>
      <c r="AA293" s="480"/>
      <c r="AB293" s="477">
        <f t="shared" ca="1" si="143"/>
        <v>0</v>
      </c>
      <c r="AC293" s="475">
        <f t="shared" ca="1" si="144"/>
        <v>0</v>
      </c>
      <c r="AD293" s="480"/>
      <c r="AE293" s="477">
        <f t="shared" si="145"/>
        <v>0</v>
      </c>
      <c r="AF293" s="480"/>
      <c r="AG293" s="477">
        <f t="shared" si="146"/>
        <v>0</v>
      </c>
      <c r="AH293" s="480"/>
      <c r="AI293" s="477">
        <f t="shared" si="147"/>
        <v>0</v>
      </c>
      <c r="AJ293" s="480"/>
      <c r="AK293" s="477">
        <f t="shared" ca="1" si="148"/>
        <v>0</v>
      </c>
      <c r="AL293" s="475">
        <f t="shared" ca="1" si="149"/>
        <v>0</v>
      </c>
      <c r="AM293" s="480"/>
      <c r="AN293" s="477">
        <f t="shared" si="150"/>
        <v>0</v>
      </c>
      <c r="AO293" s="480"/>
      <c r="AP293" s="477">
        <f t="shared" si="151"/>
        <v>0</v>
      </c>
      <c r="AQ293" s="480"/>
      <c r="AR293" s="477">
        <f t="shared" si="152"/>
        <v>0</v>
      </c>
      <c r="AS293" s="480"/>
      <c r="AT293" s="477">
        <f t="shared" ca="1" si="153"/>
        <v>0</v>
      </c>
      <c r="AU293" s="475">
        <f t="shared" ca="1" si="154"/>
        <v>0</v>
      </c>
      <c r="AV293" s="480"/>
      <c r="AW293" s="477">
        <f t="shared" si="155"/>
        <v>0</v>
      </c>
      <c r="AX293" s="480"/>
      <c r="AY293" s="477">
        <f t="shared" si="156"/>
        <v>0</v>
      </c>
      <c r="AZ293" s="480"/>
      <c r="BA293" s="477">
        <f t="shared" si="157"/>
        <v>0</v>
      </c>
      <c r="BB293" s="480"/>
      <c r="BC293" s="850">
        <f t="shared" ca="1" si="158"/>
        <v>0</v>
      </c>
    </row>
    <row r="294" spans="1:55">
      <c r="A294" s="837" t="str">
        <f t="shared" si="130"/>
        <v/>
      </c>
      <c r="B294" s="440"/>
      <c r="C294" s="834" t="str">
        <f t="shared" ca="1" si="131"/>
        <v/>
      </c>
      <c r="D294" s="1757" t="str">
        <f ca="1">IFERROR(VLOOKUP(LEFT(E294,4),Nom_activ_2!D:G,4,0),"")</f>
        <v/>
      </c>
      <c r="E294" s="1757" t="str">
        <f t="shared" ca="1" si="132"/>
        <v/>
      </c>
      <c r="F294" s="1777">
        <f t="shared" ca="1" si="160"/>
        <v>0</v>
      </c>
      <c r="G294" s="839">
        <f t="shared" ca="1" si="160"/>
        <v>0</v>
      </c>
      <c r="H294" s="840">
        <f t="shared" ca="1" si="160"/>
        <v>0</v>
      </c>
      <c r="I294" s="443"/>
      <c r="J294" s="838" t="str">
        <f t="shared" si="133"/>
        <v>!$A:$j</v>
      </c>
      <c r="K294" s="475">
        <f t="shared" ca="1" si="134"/>
        <v>0</v>
      </c>
      <c r="L294" s="480"/>
      <c r="M294" s="477">
        <f t="shared" si="135"/>
        <v>0</v>
      </c>
      <c r="N294" s="480"/>
      <c r="O294" s="477">
        <f t="shared" si="136"/>
        <v>0</v>
      </c>
      <c r="P294" s="480"/>
      <c r="Q294" s="477">
        <f t="shared" si="137"/>
        <v>0</v>
      </c>
      <c r="R294" s="480"/>
      <c r="S294" s="477">
        <f t="shared" ca="1" si="138"/>
        <v>0</v>
      </c>
      <c r="T294" s="475">
        <f t="shared" ca="1" si="139"/>
        <v>0</v>
      </c>
      <c r="U294" s="480"/>
      <c r="V294" s="477">
        <f t="shared" si="140"/>
        <v>0</v>
      </c>
      <c r="W294" s="480"/>
      <c r="X294" s="477">
        <f t="shared" si="141"/>
        <v>0</v>
      </c>
      <c r="Y294" s="480"/>
      <c r="Z294" s="477">
        <f t="shared" si="142"/>
        <v>0</v>
      </c>
      <c r="AA294" s="480"/>
      <c r="AB294" s="477">
        <f t="shared" ca="1" si="143"/>
        <v>0</v>
      </c>
      <c r="AC294" s="475">
        <f t="shared" ca="1" si="144"/>
        <v>0</v>
      </c>
      <c r="AD294" s="480"/>
      <c r="AE294" s="477">
        <f t="shared" si="145"/>
        <v>0</v>
      </c>
      <c r="AF294" s="480"/>
      <c r="AG294" s="477">
        <f t="shared" si="146"/>
        <v>0</v>
      </c>
      <c r="AH294" s="480"/>
      <c r="AI294" s="477">
        <f t="shared" si="147"/>
        <v>0</v>
      </c>
      <c r="AJ294" s="480"/>
      <c r="AK294" s="477">
        <f t="shared" ca="1" si="148"/>
        <v>0</v>
      </c>
      <c r="AL294" s="475">
        <f t="shared" ca="1" si="149"/>
        <v>0</v>
      </c>
      <c r="AM294" s="480"/>
      <c r="AN294" s="477">
        <f t="shared" si="150"/>
        <v>0</v>
      </c>
      <c r="AO294" s="480"/>
      <c r="AP294" s="477">
        <f t="shared" si="151"/>
        <v>0</v>
      </c>
      <c r="AQ294" s="480"/>
      <c r="AR294" s="477">
        <f t="shared" si="152"/>
        <v>0</v>
      </c>
      <c r="AS294" s="480"/>
      <c r="AT294" s="477">
        <f t="shared" ca="1" si="153"/>
        <v>0</v>
      </c>
      <c r="AU294" s="475">
        <f t="shared" ca="1" si="154"/>
        <v>0</v>
      </c>
      <c r="AV294" s="480"/>
      <c r="AW294" s="477">
        <f t="shared" si="155"/>
        <v>0</v>
      </c>
      <c r="AX294" s="480"/>
      <c r="AY294" s="477">
        <f t="shared" si="156"/>
        <v>0</v>
      </c>
      <c r="AZ294" s="480"/>
      <c r="BA294" s="477">
        <f t="shared" si="157"/>
        <v>0</v>
      </c>
      <c r="BB294" s="480"/>
      <c r="BC294" s="850">
        <f t="shared" ca="1" si="158"/>
        <v>0</v>
      </c>
    </row>
    <row r="295" spans="1:55">
      <c r="A295" s="837" t="str">
        <f t="shared" si="130"/>
        <v/>
      </c>
      <c r="B295" s="440"/>
      <c r="C295" s="834" t="str">
        <f t="shared" ca="1" si="131"/>
        <v/>
      </c>
      <c r="D295" s="1757" t="str">
        <f ca="1">IFERROR(VLOOKUP(LEFT(E295,4),Nom_activ_2!D:G,4,0),"")</f>
        <v/>
      </c>
      <c r="E295" s="1757" t="str">
        <f t="shared" ca="1" si="132"/>
        <v/>
      </c>
      <c r="F295" s="1777">
        <f t="shared" ca="1" si="160"/>
        <v>0</v>
      </c>
      <c r="G295" s="839">
        <f t="shared" ca="1" si="160"/>
        <v>0</v>
      </c>
      <c r="H295" s="840">
        <f t="shared" ca="1" si="160"/>
        <v>0</v>
      </c>
      <c r="I295" s="443"/>
      <c r="J295" s="838" t="str">
        <f t="shared" si="133"/>
        <v>!$A:$j</v>
      </c>
      <c r="K295" s="475">
        <f t="shared" ca="1" si="134"/>
        <v>0</v>
      </c>
      <c r="L295" s="480"/>
      <c r="M295" s="477">
        <f t="shared" si="135"/>
        <v>0</v>
      </c>
      <c r="N295" s="480"/>
      <c r="O295" s="477">
        <f t="shared" si="136"/>
        <v>0</v>
      </c>
      <c r="P295" s="480"/>
      <c r="Q295" s="477">
        <f t="shared" si="137"/>
        <v>0</v>
      </c>
      <c r="R295" s="480"/>
      <c r="S295" s="477">
        <f t="shared" ca="1" si="138"/>
        <v>0</v>
      </c>
      <c r="T295" s="475">
        <f t="shared" ca="1" si="139"/>
        <v>0</v>
      </c>
      <c r="U295" s="480"/>
      <c r="V295" s="477">
        <f t="shared" si="140"/>
        <v>0</v>
      </c>
      <c r="W295" s="480"/>
      <c r="X295" s="477">
        <f t="shared" si="141"/>
        <v>0</v>
      </c>
      <c r="Y295" s="480"/>
      <c r="Z295" s="477">
        <f t="shared" si="142"/>
        <v>0</v>
      </c>
      <c r="AA295" s="480"/>
      <c r="AB295" s="477">
        <f t="shared" ca="1" si="143"/>
        <v>0</v>
      </c>
      <c r="AC295" s="475">
        <f t="shared" ca="1" si="144"/>
        <v>0</v>
      </c>
      <c r="AD295" s="480"/>
      <c r="AE295" s="477">
        <f t="shared" si="145"/>
        <v>0</v>
      </c>
      <c r="AF295" s="480"/>
      <c r="AG295" s="477">
        <f t="shared" si="146"/>
        <v>0</v>
      </c>
      <c r="AH295" s="480"/>
      <c r="AI295" s="477">
        <f t="shared" si="147"/>
        <v>0</v>
      </c>
      <c r="AJ295" s="480"/>
      <c r="AK295" s="477">
        <f t="shared" ca="1" si="148"/>
        <v>0</v>
      </c>
      <c r="AL295" s="475">
        <f t="shared" ca="1" si="149"/>
        <v>0</v>
      </c>
      <c r="AM295" s="480"/>
      <c r="AN295" s="477">
        <f t="shared" si="150"/>
        <v>0</v>
      </c>
      <c r="AO295" s="480"/>
      <c r="AP295" s="477">
        <f t="shared" si="151"/>
        <v>0</v>
      </c>
      <c r="AQ295" s="480"/>
      <c r="AR295" s="477">
        <f t="shared" si="152"/>
        <v>0</v>
      </c>
      <c r="AS295" s="480"/>
      <c r="AT295" s="477">
        <f t="shared" ca="1" si="153"/>
        <v>0</v>
      </c>
      <c r="AU295" s="475">
        <f t="shared" ca="1" si="154"/>
        <v>0</v>
      </c>
      <c r="AV295" s="480"/>
      <c r="AW295" s="477">
        <f t="shared" si="155"/>
        <v>0</v>
      </c>
      <c r="AX295" s="480"/>
      <c r="AY295" s="477">
        <f t="shared" si="156"/>
        <v>0</v>
      </c>
      <c r="AZ295" s="480"/>
      <c r="BA295" s="477">
        <f t="shared" si="157"/>
        <v>0</v>
      </c>
      <c r="BB295" s="480"/>
      <c r="BC295" s="850">
        <f t="shared" ca="1" si="158"/>
        <v>0</v>
      </c>
    </row>
    <row r="296" spans="1:55">
      <c r="A296" s="837" t="str">
        <f t="shared" si="130"/>
        <v/>
      </c>
      <c r="B296" s="440"/>
      <c r="C296" s="834" t="str">
        <f t="shared" ca="1" si="131"/>
        <v/>
      </c>
      <c r="D296" s="1757" t="str">
        <f ca="1">IFERROR(VLOOKUP(LEFT(E296,4),Nom_activ_2!D:G,4,0),"")</f>
        <v/>
      </c>
      <c r="E296" s="1757" t="str">
        <f t="shared" ca="1" si="132"/>
        <v/>
      </c>
      <c r="F296" s="1777">
        <f t="shared" ca="1" si="160"/>
        <v>0</v>
      </c>
      <c r="G296" s="839">
        <f t="shared" ca="1" si="160"/>
        <v>0</v>
      </c>
      <c r="H296" s="840">
        <f t="shared" ca="1" si="160"/>
        <v>0</v>
      </c>
      <c r="I296" s="443"/>
      <c r="J296" s="838" t="str">
        <f t="shared" si="133"/>
        <v>!$A:$j</v>
      </c>
      <c r="K296" s="475">
        <f t="shared" ca="1" si="134"/>
        <v>0</v>
      </c>
      <c r="L296" s="480"/>
      <c r="M296" s="477">
        <f t="shared" si="135"/>
        <v>0</v>
      </c>
      <c r="N296" s="480"/>
      <c r="O296" s="477">
        <f t="shared" si="136"/>
        <v>0</v>
      </c>
      <c r="P296" s="480"/>
      <c r="Q296" s="477">
        <f t="shared" si="137"/>
        <v>0</v>
      </c>
      <c r="R296" s="480"/>
      <c r="S296" s="477">
        <f t="shared" ca="1" si="138"/>
        <v>0</v>
      </c>
      <c r="T296" s="475">
        <f t="shared" ca="1" si="139"/>
        <v>0</v>
      </c>
      <c r="U296" s="480"/>
      <c r="V296" s="477">
        <f t="shared" si="140"/>
        <v>0</v>
      </c>
      <c r="W296" s="480"/>
      <c r="X296" s="477">
        <f t="shared" si="141"/>
        <v>0</v>
      </c>
      <c r="Y296" s="480"/>
      <c r="Z296" s="477">
        <f t="shared" si="142"/>
        <v>0</v>
      </c>
      <c r="AA296" s="480"/>
      <c r="AB296" s="477">
        <f t="shared" ca="1" si="143"/>
        <v>0</v>
      </c>
      <c r="AC296" s="475">
        <f t="shared" ca="1" si="144"/>
        <v>0</v>
      </c>
      <c r="AD296" s="480"/>
      <c r="AE296" s="477">
        <f t="shared" si="145"/>
        <v>0</v>
      </c>
      <c r="AF296" s="480"/>
      <c r="AG296" s="477">
        <f t="shared" si="146"/>
        <v>0</v>
      </c>
      <c r="AH296" s="480"/>
      <c r="AI296" s="477">
        <f t="shared" si="147"/>
        <v>0</v>
      </c>
      <c r="AJ296" s="480"/>
      <c r="AK296" s="477">
        <f t="shared" ca="1" si="148"/>
        <v>0</v>
      </c>
      <c r="AL296" s="475">
        <f t="shared" ca="1" si="149"/>
        <v>0</v>
      </c>
      <c r="AM296" s="480"/>
      <c r="AN296" s="477">
        <f t="shared" si="150"/>
        <v>0</v>
      </c>
      <c r="AO296" s="480"/>
      <c r="AP296" s="477">
        <f t="shared" si="151"/>
        <v>0</v>
      </c>
      <c r="AQ296" s="480"/>
      <c r="AR296" s="477">
        <f t="shared" si="152"/>
        <v>0</v>
      </c>
      <c r="AS296" s="480"/>
      <c r="AT296" s="477">
        <f t="shared" ca="1" si="153"/>
        <v>0</v>
      </c>
      <c r="AU296" s="475">
        <f t="shared" ca="1" si="154"/>
        <v>0</v>
      </c>
      <c r="AV296" s="480"/>
      <c r="AW296" s="477">
        <f t="shared" si="155"/>
        <v>0</v>
      </c>
      <c r="AX296" s="480"/>
      <c r="AY296" s="477">
        <f t="shared" si="156"/>
        <v>0</v>
      </c>
      <c r="AZ296" s="480"/>
      <c r="BA296" s="477">
        <f t="shared" si="157"/>
        <v>0</v>
      </c>
      <c r="BB296" s="480"/>
      <c r="BC296" s="850">
        <f t="shared" ca="1" si="158"/>
        <v>0</v>
      </c>
    </row>
    <row r="297" spans="1:55">
      <c r="A297" s="837" t="str">
        <f t="shared" si="130"/>
        <v/>
      </c>
      <c r="B297" s="440"/>
      <c r="C297" s="834" t="str">
        <f t="shared" ca="1" si="131"/>
        <v/>
      </c>
      <c r="D297" s="1757" t="str">
        <f ca="1">IFERROR(VLOOKUP(LEFT(E297,4),Nom_activ_2!D:G,4,0),"")</f>
        <v/>
      </c>
      <c r="E297" s="1757" t="str">
        <f t="shared" ca="1" si="132"/>
        <v/>
      </c>
      <c r="F297" s="1777">
        <f t="shared" ca="1" si="160"/>
        <v>0</v>
      </c>
      <c r="G297" s="839">
        <f t="shared" ca="1" si="160"/>
        <v>0</v>
      </c>
      <c r="H297" s="840">
        <f t="shared" ca="1" si="160"/>
        <v>0</v>
      </c>
      <c r="I297" s="443"/>
      <c r="J297" s="838" t="str">
        <f t="shared" si="133"/>
        <v>!$A:$j</v>
      </c>
      <c r="K297" s="475">
        <f t="shared" ca="1" si="134"/>
        <v>0</v>
      </c>
      <c r="L297" s="480"/>
      <c r="M297" s="477">
        <f t="shared" si="135"/>
        <v>0</v>
      </c>
      <c r="N297" s="480"/>
      <c r="O297" s="477">
        <f t="shared" si="136"/>
        <v>0</v>
      </c>
      <c r="P297" s="480"/>
      <c r="Q297" s="477">
        <f t="shared" si="137"/>
        <v>0</v>
      </c>
      <c r="R297" s="480"/>
      <c r="S297" s="477">
        <f t="shared" ca="1" si="138"/>
        <v>0</v>
      </c>
      <c r="T297" s="475">
        <f t="shared" ca="1" si="139"/>
        <v>0</v>
      </c>
      <c r="U297" s="480"/>
      <c r="V297" s="477">
        <f t="shared" si="140"/>
        <v>0</v>
      </c>
      <c r="W297" s="480"/>
      <c r="X297" s="477">
        <f t="shared" si="141"/>
        <v>0</v>
      </c>
      <c r="Y297" s="480"/>
      <c r="Z297" s="477">
        <f t="shared" si="142"/>
        <v>0</v>
      </c>
      <c r="AA297" s="480"/>
      <c r="AB297" s="477">
        <f t="shared" ca="1" si="143"/>
        <v>0</v>
      </c>
      <c r="AC297" s="475">
        <f t="shared" ca="1" si="144"/>
        <v>0</v>
      </c>
      <c r="AD297" s="480"/>
      <c r="AE297" s="477">
        <f t="shared" si="145"/>
        <v>0</v>
      </c>
      <c r="AF297" s="480"/>
      <c r="AG297" s="477">
        <f t="shared" si="146"/>
        <v>0</v>
      </c>
      <c r="AH297" s="480"/>
      <c r="AI297" s="477">
        <f t="shared" si="147"/>
        <v>0</v>
      </c>
      <c r="AJ297" s="480"/>
      <c r="AK297" s="477">
        <f t="shared" ca="1" si="148"/>
        <v>0</v>
      </c>
      <c r="AL297" s="475">
        <f t="shared" ca="1" si="149"/>
        <v>0</v>
      </c>
      <c r="AM297" s="480"/>
      <c r="AN297" s="477">
        <f t="shared" si="150"/>
        <v>0</v>
      </c>
      <c r="AO297" s="480"/>
      <c r="AP297" s="477">
        <f t="shared" si="151"/>
        <v>0</v>
      </c>
      <c r="AQ297" s="480"/>
      <c r="AR297" s="477">
        <f t="shared" si="152"/>
        <v>0</v>
      </c>
      <c r="AS297" s="480"/>
      <c r="AT297" s="477">
        <f t="shared" ca="1" si="153"/>
        <v>0</v>
      </c>
      <c r="AU297" s="475">
        <f t="shared" ca="1" si="154"/>
        <v>0</v>
      </c>
      <c r="AV297" s="480"/>
      <c r="AW297" s="477">
        <f t="shared" si="155"/>
        <v>0</v>
      </c>
      <c r="AX297" s="480"/>
      <c r="AY297" s="477">
        <f t="shared" si="156"/>
        <v>0</v>
      </c>
      <c r="AZ297" s="480"/>
      <c r="BA297" s="477">
        <f t="shared" si="157"/>
        <v>0</v>
      </c>
      <c r="BB297" s="480"/>
      <c r="BC297" s="850">
        <f t="shared" ca="1" si="158"/>
        <v>0</v>
      </c>
    </row>
    <row r="298" spans="1:55">
      <c r="A298" s="837" t="str">
        <f t="shared" si="130"/>
        <v/>
      </c>
      <c r="B298" s="440"/>
      <c r="C298" s="834" t="str">
        <f t="shared" ca="1" si="131"/>
        <v/>
      </c>
      <c r="D298" s="1757" t="str">
        <f ca="1">IFERROR(VLOOKUP(LEFT(E298,4),Nom_activ_2!D:G,4,0),"")</f>
        <v/>
      </c>
      <c r="E298" s="1757" t="str">
        <f t="shared" ca="1" si="132"/>
        <v/>
      </c>
      <c r="F298" s="1777">
        <f t="shared" ca="1" si="160"/>
        <v>0</v>
      </c>
      <c r="G298" s="839">
        <f t="shared" ca="1" si="160"/>
        <v>0</v>
      </c>
      <c r="H298" s="840">
        <f t="shared" ca="1" si="160"/>
        <v>0</v>
      </c>
      <c r="I298" s="443"/>
      <c r="J298" s="838" t="str">
        <f t="shared" si="133"/>
        <v>!$A:$j</v>
      </c>
      <c r="K298" s="475">
        <f t="shared" ca="1" si="134"/>
        <v>0</v>
      </c>
      <c r="L298" s="480"/>
      <c r="M298" s="477">
        <f t="shared" si="135"/>
        <v>0</v>
      </c>
      <c r="N298" s="480"/>
      <c r="O298" s="477">
        <f t="shared" si="136"/>
        <v>0</v>
      </c>
      <c r="P298" s="480"/>
      <c r="Q298" s="477">
        <f t="shared" si="137"/>
        <v>0</v>
      </c>
      <c r="R298" s="480"/>
      <c r="S298" s="477">
        <f t="shared" ca="1" si="138"/>
        <v>0</v>
      </c>
      <c r="T298" s="475">
        <f t="shared" ca="1" si="139"/>
        <v>0</v>
      </c>
      <c r="U298" s="480"/>
      <c r="V298" s="477">
        <f t="shared" si="140"/>
        <v>0</v>
      </c>
      <c r="W298" s="480"/>
      <c r="X298" s="477">
        <f t="shared" si="141"/>
        <v>0</v>
      </c>
      <c r="Y298" s="480"/>
      <c r="Z298" s="477">
        <f t="shared" si="142"/>
        <v>0</v>
      </c>
      <c r="AA298" s="480"/>
      <c r="AB298" s="477">
        <f t="shared" ca="1" si="143"/>
        <v>0</v>
      </c>
      <c r="AC298" s="475">
        <f t="shared" ca="1" si="144"/>
        <v>0</v>
      </c>
      <c r="AD298" s="480"/>
      <c r="AE298" s="477">
        <f t="shared" si="145"/>
        <v>0</v>
      </c>
      <c r="AF298" s="480"/>
      <c r="AG298" s="477">
        <f t="shared" si="146"/>
        <v>0</v>
      </c>
      <c r="AH298" s="480"/>
      <c r="AI298" s="477">
        <f t="shared" si="147"/>
        <v>0</v>
      </c>
      <c r="AJ298" s="480"/>
      <c r="AK298" s="477">
        <f t="shared" ca="1" si="148"/>
        <v>0</v>
      </c>
      <c r="AL298" s="475">
        <f t="shared" ca="1" si="149"/>
        <v>0</v>
      </c>
      <c r="AM298" s="480"/>
      <c r="AN298" s="477">
        <f t="shared" si="150"/>
        <v>0</v>
      </c>
      <c r="AO298" s="480"/>
      <c r="AP298" s="477">
        <f t="shared" si="151"/>
        <v>0</v>
      </c>
      <c r="AQ298" s="480"/>
      <c r="AR298" s="477">
        <f t="shared" si="152"/>
        <v>0</v>
      </c>
      <c r="AS298" s="480"/>
      <c r="AT298" s="477">
        <f t="shared" ca="1" si="153"/>
        <v>0</v>
      </c>
      <c r="AU298" s="475">
        <f t="shared" ca="1" si="154"/>
        <v>0</v>
      </c>
      <c r="AV298" s="480"/>
      <c r="AW298" s="477">
        <f t="shared" si="155"/>
        <v>0</v>
      </c>
      <c r="AX298" s="480"/>
      <c r="AY298" s="477">
        <f t="shared" si="156"/>
        <v>0</v>
      </c>
      <c r="AZ298" s="480"/>
      <c r="BA298" s="477">
        <f t="shared" si="157"/>
        <v>0</v>
      </c>
      <c r="BB298" s="480"/>
      <c r="BC298" s="850">
        <f t="shared" ca="1" si="158"/>
        <v>0</v>
      </c>
    </row>
    <row r="299" spans="1:55">
      <c r="A299" s="837" t="str">
        <f t="shared" si="130"/>
        <v/>
      </c>
      <c r="B299" s="440"/>
      <c r="C299" s="834" t="str">
        <f t="shared" ca="1" si="131"/>
        <v/>
      </c>
      <c r="D299" s="1757" t="str">
        <f ca="1">IFERROR(VLOOKUP(LEFT(E299,4),Nom_activ_2!D:G,4,0),"")</f>
        <v/>
      </c>
      <c r="E299" s="1757" t="str">
        <f t="shared" ca="1" si="132"/>
        <v/>
      </c>
      <c r="F299" s="1777">
        <f t="shared" ca="1" si="160"/>
        <v>0</v>
      </c>
      <c r="G299" s="839">
        <f t="shared" ca="1" si="160"/>
        <v>0</v>
      </c>
      <c r="H299" s="840">
        <f t="shared" ca="1" si="160"/>
        <v>0</v>
      </c>
      <c r="I299" s="443"/>
      <c r="J299" s="838" t="str">
        <f t="shared" si="133"/>
        <v>!$A:$j</v>
      </c>
      <c r="K299" s="475">
        <f t="shared" ca="1" si="134"/>
        <v>0</v>
      </c>
      <c r="L299" s="480"/>
      <c r="M299" s="477">
        <f t="shared" si="135"/>
        <v>0</v>
      </c>
      <c r="N299" s="480"/>
      <c r="O299" s="477">
        <f t="shared" si="136"/>
        <v>0</v>
      </c>
      <c r="P299" s="480"/>
      <c r="Q299" s="477">
        <f t="shared" si="137"/>
        <v>0</v>
      </c>
      <c r="R299" s="480"/>
      <c r="S299" s="477">
        <f t="shared" ca="1" si="138"/>
        <v>0</v>
      </c>
      <c r="T299" s="475">
        <f t="shared" ca="1" si="139"/>
        <v>0</v>
      </c>
      <c r="U299" s="480"/>
      <c r="V299" s="477">
        <f t="shared" si="140"/>
        <v>0</v>
      </c>
      <c r="W299" s="480"/>
      <c r="X299" s="477">
        <f t="shared" si="141"/>
        <v>0</v>
      </c>
      <c r="Y299" s="480"/>
      <c r="Z299" s="477">
        <f t="shared" si="142"/>
        <v>0</v>
      </c>
      <c r="AA299" s="480"/>
      <c r="AB299" s="477">
        <f t="shared" ca="1" si="143"/>
        <v>0</v>
      </c>
      <c r="AC299" s="475">
        <f t="shared" ca="1" si="144"/>
        <v>0</v>
      </c>
      <c r="AD299" s="480"/>
      <c r="AE299" s="477">
        <f t="shared" si="145"/>
        <v>0</v>
      </c>
      <c r="AF299" s="480"/>
      <c r="AG299" s="477">
        <f t="shared" si="146"/>
        <v>0</v>
      </c>
      <c r="AH299" s="480"/>
      <c r="AI299" s="477">
        <f t="shared" si="147"/>
        <v>0</v>
      </c>
      <c r="AJ299" s="480"/>
      <c r="AK299" s="477">
        <f t="shared" ca="1" si="148"/>
        <v>0</v>
      </c>
      <c r="AL299" s="475">
        <f t="shared" ca="1" si="149"/>
        <v>0</v>
      </c>
      <c r="AM299" s="480"/>
      <c r="AN299" s="477">
        <f t="shared" si="150"/>
        <v>0</v>
      </c>
      <c r="AO299" s="480"/>
      <c r="AP299" s="477">
        <f t="shared" si="151"/>
        <v>0</v>
      </c>
      <c r="AQ299" s="480"/>
      <c r="AR299" s="477">
        <f t="shared" si="152"/>
        <v>0</v>
      </c>
      <c r="AS299" s="480"/>
      <c r="AT299" s="477">
        <f t="shared" ca="1" si="153"/>
        <v>0</v>
      </c>
      <c r="AU299" s="475">
        <f t="shared" ca="1" si="154"/>
        <v>0</v>
      </c>
      <c r="AV299" s="480"/>
      <c r="AW299" s="477">
        <f t="shared" si="155"/>
        <v>0</v>
      </c>
      <c r="AX299" s="480"/>
      <c r="AY299" s="477">
        <f t="shared" si="156"/>
        <v>0</v>
      </c>
      <c r="AZ299" s="480"/>
      <c r="BA299" s="477">
        <f t="shared" si="157"/>
        <v>0</v>
      </c>
      <c r="BB299" s="480"/>
      <c r="BC299" s="850">
        <f t="shared" ca="1" si="158"/>
        <v>0</v>
      </c>
    </row>
    <row r="300" spans="1:55">
      <c r="A300" s="837" t="str">
        <f t="shared" si="130"/>
        <v/>
      </c>
      <c r="B300" s="440"/>
      <c r="C300" s="834" t="str">
        <f t="shared" ca="1" si="131"/>
        <v/>
      </c>
      <c r="D300" s="1757" t="str">
        <f ca="1">IFERROR(VLOOKUP(LEFT(E300,4),Nom_activ_2!D:G,4,0),"")</f>
        <v/>
      </c>
      <c r="E300" s="1757" t="str">
        <f t="shared" ca="1" si="132"/>
        <v/>
      </c>
      <c r="F300" s="1777">
        <f t="shared" ca="1" si="160"/>
        <v>0</v>
      </c>
      <c r="G300" s="839">
        <f t="shared" ca="1" si="160"/>
        <v>0</v>
      </c>
      <c r="H300" s="840">
        <f t="shared" ca="1" si="160"/>
        <v>0</v>
      </c>
      <c r="I300" s="443"/>
      <c r="J300" s="838" t="str">
        <f t="shared" si="133"/>
        <v>!$A:$j</v>
      </c>
      <c r="K300" s="475">
        <f t="shared" ca="1" si="134"/>
        <v>0</v>
      </c>
      <c r="L300" s="480"/>
      <c r="M300" s="477">
        <f t="shared" si="135"/>
        <v>0</v>
      </c>
      <c r="N300" s="480"/>
      <c r="O300" s="477">
        <f t="shared" si="136"/>
        <v>0</v>
      </c>
      <c r="P300" s="480"/>
      <c r="Q300" s="477">
        <f t="shared" si="137"/>
        <v>0</v>
      </c>
      <c r="R300" s="480"/>
      <c r="S300" s="477">
        <f t="shared" ca="1" si="138"/>
        <v>0</v>
      </c>
      <c r="T300" s="475">
        <f t="shared" ca="1" si="139"/>
        <v>0</v>
      </c>
      <c r="U300" s="480"/>
      <c r="V300" s="477">
        <f t="shared" si="140"/>
        <v>0</v>
      </c>
      <c r="W300" s="480"/>
      <c r="X300" s="477">
        <f t="shared" si="141"/>
        <v>0</v>
      </c>
      <c r="Y300" s="480"/>
      <c r="Z300" s="477">
        <f t="shared" si="142"/>
        <v>0</v>
      </c>
      <c r="AA300" s="480"/>
      <c r="AB300" s="477">
        <f t="shared" ca="1" si="143"/>
        <v>0</v>
      </c>
      <c r="AC300" s="475">
        <f t="shared" ca="1" si="144"/>
        <v>0</v>
      </c>
      <c r="AD300" s="480"/>
      <c r="AE300" s="477">
        <f t="shared" si="145"/>
        <v>0</v>
      </c>
      <c r="AF300" s="480"/>
      <c r="AG300" s="477">
        <f t="shared" si="146"/>
        <v>0</v>
      </c>
      <c r="AH300" s="480"/>
      <c r="AI300" s="477">
        <f t="shared" si="147"/>
        <v>0</v>
      </c>
      <c r="AJ300" s="480"/>
      <c r="AK300" s="477">
        <f t="shared" ca="1" si="148"/>
        <v>0</v>
      </c>
      <c r="AL300" s="475">
        <f t="shared" ca="1" si="149"/>
        <v>0</v>
      </c>
      <c r="AM300" s="480"/>
      <c r="AN300" s="477">
        <f t="shared" si="150"/>
        <v>0</v>
      </c>
      <c r="AO300" s="480"/>
      <c r="AP300" s="477">
        <f t="shared" si="151"/>
        <v>0</v>
      </c>
      <c r="AQ300" s="480"/>
      <c r="AR300" s="477">
        <f t="shared" si="152"/>
        <v>0</v>
      </c>
      <c r="AS300" s="480"/>
      <c r="AT300" s="477">
        <f t="shared" ca="1" si="153"/>
        <v>0</v>
      </c>
      <c r="AU300" s="475">
        <f t="shared" ca="1" si="154"/>
        <v>0</v>
      </c>
      <c r="AV300" s="480"/>
      <c r="AW300" s="477">
        <f t="shared" si="155"/>
        <v>0</v>
      </c>
      <c r="AX300" s="480"/>
      <c r="AY300" s="477">
        <f t="shared" si="156"/>
        <v>0</v>
      </c>
      <c r="AZ300" s="480"/>
      <c r="BA300" s="477">
        <f t="shared" si="157"/>
        <v>0</v>
      </c>
      <c r="BB300" s="480"/>
      <c r="BC300" s="850">
        <f t="shared" ca="1" si="158"/>
        <v>0</v>
      </c>
    </row>
    <row r="301" spans="1:55">
      <c r="A301" s="837" t="str">
        <f t="shared" si="130"/>
        <v/>
      </c>
      <c r="B301" s="440"/>
      <c r="C301" s="834" t="str">
        <f t="shared" ca="1" si="131"/>
        <v/>
      </c>
      <c r="D301" s="1757" t="str">
        <f ca="1">IFERROR(VLOOKUP(LEFT(E301,4),Nom_activ_2!D:G,4,0),"")</f>
        <v/>
      </c>
      <c r="E301" s="1757" t="str">
        <f t="shared" ca="1" si="132"/>
        <v/>
      </c>
      <c r="F301" s="1777">
        <f t="shared" ca="1" si="160"/>
        <v>0</v>
      </c>
      <c r="G301" s="839">
        <f t="shared" ca="1" si="160"/>
        <v>0</v>
      </c>
      <c r="H301" s="840">
        <f t="shared" ca="1" si="160"/>
        <v>0</v>
      </c>
      <c r="I301" s="443"/>
      <c r="J301" s="838" t="str">
        <f t="shared" si="133"/>
        <v>!$A:$j</v>
      </c>
      <c r="K301" s="475">
        <f t="shared" ca="1" si="134"/>
        <v>0</v>
      </c>
      <c r="L301" s="480"/>
      <c r="M301" s="477">
        <f t="shared" si="135"/>
        <v>0</v>
      </c>
      <c r="N301" s="480"/>
      <c r="O301" s="477">
        <f t="shared" si="136"/>
        <v>0</v>
      </c>
      <c r="P301" s="480"/>
      <c r="Q301" s="477">
        <f t="shared" si="137"/>
        <v>0</v>
      </c>
      <c r="R301" s="480"/>
      <c r="S301" s="477">
        <f t="shared" ca="1" si="138"/>
        <v>0</v>
      </c>
      <c r="T301" s="475">
        <f t="shared" ca="1" si="139"/>
        <v>0</v>
      </c>
      <c r="U301" s="480"/>
      <c r="V301" s="477">
        <f t="shared" si="140"/>
        <v>0</v>
      </c>
      <c r="W301" s="480"/>
      <c r="X301" s="477">
        <f t="shared" si="141"/>
        <v>0</v>
      </c>
      <c r="Y301" s="480"/>
      <c r="Z301" s="477">
        <f t="shared" si="142"/>
        <v>0</v>
      </c>
      <c r="AA301" s="480"/>
      <c r="AB301" s="477">
        <f t="shared" ca="1" si="143"/>
        <v>0</v>
      </c>
      <c r="AC301" s="475">
        <f t="shared" ca="1" si="144"/>
        <v>0</v>
      </c>
      <c r="AD301" s="480"/>
      <c r="AE301" s="477">
        <f t="shared" si="145"/>
        <v>0</v>
      </c>
      <c r="AF301" s="480"/>
      <c r="AG301" s="477">
        <f t="shared" si="146"/>
        <v>0</v>
      </c>
      <c r="AH301" s="480"/>
      <c r="AI301" s="477">
        <f t="shared" si="147"/>
        <v>0</v>
      </c>
      <c r="AJ301" s="480"/>
      <c r="AK301" s="477">
        <f t="shared" ca="1" si="148"/>
        <v>0</v>
      </c>
      <c r="AL301" s="475">
        <f t="shared" ca="1" si="149"/>
        <v>0</v>
      </c>
      <c r="AM301" s="480"/>
      <c r="AN301" s="477">
        <f t="shared" si="150"/>
        <v>0</v>
      </c>
      <c r="AO301" s="480"/>
      <c r="AP301" s="477">
        <f t="shared" si="151"/>
        <v>0</v>
      </c>
      <c r="AQ301" s="480"/>
      <c r="AR301" s="477">
        <f t="shared" si="152"/>
        <v>0</v>
      </c>
      <c r="AS301" s="480"/>
      <c r="AT301" s="477">
        <f t="shared" ca="1" si="153"/>
        <v>0</v>
      </c>
      <c r="AU301" s="475">
        <f t="shared" ca="1" si="154"/>
        <v>0</v>
      </c>
      <c r="AV301" s="480"/>
      <c r="AW301" s="477">
        <f t="shared" si="155"/>
        <v>0</v>
      </c>
      <c r="AX301" s="480"/>
      <c r="AY301" s="477">
        <f t="shared" si="156"/>
        <v>0</v>
      </c>
      <c r="AZ301" s="480"/>
      <c r="BA301" s="477">
        <f t="shared" si="157"/>
        <v>0</v>
      </c>
      <c r="BB301" s="480"/>
      <c r="BC301" s="850">
        <f t="shared" ca="1" si="158"/>
        <v>0</v>
      </c>
    </row>
    <row r="302" spans="1:55">
      <c r="A302" s="837" t="str">
        <f t="shared" si="130"/>
        <v/>
      </c>
      <c r="B302" s="440"/>
      <c r="C302" s="834" t="str">
        <f t="shared" ca="1" si="131"/>
        <v/>
      </c>
      <c r="D302" s="1757" t="str">
        <f ca="1">IFERROR(VLOOKUP(LEFT(E302,4),Nom_activ_2!D:G,4,0),"")</f>
        <v/>
      </c>
      <c r="E302" s="1757" t="str">
        <f t="shared" ca="1" si="132"/>
        <v/>
      </c>
      <c r="F302" s="1777">
        <f t="shared" ca="1" si="160"/>
        <v>0</v>
      </c>
      <c r="G302" s="839">
        <f t="shared" ca="1" si="160"/>
        <v>0</v>
      </c>
      <c r="H302" s="840">
        <f t="shared" ca="1" si="160"/>
        <v>0</v>
      </c>
      <c r="I302" s="443"/>
      <c r="J302" s="838" t="str">
        <f t="shared" si="133"/>
        <v>!$A:$j</v>
      </c>
      <c r="K302" s="475">
        <f t="shared" ca="1" si="134"/>
        <v>0</v>
      </c>
      <c r="L302" s="480"/>
      <c r="M302" s="477">
        <f t="shared" si="135"/>
        <v>0</v>
      </c>
      <c r="N302" s="480"/>
      <c r="O302" s="477">
        <f t="shared" si="136"/>
        <v>0</v>
      </c>
      <c r="P302" s="480"/>
      <c r="Q302" s="477">
        <f t="shared" si="137"/>
        <v>0</v>
      </c>
      <c r="R302" s="480"/>
      <c r="S302" s="477">
        <f t="shared" ca="1" si="138"/>
        <v>0</v>
      </c>
      <c r="T302" s="475">
        <f t="shared" ca="1" si="139"/>
        <v>0</v>
      </c>
      <c r="U302" s="480"/>
      <c r="V302" s="477">
        <f t="shared" si="140"/>
        <v>0</v>
      </c>
      <c r="W302" s="480"/>
      <c r="X302" s="477">
        <f t="shared" si="141"/>
        <v>0</v>
      </c>
      <c r="Y302" s="480"/>
      <c r="Z302" s="477">
        <f t="shared" si="142"/>
        <v>0</v>
      </c>
      <c r="AA302" s="480"/>
      <c r="AB302" s="477">
        <f t="shared" ca="1" si="143"/>
        <v>0</v>
      </c>
      <c r="AC302" s="475">
        <f t="shared" ca="1" si="144"/>
        <v>0</v>
      </c>
      <c r="AD302" s="480"/>
      <c r="AE302" s="477">
        <f t="shared" si="145"/>
        <v>0</v>
      </c>
      <c r="AF302" s="480"/>
      <c r="AG302" s="477">
        <f t="shared" si="146"/>
        <v>0</v>
      </c>
      <c r="AH302" s="480"/>
      <c r="AI302" s="477">
        <f t="shared" si="147"/>
        <v>0</v>
      </c>
      <c r="AJ302" s="480"/>
      <c r="AK302" s="477">
        <f t="shared" ca="1" si="148"/>
        <v>0</v>
      </c>
      <c r="AL302" s="475">
        <f t="shared" ca="1" si="149"/>
        <v>0</v>
      </c>
      <c r="AM302" s="480"/>
      <c r="AN302" s="477">
        <f t="shared" si="150"/>
        <v>0</v>
      </c>
      <c r="AO302" s="480"/>
      <c r="AP302" s="477">
        <f t="shared" si="151"/>
        <v>0</v>
      </c>
      <c r="AQ302" s="480"/>
      <c r="AR302" s="477">
        <f t="shared" si="152"/>
        <v>0</v>
      </c>
      <c r="AS302" s="480"/>
      <c r="AT302" s="477">
        <f t="shared" ca="1" si="153"/>
        <v>0</v>
      </c>
      <c r="AU302" s="475">
        <f t="shared" ca="1" si="154"/>
        <v>0</v>
      </c>
      <c r="AV302" s="480"/>
      <c r="AW302" s="477">
        <f t="shared" si="155"/>
        <v>0</v>
      </c>
      <c r="AX302" s="480"/>
      <c r="AY302" s="477">
        <f t="shared" si="156"/>
        <v>0</v>
      </c>
      <c r="AZ302" s="480"/>
      <c r="BA302" s="477">
        <f t="shared" si="157"/>
        <v>0</v>
      </c>
      <c r="BB302" s="480"/>
      <c r="BC302" s="850">
        <f t="shared" ca="1" si="158"/>
        <v>0</v>
      </c>
    </row>
    <row r="303" spans="1:55">
      <c r="A303" s="837" t="str">
        <f t="shared" si="130"/>
        <v/>
      </c>
      <c r="B303" s="440"/>
      <c r="C303" s="834" t="str">
        <f t="shared" ca="1" si="131"/>
        <v/>
      </c>
      <c r="D303" s="1757" t="str">
        <f ca="1">IFERROR(VLOOKUP(LEFT(E303,4),Nom_activ_2!D:G,4,0),"")</f>
        <v/>
      </c>
      <c r="E303" s="1757" t="str">
        <f t="shared" ca="1" si="132"/>
        <v/>
      </c>
      <c r="F303" s="1777">
        <f t="shared" ca="1" si="160"/>
        <v>0</v>
      </c>
      <c r="G303" s="839">
        <f t="shared" ca="1" si="160"/>
        <v>0</v>
      </c>
      <c r="H303" s="840">
        <f t="shared" ca="1" si="160"/>
        <v>0</v>
      </c>
      <c r="I303" s="443"/>
      <c r="J303" s="838" t="str">
        <f t="shared" si="133"/>
        <v>!$A:$j</v>
      </c>
      <c r="K303" s="475">
        <f t="shared" ca="1" si="134"/>
        <v>0</v>
      </c>
      <c r="L303" s="480"/>
      <c r="M303" s="477">
        <f t="shared" si="135"/>
        <v>0</v>
      </c>
      <c r="N303" s="480"/>
      <c r="O303" s="477">
        <f t="shared" si="136"/>
        <v>0</v>
      </c>
      <c r="P303" s="480"/>
      <c r="Q303" s="477">
        <f t="shared" si="137"/>
        <v>0</v>
      </c>
      <c r="R303" s="480"/>
      <c r="S303" s="477">
        <f t="shared" ca="1" si="138"/>
        <v>0</v>
      </c>
      <c r="T303" s="475">
        <f t="shared" ca="1" si="139"/>
        <v>0</v>
      </c>
      <c r="U303" s="480"/>
      <c r="V303" s="477">
        <f t="shared" si="140"/>
        <v>0</v>
      </c>
      <c r="W303" s="480"/>
      <c r="X303" s="477">
        <f t="shared" si="141"/>
        <v>0</v>
      </c>
      <c r="Y303" s="480"/>
      <c r="Z303" s="477">
        <f t="shared" si="142"/>
        <v>0</v>
      </c>
      <c r="AA303" s="480"/>
      <c r="AB303" s="477">
        <f t="shared" ca="1" si="143"/>
        <v>0</v>
      </c>
      <c r="AC303" s="475">
        <f t="shared" ca="1" si="144"/>
        <v>0</v>
      </c>
      <c r="AD303" s="480"/>
      <c r="AE303" s="477">
        <f t="shared" si="145"/>
        <v>0</v>
      </c>
      <c r="AF303" s="480"/>
      <c r="AG303" s="477">
        <f t="shared" si="146"/>
        <v>0</v>
      </c>
      <c r="AH303" s="480"/>
      <c r="AI303" s="477">
        <f t="shared" si="147"/>
        <v>0</v>
      </c>
      <c r="AJ303" s="480"/>
      <c r="AK303" s="477">
        <f t="shared" ca="1" si="148"/>
        <v>0</v>
      </c>
      <c r="AL303" s="475">
        <f t="shared" ca="1" si="149"/>
        <v>0</v>
      </c>
      <c r="AM303" s="480"/>
      <c r="AN303" s="477">
        <f t="shared" si="150"/>
        <v>0</v>
      </c>
      <c r="AO303" s="480"/>
      <c r="AP303" s="477">
        <f t="shared" si="151"/>
        <v>0</v>
      </c>
      <c r="AQ303" s="480"/>
      <c r="AR303" s="477">
        <f t="shared" si="152"/>
        <v>0</v>
      </c>
      <c r="AS303" s="480"/>
      <c r="AT303" s="477">
        <f t="shared" ca="1" si="153"/>
        <v>0</v>
      </c>
      <c r="AU303" s="475">
        <f t="shared" ca="1" si="154"/>
        <v>0</v>
      </c>
      <c r="AV303" s="480"/>
      <c r="AW303" s="477">
        <f t="shared" si="155"/>
        <v>0</v>
      </c>
      <c r="AX303" s="480"/>
      <c r="AY303" s="477">
        <f t="shared" si="156"/>
        <v>0</v>
      </c>
      <c r="AZ303" s="480"/>
      <c r="BA303" s="477">
        <f t="shared" si="157"/>
        <v>0</v>
      </c>
      <c r="BB303" s="480"/>
      <c r="BC303" s="850">
        <f t="shared" ca="1" si="158"/>
        <v>0</v>
      </c>
    </row>
    <row r="304" spans="1:55">
      <c r="A304" s="837" t="str">
        <f t="shared" si="130"/>
        <v/>
      </c>
      <c r="B304" s="440"/>
      <c r="C304" s="834" t="str">
        <f t="shared" ca="1" si="131"/>
        <v/>
      </c>
      <c r="D304" s="1757" t="str">
        <f ca="1">IFERROR(VLOOKUP(LEFT(E304,4),Nom_activ_2!D:G,4,0),"")</f>
        <v/>
      </c>
      <c r="E304" s="1757" t="str">
        <f t="shared" ca="1" si="132"/>
        <v/>
      </c>
      <c r="F304" s="1777">
        <f t="shared" ca="1" si="160"/>
        <v>0</v>
      </c>
      <c r="G304" s="839">
        <f t="shared" ca="1" si="160"/>
        <v>0</v>
      </c>
      <c r="H304" s="840">
        <f t="shared" ca="1" si="160"/>
        <v>0</v>
      </c>
      <c r="I304" s="443"/>
      <c r="J304" s="838" t="str">
        <f t="shared" si="133"/>
        <v>!$A:$j</v>
      </c>
      <c r="K304" s="475">
        <f t="shared" ca="1" si="134"/>
        <v>0</v>
      </c>
      <c r="L304" s="480"/>
      <c r="M304" s="477">
        <f t="shared" si="135"/>
        <v>0</v>
      </c>
      <c r="N304" s="480"/>
      <c r="O304" s="477">
        <f t="shared" si="136"/>
        <v>0</v>
      </c>
      <c r="P304" s="480"/>
      <c r="Q304" s="477">
        <f t="shared" si="137"/>
        <v>0</v>
      </c>
      <c r="R304" s="480"/>
      <c r="S304" s="477">
        <f t="shared" ca="1" si="138"/>
        <v>0</v>
      </c>
      <c r="T304" s="475">
        <f t="shared" ca="1" si="139"/>
        <v>0</v>
      </c>
      <c r="U304" s="480"/>
      <c r="V304" s="477">
        <f t="shared" si="140"/>
        <v>0</v>
      </c>
      <c r="W304" s="480"/>
      <c r="X304" s="477">
        <f t="shared" si="141"/>
        <v>0</v>
      </c>
      <c r="Y304" s="480"/>
      <c r="Z304" s="477">
        <f t="shared" si="142"/>
        <v>0</v>
      </c>
      <c r="AA304" s="480"/>
      <c r="AB304" s="477">
        <f t="shared" ca="1" si="143"/>
        <v>0</v>
      </c>
      <c r="AC304" s="475">
        <f t="shared" ca="1" si="144"/>
        <v>0</v>
      </c>
      <c r="AD304" s="480"/>
      <c r="AE304" s="477">
        <f t="shared" si="145"/>
        <v>0</v>
      </c>
      <c r="AF304" s="480"/>
      <c r="AG304" s="477">
        <f t="shared" si="146"/>
        <v>0</v>
      </c>
      <c r="AH304" s="480"/>
      <c r="AI304" s="477">
        <f t="shared" si="147"/>
        <v>0</v>
      </c>
      <c r="AJ304" s="480"/>
      <c r="AK304" s="477">
        <f t="shared" ca="1" si="148"/>
        <v>0</v>
      </c>
      <c r="AL304" s="475">
        <f t="shared" ca="1" si="149"/>
        <v>0</v>
      </c>
      <c r="AM304" s="480"/>
      <c r="AN304" s="477">
        <f t="shared" si="150"/>
        <v>0</v>
      </c>
      <c r="AO304" s="480"/>
      <c r="AP304" s="477">
        <f t="shared" si="151"/>
        <v>0</v>
      </c>
      <c r="AQ304" s="480"/>
      <c r="AR304" s="477">
        <f t="shared" si="152"/>
        <v>0</v>
      </c>
      <c r="AS304" s="480"/>
      <c r="AT304" s="477">
        <f t="shared" ca="1" si="153"/>
        <v>0</v>
      </c>
      <c r="AU304" s="475">
        <f t="shared" ca="1" si="154"/>
        <v>0</v>
      </c>
      <c r="AV304" s="480"/>
      <c r="AW304" s="477">
        <f t="shared" si="155"/>
        <v>0</v>
      </c>
      <c r="AX304" s="480"/>
      <c r="AY304" s="477">
        <f t="shared" si="156"/>
        <v>0</v>
      </c>
      <c r="AZ304" s="480"/>
      <c r="BA304" s="477">
        <f t="shared" si="157"/>
        <v>0</v>
      </c>
      <c r="BB304" s="480"/>
      <c r="BC304" s="850">
        <f t="shared" ca="1" si="158"/>
        <v>0</v>
      </c>
    </row>
    <row r="305" spans="1:55">
      <c r="A305" s="837" t="str">
        <f t="shared" si="130"/>
        <v/>
      </c>
      <c r="B305" s="440"/>
      <c r="C305" s="834" t="str">
        <f t="shared" ca="1" si="131"/>
        <v/>
      </c>
      <c r="D305" s="1757" t="str">
        <f ca="1">IFERROR(VLOOKUP(LEFT(E305,4),Nom_activ_2!D:G,4,0),"")</f>
        <v/>
      </c>
      <c r="E305" s="1757" t="str">
        <f t="shared" ca="1" si="132"/>
        <v/>
      </c>
      <c r="F305" s="1777">
        <f t="shared" ca="1" si="160"/>
        <v>0</v>
      </c>
      <c r="G305" s="839">
        <f t="shared" ca="1" si="160"/>
        <v>0</v>
      </c>
      <c r="H305" s="840">
        <f t="shared" ca="1" si="160"/>
        <v>0</v>
      </c>
      <c r="I305" s="443"/>
      <c r="J305" s="838" t="str">
        <f t="shared" si="133"/>
        <v>!$A:$j</v>
      </c>
      <c r="K305" s="475">
        <f t="shared" ca="1" si="134"/>
        <v>0</v>
      </c>
      <c r="L305" s="480"/>
      <c r="M305" s="477">
        <f t="shared" si="135"/>
        <v>0</v>
      </c>
      <c r="N305" s="480"/>
      <c r="O305" s="477">
        <f t="shared" si="136"/>
        <v>0</v>
      </c>
      <c r="P305" s="480"/>
      <c r="Q305" s="477">
        <f t="shared" si="137"/>
        <v>0</v>
      </c>
      <c r="R305" s="480"/>
      <c r="S305" s="477">
        <f t="shared" ca="1" si="138"/>
        <v>0</v>
      </c>
      <c r="T305" s="475">
        <f t="shared" ca="1" si="139"/>
        <v>0</v>
      </c>
      <c r="U305" s="480"/>
      <c r="V305" s="477">
        <f t="shared" si="140"/>
        <v>0</v>
      </c>
      <c r="W305" s="480"/>
      <c r="X305" s="477">
        <f t="shared" si="141"/>
        <v>0</v>
      </c>
      <c r="Y305" s="480"/>
      <c r="Z305" s="477">
        <f t="shared" si="142"/>
        <v>0</v>
      </c>
      <c r="AA305" s="480"/>
      <c r="AB305" s="477">
        <f t="shared" ca="1" si="143"/>
        <v>0</v>
      </c>
      <c r="AC305" s="475">
        <f t="shared" ca="1" si="144"/>
        <v>0</v>
      </c>
      <c r="AD305" s="480"/>
      <c r="AE305" s="477">
        <f t="shared" si="145"/>
        <v>0</v>
      </c>
      <c r="AF305" s="480"/>
      <c r="AG305" s="477">
        <f t="shared" si="146"/>
        <v>0</v>
      </c>
      <c r="AH305" s="480"/>
      <c r="AI305" s="477">
        <f t="shared" si="147"/>
        <v>0</v>
      </c>
      <c r="AJ305" s="480"/>
      <c r="AK305" s="477">
        <f t="shared" ca="1" si="148"/>
        <v>0</v>
      </c>
      <c r="AL305" s="475">
        <f t="shared" ca="1" si="149"/>
        <v>0</v>
      </c>
      <c r="AM305" s="480"/>
      <c r="AN305" s="477">
        <f t="shared" si="150"/>
        <v>0</v>
      </c>
      <c r="AO305" s="480"/>
      <c r="AP305" s="477">
        <f t="shared" si="151"/>
        <v>0</v>
      </c>
      <c r="AQ305" s="480"/>
      <c r="AR305" s="477">
        <f t="shared" si="152"/>
        <v>0</v>
      </c>
      <c r="AS305" s="480"/>
      <c r="AT305" s="477">
        <f t="shared" ca="1" si="153"/>
        <v>0</v>
      </c>
      <c r="AU305" s="475">
        <f t="shared" ca="1" si="154"/>
        <v>0</v>
      </c>
      <c r="AV305" s="480"/>
      <c r="AW305" s="477">
        <f t="shared" si="155"/>
        <v>0</v>
      </c>
      <c r="AX305" s="480"/>
      <c r="AY305" s="477">
        <f t="shared" si="156"/>
        <v>0</v>
      </c>
      <c r="AZ305" s="480"/>
      <c r="BA305" s="477">
        <f t="shared" si="157"/>
        <v>0</v>
      </c>
      <c r="BB305" s="480"/>
      <c r="BC305" s="850">
        <f t="shared" ca="1" si="158"/>
        <v>0</v>
      </c>
    </row>
    <row r="306" spans="1:55">
      <c r="A306" s="837" t="str">
        <f t="shared" si="130"/>
        <v/>
      </c>
      <c r="B306" s="440"/>
      <c r="C306" s="834" t="str">
        <f t="shared" ca="1" si="131"/>
        <v/>
      </c>
      <c r="D306" s="1757" t="str">
        <f ca="1">IFERROR(VLOOKUP(LEFT(E306,4),Nom_activ_2!D:G,4,0),"")</f>
        <v/>
      </c>
      <c r="E306" s="1757" t="str">
        <f t="shared" ca="1" si="132"/>
        <v/>
      </c>
      <c r="F306" s="1777">
        <f t="shared" ca="1" si="160"/>
        <v>0</v>
      </c>
      <c r="G306" s="839">
        <f t="shared" ca="1" si="160"/>
        <v>0</v>
      </c>
      <c r="H306" s="840">
        <f t="shared" ca="1" si="160"/>
        <v>0</v>
      </c>
      <c r="I306" s="443"/>
      <c r="J306" s="838" t="str">
        <f t="shared" si="133"/>
        <v>!$A:$j</v>
      </c>
      <c r="K306" s="475">
        <f t="shared" ca="1" si="134"/>
        <v>0</v>
      </c>
      <c r="L306" s="480"/>
      <c r="M306" s="477">
        <f t="shared" si="135"/>
        <v>0</v>
      </c>
      <c r="N306" s="480"/>
      <c r="O306" s="477">
        <f t="shared" si="136"/>
        <v>0</v>
      </c>
      <c r="P306" s="480"/>
      <c r="Q306" s="477">
        <f t="shared" si="137"/>
        <v>0</v>
      </c>
      <c r="R306" s="480"/>
      <c r="S306" s="477">
        <f t="shared" ca="1" si="138"/>
        <v>0</v>
      </c>
      <c r="T306" s="475">
        <f t="shared" ca="1" si="139"/>
        <v>0</v>
      </c>
      <c r="U306" s="480"/>
      <c r="V306" s="477">
        <f t="shared" si="140"/>
        <v>0</v>
      </c>
      <c r="W306" s="480"/>
      <c r="X306" s="477">
        <f t="shared" si="141"/>
        <v>0</v>
      </c>
      <c r="Y306" s="480"/>
      <c r="Z306" s="477">
        <f t="shared" si="142"/>
        <v>0</v>
      </c>
      <c r="AA306" s="480"/>
      <c r="AB306" s="477">
        <f t="shared" ca="1" si="143"/>
        <v>0</v>
      </c>
      <c r="AC306" s="475">
        <f t="shared" ca="1" si="144"/>
        <v>0</v>
      </c>
      <c r="AD306" s="480"/>
      <c r="AE306" s="477">
        <f t="shared" si="145"/>
        <v>0</v>
      </c>
      <c r="AF306" s="480"/>
      <c r="AG306" s="477">
        <f t="shared" si="146"/>
        <v>0</v>
      </c>
      <c r="AH306" s="480"/>
      <c r="AI306" s="477">
        <f t="shared" si="147"/>
        <v>0</v>
      </c>
      <c r="AJ306" s="480"/>
      <c r="AK306" s="477">
        <f t="shared" ca="1" si="148"/>
        <v>0</v>
      </c>
      <c r="AL306" s="475">
        <f t="shared" ca="1" si="149"/>
        <v>0</v>
      </c>
      <c r="AM306" s="480"/>
      <c r="AN306" s="477">
        <f t="shared" si="150"/>
        <v>0</v>
      </c>
      <c r="AO306" s="480"/>
      <c r="AP306" s="477">
        <f t="shared" si="151"/>
        <v>0</v>
      </c>
      <c r="AQ306" s="480"/>
      <c r="AR306" s="477">
        <f t="shared" si="152"/>
        <v>0</v>
      </c>
      <c r="AS306" s="480"/>
      <c r="AT306" s="477">
        <f t="shared" ca="1" si="153"/>
        <v>0</v>
      </c>
      <c r="AU306" s="475">
        <f t="shared" ca="1" si="154"/>
        <v>0</v>
      </c>
      <c r="AV306" s="480"/>
      <c r="AW306" s="477">
        <f t="shared" si="155"/>
        <v>0</v>
      </c>
      <c r="AX306" s="480"/>
      <c r="AY306" s="477">
        <f t="shared" si="156"/>
        <v>0</v>
      </c>
      <c r="AZ306" s="480"/>
      <c r="BA306" s="477">
        <f t="shared" si="157"/>
        <v>0</v>
      </c>
      <c r="BB306" s="480"/>
      <c r="BC306" s="850">
        <f t="shared" ca="1" si="158"/>
        <v>0</v>
      </c>
    </row>
    <row r="307" spans="1:55">
      <c r="A307" s="837" t="str">
        <f t="shared" si="130"/>
        <v/>
      </c>
      <c r="B307" s="440"/>
      <c r="C307" s="834" t="str">
        <f t="shared" ca="1" si="131"/>
        <v/>
      </c>
      <c r="D307" s="1757" t="str">
        <f ca="1">IFERROR(VLOOKUP(LEFT(E307,4),Nom_activ_2!D:G,4,0),"")</f>
        <v/>
      </c>
      <c r="E307" s="1757" t="str">
        <f t="shared" ca="1" si="132"/>
        <v/>
      </c>
      <c r="F307" s="1777">
        <f t="shared" ref="F307:H326" ca="1" si="161">IFERROR(VLOOKUP($B307,INDIRECT($J307),F$5,0),0)</f>
        <v>0</v>
      </c>
      <c r="G307" s="839">
        <f t="shared" ca="1" si="161"/>
        <v>0</v>
      </c>
      <c r="H307" s="840">
        <f t="shared" ca="1" si="161"/>
        <v>0</v>
      </c>
      <c r="I307" s="443"/>
      <c r="J307" s="838" t="str">
        <f t="shared" si="133"/>
        <v>!$A:$j</v>
      </c>
      <c r="K307" s="475">
        <f t="shared" ca="1" si="134"/>
        <v>0</v>
      </c>
      <c r="L307" s="480"/>
      <c r="M307" s="477">
        <f t="shared" si="135"/>
        <v>0</v>
      </c>
      <c r="N307" s="480"/>
      <c r="O307" s="477">
        <f t="shared" si="136"/>
        <v>0</v>
      </c>
      <c r="P307" s="480"/>
      <c r="Q307" s="477">
        <f t="shared" si="137"/>
        <v>0</v>
      </c>
      <c r="R307" s="480"/>
      <c r="S307" s="477">
        <f t="shared" ca="1" si="138"/>
        <v>0</v>
      </c>
      <c r="T307" s="475">
        <f t="shared" ca="1" si="139"/>
        <v>0</v>
      </c>
      <c r="U307" s="480"/>
      <c r="V307" s="477">
        <f t="shared" si="140"/>
        <v>0</v>
      </c>
      <c r="W307" s="480"/>
      <c r="X307" s="477">
        <f t="shared" si="141"/>
        <v>0</v>
      </c>
      <c r="Y307" s="480"/>
      <c r="Z307" s="477">
        <f t="shared" si="142"/>
        <v>0</v>
      </c>
      <c r="AA307" s="480"/>
      <c r="AB307" s="477">
        <f t="shared" ca="1" si="143"/>
        <v>0</v>
      </c>
      <c r="AC307" s="475">
        <f t="shared" ca="1" si="144"/>
        <v>0</v>
      </c>
      <c r="AD307" s="480"/>
      <c r="AE307" s="477">
        <f t="shared" si="145"/>
        <v>0</v>
      </c>
      <c r="AF307" s="480"/>
      <c r="AG307" s="477">
        <f t="shared" si="146"/>
        <v>0</v>
      </c>
      <c r="AH307" s="480"/>
      <c r="AI307" s="477">
        <f t="shared" si="147"/>
        <v>0</v>
      </c>
      <c r="AJ307" s="480"/>
      <c r="AK307" s="477">
        <f t="shared" ca="1" si="148"/>
        <v>0</v>
      </c>
      <c r="AL307" s="475">
        <f t="shared" ca="1" si="149"/>
        <v>0</v>
      </c>
      <c r="AM307" s="480"/>
      <c r="AN307" s="477">
        <f t="shared" si="150"/>
        <v>0</v>
      </c>
      <c r="AO307" s="480"/>
      <c r="AP307" s="477">
        <f t="shared" si="151"/>
        <v>0</v>
      </c>
      <c r="AQ307" s="480"/>
      <c r="AR307" s="477">
        <f t="shared" si="152"/>
        <v>0</v>
      </c>
      <c r="AS307" s="480"/>
      <c r="AT307" s="477">
        <f t="shared" ca="1" si="153"/>
        <v>0</v>
      </c>
      <c r="AU307" s="475">
        <f t="shared" ca="1" si="154"/>
        <v>0</v>
      </c>
      <c r="AV307" s="480"/>
      <c r="AW307" s="477">
        <f t="shared" si="155"/>
        <v>0</v>
      </c>
      <c r="AX307" s="480"/>
      <c r="AY307" s="477">
        <f t="shared" si="156"/>
        <v>0</v>
      </c>
      <c r="AZ307" s="480"/>
      <c r="BA307" s="477">
        <f t="shared" si="157"/>
        <v>0</v>
      </c>
      <c r="BB307" s="480"/>
      <c r="BC307" s="850">
        <f t="shared" ca="1" si="158"/>
        <v>0</v>
      </c>
    </row>
    <row r="308" spans="1:55">
      <c r="A308" s="837" t="str">
        <f t="shared" si="130"/>
        <v/>
      </c>
      <c r="B308" s="440"/>
      <c r="C308" s="834" t="str">
        <f t="shared" ca="1" si="131"/>
        <v/>
      </c>
      <c r="D308" s="1757" t="str">
        <f ca="1">IFERROR(VLOOKUP(LEFT(E308,4),Nom_activ_2!D:G,4,0),"")</f>
        <v/>
      </c>
      <c r="E308" s="1757" t="str">
        <f t="shared" ca="1" si="132"/>
        <v/>
      </c>
      <c r="F308" s="1777">
        <f t="shared" ca="1" si="161"/>
        <v>0</v>
      </c>
      <c r="G308" s="839">
        <f t="shared" ca="1" si="161"/>
        <v>0</v>
      </c>
      <c r="H308" s="840">
        <f t="shared" ca="1" si="161"/>
        <v>0</v>
      </c>
      <c r="I308" s="443"/>
      <c r="J308" s="838" t="str">
        <f t="shared" si="133"/>
        <v>!$A:$j</v>
      </c>
      <c r="K308" s="475">
        <f t="shared" ca="1" si="134"/>
        <v>0</v>
      </c>
      <c r="L308" s="480"/>
      <c r="M308" s="477">
        <f t="shared" si="135"/>
        <v>0</v>
      </c>
      <c r="N308" s="480"/>
      <c r="O308" s="477">
        <f t="shared" si="136"/>
        <v>0</v>
      </c>
      <c r="P308" s="480"/>
      <c r="Q308" s="477">
        <f t="shared" si="137"/>
        <v>0</v>
      </c>
      <c r="R308" s="480"/>
      <c r="S308" s="477">
        <f t="shared" ca="1" si="138"/>
        <v>0</v>
      </c>
      <c r="T308" s="475">
        <f t="shared" ca="1" si="139"/>
        <v>0</v>
      </c>
      <c r="U308" s="480"/>
      <c r="V308" s="477">
        <f t="shared" si="140"/>
        <v>0</v>
      </c>
      <c r="W308" s="480"/>
      <c r="X308" s="477">
        <f t="shared" si="141"/>
        <v>0</v>
      </c>
      <c r="Y308" s="480"/>
      <c r="Z308" s="477">
        <f t="shared" si="142"/>
        <v>0</v>
      </c>
      <c r="AA308" s="480"/>
      <c r="AB308" s="477">
        <f t="shared" ca="1" si="143"/>
        <v>0</v>
      </c>
      <c r="AC308" s="475">
        <f t="shared" ca="1" si="144"/>
        <v>0</v>
      </c>
      <c r="AD308" s="480"/>
      <c r="AE308" s="477">
        <f t="shared" si="145"/>
        <v>0</v>
      </c>
      <c r="AF308" s="480"/>
      <c r="AG308" s="477">
        <f t="shared" si="146"/>
        <v>0</v>
      </c>
      <c r="AH308" s="480"/>
      <c r="AI308" s="477">
        <f t="shared" si="147"/>
        <v>0</v>
      </c>
      <c r="AJ308" s="480"/>
      <c r="AK308" s="477">
        <f t="shared" ca="1" si="148"/>
        <v>0</v>
      </c>
      <c r="AL308" s="475">
        <f t="shared" ca="1" si="149"/>
        <v>0</v>
      </c>
      <c r="AM308" s="480"/>
      <c r="AN308" s="477">
        <f t="shared" si="150"/>
        <v>0</v>
      </c>
      <c r="AO308" s="480"/>
      <c r="AP308" s="477">
        <f t="shared" si="151"/>
        <v>0</v>
      </c>
      <c r="AQ308" s="480"/>
      <c r="AR308" s="477">
        <f t="shared" si="152"/>
        <v>0</v>
      </c>
      <c r="AS308" s="480"/>
      <c r="AT308" s="477">
        <f t="shared" ca="1" si="153"/>
        <v>0</v>
      </c>
      <c r="AU308" s="475">
        <f t="shared" ca="1" si="154"/>
        <v>0</v>
      </c>
      <c r="AV308" s="480"/>
      <c r="AW308" s="477">
        <f t="shared" si="155"/>
        <v>0</v>
      </c>
      <c r="AX308" s="480"/>
      <c r="AY308" s="477">
        <f t="shared" si="156"/>
        <v>0</v>
      </c>
      <c r="AZ308" s="480"/>
      <c r="BA308" s="477">
        <f t="shared" si="157"/>
        <v>0</v>
      </c>
      <c r="BB308" s="480"/>
      <c r="BC308" s="850">
        <f t="shared" ca="1" si="158"/>
        <v>0</v>
      </c>
    </row>
    <row r="309" spans="1:55">
      <c r="A309" s="837" t="str">
        <f t="shared" si="130"/>
        <v/>
      </c>
      <c r="B309" s="440"/>
      <c r="C309" s="834" t="str">
        <f t="shared" ca="1" si="131"/>
        <v/>
      </c>
      <c r="D309" s="1757" t="str">
        <f ca="1">IFERROR(VLOOKUP(LEFT(E309,4),Nom_activ_2!D:G,4,0),"")</f>
        <v/>
      </c>
      <c r="E309" s="1757" t="str">
        <f t="shared" ca="1" si="132"/>
        <v/>
      </c>
      <c r="F309" s="1777">
        <f t="shared" ca="1" si="161"/>
        <v>0</v>
      </c>
      <c r="G309" s="839">
        <f t="shared" ca="1" si="161"/>
        <v>0</v>
      </c>
      <c r="H309" s="840">
        <f t="shared" ca="1" si="161"/>
        <v>0</v>
      </c>
      <c r="I309" s="443"/>
      <c r="J309" s="838" t="str">
        <f t="shared" si="133"/>
        <v>!$A:$j</v>
      </c>
      <c r="K309" s="475">
        <f t="shared" ca="1" si="134"/>
        <v>0</v>
      </c>
      <c r="L309" s="480"/>
      <c r="M309" s="477">
        <f t="shared" si="135"/>
        <v>0</v>
      </c>
      <c r="N309" s="480"/>
      <c r="O309" s="477">
        <f t="shared" si="136"/>
        <v>0</v>
      </c>
      <c r="P309" s="480"/>
      <c r="Q309" s="477">
        <f t="shared" si="137"/>
        <v>0</v>
      </c>
      <c r="R309" s="480"/>
      <c r="S309" s="477">
        <f t="shared" ca="1" si="138"/>
        <v>0</v>
      </c>
      <c r="T309" s="475">
        <f t="shared" ca="1" si="139"/>
        <v>0</v>
      </c>
      <c r="U309" s="480"/>
      <c r="V309" s="477">
        <f t="shared" si="140"/>
        <v>0</v>
      </c>
      <c r="W309" s="480"/>
      <c r="X309" s="477">
        <f t="shared" si="141"/>
        <v>0</v>
      </c>
      <c r="Y309" s="480"/>
      <c r="Z309" s="477">
        <f t="shared" si="142"/>
        <v>0</v>
      </c>
      <c r="AA309" s="480"/>
      <c r="AB309" s="477">
        <f t="shared" ca="1" si="143"/>
        <v>0</v>
      </c>
      <c r="AC309" s="475">
        <f t="shared" ca="1" si="144"/>
        <v>0</v>
      </c>
      <c r="AD309" s="480"/>
      <c r="AE309" s="477">
        <f t="shared" si="145"/>
        <v>0</v>
      </c>
      <c r="AF309" s="480"/>
      <c r="AG309" s="477">
        <f t="shared" si="146"/>
        <v>0</v>
      </c>
      <c r="AH309" s="480"/>
      <c r="AI309" s="477">
        <f t="shared" si="147"/>
        <v>0</v>
      </c>
      <c r="AJ309" s="480"/>
      <c r="AK309" s="477">
        <f t="shared" ca="1" si="148"/>
        <v>0</v>
      </c>
      <c r="AL309" s="475">
        <f t="shared" ca="1" si="149"/>
        <v>0</v>
      </c>
      <c r="AM309" s="480"/>
      <c r="AN309" s="477">
        <f t="shared" si="150"/>
        <v>0</v>
      </c>
      <c r="AO309" s="480"/>
      <c r="AP309" s="477">
        <f t="shared" si="151"/>
        <v>0</v>
      </c>
      <c r="AQ309" s="480"/>
      <c r="AR309" s="477">
        <f t="shared" si="152"/>
        <v>0</v>
      </c>
      <c r="AS309" s="480"/>
      <c r="AT309" s="477">
        <f t="shared" ca="1" si="153"/>
        <v>0</v>
      </c>
      <c r="AU309" s="475">
        <f t="shared" ca="1" si="154"/>
        <v>0</v>
      </c>
      <c r="AV309" s="480"/>
      <c r="AW309" s="477">
        <f t="shared" si="155"/>
        <v>0</v>
      </c>
      <c r="AX309" s="480"/>
      <c r="AY309" s="477">
        <f t="shared" si="156"/>
        <v>0</v>
      </c>
      <c r="AZ309" s="480"/>
      <c r="BA309" s="477">
        <f t="shared" si="157"/>
        <v>0</v>
      </c>
      <c r="BB309" s="480"/>
      <c r="BC309" s="850">
        <f t="shared" ca="1" si="158"/>
        <v>0</v>
      </c>
    </row>
    <row r="310" spans="1:55">
      <c r="A310" s="837" t="str">
        <f t="shared" si="130"/>
        <v/>
      </c>
      <c r="B310" s="440"/>
      <c r="C310" s="834" t="str">
        <f t="shared" ca="1" si="131"/>
        <v/>
      </c>
      <c r="D310" s="1757" t="str">
        <f ca="1">IFERROR(VLOOKUP(LEFT(E310,4),Nom_activ_2!D:G,4,0),"")</f>
        <v/>
      </c>
      <c r="E310" s="1757" t="str">
        <f t="shared" ca="1" si="132"/>
        <v/>
      </c>
      <c r="F310" s="1777">
        <f t="shared" ca="1" si="161"/>
        <v>0</v>
      </c>
      <c r="G310" s="839">
        <f t="shared" ca="1" si="161"/>
        <v>0</v>
      </c>
      <c r="H310" s="840">
        <f t="shared" ca="1" si="161"/>
        <v>0</v>
      </c>
      <c r="I310" s="443"/>
      <c r="J310" s="838" t="str">
        <f t="shared" si="133"/>
        <v>!$A:$j</v>
      </c>
      <c r="K310" s="475">
        <f t="shared" ca="1" si="134"/>
        <v>0</v>
      </c>
      <c r="L310" s="480"/>
      <c r="M310" s="477">
        <f t="shared" si="135"/>
        <v>0</v>
      </c>
      <c r="N310" s="480"/>
      <c r="O310" s="477">
        <f t="shared" si="136"/>
        <v>0</v>
      </c>
      <c r="P310" s="480"/>
      <c r="Q310" s="477">
        <f t="shared" si="137"/>
        <v>0</v>
      </c>
      <c r="R310" s="480"/>
      <c r="S310" s="477">
        <f t="shared" ca="1" si="138"/>
        <v>0</v>
      </c>
      <c r="T310" s="475">
        <f t="shared" ca="1" si="139"/>
        <v>0</v>
      </c>
      <c r="U310" s="480"/>
      <c r="V310" s="477">
        <f t="shared" si="140"/>
        <v>0</v>
      </c>
      <c r="W310" s="480"/>
      <c r="X310" s="477">
        <f t="shared" si="141"/>
        <v>0</v>
      </c>
      <c r="Y310" s="480"/>
      <c r="Z310" s="477">
        <f t="shared" si="142"/>
        <v>0</v>
      </c>
      <c r="AA310" s="480"/>
      <c r="AB310" s="477">
        <f t="shared" ca="1" si="143"/>
        <v>0</v>
      </c>
      <c r="AC310" s="475">
        <f t="shared" ca="1" si="144"/>
        <v>0</v>
      </c>
      <c r="AD310" s="480"/>
      <c r="AE310" s="477">
        <f t="shared" si="145"/>
        <v>0</v>
      </c>
      <c r="AF310" s="480"/>
      <c r="AG310" s="477">
        <f t="shared" si="146"/>
        <v>0</v>
      </c>
      <c r="AH310" s="480"/>
      <c r="AI310" s="477">
        <f t="shared" si="147"/>
        <v>0</v>
      </c>
      <c r="AJ310" s="480"/>
      <c r="AK310" s="477">
        <f t="shared" ca="1" si="148"/>
        <v>0</v>
      </c>
      <c r="AL310" s="475">
        <f t="shared" ca="1" si="149"/>
        <v>0</v>
      </c>
      <c r="AM310" s="480"/>
      <c r="AN310" s="477">
        <f t="shared" si="150"/>
        <v>0</v>
      </c>
      <c r="AO310" s="480"/>
      <c r="AP310" s="477">
        <f t="shared" si="151"/>
        <v>0</v>
      </c>
      <c r="AQ310" s="480"/>
      <c r="AR310" s="477">
        <f t="shared" si="152"/>
        <v>0</v>
      </c>
      <c r="AS310" s="480"/>
      <c r="AT310" s="477">
        <f t="shared" ca="1" si="153"/>
        <v>0</v>
      </c>
      <c r="AU310" s="475">
        <f t="shared" ca="1" si="154"/>
        <v>0</v>
      </c>
      <c r="AV310" s="480"/>
      <c r="AW310" s="477">
        <f t="shared" si="155"/>
        <v>0</v>
      </c>
      <c r="AX310" s="480"/>
      <c r="AY310" s="477">
        <f t="shared" si="156"/>
        <v>0</v>
      </c>
      <c r="AZ310" s="480"/>
      <c r="BA310" s="477">
        <f t="shared" si="157"/>
        <v>0</v>
      </c>
      <c r="BB310" s="480"/>
      <c r="BC310" s="850">
        <f t="shared" ca="1" si="158"/>
        <v>0</v>
      </c>
    </row>
    <row r="311" spans="1:55">
      <c r="A311" s="837" t="str">
        <f t="shared" si="130"/>
        <v/>
      </c>
      <c r="B311" s="440"/>
      <c r="C311" s="834" t="str">
        <f t="shared" ca="1" si="131"/>
        <v/>
      </c>
      <c r="D311" s="1757" t="str">
        <f ca="1">IFERROR(VLOOKUP(LEFT(E311,4),Nom_activ_2!D:G,4,0),"")</f>
        <v/>
      </c>
      <c r="E311" s="1757" t="str">
        <f t="shared" ca="1" si="132"/>
        <v/>
      </c>
      <c r="F311" s="1777">
        <f t="shared" ca="1" si="161"/>
        <v>0</v>
      </c>
      <c r="G311" s="839">
        <f t="shared" ca="1" si="161"/>
        <v>0</v>
      </c>
      <c r="H311" s="840">
        <f t="shared" ca="1" si="161"/>
        <v>0</v>
      </c>
      <c r="I311" s="443"/>
      <c r="J311" s="838" t="str">
        <f t="shared" si="133"/>
        <v>!$A:$j</v>
      </c>
      <c r="K311" s="475">
        <f t="shared" ca="1" si="134"/>
        <v>0</v>
      </c>
      <c r="L311" s="480"/>
      <c r="M311" s="477">
        <f t="shared" si="135"/>
        <v>0</v>
      </c>
      <c r="N311" s="480"/>
      <c r="O311" s="477">
        <f t="shared" si="136"/>
        <v>0</v>
      </c>
      <c r="P311" s="480"/>
      <c r="Q311" s="477">
        <f t="shared" si="137"/>
        <v>0</v>
      </c>
      <c r="R311" s="480"/>
      <c r="S311" s="477">
        <f t="shared" ca="1" si="138"/>
        <v>0</v>
      </c>
      <c r="T311" s="475">
        <f t="shared" ca="1" si="139"/>
        <v>0</v>
      </c>
      <c r="U311" s="480"/>
      <c r="V311" s="477">
        <f t="shared" si="140"/>
        <v>0</v>
      </c>
      <c r="W311" s="480"/>
      <c r="X311" s="477">
        <f t="shared" si="141"/>
        <v>0</v>
      </c>
      <c r="Y311" s="480"/>
      <c r="Z311" s="477">
        <f t="shared" si="142"/>
        <v>0</v>
      </c>
      <c r="AA311" s="480"/>
      <c r="AB311" s="477">
        <f t="shared" ca="1" si="143"/>
        <v>0</v>
      </c>
      <c r="AC311" s="475">
        <f t="shared" ca="1" si="144"/>
        <v>0</v>
      </c>
      <c r="AD311" s="480"/>
      <c r="AE311" s="477">
        <f t="shared" si="145"/>
        <v>0</v>
      </c>
      <c r="AF311" s="480"/>
      <c r="AG311" s="477">
        <f t="shared" si="146"/>
        <v>0</v>
      </c>
      <c r="AH311" s="480"/>
      <c r="AI311" s="477">
        <f t="shared" si="147"/>
        <v>0</v>
      </c>
      <c r="AJ311" s="480"/>
      <c r="AK311" s="477">
        <f t="shared" ca="1" si="148"/>
        <v>0</v>
      </c>
      <c r="AL311" s="475">
        <f t="shared" ca="1" si="149"/>
        <v>0</v>
      </c>
      <c r="AM311" s="480"/>
      <c r="AN311" s="477">
        <f t="shared" si="150"/>
        <v>0</v>
      </c>
      <c r="AO311" s="480"/>
      <c r="AP311" s="477">
        <f t="shared" si="151"/>
        <v>0</v>
      </c>
      <c r="AQ311" s="480"/>
      <c r="AR311" s="477">
        <f t="shared" si="152"/>
        <v>0</v>
      </c>
      <c r="AS311" s="480"/>
      <c r="AT311" s="477">
        <f t="shared" ca="1" si="153"/>
        <v>0</v>
      </c>
      <c r="AU311" s="475">
        <f t="shared" ca="1" si="154"/>
        <v>0</v>
      </c>
      <c r="AV311" s="480"/>
      <c r="AW311" s="477">
        <f t="shared" si="155"/>
        <v>0</v>
      </c>
      <c r="AX311" s="480"/>
      <c r="AY311" s="477">
        <f t="shared" si="156"/>
        <v>0</v>
      </c>
      <c r="AZ311" s="480"/>
      <c r="BA311" s="477">
        <f t="shared" si="157"/>
        <v>0</v>
      </c>
      <c r="BB311" s="480"/>
      <c r="BC311" s="850">
        <f t="shared" ca="1" si="158"/>
        <v>0</v>
      </c>
    </row>
    <row r="312" spans="1:55">
      <c r="A312" s="837" t="str">
        <f t="shared" si="130"/>
        <v/>
      </c>
      <c r="B312" s="440"/>
      <c r="C312" s="834" t="str">
        <f t="shared" ca="1" si="131"/>
        <v/>
      </c>
      <c r="D312" s="1757" t="str">
        <f ca="1">IFERROR(VLOOKUP(LEFT(E312,4),Nom_activ_2!D:G,4,0),"")</f>
        <v/>
      </c>
      <c r="E312" s="1757" t="str">
        <f t="shared" ca="1" si="132"/>
        <v/>
      </c>
      <c r="F312" s="1777">
        <f t="shared" ca="1" si="161"/>
        <v>0</v>
      </c>
      <c r="G312" s="839">
        <f t="shared" ca="1" si="161"/>
        <v>0</v>
      </c>
      <c r="H312" s="840">
        <f t="shared" ca="1" si="161"/>
        <v>0</v>
      </c>
      <c r="I312" s="443"/>
      <c r="J312" s="838" t="str">
        <f t="shared" si="133"/>
        <v>!$A:$j</v>
      </c>
      <c r="K312" s="475">
        <f t="shared" ca="1" si="134"/>
        <v>0</v>
      </c>
      <c r="L312" s="480"/>
      <c r="M312" s="477">
        <f t="shared" si="135"/>
        <v>0</v>
      </c>
      <c r="N312" s="480"/>
      <c r="O312" s="477">
        <f t="shared" si="136"/>
        <v>0</v>
      </c>
      <c r="P312" s="480"/>
      <c r="Q312" s="477">
        <f t="shared" si="137"/>
        <v>0</v>
      </c>
      <c r="R312" s="480"/>
      <c r="S312" s="477">
        <f t="shared" ca="1" si="138"/>
        <v>0</v>
      </c>
      <c r="T312" s="475">
        <f t="shared" ca="1" si="139"/>
        <v>0</v>
      </c>
      <c r="U312" s="480"/>
      <c r="V312" s="477">
        <f t="shared" si="140"/>
        <v>0</v>
      </c>
      <c r="W312" s="480"/>
      <c r="X312" s="477">
        <f t="shared" si="141"/>
        <v>0</v>
      </c>
      <c r="Y312" s="480"/>
      <c r="Z312" s="477">
        <f t="shared" si="142"/>
        <v>0</v>
      </c>
      <c r="AA312" s="480"/>
      <c r="AB312" s="477">
        <f t="shared" ca="1" si="143"/>
        <v>0</v>
      </c>
      <c r="AC312" s="475">
        <f t="shared" ca="1" si="144"/>
        <v>0</v>
      </c>
      <c r="AD312" s="480"/>
      <c r="AE312" s="477">
        <f t="shared" si="145"/>
        <v>0</v>
      </c>
      <c r="AF312" s="480"/>
      <c r="AG312" s="477">
        <f t="shared" si="146"/>
        <v>0</v>
      </c>
      <c r="AH312" s="480"/>
      <c r="AI312" s="477">
        <f t="shared" si="147"/>
        <v>0</v>
      </c>
      <c r="AJ312" s="480"/>
      <c r="AK312" s="477">
        <f t="shared" ca="1" si="148"/>
        <v>0</v>
      </c>
      <c r="AL312" s="475">
        <f t="shared" ca="1" si="149"/>
        <v>0</v>
      </c>
      <c r="AM312" s="480"/>
      <c r="AN312" s="477">
        <f t="shared" si="150"/>
        <v>0</v>
      </c>
      <c r="AO312" s="480"/>
      <c r="AP312" s="477">
        <f t="shared" si="151"/>
        <v>0</v>
      </c>
      <c r="AQ312" s="480"/>
      <c r="AR312" s="477">
        <f t="shared" si="152"/>
        <v>0</v>
      </c>
      <c r="AS312" s="480"/>
      <c r="AT312" s="477">
        <f t="shared" ca="1" si="153"/>
        <v>0</v>
      </c>
      <c r="AU312" s="475">
        <f t="shared" ca="1" si="154"/>
        <v>0</v>
      </c>
      <c r="AV312" s="480"/>
      <c r="AW312" s="477">
        <f t="shared" si="155"/>
        <v>0</v>
      </c>
      <c r="AX312" s="480"/>
      <c r="AY312" s="477">
        <f t="shared" si="156"/>
        <v>0</v>
      </c>
      <c r="AZ312" s="480"/>
      <c r="BA312" s="477">
        <f t="shared" si="157"/>
        <v>0</v>
      </c>
      <c r="BB312" s="480"/>
      <c r="BC312" s="850">
        <f t="shared" ca="1" si="158"/>
        <v>0</v>
      </c>
    </row>
    <row r="313" spans="1:55">
      <c r="A313" s="837" t="str">
        <f t="shared" si="130"/>
        <v/>
      </c>
      <c r="B313" s="440"/>
      <c r="C313" s="834" t="str">
        <f t="shared" ca="1" si="131"/>
        <v/>
      </c>
      <c r="D313" s="1757" t="str">
        <f ca="1">IFERROR(VLOOKUP(LEFT(E313,4),Nom_activ_2!D:G,4,0),"")</f>
        <v/>
      </c>
      <c r="E313" s="1757" t="str">
        <f t="shared" ca="1" si="132"/>
        <v/>
      </c>
      <c r="F313" s="1777">
        <f t="shared" ca="1" si="161"/>
        <v>0</v>
      </c>
      <c r="G313" s="839">
        <f t="shared" ca="1" si="161"/>
        <v>0</v>
      </c>
      <c r="H313" s="840">
        <f t="shared" ca="1" si="161"/>
        <v>0</v>
      </c>
      <c r="I313" s="443"/>
      <c r="J313" s="838" t="str">
        <f t="shared" si="133"/>
        <v>!$A:$j</v>
      </c>
      <c r="K313" s="475">
        <f t="shared" ca="1" si="134"/>
        <v>0</v>
      </c>
      <c r="L313" s="480"/>
      <c r="M313" s="477">
        <f t="shared" si="135"/>
        <v>0</v>
      </c>
      <c r="N313" s="480"/>
      <c r="O313" s="477">
        <f t="shared" si="136"/>
        <v>0</v>
      </c>
      <c r="P313" s="480"/>
      <c r="Q313" s="477">
        <f t="shared" si="137"/>
        <v>0</v>
      </c>
      <c r="R313" s="480"/>
      <c r="S313" s="477">
        <f t="shared" ca="1" si="138"/>
        <v>0</v>
      </c>
      <c r="T313" s="475">
        <f t="shared" ca="1" si="139"/>
        <v>0</v>
      </c>
      <c r="U313" s="480"/>
      <c r="V313" s="477">
        <f t="shared" si="140"/>
        <v>0</v>
      </c>
      <c r="W313" s="480"/>
      <c r="X313" s="477">
        <f t="shared" si="141"/>
        <v>0</v>
      </c>
      <c r="Y313" s="480"/>
      <c r="Z313" s="477">
        <f t="shared" si="142"/>
        <v>0</v>
      </c>
      <c r="AA313" s="480"/>
      <c r="AB313" s="477">
        <f t="shared" ca="1" si="143"/>
        <v>0</v>
      </c>
      <c r="AC313" s="475">
        <f t="shared" ca="1" si="144"/>
        <v>0</v>
      </c>
      <c r="AD313" s="480"/>
      <c r="AE313" s="477">
        <f t="shared" si="145"/>
        <v>0</v>
      </c>
      <c r="AF313" s="480"/>
      <c r="AG313" s="477">
        <f t="shared" si="146"/>
        <v>0</v>
      </c>
      <c r="AH313" s="480"/>
      <c r="AI313" s="477">
        <f t="shared" si="147"/>
        <v>0</v>
      </c>
      <c r="AJ313" s="480"/>
      <c r="AK313" s="477">
        <f t="shared" ca="1" si="148"/>
        <v>0</v>
      </c>
      <c r="AL313" s="475">
        <f t="shared" ca="1" si="149"/>
        <v>0</v>
      </c>
      <c r="AM313" s="480"/>
      <c r="AN313" s="477">
        <f t="shared" si="150"/>
        <v>0</v>
      </c>
      <c r="AO313" s="480"/>
      <c r="AP313" s="477">
        <f t="shared" si="151"/>
        <v>0</v>
      </c>
      <c r="AQ313" s="480"/>
      <c r="AR313" s="477">
        <f t="shared" si="152"/>
        <v>0</v>
      </c>
      <c r="AS313" s="480"/>
      <c r="AT313" s="477">
        <f t="shared" ca="1" si="153"/>
        <v>0</v>
      </c>
      <c r="AU313" s="475">
        <f t="shared" ca="1" si="154"/>
        <v>0</v>
      </c>
      <c r="AV313" s="480"/>
      <c r="AW313" s="477">
        <f t="shared" si="155"/>
        <v>0</v>
      </c>
      <c r="AX313" s="480"/>
      <c r="AY313" s="477">
        <f t="shared" si="156"/>
        <v>0</v>
      </c>
      <c r="AZ313" s="480"/>
      <c r="BA313" s="477">
        <f t="shared" si="157"/>
        <v>0</v>
      </c>
      <c r="BB313" s="480"/>
      <c r="BC313" s="850">
        <f t="shared" ca="1" si="158"/>
        <v>0</v>
      </c>
    </row>
    <row r="314" spans="1:55">
      <c r="A314" s="837" t="str">
        <f t="shared" si="130"/>
        <v/>
      </c>
      <c r="B314" s="440"/>
      <c r="C314" s="834" t="str">
        <f t="shared" ca="1" si="131"/>
        <v/>
      </c>
      <c r="D314" s="1757" t="str">
        <f ca="1">IFERROR(VLOOKUP(LEFT(E314,4),Nom_activ_2!D:G,4,0),"")</f>
        <v/>
      </c>
      <c r="E314" s="1757" t="str">
        <f t="shared" ca="1" si="132"/>
        <v/>
      </c>
      <c r="F314" s="1777">
        <f t="shared" ca="1" si="161"/>
        <v>0</v>
      </c>
      <c r="G314" s="839">
        <f t="shared" ca="1" si="161"/>
        <v>0</v>
      </c>
      <c r="H314" s="840">
        <f t="shared" ca="1" si="161"/>
        <v>0</v>
      </c>
      <c r="I314" s="443"/>
      <c r="J314" s="838" t="str">
        <f t="shared" si="133"/>
        <v>!$A:$j</v>
      </c>
      <c r="K314" s="475">
        <f t="shared" ca="1" si="134"/>
        <v>0</v>
      </c>
      <c r="L314" s="480"/>
      <c r="M314" s="477">
        <f t="shared" si="135"/>
        <v>0</v>
      </c>
      <c r="N314" s="480"/>
      <c r="O314" s="477">
        <f t="shared" si="136"/>
        <v>0</v>
      </c>
      <c r="P314" s="480"/>
      <c r="Q314" s="477">
        <f t="shared" si="137"/>
        <v>0</v>
      </c>
      <c r="R314" s="480"/>
      <c r="S314" s="477">
        <f t="shared" ca="1" si="138"/>
        <v>0</v>
      </c>
      <c r="T314" s="475">
        <f t="shared" ca="1" si="139"/>
        <v>0</v>
      </c>
      <c r="U314" s="480"/>
      <c r="V314" s="477">
        <f t="shared" si="140"/>
        <v>0</v>
      </c>
      <c r="W314" s="480"/>
      <c r="X314" s="477">
        <f t="shared" si="141"/>
        <v>0</v>
      </c>
      <c r="Y314" s="480"/>
      <c r="Z314" s="477">
        <f t="shared" si="142"/>
        <v>0</v>
      </c>
      <c r="AA314" s="480"/>
      <c r="AB314" s="477">
        <f t="shared" ca="1" si="143"/>
        <v>0</v>
      </c>
      <c r="AC314" s="475">
        <f t="shared" ca="1" si="144"/>
        <v>0</v>
      </c>
      <c r="AD314" s="480"/>
      <c r="AE314" s="477">
        <f t="shared" si="145"/>
        <v>0</v>
      </c>
      <c r="AF314" s="480"/>
      <c r="AG314" s="477">
        <f t="shared" si="146"/>
        <v>0</v>
      </c>
      <c r="AH314" s="480"/>
      <c r="AI314" s="477">
        <f t="shared" si="147"/>
        <v>0</v>
      </c>
      <c r="AJ314" s="480"/>
      <c r="AK314" s="477">
        <f t="shared" ca="1" si="148"/>
        <v>0</v>
      </c>
      <c r="AL314" s="475">
        <f t="shared" ca="1" si="149"/>
        <v>0</v>
      </c>
      <c r="AM314" s="480"/>
      <c r="AN314" s="477">
        <f t="shared" si="150"/>
        <v>0</v>
      </c>
      <c r="AO314" s="480"/>
      <c r="AP314" s="477">
        <f t="shared" si="151"/>
        <v>0</v>
      </c>
      <c r="AQ314" s="480"/>
      <c r="AR314" s="477">
        <f t="shared" si="152"/>
        <v>0</v>
      </c>
      <c r="AS314" s="480"/>
      <c r="AT314" s="477">
        <f t="shared" ca="1" si="153"/>
        <v>0</v>
      </c>
      <c r="AU314" s="475">
        <f t="shared" ca="1" si="154"/>
        <v>0</v>
      </c>
      <c r="AV314" s="480"/>
      <c r="AW314" s="477">
        <f t="shared" si="155"/>
        <v>0</v>
      </c>
      <c r="AX314" s="480"/>
      <c r="AY314" s="477">
        <f t="shared" si="156"/>
        <v>0</v>
      </c>
      <c r="AZ314" s="480"/>
      <c r="BA314" s="477">
        <f t="shared" si="157"/>
        <v>0</v>
      </c>
      <c r="BB314" s="480"/>
      <c r="BC314" s="850">
        <f t="shared" ca="1" si="158"/>
        <v>0</v>
      </c>
    </row>
    <row r="315" spans="1:55">
      <c r="A315" s="837" t="str">
        <f t="shared" si="130"/>
        <v/>
      </c>
      <c r="B315" s="440"/>
      <c r="C315" s="834" t="str">
        <f t="shared" ca="1" si="131"/>
        <v/>
      </c>
      <c r="D315" s="1757" t="str">
        <f ca="1">IFERROR(VLOOKUP(LEFT(E315,4),Nom_activ_2!D:G,4,0),"")</f>
        <v/>
      </c>
      <c r="E315" s="1757" t="str">
        <f t="shared" ca="1" si="132"/>
        <v/>
      </c>
      <c r="F315" s="1777">
        <f t="shared" ca="1" si="161"/>
        <v>0</v>
      </c>
      <c r="G315" s="839">
        <f t="shared" ca="1" si="161"/>
        <v>0</v>
      </c>
      <c r="H315" s="840">
        <f t="shared" ca="1" si="161"/>
        <v>0</v>
      </c>
      <c r="I315" s="443"/>
      <c r="J315" s="838" t="str">
        <f t="shared" si="133"/>
        <v>!$A:$j</v>
      </c>
      <c r="K315" s="475">
        <f t="shared" ca="1" si="134"/>
        <v>0</v>
      </c>
      <c r="L315" s="480"/>
      <c r="M315" s="477">
        <f t="shared" si="135"/>
        <v>0</v>
      </c>
      <c r="N315" s="480"/>
      <c r="O315" s="477">
        <f t="shared" si="136"/>
        <v>0</v>
      </c>
      <c r="P315" s="480"/>
      <c r="Q315" s="477">
        <f t="shared" si="137"/>
        <v>0</v>
      </c>
      <c r="R315" s="480"/>
      <c r="S315" s="477">
        <f t="shared" ca="1" si="138"/>
        <v>0</v>
      </c>
      <c r="T315" s="475">
        <f t="shared" ca="1" si="139"/>
        <v>0</v>
      </c>
      <c r="U315" s="480"/>
      <c r="V315" s="477">
        <f t="shared" si="140"/>
        <v>0</v>
      </c>
      <c r="W315" s="480"/>
      <c r="X315" s="477">
        <f t="shared" si="141"/>
        <v>0</v>
      </c>
      <c r="Y315" s="480"/>
      <c r="Z315" s="477">
        <f t="shared" si="142"/>
        <v>0</v>
      </c>
      <c r="AA315" s="480"/>
      <c r="AB315" s="477">
        <f t="shared" ca="1" si="143"/>
        <v>0</v>
      </c>
      <c r="AC315" s="475">
        <f t="shared" ca="1" si="144"/>
        <v>0</v>
      </c>
      <c r="AD315" s="480"/>
      <c r="AE315" s="477">
        <f t="shared" si="145"/>
        <v>0</v>
      </c>
      <c r="AF315" s="480"/>
      <c r="AG315" s="477">
        <f t="shared" si="146"/>
        <v>0</v>
      </c>
      <c r="AH315" s="480"/>
      <c r="AI315" s="477">
        <f t="shared" si="147"/>
        <v>0</v>
      </c>
      <c r="AJ315" s="480"/>
      <c r="AK315" s="477">
        <f t="shared" ca="1" si="148"/>
        <v>0</v>
      </c>
      <c r="AL315" s="475">
        <f t="shared" ca="1" si="149"/>
        <v>0</v>
      </c>
      <c r="AM315" s="480"/>
      <c r="AN315" s="477">
        <f t="shared" si="150"/>
        <v>0</v>
      </c>
      <c r="AO315" s="480"/>
      <c r="AP315" s="477">
        <f t="shared" si="151"/>
        <v>0</v>
      </c>
      <c r="AQ315" s="480"/>
      <c r="AR315" s="477">
        <f t="shared" si="152"/>
        <v>0</v>
      </c>
      <c r="AS315" s="480"/>
      <c r="AT315" s="477">
        <f t="shared" ca="1" si="153"/>
        <v>0</v>
      </c>
      <c r="AU315" s="475">
        <f t="shared" ca="1" si="154"/>
        <v>0</v>
      </c>
      <c r="AV315" s="480"/>
      <c r="AW315" s="477">
        <f t="shared" si="155"/>
        <v>0</v>
      </c>
      <c r="AX315" s="480"/>
      <c r="AY315" s="477">
        <f t="shared" si="156"/>
        <v>0</v>
      </c>
      <c r="AZ315" s="480"/>
      <c r="BA315" s="477">
        <f t="shared" si="157"/>
        <v>0</v>
      </c>
      <c r="BB315" s="480"/>
      <c r="BC315" s="850">
        <f t="shared" ca="1" si="158"/>
        <v>0</v>
      </c>
    </row>
    <row r="316" spans="1:55">
      <c r="A316" s="837" t="str">
        <f t="shared" si="130"/>
        <v/>
      </c>
      <c r="B316" s="440"/>
      <c r="C316" s="834" t="str">
        <f t="shared" ca="1" si="131"/>
        <v/>
      </c>
      <c r="D316" s="1757" t="str">
        <f ca="1">IFERROR(VLOOKUP(LEFT(E316,4),Nom_activ_2!D:G,4,0),"")</f>
        <v/>
      </c>
      <c r="E316" s="1757" t="str">
        <f t="shared" ca="1" si="132"/>
        <v/>
      </c>
      <c r="F316" s="1777">
        <f t="shared" ca="1" si="161"/>
        <v>0</v>
      </c>
      <c r="G316" s="839">
        <f t="shared" ca="1" si="161"/>
        <v>0</v>
      </c>
      <c r="H316" s="840">
        <f t="shared" ca="1" si="161"/>
        <v>0</v>
      </c>
      <c r="I316" s="443"/>
      <c r="J316" s="838" t="str">
        <f t="shared" si="133"/>
        <v>!$A:$j</v>
      </c>
      <c r="K316" s="475">
        <f t="shared" ca="1" si="134"/>
        <v>0</v>
      </c>
      <c r="L316" s="480"/>
      <c r="M316" s="477">
        <f t="shared" si="135"/>
        <v>0</v>
      </c>
      <c r="N316" s="480"/>
      <c r="O316" s="477">
        <f t="shared" si="136"/>
        <v>0</v>
      </c>
      <c r="P316" s="480"/>
      <c r="Q316" s="477">
        <f t="shared" si="137"/>
        <v>0</v>
      </c>
      <c r="R316" s="480"/>
      <c r="S316" s="477">
        <f t="shared" ca="1" si="138"/>
        <v>0</v>
      </c>
      <c r="T316" s="475">
        <f t="shared" ca="1" si="139"/>
        <v>0</v>
      </c>
      <c r="U316" s="480"/>
      <c r="V316" s="477">
        <f t="shared" si="140"/>
        <v>0</v>
      </c>
      <c r="W316" s="480"/>
      <c r="X316" s="477">
        <f t="shared" si="141"/>
        <v>0</v>
      </c>
      <c r="Y316" s="480"/>
      <c r="Z316" s="477">
        <f t="shared" si="142"/>
        <v>0</v>
      </c>
      <c r="AA316" s="480"/>
      <c r="AB316" s="477">
        <f t="shared" ca="1" si="143"/>
        <v>0</v>
      </c>
      <c r="AC316" s="475">
        <f t="shared" ca="1" si="144"/>
        <v>0</v>
      </c>
      <c r="AD316" s="480"/>
      <c r="AE316" s="477">
        <f t="shared" si="145"/>
        <v>0</v>
      </c>
      <c r="AF316" s="480"/>
      <c r="AG316" s="477">
        <f t="shared" si="146"/>
        <v>0</v>
      </c>
      <c r="AH316" s="480"/>
      <c r="AI316" s="477">
        <f t="shared" si="147"/>
        <v>0</v>
      </c>
      <c r="AJ316" s="480"/>
      <c r="AK316" s="477">
        <f t="shared" ca="1" si="148"/>
        <v>0</v>
      </c>
      <c r="AL316" s="475">
        <f t="shared" ca="1" si="149"/>
        <v>0</v>
      </c>
      <c r="AM316" s="480"/>
      <c r="AN316" s="477">
        <f t="shared" si="150"/>
        <v>0</v>
      </c>
      <c r="AO316" s="480"/>
      <c r="AP316" s="477">
        <f t="shared" si="151"/>
        <v>0</v>
      </c>
      <c r="AQ316" s="480"/>
      <c r="AR316" s="477">
        <f t="shared" si="152"/>
        <v>0</v>
      </c>
      <c r="AS316" s="480"/>
      <c r="AT316" s="477">
        <f t="shared" ca="1" si="153"/>
        <v>0</v>
      </c>
      <c r="AU316" s="475">
        <f t="shared" ca="1" si="154"/>
        <v>0</v>
      </c>
      <c r="AV316" s="480"/>
      <c r="AW316" s="477">
        <f t="shared" si="155"/>
        <v>0</v>
      </c>
      <c r="AX316" s="480"/>
      <c r="AY316" s="477">
        <f t="shared" si="156"/>
        <v>0</v>
      </c>
      <c r="AZ316" s="480"/>
      <c r="BA316" s="477">
        <f t="shared" si="157"/>
        <v>0</v>
      </c>
      <c r="BB316" s="480"/>
      <c r="BC316" s="850">
        <f t="shared" ca="1" si="158"/>
        <v>0</v>
      </c>
    </row>
    <row r="317" spans="1:55">
      <c r="A317" s="837" t="str">
        <f t="shared" si="130"/>
        <v/>
      </c>
      <c r="B317" s="440"/>
      <c r="C317" s="834" t="str">
        <f t="shared" ca="1" si="131"/>
        <v/>
      </c>
      <c r="D317" s="1757" t="str">
        <f ca="1">IFERROR(VLOOKUP(LEFT(E317,4),Nom_activ_2!D:G,4,0),"")</f>
        <v/>
      </c>
      <c r="E317" s="1757" t="str">
        <f t="shared" ca="1" si="132"/>
        <v/>
      </c>
      <c r="F317" s="1777">
        <f t="shared" ca="1" si="161"/>
        <v>0</v>
      </c>
      <c r="G317" s="839">
        <f t="shared" ca="1" si="161"/>
        <v>0</v>
      </c>
      <c r="H317" s="840">
        <f t="shared" ca="1" si="161"/>
        <v>0</v>
      </c>
      <c r="I317" s="443"/>
      <c r="J317" s="838" t="str">
        <f t="shared" si="133"/>
        <v>!$A:$j</v>
      </c>
      <c r="K317" s="475">
        <f t="shared" ca="1" si="134"/>
        <v>0</v>
      </c>
      <c r="L317" s="480"/>
      <c r="M317" s="477">
        <f t="shared" si="135"/>
        <v>0</v>
      </c>
      <c r="N317" s="480"/>
      <c r="O317" s="477">
        <f t="shared" si="136"/>
        <v>0</v>
      </c>
      <c r="P317" s="480"/>
      <c r="Q317" s="477">
        <f t="shared" si="137"/>
        <v>0</v>
      </c>
      <c r="R317" s="480"/>
      <c r="S317" s="477">
        <f t="shared" ca="1" si="138"/>
        <v>0</v>
      </c>
      <c r="T317" s="475">
        <f t="shared" ca="1" si="139"/>
        <v>0</v>
      </c>
      <c r="U317" s="480"/>
      <c r="V317" s="477">
        <f t="shared" si="140"/>
        <v>0</v>
      </c>
      <c r="W317" s="480"/>
      <c r="X317" s="477">
        <f t="shared" si="141"/>
        <v>0</v>
      </c>
      <c r="Y317" s="480"/>
      <c r="Z317" s="477">
        <f t="shared" si="142"/>
        <v>0</v>
      </c>
      <c r="AA317" s="480"/>
      <c r="AB317" s="477">
        <f t="shared" ca="1" si="143"/>
        <v>0</v>
      </c>
      <c r="AC317" s="475">
        <f t="shared" ca="1" si="144"/>
        <v>0</v>
      </c>
      <c r="AD317" s="480"/>
      <c r="AE317" s="477">
        <f t="shared" si="145"/>
        <v>0</v>
      </c>
      <c r="AF317" s="480"/>
      <c r="AG317" s="477">
        <f t="shared" si="146"/>
        <v>0</v>
      </c>
      <c r="AH317" s="480"/>
      <c r="AI317" s="477">
        <f t="shared" si="147"/>
        <v>0</v>
      </c>
      <c r="AJ317" s="480"/>
      <c r="AK317" s="477">
        <f t="shared" ca="1" si="148"/>
        <v>0</v>
      </c>
      <c r="AL317" s="475">
        <f t="shared" ca="1" si="149"/>
        <v>0</v>
      </c>
      <c r="AM317" s="480"/>
      <c r="AN317" s="477">
        <f t="shared" si="150"/>
        <v>0</v>
      </c>
      <c r="AO317" s="480"/>
      <c r="AP317" s="477">
        <f t="shared" si="151"/>
        <v>0</v>
      </c>
      <c r="AQ317" s="480"/>
      <c r="AR317" s="477">
        <f t="shared" si="152"/>
        <v>0</v>
      </c>
      <c r="AS317" s="480"/>
      <c r="AT317" s="477">
        <f t="shared" ca="1" si="153"/>
        <v>0</v>
      </c>
      <c r="AU317" s="475">
        <f t="shared" ca="1" si="154"/>
        <v>0</v>
      </c>
      <c r="AV317" s="480"/>
      <c r="AW317" s="477">
        <f t="shared" si="155"/>
        <v>0</v>
      </c>
      <c r="AX317" s="480"/>
      <c r="AY317" s="477">
        <f t="shared" si="156"/>
        <v>0</v>
      </c>
      <c r="AZ317" s="480"/>
      <c r="BA317" s="477">
        <f t="shared" si="157"/>
        <v>0</v>
      </c>
      <c r="BB317" s="480"/>
      <c r="BC317" s="850">
        <f t="shared" ca="1" si="158"/>
        <v>0</v>
      </c>
    </row>
    <row r="318" spans="1:55">
      <c r="A318" s="837" t="str">
        <f t="shared" si="130"/>
        <v/>
      </c>
      <c r="B318" s="440"/>
      <c r="C318" s="834" t="str">
        <f t="shared" ca="1" si="131"/>
        <v/>
      </c>
      <c r="D318" s="1757" t="str">
        <f ca="1">IFERROR(VLOOKUP(LEFT(E318,4),Nom_activ_2!D:G,4,0),"")</f>
        <v/>
      </c>
      <c r="E318" s="1757" t="str">
        <f t="shared" ca="1" si="132"/>
        <v/>
      </c>
      <c r="F318" s="1777">
        <f t="shared" ca="1" si="161"/>
        <v>0</v>
      </c>
      <c r="G318" s="839">
        <f t="shared" ca="1" si="161"/>
        <v>0</v>
      </c>
      <c r="H318" s="840">
        <f t="shared" ca="1" si="161"/>
        <v>0</v>
      </c>
      <c r="I318" s="443"/>
      <c r="J318" s="838" t="str">
        <f t="shared" si="133"/>
        <v>!$A:$j</v>
      </c>
      <c r="K318" s="475">
        <f t="shared" ca="1" si="134"/>
        <v>0</v>
      </c>
      <c r="L318" s="480"/>
      <c r="M318" s="477">
        <f t="shared" si="135"/>
        <v>0</v>
      </c>
      <c r="N318" s="480"/>
      <c r="O318" s="477">
        <f t="shared" si="136"/>
        <v>0</v>
      </c>
      <c r="P318" s="480"/>
      <c r="Q318" s="477">
        <f t="shared" si="137"/>
        <v>0</v>
      </c>
      <c r="R318" s="480"/>
      <c r="S318" s="477">
        <f t="shared" ca="1" si="138"/>
        <v>0</v>
      </c>
      <c r="T318" s="475">
        <f t="shared" ca="1" si="139"/>
        <v>0</v>
      </c>
      <c r="U318" s="480"/>
      <c r="V318" s="477">
        <f t="shared" si="140"/>
        <v>0</v>
      </c>
      <c r="W318" s="480"/>
      <c r="X318" s="477">
        <f t="shared" si="141"/>
        <v>0</v>
      </c>
      <c r="Y318" s="480"/>
      <c r="Z318" s="477">
        <f t="shared" si="142"/>
        <v>0</v>
      </c>
      <c r="AA318" s="480"/>
      <c r="AB318" s="477">
        <f t="shared" ca="1" si="143"/>
        <v>0</v>
      </c>
      <c r="AC318" s="475">
        <f t="shared" ca="1" si="144"/>
        <v>0</v>
      </c>
      <c r="AD318" s="480"/>
      <c r="AE318" s="477">
        <f t="shared" si="145"/>
        <v>0</v>
      </c>
      <c r="AF318" s="480"/>
      <c r="AG318" s="477">
        <f t="shared" si="146"/>
        <v>0</v>
      </c>
      <c r="AH318" s="480"/>
      <c r="AI318" s="477">
        <f t="shared" si="147"/>
        <v>0</v>
      </c>
      <c r="AJ318" s="480"/>
      <c r="AK318" s="477">
        <f t="shared" ca="1" si="148"/>
        <v>0</v>
      </c>
      <c r="AL318" s="475">
        <f t="shared" ca="1" si="149"/>
        <v>0</v>
      </c>
      <c r="AM318" s="480"/>
      <c r="AN318" s="477">
        <f t="shared" si="150"/>
        <v>0</v>
      </c>
      <c r="AO318" s="480"/>
      <c r="AP318" s="477">
        <f t="shared" si="151"/>
        <v>0</v>
      </c>
      <c r="AQ318" s="480"/>
      <c r="AR318" s="477">
        <f t="shared" si="152"/>
        <v>0</v>
      </c>
      <c r="AS318" s="480"/>
      <c r="AT318" s="477">
        <f t="shared" ca="1" si="153"/>
        <v>0</v>
      </c>
      <c r="AU318" s="475">
        <f t="shared" ca="1" si="154"/>
        <v>0</v>
      </c>
      <c r="AV318" s="480"/>
      <c r="AW318" s="477">
        <f t="shared" si="155"/>
        <v>0</v>
      </c>
      <c r="AX318" s="480"/>
      <c r="AY318" s="477">
        <f t="shared" si="156"/>
        <v>0</v>
      </c>
      <c r="AZ318" s="480"/>
      <c r="BA318" s="477">
        <f t="shared" si="157"/>
        <v>0</v>
      </c>
      <c r="BB318" s="480"/>
      <c r="BC318" s="850">
        <f t="shared" ca="1" si="158"/>
        <v>0</v>
      </c>
    </row>
    <row r="319" spans="1:55">
      <c r="A319" s="837" t="str">
        <f t="shared" si="130"/>
        <v/>
      </c>
      <c r="B319" s="440"/>
      <c r="C319" s="834" t="str">
        <f t="shared" ca="1" si="131"/>
        <v/>
      </c>
      <c r="D319" s="1757" t="str">
        <f ca="1">IFERROR(VLOOKUP(LEFT(E319,4),Nom_activ_2!D:G,4,0),"")</f>
        <v/>
      </c>
      <c r="E319" s="1757" t="str">
        <f t="shared" ca="1" si="132"/>
        <v/>
      </c>
      <c r="F319" s="1777">
        <f t="shared" ca="1" si="161"/>
        <v>0</v>
      </c>
      <c r="G319" s="839">
        <f t="shared" ca="1" si="161"/>
        <v>0</v>
      </c>
      <c r="H319" s="840">
        <f t="shared" ca="1" si="161"/>
        <v>0</v>
      </c>
      <c r="I319" s="443"/>
      <c r="J319" s="838" t="str">
        <f t="shared" si="133"/>
        <v>!$A:$j</v>
      </c>
      <c r="K319" s="475">
        <f t="shared" ca="1" si="134"/>
        <v>0</v>
      </c>
      <c r="L319" s="480"/>
      <c r="M319" s="477">
        <f t="shared" si="135"/>
        <v>0</v>
      </c>
      <c r="N319" s="480"/>
      <c r="O319" s="477">
        <f t="shared" si="136"/>
        <v>0</v>
      </c>
      <c r="P319" s="480"/>
      <c r="Q319" s="477">
        <f t="shared" si="137"/>
        <v>0</v>
      </c>
      <c r="R319" s="480"/>
      <c r="S319" s="477">
        <f t="shared" ca="1" si="138"/>
        <v>0</v>
      </c>
      <c r="T319" s="475">
        <f t="shared" ca="1" si="139"/>
        <v>0</v>
      </c>
      <c r="U319" s="480"/>
      <c r="V319" s="477">
        <f t="shared" si="140"/>
        <v>0</v>
      </c>
      <c r="W319" s="480"/>
      <c r="X319" s="477">
        <f t="shared" si="141"/>
        <v>0</v>
      </c>
      <c r="Y319" s="480"/>
      <c r="Z319" s="477">
        <f t="shared" si="142"/>
        <v>0</v>
      </c>
      <c r="AA319" s="480"/>
      <c r="AB319" s="477">
        <f t="shared" ca="1" si="143"/>
        <v>0</v>
      </c>
      <c r="AC319" s="475">
        <f t="shared" ca="1" si="144"/>
        <v>0</v>
      </c>
      <c r="AD319" s="480"/>
      <c r="AE319" s="477">
        <f t="shared" si="145"/>
        <v>0</v>
      </c>
      <c r="AF319" s="480"/>
      <c r="AG319" s="477">
        <f t="shared" si="146"/>
        <v>0</v>
      </c>
      <c r="AH319" s="480"/>
      <c r="AI319" s="477">
        <f t="shared" si="147"/>
        <v>0</v>
      </c>
      <c r="AJ319" s="480"/>
      <c r="AK319" s="477">
        <f t="shared" ca="1" si="148"/>
        <v>0</v>
      </c>
      <c r="AL319" s="475">
        <f t="shared" ca="1" si="149"/>
        <v>0</v>
      </c>
      <c r="AM319" s="480"/>
      <c r="AN319" s="477">
        <f t="shared" si="150"/>
        <v>0</v>
      </c>
      <c r="AO319" s="480"/>
      <c r="AP319" s="477">
        <f t="shared" si="151"/>
        <v>0</v>
      </c>
      <c r="AQ319" s="480"/>
      <c r="AR319" s="477">
        <f t="shared" si="152"/>
        <v>0</v>
      </c>
      <c r="AS319" s="480"/>
      <c r="AT319" s="477">
        <f t="shared" ca="1" si="153"/>
        <v>0</v>
      </c>
      <c r="AU319" s="475">
        <f t="shared" ca="1" si="154"/>
        <v>0</v>
      </c>
      <c r="AV319" s="480"/>
      <c r="AW319" s="477">
        <f t="shared" si="155"/>
        <v>0</v>
      </c>
      <c r="AX319" s="480"/>
      <c r="AY319" s="477">
        <f t="shared" si="156"/>
        <v>0</v>
      </c>
      <c r="AZ319" s="480"/>
      <c r="BA319" s="477">
        <f t="shared" si="157"/>
        <v>0</v>
      </c>
      <c r="BB319" s="480"/>
      <c r="BC319" s="850">
        <f t="shared" ca="1" si="158"/>
        <v>0</v>
      </c>
    </row>
    <row r="320" spans="1:55">
      <c r="A320" s="837" t="str">
        <f t="shared" si="130"/>
        <v/>
      </c>
      <c r="B320" s="440"/>
      <c r="C320" s="834" t="str">
        <f t="shared" ca="1" si="131"/>
        <v/>
      </c>
      <c r="D320" s="1757" t="str">
        <f ca="1">IFERROR(VLOOKUP(LEFT(E320,4),Nom_activ_2!D:G,4,0),"")</f>
        <v/>
      </c>
      <c r="E320" s="1757" t="str">
        <f t="shared" ca="1" si="132"/>
        <v/>
      </c>
      <c r="F320" s="1777">
        <f t="shared" ca="1" si="161"/>
        <v>0</v>
      </c>
      <c r="G320" s="839">
        <f t="shared" ca="1" si="161"/>
        <v>0</v>
      </c>
      <c r="H320" s="840">
        <f t="shared" ca="1" si="161"/>
        <v>0</v>
      </c>
      <c r="I320" s="443"/>
      <c r="J320" s="838" t="str">
        <f t="shared" si="133"/>
        <v>!$A:$j</v>
      </c>
      <c r="K320" s="475">
        <f t="shared" ca="1" si="134"/>
        <v>0</v>
      </c>
      <c r="L320" s="480"/>
      <c r="M320" s="477">
        <f t="shared" si="135"/>
        <v>0</v>
      </c>
      <c r="N320" s="480"/>
      <c r="O320" s="477">
        <f t="shared" si="136"/>
        <v>0</v>
      </c>
      <c r="P320" s="480"/>
      <c r="Q320" s="477">
        <f t="shared" si="137"/>
        <v>0</v>
      </c>
      <c r="R320" s="480"/>
      <c r="S320" s="477">
        <f t="shared" ca="1" si="138"/>
        <v>0</v>
      </c>
      <c r="T320" s="475">
        <f t="shared" ca="1" si="139"/>
        <v>0</v>
      </c>
      <c r="U320" s="480"/>
      <c r="V320" s="477">
        <f t="shared" si="140"/>
        <v>0</v>
      </c>
      <c r="W320" s="480"/>
      <c r="X320" s="477">
        <f t="shared" si="141"/>
        <v>0</v>
      </c>
      <c r="Y320" s="480"/>
      <c r="Z320" s="477">
        <f t="shared" si="142"/>
        <v>0</v>
      </c>
      <c r="AA320" s="480"/>
      <c r="AB320" s="477">
        <f t="shared" ca="1" si="143"/>
        <v>0</v>
      </c>
      <c r="AC320" s="475">
        <f t="shared" ca="1" si="144"/>
        <v>0</v>
      </c>
      <c r="AD320" s="480"/>
      <c r="AE320" s="477">
        <f t="shared" si="145"/>
        <v>0</v>
      </c>
      <c r="AF320" s="480"/>
      <c r="AG320" s="477">
        <f t="shared" si="146"/>
        <v>0</v>
      </c>
      <c r="AH320" s="480"/>
      <c r="AI320" s="477">
        <f t="shared" si="147"/>
        <v>0</v>
      </c>
      <c r="AJ320" s="480"/>
      <c r="AK320" s="477">
        <f t="shared" ca="1" si="148"/>
        <v>0</v>
      </c>
      <c r="AL320" s="475">
        <f t="shared" ca="1" si="149"/>
        <v>0</v>
      </c>
      <c r="AM320" s="480"/>
      <c r="AN320" s="477">
        <f t="shared" si="150"/>
        <v>0</v>
      </c>
      <c r="AO320" s="480"/>
      <c r="AP320" s="477">
        <f t="shared" si="151"/>
        <v>0</v>
      </c>
      <c r="AQ320" s="480"/>
      <c r="AR320" s="477">
        <f t="shared" si="152"/>
        <v>0</v>
      </c>
      <c r="AS320" s="480"/>
      <c r="AT320" s="477">
        <f t="shared" ca="1" si="153"/>
        <v>0</v>
      </c>
      <c r="AU320" s="475">
        <f t="shared" ca="1" si="154"/>
        <v>0</v>
      </c>
      <c r="AV320" s="480"/>
      <c r="AW320" s="477">
        <f t="shared" si="155"/>
        <v>0</v>
      </c>
      <c r="AX320" s="480"/>
      <c r="AY320" s="477">
        <f t="shared" si="156"/>
        <v>0</v>
      </c>
      <c r="AZ320" s="480"/>
      <c r="BA320" s="477">
        <f t="shared" si="157"/>
        <v>0</v>
      </c>
      <c r="BB320" s="480"/>
      <c r="BC320" s="850">
        <f t="shared" ca="1" si="158"/>
        <v>0</v>
      </c>
    </row>
    <row r="321" spans="1:55">
      <c r="A321" s="837" t="str">
        <f t="shared" si="130"/>
        <v/>
      </c>
      <c r="B321" s="440"/>
      <c r="C321" s="834" t="str">
        <f t="shared" ca="1" si="131"/>
        <v/>
      </c>
      <c r="D321" s="1757" t="str">
        <f ca="1">IFERROR(VLOOKUP(LEFT(E321,4),Nom_activ_2!D:G,4,0),"")</f>
        <v/>
      </c>
      <c r="E321" s="1757" t="str">
        <f t="shared" ca="1" si="132"/>
        <v/>
      </c>
      <c r="F321" s="1777">
        <f t="shared" ca="1" si="161"/>
        <v>0</v>
      </c>
      <c r="G321" s="839">
        <f t="shared" ca="1" si="161"/>
        <v>0</v>
      </c>
      <c r="H321" s="840">
        <f t="shared" ca="1" si="161"/>
        <v>0</v>
      </c>
      <c r="I321" s="443"/>
      <c r="J321" s="838" t="str">
        <f t="shared" si="133"/>
        <v>!$A:$j</v>
      </c>
      <c r="K321" s="475">
        <f t="shared" ca="1" si="134"/>
        <v>0</v>
      </c>
      <c r="L321" s="480"/>
      <c r="M321" s="477">
        <f t="shared" si="135"/>
        <v>0</v>
      </c>
      <c r="N321" s="480"/>
      <c r="O321" s="477">
        <f t="shared" si="136"/>
        <v>0</v>
      </c>
      <c r="P321" s="480"/>
      <c r="Q321" s="477">
        <f t="shared" si="137"/>
        <v>0</v>
      </c>
      <c r="R321" s="480"/>
      <c r="S321" s="477">
        <f t="shared" ca="1" si="138"/>
        <v>0</v>
      </c>
      <c r="T321" s="475">
        <f t="shared" ca="1" si="139"/>
        <v>0</v>
      </c>
      <c r="U321" s="480"/>
      <c r="V321" s="477">
        <f t="shared" si="140"/>
        <v>0</v>
      </c>
      <c r="W321" s="480"/>
      <c r="X321" s="477">
        <f t="shared" si="141"/>
        <v>0</v>
      </c>
      <c r="Y321" s="480"/>
      <c r="Z321" s="477">
        <f t="shared" si="142"/>
        <v>0</v>
      </c>
      <c r="AA321" s="480"/>
      <c r="AB321" s="477">
        <f t="shared" ca="1" si="143"/>
        <v>0</v>
      </c>
      <c r="AC321" s="475">
        <f t="shared" ca="1" si="144"/>
        <v>0</v>
      </c>
      <c r="AD321" s="480"/>
      <c r="AE321" s="477">
        <f t="shared" si="145"/>
        <v>0</v>
      </c>
      <c r="AF321" s="480"/>
      <c r="AG321" s="477">
        <f t="shared" si="146"/>
        <v>0</v>
      </c>
      <c r="AH321" s="480"/>
      <c r="AI321" s="477">
        <f t="shared" si="147"/>
        <v>0</v>
      </c>
      <c r="AJ321" s="480"/>
      <c r="AK321" s="477">
        <f t="shared" ca="1" si="148"/>
        <v>0</v>
      </c>
      <c r="AL321" s="475">
        <f t="shared" ca="1" si="149"/>
        <v>0</v>
      </c>
      <c r="AM321" s="480"/>
      <c r="AN321" s="477">
        <f t="shared" si="150"/>
        <v>0</v>
      </c>
      <c r="AO321" s="480"/>
      <c r="AP321" s="477">
        <f t="shared" si="151"/>
        <v>0</v>
      </c>
      <c r="AQ321" s="480"/>
      <c r="AR321" s="477">
        <f t="shared" si="152"/>
        <v>0</v>
      </c>
      <c r="AS321" s="480"/>
      <c r="AT321" s="477">
        <f t="shared" ca="1" si="153"/>
        <v>0</v>
      </c>
      <c r="AU321" s="475">
        <f t="shared" ca="1" si="154"/>
        <v>0</v>
      </c>
      <c r="AV321" s="480"/>
      <c r="AW321" s="477">
        <f t="shared" si="155"/>
        <v>0</v>
      </c>
      <c r="AX321" s="480"/>
      <c r="AY321" s="477">
        <f t="shared" si="156"/>
        <v>0</v>
      </c>
      <c r="AZ321" s="480"/>
      <c r="BA321" s="477">
        <f t="shared" si="157"/>
        <v>0</v>
      </c>
      <c r="BB321" s="480"/>
      <c r="BC321" s="850">
        <f t="shared" ca="1" si="158"/>
        <v>0</v>
      </c>
    </row>
    <row r="322" spans="1:55">
      <c r="A322" s="837" t="str">
        <f t="shared" si="130"/>
        <v/>
      </c>
      <c r="B322" s="440"/>
      <c r="C322" s="834" t="str">
        <f t="shared" ca="1" si="131"/>
        <v/>
      </c>
      <c r="D322" s="1757" t="str">
        <f ca="1">IFERROR(VLOOKUP(LEFT(E322,4),Nom_activ_2!D:G,4,0),"")</f>
        <v/>
      </c>
      <c r="E322" s="1757" t="str">
        <f t="shared" ca="1" si="132"/>
        <v/>
      </c>
      <c r="F322" s="1777">
        <f t="shared" ca="1" si="161"/>
        <v>0</v>
      </c>
      <c r="G322" s="839">
        <f t="shared" ca="1" si="161"/>
        <v>0</v>
      </c>
      <c r="H322" s="840">
        <f t="shared" ca="1" si="161"/>
        <v>0</v>
      </c>
      <c r="I322" s="443"/>
      <c r="J322" s="838" t="str">
        <f t="shared" si="133"/>
        <v>!$A:$j</v>
      </c>
      <c r="K322" s="475">
        <f t="shared" ca="1" si="134"/>
        <v>0</v>
      </c>
      <c r="L322" s="480"/>
      <c r="M322" s="477">
        <f t="shared" si="135"/>
        <v>0</v>
      </c>
      <c r="N322" s="480"/>
      <c r="O322" s="477">
        <f t="shared" si="136"/>
        <v>0</v>
      </c>
      <c r="P322" s="480"/>
      <c r="Q322" s="477">
        <f t="shared" si="137"/>
        <v>0</v>
      </c>
      <c r="R322" s="480"/>
      <c r="S322" s="477">
        <f t="shared" ca="1" si="138"/>
        <v>0</v>
      </c>
      <c r="T322" s="475">
        <f t="shared" ca="1" si="139"/>
        <v>0</v>
      </c>
      <c r="U322" s="480"/>
      <c r="V322" s="477">
        <f t="shared" si="140"/>
        <v>0</v>
      </c>
      <c r="W322" s="480"/>
      <c r="X322" s="477">
        <f t="shared" si="141"/>
        <v>0</v>
      </c>
      <c r="Y322" s="480"/>
      <c r="Z322" s="477">
        <f t="shared" si="142"/>
        <v>0</v>
      </c>
      <c r="AA322" s="480"/>
      <c r="AB322" s="477">
        <f t="shared" ca="1" si="143"/>
        <v>0</v>
      </c>
      <c r="AC322" s="475">
        <f t="shared" ca="1" si="144"/>
        <v>0</v>
      </c>
      <c r="AD322" s="480"/>
      <c r="AE322" s="477">
        <f t="shared" si="145"/>
        <v>0</v>
      </c>
      <c r="AF322" s="480"/>
      <c r="AG322" s="477">
        <f t="shared" si="146"/>
        <v>0</v>
      </c>
      <c r="AH322" s="480"/>
      <c r="AI322" s="477">
        <f t="shared" si="147"/>
        <v>0</v>
      </c>
      <c r="AJ322" s="480"/>
      <c r="AK322" s="477">
        <f t="shared" ca="1" si="148"/>
        <v>0</v>
      </c>
      <c r="AL322" s="475">
        <f t="shared" ca="1" si="149"/>
        <v>0</v>
      </c>
      <c r="AM322" s="480"/>
      <c r="AN322" s="477">
        <f t="shared" si="150"/>
        <v>0</v>
      </c>
      <c r="AO322" s="480"/>
      <c r="AP322" s="477">
        <f t="shared" si="151"/>
        <v>0</v>
      </c>
      <c r="AQ322" s="480"/>
      <c r="AR322" s="477">
        <f t="shared" si="152"/>
        <v>0</v>
      </c>
      <c r="AS322" s="480"/>
      <c r="AT322" s="477">
        <f t="shared" ca="1" si="153"/>
        <v>0</v>
      </c>
      <c r="AU322" s="475">
        <f t="shared" ca="1" si="154"/>
        <v>0</v>
      </c>
      <c r="AV322" s="480"/>
      <c r="AW322" s="477">
        <f t="shared" si="155"/>
        <v>0</v>
      </c>
      <c r="AX322" s="480"/>
      <c r="AY322" s="477">
        <f t="shared" si="156"/>
        <v>0</v>
      </c>
      <c r="AZ322" s="480"/>
      <c r="BA322" s="477">
        <f t="shared" si="157"/>
        <v>0</v>
      </c>
      <c r="BB322" s="480"/>
      <c r="BC322" s="850">
        <f t="shared" ca="1" si="158"/>
        <v>0</v>
      </c>
    </row>
    <row r="323" spans="1:55">
      <c r="A323" s="837" t="str">
        <f t="shared" si="130"/>
        <v/>
      </c>
      <c r="B323" s="440"/>
      <c r="C323" s="834" t="str">
        <f t="shared" ca="1" si="131"/>
        <v/>
      </c>
      <c r="D323" s="1757" t="str">
        <f ca="1">IFERROR(VLOOKUP(LEFT(E323,4),Nom_activ_2!D:G,4,0),"")</f>
        <v/>
      </c>
      <c r="E323" s="1757" t="str">
        <f t="shared" ca="1" si="132"/>
        <v/>
      </c>
      <c r="F323" s="1777">
        <f t="shared" ca="1" si="161"/>
        <v>0</v>
      </c>
      <c r="G323" s="839">
        <f t="shared" ca="1" si="161"/>
        <v>0</v>
      </c>
      <c r="H323" s="840">
        <f t="shared" ca="1" si="161"/>
        <v>0</v>
      </c>
      <c r="I323" s="443"/>
      <c r="J323" s="838" t="str">
        <f t="shared" si="133"/>
        <v>!$A:$j</v>
      </c>
      <c r="K323" s="475">
        <f t="shared" ca="1" si="134"/>
        <v>0</v>
      </c>
      <c r="L323" s="480"/>
      <c r="M323" s="477">
        <f t="shared" si="135"/>
        <v>0</v>
      </c>
      <c r="N323" s="480"/>
      <c r="O323" s="477">
        <f t="shared" si="136"/>
        <v>0</v>
      </c>
      <c r="P323" s="480"/>
      <c r="Q323" s="477">
        <f t="shared" si="137"/>
        <v>0</v>
      </c>
      <c r="R323" s="480"/>
      <c r="S323" s="477">
        <f t="shared" ca="1" si="138"/>
        <v>0</v>
      </c>
      <c r="T323" s="475">
        <f t="shared" ca="1" si="139"/>
        <v>0</v>
      </c>
      <c r="U323" s="480"/>
      <c r="V323" s="477">
        <f t="shared" si="140"/>
        <v>0</v>
      </c>
      <c r="W323" s="480"/>
      <c r="X323" s="477">
        <f t="shared" si="141"/>
        <v>0</v>
      </c>
      <c r="Y323" s="480"/>
      <c r="Z323" s="477">
        <f t="shared" si="142"/>
        <v>0</v>
      </c>
      <c r="AA323" s="480"/>
      <c r="AB323" s="477">
        <f t="shared" ca="1" si="143"/>
        <v>0</v>
      </c>
      <c r="AC323" s="475">
        <f t="shared" ca="1" si="144"/>
        <v>0</v>
      </c>
      <c r="AD323" s="480"/>
      <c r="AE323" s="477">
        <f t="shared" si="145"/>
        <v>0</v>
      </c>
      <c r="AF323" s="480"/>
      <c r="AG323" s="477">
        <f t="shared" si="146"/>
        <v>0</v>
      </c>
      <c r="AH323" s="480"/>
      <c r="AI323" s="477">
        <f t="shared" si="147"/>
        <v>0</v>
      </c>
      <c r="AJ323" s="480"/>
      <c r="AK323" s="477">
        <f t="shared" ca="1" si="148"/>
        <v>0</v>
      </c>
      <c r="AL323" s="475">
        <f t="shared" ca="1" si="149"/>
        <v>0</v>
      </c>
      <c r="AM323" s="480"/>
      <c r="AN323" s="477">
        <f t="shared" si="150"/>
        <v>0</v>
      </c>
      <c r="AO323" s="480"/>
      <c r="AP323" s="477">
        <f t="shared" si="151"/>
        <v>0</v>
      </c>
      <c r="AQ323" s="480"/>
      <c r="AR323" s="477">
        <f t="shared" si="152"/>
        <v>0</v>
      </c>
      <c r="AS323" s="480"/>
      <c r="AT323" s="477">
        <f t="shared" ca="1" si="153"/>
        <v>0</v>
      </c>
      <c r="AU323" s="475">
        <f t="shared" ca="1" si="154"/>
        <v>0</v>
      </c>
      <c r="AV323" s="480"/>
      <c r="AW323" s="477">
        <f t="shared" si="155"/>
        <v>0</v>
      </c>
      <c r="AX323" s="480"/>
      <c r="AY323" s="477">
        <f t="shared" si="156"/>
        <v>0</v>
      </c>
      <c r="AZ323" s="480"/>
      <c r="BA323" s="477">
        <f t="shared" si="157"/>
        <v>0</v>
      </c>
      <c r="BB323" s="480"/>
      <c r="BC323" s="850">
        <f t="shared" ca="1" si="158"/>
        <v>0</v>
      </c>
    </row>
    <row r="324" spans="1:55">
      <c r="A324" s="837" t="str">
        <f t="shared" si="130"/>
        <v/>
      </c>
      <c r="B324" s="440"/>
      <c r="C324" s="834" t="str">
        <f t="shared" ca="1" si="131"/>
        <v/>
      </c>
      <c r="D324" s="1757" t="str">
        <f ca="1">IFERROR(VLOOKUP(LEFT(E324,4),Nom_activ_2!D:G,4,0),"")</f>
        <v/>
      </c>
      <c r="E324" s="1757" t="str">
        <f t="shared" ca="1" si="132"/>
        <v/>
      </c>
      <c r="F324" s="1777">
        <f t="shared" ca="1" si="161"/>
        <v>0</v>
      </c>
      <c r="G324" s="839">
        <f t="shared" ca="1" si="161"/>
        <v>0</v>
      </c>
      <c r="H324" s="840">
        <f t="shared" ca="1" si="161"/>
        <v>0</v>
      </c>
      <c r="I324" s="443"/>
      <c r="J324" s="838" t="str">
        <f t="shared" si="133"/>
        <v>!$A:$j</v>
      </c>
      <c r="K324" s="475">
        <f t="shared" ca="1" si="134"/>
        <v>0</v>
      </c>
      <c r="L324" s="480"/>
      <c r="M324" s="477">
        <f t="shared" si="135"/>
        <v>0</v>
      </c>
      <c r="N324" s="480"/>
      <c r="O324" s="477">
        <f t="shared" si="136"/>
        <v>0</v>
      </c>
      <c r="P324" s="480"/>
      <c r="Q324" s="477">
        <f t="shared" si="137"/>
        <v>0</v>
      </c>
      <c r="R324" s="480"/>
      <c r="S324" s="477">
        <f t="shared" ca="1" si="138"/>
        <v>0</v>
      </c>
      <c r="T324" s="475">
        <f t="shared" ca="1" si="139"/>
        <v>0</v>
      </c>
      <c r="U324" s="480"/>
      <c r="V324" s="477">
        <f t="shared" si="140"/>
        <v>0</v>
      </c>
      <c r="W324" s="480"/>
      <c r="X324" s="477">
        <f t="shared" si="141"/>
        <v>0</v>
      </c>
      <c r="Y324" s="480"/>
      <c r="Z324" s="477">
        <f t="shared" si="142"/>
        <v>0</v>
      </c>
      <c r="AA324" s="480"/>
      <c r="AB324" s="477">
        <f t="shared" ca="1" si="143"/>
        <v>0</v>
      </c>
      <c r="AC324" s="475">
        <f t="shared" ca="1" si="144"/>
        <v>0</v>
      </c>
      <c r="AD324" s="480"/>
      <c r="AE324" s="477">
        <f t="shared" si="145"/>
        <v>0</v>
      </c>
      <c r="AF324" s="480"/>
      <c r="AG324" s="477">
        <f t="shared" si="146"/>
        <v>0</v>
      </c>
      <c r="AH324" s="480"/>
      <c r="AI324" s="477">
        <f t="shared" si="147"/>
        <v>0</v>
      </c>
      <c r="AJ324" s="480"/>
      <c r="AK324" s="477">
        <f t="shared" ca="1" si="148"/>
        <v>0</v>
      </c>
      <c r="AL324" s="475">
        <f t="shared" ca="1" si="149"/>
        <v>0</v>
      </c>
      <c r="AM324" s="480"/>
      <c r="AN324" s="477">
        <f t="shared" si="150"/>
        <v>0</v>
      </c>
      <c r="AO324" s="480"/>
      <c r="AP324" s="477">
        <f t="shared" si="151"/>
        <v>0</v>
      </c>
      <c r="AQ324" s="480"/>
      <c r="AR324" s="477">
        <f t="shared" si="152"/>
        <v>0</v>
      </c>
      <c r="AS324" s="480"/>
      <c r="AT324" s="477">
        <f t="shared" ca="1" si="153"/>
        <v>0</v>
      </c>
      <c r="AU324" s="475">
        <f t="shared" ca="1" si="154"/>
        <v>0</v>
      </c>
      <c r="AV324" s="480"/>
      <c r="AW324" s="477">
        <f t="shared" si="155"/>
        <v>0</v>
      </c>
      <c r="AX324" s="480"/>
      <c r="AY324" s="477">
        <f t="shared" si="156"/>
        <v>0</v>
      </c>
      <c r="AZ324" s="480"/>
      <c r="BA324" s="477">
        <f t="shared" si="157"/>
        <v>0</v>
      </c>
      <c r="BB324" s="480"/>
      <c r="BC324" s="850">
        <f t="shared" ca="1" si="158"/>
        <v>0</v>
      </c>
    </row>
    <row r="325" spans="1:55">
      <c r="A325" s="837" t="str">
        <f t="shared" si="130"/>
        <v/>
      </c>
      <c r="B325" s="440"/>
      <c r="C325" s="834" t="str">
        <f t="shared" ca="1" si="131"/>
        <v/>
      </c>
      <c r="D325" s="1757" t="str">
        <f ca="1">IFERROR(VLOOKUP(LEFT(E325,4),Nom_activ_2!D:G,4,0),"")</f>
        <v/>
      </c>
      <c r="E325" s="1757" t="str">
        <f t="shared" ca="1" si="132"/>
        <v/>
      </c>
      <c r="F325" s="1777">
        <f t="shared" ca="1" si="161"/>
        <v>0</v>
      </c>
      <c r="G325" s="839">
        <f t="shared" ca="1" si="161"/>
        <v>0</v>
      </c>
      <c r="H325" s="840">
        <f t="shared" ca="1" si="161"/>
        <v>0</v>
      </c>
      <c r="I325" s="443"/>
      <c r="J325" s="838" t="str">
        <f t="shared" si="133"/>
        <v>!$A:$j</v>
      </c>
      <c r="K325" s="475">
        <f t="shared" ca="1" si="134"/>
        <v>0</v>
      </c>
      <c r="L325" s="480"/>
      <c r="M325" s="477">
        <f t="shared" si="135"/>
        <v>0</v>
      </c>
      <c r="N325" s="480"/>
      <c r="O325" s="477">
        <f t="shared" si="136"/>
        <v>0</v>
      </c>
      <c r="P325" s="480"/>
      <c r="Q325" s="477">
        <f t="shared" si="137"/>
        <v>0</v>
      </c>
      <c r="R325" s="480"/>
      <c r="S325" s="477">
        <f t="shared" ca="1" si="138"/>
        <v>0</v>
      </c>
      <c r="T325" s="475">
        <f t="shared" ca="1" si="139"/>
        <v>0</v>
      </c>
      <c r="U325" s="480"/>
      <c r="V325" s="477">
        <f t="shared" si="140"/>
        <v>0</v>
      </c>
      <c r="W325" s="480"/>
      <c r="X325" s="477">
        <f t="shared" si="141"/>
        <v>0</v>
      </c>
      <c r="Y325" s="480"/>
      <c r="Z325" s="477">
        <f t="shared" si="142"/>
        <v>0</v>
      </c>
      <c r="AA325" s="480"/>
      <c r="AB325" s="477">
        <f t="shared" ca="1" si="143"/>
        <v>0</v>
      </c>
      <c r="AC325" s="475">
        <f t="shared" ca="1" si="144"/>
        <v>0</v>
      </c>
      <c r="AD325" s="480"/>
      <c r="AE325" s="477">
        <f t="shared" si="145"/>
        <v>0</v>
      </c>
      <c r="AF325" s="480"/>
      <c r="AG325" s="477">
        <f t="shared" si="146"/>
        <v>0</v>
      </c>
      <c r="AH325" s="480"/>
      <c r="AI325" s="477">
        <f t="shared" si="147"/>
        <v>0</v>
      </c>
      <c r="AJ325" s="480"/>
      <c r="AK325" s="477">
        <f t="shared" ca="1" si="148"/>
        <v>0</v>
      </c>
      <c r="AL325" s="475">
        <f t="shared" ca="1" si="149"/>
        <v>0</v>
      </c>
      <c r="AM325" s="480"/>
      <c r="AN325" s="477">
        <f t="shared" si="150"/>
        <v>0</v>
      </c>
      <c r="AO325" s="480"/>
      <c r="AP325" s="477">
        <f t="shared" si="151"/>
        <v>0</v>
      </c>
      <c r="AQ325" s="480"/>
      <c r="AR325" s="477">
        <f t="shared" si="152"/>
        <v>0</v>
      </c>
      <c r="AS325" s="480"/>
      <c r="AT325" s="477">
        <f t="shared" ca="1" si="153"/>
        <v>0</v>
      </c>
      <c r="AU325" s="475">
        <f t="shared" ca="1" si="154"/>
        <v>0</v>
      </c>
      <c r="AV325" s="480"/>
      <c r="AW325" s="477">
        <f t="shared" si="155"/>
        <v>0</v>
      </c>
      <c r="AX325" s="480"/>
      <c r="AY325" s="477">
        <f t="shared" si="156"/>
        <v>0</v>
      </c>
      <c r="AZ325" s="480"/>
      <c r="BA325" s="477">
        <f t="shared" si="157"/>
        <v>0</v>
      </c>
      <c r="BB325" s="480"/>
      <c r="BC325" s="850">
        <f t="shared" ca="1" si="158"/>
        <v>0</v>
      </c>
    </row>
    <row r="326" spans="1:55">
      <c r="A326" s="837" t="str">
        <f t="shared" si="130"/>
        <v/>
      </c>
      <c r="B326" s="440"/>
      <c r="C326" s="834" t="str">
        <f t="shared" ca="1" si="131"/>
        <v/>
      </c>
      <c r="D326" s="1757" t="str">
        <f ca="1">IFERROR(VLOOKUP(LEFT(E326,4),Nom_activ_2!D:G,4,0),"")</f>
        <v/>
      </c>
      <c r="E326" s="1757" t="str">
        <f t="shared" ca="1" si="132"/>
        <v/>
      </c>
      <c r="F326" s="1777">
        <f t="shared" ca="1" si="161"/>
        <v>0</v>
      </c>
      <c r="G326" s="839">
        <f t="shared" ca="1" si="161"/>
        <v>0</v>
      </c>
      <c r="H326" s="840">
        <f t="shared" ca="1" si="161"/>
        <v>0</v>
      </c>
      <c r="I326" s="443"/>
      <c r="J326" s="838" t="str">
        <f t="shared" si="133"/>
        <v>!$A:$j</v>
      </c>
      <c r="K326" s="475">
        <f t="shared" ca="1" si="134"/>
        <v>0</v>
      </c>
      <c r="L326" s="480"/>
      <c r="M326" s="477">
        <f t="shared" si="135"/>
        <v>0</v>
      </c>
      <c r="N326" s="480"/>
      <c r="O326" s="477">
        <f t="shared" si="136"/>
        <v>0</v>
      </c>
      <c r="P326" s="480"/>
      <c r="Q326" s="477">
        <f t="shared" si="137"/>
        <v>0</v>
      </c>
      <c r="R326" s="480"/>
      <c r="S326" s="477">
        <f t="shared" ca="1" si="138"/>
        <v>0</v>
      </c>
      <c r="T326" s="475">
        <f t="shared" ca="1" si="139"/>
        <v>0</v>
      </c>
      <c r="U326" s="480"/>
      <c r="V326" s="477">
        <f t="shared" si="140"/>
        <v>0</v>
      </c>
      <c r="W326" s="480"/>
      <c r="X326" s="477">
        <f t="shared" si="141"/>
        <v>0</v>
      </c>
      <c r="Y326" s="480"/>
      <c r="Z326" s="477">
        <f t="shared" si="142"/>
        <v>0</v>
      </c>
      <c r="AA326" s="480"/>
      <c r="AB326" s="477">
        <f t="shared" ca="1" si="143"/>
        <v>0</v>
      </c>
      <c r="AC326" s="475">
        <f t="shared" ca="1" si="144"/>
        <v>0</v>
      </c>
      <c r="AD326" s="480"/>
      <c r="AE326" s="477">
        <f t="shared" si="145"/>
        <v>0</v>
      </c>
      <c r="AF326" s="480"/>
      <c r="AG326" s="477">
        <f t="shared" si="146"/>
        <v>0</v>
      </c>
      <c r="AH326" s="480"/>
      <c r="AI326" s="477">
        <f t="shared" si="147"/>
        <v>0</v>
      </c>
      <c r="AJ326" s="480"/>
      <c r="AK326" s="477">
        <f t="shared" ca="1" si="148"/>
        <v>0</v>
      </c>
      <c r="AL326" s="475">
        <f t="shared" ca="1" si="149"/>
        <v>0</v>
      </c>
      <c r="AM326" s="480"/>
      <c r="AN326" s="477">
        <f t="shared" si="150"/>
        <v>0</v>
      </c>
      <c r="AO326" s="480"/>
      <c r="AP326" s="477">
        <f t="shared" si="151"/>
        <v>0</v>
      </c>
      <c r="AQ326" s="480"/>
      <c r="AR326" s="477">
        <f t="shared" si="152"/>
        <v>0</v>
      </c>
      <c r="AS326" s="480"/>
      <c r="AT326" s="477">
        <f t="shared" ca="1" si="153"/>
        <v>0</v>
      </c>
      <c r="AU326" s="475">
        <f t="shared" ca="1" si="154"/>
        <v>0</v>
      </c>
      <c r="AV326" s="480"/>
      <c r="AW326" s="477">
        <f t="shared" si="155"/>
        <v>0</v>
      </c>
      <c r="AX326" s="480"/>
      <c r="AY326" s="477">
        <f t="shared" si="156"/>
        <v>0</v>
      </c>
      <c r="AZ326" s="480"/>
      <c r="BA326" s="477">
        <f t="shared" si="157"/>
        <v>0</v>
      </c>
      <c r="BB326" s="480"/>
      <c r="BC326" s="850">
        <f t="shared" ca="1" si="158"/>
        <v>0</v>
      </c>
    </row>
    <row r="327" spans="1:55">
      <c r="A327" s="837" t="str">
        <f t="shared" ref="A327:A390" si="162">IF(B327="","",IF(COUNTA(C327:H327)&lt;6,"Completati  toate campurile col C:H",""))</f>
        <v/>
      </c>
      <c r="B327" s="440"/>
      <c r="C327" s="834" t="str">
        <f t="shared" ref="C327:C390" ca="1" si="163">IFERROR(LEFT(D327,2),"")</f>
        <v/>
      </c>
      <c r="D327" s="1757" t="str">
        <f ca="1">IFERROR(VLOOKUP(LEFT(E327,4),Nom_activ_2!D:G,4,0),"")</f>
        <v/>
      </c>
      <c r="E327" s="1757" t="str">
        <f t="shared" ref="E327:E390" ca="1" si="164">IFERROR(VLOOKUP($B327,INDIRECT($J327),E$5,0),"")</f>
        <v/>
      </c>
      <c r="F327" s="1777">
        <f t="shared" ref="F327:H346" ca="1" si="165">IFERROR(VLOOKUP($B327,INDIRECT($J327),F$5,0),0)</f>
        <v>0</v>
      </c>
      <c r="G327" s="839">
        <f t="shared" ca="1" si="165"/>
        <v>0</v>
      </c>
      <c r="H327" s="840">
        <f t="shared" ca="1" si="165"/>
        <v>0</v>
      </c>
      <c r="I327" s="443"/>
      <c r="J327" s="838" t="str">
        <f t="shared" ref="J327:J390" si="166">I327&amp;"!$A:$j"</f>
        <v>!$A:$j</v>
      </c>
      <c r="K327" s="475">
        <f t="shared" ref="K327:K390" ca="1" si="167">IFERROR(VLOOKUP($B327,INDIRECT($J327),K$5,0),0)</f>
        <v>0</v>
      </c>
      <c r="L327" s="480"/>
      <c r="M327" s="477">
        <f t="shared" ref="M327:M390" si="168">IF(L327="",0,K327*L327)</f>
        <v>0</v>
      </c>
      <c r="N327" s="480"/>
      <c r="O327" s="477">
        <f t="shared" ref="O327:O390" si="169">IF(N327="",0,M327*N327)</f>
        <v>0</v>
      </c>
      <c r="P327" s="480"/>
      <c r="Q327" s="477">
        <f t="shared" ref="Q327:Q390" si="170">IF(P327="",0,O327*P327)</f>
        <v>0</v>
      </c>
      <c r="R327" s="480"/>
      <c r="S327" s="477">
        <f t="shared" ref="S327:S390" ca="1" si="171">IFERROR(K327-M327-O327-Q327,0)</f>
        <v>0</v>
      </c>
      <c r="T327" s="475">
        <f t="shared" ref="T327:T390" ca="1" si="172">IFERROR(VLOOKUP($B327,INDIRECT($J327),T$5,0),0)</f>
        <v>0</v>
      </c>
      <c r="U327" s="480"/>
      <c r="V327" s="477">
        <f t="shared" ref="V327:V390" si="173">IF(U327="",0,T327*U327)</f>
        <v>0</v>
      </c>
      <c r="W327" s="480"/>
      <c r="X327" s="477">
        <f t="shared" ref="X327:X390" si="174">IF(W327="",0,V327*W327)</f>
        <v>0</v>
      </c>
      <c r="Y327" s="480"/>
      <c r="Z327" s="477">
        <f t="shared" ref="Z327:Z390" si="175">IF(Y327="",0,X327*Y327)</f>
        <v>0</v>
      </c>
      <c r="AA327" s="480"/>
      <c r="AB327" s="477">
        <f t="shared" ref="AB327:AB390" ca="1" si="176">IFERROR(T327-V327-X327-Z327,0)</f>
        <v>0</v>
      </c>
      <c r="AC327" s="475">
        <f t="shared" ref="AC327:AC390" ca="1" si="177">IFERROR(VLOOKUP($B327,INDIRECT($J327),AC$5,0),0)</f>
        <v>0</v>
      </c>
      <c r="AD327" s="480"/>
      <c r="AE327" s="477">
        <f t="shared" ref="AE327:AE390" si="178">IF(AD327="",0,AC327*AD327)</f>
        <v>0</v>
      </c>
      <c r="AF327" s="480"/>
      <c r="AG327" s="477">
        <f t="shared" ref="AG327:AG390" si="179">IF(AF327="",0,AE327*AF327)</f>
        <v>0</v>
      </c>
      <c r="AH327" s="480"/>
      <c r="AI327" s="477">
        <f t="shared" ref="AI327:AI390" si="180">IF(AH327="",0,AG327*AH327)</f>
        <v>0</v>
      </c>
      <c r="AJ327" s="480"/>
      <c r="AK327" s="477">
        <f t="shared" ref="AK327:AK390" ca="1" si="181">IFERROR(AC327-AE327-AG327-AI327,0)</f>
        <v>0</v>
      </c>
      <c r="AL327" s="475">
        <f t="shared" ref="AL327:AL390" ca="1" si="182">IFERROR(VLOOKUP($B327,INDIRECT($J327),AL$5,0),0)</f>
        <v>0</v>
      </c>
      <c r="AM327" s="480"/>
      <c r="AN327" s="477">
        <f t="shared" ref="AN327:AN390" si="183">IF(AM327="",0,AL327*AM327)</f>
        <v>0</v>
      </c>
      <c r="AO327" s="480"/>
      <c r="AP327" s="477">
        <f t="shared" ref="AP327:AP390" si="184">IF(AO327="",0,AN327*AO327)</f>
        <v>0</v>
      </c>
      <c r="AQ327" s="480"/>
      <c r="AR327" s="477">
        <f t="shared" ref="AR327:AR390" si="185">IF(AQ327="",0,AP327*AQ327)</f>
        <v>0</v>
      </c>
      <c r="AS327" s="480"/>
      <c r="AT327" s="477">
        <f t="shared" ref="AT327:AT390" ca="1" si="186">IFERROR(AL327-AN327-AP327-AR327,0)</f>
        <v>0</v>
      </c>
      <c r="AU327" s="475">
        <f t="shared" ref="AU327:AU390" ca="1" si="187">IFERROR(VLOOKUP($B327,INDIRECT($J327),AU$5,0),0)</f>
        <v>0</v>
      </c>
      <c r="AV327" s="480"/>
      <c r="AW327" s="477">
        <f t="shared" ref="AW327:AW390" si="188">IF(AV327="",0,AU327*AV327)</f>
        <v>0</v>
      </c>
      <c r="AX327" s="480"/>
      <c r="AY327" s="477">
        <f t="shared" ref="AY327:AY390" si="189">IF(AX327="",0,AW327*AX327)</f>
        <v>0</v>
      </c>
      <c r="AZ327" s="480"/>
      <c r="BA327" s="477">
        <f t="shared" ref="BA327:BA390" si="190">IF(AZ327="",0,AY327*AZ327)</f>
        <v>0</v>
      </c>
      <c r="BB327" s="480"/>
      <c r="BC327" s="850">
        <f t="shared" ref="BC327:BC390" ca="1" si="191">K327+T327+AC327+AL327+AU327</f>
        <v>0</v>
      </c>
    </row>
    <row r="328" spans="1:55">
      <c r="A328" s="837" t="str">
        <f t="shared" si="162"/>
        <v/>
      </c>
      <c r="B328" s="440"/>
      <c r="C328" s="834" t="str">
        <f t="shared" ca="1" si="163"/>
        <v/>
      </c>
      <c r="D328" s="1757" t="str">
        <f ca="1">IFERROR(VLOOKUP(LEFT(E328,4),Nom_activ_2!D:G,4,0),"")</f>
        <v/>
      </c>
      <c r="E328" s="1757" t="str">
        <f t="shared" ca="1" si="164"/>
        <v/>
      </c>
      <c r="F328" s="1777">
        <f t="shared" ca="1" si="165"/>
        <v>0</v>
      </c>
      <c r="G328" s="839">
        <f t="shared" ca="1" si="165"/>
        <v>0</v>
      </c>
      <c r="H328" s="840">
        <f t="shared" ca="1" si="165"/>
        <v>0</v>
      </c>
      <c r="I328" s="443"/>
      <c r="J328" s="838" t="str">
        <f t="shared" si="166"/>
        <v>!$A:$j</v>
      </c>
      <c r="K328" s="475">
        <f t="shared" ca="1" si="167"/>
        <v>0</v>
      </c>
      <c r="L328" s="480"/>
      <c r="M328" s="477">
        <f t="shared" si="168"/>
        <v>0</v>
      </c>
      <c r="N328" s="480"/>
      <c r="O328" s="477">
        <f t="shared" si="169"/>
        <v>0</v>
      </c>
      <c r="P328" s="480"/>
      <c r="Q328" s="477">
        <f t="shared" si="170"/>
        <v>0</v>
      </c>
      <c r="R328" s="480"/>
      <c r="S328" s="477">
        <f t="shared" ca="1" si="171"/>
        <v>0</v>
      </c>
      <c r="T328" s="475">
        <f t="shared" ca="1" si="172"/>
        <v>0</v>
      </c>
      <c r="U328" s="480"/>
      <c r="V328" s="477">
        <f t="shared" si="173"/>
        <v>0</v>
      </c>
      <c r="W328" s="480"/>
      <c r="X328" s="477">
        <f t="shared" si="174"/>
        <v>0</v>
      </c>
      <c r="Y328" s="480"/>
      <c r="Z328" s="477">
        <f t="shared" si="175"/>
        <v>0</v>
      </c>
      <c r="AA328" s="480"/>
      <c r="AB328" s="477">
        <f t="shared" ca="1" si="176"/>
        <v>0</v>
      </c>
      <c r="AC328" s="475">
        <f t="shared" ca="1" si="177"/>
        <v>0</v>
      </c>
      <c r="AD328" s="480"/>
      <c r="AE328" s="477">
        <f t="shared" si="178"/>
        <v>0</v>
      </c>
      <c r="AF328" s="480"/>
      <c r="AG328" s="477">
        <f t="shared" si="179"/>
        <v>0</v>
      </c>
      <c r="AH328" s="480"/>
      <c r="AI328" s="477">
        <f t="shared" si="180"/>
        <v>0</v>
      </c>
      <c r="AJ328" s="480"/>
      <c r="AK328" s="477">
        <f t="shared" ca="1" si="181"/>
        <v>0</v>
      </c>
      <c r="AL328" s="475">
        <f t="shared" ca="1" si="182"/>
        <v>0</v>
      </c>
      <c r="AM328" s="480"/>
      <c r="AN328" s="477">
        <f t="shared" si="183"/>
        <v>0</v>
      </c>
      <c r="AO328" s="480"/>
      <c r="AP328" s="477">
        <f t="shared" si="184"/>
        <v>0</v>
      </c>
      <c r="AQ328" s="480"/>
      <c r="AR328" s="477">
        <f t="shared" si="185"/>
        <v>0</v>
      </c>
      <c r="AS328" s="480"/>
      <c r="AT328" s="477">
        <f t="shared" ca="1" si="186"/>
        <v>0</v>
      </c>
      <c r="AU328" s="475">
        <f t="shared" ca="1" si="187"/>
        <v>0</v>
      </c>
      <c r="AV328" s="480"/>
      <c r="AW328" s="477">
        <f t="shared" si="188"/>
        <v>0</v>
      </c>
      <c r="AX328" s="480"/>
      <c r="AY328" s="477">
        <f t="shared" si="189"/>
        <v>0</v>
      </c>
      <c r="AZ328" s="480"/>
      <c r="BA328" s="477">
        <f t="shared" si="190"/>
        <v>0</v>
      </c>
      <c r="BB328" s="480"/>
      <c r="BC328" s="850">
        <f t="shared" ca="1" si="191"/>
        <v>0</v>
      </c>
    </row>
    <row r="329" spans="1:55">
      <c r="A329" s="837" t="str">
        <f t="shared" si="162"/>
        <v/>
      </c>
      <c r="B329" s="440"/>
      <c r="C329" s="834" t="str">
        <f t="shared" ca="1" si="163"/>
        <v/>
      </c>
      <c r="D329" s="1757" t="str">
        <f ca="1">IFERROR(VLOOKUP(LEFT(E329,4),Nom_activ_2!D:G,4,0),"")</f>
        <v/>
      </c>
      <c r="E329" s="1757" t="str">
        <f t="shared" ca="1" si="164"/>
        <v/>
      </c>
      <c r="F329" s="1777">
        <f t="shared" ca="1" si="165"/>
        <v>0</v>
      </c>
      <c r="G329" s="839">
        <f t="shared" ca="1" si="165"/>
        <v>0</v>
      </c>
      <c r="H329" s="840">
        <f t="shared" ca="1" si="165"/>
        <v>0</v>
      </c>
      <c r="I329" s="443"/>
      <c r="J329" s="838" t="str">
        <f t="shared" si="166"/>
        <v>!$A:$j</v>
      </c>
      <c r="K329" s="475">
        <f t="shared" ca="1" si="167"/>
        <v>0</v>
      </c>
      <c r="L329" s="480"/>
      <c r="M329" s="477">
        <f t="shared" si="168"/>
        <v>0</v>
      </c>
      <c r="N329" s="480"/>
      <c r="O329" s="477">
        <f t="shared" si="169"/>
        <v>0</v>
      </c>
      <c r="P329" s="480"/>
      <c r="Q329" s="477">
        <f t="shared" si="170"/>
        <v>0</v>
      </c>
      <c r="R329" s="480"/>
      <c r="S329" s="477">
        <f t="shared" ca="1" si="171"/>
        <v>0</v>
      </c>
      <c r="T329" s="475">
        <f t="shared" ca="1" si="172"/>
        <v>0</v>
      </c>
      <c r="U329" s="480"/>
      <c r="V329" s="477">
        <f t="shared" si="173"/>
        <v>0</v>
      </c>
      <c r="W329" s="480"/>
      <c r="X329" s="477">
        <f t="shared" si="174"/>
        <v>0</v>
      </c>
      <c r="Y329" s="480"/>
      <c r="Z329" s="477">
        <f t="shared" si="175"/>
        <v>0</v>
      </c>
      <c r="AA329" s="480"/>
      <c r="AB329" s="477">
        <f t="shared" ca="1" si="176"/>
        <v>0</v>
      </c>
      <c r="AC329" s="475">
        <f t="shared" ca="1" si="177"/>
        <v>0</v>
      </c>
      <c r="AD329" s="480"/>
      <c r="AE329" s="477">
        <f t="shared" si="178"/>
        <v>0</v>
      </c>
      <c r="AF329" s="480"/>
      <c r="AG329" s="477">
        <f t="shared" si="179"/>
        <v>0</v>
      </c>
      <c r="AH329" s="480"/>
      <c r="AI329" s="477">
        <f t="shared" si="180"/>
        <v>0</v>
      </c>
      <c r="AJ329" s="480"/>
      <c r="AK329" s="477">
        <f t="shared" ca="1" si="181"/>
        <v>0</v>
      </c>
      <c r="AL329" s="475">
        <f t="shared" ca="1" si="182"/>
        <v>0</v>
      </c>
      <c r="AM329" s="480"/>
      <c r="AN329" s="477">
        <f t="shared" si="183"/>
        <v>0</v>
      </c>
      <c r="AO329" s="480"/>
      <c r="AP329" s="477">
        <f t="shared" si="184"/>
        <v>0</v>
      </c>
      <c r="AQ329" s="480"/>
      <c r="AR329" s="477">
        <f t="shared" si="185"/>
        <v>0</v>
      </c>
      <c r="AS329" s="480"/>
      <c r="AT329" s="477">
        <f t="shared" ca="1" si="186"/>
        <v>0</v>
      </c>
      <c r="AU329" s="475">
        <f t="shared" ca="1" si="187"/>
        <v>0</v>
      </c>
      <c r="AV329" s="480"/>
      <c r="AW329" s="477">
        <f t="shared" si="188"/>
        <v>0</v>
      </c>
      <c r="AX329" s="480"/>
      <c r="AY329" s="477">
        <f t="shared" si="189"/>
        <v>0</v>
      </c>
      <c r="AZ329" s="480"/>
      <c r="BA329" s="477">
        <f t="shared" si="190"/>
        <v>0</v>
      </c>
      <c r="BB329" s="480"/>
      <c r="BC329" s="850">
        <f t="shared" ca="1" si="191"/>
        <v>0</v>
      </c>
    </row>
    <row r="330" spans="1:55">
      <c r="A330" s="837" t="str">
        <f t="shared" si="162"/>
        <v/>
      </c>
      <c r="B330" s="440"/>
      <c r="C330" s="834" t="str">
        <f t="shared" ca="1" si="163"/>
        <v/>
      </c>
      <c r="D330" s="1757" t="str">
        <f ca="1">IFERROR(VLOOKUP(LEFT(E330,4),Nom_activ_2!D:G,4,0),"")</f>
        <v/>
      </c>
      <c r="E330" s="1757" t="str">
        <f t="shared" ca="1" si="164"/>
        <v/>
      </c>
      <c r="F330" s="1777">
        <f t="shared" ca="1" si="165"/>
        <v>0</v>
      </c>
      <c r="G330" s="839">
        <f t="shared" ca="1" si="165"/>
        <v>0</v>
      </c>
      <c r="H330" s="840">
        <f t="shared" ca="1" si="165"/>
        <v>0</v>
      </c>
      <c r="I330" s="443"/>
      <c r="J330" s="838" t="str">
        <f t="shared" si="166"/>
        <v>!$A:$j</v>
      </c>
      <c r="K330" s="475">
        <f t="shared" ca="1" si="167"/>
        <v>0</v>
      </c>
      <c r="L330" s="480"/>
      <c r="M330" s="477">
        <f t="shared" si="168"/>
        <v>0</v>
      </c>
      <c r="N330" s="480"/>
      <c r="O330" s="477">
        <f t="shared" si="169"/>
        <v>0</v>
      </c>
      <c r="P330" s="480"/>
      <c r="Q330" s="477">
        <f t="shared" si="170"/>
        <v>0</v>
      </c>
      <c r="R330" s="480"/>
      <c r="S330" s="477">
        <f t="shared" ca="1" si="171"/>
        <v>0</v>
      </c>
      <c r="T330" s="475">
        <f t="shared" ca="1" si="172"/>
        <v>0</v>
      </c>
      <c r="U330" s="480"/>
      <c r="V330" s="477">
        <f t="shared" si="173"/>
        <v>0</v>
      </c>
      <c r="W330" s="480"/>
      <c r="X330" s="477">
        <f t="shared" si="174"/>
        <v>0</v>
      </c>
      <c r="Y330" s="480"/>
      <c r="Z330" s="477">
        <f t="shared" si="175"/>
        <v>0</v>
      </c>
      <c r="AA330" s="480"/>
      <c r="AB330" s="477">
        <f t="shared" ca="1" si="176"/>
        <v>0</v>
      </c>
      <c r="AC330" s="475">
        <f t="shared" ca="1" si="177"/>
        <v>0</v>
      </c>
      <c r="AD330" s="480"/>
      <c r="AE330" s="477">
        <f t="shared" si="178"/>
        <v>0</v>
      </c>
      <c r="AF330" s="480"/>
      <c r="AG330" s="477">
        <f t="shared" si="179"/>
        <v>0</v>
      </c>
      <c r="AH330" s="480"/>
      <c r="AI330" s="477">
        <f t="shared" si="180"/>
        <v>0</v>
      </c>
      <c r="AJ330" s="480"/>
      <c r="AK330" s="477">
        <f t="shared" ca="1" si="181"/>
        <v>0</v>
      </c>
      <c r="AL330" s="475">
        <f t="shared" ca="1" si="182"/>
        <v>0</v>
      </c>
      <c r="AM330" s="480"/>
      <c r="AN330" s="477">
        <f t="shared" si="183"/>
        <v>0</v>
      </c>
      <c r="AO330" s="480"/>
      <c r="AP330" s="477">
        <f t="shared" si="184"/>
        <v>0</v>
      </c>
      <c r="AQ330" s="480"/>
      <c r="AR330" s="477">
        <f t="shared" si="185"/>
        <v>0</v>
      </c>
      <c r="AS330" s="480"/>
      <c r="AT330" s="477">
        <f t="shared" ca="1" si="186"/>
        <v>0</v>
      </c>
      <c r="AU330" s="475">
        <f t="shared" ca="1" si="187"/>
        <v>0</v>
      </c>
      <c r="AV330" s="480"/>
      <c r="AW330" s="477">
        <f t="shared" si="188"/>
        <v>0</v>
      </c>
      <c r="AX330" s="480"/>
      <c r="AY330" s="477">
        <f t="shared" si="189"/>
        <v>0</v>
      </c>
      <c r="AZ330" s="480"/>
      <c r="BA330" s="477">
        <f t="shared" si="190"/>
        <v>0</v>
      </c>
      <c r="BB330" s="480"/>
      <c r="BC330" s="850">
        <f t="shared" ca="1" si="191"/>
        <v>0</v>
      </c>
    </row>
    <row r="331" spans="1:55">
      <c r="A331" s="837" t="str">
        <f t="shared" si="162"/>
        <v/>
      </c>
      <c r="B331" s="440"/>
      <c r="C331" s="834" t="str">
        <f t="shared" ca="1" si="163"/>
        <v/>
      </c>
      <c r="D331" s="1757" t="str">
        <f ca="1">IFERROR(VLOOKUP(LEFT(E331,4),Nom_activ_2!D:G,4,0),"")</f>
        <v/>
      </c>
      <c r="E331" s="1757" t="str">
        <f t="shared" ca="1" si="164"/>
        <v/>
      </c>
      <c r="F331" s="1777">
        <f t="shared" ca="1" si="165"/>
        <v>0</v>
      </c>
      <c r="G331" s="839">
        <f t="shared" ca="1" si="165"/>
        <v>0</v>
      </c>
      <c r="H331" s="840">
        <f t="shared" ca="1" si="165"/>
        <v>0</v>
      </c>
      <c r="I331" s="443"/>
      <c r="J331" s="838" t="str">
        <f t="shared" si="166"/>
        <v>!$A:$j</v>
      </c>
      <c r="K331" s="475">
        <f t="shared" ca="1" si="167"/>
        <v>0</v>
      </c>
      <c r="L331" s="480"/>
      <c r="M331" s="477">
        <f t="shared" si="168"/>
        <v>0</v>
      </c>
      <c r="N331" s="480"/>
      <c r="O331" s="477">
        <f t="shared" si="169"/>
        <v>0</v>
      </c>
      <c r="P331" s="480"/>
      <c r="Q331" s="477">
        <f t="shared" si="170"/>
        <v>0</v>
      </c>
      <c r="R331" s="480"/>
      <c r="S331" s="477">
        <f t="shared" ca="1" si="171"/>
        <v>0</v>
      </c>
      <c r="T331" s="475">
        <f t="shared" ca="1" si="172"/>
        <v>0</v>
      </c>
      <c r="U331" s="480"/>
      <c r="V331" s="477">
        <f t="shared" si="173"/>
        <v>0</v>
      </c>
      <c r="W331" s="480"/>
      <c r="X331" s="477">
        <f t="shared" si="174"/>
        <v>0</v>
      </c>
      <c r="Y331" s="480"/>
      <c r="Z331" s="477">
        <f t="shared" si="175"/>
        <v>0</v>
      </c>
      <c r="AA331" s="480"/>
      <c r="AB331" s="477">
        <f t="shared" ca="1" si="176"/>
        <v>0</v>
      </c>
      <c r="AC331" s="475">
        <f t="shared" ca="1" si="177"/>
        <v>0</v>
      </c>
      <c r="AD331" s="480"/>
      <c r="AE331" s="477">
        <f t="shared" si="178"/>
        <v>0</v>
      </c>
      <c r="AF331" s="480"/>
      <c r="AG331" s="477">
        <f t="shared" si="179"/>
        <v>0</v>
      </c>
      <c r="AH331" s="480"/>
      <c r="AI331" s="477">
        <f t="shared" si="180"/>
        <v>0</v>
      </c>
      <c r="AJ331" s="480"/>
      <c r="AK331" s="477">
        <f t="shared" ca="1" si="181"/>
        <v>0</v>
      </c>
      <c r="AL331" s="475">
        <f t="shared" ca="1" si="182"/>
        <v>0</v>
      </c>
      <c r="AM331" s="480"/>
      <c r="AN331" s="477">
        <f t="shared" si="183"/>
        <v>0</v>
      </c>
      <c r="AO331" s="480"/>
      <c r="AP331" s="477">
        <f t="shared" si="184"/>
        <v>0</v>
      </c>
      <c r="AQ331" s="480"/>
      <c r="AR331" s="477">
        <f t="shared" si="185"/>
        <v>0</v>
      </c>
      <c r="AS331" s="480"/>
      <c r="AT331" s="477">
        <f t="shared" ca="1" si="186"/>
        <v>0</v>
      </c>
      <c r="AU331" s="475">
        <f t="shared" ca="1" si="187"/>
        <v>0</v>
      </c>
      <c r="AV331" s="480"/>
      <c r="AW331" s="477">
        <f t="shared" si="188"/>
        <v>0</v>
      </c>
      <c r="AX331" s="480"/>
      <c r="AY331" s="477">
        <f t="shared" si="189"/>
        <v>0</v>
      </c>
      <c r="AZ331" s="480"/>
      <c r="BA331" s="477">
        <f t="shared" si="190"/>
        <v>0</v>
      </c>
      <c r="BB331" s="480"/>
      <c r="BC331" s="850">
        <f t="shared" ca="1" si="191"/>
        <v>0</v>
      </c>
    </row>
    <row r="332" spans="1:55">
      <c r="A332" s="837" t="str">
        <f t="shared" si="162"/>
        <v/>
      </c>
      <c r="B332" s="440"/>
      <c r="C332" s="834" t="str">
        <f t="shared" ca="1" si="163"/>
        <v/>
      </c>
      <c r="D332" s="1757" t="str">
        <f ca="1">IFERROR(VLOOKUP(LEFT(E332,4),Nom_activ_2!D:G,4,0),"")</f>
        <v/>
      </c>
      <c r="E332" s="1757" t="str">
        <f t="shared" ca="1" si="164"/>
        <v/>
      </c>
      <c r="F332" s="1777">
        <f t="shared" ca="1" si="165"/>
        <v>0</v>
      </c>
      <c r="G332" s="839">
        <f t="shared" ca="1" si="165"/>
        <v>0</v>
      </c>
      <c r="H332" s="840">
        <f t="shared" ca="1" si="165"/>
        <v>0</v>
      </c>
      <c r="I332" s="443"/>
      <c r="J332" s="838" t="str">
        <f t="shared" si="166"/>
        <v>!$A:$j</v>
      </c>
      <c r="K332" s="475">
        <f t="shared" ca="1" si="167"/>
        <v>0</v>
      </c>
      <c r="L332" s="480"/>
      <c r="M332" s="477">
        <f t="shared" si="168"/>
        <v>0</v>
      </c>
      <c r="N332" s="480"/>
      <c r="O332" s="477">
        <f t="shared" si="169"/>
        <v>0</v>
      </c>
      <c r="P332" s="480"/>
      <c r="Q332" s="477">
        <f t="shared" si="170"/>
        <v>0</v>
      </c>
      <c r="R332" s="480"/>
      <c r="S332" s="477">
        <f t="shared" ca="1" si="171"/>
        <v>0</v>
      </c>
      <c r="T332" s="475">
        <f t="shared" ca="1" si="172"/>
        <v>0</v>
      </c>
      <c r="U332" s="480"/>
      <c r="V332" s="477">
        <f t="shared" si="173"/>
        <v>0</v>
      </c>
      <c r="W332" s="480"/>
      <c r="X332" s="477">
        <f t="shared" si="174"/>
        <v>0</v>
      </c>
      <c r="Y332" s="480"/>
      <c r="Z332" s="477">
        <f t="shared" si="175"/>
        <v>0</v>
      </c>
      <c r="AA332" s="480"/>
      <c r="AB332" s="477">
        <f t="shared" ca="1" si="176"/>
        <v>0</v>
      </c>
      <c r="AC332" s="475">
        <f t="shared" ca="1" si="177"/>
        <v>0</v>
      </c>
      <c r="AD332" s="480"/>
      <c r="AE332" s="477">
        <f t="shared" si="178"/>
        <v>0</v>
      </c>
      <c r="AF332" s="480"/>
      <c r="AG332" s="477">
        <f t="shared" si="179"/>
        <v>0</v>
      </c>
      <c r="AH332" s="480"/>
      <c r="AI332" s="477">
        <f t="shared" si="180"/>
        <v>0</v>
      </c>
      <c r="AJ332" s="480"/>
      <c r="AK332" s="477">
        <f t="shared" ca="1" si="181"/>
        <v>0</v>
      </c>
      <c r="AL332" s="475">
        <f t="shared" ca="1" si="182"/>
        <v>0</v>
      </c>
      <c r="AM332" s="480"/>
      <c r="AN332" s="477">
        <f t="shared" si="183"/>
        <v>0</v>
      </c>
      <c r="AO332" s="480"/>
      <c r="AP332" s="477">
        <f t="shared" si="184"/>
        <v>0</v>
      </c>
      <c r="AQ332" s="480"/>
      <c r="AR332" s="477">
        <f t="shared" si="185"/>
        <v>0</v>
      </c>
      <c r="AS332" s="480"/>
      <c r="AT332" s="477">
        <f t="shared" ca="1" si="186"/>
        <v>0</v>
      </c>
      <c r="AU332" s="475">
        <f t="shared" ca="1" si="187"/>
        <v>0</v>
      </c>
      <c r="AV332" s="480"/>
      <c r="AW332" s="477">
        <f t="shared" si="188"/>
        <v>0</v>
      </c>
      <c r="AX332" s="480"/>
      <c r="AY332" s="477">
        <f t="shared" si="189"/>
        <v>0</v>
      </c>
      <c r="AZ332" s="480"/>
      <c r="BA332" s="477">
        <f t="shared" si="190"/>
        <v>0</v>
      </c>
      <c r="BB332" s="480"/>
      <c r="BC332" s="850">
        <f t="shared" ca="1" si="191"/>
        <v>0</v>
      </c>
    </row>
    <row r="333" spans="1:55">
      <c r="A333" s="837" t="str">
        <f t="shared" si="162"/>
        <v/>
      </c>
      <c r="B333" s="440"/>
      <c r="C333" s="834" t="str">
        <f t="shared" ca="1" si="163"/>
        <v/>
      </c>
      <c r="D333" s="1757" t="str">
        <f ca="1">IFERROR(VLOOKUP(LEFT(E333,4),Nom_activ_2!D:G,4,0),"")</f>
        <v/>
      </c>
      <c r="E333" s="1757" t="str">
        <f t="shared" ca="1" si="164"/>
        <v/>
      </c>
      <c r="F333" s="1777">
        <f t="shared" ca="1" si="165"/>
        <v>0</v>
      </c>
      <c r="G333" s="839">
        <f t="shared" ca="1" si="165"/>
        <v>0</v>
      </c>
      <c r="H333" s="840">
        <f t="shared" ca="1" si="165"/>
        <v>0</v>
      </c>
      <c r="I333" s="443"/>
      <c r="J333" s="838" t="str">
        <f t="shared" si="166"/>
        <v>!$A:$j</v>
      </c>
      <c r="K333" s="475">
        <f t="shared" ca="1" si="167"/>
        <v>0</v>
      </c>
      <c r="L333" s="480"/>
      <c r="M333" s="477">
        <f t="shared" si="168"/>
        <v>0</v>
      </c>
      <c r="N333" s="480"/>
      <c r="O333" s="477">
        <f t="shared" si="169"/>
        <v>0</v>
      </c>
      <c r="P333" s="480"/>
      <c r="Q333" s="477">
        <f t="shared" si="170"/>
        <v>0</v>
      </c>
      <c r="R333" s="480"/>
      <c r="S333" s="477">
        <f t="shared" ca="1" si="171"/>
        <v>0</v>
      </c>
      <c r="T333" s="475">
        <f t="shared" ca="1" si="172"/>
        <v>0</v>
      </c>
      <c r="U333" s="480"/>
      <c r="V333" s="477">
        <f t="shared" si="173"/>
        <v>0</v>
      </c>
      <c r="W333" s="480"/>
      <c r="X333" s="477">
        <f t="shared" si="174"/>
        <v>0</v>
      </c>
      <c r="Y333" s="480"/>
      <c r="Z333" s="477">
        <f t="shared" si="175"/>
        <v>0</v>
      </c>
      <c r="AA333" s="480"/>
      <c r="AB333" s="477">
        <f t="shared" ca="1" si="176"/>
        <v>0</v>
      </c>
      <c r="AC333" s="475">
        <f t="shared" ca="1" si="177"/>
        <v>0</v>
      </c>
      <c r="AD333" s="480"/>
      <c r="AE333" s="477">
        <f t="shared" si="178"/>
        <v>0</v>
      </c>
      <c r="AF333" s="480"/>
      <c r="AG333" s="477">
        <f t="shared" si="179"/>
        <v>0</v>
      </c>
      <c r="AH333" s="480"/>
      <c r="AI333" s="477">
        <f t="shared" si="180"/>
        <v>0</v>
      </c>
      <c r="AJ333" s="480"/>
      <c r="AK333" s="477">
        <f t="shared" ca="1" si="181"/>
        <v>0</v>
      </c>
      <c r="AL333" s="475">
        <f t="shared" ca="1" si="182"/>
        <v>0</v>
      </c>
      <c r="AM333" s="480"/>
      <c r="AN333" s="477">
        <f t="shared" si="183"/>
        <v>0</v>
      </c>
      <c r="AO333" s="480"/>
      <c r="AP333" s="477">
        <f t="shared" si="184"/>
        <v>0</v>
      </c>
      <c r="AQ333" s="480"/>
      <c r="AR333" s="477">
        <f t="shared" si="185"/>
        <v>0</v>
      </c>
      <c r="AS333" s="480"/>
      <c r="AT333" s="477">
        <f t="shared" ca="1" si="186"/>
        <v>0</v>
      </c>
      <c r="AU333" s="475">
        <f t="shared" ca="1" si="187"/>
        <v>0</v>
      </c>
      <c r="AV333" s="480"/>
      <c r="AW333" s="477">
        <f t="shared" si="188"/>
        <v>0</v>
      </c>
      <c r="AX333" s="480"/>
      <c r="AY333" s="477">
        <f t="shared" si="189"/>
        <v>0</v>
      </c>
      <c r="AZ333" s="480"/>
      <c r="BA333" s="477">
        <f t="shared" si="190"/>
        <v>0</v>
      </c>
      <c r="BB333" s="480"/>
      <c r="BC333" s="850">
        <f t="shared" ca="1" si="191"/>
        <v>0</v>
      </c>
    </row>
    <row r="334" spans="1:55">
      <c r="A334" s="837" t="str">
        <f t="shared" si="162"/>
        <v/>
      </c>
      <c r="B334" s="440"/>
      <c r="C334" s="834" t="str">
        <f t="shared" ca="1" si="163"/>
        <v/>
      </c>
      <c r="D334" s="1757" t="str">
        <f ca="1">IFERROR(VLOOKUP(LEFT(E334,4),Nom_activ_2!D:G,4,0),"")</f>
        <v/>
      </c>
      <c r="E334" s="1757" t="str">
        <f t="shared" ca="1" si="164"/>
        <v/>
      </c>
      <c r="F334" s="1777">
        <f t="shared" ca="1" si="165"/>
        <v>0</v>
      </c>
      <c r="G334" s="839">
        <f t="shared" ca="1" si="165"/>
        <v>0</v>
      </c>
      <c r="H334" s="840">
        <f t="shared" ca="1" si="165"/>
        <v>0</v>
      </c>
      <c r="I334" s="443"/>
      <c r="J334" s="838" t="str">
        <f t="shared" si="166"/>
        <v>!$A:$j</v>
      </c>
      <c r="K334" s="475">
        <f t="shared" ca="1" si="167"/>
        <v>0</v>
      </c>
      <c r="L334" s="480"/>
      <c r="M334" s="477">
        <f t="shared" si="168"/>
        <v>0</v>
      </c>
      <c r="N334" s="480"/>
      <c r="O334" s="477">
        <f t="shared" si="169"/>
        <v>0</v>
      </c>
      <c r="P334" s="480"/>
      <c r="Q334" s="477">
        <f t="shared" si="170"/>
        <v>0</v>
      </c>
      <c r="R334" s="480"/>
      <c r="S334" s="477">
        <f t="shared" ca="1" si="171"/>
        <v>0</v>
      </c>
      <c r="T334" s="475">
        <f t="shared" ca="1" si="172"/>
        <v>0</v>
      </c>
      <c r="U334" s="480"/>
      <c r="V334" s="477">
        <f t="shared" si="173"/>
        <v>0</v>
      </c>
      <c r="W334" s="480"/>
      <c r="X334" s="477">
        <f t="shared" si="174"/>
        <v>0</v>
      </c>
      <c r="Y334" s="480"/>
      <c r="Z334" s="477">
        <f t="shared" si="175"/>
        <v>0</v>
      </c>
      <c r="AA334" s="480"/>
      <c r="AB334" s="477">
        <f t="shared" ca="1" si="176"/>
        <v>0</v>
      </c>
      <c r="AC334" s="475">
        <f t="shared" ca="1" si="177"/>
        <v>0</v>
      </c>
      <c r="AD334" s="480"/>
      <c r="AE334" s="477">
        <f t="shared" si="178"/>
        <v>0</v>
      </c>
      <c r="AF334" s="480"/>
      <c r="AG334" s="477">
        <f t="shared" si="179"/>
        <v>0</v>
      </c>
      <c r="AH334" s="480"/>
      <c r="AI334" s="477">
        <f t="shared" si="180"/>
        <v>0</v>
      </c>
      <c r="AJ334" s="480"/>
      <c r="AK334" s="477">
        <f t="shared" ca="1" si="181"/>
        <v>0</v>
      </c>
      <c r="AL334" s="475">
        <f t="shared" ca="1" si="182"/>
        <v>0</v>
      </c>
      <c r="AM334" s="480"/>
      <c r="AN334" s="477">
        <f t="shared" si="183"/>
        <v>0</v>
      </c>
      <c r="AO334" s="480"/>
      <c r="AP334" s="477">
        <f t="shared" si="184"/>
        <v>0</v>
      </c>
      <c r="AQ334" s="480"/>
      <c r="AR334" s="477">
        <f t="shared" si="185"/>
        <v>0</v>
      </c>
      <c r="AS334" s="480"/>
      <c r="AT334" s="477">
        <f t="shared" ca="1" si="186"/>
        <v>0</v>
      </c>
      <c r="AU334" s="475">
        <f t="shared" ca="1" si="187"/>
        <v>0</v>
      </c>
      <c r="AV334" s="480"/>
      <c r="AW334" s="477">
        <f t="shared" si="188"/>
        <v>0</v>
      </c>
      <c r="AX334" s="480"/>
      <c r="AY334" s="477">
        <f t="shared" si="189"/>
        <v>0</v>
      </c>
      <c r="AZ334" s="480"/>
      <c r="BA334" s="477">
        <f t="shared" si="190"/>
        <v>0</v>
      </c>
      <c r="BB334" s="480"/>
      <c r="BC334" s="850">
        <f t="shared" ca="1" si="191"/>
        <v>0</v>
      </c>
    </row>
    <row r="335" spans="1:55">
      <c r="A335" s="837" t="str">
        <f t="shared" si="162"/>
        <v/>
      </c>
      <c r="B335" s="440"/>
      <c r="C335" s="834" t="str">
        <f t="shared" ca="1" si="163"/>
        <v/>
      </c>
      <c r="D335" s="1757" t="str">
        <f ca="1">IFERROR(VLOOKUP(LEFT(E335,4),Nom_activ_2!D:G,4,0),"")</f>
        <v/>
      </c>
      <c r="E335" s="1757" t="str">
        <f t="shared" ca="1" si="164"/>
        <v/>
      </c>
      <c r="F335" s="1777">
        <f t="shared" ca="1" si="165"/>
        <v>0</v>
      </c>
      <c r="G335" s="839">
        <f t="shared" ca="1" si="165"/>
        <v>0</v>
      </c>
      <c r="H335" s="840">
        <f t="shared" ca="1" si="165"/>
        <v>0</v>
      </c>
      <c r="I335" s="443"/>
      <c r="J335" s="838" t="str">
        <f t="shared" si="166"/>
        <v>!$A:$j</v>
      </c>
      <c r="K335" s="475">
        <f t="shared" ca="1" si="167"/>
        <v>0</v>
      </c>
      <c r="L335" s="480"/>
      <c r="M335" s="477">
        <f t="shared" si="168"/>
        <v>0</v>
      </c>
      <c r="N335" s="480"/>
      <c r="O335" s="477">
        <f t="shared" si="169"/>
        <v>0</v>
      </c>
      <c r="P335" s="480"/>
      <c r="Q335" s="477">
        <f t="shared" si="170"/>
        <v>0</v>
      </c>
      <c r="R335" s="480"/>
      <c r="S335" s="477">
        <f t="shared" ca="1" si="171"/>
        <v>0</v>
      </c>
      <c r="T335" s="475">
        <f t="shared" ca="1" si="172"/>
        <v>0</v>
      </c>
      <c r="U335" s="480"/>
      <c r="V335" s="477">
        <f t="shared" si="173"/>
        <v>0</v>
      </c>
      <c r="W335" s="480"/>
      <c r="X335" s="477">
        <f t="shared" si="174"/>
        <v>0</v>
      </c>
      <c r="Y335" s="480"/>
      <c r="Z335" s="477">
        <f t="shared" si="175"/>
        <v>0</v>
      </c>
      <c r="AA335" s="480"/>
      <c r="AB335" s="477">
        <f t="shared" ca="1" si="176"/>
        <v>0</v>
      </c>
      <c r="AC335" s="475">
        <f t="shared" ca="1" si="177"/>
        <v>0</v>
      </c>
      <c r="AD335" s="480"/>
      <c r="AE335" s="477">
        <f t="shared" si="178"/>
        <v>0</v>
      </c>
      <c r="AF335" s="480"/>
      <c r="AG335" s="477">
        <f t="shared" si="179"/>
        <v>0</v>
      </c>
      <c r="AH335" s="480"/>
      <c r="AI335" s="477">
        <f t="shared" si="180"/>
        <v>0</v>
      </c>
      <c r="AJ335" s="480"/>
      <c r="AK335" s="477">
        <f t="shared" ca="1" si="181"/>
        <v>0</v>
      </c>
      <c r="AL335" s="475">
        <f t="shared" ca="1" si="182"/>
        <v>0</v>
      </c>
      <c r="AM335" s="480"/>
      <c r="AN335" s="477">
        <f t="shared" si="183"/>
        <v>0</v>
      </c>
      <c r="AO335" s="480"/>
      <c r="AP335" s="477">
        <f t="shared" si="184"/>
        <v>0</v>
      </c>
      <c r="AQ335" s="480"/>
      <c r="AR335" s="477">
        <f t="shared" si="185"/>
        <v>0</v>
      </c>
      <c r="AS335" s="480"/>
      <c r="AT335" s="477">
        <f t="shared" ca="1" si="186"/>
        <v>0</v>
      </c>
      <c r="AU335" s="475">
        <f t="shared" ca="1" si="187"/>
        <v>0</v>
      </c>
      <c r="AV335" s="480"/>
      <c r="AW335" s="477">
        <f t="shared" si="188"/>
        <v>0</v>
      </c>
      <c r="AX335" s="480"/>
      <c r="AY335" s="477">
        <f t="shared" si="189"/>
        <v>0</v>
      </c>
      <c r="AZ335" s="480"/>
      <c r="BA335" s="477">
        <f t="shared" si="190"/>
        <v>0</v>
      </c>
      <c r="BB335" s="480"/>
      <c r="BC335" s="850">
        <f t="shared" ca="1" si="191"/>
        <v>0</v>
      </c>
    </row>
    <row r="336" spans="1:55">
      <c r="A336" s="837" t="str">
        <f t="shared" si="162"/>
        <v/>
      </c>
      <c r="B336" s="440"/>
      <c r="C336" s="834" t="str">
        <f t="shared" ca="1" si="163"/>
        <v/>
      </c>
      <c r="D336" s="1757" t="str">
        <f ca="1">IFERROR(VLOOKUP(LEFT(E336,4),Nom_activ_2!D:G,4,0),"")</f>
        <v/>
      </c>
      <c r="E336" s="1757" t="str">
        <f t="shared" ca="1" si="164"/>
        <v/>
      </c>
      <c r="F336" s="1777">
        <f t="shared" ca="1" si="165"/>
        <v>0</v>
      </c>
      <c r="G336" s="839">
        <f t="shared" ca="1" si="165"/>
        <v>0</v>
      </c>
      <c r="H336" s="840">
        <f t="shared" ca="1" si="165"/>
        <v>0</v>
      </c>
      <c r="I336" s="443"/>
      <c r="J336" s="838" t="str">
        <f t="shared" si="166"/>
        <v>!$A:$j</v>
      </c>
      <c r="K336" s="475">
        <f t="shared" ca="1" si="167"/>
        <v>0</v>
      </c>
      <c r="L336" s="480"/>
      <c r="M336" s="477">
        <f t="shared" si="168"/>
        <v>0</v>
      </c>
      <c r="N336" s="480"/>
      <c r="O336" s="477">
        <f t="shared" si="169"/>
        <v>0</v>
      </c>
      <c r="P336" s="480"/>
      <c r="Q336" s="477">
        <f t="shared" si="170"/>
        <v>0</v>
      </c>
      <c r="R336" s="480"/>
      <c r="S336" s="477">
        <f t="shared" ca="1" si="171"/>
        <v>0</v>
      </c>
      <c r="T336" s="475">
        <f t="shared" ca="1" si="172"/>
        <v>0</v>
      </c>
      <c r="U336" s="480"/>
      <c r="V336" s="477">
        <f t="shared" si="173"/>
        <v>0</v>
      </c>
      <c r="W336" s="480"/>
      <c r="X336" s="477">
        <f t="shared" si="174"/>
        <v>0</v>
      </c>
      <c r="Y336" s="480"/>
      <c r="Z336" s="477">
        <f t="shared" si="175"/>
        <v>0</v>
      </c>
      <c r="AA336" s="480"/>
      <c r="AB336" s="477">
        <f t="shared" ca="1" si="176"/>
        <v>0</v>
      </c>
      <c r="AC336" s="475">
        <f t="shared" ca="1" si="177"/>
        <v>0</v>
      </c>
      <c r="AD336" s="480"/>
      <c r="AE336" s="477">
        <f t="shared" si="178"/>
        <v>0</v>
      </c>
      <c r="AF336" s="480"/>
      <c r="AG336" s="477">
        <f t="shared" si="179"/>
        <v>0</v>
      </c>
      <c r="AH336" s="480"/>
      <c r="AI336" s="477">
        <f t="shared" si="180"/>
        <v>0</v>
      </c>
      <c r="AJ336" s="480"/>
      <c r="AK336" s="477">
        <f t="shared" ca="1" si="181"/>
        <v>0</v>
      </c>
      <c r="AL336" s="475">
        <f t="shared" ca="1" si="182"/>
        <v>0</v>
      </c>
      <c r="AM336" s="480"/>
      <c r="AN336" s="477">
        <f t="shared" si="183"/>
        <v>0</v>
      </c>
      <c r="AO336" s="480"/>
      <c r="AP336" s="477">
        <f t="shared" si="184"/>
        <v>0</v>
      </c>
      <c r="AQ336" s="480"/>
      <c r="AR336" s="477">
        <f t="shared" si="185"/>
        <v>0</v>
      </c>
      <c r="AS336" s="480"/>
      <c r="AT336" s="477">
        <f t="shared" ca="1" si="186"/>
        <v>0</v>
      </c>
      <c r="AU336" s="475">
        <f t="shared" ca="1" si="187"/>
        <v>0</v>
      </c>
      <c r="AV336" s="480"/>
      <c r="AW336" s="477">
        <f t="shared" si="188"/>
        <v>0</v>
      </c>
      <c r="AX336" s="480"/>
      <c r="AY336" s="477">
        <f t="shared" si="189"/>
        <v>0</v>
      </c>
      <c r="AZ336" s="480"/>
      <c r="BA336" s="477">
        <f t="shared" si="190"/>
        <v>0</v>
      </c>
      <c r="BB336" s="480"/>
      <c r="BC336" s="850">
        <f t="shared" ca="1" si="191"/>
        <v>0</v>
      </c>
    </row>
    <row r="337" spans="1:55">
      <c r="A337" s="837" t="str">
        <f t="shared" si="162"/>
        <v/>
      </c>
      <c r="B337" s="440"/>
      <c r="C337" s="834" t="str">
        <f t="shared" ca="1" si="163"/>
        <v/>
      </c>
      <c r="D337" s="1757" t="str">
        <f ca="1">IFERROR(VLOOKUP(LEFT(E337,4),Nom_activ_2!D:G,4,0),"")</f>
        <v/>
      </c>
      <c r="E337" s="1757" t="str">
        <f t="shared" ca="1" si="164"/>
        <v/>
      </c>
      <c r="F337" s="1777">
        <f t="shared" ca="1" si="165"/>
        <v>0</v>
      </c>
      <c r="G337" s="839">
        <f t="shared" ca="1" si="165"/>
        <v>0</v>
      </c>
      <c r="H337" s="840">
        <f t="shared" ca="1" si="165"/>
        <v>0</v>
      </c>
      <c r="I337" s="443"/>
      <c r="J337" s="838" t="str">
        <f t="shared" si="166"/>
        <v>!$A:$j</v>
      </c>
      <c r="K337" s="475">
        <f t="shared" ca="1" si="167"/>
        <v>0</v>
      </c>
      <c r="L337" s="480"/>
      <c r="M337" s="477">
        <f t="shared" si="168"/>
        <v>0</v>
      </c>
      <c r="N337" s="480"/>
      <c r="O337" s="477">
        <f t="shared" si="169"/>
        <v>0</v>
      </c>
      <c r="P337" s="480"/>
      <c r="Q337" s="477">
        <f t="shared" si="170"/>
        <v>0</v>
      </c>
      <c r="R337" s="480"/>
      <c r="S337" s="477">
        <f t="shared" ca="1" si="171"/>
        <v>0</v>
      </c>
      <c r="T337" s="475">
        <f t="shared" ca="1" si="172"/>
        <v>0</v>
      </c>
      <c r="U337" s="480"/>
      <c r="V337" s="477">
        <f t="shared" si="173"/>
        <v>0</v>
      </c>
      <c r="W337" s="480"/>
      <c r="X337" s="477">
        <f t="shared" si="174"/>
        <v>0</v>
      </c>
      <c r="Y337" s="480"/>
      <c r="Z337" s="477">
        <f t="shared" si="175"/>
        <v>0</v>
      </c>
      <c r="AA337" s="480"/>
      <c r="AB337" s="477">
        <f t="shared" ca="1" si="176"/>
        <v>0</v>
      </c>
      <c r="AC337" s="475">
        <f t="shared" ca="1" si="177"/>
        <v>0</v>
      </c>
      <c r="AD337" s="480"/>
      <c r="AE337" s="477">
        <f t="shared" si="178"/>
        <v>0</v>
      </c>
      <c r="AF337" s="480"/>
      <c r="AG337" s="477">
        <f t="shared" si="179"/>
        <v>0</v>
      </c>
      <c r="AH337" s="480"/>
      <c r="AI337" s="477">
        <f t="shared" si="180"/>
        <v>0</v>
      </c>
      <c r="AJ337" s="480"/>
      <c r="AK337" s="477">
        <f t="shared" ca="1" si="181"/>
        <v>0</v>
      </c>
      <c r="AL337" s="475">
        <f t="shared" ca="1" si="182"/>
        <v>0</v>
      </c>
      <c r="AM337" s="480"/>
      <c r="AN337" s="477">
        <f t="shared" si="183"/>
        <v>0</v>
      </c>
      <c r="AO337" s="480"/>
      <c r="AP337" s="477">
        <f t="shared" si="184"/>
        <v>0</v>
      </c>
      <c r="AQ337" s="480"/>
      <c r="AR337" s="477">
        <f t="shared" si="185"/>
        <v>0</v>
      </c>
      <c r="AS337" s="480"/>
      <c r="AT337" s="477">
        <f t="shared" ca="1" si="186"/>
        <v>0</v>
      </c>
      <c r="AU337" s="475">
        <f t="shared" ca="1" si="187"/>
        <v>0</v>
      </c>
      <c r="AV337" s="480"/>
      <c r="AW337" s="477">
        <f t="shared" si="188"/>
        <v>0</v>
      </c>
      <c r="AX337" s="480"/>
      <c r="AY337" s="477">
        <f t="shared" si="189"/>
        <v>0</v>
      </c>
      <c r="AZ337" s="480"/>
      <c r="BA337" s="477">
        <f t="shared" si="190"/>
        <v>0</v>
      </c>
      <c r="BB337" s="480"/>
      <c r="BC337" s="850">
        <f t="shared" ca="1" si="191"/>
        <v>0</v>
      </c>
    </row>
    <row r="338" spans="1:55">
      <c r="A338" s="837" t="str">
        <f t="shared" si="162"/>
        <v/>
      </c>
      <c r="B338" s="440"/>
      <c r="C338" s="834" t="str">
        <f t="shared" ca="1" si="163"/>
        <v/>
      </c>
      <c r="D338" s="1757" t="str">
        <f ca="1">IFERROR(VLOOKUP(LEFT(E338,4),Nom_activ_2!D:G,4,0),"")</f>
        <v/>
      </c>
      <c r="E338" s="1757" t="str">
        <f t="shared" ca="1" si="164"/>
        <v/>
      </c>
      <c r="F338" s="1777">
        <f t="shared" ca="1" si="165"/>
        <v>0</v>
      </c>
      <c r="G338" s="839">
        <f t="shared" ca="1" si="165"/>
        <v>0</v>
      </c>
      <c r="H338" s="840">
        <f t="shared" ca="1" si="165"/>
        <v>0</v>
      </c>
      <c r="I338" s="443"/>
      <c r="J338" s="838" t="str">
        <f t="shared" si="166"/>
        <v>!$A:$j</v>
      </c>
      <c r="K338" s="475">
        <f t="shared" ca="1" si="167"/>
        <v>0</v>
      </c>
      <c r="L338" s="480"/>
      <c r="M338" s="477">
        <f t="shared" si="168"/>
        <v>0</v>
      </c>
      <c r="N338" s="480"/>
      <c r="O338" s="477">
        <f t="shared" si="169"/>
        <v>0</v>
      </c>
      <c r="P338" s="480"/>
      <c r="Q338" s="477">
        <f t="shared" si="170"/>
        <v>0</v>
      </c>
      <c r="R338" s="480"/>
      <c r="S338" s="477">
        <f t="shared" ca="1" si="171"/>
        <v>0</v>
      </c>
      <c r="T338" s="475">
        <f t="shared" ca="1" si="172"/>
        <v>0</v>
      </c>
      <c r="U338" s="480"/>
      <c r="V338" s="477">
        <f t="shared" si="173"/>
        <v>0</v>
      </c>
      <c r="W338" s="480"/>
      <c r="X338" s="477">
        <f t="shared" si="174"/>
        <v>0</v>
      </c>
      <c r="Y338" s="480"/>
      <c r="Z338" s="477">
        <f t="shared" si="175"/>
        <v>0</v>
      </c>
      <c r="AA338" s="480"/>
      <c r="AB338" s="477">
        <f t="shared" ca="1" si="176"/>
        <v>0</v>
      </c>
      <c r="AC338" s="475">
        <f t="shared" ca="1" si="177"/>
        <v>0</v>
      </c>
      <c r="AD338" s="480"/>
      <c r="AE338" s="477">
        <f t="shared" si="178"/>
        <v>0</v>
      </c>
      <c r="AF338" s="480"/>
      <c r="AG338" s="477">
        <f t="shared" si="179"/>
        <v>0</v>
      </c>
      <c r="AH338" s="480"/>
      <c r="AI338" s="477">
        <f t="shared" si="180"/>
        <v>0</v>
      </c>
      <c r="AJ338" s="480"/>
      <c r="AK338" s="477">
        <f t="shared" ca="1" si="181"/>
        <v>0</v>
      </c>
      <c r="AL338" s="475">
        <f t="shared" ca="1" si="182"/>
        <v>0</v>
      </c>
      <c r="AM338" s="480"/>
      <c r="AN338" s="477">
        <f t="shared" si="183"/>
        <v>0</v>
      </c>
      <c r="AO338" s="480"/>
      <c r="AP338" s="477">
        <f t="shared" si="184"/>
        <v>0</v>
      </c>
      <c r="AQ338" s="480"/>
      <c r="AR338" s="477">
        <f t="shared" si="185"/>
        <v>0</v>
      </c>
      <c r="AS338" s="480"/>
      <c r="AT338" s="477">
        <f t="shared" ca="1" si="186"/>
        <v>0</v>
      </c>
      <c r="AU338" s="475">
        <f t="shared" ca="1" si="187"/>
        <v>0</v>
      </c>
      <c r="AV338" s="480"/>
      <c r="AW338" s="477">
        <f t="shared" si="188"/>
        <v>0</v>
      </c>
      <c r="AX338" s="480"/>
      <c r="AY338" s="477">
        <f t="shared" si="189"/>
        <v>0</v>
      </c>
      <c r="AZ338" s="480"/>
      <c r="BA338" s="477">
        <f t="shared" si="190"/>
        <v>0</v>
      </c>
      <c r="BB338" s="480"/>
      <c r="BC338" s="850">
        <f t="shared" ca="1" si="191"/>
        <v>0</v>
      </c>
    </row>
    <row r="339" spans="1:55">
      <c r="A339" s="837" t="str">
        <f t="shared" si="162"/>
        <v/>
      </c>
      <c r="B339" s="440"/>
      <c r="C339" s="834" t="str">
        <f t="shared" ca="1" si="163"/>
        <v/>
      </c>
      <c r="D339" s="1757" t="str">
        <f ca="1">IFERROR(VLOOKUP(LEFT(E339,4),Nom_activ_2!D:G,4,0),"")</f>
        <v/>
      </c>
      <c r="E339" s="1757" t="str">
        <f t="shared" ca="1" si="164"/>
        <v/>
      </c>
      <c r="F339" s="1777">
        <f t="shared" ca="1" si="165"/>
        <v>0</v>
      </c>
      <c r="G339" s="839">
        <f t="shared" ca="1" si="165"/>
        <v>0</v>
      </c>
      <c r="H339" s="840">
        <f t="shared" ca="1" si="165"/>
        <v>0</v>
      </c>
      <c r="I339" s="443"/>
      <c r="J339" s="838" t="str">
        <f t="shared" si="166"/>
        <v>!$A:$j</v>
      </c>
      <c r="K339" s="475">
        <f t="shared" ca="1" si="167"/>
        <v>0</v>
      </c>
      <c r="L339" s="480"/>
      <c r="M339" s="477">
        <f t="shared" si="168"/>
        <v>0</v>
      </c>
      <c r="N339" s="480"/>
      <c r="O339" s="477">
        <f t="shared" si="169"/>
        <v>0</v>
      </c>
      <c r="P339" s="480"/>
      <c r="Q339" s="477">
        <f t="shared" si="170"/>
        <v>0</v>
      </c>
      <c r="R339" s="480"/>
      <c r="S339" s="477">
        <f t="shared" ca="1" si="171"/>
        <v>0</v>
      </c>
      <c r="T339" s="475">
        <f t="shared" ca="1" si="172"/>
        <v>0</v>
      </c>
      <c r="U339" s="480"/>
      <c r="V339" s="477">
        <f t="shared" si="173"/>
        <v>0</v>
      </c>
      <c r="W339" s="480"/>
      <c r="X339" s="477">
        <f t="shared" si="174"/>
        <v>0</v>
      </c>
      <c r="Y339" s="480"/>
      <c r="Z339" s="477">
        <f t="shared" si="175"/>
        <v>0</v>
      </c>
      <c r="AA339" s="480"/>
      <c r="AB339" s="477">
        <f t="shared" ca="1" si="176"/>
        <v>0</v>
      </c>
      <c r="AC339" s="475">
        <f t="shared" ca="1" si="177"/>
        <v>0</v>
      </c>
      <c r="AD339" s="480"/>
      <c r="AE339" s="477">
        <f t="shared" si="178"/>
        <v>0</v>
      </c>
      <c r="AF339" s="480"/>
      <c r="AG339" s="477">
        <f t="shared" si="179"/>
        <v>0</v>
      </c>
      <c r="AH339" s="480"/>
      <c r="AI339" s="477">
        <f t="shared" si="180"/>
        <v>0</v>
      </c>
      <c r="AJ339" s="480"/>
      <c r="AK339" s="477">
        <f t="shared" ca="1" si="181"/>
        <v>0</v>
      </c>
      <c r="AL339" s="475">
        <f t="shared" ca="1" si="182"/>
        <v>0</v>
      </c>
      <c r="AM339" s="480"/>
      <c r="AN339" s="477">
        <f t="shared" si="183"/>
        <v>0</v>
      </c>
      <c r="AO339" s="480"/>
      <c r="AP339" s="477">
        <f t="shared" si="184"/>
        <v>0</v>
      </c>
      <c r="AQ339" s="480"/>
      <c r="AR339" s="477">
        <f t="shared" si="185"/>
        <v>0</v>
      </c>
      <c r="AS339" s="480"/>
      <c r="AT339" s="477">
        <f t="shared" ca="1" si="186"/>
        <v>0</v>
      </c>
      <c r="AU339" s="475">
        <f t="shared" ca="1" si="187"/>
        <v>0</v>
      </c>
      <c r="AV339" s="480"/>
      <c r="AW339" s="477">
        <f t="shared" si="188"/>
        <v>0</v>
      </c>
      <c r="AX339" s="480"/>
      <c r="AY339" s="477">
        <f t="shared" si="189"/>
        <v>0</v>
      </c>
      <c r="AZ339" s="480"/>
      <c r="BA339" s="477">
        <f t="shared" si="190"/>
        <v>0</v>
      </c>
      <c r="BB339" s="480"/>
      <c r="BC339" s="850">
        <f t="shared" ca="1" si="191"/>
        <v>0</v>
      </c>
    </row>
    <row r="340" spans="1:55">
      <c r="A340" s="837" t="str">
        <f t="shared" si="162"/>
        <v/>
      </c>
      <c r="B340" s="440"/>
      <c r="C340" s="834" t="str">
        <f t="shared" ca="1" si="163"/>
        <v/>
      </c>
      <c r="D340" s="1757" t="str">
        <f ca="1">IFERROR(VLOOKUP(LEFT(E340,4),Nom_activ_2!D:G,4,0),"")</f>
        <v/>
      </c>
      <c r="E340" s="1757" t="str">
        <f t="shared" ca="1" si="164"/>
        <v/>
      </c>
      <c r="F340" s="1777">
        <f t="shared" ca="1" si="165"/>
        <v>0</v>
      </c>
      <c r="G340" s="839">
        <f t="shared" ca="1" si="165"/>
        <v>0</v>
      </c>
      <c r="H340" s="840">
        <f t="shared" ca="1" si="165"/>
        <v>0</v>
      </c>
      <c r="I340" s="443"/>
      <c r="J340" s="838" t="str">
        <f t="shared" si="166"/>
        <v>!$A:$j</v>
      </c>
      <c r="K340" s="475">
        <f t="shared" ca="1" si="167"/>
        <v>0</v>
      </c>
      <c r="L340" s="480"/>
      <c r="M340" s="477">
        <f t="shared" si="168"/>
        <v>0</v>
      </c>
      <c r="N340" s="480"/>
      <c r="O340" s="477">
        <f t="shared" si="169"/>
        <v>0</v>
      </c>
      <c r="P340" s="480"/>
      <c r="Q340" s="477">
        <f t="shared" si="170"/>
        <v>0</v>
      </c>
      <c r="R340" s="480"/>
      <c r="S340" s="477">
        <f t="shared" ca="1" si="171"/>
        <v>0</v>
      </c>
      <c r="T340" s="475">
        <f t="shared" ca="1" si="172"/>
        <v>0</v>
      </c>
      <c r="U340" s="480"/>
      <c r="V340" s="477">
        <f t="shared" si="173"/>
        <v>0</v>
      </c>
      <c r="W340" s="480"/>
      <c r="X340" s="477">
        <f t="shared" si="174"/>
        <v>0</v>
      </c>
      <c r="Y340" s="480"/>
      <c r="Z340" s="477">
        <f t="shared" si="175"/>
        <v>0</v>
      </c>
      <c r="AA340" s="480"/>
      <c r="AB340" s="477">
        <f t="shared" ca="1" si="176"/>
        <v>0</v>
      </c>
      <c r="AC340" s="475">
        <f t="shared" ca="1" si="177"/>
        <v>0</v>
      </c>
      <c r="AD340" s="480"/>
      <c r="AE340" s="477">
        <f t="shared" si="178"/>
        <v>0</v>
      </c>
      <c r="AF340" s="480"/>
      <c r="AG340" s="477">
        <f t="shared" si="179"/>
        <v>0</v>
      </c>
      <c r="AH340" s="480"/>
      <c r="AI340" s="477">
        <f t="shared" si="180"/>
        <v>0</v>
      </c>
      <c r="AJ340" s="480"/>
      <c r="AK340" s="477">
        <f t="shared" ca="1" si="181"/>
        <v>0</v>
      </c>
      <c r="AL340" s="475">
        <f t="shared" ca="1" si="182"/>
        <v>0</v>
      </c>
      <c r="AM340" s="480"/>
      <c r="AN340" s="477">
        <f t="shared" si="183"/>
        <v>0</v>
      </c>
      <c r="AO340" s="480"/>
      <c r="AP340" s="477">
        <f t="shared" si="184"/>
        <v>0</v>
      </c>
      <c r="AQ340" s="480"/>
      <c r="AR340" s="477">
        <f t="shared" si="185"/>
        <v>0</v>
      </c>
      <c r="AS340" s="480"/>
      <c r="AT340" s="477">
        <f t="shared" ca="1" si="186"/>
        <v>0</v>
      </c>
      <c r="AU340" s="475">
        <f t="shared" ca="1" si="187"/>
        <v>0</v>
      </c>
      <c r="AV340" s="480"/>
      <c r="AW340" s="477">
        <f t="shared" si="188"/>
        <v>0</v>
      </c>
      <c r="AX340" s="480"/>
      <c r="AY340" s="477">
        <f t="shared" si="189"/>
        <v>0</v>
      </c>
      <c r="AZ340" s="480"/>
      <c r="BA340" s="477">
        <f t="shared" si="190"/>
        <v>0</v>
      </c>
      <c r="BB340" s="480"/>
      <c r="BC340" s="850">
        <f t="shared" ca="1" si="191"/>
        <v>0</v>
      </c>
    </row>
    <row r="341" spans="1:55">
      <c r="A341" s="837" t="str">
        <f t="shared" si="162"/>
        <v/>
      </c>
      <c r="B341" s="440"/>
      <c r="C341" s="834" t="str">
        <f t="shared" ca="1" si="163"/>
        <v/>
      </c>
      <c r="D341" s="1757" t="str">
        <f ca="1">IFERROR(VLOOKUP(LEFT(E341,4),Nom_activ_2!D:G,4,0),"")</f>
        <v/>
      </c>
      <c r="E341" s="1757" t="str">
        <f t="shared" ca="1" si="164"/>
        <v/>
      </c>
      <c r="F341" s="1777">
        <f t="shared" ca="1" si="165"/>
        <v>0</v>
      </c>
      <c r="G341" s="839">
        <f t="shared" ca="1" si="165"/>
        <v>0</v>
      </c>
      <c r="H341" s="840">
        <f t="shared" ca="1" si="165"/>
        <v>0</v>
      </c>
      <c r="I341" s="443"/>
      <c r="J341" s="838" t="str">
        <f t="shared" si="166"/>
        <v>!$A:$j</v>
      </c>
      <c r="K341" s="475">
        <f t="shared" ca="1" si="167"/>
        <v>0</v>
      </c>
      <c r="L341" s="480"/>
      <c r="M341" s="477">
        <f t="shared" si="168"/>
        <v>0</v>
      </c>
      <c r="N341" s="480"/>
      <c r="O341" s="477">
        <f t="shared" si="169"/>
        <v>0</v>
      </c>
      <c r="P341" s="480"/>
      <c r="Q341" s="477">
        <f t="shared" si="170"/>
        <v>0</v>
      </c>
      <c r="R341" s="480"/>
      <c r="S341" s="477">
        <f t="shared" ca="1" si="171"/>
        <v>0</v>
      </c>
      <c r="T341" s="475">
        <f t="shared" ca="1" si="172"/>
        <v>0</v>
      </c>
      <c r="U341" s="480"/>
      <c r="V341" s="477">
        <f t="shared" si="173"/>
        <v>0</v>
      </c>
      <c r="W341" s="480"/>
      <c r="X341" s="477">
        <f t="shared" si="174"/>
        <v>0</v>
      </c>
      <c r="Y341" s="480"/>
      <c r="Z341" s="477">
        <f t="shared" si="175"/>
        <v>0</v>
      </c>
      <c r="AA341" s="480"/>
      <c r="AB341" s="477">
        <f t="shared" ca="1" si="176"/>
        <v>0</v>
      </c>
      <c r="AC341" s="475">
        <f t="shared" ca="1" si="177"/>
        <v>0</v>
      </c>
      <c r="AD341" s="480"/>
      <c r="AE341" s="477">
        <f t="shared" si="178"/>
        <v>0</v>
      </c>
      <c r="AF341" s="480"/>
      <c r="AG341" s="477">
        <f t="shared" si="179"/>
        <v>0</v>
      </c>
      <c r="AH341" s="480"/>
      <c r="AI341" s="477">
        <f t="shared" si="180"/>
        <v>0</v>
      </c>
      <c r="AJ341" s="480"/>
      <c r="AK341" s="477">
        <f t="shared" ca="1" si="181"/>
        <v>0</v>
      </c>
      <c r="AL341" s="475">
        <f t="shared" ca="1" si="182"/>
        <v>0</v>
      </c>
      <c r="AM341" s="480"/>
      <c r="AN341" s="477">
        <f t="shared" si="183"/>
        <v>0</v>
      </c>
      <c r="AO341" s="480"/>
      <c r="AP341" s="477">
        <f t="shared" si="184"/>
        <v>0</v>
      </c>
      <c r="AQ341" s="480"/>
      <c r="AR341" s="477">
        <f t="shared" si="185"/>
        <v>0</v>
      </c>
      <c r="AS341" s="480"/>
      <c r="AT341" s="477">
        <f t="shared" ca="1" si="186"/>
        <v>0</v>
      </c>
      <c r="AU341" s="475">
        <f t="shared" ca="1" si="187"/>
        <v>0</v>
      </c>
      <c r="AV341" s="480"/>
      <c r="AW341" s="477">
        <f t="shared" si="188"/>
        <v>0</v>
      </c>
      <c r="AX341" s="480"/>
      <c r="AY341" s="477">
        <f t="shared" si="189"/>
        <v>0</v>
      </c>
      <c r="AZ341" s="480"/>
      <c r="BA341" s="477">
        <f t="shared" si="190"/>
        <v>0</v>
      </c>
      <c r="BB341" s="480"/>
      <c r="BC341" s="850">
        <f t="shared" ca="1" si="191"/>
        <v>0</v>
      </c>
    </row>
    <row r="342" spans="1:55">
      <c r="A342" s="837" t="str">
        <f t="shared" si="162"/>
        <v/>
      </c>
      <c r="B342" s="440"/>
      <c r="C342" s="834" t="str">
        <f t="shared" ca="1" si="163"/>
        <v/>
      </c>
      <c r="D342" s="1757" t="str">
        <f ca="1">IFERROR(VLOOKUP(LEFT(E342,4),Nom_activ_2!D:G,4,0),"")</f>
        <v/>
      </c>
      <c r="E342" s="1757" t="str">
        <f t="shared" ca="1" si="164"/>
        <v/>
      </c>
      <c r="F342" s="1777">
        <f t="shared" ca="1" si="165"/>
        <v>0</v>
      </c>
      <c r="G342" s="839">
        <f t="shared" ca="1" si="165"/>
        <v>0</v>
      </c>
      <c r="H342" s="840">
        <f t="shared" ca="1" si="165"/>
        <v>0</v>
      </c>
      <c r="I342" s="443"/>
      <c r="J342" s="838" t="str">
        <f t="shared" si="166"/>
        <v>!$A:$j</v>
      </c>
      <c r="K342" s="475">
        <f t="shared" ca="1" si="167"/>
        <v>0</v>
      </c>
      <c r="L342" s="480"/>
      <c r="M342" s="477">
        <f t="shared" si="168"/>
        <v>0</v>
      </c>
      <c r="N342" s="480"/>
      <c r="O342" s="477">
        <f t="shared" si="169"/>
        <v>0</v>
      </c>
      <c r="P342" s="480"/>
      <c r="Q342" s="477">
        <f t="shared" si="170"/>
        <v>0</v>
      </c>
      <c r="R342" s="480"/>
      <c r="S342" s="477">
        <f t="shared" ca="1" si="171"/>
        <v>0</v>
      </c>
      <c r="T342" s="475">
        <f t="shared" ca="1" si="172"/>
        <v>0</v>
      </c>
      <c r="U342" s="480"/>
      <c r="V342" s="477">
        <f t="shared" si="173"/>
        <v>0</v>
      </c>
      <c r="W342" s="480"/>
      <c r="X342" s="477">
        <f t="shared" si="174"/>
        <v>0</v>
      </c>
      <c r="Y342" s="480"/>
      <c r="Z342" s="477">
        <f t="shared" si="175"/>
        <v>0</v>
      </c>
      <c r="AA342" s="480"/>
      <c r="AB342" s="477">
        <f t="shared" ca="1" si="176"/>
        <v>0</v>
      </c>
      <c r="AC342" s="475">
        <f t="shared" ca="1" si="177"/>
        <v>0</v>
      </c>
      <c r="AD342" s="480"/>
      <c r="AE342" s="477">
        <f t="shared" si="178"/>
        <v>0</v>
      </c>
      <c r="AF342" s="480"/>
      <c r="AG342" s="477">
        <f t="shared" si="179"/>
        <v>0</v>
      </c>
      <c r="AH342" s="480"/>
      <c r="AI342" s="477">
        <f t="shared" si="180"/>
        <v>0</v>
      </c>
      <c r="AJ342" s="480"/>
      <c r="AK342" s="477">
        <f t="shared" ca="1" si="181"/>
        <v>0</v>
      </c>
      <c r="AL342" s="475">
        <f t="shared" ca="1" si="182"/>
        <v>0</v>
      </c>
      <c r="AM342" s="480"/>
      <c r="AN342" s="477">
        <f t="shared" si="183"/>
        <v>0</v>
      </c>
      <c r="AO342" s="480"/>
      <c r="AP342" s="477">
        <f t="shared" si="184"/>
        <v>0</v>
      </c>
      <c r="AQ342" s="480"/>
      <c r="AR342" s="477">
        <f t="shared" si="185"/>
        <v>0</v>
      </c>
      <c r="AS342" s="480"/>
      <c r="AT342" s="477">
        <f t="shared" ca="1" si="186"/>
        <v>0</v>
      </c>
      <c r="AU342" s="475">
        <f t="shared" ca="1" si="187"/>
        <v>0</v>
      </c>
      <c r="AV342" s="480"/>
      <c r="AW342" s="477">
        <f t="shared" si="188"/>
        <v>0</v>
      </c>
      <c r="AX342" s="480"/>
      <c r="AY342" s="477">
        <f t="shared" si="189"/>
        <v>0</v>
      </c>
      <c r="AZ342" s="480"/>
      <c r="BA342" s="477">
        <f t="shared" si="190"/>
        <v>0</v>
      </c>
      <c r="BB342" s="480"/>
      <c r="BC342" s="850">
        <f t="shared" ca="1" si="191"/>
        <v>0</v>
      </c>
    </row>
    <row r="343" spans="1:55">
      <c r="A343" s="837" t="str">
        <f t="shared" si="162"/>
        <v/>
      </c>
      <c r="B343" s="440"/>
      <c r="C343" s="834" t="str">
        <f t="shared" ca="1" si="163"/>
        <v/>
      </c>
      <c r="D343" s="1757" t="str">
        <f ca="1">IFERROR(VLOOKUP(LEFT(E343,4),Nom_activ_2!D:G,4,0),"")</f>
        <v/>
      </c>
      <c r="E343" s="1757" t="str">
        <f t="shared" ca="1" si="164"/>
        <v/>
      </c>
      <c r="F343" s="1777">
        <f t="shared" ca="1" si="165"/>
        <v>0</v>
      </c>
      <c r="G343" s="839">
        <f t="shared" ca="1" si="165"/>
        <v>0</v>
      </c>
      <c r="H343" s="840">
        <f t="shared" ca="1" si="165"/>
        <v>0</v>
      </c>
      <c r="I343" s="443"/>
      <c r="J343" s="838" t="str">
        <f t="shared" si="166"/>
        <v>!$A:$j</v>
      </c>
      <c r="K343" s="475">
        <f t="shared" ca="1" si="167"/>
        <v>0</v>
      </c>
      <c r="L343" s="480"/>
      <c r="M343" s="477">
        <f t="shared" si="168"/>
        <v>0</v>
      </c>
      <c r="N343" s="480"/>
      <c r="O343" s="477">
        <f t="shared" si="169"/>
        <v>0</v>
      </c>
      <c r="P343" s="480"/>
      <c r="Q343" s="477">
        <f t="shared" si="170"/>
        <v>0</v>
      </c>
      <c r="R343" s="480"/>
      <c r="S343" s="477">
        <f t="shared" ca="1" si="171"/>
        <v>0</v>
      </c>
      <c r="T343" s="475">
        <f t="shared" ca="1" si="172"/>
        <v>0</v>
      </c>
      <c r="U343" s="480"/>
      <c r="V343" s="477">
        <f t="shared" si="173"/>
        <v>0</v>
      </c>
      <c r="W343" s="480"/>
      <c r="X343" s="477">
        <f t="shared" si="174"/>
        <v>0</v>
      </c>
      <c r="Y343" s="480"/>
      <c r="Z343" s="477">
        <f t="shared" si="175"/>
        <v>0</v>
      </c>
      <c r="AA343" s="480"/>
      <c r="AB343" s="477">
        <f t="shared" ca="1" si="176"/>
        <v>0</v>
      </c>
      <c r="AC343" s="475">
        <f t="shared" ca="1" si="177"/>
        <v>0</v>
      </c>
      <c r="AD343" s="480"/>
      <c r="AE343" s="477">
        <f t="shared" si="178"/>
        <v>0</v>
      </c>
      <c r="AF343" s="480"/>
      <c r="AG343" s="477">
        <f t="shared" si="179"/>
        <v>0</v>
      </c>
      <c r="AH343" s="480"/>
      <c r="AI343" s="477">
        <f t="shared" si="180"/>
        <v>0</v>
      </c>
      <c r="AJ343" s="480"/>
      <c r="AK343" s="477">
        <f t="shared" ca="1" si="181"/>
        <v>0</v>
      </c>
      <c r="AL343" s="475">
        <f t="shared" ca="1" si="182"/>
        <v>0</v>
      </c>
      <c r="AM343" s="480"/>
      <c r="AN343" s="477">
        <f t="shared" si="183"/>
        <v>0</v>
      </c>
      <c r="AO343" s="480"/>
      <c r="AP343" s="477">
        <f t="shared" si="184"/>
        <v>0</v>
      </c>
      <c r="AQ343" s="480"/>
      <c r="AR343" s="477">
        <f t="shared" si="185"/>
        <v>0</v>
      </c>
      <c r="AS343" s="480"/>
      <c r="AT343" s="477">
        <f t="shared" ca="1" si="186"/>
        <v>0</v>
      </c>
      <c r="AU343" s="475">
        <f t="shared" ca="1" si="187"/>
        <v>0</v>
      </c>
      <c r="AV343" s="480"/>
      <c r="AW343" s="477">
        <f t="shared" si="188"/>
        <v>0</v>
      </c>
      <c r="AX343" s="480"/>
      <c r="AY343" s="477">
        <f t="shared" si="189"/>
        <v>0</v>
      </c>
      <c r="AZ343" s="480"/>
      <c r="BA343" s="477">
        <f t="shared" si="190"/>
        <v>0</v>
      </c>
      <c r="BB343" s="480"/>
      <c r="BC343" s="850">
        <f t="shared" ca="1" si="191"/>
        <v>0</v>
      </c>
    </row>
    <row r="344" spans="1:55">
      <c r="A344" s="837" t="str">
        <f t="shared" si="162"/>
        <v/>
      </c>
      <c r="B344" s="440"/>
      <c r="C344" s="834" t="str">
        <f t="shared" ca="1" si="163"/>
        <v/>
      </c>
      <c r="D344" s="1757" t="str">
        <f ca="1">IFERROR(VLOOKUP(LEFT(E344,4),Nom_activ_2!D:G,4,0),"")</f>
        <v/>
      </c>
      <c r="E344" s="1757" t="str">
        <f t="shared" ca="1" si="164"/>
        <v/>
      </c>
      <c r="F344" s="1777">
        <f t="shared" ca="1" si="165"/>
        <v>0</v>
      </c>
      <c r="G344" s="839">
        <f t="shared" ca="1" si="165"/>
        <v>0</v>
      </c>
      <c r="H344" s="840">
        <f t="shared" ca="1" si="165"/>
        <v>0</v>
      </c>
      <c r="I344" s="443"/>
      <c r="J344" s="838" t="str">
        <f t="shared" si="166"/>
        <v>!$A:$j</v>
      </c>
      <c r="K344" s="475">
        <f t="shared" ca="1" si="167"/>
        <v>0</v>
      </c>
      <c r="L344" s="480"/>
      <c r="M344" s="477">
        <f t="shared" si="168"/>
        <v>0</v>
      </c>
      <c r="N344" s="480"/>
      <c r="O344" s="477">
        <f t="shared" si="169"/>
        <v>0</v>
      </c>
      <c r="P344" s="480"/>
      <c r="Q344" s="477">
        <f t="shared" si="170"/>
        <v>0</v>
      </c>
      <c r="R344" s="480"/>
      <c r="S344" s="477">
        <f t="shared" ca="1" si="171"/>
        <v>0</v>
      </c>
      <c r="T344" s="475">
        <f t="shared" ca="1" si="172"/>
        <v>0</v>
      </c>
      <c r="U344" s="480"/>
      <c r="V344" s="477">
        <f t="shared" si="173"/>
        <v>0</v>
      </c>
      <c r="W344" s="480"/>
      <c r="X344" s="477">
        <f t="shared" si="174"/>
        <v>0</v>
      </c>
      <c r="Y344" s="480"/>
      <c r="Z344" s="477">
        <f t="shared" si="175"/>
        <v>0</v>
      </c>
      <c r="AA344" s="480"/>
      <c r="AB344" s="477">
        <f t="shared" ca="1" si="176"/>
        <v>0</v>
      </c>
      <c r="AC344" s="475">
        <f t="shared" ca="1" si="177"/>
        <v>0</v>
      </c>
      <c r="AD344" s="480"/>
      <c r="AE344" s="477">
        <f t="shared" si="178"/>
        <v>0</v>
      </c>
      <c r="AF344" s="480"/>
      <c r="AG344" s="477">
        <f t="shared" si="179"/>
        <v>0</v>
      </c>
      <c r="AH344" s="480"/>
      <c r="AI344" s="477">
        <f t="shared" si="180"/>
        <v>0</v>
      </c>
      <c r="AJ344" s="480"/>
      <c r="AK344" s="477">
        <f t="shared" ca="1" si="181"/>
        <v>0</v>
      </c>
      <c r="AL344" s="475">
        <f t="shared" ca="1" si="182"/>
        <v>0</v>
      </c>
      <c r="AM344" s="480"/>
      <c r="AN344" s="477">
        <f t="shared" si="183"/>
        <v>0</v>
      </c>
      <c r="AO344" s="480"/>
      <c r="AP344" s="477">
        <f t="shared" si="184"/>
        <v>0</v>
      </c>
      <c r="AQ344" s="480"/>
      <c r="AR344" s="477">
        <f t="shared" si="185"/>
        <v>0</v>
      </c>
      <c r="AS344" s="480"/>
      <c r="AT344" s="477">
        <f t="shared" ca="1" si="186"/>
        <v>0</v>
      </c>
      <c r="AU344" s="475">
        <f t="shared" ca="1" si="187"/>
        <v>0</v>
      </c>
      <c r="AV344" s="480"/>
      <c r="AW344" s="477">
        <f t="shared" si="188"/>
        <v>0</v>
      </c>
      <c r="AX344" s="480"/>
      <c r="AY344" s="477">
        <f t="shared" si="189"/>
        <v>0</v>
      </c>
      <c r="AZ344" s="480"/>
      <c r="BA344" s="477">
        <f t="shared" si="190"/>
        <v>0</v>
      </c>
      <c r="BB344" s="480"/>
      <c r="BC344" s="850">
        <f t="shared" ca="1" si="191"/>
        <v>0</v>
      </c>
    </row>
    <row r="345" spans="1:55">
      <c r="A345" s="837" t="str">
        <f t="shared" si="162"/>
        <v/>
      </c>
      <c r="B345" s="440"/>
      <c r="C345" s="834" t="str">
        <f t="shared" ca="1" si="163"/>
        <v/>
      </c>
      <c r="D345" s="1757" t="str">
        <f ca="1">IFERROR(VLOOKUP(LEFT(E345,4),Nom_activ_2!D:G,4,0),"")</f>
        <v/>
      </c>
      <c r="E345" s="1757" t="str">
        <f t="shared" ca="1" si="164"/>
        <v/>
      </c>
      <c r="F345" s="1777">
        <f t="shared" ca="1" si="165"/>
        <v>0</v>
      </c>
      <c r="G345" s="839">
        <f t="shared" ca="1" si="165"/>
        <v>0</v>
      </c>
      <c r="H345" s="840">
        <f t="shared" ca="1" si="165"/>
        <v>0</v>
      </c>
      <c r="I345" s="443"/>
      <c r="J345" s="838" t="str">
        <f t="shared" si="166"/>
        <v>!$A:$j</v>
      </c>
      <c r="K345" s="475">
        <f t="shared" ca="1" si="167"/>
        <v>0</v>
      </c>
      <c r="L345" s="480"/>
      <c r="M345" s="477">
        <f t="shared" si="168"/>
        <v>0</v>
      </c>
      <c r="N345" s="480"/>
      <c r="O345" s="477">
        <f t="shared" si="169"/>
        <v>0</v>
      </c>
      <c r="P345" s="480"/>
      <c r="Q345" s="477">
        <f t="shared" si="170"/>
        <v>0</v>
      </c>
      <c r="R345" s="480"/>
      <c r="S345" s="477">
        <f t="shared" ca="1" si="171"/>
        <v>0</v>
      </c>
      <c r="T345" s="475">
        <f t="shared" ca="1" si="172"/>
        <v>0</v>
      </c>
      <c r="U345" s="480"/>
      <c r="V345" s="477">
        <f t="shared" si="173"/>
        <v>0</v>
      </c>
      <c r="W345" s="480"/>
      <c r="X345" s="477">
        <f t="shared" si="174"/>
        <v>0</v>
      </c>
      <c r="Y345" s="480"/>
      <c r="Z345" s="477">
        <f t="shared" si="175"/>
        <v>0</v>
      </c>
      <c r="AA345" s="480"/>
      <c r="AB345" s="477">
        <f t="shared" ca="1" si="176"/>
        <v>0</v>
      </c>
      <c r="AC345" s="475">
        <f t="shared" ca="1" si="177"/>
        <v>0</v>
      </c>
      <c r="AD345" s="480"/>
      <c r="AE345" s="477">
        <f t="shared" si="178"/>
        <v>0</v>
      </c>
      <c r="AF345" s="480"/>
      <c r="AG345" s="477">
        <f t="shared" si="179"/>
        <v>0</v>
      </c>
      <c r="AH345" s="480"/>
      <c r="AI345" s="477">
        <f t="shared" si="180"/>
        <v>0</v>
      </c>
      <c r="AJ345" s="480"/>
      <c r="AK345" s="477">
        <f t="shared" ca="1" si="181"/>
        <v>0</v>
      </c>
      <c r="AL345" s="475">
        <f t="shared" ca="1" si="182"/>
        <v>0</v>
      </c>
      <c r="AM345" s="480"/>
      <c r="AN345" s="477">
        <f t="shared" si="183"/>
        <v>0</v>
      </c>
      <c r="AO345" s="480"/>
      <c r="AP345" s="477">
        <f t="shared" si="184"/>
        <v>0</v>
      </c>
      <c r="AQ345" s="480"/>
      <c r="AR345" s="477">
        <f t="shared" si="185"/>
        <v>0</v>
      </c>
      <c r="AS345" s="480"/>
      <c r="AT345" s="477">
        <f t="shared" ca="1" si="186"/>
        <v>0</v>
      </c>
      <c r="AU345" s="475">
        <f t="shared" ca="1" si="187"/>
        <v>0</v>
      </c>
      <c r="AV345" s="480"/>
      <c r="AW345" s="477">
        <f t="shared" si="188"/>
        <v>0</v>
      </c>
      <c r="AX345" s="480"/>
      <c r="AY345" s="477">
        <f t="shared" si="189"/>
        <v>0</v>
      </c>
      <c r="AZ345" s="480"/>
      <c r="BA345" s="477">
        <f t="shared" si="190"/>
        <v>0</v>
      </c>
      <c r="BB345" s="480"/>
      <c r="BC345" s="850">
        <f t="shared" ca="1" si="191"/>
        <v>0</v>
      </c>
    </row>
    <row r="346" spans="1:55">
      <c r="A346" s="837" t="str">
        <f t="shared" si="162"/>
        <v/>
      </c>
      <c r="B346" s="440"/>
      <c r="C346" s="834" t="str">
        <f t="shared" ca="1" si="163"/>
        <v/>
      </c>
      <c r="D346" s="1757" t="str">
        <f ca="1">IFERROR(VLOOKUP(LEFT(E346,4),Nom_activ_2!D:G,4,0),"")</f>
        <v/>
      </c>
      <c r="E346" s="1757" t="str">
        <f t="shared" ca="1" si="164"/>
        <v/>
      </c>
      <c r="F346" s="1777">
        <f t="shared" ca="1" si="165"/>
        <v>0</v>
      </c>
      <c r="G346" s="839">
        <f t="shared" ca="1" si="165"/>
        <v>0</v>
      </c>
      <c r="H346" s="840">
        <f t="shared" ca="1" si="165"/>
        <v>0</v>
      </c>
      <c r="I346" s="443"/>
      <c r="J346" s="838" t="str">
        <f t="shared" si="166"/>
        <v>!$A:$j</v>
      </c>
      <c r="K346" s="475">
        <f t="shared" ca="1" si="167"/>
        <v>0</v>
      </c>
      <c r="L346" s="480"/>
      <c r="M346" s="477">
        <f t="shared" si="168"/>
        <v>0</v>
      </c>
      <c r="N346" s="480"/>
      <c r="O346" s="477">
        <f t="shared" si="169"/>
        <v>0</v>
      </c>
      <c r="P346" s="480"/>
      <c r="Q346" s="477">
        <f t="shared" si="170"/>
        <v>0</v>
      </c>
      <c r="R346" s="480"/>
      <c r="S346" s="477">
        <f t="shared" ca="1" si="171"/>
        <v>0</v>
      </c>
      <c r="T346" s="475">
        <f t="shared" ca="1" si="172"/>
        <v>0</v>
      </c>
      <c r="U346" s="480"/>
      <c r="V346" s="477">
        <f t="shared" si="173"/>
        <v>0</v>
      </c>
      <c r="W346" s="480"/>
      <c r="X346" s="477">
        <f t="shared" si="174"/>
        <v>0</v>
      </c>
      <c r="Y346" s="480"/>
      <c r="Z346" s="477">
        <f t="shared" si="175"/>
        <v>0</v>
      </c>
      <c r="AA346" s="480"/>
      <c r="AB346" s="477">
        <f t="shared" ca="1" si="176"/>
        <v>0</v>
      </c>
      <c r="AC346" s="475">
        <f t="shared" ca="1" si="177"/>
        <v>0</v>
      </c>
      <c r="AD346" s="480"/>
      <c r="AE346" s="477">
        <f t="shared" si="178"/>
        <v>0</v>
      </c>
      <c r="AF346" s="480"/>
      <c r="AG346" s="477">
        <f t="shared" si="179"/>
        <v>0</v>
      </c>
      <c r="AH346" s="480"/>
      <c r="AI346" s="477">
        <f t="shared" si="180"/>
        <v>0</v>
      </c>
      <c r="AJ346" s="480"/>
      <c r="AK346" s="477">
        <f t="shared" ca="1" si="181"/>
        <v>0</v>
      </c>
      <c r="AL346" s="475">
        <f t="shared" ca="1" si="182"/>
        <v>0</v>
      </c>
      <c r="AM346" s="480"/>
      <c r="AN346" s="477">
        <f t="shared" si="183"/>
        <v>0</v>
      </c>
      <c r="AO346" s="480"/>
      <c r="AP346" s="477">
        <f t="shared" si="184"/>
        <v>0</v>
      </c>
      <c r="AQ346" s="480"/>
      <c r="AR346" s="477">
        <f t="shared" si="185"/>
        <v>0</v>
      </c>
      <c r="AS346" s="480"/>
      <c r="AT346" s="477">
        <f t="shared" ca="1" si="186"/>
        <v>0</v>
      </c>
      <c r="AU346" s="475">
        <f t="shared" ca="1" si="187"/>
        <v>0</v>
      </c>
      <c r="AV346" s="480"/>
      <c r="AW346" s="477">
        <f t="shared" si="188"/>
        <v>0</v>
      </c>
      <c r="AX346" s="480"/>
      <c r="AY346" s="477">
        <f t="shared" si="189"/>
        <v>0</v>
      </c>
      <c r="AZ346" s="480"/>
      <c r="BA346" s="477">
        <f t="shared" si="190"/>
        <v>0</v>
      </c>
      <c r="BB346" s="480"/>
      <c r="BC346" s="850">
        <f t="shared" ca="1" si="191"/>
        <v>0</v>
      </c>
    </row>
    <row r="347" spans="1:55">
      <c r="A347" s="837" t="str">
        <f t="shared" si="162"/>
        <v/>
      </c>
      <c r="B347" s="440"/>
      <c r="C347" s="834" t="str">
        <f t="shared" ca="1" si="163"/>
        <v/>
      </c>
      <c r="D347" s="1757" t="str">
        <f ca="1">IFERROR(VLOOKUP(LEFT(E347,4),Nom_activ_2!D:G,4,0),"")</f>
        <v/>
      </c>
      <c r="E347" s="1757" t="str">
        <f t="shared" ca="1" si="164"/>
        <v/>
      </c>
      <c r="F347" s="1777">
        <f t="shared" ref="F347:H366" ca="1" si="192">IFERROR(VLOOKUP($B347,INDIRECT($J347),F$5,0),0)</f>
        <v>0</v>
      </c>
      <c r="G347" s="839">
        <f t="shared" ca="1" si="192"/>
        <v>0</v>
      </c>
      <c r="H347" s="840">
        <f t="shared" ca="1" si="192"/>
        <v>0</v>
      </c>
      <c r="I347" s="443"/>
      <c r="J347" s="838" t="str">
        <f t="shared" si="166"/>
        <v>!$A:$j</v>
      </c>
      <c r="K347" s="475">
        <f t="shared" ca="1" si="167"/>
        <v>0</v>
      </c>
      <c r="L347" s="480"/>
      <c r="M347" s="477">
        <f t="shared" si="168"/>
        <v>0</v>
      </c>
      <c r="N347" s="480"/>
      <c r="O347" s="477">
        <f t="shared" si="169"/>
        <v>0</v>
      </c>
      <c r="P347" s="480"/>
      <c r="Q347" s="477">
        <f t="shared" si="170"/>
        <v>0</v>
      </c>
      <c r="R347" s="480"/>
      <c r="S347" s="477">
        <f t="shared" ca="1" si="171"/>
        <v>0</v>
      </c>
      <c r="T347" s="475">
        <f t="shared" ca="1" si="172"/>
        <v>0</v>
      </c>
      <c r="U347" s="480"/>
      <c r="V347" s="477">
        <f t="shared" si="173"/>
        <v>0</v>
      </c>
      <c r="W347" s="480"/>
      <c r="X347" s="477">
        <f t="shared" si="174"/>
        <v>0</v>
      </c>
      <c r="Y347" s="480"/>
      <c r="Z347" s="477">
        <f t="shared" si="175"/>
        <v>0</v>
      </c>
      <c r="AA347" s="480"/>
      <c r="AB347" s="477">
        <f t="shared" ca="1" si="176"/>
        <v>0</v>
      </c>
      <c r="AC347" s="475">
        <f t="shared" ca="1" si="177"/>
        <v>0</v>
      </c>
      <c r="AD347" s="480"/>
      <c r="AE347" s="477">
        <f t="shared" si="178"/>
        <v>0</v>
      </c>
      <c r="AF347" s="480"/>
      <c r="AG347" s="477">
        <f t="shared" si="179"/>
        <v>0</v>
      </c>
      <c r="AH347" s="480"/>
      <c r="AI347" s="477">
        <f t="shared" si="180"/>
        <v>0</v>
      </c>
      <c r="AJ347" s="480"/>
      <c r="AK347" s="477">
        <f t="shared" ca="1" si="181"/>
        <v>0</v>
      </c>
      <c r="AL347" s="475">
        <f t="shared" ca="1" si="182"/>
        <v>0</v>
      </c>
      <c r="AM347" s="480"/>
      <c r="AN347" s="477">
        <f t="shared" si="183"/>
        <v>0</v>
      </c>
      <c r="AO347" s="480"/>
      <c r="AP347" s="477">
        <f t="shared" si="184"/>
        <v>0</v>
      </c>
      <c r="AQ347" s="480"/>
      <c r="AR347" s="477">
        <f t="shared" si="185"/>
        <v>0</v>
      </c>
      <c r="AS347" s="480"/>
      <c r="AT347" s="477">
        <f t="shared" ca="1" si="186"/>
        <v>0</v>
      </c>
      <c r="AU347" s="475">
        <f t="shared" ca="1" si="187"/>
        <v>0</v>
      </c>
      <c r="AV347" s="480"/>
      <c r="AW347" s="477">
        <f t="shared" si="188"/>
        <v>0</v>
      </c>
      <c r="AX347" s="480"/>
      <c r="AY347" s="477">
        <f t="shared" si="189"/>
        <v>0</v>
      </c>
      <c r="AZ347" s="480"/>
      <c r="BA347" s="477">
        <f t="shared" si="190"/>
        <v>0</v>
      </c>
      <c r="BB347" s="480"/>
      <c r="BC347" s="850">
        <f t="shared" ca="1" si="191"/>
        <v>0</v>
      </c>
    </row>
    <row r="348" spans="1:55">
      <c r="A348" s="837" t="str">
        <f t="shared" si="162"/>
        <v/>
      </c>
      <c r="B348" s="440"/>
      <c r="C348" s="834" t="str">
        <f t="shared" ca="1" si="163"/>
        <v/>
      </c>
      <c r="D348" s="1757" t="str">
        <f ca="1">IFERROR(VLOOKUP(LEFT(E348,4),Nom_activ_2!D:G,4,0),"")</f>
        <v/>
      </c>
      <c r="E348" s="1757" t="str">
        <f t="shared" ca="1" si="164"/>
        <v/>
      </c>
      <c r="F348" s="1777">
        <f t="shared" ca="1" si="192"/>
        <v>0</v>
      </c>
      <c r="G348" s="839">
        <f t="shared" ca="1" si="192"/>
        <v>0</v>
      </c>
      <c r="H348" s="840">
        <f t="shared" ca="1" si="192"/>
        <v>0</v>
      </c>
      <c r="I348" s="443"/>
      <c r="J348" s="838" t="str">
        <f t="shared" si="166"/>
        <v>!$A:$j</v>
      </c>
      <c r="K348" s="475">
        <f t="shared" ca="1" si="167"/>
        <v>0</v>
      </c>
      <c r="L348" s="480"/>
      <c r="M348" s="477">
        <f t="shared" si="168"/>
        <v>0</v>
      </c>
      <c r="N348" s="480"/>
      <c r="O348" s="477">
        <f t="shared" si="169"/>
        <v>0</v>
      </c>
      <c r="P348" s="480"/>
      <c r="Q348" s="477">
        <f t="shared" si="170"/>
        <v>0</v>
      </c>
      <c r="R348" s="480"/>
      <c r="S348" s="477">
        <f t="shared" ca="1" si="171"/>
        <v>0</v>
      </c>
      <c r="T348" s="475">
        <f t="shared" ca="1" si="172"/>
        <v>0</v>
      </c>
      <c r="U348" s="480"/>
      <c r="V348" s="477">
        <f t="shared" si="173"/>
        <v>0</v>
      </c>
      <c r="W348" s="480"/>
      <c r="X348" s="477">
        <f t="shared" si="174"/>
        <v>0</v>
      </c>
      <c r="Y348" s="480"/>
      <c r="Z348" s="477">
        <f t="shared" si="175"/>
        <v>0</v>
      </c>
      <c r="AA348" s="480"/>
      <c r="AB348" s="477">
        <f t="shared" ca="1" si="176"/>
        <v>0</v>
      </c>
      <c r="AC348" s="475">
        <f t="shared" ca="1" si="177"/>
        <v>0</v>
      </c>
      <c r="AD348" s="480"/>
      <c r="AE348" s="477">
        <f t="shared" si="178"/>
        <v>0</v>
      </c>
      <c r="AF348" s="480"/>
      <c r="AG348" s="477">
        <f t="shared" si="179"/>
        <v>0</v>
      </c>
      <c r="AH348" s="480"/>
      <c r="AI348" s="477">
        <f t="shared" si="180"/>
        <v>0</v>
      </c>
      <c r="AJ348" s="480"/>
      <c r="AK348" s="477">
        <f t="shared" ca="1" si="181"/>
        <v>0</v>
      </c>
      <c r="AL348" s="475">
        <f t="shared" ca="1" si="182"/>
        <v>0</v>
      </c>
      <c r="AM348" s="480"/>
      <c r="AN348" s="477">
        <f t="shared" si="183"/>
        <v>0</v>
      </c>
      <c r="AO348" s="480"/>
      <c r="AP348" s="477">
        <f t="shared" si="184"/>
        <v>0</v>
      </c>
      <c r="AQ348" s="480"/>
      <c r="AR348" s="477">
        <f t="shared" si="185"/>
        <v>0</v>
      </c>
      <c r="AS348" s="480"/>
      <c r="AT348" s="477">
        <f t="shared" ca="1" si="186"/>
        <v>0</v>
      </c>
      <c r="AU348" s="475">
        <f t="shared" ca="1" si="187"/>
        <v>0</v>
      </c>
      <c r="AV348" s="480"/>
      <c r="AW348" s="477">
        <f t="shared" si="188"/>
        <v>0</v>
      </c>
      <c r="AX348" s="480"/>
      <c r="AY348" s="477">
        <f t="shared" si="189"/>
        <v>0</v>
      </c>
      <c r="AZ348" s="480"/>
      <c r="BA348" s="477">
        <f t="shared" si="190"/>
        <v>0</v>
      </c>
      <c r="BB348" s="480"/>
      <c r="BC348" s="850">
        <f t="shared" ca="1" si="191"/>
        <v>0</v>
      </c>
    </row>
    <row r="349" spans="1:55">
      <c r="A349" s="837" t="str">
        <f t="shared" si="162"/>
        <v/>
      </c>
      <c r="B349" s="440"/>
      <c r="C349" s="834" t="str">
        <f t="shared" ca="1" si="163"/>
        <v/>
      </c>
      <c r="D349" s="1757" t="str">
        <f ca="1">IFERROR(VLOOKUP(LEFT(E349,4),Nom_activ_2!D:G,4,0),"")</f>
        <v/>
      </c>
      <c r="E349" s="1757" t="str">
        <f t="shared" ca="1" si="164"/>
        <v/>
      </c>
      <c r="F349" s="1777">
        <f t="shared" ca="1" si="192"/>
        <v>0</v>
      </c>
      <c r="G349" s="839">
        <f t="shared" ca="1" si="192"/>
        <v>0</v>
      </c>
      <c r="H349" s="840">
        <f t="shared" ca="1" si="192"/>
        <v>0</v>
      </c>
      <c r="I349" s="443"/>
      <c r="J349" s="838" t="str">
        <f t="shared" si="166"/>
        <v>!$A:$j</v>
      </c>
      <c r="K349" s="475">
        <f t="shared" ca="1" si="167"/>
        <v>0</v>
      </c>
      <c r="L349" s="480"/>
      <c r="M349" s="477">
        <f t="shared" si="168"/>
        <v>0</v>
      </c>
      <c r="N349" s="480"/>
      <c r="O349" s="477">
        <f t="shared" si="169"/>
        <v>0</v>
      </c>
      <c r="P349" s="480"/>
      <c r="Q349" s="477">
        <f t="shared" si="170"/>
        <v>0</v>
      </c>
      <c r="R349" s="480"/>
      <c r="S349" s="477">
        <f t="shared" ca="1" si="171"/>
        <v>0</v>
      </c>
      <c r="T349" s="475">
        <f t="shared" ca="1" si="172"/>
        <v>0</v>
      </c>
      <c r="U349" s="480"/>
      <c r="V349" s="477">
        <f t="shared" si="173"/>
        <v>0</v>
      </c>
      <c r="W349" s="480"/>
      <c r="X349" s="477">
        <f t="shared" si="174"/>
        <v>0</v>
      </c>
      <c r="Y349" s="480"/>
      <c r="Z349" s="477">
        <f t="shared" si="175"/>
        <v>0</v>
      </c>
      <c r="AA349" s="480"/>
      <c r="AB349" s="477">
        <f t="shared" ca="1" si="176"/>
        <v>0</v>
      </c>
      <c r="AC349" s="475">
        <f t="shared" ca="1" si="177"/>
        <v>0</v>
      </c>
      <c r="AD349" s="480"/>
      <c r="AE349" s="477">
        <f t="shared" si="178"/>
        <v>0</v>
      </c>
      <c r="AF349" s="480"/>
      <c r="AG349" s="477">
        <f t="shared" si="179"/>
        <v>0</v>
      </c>
      <c r="AH349" s="480"/>
      <c r="AI349" s="477">
        <f t="shared" si="180"/>
        <v>0</v>
      </c>
      <c r="AJ349" s="480"/>
      <c r="AK349" s="477">
        <f t="shared" ca="1" si="181"/>
        <v>0</v>
      </c>
      <c r="AL349" s="475">
        <f t="shared" ca="1" si="182"/>
        <v>0</v>
      </c>
      <c r="AM349" s="480"/>
      <c r="AN349" s="477">
        <f t="shared" si="183"/>
        <v>0</v>
      </c>
      <c r="AO349" s="480"/>
      <c r="AP349" s="477">
        <f t="shared" si="184"/>
        <v>0</v>
      </c>
      <c r="AQ349" s="480"/>
      <c r="AR349" s="477">
        <f t="shared" si="185"/>
        <v>0</v>
      </c>
      <c r="AS349" s="480"/>
      <c r="AT349" s="477">
        <f t="shared" ca="1" si="186"/>
        <v>0</v>
      </c>
      <c r="AU349" s="475">
        <f t="shared" ca="1" si="187"/>
        <v>0</v>
      </c>
      <c r="AV349" s="480"/>
      <c r="AW349" s="477">
        <f t="shared" si="188"/>
        <v>0</v>
      </c>
      <c r="AX349" s="480"/>
      <c r="AY349" s="477">
        <f t="shared" si="189"/>
        <v>0</v>
      </c>
      <c r="AZ349" s="480"/>
      <c r="BA349" s="477">
        <f t="shared" si="190"/>
        <v>0</v>
      </c>
      <c r="BB349" s="480"/>
      <c r="BC349" s="850">
        <f t="shared" ca="1" si="191"/>
        <v>0</v>
      </c>
    </row>
    <row r="350" spans="1:55">
      <c r="A350" s="837" t="str">
        <f t="shared" si="162"/>
        <v/>
      </c>
      <c r="B350" s="440"/>
      <c r="C350" s="834" t="str">
        <f t="shared" ca="1" si="163"/>
        <v/>
      </c>
      <c r="D350" s="1757" t="str">
        <f ca="1">IFERROR(VLOOKUP(LEFT(E350,4),Nom_activ_2!D:G,4,0),"")</f>
        <v/>
      </c>
      <c r="E350" s="1757" t="str">
        <f t="shared" ca="1" si="164"/>
        <v/>
      </c>
      <c r="F350" s="1777">
        <f t="shared" ca="1" si="192"/>
        <v>0</v>
      </c>
      <c r="G350" s="839">
        <f t="shared" ca="1" si="192"/>
        <v>0</v>
      </c>
      <c r="H350" s="840">
        <f t="shared" ca="1" si="192"/>
        <v>0</v>
      </c>
      <c r="I350" s="443"/>
      <c r="J350" s="838" t="str">
        <f t="shared" si="166"/>
        <v>!$A:$j</v>
      </c>
      <c r="K350" s="475">
        <f t="shared" ca="1" si="167"/>
        <v>0</v>
      </c>
      <c r="L350" s="480"/>
      <c r="M350" s="477">
        <f t="shared" si="168"/>
        <v>0</v>
      </c>
      <c r="N350" s="480"/>
      <c r="O350" s="477">
        <f t="shared" si="169"/>
        <v>0</v>
      </c>
      <c r="P350" s="480"/>
      <c r="Q350" s="477">
        <f t="shared" si="170"/>
        <v>0</v>
      </c>
      <c r="R350" s="480"/>
      <c r="S350" s="477">
        <f t="shared" ca="1" si="171"/>
        <v>0</v>
      </c>
      <c r="T350" s="475">
        <f t="shared" ca="1" si="172"/>
        <v>0</v>
      </c>
      <c r="U350" s="480"/>
      <c r="V350" s="477">
        <f t="shared" si="173"/>
        <v>0</v>
      </c>
      <c r="W350" s="480"/>
      <c r="X350" s="477">
        <f t="shared" si="174"/>
        <v>0</v>
      </c>
      <c r="Y350" s="480"/>
      <c r="Z350" s="477">
        <f t="shared" si="175"/>
        <v>0</v>
      </c>
      <c r="AA350" s="480"/>
      <c r="AB350" s="477">
        <f t="shared" ca="1" si="176"/>
        <v>0</v>
      </c>
      <c r="AC350" s="475">
        <f t="shared" ca="1" si="177"/>
        <v>0</v>
      </c>
      <c r="AD350" s="480"/>
      <c r="AE350" s="477">
        <f t="shared" si="178"/>
        <v>0</v>
      </c>
      <c r="AF350" s="480"/>
      <c r="AG350" s="477">
        <f t="shared" si="179"/>
        <v>0</v>
      </c>
      <c r="AH350" s="480"/>
      <c r="AI350" s="477">
        <f t="shared" si="180"/>
        <v>0</v>
      </c>
      <c r="AJ350" s="480"/>
      <c r="AK350" s="477">
        <f t="shared" ca="1" si="181"/>
        <v>0</v>
      </c>
      <c r="AL350" s="475">
        <f t="shared" ca="1" si="182"/>
        <v>0</v>
      </c>
      <c r="AM350" s="480"/>
      <c r="AN350" s="477">
        <f t="shared" si="183"/>
        <v>0</v>
      </c>
      <c r="AO350" s="480"/>
      <c r="AP350" s="477">
        <f t="shared" si="184"/>
        <v>0</v>
      </c>
      <c r="AQ350" s="480"/>
      <c r="AR350" s="477">
        <f t="shared" si="185"/>
        <v>0</v>
      </c>
      <c r="AS350" s="480"/>
      <c r="AT350" s="477">
        <f t="shared" ca="1" si="186"/>
        <v>0</v>
      </c>
      <c r="AU350" s="475">
        <f t="shared" ca="1" si="187"/>
        <v>0</v>
      </c>
      <c r="AV350" s="480"/>
      <c r="AW350" s="477">
        <f t="shared" si="188"/>
        <v>0</v>
      </c>
      <c r="AX350" s="480"/>
      <c r="AY350" s="477">
        <f t="shared" si="189"/>
        <v>0</v>
      </c>
      <c r="AZ350" s="480"/>
      <c r="BA350" s="477">
        <f t="shared" si="190"/>
        <v>0</v>
      </c>
      <c r="BB350" s="480"/>
      <c r="BC350" s="850">
        <f t="shared" ca="1" si="191"/>
        <v>0</v>
      </c>
    </row>
    <row r="351" spans="1:55">
      <c r="A351" s="837" t="str">
        <f t="shared" si="162"/>
        <v/>
      </c>
      <c r="B351" s="440"/>
      <c r="C351" s="834" t="str">
        <f t="shared" ca="1" si="163"/>
        <v/>
      </c>
      <c r="D351" s="1757" t="str">
        <f ca="1">IFERROR(VLOOKUP(LEFT(E351,4),Nom_activ_2!D:G,4,0),"")</f>
        <v/>
      </c>
      <c r="E351" s="1757" t="str">
        <f t="shared" ca="1" si="164"/>
        <v/>
      </c>
      <c r="F351" s="1777">
        <f t="shared" ca="1" si="192"/>
        <v>0</v>
      </c>
      <c r="G351" s="839">
        <f t="shared" ca="1" si="192"/>
        <v>0</v>
      </c>
      <c r="H351" s="840">
        <f t="shared" ca="1" si="192"/>
        <v>0</v>
      </c>
      <c r="I351" s="443"/>
      <c r="J351" s="838" t="str">
        <f t="shared" si="166"/>
        <v>!$A:$j</v>
      </c>
      <c r="K351" s="475">
        <f t="shared" ca="1" si="167"/>
        <v>0</v>
      </c>
      <c r="L351" s="480"/>
      <c r="M351" s="477">
        <f t="shared" si="168"/>
        <v>0</v>
      </c>
      <c r="N351" s="480"/>
      <c r="O351" s="477">
        <f t="shared" si="169"/>
        <v>0</v>
      </c>
      <c r="P351" s="480"/>
      <c r="Q351" s="477">
        <f t="shared" si="170"/>
        <v>0</v>
      </c>
      <c r="R351" s="480"/>
      <c r="S351" s="477">
        <f t="shared" ca="1" si="171"/>
        <v>0</v>
      </c>
      <c r="T351" s="475">
        <f t="shared" ca="1" si="172"/>
        <v>0</v>
      </c>
      <c r="U351" s="480"/>
      <c r="V351" s="477">
        <f t="shared" si="173"/>
        <v>0</v>
      </c>
      <c r="W351" s="480"/>
      <c r="X351" s="477">
        <f t="shared" si="174"/>
        <v>0</v>
      </c>
      <c r="Y351" s="480"/>
      <c r="Z351" s="477">
        <f t="shared" si="175"/>
        <v>0</v>
      </c>
      <c r="AA351" s="480"/>
      <c r="AB351" s="477">
        <f t="shared" ca="1" si="176"/>
        <v>0</v>
      </c>
      <c r="AC351" s="475">
        <f t="shared" ca="1" si="177"/>
        <v>0</v>
      </c>
      <c r="AD351" s="480"/>
      <c r="AE351" s="477">
        <f t="shared" si="178"/>
        <v>0</v>
      </c>
      <c r="AF351" s="480"/>
      <c r="AG351" s="477">
        <f t="shared" si="179"/>
        <v>0</v>
      </c>
      <c r="AH351" s="480"/>
      <c r="AI351" s="477">
        <f t="shared" si="180"/>
        <v>0</v>
      </c>
      <c r="AJ351" s="480"/>
      <c r="AK351" s="477">
        <f t="shared" ca="1" si="181"/>
        <v>0</v>
      </c>
      <c r="AL351" s="475">
        <f t="shared" ca="1" si="182"/>
        <v>0</v>
      </c>
      <c r="AM351" s="480"/>
      <c r="AN351" s="477">
        <f t="shared" si="183"/>
        <v>0</v>
      </c>
      <c r="AO351" s="480"/>
      <c r="AP351" s="477">
        <f t="shared" si="184"/>
        <v>0</v>
      </c>
      <c r="AQ351" s="480"/>
      <c r="AR351" s="477">
        <f t="shared" si="185"/>
        <v>0</v>
      </c>
      <c r="AS351" s="480"/>
      <c r="AT351" s="477">
        <f t="shared" ca="1" si="186"/>
        <v>0</v>
      </c>
      <c r="AU351" s="475">
        <f t="shared" ca="1" si="187"/>
        <v>0</v>
      </c>
      <c r="AV351" s="480"/>
      <c r="AW351" s="477">
        <f t="shared" si="188"/>
        <v>0</v>
      </c>
      <c r="AX351" s="480"/>
      <c r="AY351" s="477">
        <f t="shared" si="189"/>
        <v>0</v>
      </c>
      <c r="AZ351" s="480"/>
      <c r="BA351" s="477">
        <f t="shared" si="190"/>
        <v>0</v>
      </c>
      <c r="BB351" s="480"/>
      <c r="BC351" s="850">
        <f t="shared" ca="1" si="191"/>
        <v>0</v>
      </c>
    </row>
    <row r="352" spans="1:55">
      <c r="A352" s="837" t="str">
        <f t="shared" si="162"/>
        <v/>
      </c>
      <c r="B352" s="440"/>
      <c r="C352" s="834" t="str">
        <f t="shared" ca="1" si="163"/>
        <v/>
      </c>
      <c r="D352" s="1757" t="str">
        <f ca="1">IFERROR(VLOOKUP(LEFT(E352,4),Nom_activ_2!D:G,4,0),"")</f>
        <v/>
      </c>
      <c r="E352" s="1757" t="str">
        <f t="shared" ca="1" si="164"/>
        <v/>
      </c>
      <c r="F352" s="1777">
        <f t="shared" ca="1" si="192"/>
        <v>0</v>
      </c>
      <c r="G352" s="839">
        <f t="shared" ca="1" si="192"/>
        <v>0</v>
      </c>
      <c r="H352" s="840">
        <f t="shared" ca="1" si="192"/>
        <v>0</v>
      </c>
      <c r="I352" s="443"/>
      <c r="J352" s="838" t="str">
        <f t="shared" si="166"/>
        <v>!$A:$j</v>
      </c>
      <c r="K352" s="475">
        <f t="shared" ca="1" si="167"/>
        <v>0</v>
      </c>
      <c r="L352" s="480"/>
      <c r="M352" s="477">
        <f t="shared" si="168"/>
        <v>0</v>
      </c>
      <c r="N352" s="480"/>
      <c r="O352" s="477">
        <f t="shared" si="169"/>
        <v>0</v>
      </c>
      <c r="P352" s="480"/>
      <c r="Q352" s="477">
        <f t="shared" si="170"/>
        <v>0</v>
      </c>
      <c r="R352" s="480"/>
      <c r="S352" s="477">
        <f t="shared" ca="1" si="171"/>
        <v>0</v>
      </c>
      <c r="T352" s="475">
        <f t="shared" ca="1" si="172"/>
        <v>0</v>
      </c>
      <c r="U352" s="480"/>
      <c r="V352" s="477">
        <f t="shared" si="173"/>
        <v>0</v>
      </c>
      <c r="W352" s="480"/>
      <c r="X352" s="477">
        <f t="shared" si="174"/>
        <v>0</v>
      </c>
      <c r="Y352" s="480"/>
      <c r="Z352" s="477">
        <f t="shared" si="175"/>
        <v>0</v>
      </c>
      <c r="AA352" s="480"/>
      <c r="AB352" s="477">
        <f t="shared" ca="1" si="176"/>
        <v>0</v>
      </c>
      <c r="AC352" s="475">
        <f t="shared" ca="1" si="177"/>
        <v>0</v>
      </c>
      <c r="AD352" s="480"/>
      <c r="AE352" s="477">
        <f t="shared" si="178"/>
        <v>0</v>
      </c>
      <c r="AF352" s="480"/>
      <c r="AG352" s="477">
        <f t="shared" si="179"/>
        <v>0</v>
      </c>
      <c r="AH352" s="480"/>
      <c r="AI352" s="477">
        <f t="shared" si="180"/>
        <v>0</v>
      </c>
      <c r="AJ352" s="480"/>
      <c r="AK352" s="477">
        <f t="shared" ca="1" si="181"/>
        <v>0</v>
      </c>
      <c r="AL352" s="475">
        <f t="shared" ca="1" si="182"/>
        <v>0</v>
      </c>
      <c r="AM352" s="480"/>
      <c r="AN352" s="477">
        <f t="shared" si="183"/>
        <v>0</v>
      </c>
      <c r="AO352" s="480"/>
      <c r="AP352" s="477">
        <f t="shared" si="184"/>
        <v>0</v>
      </c>
      <c r="AQ352" s="480"/>
      <c r="AR352" s="477">
        <f t="shared" si="185"/>
        <v>0</v>
      </c>
      <c r="AS352" s="480"/>
      <c r="AT352" s="477">
        <f t="shared" ca="1" si="186"/>
        <v>0</v>
      </c>
      <c r="AU352" s="475">
        <f t="shared" ca="1" si="187"/>
        <v>0</v>
      </c>
      <c r="AV352" s="480"/>
      <c r="AW352" s="477">
        <f t="shared" si="188"/>
        <v>0</v>
      </c>
      <c r="AX352" s="480"/>
      <c r="AY352" s="477">
        <f t="shared" si="189"/>
        <v>0</v>
      </c>
      <c r="AZ352" s="480"/>
      <c r="BA352" s="477">
        <f t="shared" si="190"/>
        <v>0</v>
      </c>
      <c r="BB352" s="480"/>
      <c r="BC352" s="850">
        <f t="shared" ca="1" si="191"/>
        <v>0</v>
      </c>
    </row>
    <row r="353" spans="1:55">
      <c r="A353" s="837" t="str">
        <f t="shared" si="162"/>
        <v/>
      </c>
      <c r="B353" s="440"/>
      <c r="C353" s="834" t="str">
        <f t="shared" ca="1" si="163"/>
        <v/>
      </c>
      <c r="D353" s="1757" t="str">
        <f ca="1">IFERROR(VLOOKUP(LEFT(E353,4),Nom_activ_2!D:G,4,0),"")</f>
        <v/>
      </c>
      <c r="E353" s="1757" t="str">
        <f t="shared" ca="1" si="164"/>
        <v/>
      </c>
      <c r="F353" s="1777">
        <f t="shared" ca="1" si="192"/>
        <v>0</v>
      </c>
      <c r="G353" s="839">
        <f t="shared" ca="1" si="192"/>
        <v>0</v>
      </c>
      <c r="H353" s="840">
        <f t="shared" ca="1" si="192"/>
        <v>0</v>
      </c>
      <c r="I353" s="443"/>
      <c r="J353" s="838" t="str">
        <f t="shared" si="166"/>
        <v>!$A:$j</v>
      </c>
      <c r="K353" s="475">
        <f t="shared" ca="1" si="167"/>
        <v>0</v>
      </c>
      <c r="L353" s="480"/>
      <c r="M353" s="477">
        <f t="shared" si="168"/>
        <v>0</v>
      </c>
      <c r="N353" s="480"/>
      <c r="O353" s="477">
        <f t="shared" si="169"/>
        <v>0</v>
      </c>
      <c r="P353" s="480"/>
      <c r="Q353" s="477">
        <f t="shared" si="170"/>
        <v>0</v>
      </c>
      <c r="R353" s="480"/>
      <c r="S353" s="477">
        <f t="shared" ca="1" si="171"/>
        <v>0</v>
      </c>
      <c r="T353" s="475">
        <f t="shared" ca="1" si="172"/>
        <v>0</v>
      </c>
      <c r="U353" s="480"/>
      <c r="V353" s="477">
        <f t="shared" si="173"/>
        <v>0</v>
      </c>
      <c r="W353" s="480"/>
      <c r="X353" s="477">
        <f t="shared" si="174"/>
        <v>0</v>
      </c>
      <c r="Y353" s="480"/>
      <c r="Z353" s="477">
        <f t="shared" si="175"/>
        <v>0</v>
      </c>
      <c r="AA353" s="480"/>
      <c r="AB353" s="477">
        <f t="shared" ca="1" si="176"/>
        <v>0</v>
      </c>
      <c r="AC353" s="475">
        <f t="shared" ca="1" si="177"/>
        <v>0</v>
      </c>
      <c r="AD353" s="480"/>
      <c r="AE353" s="477">
        <f t="shared" si="178"/>
        <v>0</v>
      </c>
      <c r="AF353" s="480"/>
      <c r="AG353" s="477">
        <f t="shared" si="179"/>
        <v>0</v>
      </c>
      <c r="AH353" s="480"/>
      <c r="AI353" s="477">
        <f t="shared" si="180"/>
        <v>0</v>
      </c>
      <c r="AJ353" s="480"/>
      <c r="AK353" s="477">
        <f t="shared" ca="1" si="181"/>
        <v>0</v>
      </c>
      <c r="AL353" s="475">
        <f t="shared" ca="1" si="182"/>
        <v>0</v>
      </c>
      <c r="AM353" s="480"/>
      <c r="AN353" s="477">
        <f t="shared" si="183"/>
        <v>0</v>
      </c>
      <c r="AO353" s="480"/>
      <c r="AP353" s="477">
        <f t="shared" si="184"/>
        <v>0</v>
      </c>
      <c r="AQ353" s="480"/>
      <c r="AR353" s="477">
        <f t="shared" si="185"/>
        <v>0</v>
      </c>
      <c r="AS353" s="480"/>
      <c r="AT353" s="477">
        <f t="shared" ca="1" si="186"/>
        <v>0</v>
      </c>
      <c r="AU353" s="475">
        <f t="shared" ca="1" si="187"/>
        <v>0</v>
      </c>
      <c r="AV353" s="480"/>
      <c r="AW353" s="477">
        <f t="shared" si="188"/>
        <v>0</v>
      </c>
      <c r="AX353" s="480"/>
      <c r="AY353" s="477">
        <f t="shared" si="189"/>
        <v>0</v>
      </c>
      <c r="AZ353" s="480"/>
      <c r="BA353" s="477">
        <f t="shared" si="190"/>
        <v>0</v>
      </c>
      <c r="BB353" s="480"/>
      <c r="BC353" s="850">
        <f t="shared" ca="1" si="191"/>
        <v>0</v>
      </c>
    </row>
    <row r="354" spans="1:55">
      <c r="A354" s="837" t="str">
        <f t="shared" si="162"/>
        <v/>
      </c>
      <c r="B354" s="440"/>
      <c r="C354" s="834" t="str">
        <f t="shared" ca="1" si="163"/>
        <v/>
      </c>
      <c r="D354" s="1757" t="str">
        <f ca="1">IFERROR(VLOOKUP(LEFT(E354,4),Nom_activ_2!D:G,4,0),"")</f>
        <v/>
      </c>
      <c r="E354" s="1757" t="str">
        <f t="shared" ca="1" si="164"/>
        <v/>
      </c>
      <c r="F354" s="1777">
        <f t="shared" ca="1" si="192"/>
        <v>0</v>
      </c>
      <c r="G354" s="839">
        <f t="shared" ca="1" si="192"/>
        <v>0</v>
      </c>
      <c r="H354" s="840">
        <f t="shared" ca="1" si="192"/>
        <v>0</v>
      </c>
      <c r="I354" s="443"/>
      <c r="J354" s="838" t="str">
        <f t="shared" si="166"/>
        <v>!$A:$j</v>
      </c>
      <c r="K354" s="475">
        <f t="shared" ca="1" si="167"/>
        <v>0</v>
      </c>
      <c r="L354" s="480"/>
      <c r="M354" s="477">
        <f t="shared" si="168"/>
        <v>0</v>
      </c>
      <c r="N354" s="480"/>
      <c r="O354" s="477">
        <f t="shared" si="169"/>
        <v>0</v>
      </c>
      <c r="P354" s="480"/>
      <c r="Q354" s="477">
        <f t="shared" si="170"/>
        <v>0</v>
      </c>
      <c r="R354" s="480"/>
      <c r="S354" s="477">
        <f t="shared" ca="1" si="171"/>
        <v>0</v>
      </c>
      <c r="T354" s="475">
        <f t="shared" ca="1" si="172"/>
        <v>0</v>
      </c>
      <c r="U354" s="480"/>
      <c r="V354" s="477">
        <f t="shared" si="173"/>
        <v>0</v>
      </c>
      <c r="W354" s="480"/>
      <c r="X354" s="477">
        <f t="shared" si="174"/>
        <v>0</v>
      </c>
      <c r="Y354" s="480"/>
      <c r="Z354" s="477">
        <f t="shared" si="175"/>
        <v>0</v>
      </c>
      <c r="AA354" s="480"/>
      <c r="AB354" s="477">
        <f t="shared" ca="1" si="176"/>
        <v>0</v>
      </c>
      <c r="AC354" s="475">
        <f t="shared" ca="1" si="177"/>
        <v>0</v>
      </c>
      <c r="AD354" s="480"/>
      <c r="AE354" s="477">
        <f t="shared" si="178"/>
        <v>0</v>
      </c>
      <c r="AF354" s="480"/>
      <c r="AG354" s="477">
        <f t="shared" si="179"/>
        <v>0</v>
      </c>
      <c r="AH354" s="480"/>
      <c r="AI354" s="477">
        <f t="shared" si="180"/>
        <v>0</v>
      </c>
      <c r="AJ354" s="480"/>
      <c r="AK354" s="477">
        <f t="shared" ca="1" si="181"/>
        <v>0</v>
      </c>
      <c r="AL354" s="475">
        <f t="shared" ca="1" si="182"/>
        <v>0</v>
      </c>
      <c r="AM354" s="480"/>
      <c r="AN354" s="477">
        <f t="shared" si="183"/>
        <v>0</v>
      </c>
      <c r="AO354" s="480"/>
      <c r="AP354" s="477">
        <f t="shared" si="184"/>
        <v>0</v>
      </c>
      <c r="AQ354" s="480"/>
      <c r="AR354" s="477">
        <f t="shared" si="185"/>
        <v>0</v>
      </c>
      <c r="AS354" s="480"/>
      <c r="AT354" s="477">
        <f t="shared" ca="1" si="186"/>
        <v>0</v>
      </c>
      <c r="AU354" s="475">
        <f t="shared" ca="1" si="187"/>
        <v>0</v>
      </c>
      <c r="AV354" s="480"/>
      <c r="AW354" s="477">
        <f t="shared" si="188"/>
        <v>0</v>
      </c>
      <c r="AX354" s="480"/>
      <c r="AY354" s="477">
        <f t="shared" si="189"/>
        <v>0</v>
      </c>
      <c r="AZ354" s="480"/>
      <c r="BA354" s="477">
        <f t="shared" si="190"/>
        <v>0</v>
      </c>
      <c r="BB354" s="480"/>
      <c r="BC354" s="850">
        <f t="shared" ca="1" si="191"/>
        <v>0</v>
      </c>
    </row>
    <row r="355" spans="1:55">
      <c r="A355" s="837" t="str">
        <f t="shared" si="162"/>
        <v/>
      </c>
      <c r="B355" s="440"/>
      <c r="C355" s="834" t="str">
        <f t="shared" ca="1" si="163"/>
        <v/>
      </c>
      <c r="D355" s="1757" t="str">
        <f ca="1">IFERROR(VLOOKUP(LEFT(E355,4),Nom_activ_2!D:G,4,0),"")</f>
        <v/>
      </c>
      <c r="E355" s="1757" t="str">
        <f t="shared" ca="1" si="164"/>
        <v/>
      </c>
      <c r="F355" s="1777">
        <f t="shared" ca="1" si="192"/>
        <v>0</v>
      </c>
      <c r="G355" s="839">
        <f t="shared" ca="1" si="192"/>
        <v>0</v>
      </c>
      <c r="H355" s="840">
        <f t="shared" ca="1" si="192"/>
        <v>0</v>
      </c>
      <c r="I355" s="443"/>
      <c r="J355" s="838" t="str">
        <f t="shared" si="166"/>
        <v>!$A:$j</v>
      </c>
      <c r="K355" s="475">
        <f t="shared" ca="1" si="167"/>
        <v>0</v>
      </c>
      <c r="L355" s="480"/>
      <c r="M355" s="477">
        <f t="shared" si="168"/>
        <v>0</v>
      </c>
      <c r="N355" s="480"/>
      <c r="O355" s="477">
        <f t="shared" si="169"/>
        <v>0</v>
      </c>
      <c r="P355" s="480"/>
      <c r="Q355" s="477">
        <f t="shared" si="170"/>
        <v>0</v>
      </c>
      <c r="R355" s="480"/>
      <c r="S355" s="477">
        <f t="shared" ca="1" si="171"/>
        <v>0</v>
      </c>
      <c r="T355" s="475">
        <f t="shared" ca="1" si="172"/>
        <v>0</v>
      </c>
      <c r="U355" s="480"/>
      <c r="V355" s="477">
        <f t="shared" si="173"/>
        <v>0</v>
      </c>
      <c r="W355" s="480"/>
      <c r="X355" s="477">
        <f t="shared" si="174"/>
        <v>0</v>
      </c>
      <c r="Y355" s="480"/>
      <c r="Z355" s="477">
        <f t="shared" si="175"/>
        <v>0</v>
      </c>
      <c r="AA355" s="480"/>
      <c r="AB355" s="477">
        <f t="shared" ca="1" si="176"/>
        <v>0</v>
      </c>
      <c r="AC355" s="475">
        <f t="shared" ca="1" si="177"/>
        <v>0</v>
      </c>
      <c r="AD355" s="480"/>
      <c r="AE355" s="477">
        <f t="shared" si="178"/>
        <v>0</v>
      </c>
      <c r="AF355" s="480"/>
      <c r="AG355" s="477">
        <f t="shared" si="179"/>
        <v>0</v>
      </c>
      <c r="AH355" s="480"/>
      <c r="AI355" s="477">
        <f t="shared" si="180"/>
        <v>0</v>
      </c>
      <c r="AJ355" s="480"/>
      <c r="AK355" s="477">
        <f t="shared" ca="1" si="181"/>
        <v>0</v>
      </c>
      <c r="AL355" s="475">
        <f t="shared" ca="1" si="182"/>
        <v>0</v>
      </c>
      <c r="AM355" s="480"/>
      <c r="AN355" s="477">
        <f t="shared" si="183"/>
        <v>0</v>
      </c>
      <c r="AO355" s="480"/>
      <c r="AP355" s="477">
        <f t="shared" si="184"/>
        <v>0</v>
      </c>
      <c r="AQ355" s="480"/>
      <c r="AR355" s="477">
        <f t="shared" si="185"/>
        <v>0</v>
      </c>
      <c r="AS355" s="480"/>
      <c r="AT355" s="477">
        <f t="shared" ca="1" si="186"/>
        <v>0</v>
      </c>
      <c r="AU355" s="475">
        <f t="shared" ca="1" si="187"/>
        <v>0</v>
      </c>
      <c r="AV355" s="480"/>
      <c r="AW355" s="477">
        <f t="shared" si="188"/>
        <v>0</v>
      </c>
      <c r="AX355" s="480"/>
      <c r="AY355" s="477">
        <f t="shared" si="189"/>
        <v>0</v>
      </c>
      <c r="AZ355" s="480"/>
      <c r="BA355" s="477">
        <f t="shared" si="190"/>
        <v>0</v>
      </c>
      <c r="BB355" s="480"/>
      <c r="BC355" s="850">
        <f t="shared" ca="1" si="191"/>
        <v>0</v>
      </c>
    </row>
    <row r="356" spans="1:55">
      <c r="A356" s="837" t="str">
        <f t="shared" si="162"/>
        <v/>
      </c>
      <c r="B356" s="440"/>
      <c r="C356" s="834" t="str">
        <f t="shared" ca="1" si="163"/>
        <v/>
      </c>
      <c r="D356" s="1757" t="str">
        <f ca="1">IFERROR(VLOOKUP(LEFT(E356,4),Nom_activ_2!D:G,4,0),"")</f>
        <v/>
      </c>
      <c r="E356" s="1757" t="str">
        <f t="shared" ca="1" si="164"/>
        <v/>
      </c>
      <c r="F356" s="1777">
        <f t="shared" ca="1" si="192"/>
        <v>0</v>
      </c>
      <c r="G356" s="839">
        <f t="shared" ca="1" si="192"/>
        <v>0</v>
      </c>
      <c r="H356" s="840">
        <f t="shared" ca="1" si="192"/>
        <v>0</v>
      </c>
      <c r="I356" s="443"/>
      <c r="J356" s="838" t="str">
        <f t="shared" si="166"/>
        <v>!$A:$j</v>
      </c>
      <c r="K356" s="475">
        <f t="shared" ca="1" si="167"/>
        <v>0</v>
      </c>
      <c r="L356" s="480"/>
      <c r="M356" s="477">
        <f t="shared" si="168"/>
        <v>0</v>
      </c>
      <c r="N356" s="480"/>
      <c r="O356" s="477">
        <f t="shared" si="169"/>
        <v>0</v>
      </c>
      <c r="P356" s="480"/>
      <c r="Q356" s="477">
        <f t="shared" si="170"/>
        <v>0</v>
      </c>
      <c r="R356" s="480"/>
      <c r="S356" s="477">
        <f t="shared" ca="1" si="171"/>
        <v>0</v>
      </c>
      <c r="T356" s="475">
        <f t="shared" ca="1" si="172"/>
        <v>0</v>
      </c>
      <c r="U356" s="480"/>
      <c r="V356" s="477">
        <f t="shared" si="173"/>
        <v>0</v>
      </c>
      <c r="W356" s="480"/>
      <c r="X356" s="477">
        <f t="shared" si="174"/>
        <v>0</v>
      </c>
      <c r="Y356" s="480"/>
      <c r="Z356" s="477">
        <f t="shared" si="175"/>
        <v>0</v>
      </c>
      <c r="AA356" s="480"/>
      <c r="AB356" s="477">
        <f t="shared" ca="1" si="176"/>
        <v>0</v>
      </c>
      <c r="AC356" s="475">
        <f t="shared" ca="1" si="177"/>
        <v>0</v>
      </c>
      <c r="AD356" s="480"/>
      <c r="AE356" s="477">
        <f t="shared" si="178"/>
        <v>0</v>
      </c>
      <c r="AF356" s="480"/>
      <c r="AG356" s="477">
        <f t="shared" si="179"/>
        <v>0</v>
      </c>
      <c r="AH356" s="480"/>
      <c r="AI356" s="477">
        <f t="shared" si="180"/>
        <v>0</v>
      </c>
      <c r="AJ356" s="480"/>
      <c r="AK356" s="477">
        <f t="shared" ca="1" si="181"/>
        <v>0</v>
      </c>
      <c r="AL356" s="475">
        <f t="shared" ca="1" si="182"/>
        <v>0</v>
      </c>
      <c r="AM356" s="480"/>
      <c r="AN356" s="477">
        <f t="shared" si="183"/>
        <v>0</v>
      </c>
      <c r="AO356" s="480"/>
      <c r="AP356" s="477">
        <f t="shared" si="184"/>
        <v>0</v>
      </c>
      <c r="AQ356" s="480"/>
      <c r="AR356" s="477">
        <f t="shared" si="185"/>
        <v>0</v>
      </c>
      <c r="AS356" s="480"/>
      <c r="AT356" s="477">
        <f t="shared" ca="1" si="186"/>
        <v>0</v>
      </c>
      <c r="AU356" s="475">
        <f t="shared" ca="1" si="187"/>
        <v>0</v>
      </c>
      <c r="AV356" s="480"/>
      <c r="AW356" s="477">
        <f t="shared" si="188"/>
        <v>0</v>
      </c>
      <c r="AX356" s="480"/>
      <c r="AY356" s="477">
        <f t="shared" si="189"/>
        <v>0</v>
      </c>
      <c r="AZ356" s="480"/>
      <c r="BA356" s="477">
        <f t="shared" si="190"/>
        <v>0</v>
      </c>
      <c r="BB356" s="480"/>
      <c r="BC356" s="850">
        <f t="shared" ca="1" si="191"/>
        <v>0</v>
      </c>
    </row>
    <row r="357" spans="1:55">
      <c r="A357" s="837" t="str">
        <f t="shared" si="162"/>
        <v/>
      </c>
      <c r="B357" s="440"/>
      <c r="C357" s="834" t="str">
        <f t="shared" ca="1" si="163"/>
        <v/>
      </c>
      <c r="D357" s="1757" t="str">
        <f ca="1">IFERROR(VLOOKUP(LEFT(E357,4),Nom_activ_2!D:G,4,0),"")</f>
        <v/>
      </c>
      <c r="E357" s="1757" t="str">
        <f t="shared" ca="1" si="164"/>
        <v/>
      </c>
      <c r="F357" s="1777">
        <f t="shared" ca="1" si="192"/>
        <v>0</v>
      </c>
      <c r="G357" s="839">
        <f t="shared" ca="1" si="192"/>
        <v>0</v>
      </c>
      <c r="H357" s="840">
        <f t="shared" ca="1" si="192"/>
        <v>0</v>
      </c>
      <c r="I357" s="443"/>
      <c r="J357" s="838" t="str">
        <f t="shared" si="166"/>
        <v>!$A:$j</v>
      </c>
      <c r="K357" s="475">
        <f t="shared" ca="1" si="167"/>
        <v>0</v>
      </c>
      <c r="L357" s="480"/>
      <c r="M357" s="477">
        <f t="shared" si="168"/>
        <v>0</v>
      </c>
      <c r="N357" s="480"/>
      <c r="O357" s="477">
        <f t="shared" si="169"/>
        <v>0</v>
      </c>
      <c r="P357" s="480"/>
      <c r="Q357" s="477">
        <f t="shared" si="170"/>
        <v>0</v>
      </c>
      <c r="R357" s="480"/>
      <c r="S357" s="477">
        <f t="shared" ca="1" si="171"/>
        <v>0</v>
      </c>
      <c r="T357" s="475">
        <f t="shared" ca="1" si="172"/>
        <v>0</v>
      </c>
      <c r="U357" s="480"/>
      <c r="V357" s="477">
        <f t="shared" si="173"/>
        <v>0</v>
      </c>
      <c r="W357" s="480"/>
      <c r="X357" s="477">
        <f t="shared" si="174"/>
        <v>0</v>
      </c>
      <c r="Y357" s="480"/>
      <c r="Z357" s="477">
        <f t="shared" si="175"/>
        <v>0</v>
      </c>
      <c r="AA357" s="480"/>
      <c r="AB357" s="477">
        <f t="shared" ca="1" si="176"/>
        <v>0</v>
      </c>
      <c r="AC357" s="475">
        <f t="shared" ca="1" si="177"/>
        <v>0</v>
      </c>
      <c r="AD357" s="480"/>
      <c r="AE357" s="477">
        <f t="shared" si="178"/>
        <v>0</v>
      </c>
      <c r="AF357" s="480"/>
      <c r="AG357" s="477">
        <f t="shared" si="179"/>
        <v>0</v>
      </c>
      <c r="AH357" s="480"/>
      <c r="AI357" s="477">
        <f t="shared" si="180"/>
        <v>0</v>
      </c>
      <c r="AJ357" s="480"/>
      <c r="AK357" s="477">
        <f t="shared" ca="1" si="181"/>
        <v>0</v>
      </c>
      <c r="AL357" s="475">
        <f t="shared" ca="1" si="182"/>
        <v>0</v>
      </c>
      <c r="AM357" s="480"/>
      <c r="AN357" s="477">
        <f t="shared" si="183"/>
        <v>0</v>
      </c>
      <c r="AO357" s="480"/>
      <c r="AP357" s="477">
        <f t="shared" si="184"/>
        <v>0</v>
      </c>
      <c r="AQ357" s="480"/>
      <c r="AR357" s="477">
        <f t="shared" si="185"/>
        <v>0</v>
      </c>
      <c r="AS357" s="480"/>
      <c r="AT357" s="477">
        <f t="shared" ca="1" si="186"/>
        <v>0</v>
      </c>
      <c r="AU357" s="475">
        <f t="shared" ca="1" si="187"/>
        <v>0</v>
      </c>
      <c r="AV357" s="480"/>
      <c r="AW357" s="477">
        <f t="shared" si="188"/>
        <v>0</v>
      </c>
      <c r="AX357" s="480"/>
      <c r="AY357" s="477">
        <f t="shared" si="189"/>
        <v>0</v>
      </c>
      <c r="AZ357" s="480"/>
      <c r="BA357" s="477">
        <f t="shared" si="190"/>
        <v>0</v>
      </c>
      <c r="BB357" s="480"/>
      <c r="BC357" s="850">
        <f t="shared" ca="1" si="191"/>
        <v>0</v>
      </c>
    </row>
    <row r="358" spans="1:55">
      <c r="A358" s="837" t="str">
        <f t="shared" si="162"/>
        <v/>
      </c>
      <c r="B358" s="440"/>
      <c r="C358" s="834" t="str">
        <f t="shared" ca="1" si="163"/>
        <v/>
      </c>
      <c r="D358" s="1757" t="str">
        <f ca="1">IFERROR(VLOOKUP(LEFT(E358,4),Nom_activ_2!D:G,4,0),"")</f>
        <v/>
      </c>
      <c r="E358" s="1757" t="str">
        <f t="shared" ca="1" si="164"/>
        <v/>
      </c>
      <c r="F358" s="1777">
        <f t="shared" ca="1" si="192"/>
        <v>0</v>
      </c>
      <c r="G358" s="839">
        <f t="shared" ca="1" si="192"/>
        <v>0</v>
      </c>
      <c r="H358" s="840">
        <f t="shared" ca="1" si="192"/>
        <v>0</v>
      </c>
      <c r="I358" s="443"/>
      <c r="J358" s="838" t="str">
        <f t="shared" si="166"/>
        <v>!$A:$j</v>
      </c>
      <c r="K358" s="475">
        <f t="shared" ca="1" si="167"/>
        <v>0</v>
      </c>
      <c r="L358" s="480"/>
      <c r="M358" s="477">
        <f t="shared" si="168"/>
        <v>0</v>
      </c>
      <c r="N358" s="480"/>
      <c r="O358" s="477">
        <f t="shared" si="169"/>
        <v>0</v>
      </c>
      <c r="P358" s="480"/>
      <c r="Q358" s="477">
        <f t="shared" si="170"/>
        <v>0</v>
      </c>
      <c r="R358" s="480"/>
      <c r="S358" s="477">
        <f t="shared" ca="1" si="171"/>
        <v>0</v>
      </c>
      <c r="T358" s="475">
        <f t="shared" ca="1" si="172"/>
        <v>0</v>
      </c>
      <c r="U358" s="480"/>
      <c r="V358" s="477">
        <f t="shared" si="173"/>
        <v>0</v>
      </c>
      <c r="W358" s="480"/>
      <c r="X358" s="477">
        <f t="shared" si="174"/>
        <v>0</v>
      </c>
      <c r="Y358" s="480"/>
      <c r="Z358" s="477">
        <f t="shared" si="175"/>
        <v>0</v>
      </c>
      <c r="AA358" s="480"/>
      <c r="AB358" s="477">
        <f t="shared" ca="1" si="176"/>
        <v>0</v>
      </c>
      <c r="AC358" s="475">
        <f t="shared" ca="1" si="177"/>
        <v>0</v>
      </c>
      <c r="AD358" s="480"/>
      <c r="AE358" s="477">
        <f t="shared" si="178"/>
        <v>0</v>
      </c>
      <c r="AF358" s="480"/>
      <c r="AG358" s="477">
        <f t="shared" si="179"/>
        <v>0</v>
      </c>
      <c r="AH358" s="480"/>
      <c r="AI358" s="477">
        <f t="shared" si="180"/>
        <v>0</v>
      </c>
      <c r="AJ358" s="480"/>
      <c r="AK358" s="477">
        <f t="shared" ca="1" si="181"/>
        <v>0</v>
      </c>
      <c r="AL358" s="475">
        <f t="shared" ca="1" si="182"/>
        <v>0</v>
      </c>
      <c r="AM358" s="480"/>
      <c r="AN358" s="477">
        <f t="shared" si="183"/>
        <v>0</v>
      </c>
      <c r="AO358" s="480"/>
      <c r="AP358" s="477">
        <f t="shared" si="184"/>
        <v>0</v>
      </c>
      <c r="AQ358" s="480"/>
      <c r="AR358" s="477">
        <f t="shared" si="185"/>
        <v>0</v>
      </c>
      <c r="AS358" s="480"/>
      <c r="AT358" s="477">
        <f t="shared" ca="1" si="186"/>
        <v>0</v>
      </c>
      <c r="AU358" s="475">
        <f t="shared" ca="1" si="187"/>
        <v>0</v>
      </c>
      <c r="AV358" s="480"/>
      <c r="AW358" s="477">
        <f t="shared" si="188"/>
        <v>0</v>
      </c>
      <c r="AX358" s="480"/>
      <c r="AY358" s="477">
        <f t="shared" si="189"/>
        <v>0</v>
      </c>
      <c r="AZ358" s="480"/>
      <c r="BA358" s="477">
        <f t="shared" si="190"/>
        <v>0</v>
      </c>
      <c r="BB358" s="480"/>
      <c r="BC358" s="850">
        <f t="shared" ca="1" si="191"/>
        <v>0</v>
      </c>
    </row>
    <row r="359" spans="1:55">
      <c r="A359" s="837" t="str">
        <f t="shared" si="162"/>
        <v/>
      </c>
      <c r="B359" s="440"/>
      <c r="C359" s="834" t="str">
        <f t="shared" ca="1" si="163"/>
        <v/>
      </c>
      <c r="D359" s="1757" t="str">
        <f ca="1">IFERROR(VLOOKUP(LEFT(E359,4),Nom_activ_2!D:G,4,0),"")</f>
        <v/>
      </c>
      <c r="E359" s="1757" t="str">
        <f t="shared" ca="1" si="164"/>
        <v/>
      </c>
      <c r="F359" s="1777">
        <f t="shared" ca="1" si="192"/>
        <v>0</v>
      </c>
      <c r="G359" s="839">
        <f t="shared" ca="1" si="192"/>
        <v>0</v>
      </c>
      <c r="H359" s="840">
        <f t="shared" ca="1" si="192"/>
        <v>0</v>
      </c>
      <c r="I359" s="443"/>
      <c r="J359" s="838" t="str">
        <f t="shared" si="166"/>
        <v>!$A:$j</v>
      </c>
      <c r="K359" s="475">
        <f t="shared" ca="1" si="167"/>
        <v>0</v>
      </c>
      <c r="L359" s="480"/>
      <c r="M359" s="477">
        <f t="shared" si="168"/>
        <v>0</v>
      </c>
      <c r="N359" s="480"/>
      <c r="O359" s="477">
        <f t="shared" si="169"/>
        <v>0</v>
      </c>
      <c r="P359" s="480"/>
      <c r="Q359" s="477">
        <f t="shared" si="170"/>
        <v>0</v>
      </c>
      <c r="R359" s="480"/>
      <c r="S359" s="477">
        <f t="shared" ca="1" si="171"/>
        <v>0</v>
      </c>
      <c r="T359" s="475">
        <f t="shared" ca="1" si="172"/>
        <v>0</v>
      </c>
      <c r="U359" s="480"/>
      <c r="V359" s="477">
        <f t="shared" si="173"/>
        <v>0</v>
      </c>
      <c r="W359" s="480"/>
      <c r="X359" s="477">
        <f t="shared" si="174"/>
        <v>0</v>
      </c>
      <c r="Y359" s="480"/>
      <c r="Z359" s="477">
        <f t="shared" si="175"/>
        <v>0</v>
      </c>
      <c r="AA359" s="480"/>
      <c r="AB359" s="477">
        <f t="shared" ca="1" si="176"/>
        <v>0</v>
      </c>
      <c r="AC359" s="475">
        <f t="shared" ca="1" si="177"/>
        <v>0</v>
      </c>
      <c r="AD359" s="480"/>
      <c r="AE359" s="477">
        <f t="shared" si="178"/>
        <v>0</v>
      </c>
      <c r="AF359" s="480"/>
      <c r="AG359" s="477">
        <f t="shared" si="179"/>
        <v>0</v>
      </c>
      <c r="AH359" s="480"/>
      <c r="AI359" s="477">
        <f t="shared" si="180"/>
        <v>0</v>
      </c>
      <c r="AJ359" s="480"/>
      <c r="AK359" s="477">
        <f t="shared" ca="1" si="181"/>
        <v>0</v>
      </c>
      <c r="AL359" s="475">
        <f t="shared" ca="1" si="182"/>
        <v>0</v>
      </c>
      <c r="AM359" s="480"/>
      <c r="AN359" s="477">
        <f t="shared" si="183"/>
        <v>0</v>
      </c>
      <c r="AO359" s="480"/>
      <c r="AP359" s="477">
        <f t="shared" si="184"/>
        <v>0</v>
      </c>
      <c r="AQ359" s="480"/>
      <c r="AR359" s="477">
        <f t="shared" si="185"/>
        <v>0</v>
      </c>
      <c r="AS359" s="480"/>
      <c r="AT359" s="477">
        <f t="shared" ca="1" si="186"/>
        <v>0</v>
      </c>
      <c r="AU359" s="475">
        <f t="shared" ca="1" si="187"/>
        <v>0</v>
      </c>
      <c r="AV359" s="480"/>
      <c r="AW359" s="477">
        <f t="shared" si="188"/>
        <v>0</v>
      </c>
      <c r="AX359" s="480"/>
      <c r="AY359" s="477">
        <f t="shared" si="189"/>
        <v>0</v>
      </c>
      <c r="AZ359" s="480"/>
      <c r="BA359" s="477">
        <f t="shared" si="190"/>
        <v>0</v>
      </c>
      <c r="BB359" s="480"/>
      <c r="BC359" s="850">
        <f t="shared" ca="1" si="191"/>
        <v>0</v>
      </c>
    </row>
    <row r="360" spans="1:55">
      <c r="A360" s="837" t="str">
        <f t="shared" si="162"/>
        <v/>
      </c>
      <c r="B360" s="440"/>
      <c r="C360" s="834" t="str">
        <f t="shared" ca="1" si="163"/>
        <v/>
      </c>
      <c r="D360" s="1757" t="str">
        <f ca="1">IFERROR(VLOOKUP(LEFT(E360,4),Nom_activ_2!D:G,4,0),"")</f>
        <v/>
      </c>
      <c r="E360" s="1757" t="str">
        <f t="shared" ca="1" si="164"/>
        <v/>
      </c>
      <c r="F360" s="1777">
        <f t="shared" ca="1" si="192"/>
        <v>0</v>
      </c>
      <c r="G360" s="839">
        <f t="shared" ca="1" si="192"/>
        <v>0</v>
      </c>
      <c r="H360" s="840">
        <f t="shared" ca="1" si="192"/>
        <v>0</v>
      </c>
      <c r="I360" s="443"/>
      <c r="J360" s="838" t="str">
        <f t="shared" si="166"/>
        <v>!$A:$j</v>
      </c>
      <c r="K360" s="475">
        <f t="shared" ca="1" si="167"/>
        <v>0</v>
      </c>
      <c r="L360" s="480"/>
      <c r="M360" s="477">
        <f t="shared" si="168"/>
        <v>0</v>
      </c>
      <c r="N360" s="480"/>
      <c r="O360" s="477">
        <f t="shared" si="169"/>
        <v>0</v>
      </c>
      <c r="P360" s="480"/>
      <c r="Q360" s="477">
        <f t="shared" si="170"/>
        <v>0</v>
      </c>
      <c r="R360" s="480"/>
      <c r="S360" s="477">
        <f t="shared" ca="1" si="171"/>
        <v>0</v>
      </c>
      <c r="T360" s="475">
        <f t="shared" ca="1" si="172"/>
        <v>0</v>
      </c>
      <c r="U360" s="480"/>
      <c r="V360" s="477">
        <f t="shared" si="173"/>
        <v>0</v>
      </c>
      <c r="W360" s="480"/>
      <c r="X360" s="477">
        <f t="shared" si="174"/>
        <v>0</v>
      </c>
      <c r="Y360" s="480"/>
      <c r="Z360" s="477">
        <f t="shared" si="175"/>
        <v>0</v>
      </c>
      <c r="AA360" s="480"/>
      <c r="AB360" s="477">
        <f t="shared" ca="1" si="176"/>
        <v>0</v>
      </c>
      <c r="AC360" s="475">
        <f t="shared" ca="1" si="177"/>
        <v>0</v>
      </c>
      <c r="AD360" s="480"/>
      <c r="AE360" s="477">
        <f t="shared" si="178"/>
        <v>0</v>
      </c>
      <c r="AF360" s="480"/>
      <c r="AG360" s="477">
        <f t="shared" si="179"/>
        <v>0</v>
      </c>
      <c r="AH360" s="480"/>
      <c r="AI360" s="477">
        <f t="shared" si="180"/>
        <v>0</v>
      </c>
      <c r="AJ360" s="480"/>
      <c r="AK360" s="477">
        <f t="shared" ca="1" si="181"/>
        <v>0</v>
      </c>
      <c r="AL360" s="475">
        <f t="shared" ca="1" si="182"/>
        <v>0</v>
      </c>
      <c r="AM360" s="480"/>
      <c r="AN360" s="477">
        <f t="shared" si="183"/>
        <v>0</v>
      </c>
      <c r="AO360" s="480"/>
      <c r="AP360" s="477">
        <f t="shared" si="184"/>
        <v>0</v>
      </c>
      <c r="AQ360" s="480"/>
      <c r="AR360" s="477">
        <f t="shared" si="185"/>
        <v>0</v>
      </c>
      <c r="AS360" s="480"/>
      <c r="AT360" s="477">
        <f t="shared" ca="1" si="186"/>
        <v>0</v>
      </c>
      <c r="AU360" s="475">
        <f t="shared" ca="1" si="187"/>
        <v>0</v>
      </c>
      <c r="AV360" s="480"/>
      <c r="AW360" s="477">
        <f t="shared" si="188"/>
        <v>0</v>
      </c>
      <c r="AX360" s="480"/>
      <c r="AY360" s="477">
        <f t="shared" si="189"/>
        <v>0</v>
      </c>
      <c r="AZ360" s="480"/>
      <c r="BA360" s="477">
        <f t="shared" si="190"/>
        <v>0</v>
      </c>
      <c r="BB360" s="480"/>
      <c r="BC360" s="850">
        <f t="shared" ca="1" si="191"/>
        <v>0</v>
      </c>
    </row>
    <row r="361" spans="1:55">
      <c r="A361" s="837" t="str">
        <f t="shared" si="162"/>
        <v/>
      </c>
      <c r="B361" s="440"/>
      <c r="C361" s="834" t="str">
        <f t="shared" ca="1" si="163"/>
        <v/>
      </c>
      <c r="D361" s="1757" t="str">
        <f ca="1">IFERROR(VLOOKUP(LEFT(E361,4),Nom_activ_2!D:G,4,0),"")</f>
        <v/>
      </c>
      <c r="E361" s="1757" t="str">
        <f t="shared" ca="1" si="164"/>
        <v/>
      </c>
      <c r="F361" s="1777">
        <f t="shared" ca="1" si="192"/>
        <v>0</v>
      </c>
      <c r="G361" s="839">
        <f t="shared" ca="1" si="192"/>
        <v>0</v>
      </c>
      <c r="H361" s="840">
        <f t="shared" ca="1" si="192"/>
        <v>0</v>
      </c>
      <c r="I361" s="443"/>
      <c r="J361" s="838" t="str">
        <f t="shared" si="166"/>
        <v>!$A:$j</v>
      </c>
      <c r="K361" s="475">
        <f t="shared" ca="1" si="167"/>
        <v>0</v>
      </c>
      <c r="L361" s="480"/>
      <c r="M361" s="477">
        <f t="shared" si="168"/>
        <v>0</v>
      </c>
      <c r="N361" s="480"/>
      <c r="O361" s="477">
        <f t="shared" si="169"/>
        <v>0</v>
      </c>
      <c r="P361" s="480"/>
      <c r="Q361" s="477">
        <f t="shared" si="170"/>
        <v>0</v>
      </c>
      <c r="R361" s="480"/>
      <c r="S361" s="477">
        <f t="shared" ca="1" si="171"/>
        <v>0</v>
      </c>
      <c r="T361" s="475">
        <f t="shared" ca="1" si="172"/>
        <v>0</v>
      </c>
      <c r="U361" s="480"/>
      <c r="V361" s="477">
        <f t="shared" si="173"/>
        <v>0</v>
      </c>
      <c r="W361" s="480"/>
      <c r="X361" s="477">
        <f t="shared" si="174"/>
        <v>0</v>
      </c>
      <c r="Y361" s="480"/>
      <c r="Z361" s="477">
        <f t="shared" si="175"/>
        <v>0</v>
      </c>
      <c r="AA361" s="480"/>
      <c r="AB361" s="477">
        <f t="shared" ca="1" si="176"/>
        <v>0</v>
      </c>
      <c r="AC361" s="475">
        <f t="shared" ca="1" si="177"/>
        <v>0</v>
      </c>
      <c r="AD361" s="480"/>
      <c r="AE361" s="477">
        <f t="shared" si="178"/>
        <v>0</v>
      </c>
      <c r="AF361" s="480"/>
      <c r="AG361" s="477">
        <f t="shared" si="179"/>
        <v>0</v>
      </c>
      <c r="AH361" s="480"/>
      <c r="AI361" s="477">
        <f t="shared" si="180"/>
        <v>0</v>
      </c>
      <c r="AJ361" s="480"/>
      <c r="AK361" s="477">
        <f t="shared" ca="1" si="181"/>
        <v>0</v>
      </c>
      <c r="AL361" s="475">
        <f t="shared" ca="1" si="182"/>
        <v>0</v>
      </c>
      <c r="AM361" s="480"/>
      <c r="AN361" s="477">
        <f t="shared" si="183"/>
        <v>0</v>
      </c>
      <c r="AO361" s="480"/>
      <c r="AP361" s="477">
        <f t="shared" si="184"/>
        <v>0</v>
      </c>
      <c r="AQ361" s="480"/>
      <c r="AR361" s="477">
        <f t="shared" si="185"/>
        <v>0</v>
      </c>
      <c r="AS361" s="480"/>
      <c r="AT361" s="477">
        <f t="shared" ca="1" si="186"/>
        <v>0</v>
      </c>
      <c r="AU361" s="475">
        <f t="shared" ca="1" si="187"/>
        <v>0</v>
      </c>
      <c r="AV361" s="480"/>
      <c r="AW361" s="477">
        <f t="shared" si="188"/>
        <v>0</v>
      </c>
      <c r="AX361" s="480"/>
      <c r="AY361" s="477">
        <f t="shared" si="189"/>
        <v>0</v>
      </c>
      <c r="AZ361" s="480"/>
      <c r="BA361" s="477">
        <f t="shared" si="190"/>
        <v>0</v>
      </c>
      <c r="BB361" s="480"/>
      <c r="BC361" s="850">
        <f t="shared" ca="1" si="191"/>
        <v>0</v>
      </c>
    </row>
    <row r="362" spans="1:55">
      <c r="A362" s="837" t="str">
        <f t="shared" si="162"/>
        <v/>
      </c>
      <c r="B362" s="440"/>
      <c r="C362" s="834" t="str">
        <f t="shared" ca="1" si="163"/>
        <v/>
      </c>
      <c r="D362" s="1757" t="str">
        <f ca="1">IFERROR(VLOOKUP(LEFT(E362,4),Nom_activ_2!D:G,4,0),"")</f>
        <v/>
      </c>
      <c r="E362" s="1757" t="str">
        <f t="shared" ca="1" si="164"/>
        <v/>
      </c>
      <c r="F362" s="1777">
        <f t="shared" ca="1" si="192"/>
        <v>0</v>
      </c>
      <c r="G362" s="839">
        <f t="shared" ca="1" si="192"/>
        <v>0</v>
      </c>
      <c r="H362" s="840">
        <f t="shared" ca="1" si="192"/>
        <v>0</v>
      </c>
      <c r="I362" s="443"/>
      <c r="J362" s="838" t="str">
        <f t="shared" si="166"/>
        <v>!$A:$j</v>
      </c>
      <c r="K362" s="475">
        <f t="shared" ca="1" si="167"/>
        <v>0</v>
      </c>
      <c r="L362" s="480"/>
      <c r="M362" s="477">
        <f t="shared" si="168"/>
        <v>0</v>
      </c>
      <c r="N362" s="480"/>
      <c r="O362" s="477">
        <f t="shared" si="169"/>
        <v>0</v>
      </c>
      <c r="P362" s="480"/>
      <c r="Q362" s="477">
        <f t="shared" si="170"/>
        <v>0</v>
      </c>
      <c r="R362" s="480"/>
      <c r="S362" s="477">
        <f t="shared" ca="1" si="171"/>
        <v>0</v>
      </c>
      <c r="T362" s="475">
        <f t="shared" ca="1" si="172"/>
        <v>0</v>
      </c>
      <c r="U362" s="480"/>
      <c r="V362" s="477">
        <f t="shared" si="173"/>
        <v>0</v>
      </c>
      <c r="W362" s="480"/>
      <c r="X362" s="477">
        <f t="shared" si="174"/>
        <v>0</v>
      </c>
      <c r="Y362" s="480"/>
      <c r="Z362" s="477">
        <f t="shared" si="175"/>
        <v>0</v>
      </c>
      <c r="AA362" s="480"/>
      <c r="AB362" s="477">
        <f t="shared" ca="1" si="176"/>
        <v>0</v>
      </c>
      <c r="AC362" s="475">
        <f t="shared" ca="1" si="177"/>
        <v>0</v>
      </c>
      <c r="AD362" s="480"/>
      <c r="AE362" s="477">
        <f t="shared" si="178"/>
        <v>0</v>
      </c>
      <c r="AF362" s="480"/>
      <c r="AG362" s="477">
        <f t="shared" si="179"/>
        <v>0</v>
      </c>
      <c r="AH362" s="480"/>
      <c r="AI362" s="477">
        <f t="shared" si="180"/>
        <v>0</v>
      </c>
      <c r="AJ362" s="480"/>
      <c r="AK362" s="477">
        <f t="shared" ca="1" si="181"/>
        <v>0</v>
      </c>
      <c r="AL362" s="475">
        <f t="shared" ca="1" si="182"/>
        <v>0</v>
      </c>
      <c r="AM362" s="480"/>
      <c r="AN362" s="477">
        <f t="shared" si="183"/>
        <v>0</v>
      </c>
      <c r="AO362" s="480"/>
      <c r="AP362" s="477">
        <f t="shared" si="184"/>
        <v>0</v>
      </c>
      <c r="AQ362" s="480"/>
      <c r="AR362" s="477">
        <f t="shared" si="185"/>
        <v>0</v>
      </c>
      <c r="AS362" s="480"/>
      <c r="AT362" s="477">
        <f t="shared" ca="1" si="186"/>
        <v>0</v>
      </c>
      <c r="AU362" s="475">
        <f t="shared" ca="1" si="187"/>
        <v>0</v>
      </c>
      <c r="AV362" s="480"/>
      <c r="AW362" s="477">
        <f t="shared" si="188"/>
        <v>0</v>
      </c>
      <c r="AX362" s="480"/>
      <c r="AY362" s="477">
        <f t="shared" si="189"/>
        <v>0</v>
      </c>
      <c r="AZ362" s="480"/>
      <c r="BA362" s="477">
        <f t="shared" si="190"/>
        <v>0</v>
      </c>
      <c r="BB362" s="480"/>
      <c r="BC362" s="850">
        <f t="shared" ca="1" si="191"/>
        <v>0</v>
      </c>
    </row>
    <row r="363" spans="1:55">
      <c r="A363" s="837" t="str">
        <f t="shared" si="162"/>
        <v/>
      </c>
      <c r="B363" s="440"/>
      <c r="C363" s="834" t="str">
        <f t="shared" ca="1" si="163"/>
        <v/>
      </c>
      <c r="D363" s="1757" t="str">
        <f ca="1">IFERROR(VLOOKUP(LEFT(E363,4),Nom_activ_2!D:G,4,0),"")</f>
        <v/>
      </c>
      <c r="E363" s="1757" t="str">
        <f t="shared" ca="1" si="164"/>
        <v/>
      </c>
      <c r="F363" s="1777">
        <f t="shared" ca="1" si="192"/>
        <v>0</v>
      </c>
      <c r="G363" s="839">
        <f t="shared" ca="1" si="192"/>
        <v>0</v>
      </c>
      <c r="H363" s="840">
        <f t="shared" ca="1" si="192"/>
        <v>0</v>
      </c>
      <c r="I363" s="443"/>
      <c r="J363" s="838" t="str">
        <f t="shared" si="166"/>
        <v>!$A:$j</v>
      </c>
      <c r="K363" s="475">
        <f t="shared" ca="1" si="167"/>
        <v>0</v>
      </c>
      <c r="L363" s="480"/>
      <c r="M363" s="477">
        <f t="shared" si="168"/>
        <v>0</v>
      </c>
      <c r="N363" s="480"/>
      <c r="O363" s="477">
        <f t="shared" si="169"/>
        <v>0</v>
      </c>
      <c r="P363" s="480"/>
      <c r="Q363" s="477">
        <f t="shared" si="170"/>
        <v>0</v>
      </c>
      <c r="R363" s="480"/>
      <c r="S363" s="477">
        <f t="shared" ca="1" si="171"/>
        <v>0</v>
      </c>
      <c r="T363" s="475">
        <f t="shared" ca="1" si="172"/>
        <v>0</v>
      </c>
      <c r="U363" s="480"/>
      <c r="V363" s="477">
        <f t="shared" si="173"/>
        <v>0</v>
      </c>
      <c r="W363" s="480"/>
      <c r="X363" s="477">
        <f t="shared" si="174"/>
        <v>0</v>
      </c>
      <c r="Y363" s="480"/>
      <c r="Z363" s="477">
        <f t="shared" si="175"/>
        <v>0</v>
      </c>
      <c r="AA363" s="480"/>
      <c r="AB363" s="477">
        <f t="shared" ca="1" si="176"/>
        <v>0</v>
      </c>
      <c r="AC363" s="475">
        <f t="shared" ca="1" si="177"/>
        <v>0</v>
      </c>
      <c r="AD363" s="480"/>
      <c r="AE363" s="477">
        <f t="shared" si="178"/>
        <v>0</v>
      </c>
      <c r="AF363" s="480"/>
      <c r="AG363" s="477">
        <f t="shared" si="179"/>
        <v>0</v>
      </c>
      <c r="AH363" s="480"/>
      <c r="AI363" s="477">
        <f t="shared" si="180"/>
        <v>0</v>
      </c>
      <c r="AJ363" s="480"/>
      <c r="AK363" s="477">
        <f t="shared" ca="1" si="181"/>
        <v>0</v>
      </c>
      <c r="AL363" s="475">
        <f t="shared" ca="1" si="182"/>
        <v>0</v>
      </c>
      <c r="AM363" s="480"/>
      <c r="AN363" s="477">
        <f t="shared" si="183"/>
        <v>0</v>
      </c>
      <c r="AO363" s="480"/>
      <c r="AP363" s="477">
        <f t="shared" si="184"/>
        <v>0</v>
      </c>
      <c r="AQ363" s="480"/>
      <c r="AR363" s="477">
        <f t="shared" si="185"/>
        <v>0</v>
      </c>
      <c r="AS363" s="480"/>
      <c r="AT363" s="477">
        <f t="shared" ca="1" si="186"/>
        <v>0</v>
      </c>
      <c r="AU363" s="475">
        <f t="shared" ca="1" si="187"/>
        <v>0</v>
      </c>
      <c r="AV363" s="480"/>
      <c r="AW363" s="477">
        <f t="shared" si="188"/>
        <v>0</v>
      </c>
      <c r="AX363" s="480"/>
      <c r="AY363" s="477">
        <f t="shared" si="189"/>
        <v>0</v>
      </c>
      <c r="AZ363" s="480"/>
      <c r="BA363" s="477">
        <f t="shared" si="190"/>
        <v>0</v>
      </c>
      <c r="BB363" s="480"/>
      <c r="BC363" s="850">
        <f t="shared" ca="1" si="191"/>
        <v>0</v>
      </c>
    </row>
    <row r="364" spans="1:55">
      <c r="A364" s="837" t="str">
        <f t="shared" si="162"/>
        <v/>
      </c>
      <c r="B364" s="440"/>
      <c r="C364" s="834" t="str">
        <f t="shared" ca="1" si="163"/>
        <v/>
      </c>
      <c r="D364" s="1757" t="str">
        <f ca="1">IFERROR(VLOOKUP(LEFT(E364,4),Nom_activ_2!D:G,4,0),"")</f>
        <v/>
      </c>
      <c r="E364" s="1757" t="str">
        <f t="shared" ca="1" si="164"/>
        <v/>
      </c>
      <c r="F364" s="1777">
        <f t="shared" ca="1" si="192"/>
        <v>0</v>
      </c>
      <c r="G364" s="839">
        <f t="shared" ca="1" si="192"/>
        <v>0</v>
      </c>
      <c r="H364" s="840">
        <f t="shared" ca="1" si="192"/>
        <v>0</v>
      </c>
      <c r="I364" s="443"/>
      <c r="J364" s="838" t="str">
        <f t="shared" si="166"/>
        <v>!$A:$j</v>
      </c>
      <c r="K364" s="475">
        <f t="shared" ca="1" si="167"/>
        <v>0</v>
      </c>
      <c r="L364" s="480"/>
      <c r="M364" s="477">
        <f t="shared" si="168"/>
        <v>0</v>
      </c>
      <c r="N364" s="480"/>
      <c r="O364" s="477">
        <f t="shared" si="169"/>
        <v>0</v>
      </c>
      <c r="P364" s="480"/>
      <c r="Q364" s="477">
        <f t="shared" si="170"/>
        <v>0</v>
      </c>
      <c r="R364" s="480"/>
      <c r="S364" s="477">
        <f t="shared" ca="1" si="171"/>
        <v>0</v>
      </c>
      <c r="T364" s="475">
        <f t="shared" ca="1" si="172"/>
        <v>0</v>
      </c>
      <c r="U364" s="480"/>
      <c r="V364" s="477">
        <f t="shared" si="173"/>
        <v>0</v>
      </c>
      <c r="W364" s="480"/>
      <c r="X364" s="477">
        <f t="shared" si="174"/>
        <v>0</v>
      </c>
      <c r="Y364" s="480"/>
      <c r="Z364" s="477">
        <f t="shared" si="175"/>
        <v>0</v>
      </c>
      <c r="AA364" s="480"/>
      <c r="AB364" s="477">
        <f t="shared" ca="1" si="176"/>
        <v>0</v>
      </c>
      <c r="AC364" s="475">
        <f t="shared" ca="1" si="177"/>
        <v>0</v>
      </c>
      <c r="AD364" s="480"/>
      <c r="AE364" s="477">
        <f t="shared" si="178"/>
        <v>0</v>
      </c>
      <c r="AF364" s="480"/>
      <c r="AG364" s="477">
        <f t="shared" si="179"/>
        <v>0</v>
      </c>
      <c r="AH364" s="480"/>
      <c r="AI364" s="477">
        <f t="shared" si="180"/>
        <v>0</v>
      </c>
      <c r="AJ364" s="480"/>
      <c r="AK364" s="477">
        <f t="shared" ca="1" si="181"/>
        <v>0</v>
      </c>
      <c r="AL364" s="475">
        <f t="shared" ca="1" si="182"/>
        <v>0</v>
      </c>
      <c r="AM364" s="480"/>
      <c r="AN364" s="477">
        <f t="shared" si="183"/>
        <v>0</v>
      </c>
      <c r="AO364" s="480"/>
      <c r="AP364" s="477">
        <f t="shared" si="184"/>
        <v>0</v>
      </c>
      <c r="AQ364" s="480"/>
      <c r="AR364" s="477">
        <f t="shared" si="185"/>
        <v>0</v>
      </c>
      <c r="AS364" s="480"/>
      <c r="AT364" s="477">
        <f t="shared" ca="1" si="186"/>
        <v>0</v>
      </c>
      <c r="AU364" s="475">
        <f t="shared" ca="1" si="187"/>
        <v>0</v>
      </c>
      <c r="AV364" s="480"/>
      <c r="AW364" s="477">
        <f t="shared" si="188"/>
        <v>0</v>
      </c>
      <c r="AX364" s="480"/>
      <c r="AY364" s="477">
        <f t="shared" si="189"/>
        <v>0</v>
      </c>
      <c r="AZ364" s="480"/>
      <c r="BA364" s="477">
        <f t="shared" si="190"/>
        <v>0</v>
      </c>
      <c r="BB364" s="480"/>
      <c r="BC364" s="850">
        <f t="shared" ca="1" si="191"/>
        <v>0</v>
      </c>
    </row>
    <row r="365" spans="1:55">
      <c r="A365" s="837" t="str">
        <f t="shared" si="162"/>
        <v/>
      </c>
      <c r="B365" s="440"/>
      <c r="C365" s="834" t="str">
        <f t="shared" ca="1" si="163"/>
        <v/>
      </c>
      <c r="D365" s="1757" t="str">
        <f ca="1">IFERROR(VLOOKUP(LEFT(E365,4),Nom_activ_2!D:G,4,0),"")</f>
        <v/>
      </c>
      <c r="E365" s="1757" t="str">
        <f t="shared" ca="1" si="164"/>
        <v/>
      </c>
      <c r="F365" s="1777">
        <f t="shared" ca="1" si="192"/>
        <v>0</v>
      </c>
      <c r="G365" s="839">
        <f t="shared" ca="1" si="192"/>
        <v>0</v>
      </c>
      <c r="H365" s="840">
        <f t="shared" ca="1" si="192"/>
        <v>0</v>
      </c>
      <c r="I365" s="443"/>
      <c r="J365" s="838" t="str">
        <f t="shared" si="166"/>
        <v>!$A:$j</v>
      </c>
      <c r="K365" s="475">
        <f t="shared" ca="1" si="167"/>
        <v>0</v>
      </c>
      <c r="L365" s="480"/>
      <c r="M365" s="477">
        <f t="shared" si="168"/>
        <v>0</v>
      </c>
      <c r="N365" s="480"/>
      <c r="O365" s="477">
        <f t="shared" si="169"/>
        <v>0</v>
      </c>
      <c r="P365" s="480"/>
      <c r="Q365" s="477">
        <f t="shared" si="170"/>
        <v>0</v>
      </c>
      <c r="R365" s="480"/>
      <c r="S365" s="477">
        <f t="shared" ca="1" si="171"/>
        <v>0</v>
      </c>
      <c r="T365" s="475">
        <f t="shared" ca="1" si="172"/>
        <v>0</v>
      </c>
      <c r="U365" s="480"/>
      <c r="V365" s="477">
        <f t="shared" si="173"/>
        <v>0</v>
      </c>
      <c r="W365" s="480"/>
      <c r="X365" s="477">
        <f t="shared" si="174"/>
        <v>0</v>
      </c>
      <c r="Y365" s="480"/>
      <c r="Z365" s="477">
        <f t="shared" si="175"/>
        <v>0</v>
      </c>
      <c r="AA365" s="480"/>
      <c r="AB365" s="477">
        <f t="shared" ca="1" si="176"/>
        <v>0</v>
      </c>
      <c r="AC365" s="475">
        <f t="shared" ca="1" si="177"/>
        <v>0</v>
      </c>
      <c r="AD365" s="480"/>
      <c r="AE365" s="477">
        <f t="shared" si="178"/>
        <v>0</v>
      </c>
      <c r="AF365" s="480"/>
      <c r="AG365" s="477">
        <f t="shared" si="179"/>
        <v>0</v>
      </c>
      <c r="AH365" s="480"/>
      <c r="AI365" s="477">
        <f t="shared" si="180"/>
        <v>0</v>
      </c>
      <c r="AJ365" s="480"/>
      <c r="AK365" s="477">
        <f t="shared" ca="1" si="181"/>
        <v>0</v>
      </c>
      <c r="AL365" s="475">
        <f t="shared" ca="1" si="182"/>
        <v>0</v>
      </c>
      <c r="AM365" s="480"/>
      <c r="AN365" s="477">
        <f t="shared" si="183"/>
        <v>0</v>
      </c>
      <c r="AO365" s="480"/>
      <c r="AP365" s="477">
        <f t="shared" si="184"/>
        <v>0</v>
      </c>
      <c r="AQ365" s="480"/>
      <c r="AR365" s="477">
        <f t="shared" si="185"/>
        <v>0</v>
      </c>
      <c r="AS365" s="480"/>
      <c r="AT365" s="477">
        <f t="shared" ca="1" si="186"/>
        <v>0</v>
      </c>
      <c r="AU365" s="475">
        <f t="shared" ca="1" si="187"/>
        <v>0</v>
      </c>
      <c r="AV365" s="480"/>
      <c r="AW365" s="477">
        <f t="shared" si="188"/>
        <v>0</v>
      </c>
      <c r="AX365" s="480"/>
      <c r="AY365" s="477">
        <f t="shared" si="189"/>
        <v>0</v>
      </c>
      <c r="AZ365" s="480"/>
      <c r="BA365" s="477">
        <f t="shared" si="190"/>
        <v>0</v>
      </c>
      <c r="BB365" s="480"/>
      <c r="BC365" s="850">
        <f t="shared" ca="1" si="191"/>
        <v>0</v>
      </c>
    </row>
    <row r="366" spans="1:55">
      <c r="A366" s="837" t="str">
        <f t="shared" si="162"/>
        <v/>
      </c>
      <c r="B366" s="440"/>
      <c r="C366" s="834" t="str">
        <f t="shared" ca="1" si="163"/>
        <v/>
      </c>
      <c r="D366" s="1757" t="str">
        <f ca="1">IFERROR(VLOOKUP(LEFT(E366,4),Nom_activ_2!D:G,4,0),"")</f>
        <v/>
      </c>
      <c r="E366" s="1757" t="str">
        <f t="shared" ca="1" si="164"/>
        <v/>
      </c>
      <c r="F366" s="1777">
        <f t="shared" ca="1" si="192"/>
        <v>0</v>
      </c>
      <c r="G366" s="839">
        <f t="shared" ca="1" si="192"/>
        <v>0</v>
      </c>
      <c r="H366" s="840">
        <f t="shared" ca="1" si="192"/>
        <v>0</v>
      </c>
      <c r="I366" s="443"/>
      <c r="J366" s="838" t="str">
        <f t="shared" si="166"/>
        <v>!$A:$j</v>
      </c>
      <c r="K366" s="475">
        <f t="shared" ca="1" si="167"/>
        <v>0</v>
      </c>
      <c r="L366" s="480"/>
      <c r="M366" s="477">
        <f t="shared" si="168"/>
        <v>0</v>
      </c>
      <c r="N366" s="480"/>
      <c r="O366" s="477">
        <f t="shared" si="169"/>
        <v>0</v>
      </c>
      <c r="P366" s="480"/>
      <c r="Q366" s="477">
        <f t="shared" si="170"/>
        <v>0</v>
      </c>
      <c r="R366" s="480"/>
      <c r="S366" s="477">
        <f t="shared" ca="1" si="171"/>
        <v>0</v>
      </c>
      <c r="T366" s="475">
        <f t="shared" ca="1" si="172"/>
        <v>0</v>
      </c>
      <c r="U366" s="480"/>
      <c r="V366" s="477">
        <f t="shared" si="173"/>
        <v>0</v>
      </c>
      <c r="W366" s="480"/>
      <c r="X366" s="477">
        <f t="shared" si="174"/>
        <v>0</v>
      </c>
      <c r="Y366" s="480"/>
      <c r="Z366" s="477">
        <f t="shared" si="175"/>
        <v>0</v>
      </c>
      <c r="AA366" s="480"/>
      <c r="AB366" s="477">
        <f t="shared" ca="1" si="176"/>
        <v>0</v>
      </c>
      <c r="AC366" s="475">
        <f t="shared" ca="1" si="177"/>
        <v>0</v>
      </c>
      <c r="AD366" s="480"/>
      <c r="AE366" s="477">
        <f t="shared" si="178"/>
        <v>0</v>
      </c>
      <c r="AF366" s="480"/>
      <c r="AG366" s="477">
        <f t="shared" si="179"/>
        <v>0</v>
      </c>
      <c r="AH366" s="480"/>
      <c r="AI366" s="477">
        <f t="shared" si="180"/>
        <v>0</v>
      </c>
      <c r="AJ366" s="480"/>
      <c r="AK366" s="477">
        <f t="shared" ca="1" si="181"/>
        <v>0</v>
      </c>
      <c r="AL366" s="475">
        <f t="shared" ca="1" si="182"/>
        <v>0</v>
      </c>
      <c r="AM366" s="480"/>
      <c r="AN366" s="477">
        <f t="shared" si="183"/>
        <v>0</v>
      </c>
      <c r="AO366" s="480"/>
      <c r="AP366" s="477">
        <f t="shared" si="184"/>
        <v>0</v>
      </c>
      <c r="AQ366" s="480"/>
      <c r="AR366" s="477">
        <f t="shared" si="185"/>
        <v>0</v>
      </c>
      <c r="AS366" s="480"/>
      <c r="AT366" s="477">
        <f t="shared" ca="1" si="186"/>
        <v>0</v>
      </c>
      <c r="AU366" s="475">
        <f t="shared" ca="1" si="187"/>
        <v>0</v>
      </c>
      <c r="AV366" s="480"/>
      <c r="AW366" s="477">
        <f t="shared" si="188"/>
        <v>0</v>
      </c>
      <c r="AX366" s="480"/>
      <c r="AY366" s="477">
        <f t="shared" si="189"/>
        <v>0</v>
      </c>
      <c r="AZ366" s="480"/>
      <c r="BA366" s="477">
        <f t="shared" si="190"/>
        <v>0</v>
      </c>
      <c r="BB366" s="480"/>
      <c r="BC366" s="850">
        <f t="shared" ca="1" si="191"/>
        <v>0</v>
      </c>
    </row>
    <row r="367" spans="1:55">
      <c r="A367" s="837" t="str">
        <f t="shared" si="162"/>
        <v/>
      </c>
      <c r="B367" s="440"/>
      <c r="C367" s="834" t="str">
        <f t="shared" ca="1" si="163"/>
        <v/>
      </c>
      <c r="D367" s="1757" t="str">
        <f ca="1">IFERROR(VLOOKUP(LEFT(E367,4),Nom_activ_2!D:G,4,0),"")</f>
        <v/>
      </c>
      <c r="E367" s="1757" t="str">
        <f t="shared" ca="1" si="164"/>
        <v/>
      </c>
      <c r="F367" s="1777">
        <f t="shared" ref="F367:H386" ca="1" si="193">IFERROR(VLOOKUP($B367,INDIRECT($J367),F$5,0),0)</f>
        <v>0</v>
      </c>
      <c r="G367" s="839">
        <f t="shared" ca="1" si="193"/>
        <v>0</v>
      </c>
      <c r="H367" s="840">
        <f t="shared" ca="1" si="193"/>
        <v>0</v>
      </c>
      <c r="I367" s="443"/>
      <c r="J367" s="838" t="str">
        <f t="shared" si="166"/>
        <v>!$A:$j</v>
      </c>
      <c r="K367" s="475">
        <f t="shared" ca="1" si="167"/>
        <v>0</v>
      </c>
      <c r="L367" s="480"/>
      <c r="M367" s="477">
        <f t="shared" si="168"/>
        <v>0</v>
      </c>
      <c r="N367" s="480"/>
      <c r="O367" s="477">
        <f t="shared" si="169"/>
        <v>0</v>
      </c>
      <c r="P367" s="480"/>
      <c r="Q367" s="477">
        <f t="shared" si="170"/>
        <v>0</v>
      </c>
      <c r="R367" s="480"/>
      <c r="S367" s="477">
        <f t="shared" ca="1" si="171"/>
        <v>0</v>
      </c>
      <c r="T367" s="475">
        <f t="shared" ca="1" si="172"/>
        <v>0</v>
      </c>
      <c r="U367" s="480"/>
      <c r="V367" s="477">
        <f t="shared" si="173"/>
        <v>0</v>
      </c>
      <c r="W367" s="480"/>
      <c r="X367" s="477">
        <f t="shared" si="174"/>
        <v>0</v>
      </c>
      <c r="Y367" s="480"/>
      <c r="Z367" s="477">
        <f t="shared" si="175"/>
        <v>0</v>
      </c>
      <c r="AA367" s="480"/>
      <c r="AB367" s="477">
        <f t="shared" ca="1" si="176"/>
        <v>0</v>
      </c>
      <c r="AC367" s="475">
        <f t="shared" ca="1" si="177"/>
        <v>0</v>
      </c>
      <c r="AD367" s="480"/>
      <c r="AE367" s="477">
        <f t="shared" si="178"/>
        <v>0</v>
      </c>
      <c r="AF367" s="480"/>
      <c r="AG367" s="477">
        <f t="shared" si="179"/>
        <v>0</v>
      </c>
      <c r="AH367" s="480"/>
      <c r="AI367" s="477">
        <f t="shared" si="180"/>
        <v>0</v>
      </c>
      <c r="AJ367" s="480"/>
      <c r="AK367" s="477">
        <f t="shared" ca="1" si="181"/>
        <v>0</v>
      </c>
      <c r="AL367" s="475">
        <f t="shared" ca="1" si="182"/>
        <v>0</v>
      </c>
      <c r="AM367" s="480"/>
      <c r="AN367" s="477">
        <f t="shared" si="183"/>
        <v>0</v>
      </c>
      <c r="AO367" s="480"/>
      <c r="AP367" s="477">
        <f t="shared" si="184"/>
        <v>0</v>
      </c>
      <c r="AQ367" s="480"/>
      <c r="AR367" s="477">
        <f t="shared" si="185"/>
        <v>0</v>
      </c>
      <c r="AS367" s="480"/>
      <c r="AT367" s="477">
        <f t="shared" ca="1" si="186"/>
        <v>0</v>
      </c>
      <c r="AU367" s="475">
        <f t="shared" ca="1" si="187"/>
        <v>0</v>
      </c>
      <c r="AV367" s="480"/>
      <c r="AW367" s="477">
        <f t="shared" si="188"/>
        <v>0</v>
      </c>
      <c r="AX367" s="480"/>
      <c r="AY367" s="477">
        <f t="shared" si="189"/>
        <v>0</v>
      </c>
      <c r="AZ367" s="480"/>
      <c r="BA367" s="477">
        <f t="shared" si="190"/>
        <v>0</v>
      </c>
      <c r="BB367" s="480"/>
      <c r="BC367" s="850">
        <f t="shared" ca="1" si="191"/>
        <v>0</v>
      </c>
    </row>
    <row r="368" spans="1:55">
      <c r="A368" s="837" t="str">
        <f t="shared" si="162"/>
        <v/>
      </c>
      <c r="B368" s="440"/>
      <c r="C368" s="834" t="str">
        <f t="shared" ca="1" si="163"/>
        <v/>
      </c>
      <c r="D368" s="1757" t="str">
        <f ca="1">IFERROR(VLOOKUP(LEFT(E368,4),Nom_activ_2!D:G,4,0),"")</f>
        <v/>
      </c>
      <c r="E368" s="1757" t="str">
        <f t="shared" ca="1" si="164"/>
        <v/>
      </c>
      <c r="F368" s="1777">
        <f t="shared" ca="1" si="193"/>
        <v>0</v>
      </c>
      <c r="G368" s="839">
        <f t="shared" ca="1" si="193"/>
        <v>0</v>
      </c>
      <c r="H368" s="840">
        <f t="shared" ca="1" si="193"/>
        <v>0</v>
      </c>
      <c r="I368" s="443"/>
      <c r="J368" s="838" t="str">
        <f t="shared" si="166"/>
        <v>!$A:$j</v>
      </c>
      <c r="K368" s="475">
        <f t="shared" ca="1" si="167"/>
        <v>0</v>
      </c>
      <c r="L368" s="480"/>
      <c r="M368" s="477">
        <f t="shared" si="168"/>
        <v>0</v>
      </c>
      <c r="N368" s="480"/>
      <c r="O368" s="477">
        <f t="shared" si="169"/>
        <v>0</v>
      </c>
      <c r="P368" s="480"/>
      <c r="Q368" s="477">
        <f t="shared" si="170"/>
        <v>0</v>
      </c>
      <c r="R368" s="480"/>
      <c r="S368" s="477">
        <f t="shared" ca="1" si="171"/>
        <v>0</v>
      </c>
      <c r="T368" s="475">
        <f t="shared" ca="1" si="172"/>
        <v>0</v>
      </c>
      <c r="U368" s="480"/>
      <c r="V368" s="477">
        <f t="shared" si="173"/>
        <v>0</v>
      </c>
      <c r="W368" s="480"/>
      <c r="X368" s="477">
        <f t="shared" si="174"/>
        <v>0</v>
      </c>
      <c r="Y368" s="480"/>
      <c r="Z368" s="477">
        <f t="shared" si="175"/>
        <v>0</v>
      </c>
      <c r="AA368" s="480"/>
      <c r="AB368" s="477">
        <f t="shared" ca="1" si="176"/>
        <v>0</v>
      </c>
      <c r="AC368" s="475">
        <f t="shared" ca="1" si="177"/>
        <v>0</v>
      </c>
      <c r="AD368" s="480"/>
      <c r="AE368" s="477">
        <f t="shared" si="178"/>
        <v>0</v>
      </c>
      <c r="AF368" s="480"/>
      <c r="AG368" s="477">
        <f t="shared" si="179"/>
        <v>0</v>
      </c>
      <c r="AH368" s="480"/>
      <c r="AI368" s="477">
        <f t="shared" si="180"/>
        <v>0</v>
      </c>
      <c r="AJ368" s="480"/>
      <c r="AK368" s="477">
        <f t="shared" ca="1" si="181"/>
        <v>0</v>
      </c>
      <c r="AL368" s="475">
        <f t="shared" ca="1" si="182"/>
        <v>0</v>
      </c>
      <c r="AM368" s="480"/>
      <c r="AN368" s="477">
        <f t="shared" si="183"/>
        <v>0</v>
      </c>
      <c r="AO368" s="480"/>
      <c r="AP368" s="477">
        <f t="shared" si="184"/>
        <v>0</v>
      </c>
      <c r="AQ368" s="480"/>
      <c r="AR368" s="477">
        <f t="shared" si="185"/>
        <v>0</v>
      </c>
      <c r="AS368" s="480"/>
      <c r="AT368" s="477">
        <f t="shared" ca="1" si="186"/>
        <v>0</v>
      </c>
      <c r="AU368" s="475">
        <f t="shared" ca="1" si="187"/>
        <v>0</v>
      </c>
      <c r="AV368" s="480"/>
      <c r="AW368" s="477">
        <f t="shared" si="188"/>
        <v>0</v>
      </c>
      <c r="AX368" s="480"/>
      <c r="AY368" s="477">
        <f t="shared" si="189"/>
        <v>0</v>
      </c>
      <c r="AZ368" s="480"/>
      <c r="BA368" s="477">
        <f t="shared" si="190"/>
        <v>0</v>
      </c>
      <c r="BB368" s="480"/>
      <c r="BC368" s="850">
        <f t="shared" ca="1" si="191"/>
        <v>0</v>
      </c>
    </row>
    <row r="369" spans="1:55">
      <c r="A369" s="837" t="str">
        <f t="shared" si="162"/>
        <v/>
      </c>
      <c r="B369" s="440"/>
      <c r="C369" s="834" t="str">
        <f t="shared" ca="1" si="163"/>
        <v/>
      </c>
      <c r="D369" s="1757" t="str">
        <f ca="1">IFERROR(VLOOKUP(LEFT(E369,4),Nom_activ_2!D:G,4,0),"")</f>
        <v/>
      </c>
      <c r="E369" s="1757" t="str">
        <f t="shared" ca="1" si="164"/>
        <v/>
      </c>
      <c r="F369" s="1777">
        <f t="shared" ca="1" si="193"/>
        <v>0</v>
      </c>
      <c r="G369" s="839">
        <f t="shared" ca="1" si="193"/>
        <v>0</v>
      </c>
      <c r="H369" s="840">
        <f t="shared" ca="1" si="193"/>
        <v>0</v>
      </c>
      <c r="I369" s="443"/>
      <c r="J369" s="838" t="str">
        <f t="shared" si="166"/>
        <v>!$A:$j</v>
      </c>
      <c r="K369" s="475">
        <f t="shared" ca="1" si="167"/>
        <v>0</v>
      </c>
      <c r="L369" s="480"/>
      <c r="M369" s="477">
        <f t="shared" si="168"/>
        <v>0</v>
      </c>
      <c r="N369" s="480"/>
      <c r="O369" s="477">
        <f t="shared" si="169"/>
        <v>0</v>
      </c>
      <c r="P369" s="480"/>
      <c r="Q369" s="477">
        <f t="shared" si="170"/>
        <v>0</v>
      </c>
      <c r="R369" s="480"/>
      <c r="S369" s="477">
        <f t="shared" ca="1" si="171"/>
        <v>0</v>
      </c>
      <c r="T369" s="475">
        <f t="shared" ca="1" si="172"/>
        <v>0</v>
      </c>
      <c r="U369" s="480"/>
      <c r="V369" s="477">
        <f t="shared" si="173"/>
        <v>0</v>
      </c>
      <c r="W369" s="480"/>
      <c r="X369" s="477">
        <f t="shared" si="174"/>
        <v>0</v>
      </c>
      <c r="Y369" s="480"/>
      <c r="Z369" s="477">
        <f t="shared" si="175"/>
        <v>0</v>
      </c>
      <c r="AA369" s="480"/>
      <c r="AB369" s="477">
        <f t="shared" ca="1" si="176"/>
        <v>0</v>
      </c>
      <c r="AC369" s="475">
        <f t="shared" ca="1" si="177"/>
        <v>0</v>
      </c>
      <c r="AD369" s="480"/>
      <c r="AE369" s="477">
        <f t="shared" si="178"/>
        <v>0</v>
      </c>
      <c r="AF369" s="480"/>
      <c r="AG369" s="477">
        <f t="shared" si="179"/>
        <v>0</v>
      </c>
      <c r="AH369" s="480"/>
      <c r="AI369" s="477">
        <f t="shared" si="180"/>
        <v>0</v>
      </c>
      <c r="AJ369" s="480"/>
      <c r="AK369" s="477">
        <f t="shared" ca="1" si="181"/>
        <v>0</v>
      </c>
      <c r="AL369" s="475">
        <f t="shared" ca="1" si="182"/>
        <v>0</v>
      </c>
      <c r="AM369" s="480"/>
      <c r="AN369" s="477">
        <f t="shared" si="183"/>
        <v>0</v>
      </c>
      <c r="AO369" s="480"/>
      <c r="AP369" s="477">
        <f t="shared" si="184"/>
        <v>0</v>
      </c>
      <c r="AQ369" s="480"/>
      <c r="AR369" s="477">
        <f t="shared" si="185"/>
        <v>0</v>
      </c>
      <c r="AS369" s="480"/>
      <c r="AT369" s="477">
        <f t="shared" ca="1" si="186"/>
        <v>0</v>
      </c>
      <c r="AU369" s="475">
        <f t="shared" ca="1" si="187"/>
        <v>0</v>
      </c>
      <c r="AV369" s="480"/>
      <c r="AW369" s="477">
        <f t="shared" si="188"/>
        <v>0</v>
      </c>
      <c r="AX369" s="480"/>
      <c r="AY369" s="477">
        <f t="shared" si="189"/>
        <v>0</v>
      </c>
      <c r="AZ369" s="480"/>
      <c r="BA369" s="477">
        <f t="shared" si="190"/>
        <v>0</v>
      </c>
      <c r="BB369" s="480"/>
      <c r="BC369" s="850">
        <f t="shared" ca="1" si="191"/>
        <v>0</v>
      </c>
    </row>
    <row r="370" spans="1:55">
      <c r="A370" s="837" t="str">
        <f t="shared" si="162"/>
        <v/>
      </c>
      <c r="B370" s="440"/>
      <c r="C370" s="834" t="str">
        <f t="shared" ca="1" si="163"/>
        <v/>
      </c>
      <c r="D370" s="1757" t="str">
        <f ca="1">IFERROR(VLOOKUP(LEFT(E370,4),Nom_activ_2!D:G,4,0),"")</f>
        <v/>
      </c>
      <c r="E370" s="1757" t="str">
        <f t="shared" ca="1" si="164"/>
        <v/>
      </c>
      <c r="F370" s="1777">
        <f t="shared" ca="1" si="193"/>
        <v>0</v>
      </c>
      <c r="G370" s="839">
        <f t="shared" ca="1" si="193"/>
        <v>0</v>
      </c>
      <c r="H370" s="840">
        <f t="shared" ca="1" si="193"/>
        <v>0</v>
      </c>
      <c r="I370" s="443"/>
      <c r="J370" s="838" t="str">
        <f t="shared" si="166"/>
        <v>!$A:$j</v>
      </c>
      <c r="K370" s="475">
        <f t="shared" ca="1" si="167"/>
        <v>0</v>
      </c>
      <c r="L370" s="480"/>
      <c r="M370" s="477">
        <f t="shared" si="168"/>
        <v>0</v>
      </c>
      <c r="N370" s="480"/>
      <c r="O370" s="477">
        <f t="shared" si="169"/>
        <v>0</v>
      </c>
      <c r="P370" s="480"/>
      <c r="Q370" s="477">
        <f t="shared" si="170"/>
        <v>0</v>
      </c>
      <c r="R370" s="480"/>
      <c r="S370" s="477">
        <f t="shared" ca="1" si="171"/>
        <v>0</v>
      </c>
      <c r="T370" s="475">
        <f t="shared" ca="1" si="172"/>
        <v>0</v>
      </c>
      <c r="U370" s="480"/>
      <c r="V370" s="477">
        <f t="shared" si="173"/>
        <v>0</v>
      </c>
      <c r="W370" s="480"/>
      <c r="X370" s="477">
        <f t="shared" si="174"/>
        <v>0</v>
      </c>
      <c r="Y370" s="480"/>
      <c r="Z370" s="477">
        <f t="shared" si="175"/>
        <v>0</v>
      </c>
      <c r="AA370" s="480"/>
      <c r="AB370" s="477">
        <f t="shared" ca="1" si="176"/>
        <v>0</v>
      </c>
      <c r="AC370" s="475">
        <f t="shared" ca="1" si="177"/>
        <v>0</v>
      </c>
      <c r="AD370" s="480"/>
      <c r="AE370" s="477">
        <f t="shared" si="178"/>
        <v>0</v>
      </c>
      <c r="AF370" s="480"/>
      <c r="AG370" s="477">
        <f t="shared" si="179"/>
        <v>0</v>
      </c>
      <c r="AH370" s="480"/>
      <c r="AI370" s="477">
        <f t="shared" si="180"/>
        <v>0</v>
      </c>
      <c r="AJ370" s="480"/>
      <c r="AK370" s="477">
        <f t="shared" ca="1" si="181"/>
        <v>0</v>
      </c>
      <c r="AL370" s="475">
        <f t="shared" ca="1" si="182"/>
        <v>0</v>
      </c>
      <c r="AM370" s="480"/>
      <c r="AN370" s="477">
        <f t="shared" si="183"/>
        <v>0</v>
      </c>
      <c r="AO370" s="480"/>
      <c r="AP370" s="477">
        <f t="shared" si="184"/>
        <v>0</v>
      </c>
      <c r="AQ370" s="480"/>
      <c r="AR370" s="477">
        <f t="shared" si="185"/>
        <v>0</v>
      </c>
      <c r="AS370" s="480"/>
      <c r="AT370" s="477">
        <f t="shared" ca="1" si="186"/>
        <v>0</v>
      </c>
      <c r="AU370" s="475">
        <f t="shared" ca="1" si="187"/>
        <v>0</v>
      </c>
      <c r="AV370" s="480"/>
      <c r="AW370" s="477">
        <f t="shared" si="188"/>
        <v>0</v>
      </c>
      <c r="AX370" s="480"/>
      <c r="AY370" s="477">
        <f t="shared" si="189"/>
        <v>0</v>
      </c>
      <c r="AZ370" s="480"/>
      <c r="BA370" s="477">
        <f t="shared" si="190"/>
        <v>0</v>
      </c>
      <c r="BB370" s="480"/>
      <c r="BC370" s="850">
        <f t="shared" ca="1" si="191"/>
        <v>0</v>
      </c>
    </row>
    <row r="371" spans="1:55">
      <c r="A371" s="837" t="str">
        <f t="shared" si="162"/>
        <v/>
      </c>
      <c r="B371" s="440"/>
      <c r="C371" s="834" t="str">
        <f t="shared" ca="1" si="163"/>
        <v/>
      </c>
      <c r="D371" s="1757" t="str">
        <f ca="1">IFERROR(VLOOKUP(LEFT(E371,4),Nom_activ_2!D:G,4,0),"")</f>
        <v/>
      </c>
      <c r="E371" s="1757" t="str">
        <f t="shared" ca="1" si="164"/>
        <v/>
      </c>
      <c r="F371" s="1777">
        <f t="shared" ca="1" si="193"/>
        <v>0</v>
      </c>
      <c r="G371" s="839">
        <f t="shared" ca="1" si="193"/>
        <v>0</v>
      </c>
      <c r="H371" s="840">
        <f t="shared" ca="1" si="193"/>
        <v>0</v>
      </c>
      <c r="I371" s="443"/>
      <c r="J371" s="838" t="str">
        <f t="shared" si="166"/>
        <v>!$A:$j</v>
      </c>
      <c r="K371" s="475">
        <f t="shared" ca="1" si="167"/>
        <v>0</v>
      </c>
      <c r="L371" s="480"/>
      <c r="M371" s="477">
        <f t="shared" si="168"/>
        <v>0</v>
      </c>
      <c r="N371" s="480"/>
      <c r="O371" s="477">
        <f t="shared" si="169"/>
        <v>0</v>
      </c>
      <c r="P371" s="480"/>
      <c r="Q371" s="477">
        <f t="shared" si="170"/>
        <v>0</v>
      </c>
      <c r="R371" s="480"/>
      <c r="S371" s="477">
        <f t="shared" ca="1" si="171"/>
        <v>0</v>
      </c>
      <c r="T371" s="475">
        <f t="shared" ca="1" si="172"/>
        <v>0</v>
      </c>
      <c r="U371" s="480"/>
      <c r="V371" s="477">
        <f t="shared" si="173"/>
        <v>0</v>
      </c>
      <c r="W371" s="480"/>
      <c r="X371" s="477">
        <f t="shared" si="174"/>
        <v>0</v>
      </c>
      <c r="Y371" s="480"/>
      <c r="Z371" s="477">
        <f t="shared" si="175"/>
        <v>0</v>
      </c>
      <c r="AA371" s="480"/>
      <c r="AB371" s="477">
        <f t="shared" ca="1" si="176"/>
        <v>0</v>
      </c>
      <c r="AC371" s="475">
        <f t="shared" ca="1" si="177"/>
        <v>0</v>
      </c>
      <c r="AD371" s="480"/>
      <c r="AE371" s="477">
        <f t="shared" si="178"/>
        <v>0</v>
      </c>
      <c r="AF371" s="480"/>
      <c r="AG371" s="477">
        <f t="shared" si="179"/>
        <v>0</v>
      </c>
      <c r="AH371" s="480"/>
      <c r="AI371" s="477">
        <f t="shared" si="180"/>
        <v>0</v>
      </c>
      <c r="AJ371" s="480"/>
      <c r="AK371" s="477">
        <f t="shared" ca="1" si="181"/>
        <v>0</v>
      </c>
      <c r="AL371" s="475">
        <f t="shared" ca="1" si="182"/>
        <v>0</v>
      </c>
      <c r="AM371" s="480"/>
      <c r="AN371" s="477">
        <f t="shared" si="183"/>
        <v>0</v>
      </c>
      <c r="AO371" s="480"/>
      <c r="AP371" s="477">
        <f t="shared" si="184"/>
        <v>0</v>
      </c>
      <c r="AQ371" s="480"/>
      <c r="AR371" s="477">
        <f t="shared" si="185"/>
        <v>0</v>
      </c>
      <c r="AS371" s="480"/>
      <c r="AT371" s="477">
        <f t="shared" ca="1" si="186"/>
        <v>0</v>
      </c>
      <c r="AU371" s="475">
        <f t="shared" ca="1" si="187"/>
        <v>0</v>
      </c>
      <c r="AV371" s="480"/>
      <c r="AW371" s="477">
        <f t="shared" si="188"/>
        <v>0</v>
      </c>
      <c r="AX371" s="480"/>
      <c r="AY371" s="477">
        <f t="shared" si="189"/>
        <v>0</v>
      </c>
      <c r="AZ371" s="480"/>
      <c r="BA371" s="477">
        <f t="shared" si="190"/>
        <v>0</v>
      </c>
      <c r="BB371" s="480"/>
      <c r="BC371" s="850">
        <f t="shared" ca="1" si="191"/>
        <v>0</v>
      </c>
    </row>
    <row r="372" spans="1:55">
      <c r="A372" s="837" t="str">
        <f t="shared" si="162"/>
        <v/>
      </c>
      <c r="B372" s="440"/>
      <c r="C372" s="834" t="str">
        <f t="shared" ca="1" si="163"/>
        <v/>
      </c>
      <c r="D372" s="1757" t="str">
        <f ca="1">IFERROR(VLOOKUP(LEFT(E372,4),Nom_activ_2!D:G,4,0),"")</f>
        <v/>
      </c>
      <c r="E372" s="1757" t="str">
        <f t="shared" ca="1" si="164"/>
        <v/>
      </c>
      <c r="F372" s="1777">
        <f t="shared" ca="1" si="193"/>
        <v>0</v>
      </c>
      <c r="G372" s="839">
        <f t="shared" ca="1" si="193"/>
        <v>0</v>
      </c>
      <c r="H372" s="840">
        <f t="shared" ca="1" si="193"/>
        <v>0</v>
      </c>
      <c r="I372" s="443"/>
      <c r="J372" s="838" t="str">
        <f t="shared" si="166"/>
        <v>!$A:$j</v>
      </c>
      <c r="K372" s="475">
        <f t="shared" ca="1" si="167"/>
        <v>0</v>
      </c>
      <c r="L372" s="480"/>
      <c r="M372" s="477">
        <f t="shared" si="168"/>
        <v>0</v>
      </c>
      <c r="N372" s="480"/>
      <c r="O372" s="477">
        <f t="shared" si="169"/>
        <v>0</v>
      </c>
      <c r="P372" s="480"/>
      <c r="Q372" s="477">
        <f t="shared" si="170"/>
        <v>0</v>
      </c>
      <c r="R372" s="480"/>
      <c r="S372" s="477">
        <f t="shared" ca="1" si="171"/>
        <v>0</v>
      </c>
      <c r="T372" s="475">
        <f t="shared" ca="1" si="172"/>
        <v>0</v>
      </c>
      <c r="U372" s="480"/>
      <c r="V372" s="477">
        <f t="shared" si="173"/>
        <v>0</v>
      </c>
      <c r="W372" s="480"/>
      <c r="X372" s="477">
        <f t="shared" si="174"/>
        <v>0</v>
      </c>
      <c r="Y372" s="480"/>
      <c r="Z372" s="477">
        <f t="shared" si="175"/>
        <v>0</v>
      </c>
      <c r="AA372" s="480"/>
      <c r="AB372" s="477">
        <f t="shared" ca="1" si="176"/>
        <v>0</v>
      </c>
      <c r="AC372" s="475">
        <f t="shared" ca="1" si="177"/>
        <v>0</v>
      </c>
      <c r="AD372" s="480"/>
      <c r="AE372" s="477">
        <f t="shared" si="178"/>
        <v>0</v>
      </c>
      <c r="AF372" s="480"/>
      <c r="AG372" s="477">
        <f t="shared" si="179"/>
        <v>0</v>
      </c>
      <c r="AH372" s="480"/>
      <c r="AI372" s="477">
        <f t="shared" si="180"/>
        <v>0</v>
      </c>
      <c r="AJ372" s="480"/>
      <c r="AK372" s="477">
        <f t="shared" ca="1" si="181"/>
        <v>0</v>
      </c>
      <c r="AL372" s="475">
        <f t="shared" ca="1" si="182"/>
        <v>0</v>
      </c>
      <c r="AM372" s="480"/>
      <c r="AN372" s="477">
        <f t="shared" si="183"/>
        <v>0</v>
      </c>
      <c r="AO372" s="480"/>
      <c r="AP372" s="477">
        <f t="shared" si="184"/>
        <v>0</v>
      </c>
      <c r="AQ372" s="480"/>
      <c r="AR372" s="477">
        <f t="shared" si="185"/>
        <v>0</v>
      </c>
      <c r="AS372" s="480"/>
      <c r="AT372" s="477">
        <f t="shared" ca="1" si="186"/>
        <v>0</v>
      </c>
      <c r="AU372" s="475">
        <f t="shared" ca="1" si="187"/>
        <v>0</v>
      </c>
      <c r="AV372" s="480"/>
      <c r="AW372" s="477">
        <f t="shared" si="188"/>
        <v>0</v>
      </c>
      <c r="AX372" s="480"/>
      <c r="AY372" s="477">
        <f t="shared" si="189"/>
        <v>0</v>
      </c>
      <c r="AZ372" s="480"/>
      <c r="BA372" s="477">
        <f t="shared" si="190"/>
        <v>0</v>
      </c>
      <c r="BB372" s="480"/>
      <c r="BC372" s="850">
        <f t="shared" ca="1" si="191"/>
        <v>0</v>
      </c>
    </row>
    <row r="373" spans="1:55">
      <c r="A373" s="837" t="str">
        <f t="shared" si="162"/>
        <v/>
      </c>
      <c r="B373" s="440"/>
      <c r="C373" s="834" t="str">
        <f t="shared" ca="1" si="163"/>
        <v/>
      </c>
      <c r="D373" s="1757" t="str">
        <f ca="1">IFERROR(VLOOKUP(LEFT(E373,4),Nom_activ_2!D:G,4,0),"")</f>
        <v/>
      </c>
      <c r="E373" s="1757" t="str">
        <f t="shared" ca="1" si="164"/>
        <v/>
      </c>
      <c r="F373" s="1777">
        <f t="shared" ca="1" si="193"/>
        <v>0</v>
      </c>
      <c r="G373" s="839">
        <f t="shared" ca="1" si="193"/>
        <v>0</v>
      </c>
      <c r="H373" s="840">
        <f t="shared" ca="1" si="193"/>
        <v>0</v>
      </c>
      <c r="I373" s="443"/>
      <c r="J373" s="838" t="str">
        <f t="shared" si="166"/>
        <v>!$A:$j</v>
      </c>
      <c r="K373" s="475">
        <f t="shared" ca="1" si="167"/>
        <v>0</v>
      </c>
      <c r="L373" s="480"/>
      <c r="M373" s="477">
        <f t="shared" si="168"/>
        <v>0</v>
      </c>
      <c r="N373" s="480"/>
      <c r="O373" s="477">
        <f t="shared" si="169"/>
        <v>0</v>
      </c>
      <c r="P373" s="480"/>
      <c r="Q373" s="477">
        <f t="shared" si="170"/>
        <v>0</v>
      </c>
      <c r="R373" s="480"/>
      <c r="S373" s="477">
        <f t="shared" ca="1" si="171"/>
        <v>0</v>
      </c>
      <c r="T373" s="475">
        <f t="shared" ca="1" si="172"/>
        <v>0</v>
      </c>
      <c r="U373" s="480"/>
      <c r="V373" s="477">
        <f t="shared" si="173"/>
        <v>0</v>
      </c>
      <c r="W373" s="480"/>
      <c r="X373" s="477">
        <f t="shared" si="174"/>
        <v>0</v>
      </c>
      <c r="Y373" s="480"/>
      <c r="Z373" s="477">
        <f t="shared" si="175"/>
        <v>0</v>
      </c>
      <c r="AA373" s="480"/>
      <c r="AB373" s="477">
        <f t="shared" ca="1" si="176"/>
        <v>0</v>
      </c>
      <c r="AC373" s="475">
        <f t="shared" ca="1" si="177"/>
        <v>0</v>
      </c>
      <c r="AD373" s="480"/>
      <c r="AE373" s="477">
        <f t="shared" si="178"/>
        <v>0</v>
      </c>
      <c r="AF373" s="480"/>
      <c r="AG373" s="477">
        <f t="shared" si="179"/>
        <v>0</v>
      </c>
      <c r="AH373" s="480"/>
      <c r="AI373" s="477">
        <f t="shared" si="180"/>
        <v>0</v>
      </c>
      <c r="AJ373" s="480"/>
      <c r="AK373" s="477">
        <f t="shared" ca="1" si="181"/>
        <v>0</v>
      </c>
      <c r="AL373" s="475">
        <f t="shared" ca="1" si="182"/>
        <v>0</v>
      </c>
      <c r="AM373" s="480"/>
      <c r="AN373" s="477">
        <f t="shared" si="183"/>
        <v>0</v>
      </c>
      <c r="AO373" s="480"/>
      <c r="AP373" s="477">
        <f t="shared" si="184"/>
        <v>0</v>
      </c>
      <c r="AQ373" s="480"/>
      <c r="AR373" s="477">
        <f t="shared" si="185"/>
        <v>0</v>
      </c>
      <c r="AS373" s="480"/>
      <c r="AT373" s="477">
        <f t="shared" ca="1" si="186"/>
        <v>0</v>
      </c>
      <c r="AU373" s="475">
        <f t="shared" ca="1" si="187"/>
        <v>0</v>
      </c>
      <c r="AV373" s="480"/>
      <c r="AW373" s="477">
        <f t="shared" si="188"/>
        <v>0</v>
      </c>
      <c r="AX373" s="480"/>
      <c r="AY373" s="477">
        <f t="shared" si="189"/>
        <v>0</v>
      </c>
      <c r="AZ373" s="480"/>
      <c r="BA373" s="477">
        <f t="shared" si="190"/>
        <v>0</v>
      </c>
      <c r="BB373" s="480"/>
      <c r="BC373" s="850">
        <f t="shared" ca="1" si="191"/>
        <v>0</v>
      </c>
    </row>
    <row r="374" spans="1:55">
      <c r="A374" s="837" t="str">
        <f t="shared" si="162"/>
        <v/>
      </c>
      <c r="B374" s="440"/>
      <c r="C374" s="834" t="str">
        <f t="shared" ca="1" si="163"/>
        <v/>
      </c>
      <c r="D374" s="1757" t="str">
        <f ca="1">IFERROR(VLOOKUP(LEFT(E374,4),Nom_activ_2!D:G,4,0),"")</f>
        <v/>
      </c>
      <c r="E374" s="1757" t="str">
        <f t="shared" ca="1" si="164"/>
        <v/>
      </c>
      <c r="F374" s="1777">
        <f t="shared" ca="1" si="193"/>
        <v>0</v>
      </c>
      <c r="G374" s="839">
        <f t="shared" ca="1" si="193"/>
        <v>0</v>
      </c>
      <c r="H374" s="840">
        <f t="shared" ca="1" si="193"/>
        <v>0</v>
      </c>
      <c r="I374" s="443"/>
      <c r="J374" s="838" t="str">
        <f t="shared" si="166"/>
        <v>!$A:$j</v>
      </c>
      <c r="K374" s="475">
        <f t="shared" ca="1" si="167"/>
        <v>0</v>
      </c>
      <c r="L374" s="480"/>
      <c r="M374" s="477">
        <f t="shared" si="168"/>
        <v>0</v>
      </c>
      <c r="N374" s="480"/>
      <c r="O374" s="477">
        <f t="shared" si="169"/>
        <v>0</v>
      </c>
      <c r="P374" s="480"/>
      <c r="Q374" s="477">
        <f t="shared" si="170"/>
        <v>0</v>
      </c>
      <c r="R374" s="480"/>
      <c r="S374" s="477">
        <f t="shared" ca="1" si="171"/>
        <v>0</v>
      </c>
      <c r="T374" s="475">
        <f t="shared" ca="1" si="172"/>
        <v>0</v>
      </c>
      <c r="U374" s="480"/>
      <c r="V374" s="477">
        <f t="shared" si="173"/>
        <v>0</v>
      </c>
      <c r="W374" s="480"/>
      <c r="X374" s="477">
        <f t="shared" si="174"/>
        <v>0</v>
      </c>
      <c r="Y374" s="480"/>
      <c r="Z374" s="477">
        <f t="shared" si="175"/>
        <v>0</v>
      </c>
      <c r="AA374" s="480"/>
      <c r="AB374" s="477">
        <f t="shared" ca="1" si="176"/>
        <v>0</v>
      </c>
      <c r="AC374" s="475">
        <f t="shared" ca="1" si="177"/>
        <v>0</v>
      </c>
      <c r="AD374" s="480"/>
      <c r="AE374" s="477">
        <f t="shared" si="178"/>
        <v>0</v>
      </c>
      <c r="AF374" s="480"/>
      <c r="AG374" s="477">
        <f t="shared" si="179"/>
        <v>0</v>
      </c>
      <c r="AH374" s="480"/>
      <c r="AI374" s="477">
        <f t="shared" si="180"/>
        <v>0</v>
      </c>
      <c r="AJ374" s="480"/>
      <c r="AK374" s="477">
        <f t="shared" ca="1" si="181"/>
        <v>0</v>
      </c>
      <c r="AL374" s="475">
        <f t="shared" ca="1" si="182"/>
        <v>0</v>
      </c>
      <c r="AM374" s="480"/>
      <c r="AN374" s="477">
        <f t="shared" si="183"/>
        <v>0</v>
      </c>
      <c r="AO374" s="480"/>
      <c r="AP374" s="477">
        <f t="shared" si="184"/>
        <v>0</v>
      </c>
      <c r="AQ374" s="480"/>
      <c r="AR374" s="477">
        <f t="shared" si="185"/>
        <v>0</v>
      </c>
      <c r="AS374" s="480"/>
      <c r="AT374" s="477">
        <f t="shared" ca="1" si="186"/>
        <v>0</v>
      </c>
      <c r="AU374" s="475">
        <f t="shared" ca="1" si="187"/>
        <v>0</v>
      </c>
      <c r="AV374" s="480"/>
      <c r="AW374" s="477">
        <f t="shared" si="188"/>
        <v>0</v>
      </c>
      <c r="AX374" s="480"/>
      <c r="AY374" s="477">
        <f t="shared" si="189"/>
        <v>0</v>
      </c>
      <c r="AZ374" s="480"/>
      <c r="BA374" s="477">
        <f t="shared" si="190"/>
        <v>0</v>
      </c>
      <c r="BB374" s="480"/>
      <c r="BC374" s="850">
        <f t="shared" ca="1" si="191"/>
        <v>0</v>
      </c>
    </row>
    <row r="375" spans="1:55">
      <c r="A375" s="837" t="str">
        <f t="shared" si="162"/>
        <v/>
      </c>
      <c r="B375" s="440"/>
      <c r="C375" s="834" t="str">
        <f t="shared" ca="1" si="163"/>
        <v/>
      </c>
      <c r="D375" s="1757" t="str">
        <f ca="1">IFERROR(VLOOKUP(LEFT(E375,4),Nom_activ_2!D:G,4,0),"")</f>
        <v/>
      </c>
      <c r="E375" s="1757" t="str">
        <f t="shared" ca="1" si="164"/>
        <v/>
      </c>
      <c r="F375" s="1777">
        <f t="shared" ca="1" si="193"/>
        <v>0</v>
      </c>
      <c r="G375" s="839">
        <f t="shared" ca="1" si="193"/>
        <v>0</v>
      </c>
      <c r="H375" s="840">
        <f t="shared" ca="1" si="193"/>
        <v>0</v>
      </c>
      <c r="I375" s="443"/>
      <c r="J375" s="838" t="str">
        <f t="shared" si="166"/>
        <v>!$A:$j</v>
      </c>
      <c r="K375" s="475">
        <f t="shared" ca="1" si="167"/>
        <v>0</v>
      </c>
      <c r="L375" s="480"/>
      <c r="M375" s="477">
        <f t="shared" si="168"/>
        <v>0</v>
      </c>
      <c r="N375" s="480"/>
      <c r="O375" s="477">
        <f t="shared" si="169"/>
        <v>0</v>
      </c>
      <c r="P375" s="480"/>
      <c r="Q375" s="477">
        <f t="shared" si="170"/>
        <v>0</v>
      </c>
      <c r="R375" s="480"/>
      <c r="S375" s="477">
        <f t="shared" ca="1" si="171"/>
        <v>0</v>
      </c>
      <c r="T375" s="475">
        <f t="shared" ca="1" si="172"/>
        <v>0</v>
      </c>
      <c r="U375" s="480"/>
      <c r="V375" s="477">
        <f t="shared" si="173"/>
        <v>0</v>
      </c>
      <c r="W375" s="480"/>
      <c r="X375" s="477">
        <f t="shared" si="174"/>
        <v>0</v>
      </c>
      <c r="Y375" s="480"/>
      <c r="Z375" s="477">
        <f t="shared" si="175"/>
        <v>0</v>
      </c>
      <c r="AA375" s="480"/>
      <c r="AB375" s="477">
        <f t="shared" ca="1" si="176"/>
        <v>0</v>
      </c>
      <c r="AC375" s="475">
        <f t="shared" ca="1" si="177"/>
        <v>0</v>
      </c>
      <c r="AD375" s="480"/>
      <c r="AE375" s="477">
        <f t="shared" si="178"/>
        <v>0</v>
      </c>
      <c r="AF375" s="480"/>
      <c r="AG375" s="477">
        <f t="shared" si="179"/>
        <v>0</v>
      </c>
      <c r="AH375" s="480"/>
      <c r="AI375" s="477">
        <f t="shared" si="180"/>
        <v>0</v>
      </c>
      <c r="AJ375" s="480"/>
      <c r="AK375" s="477">
        <f t="shared" ca="1" si="181"/>
        <v>0</v>
      </c>
      <c r="AL375" s="475">
        <f t="shared" ca="1" si="182"/>
        <v>0</v>
      </c>
      <c r="AM375" s="480"/>
      <c r="AN375" s="477">
        <f t="shared" si="183"/>
        <v>0</v>
      </c>
      <c r="AO375" s="480"/>
      <c r="AP375" s="477">
        <f t="shared" si="184"/>
        <v>0</v>
      </c>
      <c r="AQ375" s="480"/>
      <c r="AR375" s="477">
        <f t="shared" si="185"/>
        <v>0</v>
      </c>
      <c r="AS375" s="480"/>
      <c r="AT375" s="477">
        <f t="shared" ca="1" si="186"/>
        <v>0</v>
      </c>
      <c r="AU375" s="475">
        <f t="shared" ca="1" si="187"/>
        <v>0</v>
      </c>
      <c r="AV375" s="480"/>
      <c r="AW375" s="477">
        <f t="shared" si="188"/>
        <v>0</v>
      </c>
      <c r="AX375" s="480"/>
      <c r="AY375" s="477">
        <f t="shared" si="189"/>
        <v>0</v>
      </c>
      <c r="AZ375" s="480"/>
      <c r="BA375" s="477">
        <f t="shared" si="190"/>
        <v>0</v>
      </c>
      <c r="BB375" s="480"/>
      <c r="BC375" s="850">
        <f t="shared" ca="1" si="191"/>
        <v>0</v>
      </c>
    </row>
    <row r="376" spans="1:55">
      <c r="A376" s="837" t="str">
        <f t="shared" si="162"/>
        <v/>
      </c>
      <c r="B376" s="440"/>
      <c r="C376" s="834" t="str">
        <f t="shared" ca="1" si="163"/>
        <v/>
      </c>
      <c r="D376" s="1757" t="str">
        <f ca="1">IFERROR(VLOOKUP(LEFT(E376,4),Nom_activ_2!D:G,4,0),"")</f>
        <v/>
      </c>
      <c r="E376" s="1757" t="str">
        <f t="shared" ca="1" si="164"/>
        <v/>
      </c>
      <c r="F376" s="1777">
        <f t="shared" ca="1" si="193"/>
        <v>0</v>
      </c>
      <c r="G376" s="839">
        <f t="shared" ca="1" si="193"/>
        <v>0</v>
      </c>
      <c r="H376" s="840">
        <f t="shared" ca="1" si="193"/>
        <v>0</v>
      </c>
      <c r="I376" s="443"/>
      <c r="J376" s="838" t="str">
        <f t="shared" si="166"/>
        <v>!$A:$j</v>
      </c>
      <c r="K376" s="475">
        <f t="shared" ca="1" si="167"/>
        <v>0</v>
      </c>
      <c r="L376" s="480"/>
      <c r="M376" s="477">
        <f t="shared" si="168"/>
        <v>0</v>
      </c>
      <c r="N376" s="480"/>
      <c r="O376" s="477">
        <f t="shared" si="169"/>
        <v>0</v>
      </c>
      <c r="P376" s="480"/>
      <c r="Q376" s="477">
        <f t="shared" si="170"/>
        <v>0</v>
      </c>
      <c r="R376" s="480"/>
      <c r="S376" s="477">
        <f t="shared" ca="1" si="171"/>
        <v>0</v>
      </c>
      <c r="T376" s="475">
        <f t="shared" ca="1" si="172"/>
        <v>0</v>
      </c>
      <c r="U376" s="480"/>
      <c r="V376" s="477">
        <f t="shared" si="173"/>
        <v>0</v>
      </c>
      <c r="W376" s="480"/>
      <c r="X376" s="477">
        <f t="shared" si="174"/>
        <v>0</v>
      </c>
      <c r="Y376" s="480"/>
      <c r="Z376" s="477">
        <f t="shared" si="175"/>
        <v>0</v>
      </c>
      <c r="AA376" s="480"/>
      <c r="AB376" s="477">
        <f t="shared" ca="1" si="176"/>
        <v>0</v>
      </c>
      <c r="AC376" s="475">
        <f t="shared" ca="1" si="177"/>
        <v>0</v>
      </c>
      <c r="AD376" s="480"/>
      <c r="AE376" s="477">
        <f t="shared" si="178"/>
        <v>0</v>
      </c>
      <c r="AF376" s="480"/>
      <c r="AG376" s="477">
        <f t="shared" si="179"/>
        <v>0</v>
      </c>
      <c r="AH376" s="480"/>
      <c r="AI376" s="477">
        <f t="shared" si="180"/>
        <v>0</v>
      </c>
      <c r="AJ376" s="480"/>
      <c r="AK376" s="477">
        <f t="shared" ca="1" si="181"/>
        <v>0</v>
      </c>
      <c r="AL376" s="475">
        <f t="shared" ca="1" si="182"/>
        <v>0</v>
      </c>
      <c r="AM376" s="480"/>
      <c r="AN376" s="477">
        <f t="shared" si="183"/>
        <v>0</v>
      </c>
      <c r="AO376" s="480"/>
      <c r="AP376" s="477">
        <f t="shared" si="184"/>
        <v>0</v>
      </c>
      <c r="AQ376" s="480"/>
      <c r="AR376" s="477">
        <f t="shared" si="185"/>
        <v>0</v>
      </c>
      <c r="AS376" s="480"/>
      <c r="AT376" s="477">
        <f t="shared" ca="1" si="186"/>
        <v>0</v>
      </c>
      <c r="AU376" s="475">
        <f t="shared" ca="1" si="187"/>
        <v>0</v>
      </c>
      <c r="AV376" s="480"/>
      <c r="AW376" s="477">
        <f t="shared" si="188"/>
        <v>0</v>
      </c>
      <c r="AX376" s="480"/>
      <c r="AY376" s="477">
        <f t="shared" si="189"/>
        <v>0</v>
      </c>
      <c r="AZ376" s="480"/>
      <c r="BA376" s="477">
        <f t="shared" si="190"/>
        <v>0</v>
      </c>
      <c r="BB376" s="480"/>
      <c r="BC376" s="850">
        <f t="shared" ca="1" si="191"/>
        <v>0</v>
      </c>
    </row>
    <row r="377" spans="1:55">
      <c r="A377" s="837" t="str">
        <f t="shared" si="162"/>
        <v/>
      </c>
      <c r="B377" s="440"/>
      <c r="C377" s="834" t="str">
        <f t="shared" ca="1" si="163"/>
        <v/>
      </c>
      <c r="D377" s="1757" t="str">
        <f ca="1">IFERROR(VLOOKUP(LEFT(E377,4),Nom_activ_2!D:G,4,0),"")</f>
        <v/>
      </c>
      <c r="E377" s="1757" t="str">
        <f t="shared" ca="1" si="164"/>
        <v/>
      </c>
      <c r="F377" s="1777">
        <f t="shared" ca="1" si="193"/>
        <v>0</v>
      </c>
      <c r="G377" s="839">
        <f t="shared" ca="1" si="193"/>
        <v>0</v>
      </c>
      <c r="H377" s="840">
        <f t="shared" ca="1" si="193"/>
        <v>0</v>
      </c>
      <c r="I377" s="443"/>
      <c r="J377" s="838" t="str">
        <f t="shared" si="166"/>
        <v>!$A:$j</v>
      </c>
      <c r="K377" s="475">
        <f t="shared" ca="1" si="167"/>
        <v>0</v>
      </c>
      <c r="L377" s="480"/>
      <c r="M377" s="477">
        <f t="shared" si="168"/>
        <v>0</v>
      </c>
      <c r="N377" s="480"/>
      <c r="O377" s="477">
        <f t="shared" si="169"/>
        <v>0</v>
      </c>
      <c r="P377" s="480"/>
      <c r="Q377" s="477">
        <f t="shared" si="170"/>
        <v>0</v>
      </c>
      <c r="R377" s="480"/>
      <c r="S377" s="477">
        <f t="shared" ca="1" si="171"/>
        <v>0</v>
      </c>
      <c r="T377" s="475">
        <f t="shared" ca="1" si="172"/>
        <v>0</v>
      </c>
      <c r="U377" s="480"/>
      <c r="V377" s="477">
        <f t="shared" si="173"/>
        <v>0</v>
      </c>
      <c r="W377" s="480"/>
      <c r="X377" s="477">
        <f t="shared" si="174"/>
        <v>0</v>
      </c>
      <c r="Y377" s="480"/>
      <c r="Z377" s="477">
        <f t="shared" si="175"/>
        <v>0</v>
      </c>
      <c r="AA377" s="480"/>
      <c r="AB377" s="477">
        <f t="shared" ca="1" si="176"/>
        <v>0</v>
      </c>
      <c r="AC377" s="475">
        <f t="shared" ca="1" si="177"/>
        <v>0</v>
      </c>
      <c r="AD377" s="480"/>
      <c r="AE377" s="477">
        <f t="shared" si="178"/>
        <v>0</v>
      </c>
      <c r="AF377" s="480"/>
      <c r="AG377" s="477">
        <f t="shared" si="179"/>
        <v>0</v>
      </c>
      <c r="AH377" s="480"/>
      <c r="AI377" s="477">
        <f t="shared" si="180"/>
        <v>0</v>
      </c>
      <c r="AJ377" s="480"/>
      <c r="AK377" s="477">
        <f t="shared" ca="1" si="181"/>
        <v>0</v>
      </c>
      <c r="AL377" s="475">
        <f t="shared" ca="1" si="182"/>
        <v>0</v>
      </c>
      <c r="AM377" s="480"/>
      <c r="AN377" s="477">
        <f t="shared" si="183"/>
        <v>0</v>
      </c>
      <c r="AO377" s="480"/>
      <c r="AP377" s="477">
        <f t="shared" si="184"/>
        <v>0</v>
      </c>
      <c r="AQ377" s="480"/>
      <c r="AR377" s="477">
        <f t="shared" si="185"/>
        <v>0</v>
      </c>
      <c r="AS377" s="480"/>
      <c r="AT377" s="477">
        <f t="shared" ca="1" si="186"/>
        <v>0</v>
      </c>
      <c r="AU377" s="475">
        <f t="shared" ca="1" si="187"/>
        <v>0</v>
      </c>
      <c r="AV377" s="480"/>
      <c r="AW377" s="477">
        <f t="shared" si="188"/>
        <v>0</v>
      </c>
      <c r="AX377" s="480"/>
      <c r="AY377" s="477">
        <f t="shared" si="189"/>
        <v>0</v>
      </c>
      <c r="AZ377" s="480"/>
      <c r="BA377" s="477">
        <f t="shared" si="190"/>
        <v>0</v>
      </c>
      <c r="BB377" s="480"/>
      <c r="BC377" s="850">
        <f t="shared" ca="1" si="191"/>
        <v>0</v>
      </c>
    </row>
    <row r="378" spans="1:55">
      <c r="A378" s="837" t="str">
        <f t="shared" si="162"/>
        <v/>
      </c>
      <c r="B378" s="440"/>
      <c r="C378" s="834" t="str">
        <f t="shared" ca="1" si="163"/>
        <v/>
      </c>
      <c r="D378" s="1757" t="str">
        <f ca="1">IFERROR(VLOOKUP(LEFT(E378,4),Nom_activ_2!D:G,4,0),"")</f>
        <v/>
      </c>
      <c r="E378" s="1757" t="str">
        <f t="shared" ca="1" si="164"/>
        <v/>
      </c>
      <c r="F378" s="1777">
        <f t="shared" ca="1" si="193"/>
        <v>0</v>
      </c>
      <c r="G378" s="839">
        <f t="shared" ca="1" si="193"/>
        <v>0</v>
      </c>
      <c r="H378" s="840">
        <f t="shared" ca="1" si="193"/>
        <v>0</v>
      </c>
      <c r="I378" s="443"/>
      <c r="J378" s="838" t="str">
        <f t="shared" si="166"/>
        <v>!$A:$j</v>
      </c>
      <c r="K378" s="475">
        <f t="shared" ca="1" si="167"/>
        <v>0</v>
      </c>
      <c r="L378" s="480"/>
      <c r="M378" s="477">
        <f t="shared" si="168"/>
        <v>0</v>
      </c>
      <c r="N378" s="480"/>
      <c r="O378" s="477">
        <f t="shared" si="169"/>
        <v>0</v>
      </c>
      <c r="P378" s="480"/>
      <c r="Q378" s="477">
        <f t="shared" si="170"/>
        <v>0</v>
      </c>
      <c r="R378" s="480"/>
      <c r="S378" s="477">
        <f t="shared" ca="1" si="171"/>
        <v>0</v>
      </c>
      <c r="T378" s="475">
        <f t="shared" ca="1" si="172"/>
        <v>0</v>
      </c>
      <c r="U378" s="480"/>
      <c r="V378" s="477">
        <f t="shared" si="173"/>
        <v>0</v>
      </c>
      <c r="W378" s="480"/>
      <c r="X378" s="477">
        <f t="shared" si="174"/>
        <v>0</v>
      </c>
      <c r="Y378" s="480"/>
      <c r="Z378" s="477">
        <f t="shared" si="175"/>
        <v>0</v>
      </c>
      <c r="AA378" s="480"/>
      <c r="AB378" s="477">
        <f t="shared" ca="1" si="176"/>
        <v>0</v>
      </c>
      <c r="AC378" s="475">
        <f t="shared" ca="1" si="177"/>
        <v>0</v>
      </c>
      <c r="AD378" s="480"/>
      <c r="AE378" s="477">
        <f t="shared" si="178"/>
        <v>0</v>
      </c>
      <c r="AF378" s="480"/>
      <c r="AG378" s="477">
        <f t="shared" si="179"/>
        <v>0</v>
      </c>
      <c r="AH378" s="480"/>
      <c r="AI378" s="477">
        <f t="shared" si="180"/>
        <v>0</v>
      </c>
      <c r="AJ378" s="480"/>
      <c r="AK378" s="477">
        <f t="shared" ca="1" si="181"/>
        <v>0</v>
      </c>
      <c r="AL378" s="475">
        <f t="shared" ca="1" si="182"/>
        <v>0</v>
      </c>
      <c r="AM378" s="480"/>
      <c r="AN378" s="477">
        <f t="shared" si="183"/>
        <v>0</v>
      </c>
      <c r="AO378" s="480"/>
      <c r="AP378" s="477">
        <f t="shared" si="184"/>
        <v>0</v>
      </c>
      <c r="AQ378" s="480"/>
      <c r="AR378" s="477">
        <f t="shared" si="185"/>
        <v>0</v>
      </c>
      <c r="AS378" s="480"/>
      <c r="AT378" s="477">
        <f t="shared" ca="1" si="186"/>
        <v>0</v>
      </c>
      <c r="AU378" s="475">
        <f t="shared" ca="1" si="187"/>
        <v>0</v>
      </c>
      <c r="AV378" s="480"/>
      <c r="AW378" s="477">
        <f t="shared" si="188"/>
        <v>0</v>
      </c>
      <c r="AX378" s="480"/>
      <c r="AY378" s="477">
        <f t="shared" si="189"/>
        <v>0</v>
      </c>
      <c r="AZ378" s="480"/>
      <c r="BA378" s="477">
        <f t="shared" si="190"/>
        <v>0</v>
      </c>
      <c r="BB378" s="480"/>
      <c r="BC378" s="850">
        <f t="shared" ca="1" si="191"/>
        <v>0</v>
      </c>
    </row>
    <row r="379" spans="1:55">
      <c r="A379" s="837" t="str">
        <f t="shared" si="162"/>
        <v/>
      </c>
      <c r="B379" s="440"/>
      <c r="C379" s="834" t="str">
        <f t="shared" ca="1" si="163"/>
        <v/>
      </c>
      <c r="D379" s="1757" t="str">
        <f ca="1">IFERROR(VLOOKUP(LEFT(E379,4),Nom_activ_2!D:G,4,0),"")</f>
        <v/>
      </c>
      <c r="E379" s="1757" t="str">
        <f t="shared" ca="1" si="164"/>
        <v/>
      </c>
      <c r="F379" s="1777">
        <f t="shared" ca="1" si="193"/>
        <v>0</v>
      </c>
      <c r="G379" s="839">
        <f t="shared" ca="1" si="193"/>
        <v>0</v>
      </c>
      <c r="H379" s="840">
        <f t="shared" ca="1" si="193"/>
        <v>0</v>
      </c>
      <c r="I379" s="443"/>
      <c r="J379" s="838" t="str">
        <f t="shared" si="166"/>
        <v>!$A:$j</v>
      </c>
      <c r="K379" s="475">
        <f t="shared" ca="1" si="167"/>
        <v>0</v>
      </c>
      <c r="L379" s="480"/>
      <c r="M379" s="477">
        <f t="shared" si="168"/>
        <v>0</v>
      </c>
      <c r="N379" s="480"/>
      <c r="O379" s="477">
        <f t="shared" si="169"/>
        <v>0</v>
      </c>
      <c r="P379" s="480"/>
      <c r="Q379" s="477">
        <f t="shared" si="170"/>
        <v>0</v>
      </c>
      <c r="R379" s="480"/>
      <c r="S379" s="477">
        <f t="shared" ca="1" si="171"/>
        <v>0</v>
      </c>
      <c r="T379" s="475">
        <f t="shared" ca="1" si="172"/>
        <v>0</v>
      </c>
      <c r="U379" s="480"/>
      <c r="V379" s="477">
        <f t="shared" si="173"/>
        <v>0</v>
      </c>
      <c r="W379" s="480"/>
      <c r="X379" s="477">
        <f t="shared" si="174"/>
        <v>0</v>
      </c>
      <c r="Y379" s="480"/>
      <c r="Z379" s="477">
        <f t="shared" si="175"/>
        <v>0</v>
      </c>
      <c r="AA379" s="480"/>
      <c r="AB379" s="477">
        <f t="shared" ca="1" si="176"/>
        <v>0</v>
      </c>
      <c r="AC379" s="475">
        <f t="shared" ca="1" si="177"/>
        <v>0</v>
      </c>
      <c r="AD379" s="480"/>
      <c r="AE379" s="477">
        <f t="shared" si="178"/>
        <v>0</v>
      </c>
      <c r="AF379" s="480"/>
      <c r="AG379" s="477">
        <f t="shared" si="179"/>
        <v>0</v>
      </c>
      <c r="AH379" s="480"/>
      <c r="AI379" s="477">
        <f t="shared" si="180"/>
        <v>0</v>
      </c>
      <c r="AJ379" s="480"/>
      <c r="AK379" s="477">
        <f t="shared" ca="1" si="181"/>
        <v>0</v>
      </c>
      <c r="AL379" s="475">
        <f t="shared" ca="1" si="182"/>
        <v>0</v>
      </c>
      <c r="AM379" s="480"/>
      <c r="AN379" s="477">
        <f t="shared" si="183"/>
        <v>0</v>
      </c>
      <c r="AO379" s="480"/>
      <c r="AP379" s="477">
        <f t="shared" si="184"/>
        <v>0</v>
      </c>
      <c r="AQ379" s="480"/>
      <c r="AR379" s="477">
        <f t="shared" si="185"/>
        <v>0</v>
      </c>
      <c r="AS379" s="480"/>
      <c r="AT379" s="477">
        <f t="shared" ca="1" si="186"/>
        <v>0</v>
      </c>
      <c r="AU379" s="475">
        <f t="shared" ca="1" si="187"/>
        <v>0</v>
      </c>
      <c r="AV379" s="480"/>
      <c r="AW379" s="477">
        <f t="shared" si="188"/>
        <v>0</v>
      </c>
      <c r="AX379" s="480"/>
      <c r="AY379" s="477">
        <f t="shared" si="189"/>
        <v>0</v>
      </c>
      <c r="AZ379" s="480"/>
      <c r="BA379" s="477">
        <f t="shared" si="190"/>
        <v>0</v>
      </c>
      <c r="BB379" s="480"/>
      <c r="BC379" s="850">
        <f t="shared" ca="1" si="191"/>
        <v>0</v>
      </c>
    </row>
    <row r="380" spans="1:55">
      <c r="A380" s="837" t="str">
        <f t="shared" si="162"/>
        <v/>
      </c>
      <c r="B380" s="440"/>
      <c r="C380" s="834" t="str">
        <f t="shared" ca="1" si="163"/>
        <v/>
      </c>
      <c r="D380" s="1757" t="str">
        <f ca="1">IFERROR(VLOOKUP(LEFT(E380,4),Nom_activ_2!D:G,4,0),"")</f>
        <v/>
      </c>
      <c r="E380" s="1757" t="str">
        <f t="shared" ca="1" si="164"/>
        <v/>
      </c>
      <c r="F380" s="1777">
        <f t="shared" ca="1" si="193"/>
        <v>0</v>
      </c>
      <c r="G380" s="839">
        <f t="shared" ca="1" si="193"/>
        <v>0</v>
      </c>
      <c r="H380" s="840">
        <f t="shared" ca="1" si="193"/>
        <v>0</v>
      </c>
      <c r="I380" s="443"/>
      <c r="J380" s="838" t="str">
        <f t="shared" si="166"/>
        <v>!$A:$j</v>
      </c>
      <c r="K380" s="475">
        <f t="shared" ca="1" si="167"/>
        <v>0</v>
      </c>
      <c r="L380" s="480"/>
      <c r="M380" s="477">
        <f t="shared" si="168"/>
        <v>0</v>
      </c>
      <c r="N380" s="480"/>
      <c r="O380" s="477">
        <f t="shared" si="169"/>
        <v>0</v>
      </c>
      <c r="P380" s="480"/>
      <c r="Q380" s="477">
        <f t="shared" si="170"/>
        <v>0</v>
      </c>
      <c r="R380" s="480"/>
      <c r="S380" s="477">
        <f t="shared" ca="1" si="171"/>
        <v>0</v>
      </c>
      <c r="T380" s="475">
        <f t="shared" ca="1" si="172"/>
        <v>0</v>
      </c>
      <c r="U380" s="480"/>
      <c r="V380" s="477">
        <f t="shared" si="173"/>
        <v>0</v>
      </c>
      <c r="W380" s="480"/>
      <c r="X380" s="477">
        <f t="shared" si="174"/>
        <v>0</v>
      </c>
      <c r="Y380" s="480"/>
      <c r="Z380" s="477">
        <f t="shared" si="175"/>
        <v>0</v>
      </c>
      <c r="AA380" s="480"/>
      <c r="AB380" s="477">
        <f t="shared" ca="1" si="176"/>
        <v>0</v>
      </c>
      <c r="AC380" s="475">
        <f t="shared" ca="1" si="177"/>
        <v>0</v>
      </c>
      <c r="AD380" s="480"/>
      <c r="AE380" s="477">
        <f t="shared" si="178"/>
        <v>0</v>
      </c>
      <c r="AF380" s="480"/>
      <c r="AG380" s="477">
        <f t="shared" si="179"/>
        <v>0</v>
      </c>
      <c r="AH380" s="480"/>
      <c r="AI380" s="477">
        <f t="shared" si="180"/>
        <v>0</v>
      </c>
      <c r="AJ380" s="480"/>
      <c r="AK380" s="477">
        <f t="shared" ca="1" si="181"/>
        <v>0</v>
      </c>
      <c r="AL380" s="475">
        <f t="shared" ca="1" si="182"/>
        <v>0</v>
      </c>
      <c r="AM380" s="480"/>
      <c r="AN380" s="477">
        <f t="shared" si="183"/>
        <v>0</v>
      </c>
      <c r="AO380" s="480"/>
      <c r="AP380" s="477">
        <f t="shared" si="184"/>
        <v>0</v>
      </c>
      <c r="AQ380" s="480"/>
      <c r="AR380" s="477">
        <f t="shared" si="185"/>
        <v>0</v>
      </c>
      <c r="AS380" s="480"/>
      <c r="AT380" s="477">
        <f t="shared" ca="1" si="186"/>
        <v>0</v>
      </c>
      <c r="AU380" s="475">
        <f t="shared" ca="1" si="187"/>
        <v>0</v>
      </c>
      <c r="AV380" s="480"/>
      <c r="AW380" s="477">
        <f t="shared" si="188"/>
        <v>0</v>
      </c>
      <c r="AX380" s="480"/>
      <c r="AY380" s="477">
        <f t="shared" si="189"/>
        <v>0</v>
      </c>
      <c r="AZ380" s="480"/>
      <c r="BA380" s="477">
        <f t="shared" si="190"/>
        <v>0</v>
      </c>
      <c r="BB380" s="480"/>
      <c r="BC380" s="850">
        <f t="shared" ca="1" si="191"/>
        <v>0</v>
      </c>
    </row>
    <row r="381" spans="1:55">
      <c r="A381" s="837" t="str">
        <f t="shared" si="162"/>
        <v/>
      </c>
      <c r="B381" s="440"/>
      <c r="C381" s="834" t="str">
        <f t="shared" ca="1" si="163"/>
        <v/>
      </c>
      <c r="D381" s="1757" t="str">
        <f ca="1">IFERROR(VLOOKUP(LEFT(E381,4),Nom_activ_2!D:G,4,0),"")</f>
        <v/>
      </c>
      <c r="E381" s="1757" t="str">
        <f t="shared" ca="1" si="164"/>
        <v/>
      </c>
      <c r="F381" s="1777">
        <f t="shared" ca="1" si="193"/>
        <v>0</v>
      </c>
      <c r="G381" s="839">
        <f t="shared" ca="1" si="193"/>
        <v>0</v>
      </c>
      <c r="H381" s="840">
        <f t="shared" ca="1" si="193"/>
        <v>0</v>
      </c>
      <c r="I381" s="443"/>
      <c r="J381" s="838" t="str">
        <f t="shared" si="166"/>
        <v>!$A:$j</v>
      </c>
      <c r="K381" s="475">
        <f t="shared" ca="1" si="167"/>
        <v>0</v>
      </c>
      <c r="L381" s="480"/>
      <c r="M381" s="477">
        <f t="shared" si="168"/>
        <v>0</v>
      </c>
      <c r="N381" s="480"/>
      <c r="O381" s="477">
        <f t="shared" si="169"/>
        <v>0</v>
      </c>
      <c r="P381" s="480"/>
      <c r="Q381" s="477">
        <f t="shared" si="170"/>
        <v>0</v>
      </c>
      <c r="R381" s="480"/>
      <c r="S381" s="477">
        <f t="shared" ca="1" si="171"/>
        <v>0</v>
      </c>
      <c r="T381" s="475">
        <f t="shared" ca="1" si="172"/>
        <v>0</v>
      </c>
      <c r="U381" s="480"/>
      <c r="V381" s="477">
        <f t="shared" si="173"/>
        <v>0</v>
      </c>
      <c r="W381" s="480"/>
      <c r="X381" s="477">
        <f t="shared" si="174"/>
        <v>0</v>
      </c>
      <c r="Y381" s="480"/>
      <c r="Z381" s="477">
        <f t="shared" si="175"/>
        <v>0</v>
      </c>
      <c r="AA381" s="480"/>
      <c r="AB381" s="477">
        <f t="shared" ca="1" si="176"/>
        <v>0</v>
      </c>
      <c r="AC381" s="475">
        <f t="shared" ca="1" si="177"/>
        <v>0</v>
      </c>
      <c r="AD381" s="480"/>
      <c r="AE381" s="477">
        <f t="shared" si="178"/>
        <v>0</v>
      </c>
      <c r="AF381" s="480"/>
      <c r="AG381" s="477">
        <f t="shared" si="179"/>
        <v>0</v>
      </c>
      <c r="AH381" s="480"/>
      <c r="AI381" s="477">
        <f t="shared" si="180"/>
        <v>0</v>
      </c>
      <c r="AJ381" s="480"/>
      <c r="AK381" s="477">
        <f t="shared" ca="1" si="181"/>
        <v>0</v>
      </c>
      <c r="AL381" s="475">
        <f t="shared" ca="1" si="182"/>
        <v>0</v>
      </c>
      <c r="AM381" s="480"/>
      <c r="AN381" s="477">
        <f t="shared" si="183"/>
        <v>0</v>
      </c>
      <c r="AO381" s="480"/>
      <c r="AP381" s="477">
        <f t="shared" si="184"/>
        <v>0</v>
      </c>
      <c r="AQ381" s="480"/>
      <c r="AR381" s="477">
        <f t="shared" si="185"/>
        <v>0</v>
      </c>
      <c r="AS381" s="480"/>
      <c r="AT381" s="477">
        <f t="shared" ca="1" si="186"/>
        <v>0</v>
      </c>
      <c r="AU381" s="475">
        <f t="shared" ca="1" si="187"/>
        <v>0</v>
      </c>
      <c r="AV381" s="480"/>
      <c r="AW381" s="477">
        <f t="shared" si="188"/>
        <v>0</v>
      </c>
      <c r="AX381" s="480"/>
      <c r="AY381" s="477">
        <f t="shared" si="189"/>
        <v>0</v>
      </c>
      <c r="AZ381" s="480"/>
      <c r="BA381" s="477">
        <f t="shared" si="190"/>
        <v>0</v>
      </c>
      <c r="BB381" s="480"/>
      <c r="BC381" s="850">
        <f t="shared" ca="1" si="191"/>
        <v>0</v>
      </c>
    </row>
    <row r="382" spans="1:55">
      <c r="A382" s="837" t="str">
        <f t="shared" si="162"/>
        <v/>
      </c>
      <c r="B382" s="440"/>
      <c r="C382" s="834" t="str">
        <f t="shared" ca="1" si="163"/>
        <v/>
      </c>
      <c r="D382" s="1757" t="str">
        <f ca="1">IFERROR(VLOOKUP(LEFT(E382,4),Nom_activ_2!D:G,4,0),"")</f>
        <v/>
      </c>
      <c r="E382" s="1757" t="str">
        <f t="shared" ca="1" si="164"/>
        <v/>
      </c>
      <c r="F382" s="1777">
        <f t="shared" ca="1" si="193"/>
        <v>0</v>
      </c>
      <c r="G382" s="839">
        <f t="shared" ca="1" si="193"/>
        <v>0</v>
      </c>
      <c r="H382" s="840">
        <f t="shared" ca="1" si="193"/>
        <v>0</v>
      </c>
      <c r="I382" s="443"/>
      <c r="J382" s="838" t="str">
        <f t="shared" si="166"/>
        <v>!$A:$j</v>
      </c>
      <c r="K382" s="475">
        <f t="shared" ca="1" si="167"/>
        <v>0</v>
      </c>
      <c r="L382" s="480"/>
      <c r="M382" s="477">
        <f t="shared" si="168"/>
        <v>0</v>
      </c>
      <c r="N382" s="480"/>
      <c r="O382" s="477">
        <f t="shared" si="169"/>
        <v>0</v>
      </c>
      <c r="P382" s="480"/>
      <c r="Q382" s="477">
        <f t="shared" si="170"/>
        <v>0</v>
      </c>
      <c r="R382" s="480"/>
      <c r="S382" s="477">
        <f t="shared" ca="1" si="171"/>
        <v>0</v>
      </c>
      <c r="T382" s="475">
        <f t="shared" ca="1" si="172"/>
        <v>0</v>
      </c>
      <c r="U382" s="480"/>
      <c r="V382" s="477">
        <f t="shared" si="173"/>
        <v>0</v>
      </c>
      <c r="W382" s="480"/>
      <c r="X382" s="477">
        <f t="shared" si="174"/>
        <v>0</v>
      </c>
      <c r="Y382" s="480"/>
      <c r="Z382" s="477">
        <f t="shared" si="175"/>
        <v>0</v>
      </c>
      <c r="AA382" s="480"/>
      <c r="AB382" s="477">
        <f t="shared" ca="1" si="176"/>
        <v>0</v>
      </c>
      <c r="AC382" s="475">
        <f t="shared" ca="1" si="177"/>
        <v>0</v>
      </c>
      <c r="AD382" s="480"/>
      <c r="AE382" s="477">
        <f t="shared" si="178"/>
        <v>0</v>
      </c>
      <c r="AF382" s="480"/>
      <c r="AG382" s="477">
        <f t="shared" si="179"/>
        <v>0</v>
      </c>
      <c r="AH382" s="480"/>
      <c r="AI382" s="477">
        <f t="shared" si="180"/>
        <v>0</v>
      </c>
      <c r="AJ382" s="480"/>
      <c r="AK382" s="477">
        <f t="shared" ca="1" si="181"/>
        <v>0</v>
      </c>
      <c r="AL382" s="475">
        <f t="shared" ca="1" si="182"/>
        <v>0</v>
      </c>
      <c r="AM382" s="480"/>
      <c r="AN382" s="477">
        <f t="shared" si="183"/>
        <v>0</v>
      </c>
      <c r="AO382" s="480"/>
      <c r="AP382" s="477">
        <f t="shared" si="184"/>
        <v>0</v>
      </c>
      <c r="AQ382" s="480"/>
      <c r="AR382" s="477">
        <f t="shared" si="185"/>
        <v>0</v>
      </c>
      <c r="AS382" s="480"/>
      <c r="AT382" s="477">
        <f t="shared" ca="1" si="186"/>
        <v>0</v>
      </c>
      <c r="AU382" s="475">
        <f t="shared" ca="1" si="187"/>
        <v>0</v>
      </c>
      <c r="AV382" s="480"/>
      <c r="AW382" s="477">
        <f t="shared" si="188"/>
        <v>0</v>
      </c>
      <c r="AX382" s="480"/>
      <c r="AY382" s="477">
        <f t="shared" si="189"/>
        <v>0</v>
      </c>
      <c r="AZ382" s="480"/>
      <c r="BA382" s="477">
        <f t="shared" si="190"/>
        <v>0</v>
      </c>
      <c r="BB382" s="480"/>
      <c r="BC382" s="850">
        <f t="shared" ca="1" si="191"/>
        <v>0</v>
      </c>
    </row>
    <row r="383" spans="1:55">
      <c r="A383" s="837" t="str">
        <f t="shared" si="162"/>
        <v/>
      </c>
      <c r="B383" s="440"/>
      <c r="C383" s="834" t="str">
        <f t="shared" ca="1" si="163"/>
        <v/>
      </c>
      <c r="D383" s="1757" t="str">
        <f ca="1">IFERROR(VLOOKUP(LEFT(E383,4),Nom_activ_2!D:G,4,0),"")</f>
        <v/>
      </c>
      <c r="E383" s="1757" t="str">
        <f t="shared" ca="1" si="164"/>
        <v/>
      </c>
      <c r="F383" s="1777">
        <f t="shared" ca="1" si="193"/>
        <v>0</v>
      </c>
      <c r="G383" s="839">
        <f t="shared" ca="1" si="193"/>
        <v>0</v>
      </c>
      <c r="H383" s="840">
        <f t="shared" ca="1" si="193"/>
        <v>0</v>
      </c>
      <c r="I383" s="443"/>
      <c r="J383" s="838" t="str">
        <f t="shared" si="166"/>
        <v>!$A:$j</v>
      </c>
      <c r="K383" s="475">
        <f t="shared" ca="1" si="167"/>
        <v>0</v>
      </c>
      <c r="L383" s="480"/>
      <c r="M383" s="477">
        <f t="shared" si="168"/>
        <v>0</v>
      </c>
      <c r="N383" s="480"/>
      <c r="O383" s="477">
        <f t="shared" si="169"/>
        <v>0</v>
      </c>
      <c r="P383" s="480"/>
      <c r="Q383" s="477">
        <f t="shared" si="170"/>
        <v>0</v>
      </c>
      <c r="R383" s="480"/>
      <c r="S383" s="477">
        <f t="shared" ca="1" si="171"/>
        <v>0</v>
      </c>
      <c r="T383" s="475">
        <f t="shared" ca="1" si="172"/>
        <v>0</v>
      </c>
      <c r="U383" s="480"/>
      <c r="V383" s="477">
        <f t="shared" si="173"/>
        <v>0</v>
      </c>
      <c r="W383" s="480"/>
      <c r="X383" s="477">
        <f t="shared" si="174"/>
        <v>0</v>
      </c>
      <c r="Y383" s="480"/>
      <c r="Z383" s="477">
        <f t="shared" si="175"/>
        <v>0</v>
      </c>
      <c r="AA383" s="480"/>
      <c r="AB383" s="477">
        <f t="shared" ca="1" si="176"/>
        <v>0</v>
      </c>
      <c r="AC383" s="475">
        <f t="shared" ca="1" si="177"/>
        <v>0</v>
      </c>
      <c r="AD383" s="480"/>
      <c r="AE383" s="477">
        <f t="shared" si="178"/>
        <v>0</v>
      </c>
      <c r="AF383" s="480"/>
      <c r="AG383" s="477">
        <f t="shared" si="179"/>
        <v>0</v>
      </c>
      <c r="AH383" s="480"/>
      <c r="AI383" s="477">
        <f t="shared" si="180"/>
        <v>0</v>
      </c>
      <c r="AJ383" s="480"/>
      <c r="AK383" s="477">
        <f t="shared" ca="1" si="181"/>
        <v>0</v>
      </c>
      <c r="AL383" s="475">
        <f t="shared" ca="1" si="182"/>
        <v>0</v>
      </c>
      <c r="AM383" s="480"/>
      <c r="AN383" s="477">
        <f t="shared" si="183"/>
        <v>0</v>
      </c>
      <c r="AO383" s="480"/>
      <c r="AP383" s="477">
        <f t="shared" si="184"/>
        <v>0</v>
      </c>
      <c r="AQ383" s="480"/>
      <c r="AR383" s="477">
        <f t="shared" si="185"/>
        <v>0</v>
      </c>
      <c r="AS383" s="480"/>
      <c r="AT383" s="477">
        <f t="shared" ca="1" si="186"/>
        <v>0</v>
      </c>
      <c r="AU383" s="475">
        <f t="shared" ca="1" si="187"/>
        <v>0</v>
      </c>
      <c r="AV383" s="480"/>
      <c r="AW383" s="477">
        <f t="shared" si="188"/>
        <v>0</v>
      </c>
      <c r="AX383" s="480"/>
      <c r="AY383" s="477">
        <f t="shared" si="189"/>
        <v>0</v>
      </c>
      <c r="AZ383" s="480"/>
      <c r="BA383" s="477">
        <f t="shared" si="190"/>
        <v>0</v>
      </c>
      <c r="BB383" s="480"/>
      <c r="BC383" s="850">
        <f t="shared" ca="1" si="191"/>
        <v>0</v>
      </c>
    </row>
    <row r="384" spans="1:55">
      <c r="A384" s="837" t="str">
        <f t="shared" si="162"/>
        <v/>
      </c>
      <c r="B384" s="440"/>
      <c r="C384" s="834" t="str">
        <f t="shared" ca="1" si="163"/>
        <v/>
      </c>
      <c r="D384" s="1757" t="str">
        <f ca="1">IFERROR(VLOOKUP(LEFT(E384,4),Nom_activ_2!D:G,4,0),"")</f>
        <v/>
      </c>
      <c r="E384" s="1757" t="str">
        <f t="shared" ca="1" si="164"/>
        <v/>
      </c>
      <c r="F384" s="1777">
        <f t="shared" ca="1" si="193"/>
        <v>0</v>
      </c>
      <c r="G384" s="839">
        <f t="shared" ca="1" si="193"/>
        <v>0</v>
      </c>
      <c r="H384" s="840">
        <f t="shared" ca="1" si="193"/>
        <v>0</v>
      </c>
      <c r="I384" s="443"/>
      <c r="J384" s="838" t="str">
        <f t="shared" si="166"/>
        <v>!$A:$j</v>
      </c>
      <c r="K384" s="475">
        <f t="shared" ca="1" si="167"/>
        <v>0</v>
      </c>
      <c r="L384" s="480"/>
      <c r="M384" s="477">
        <f t="shared" si="168"/>
        <v>0</v>
      </c>
      <c r="N384" s="480"/>
      <c r="O384" s="477">
        <f t="shared" si="169"/>
        <v>0</v>
      </c>
      <c r="P384" s="480"/>
      <c r="Q384" s="477">
        <f t="shared" si="170"/>
        <v>0</v>
      </c>
      <c r="R384" s="480"/>
      <c r="S384" s="477">
        <f t="shared" ca="1" si="171"/>
        <v>0</v>
      </c>
      <c r="T384" s="475">
        <f t="shared" ca="1" si="172"/>
        <v>0</v>
      </c>
      <c r="U384" s="480"/>
      <c r="V384" s="477">
        <f t="shared" si="173"/>
        <v>0</v>
      </c>
      <c r="W384" s="480"/>
      <c r="X384" s="477">
        <f t="shared" si="174"/>
        <v>0</v>
      </c>
      <c r="Y384" s="480"/>
      <c r="Z384" s="477">
        <f t="shared" si="175"/>
        <v>0</v>
      </c>
      <c r="AA384" s="480"/>
      <c r="AB384" s="477">
        <f t="shared" ca="1" si="176"/>
        <v>0</v>
      </c>
      <c r="AC384" s="475">
        <f t="shared" ca="1" si="177"/>
        <v>0</v>
      </c>
      <c r="AD384" s="480"/>
      <c r="AE384" s="477">
        <f t="shared" si="178"/>
        <v>0</v>
      </c>
      <c r="AF384" s="480"/>
      <c r="AG384" s="477">
        <f t="shared" si="179"/>
        <v>0</v>
      </c>
      <c r="AH384" s="480"/>
      <c r="AI384" s="477">
        <f t="shared" si="180"/>
        <v>0</v>
      </c>
      <c r="AJ384" s="480"/>
      <c r="AK384" s="477">
        <f t="shared" ca="1" si="181"/>
        <v>0</v>
      </c>
      <c r="AL384" s="475">
        <f t="shared" ca="1" si="182"/>
        <v>0</v>
      </c>
      <c r="AM384" s="480"/>
      <c r="AN384" s="477">
        <f t="shared" si="183"/>
        <v>0</v>
      </c>
      <c r="AO384" s="480"/>
      <c r="AP384" s="477">
        <f t="shared" si="184"/>
        <v>0</v>
      </c>
      <c r="AQ384" s="480"/>
      <c r="AR384" s="477">
        <f t="shared" si="185"/>
        <v>0</v>
      </c>
      <c r="AS384" s="480"/>
      <c r="AT384" s="477">
        <f t="shared" ca="1" si="186"/>
        <v>0</v>
      </c>
      <c r="AU384" s="475">
        <f t="shared" ca="1" si="187"/>
        <v>0</v>
      </c>
      <c r="AV384" s="480"/>
      <c r="AW384" s="477">
        <f t="shared" si="188"/>
        <v>0</v>
      </c>
      <c r="AX384" s="480"/>
      <c r="AY384" s="477">
        <f t="shared" si="189"/>
        <v>0</v>
      </c>
      <c r="AZ384" s="480"/>
      <c r="BA384" s="477">
        <f t="shared" si="190"/>
        <v>0</v>
      </c>
      <c r="BB384" s="480"/>
      <c r="BC384" s="850">
        <f t="shared" ca="1" si="191"/>
        <v>0</v>
      </c>
    </row>
    <row r="385" spans="1:55">
      <c r="A385" s="837" t="str">
        <f t="shared" si="162"/>
        <v/>
      </c>
      <c r="B385" s="440"/>
      <c r="C385" s="834" t="str">
        <f t="shared" ca="1" si="163"/>
        <v/>
      </c>
      <c r="D385" s="1757" t="str">
        <f ca="1">IFERROR(VLOOKUP(LEFT(E385,4),Nom_activ_2!D:G,4,0),"")</f>
        <v/>
      </c>
      <c r="E385" s="1757" t="str">
        <f t="shared" ca="1" si="164"/>
        <v/>
      </c>
      <c r="F385" s="1777">
        <f t="shared" ca="1" si="193"/>
        <v>0</v>
      </c>
      <c r="G385" s="839">
        <f t="shared" ca="1" si="193"/>
        <v>0</v>
      </c>
      <c r="H385" s="840">
        <f t="shared" ca="1" si="193"/>
        <v>0</v>
      </c>
      <c r="I385" s="443"/>
      <c r="J385" s="838" t="str">
        <f t="shared" si="166"/>
        <v>!$A:$j</v>
      </c>
      <c r="K385" s="475">
        <f t="shared" ca="1" si="167"/>
        <v>0</v>
      </c>
      <c r="L385" s="480"/>
      <c r="M385" s="477">
        <f t="shared" si="168"/>
        <v>0</v>
      </c>
      <c r="N385" s="480"/>
      <c r="O385" s="477">
        <f t="shared" si="169"/>
        <v>0</v>
      </c>
      <c r="P385" s="480"/>
      <c r="Q385" s="477">
        <f t="shared" si="170"/>
        <v>0</v>
      </c>
      <c r="R385" s="480"/>
      <c r="S385" s="477">
        <f t="shared" ca="1" si="171"/>
        <v>0</v>
      </c>
      <c r="T385" s="475">
        <f t="shared" ca="1" si="172"/>
        <v>0</v>
      </c>
      <c r="U385" s="480"/>
      <c r="V385" s="477">
        <f t="shared" si="173"/>
        <v>0</v>
      </c>
      <c r="W385" s="480"/>
      <c r="X385" s="477">
        <f t="shared" si="174"/>
        <v>0</v>
      </c>
      <c r="Y385" s="480"/>
      <c r="Z385" s="477">
        <f t="shared" si="175"/>
        <v>0</v>
      </c>
      <c r="AA385" s="480"/>
      <c r="AB385" s="477">
        <f t="shared" ca="1" si="176"/>
        <v>0</v>
      </c>
      <c r="AC385" s="475">
        <f t="shared" ca="1" si="177"/>
        <v>0</v>
      </c>
      <c r="AD385" s="480"/>
      <c r="AE385" s="477">
        <f t="shared" si="178"/>
        <v>0</v>
      </c>
      <c r="AF385" s="480"/>
      <c r="AG385" s="477">
        <f t="shared" si="179"/>
        <v>0</v>
      </c>
      <c r="AH385" s="480"/>
      <c r="AI385" s="477">
        <f t="shared" si="180"/>
        <v>0</v>
      </c>
      <c r="AJ385" s="480"/>
      <c r="AK385" s="477">
        <f t="shared" ca="1" si="181"/>
        <v>0</v>
      </c>
      <c r="AL385" s="475">
        <f t="shared" ca="1" si="182"/>
        <v>0</v>
      </c>
      <c r="AM385" s="480"/>
      <c r="AN385" s="477">
        <f t="shared" si="183"/>
        <v>0</v>
      </c>
      <c r="AO385" s="480"/>
      <c r="AP385" s="477">
        <f t="shared" si="184"/>
        <v>0</v>
      </c>
      <c r="AQ385" s="480"/>
      <c r="AR385" s="477">
        <f t="shared" si="185"/>
        <v>0</v>
      </c>
      <c r="AS385" s="480"/>
      <c r="AT385" s="477">
        <f t="shared" ca="1" si="186"/>
        <v>0</v>
      </c>
      <c r="AU385" s="475">
        <f t="shared" ca="1" si="187"/>
        <v>0</v>
      </c>
      <c r="AV385" s="480"/>
      <c r="AW385" s="477">
        <f t="shared" si="188"/>
        <v>0</v>
      </c>
      <c r="AX385" s="480"/>
      <c r="AY385" s="477">
        <f t="shared" si="189"/>
        <v>0</v>
      </c>
      <c r="AZ385" s="480"/>
      <c r="BA385" s="477">
        <f t="shared" si="190"/>
        <v>0</v>
      </c>
      <c r="BB385" s="480"/>
      <c r="BC385" s="850">
        <f t="shared" ca="1" si="191"/>
        <v>0</v>
      </c>
    </row>
    <row r="386" spans="1:55">
      <c r="A386" s="837" t="str">
        <f t="shared" si="162"/>
        <v/>
      </c>
      <c r="B386" s="440"/>
      <c r="C386" s="834" t="str">
        <f t="shared" ca="1" si="163"/>
        <v/>
      </c>
      <c r="D386" s="1757" t="str">
        <f ca="1">IFERROR(VLOOKUP(LEFT(E386,4),Nom_activ_2!D:G,4,0),"")</f>
        <v/>
      </c>
      <c r="E386" s="1757" t="str">
        <f t="shared" ca="1" si="164"/>
        <v/>
      </c>
      <c r="F386" s="1777">
        <f t="shared" ca="1" si="193"/>
        <v>0</v>
      </c>
      <c r="G386" s="839">
        <f t="shared" ca="1" si="193"/>
        <v>0</v>
      </c>
      <c r="H386" s="840">
        <f t="shared" ca="1" si="193"/>
        <v>0</v>
      </c>
      <c r="I386" s="443"/>
      <c r="J386" s="838" t="str">
        <f t="shared" si="166"/>
        <v>!$A:$j</v>
      </c>
      <c r="K386" s="475">
        <f t="shared" ca="1" si="167"/>
        <v>0</v>
      </c>
      <c r="L386" s="480"/>
      <c r="M386" s="477">
        <f t="shared" si="168"/>
        <v>0</v>
      </c>
      <c r="N386" s="480"/>
      <c r="O386" s="477">
        <f t="shared" si="169"/>
        <v>0</v>
      </c>
      <c r="P386" s="480"/>
      <c r="Q386" s="477">
        <f t="shared" si="170"/>
        <v>0</v>
      </c>
      <c r="R386" s="480"/>
      <c r="S386" s="477">
        <f t="shared" ca="1" si="171"/>
        <v>0</v>
      </c>
      <c r="T386" s="475">
        <f t="shared" ca="1" si="172"/>
        <v>0</v>
      </c>
      <c r="U386" s="480"/>
      <c r="V386" s="477">
        <f t="shared" si="173"/>
        <v>0</v>
      </c>
      <c r="W386" s="480"/>
      <c r="X386" s="477">
        <f t="shared" si="174"/>
        <v>0</v>
      </c>
      <c r="Y386" s="480"/>
      <c r="Z386" s="477">
        <f t="shared" si="175"/>
        <v>0</v>
      </c>
      <c r="AA386" s="480"/>
      <c r="AB386" s="477">
        <f t="shared" ca="1" si="176"/>
        <v>0</v>
      </c>
      <c r="AC386" s="475">
        <f t="shared" ca="1" si="177"/>
        <v>0</v>
      </c>
      <c r="AD386" s="480"/>
      <c r="AE386" s="477">
        <f t="shared" si="178"/>
        <v>0</v>
      </c>
      <c r="AF386" s="480"/>
      <c r="AG386" s="477">
        <f t="shared" si="179"/>
        <v>0</v>
      </c>
      <c r="AH386" s="480"/>
      <c r="AI386" s="477">
        <f t="shared" si="180"/>
        <v>0</v>
      </c>
      <c r="AJ386" s="480"/>
      <c r="AK386" s="477">
        <f t="shared" ca="1" si="181"/>
        <v>0</v>
      </c>
      <c r="AL386" s="475">
        <f t="shared" ca="1" si="182"/>
        <v>0</v>
      </c>
      <c r="AM386" s="480"/>
      <c r="AN386" s="477">
        <f t="shared" si="183"/>
        <v>0</v>
      </c>
      <c r="AO386" s="480"/>
      <c r="AP386" s="477">
        <f t="shared" si="184"/>
        <v>0</v>
      </c>
      <c r="AQ386" s="480"/>
      <c r="AR386" s="477">
        <f t="shared" si="185"/>
        <v>0</v>
      </c>
      <c r="AS386" s="480"/>
      <c r="AT386" s="477">
        <f t="shared" ca="1" si="186"/>
        <v>0</v>
      </c>
      <c r="AU386" s="475">
        <f t="shared" ca="1" si="187"/>
        <v>0</v>
      </c>
      <c r="AV386" s="480"/>
      <c r="AW386" s="477">
        <f t="shared" si="188"/>
        <v>0</v>
      </c>
      <c r="AX386" s="480"/>
      <c r="AY386" s="477">
        <f t="shared" si="189"/>
        <v>0</v>
      </c>
      <c r="AZ386" s="480"/>
      <c r="BA386" s="477">
        <f t="shared" si="190"/>
        <v>0</v>
      </c>
      <c r="BB386" s="480"/>
      <c r="BC386" s="850">
        <f t="shared" ca="1" si="191"/>
        <v>0</v>
      </c>
    </row>
    <row r="387" spans="1:55">
      <c r="A387" s="837" t="str">
        <f t="shared" si="162"/>
        <v/>
      </c>
      <c r="B387" s="440"/>
      <c r="C387" s="834" t="str">
        <f t="shared" ca="1" si="163"/>
        <v/>
      </c>
      <c r="D387" s="1757" t="str">
        <f ca="1">IFERROR(VLOOKUP(LEFT(E387,4),Nom_activ_2!D:G,4,0),"")</f>
        <v/>
      </c>
      <c r="E387" s="1757" t="str">
        <f t="shared" ca="1" si="164"/>
        <v/>
      </c>
      <c r="F387" s="1777">
        <f t="shared" ref="F387:H406" ca="1" si="194">IFERROR(VLOOKUP($B387,INDIRECT($J387),F$5,0),0)</f>
        <v>0</v>
      </c>
      <c r="G387" s="839">
        <f t="shared" ca="1" si="194"/>
        <v>0</v>
      </c>
      <c r="H387" s="840">
        <f t="shared" ca="1" si="194"/>
        <v>0</v>
      </c>
      <c r="I387" s="443"/>
      <c r="J387" s="838" t="str">
        <f t="shared" si="166"/>
        <v>!$A:$j</v>
      </c>
      <c r="K387" s="475">
        <f t="shared" ca="1" si="167"/>
        <v>0</v>
      </c>
      <c r="L387" s="480"/>
      <c r="M387" s="477">
        <f t="shared" si="168"/>
        <v>0</v>
      </c>
      <c r="N387" s="480"/>
      <c r="O387" s="477">
        <f t="shared" si="169"/>
        <v>0</v>
      </c>
      <c r="P387" s="480"/>
      <c r="Q387" s="477">
        <f t="shared" si="170"/>
        <v>0</v>
      </c>
      <c r="R387" s="480"/>
      <c r="S387" s="477">
        <f t="shared" ca="1" si="171"/>
        <v>0</v>
      </c>
      <c r="T387" s="475">
        <f t="shared" ca="1" si="172"/>
        <v>0</v>
      </c>
      <c r="U387" s="480"/>
      <c r="V387" s="477">
        <f t="shared" si="173"/>
        <v>0</v>
      </c>
      <c r="W387" s="480"/>
      <c r="X387" s="477">
        <f t="shared" si="174"/>
        <v>0</v>
      </c>
      <c r="Y387" s="480"/>
      <c r="Z387" s="477">
        <f t="shared" si="175"/>
        <v>0</v>
      </c>
      <c r="AA387" s="480"/>
      <c r="AB387" s="477">
        <f t="shared" ca="1" si="176"/>
        <v>0</v>
      </c>
      <c r="AC387" s="475">
        <f t="shared" ca="1" si="177"/>
        <v>0</v>
      </c>
      <c r="AD387" s="480"/>
      <c r="AE387" s="477">
        <f t="shared" si="178"/>
        <v>0</v>
      </c>
      <c r="AF387" s="480"/>
      <c r="AG387" s="477">
        <f t="shared" si="179"/>
        <v>0</v>
      </c>
      <c r="AH387" s="480"/>
      <c r="AI387" s="477">
        <f t="shared" si="180"/>
        <v>0</v>
      </c>
      <c r="AJ387" s="480"/>
      <c r="AK387" s="477">
        <f t="shared" ca="1" si="181"/>
        <v>0</v>
      </c>
      <c r="AL387" s="475">
        <f t="shared" ca="1" si="182"/>
        <v>0</v>
      </c>
      <c r="AM387" s="480"/>
      <c r="AN387" s="477">
        <f t="shared" si="183"/>
        <v>0</v>
      </c>
      <c r="AO387" s="480"/>
      <c r="AP387" s="477">
        <f t="shared" si="184"/>
        <v>0</v>
      </c>
      <c r="AQ387" s="480"/>
      <c r="AR387" s="477">
        <f t="shared" si="185"/>
        <v>0</v>
      </c>
      <c r="AS387" s="480"/>
      <c r="AT387" s="477">
        <f t="shared" ca="1" si="186"/>
        <v>0</v>
      </c>
      <c r="AU387" s="475">
        <f t="shared" ca="1" si="187"/>
        <v>0</v>
      </c>
      <c r="AV387" s="480"/>
      <c r="AW387" s="477">
        <f t="shared" si="188"/>
        <v>0</v>
      </c>
      <c r="AX387" s="480"/>
      <c r="AY387" s="477">
        <f t="shared" si="189"/>
        <v>0</v>
      </c>
      <c r="AZ387" s="480"/>
      <c r="BA387" s="477">
        <f t="shared" si="190"/>
        <v>0</v>
      </c>
      <c r="BB387" s="480"/>
      <c r="BC387" s="850">
        <f t="shared" ca="1" si="191"/>
        <v>0</v>
      </c>
    </row>
    <row r="388" spans="1:55">
      <c r="A388" s="837" t="str">
        <f t="shared" si="162"/>
        <v/>
      </c>
      <c r="B388" s="440"/>
      <c r="C388" s="834" t="str">
        <f t="shared" ca="1" si="163"/>
        <v/>
      </c>
      <c r="D388" s="1757" t="str">
        <f ca="1">IFERROR(VLOOKUP(LEFT(E388,4),Nom_activ_2!D:G,4,0),"")</f>
        <v/>
      </c>
      <c r="E388" s="1757" t="str">
        <f t="shared" ca="1" si="164"/>
        <v/>
      </c>
      <c r="F388" s="1777">
        <f t="shared" ca="1" si="194"/>
        <v>0</v>
      </c>
      <c r="G388" s="839">
        <f t="shared" ca="1" si="194"/>
        <v>0</v>
      </c>
      <c r="H388" s="840">
        <f t="shared" ca="1" si="194"/>
        <v>0</v>
      </c>
      <c r="I388" s="443"/>
      <c r="J388" s="838" t="str">
        <f t="shared" si="166"/>
        <v>!$A:$j</v>
      </c>
      <c r="K388" s="475">
        <f t="shared" ca="1" si="167"/>
        <v>0</v>
      </c>
      <c r="L388" s="480"/>
      <c r="M388" s="477">
        <f t="shared" si="168"/>
        <v>0</v>
      </c>
      <c r="N388" s="480"/>
      <c r="O388" s="477">
        <f t="shared" si="169"/>
        <v>0</v>
      </c>
      <c r="P388" s="480"/>
      <c r="Q388" s="477">
        <f t="shared" si="170"/>
        <v>0</v>
      </c>
      <c r="R388" s="480"/>
      <c r="S388" s="477">
        <f t="shared" ca="1" si="171"/>
        <v>0</v>
      </c>
      <c r="T388" s="475">
        <f t="shared" ca="1" si="172"/>
        <v>0</v>
      </c>
      <c r="U388" s="480"/>
      <c r="V388" s="477">
        <f t="shared" si="173"/>
        <v>0</v>
      </c>
      <c r="W388" s="480"/>
      <c r="X388" s="477">
        <f t="shared" si="174"/>
        <v>0</v>
      </c>
      <c r="Y388" s="480"/>
      <c r="Z388" s="477">
        <f t="shared" si="175"/>
        <v>0</v>
      </c>
      <c r="AA388" s="480"/>
      <c r="AB388" s="477">
        <f t="shared" ca="1" si="176"/>
        <v>0</v>
      </c>
      <c r="AC388" s="475">
        <f t="shared" ca="1" si="177"/>
        <v>0</v>
      </c>
      <c r="AD388" s="480"/>
      <c r="AE388" s="477">
        <f t="shared" si="178"/>
        <v>0</v>
      </c>
      <c r="AF388" s="480"/>
      <c r="AG388" s="477">
        <f t="shared" si="179"/>
        <v>0</v>
      </c>
      <c r="AH388" s="480"/>
      <c r="AI388" s="477">
        <f t="shared" si="180"/>
        <v>0</v>
      </c>
      <c r="AJ388" s="480"/>
      <c r="AK388" s="477">
        <f t="shared" ca="1" si="181"/>
        <v>0</v>
      </c>
      <c r="AL388" s="475">
        <f t="shared" ca="1" si="182"/>
        <v>0</v>
      </c>
      <c r="AM388" s="480"/>
      <c r="AN388" s="477">
        <f t="shared" si="183"/>
        <v>0</v>
      </c>
      <c r="AO388" s="480"/>
      <c r="AP388" s="477">
        <f t="shared" si="184"/>
        <v>0</v>
      </c>
      <c r="AQ388" s="480"/>
      <c r="AR388" s="477">
        <f t="shared" si="185"/>
        <v>0</v>
      </c>
      <c r="AS388" s="480"/>
      <c r="AT388" s="477">
        <f t="shared" ca="1" si="186"/>
        <v>0</v>
      </c>
      <c r="AU388" s="475">
        <f t="shared" ca="1" si="187"/>
        <v>0</v>
      </c>
      <c r="AV388" s="480"/>
      <c r="AW388" s="477">
        <f t="shared" si="188"/>
        <v>0</v>
      </c>
      <c r="AX388" s="480"/>
      <c r="AY388" s="477">
        <f t="shared" si="189"/>
        <v>0</v>
      </c>
      <c r="AZ388" s="480"/>
      <c r="BA388" s="477">
        <f t="shared" si="190"/>
        <v>0</v>
      </c>
      <c r="BB388" s="480"/>
      <c r="BC388" s="850">
        <f t="shared" ca="1" si="191"/>
        <v>0</v>
      </c>
    </row>
    <row r="389" spans="1:55">
      <c r="A389" s="837" t="str">
        <f t="shared" si="162"/>
        <v/>
      </c>
      <c r="B389" s="440"/>
      <c r="C389" s="834" t="str">
        <f t="shared" ca="1" si="163"/>
        <v/>
      </c>
      <c r="D389" s="1757" t="str">
        <f ca="1">IFERROR(VLOOKUP(LEFT(E389,4),Nom_activ_2!D:G,4,0),"")</f>
        <v/>
      </c>
      <c r="E389" s="1757" t="str">
        <f t="shared" ca="1" si="164"/>
        <v/>
      </c>
      <c r="F389" s="1777">
        <f t="shared" ca="1" si="194"/>
        <v>0</v>
      </c>
      <c r="G389" s="839">
        <f t="shared" ca="1" si="194"/>
        <v>0</v>
      </c>
      <c r="H389" s="840">
        <f t="shared" ca="1" si="194"/>
        <v>0</v>
      </c>
      <c r="I389" s="443"/>
      <c r="J389" s="838" t="str">
        <f t="shared" si="166"/>
        <v>!$A:$j</v>
      </c>
      <c r="K389" s="475">
        <f t="shared" ca="1" si="167"/>
        <v>0</v>
      </c>
      <c r="L389" s="480"/>
      <c r="M389" s="477">
        <f t="shared" si="168"/>
        <v>0</v>
      </c>
      <c r="N389" s="480"/>
      <c r="O389" s="477">
        <f t="shared" si="169"/>
        <v>0</v>
      </c>
      <c r="P389" s="480"/>
      <c r="Q389" s="477">
        <f t="shared" si="170"/>
        <v>0</v>
      </c>
      <c r="R389" s="480"/>
      <c r="S389" s="477">
        <f t="shared" ca="1" si="171"/>
        <v>0</v>
      </c>
      <c r="T389" s="475">
        <f t="shared" ca="1" si="172"/>
        <v>0</v>
      </c>
      <c r="U389" s="480"/>
      <c r="V389" s="477">
        <f t="shared" si="173"/>
        <v>0</v>
      </c>
      <c r="W389" s="480"/>
      <c r="X389" s="477">
        <f t="shared" si="174"/>
        <v>0</v>
      </c>
      <c r="Y389" s="480"/>
      <c r="Z389" s="477">
        <f t="shared" si="175"/>
        <v>0</v>
      </c>
      <c r="AA389" s="480"/>
      <c r="AB389" s="477">
        <f t="shared" ca="1" si="176"/>
        <v>0</v>
      </c>
      <c r="AC389" s="475">
        <f t="shared" ca="1" si="177"/>
        <v>0</v>
      </c>
      <c r="AD389" s="480"/>
      <c r="AE389" s="477">
        <f t="shared" si="178"/>
        <v>0</v>
      </c>
      <c r="AF389" s="480"/>
      <c r="AG389" s="477">
        <f t="shared" si="179"/>
        <v>0</v>
      </c>
      <c r="AH389" s="480"/>
      <c r="AI389" s="477">
        <f t="shared" si="180"/>
        <v>0</v>
      </c>
      <c r="AJ389" s="480"/>
      <c r="AK389" s="477">
        <f t="shared" ca="1" si="181"/>
        <v>0</v>
      </c>
      <c r="AL389" s="475">
        <f t="shared" ca="1" si="182"/>
        <v>0</v>
      </c>
      <c r="AM389" s="480"/>
      <c r="AN389" s="477">
        <f t="shared" si="183"/>
        <v>0</v>
      </c>
      <c r="AO389" s="480"/>
      <c r="AP389" s="477">
        <f t="shared" si="184"/>
        <v>0</v>
      </c>
      <c r="AQ389" s="480"/>
      <c r="AR389" s="477">
        <f t="shared" si="185"/>
        <v>0</v>
      </c>
      <c r="AS389" s="480"/>
      <c r="AT389" s="477">
        <f t="shared" ca="1" si="186"/>
        <v>0</v>
      </c>
      <c r="AU389" s="475">
        <f t="shared" ca="1" si="187"/>
        <v>0</v>
      </c>
      <c r="AV389" s="480"/>
      <c r="AW389" s="477">
        <f t="shared" si="188"/>
        <v>0</v>
      </c>
      <c r="AX389" s="480"/>
      <c r="AY389" s="477">
        <f t="shared" si="189"/>
        <v>0</v>
      </c>
      <c r="AZ389" s="480"/>
      <c r="BA389" s="477">
        <f t="shared" si="190"/>
        <v>0</v>
      </c>
      <c r="BB389" s="480"/>
      <c r="BC389" s="850">
        <f t="shared" ca="1" si="191"/>
        <v>0</v>
      </c>
    </row>
    <row r="390" spans="1:55">
      <c r="A390" s="837" t="str">
        <f t="shared" si="162"/>
        <v/>
      </c>
      <c r="B390" s="440"/>
      <c r="C390" s="834" t="str">
        <f t="shared" ca="1" si="163"/>
        <v/>
      </c>
      <c r="D390" s="1757" t="str">
        <f ca="1">IFERROR(VLOOKUP(LEFT(E390,4),Nom_activ_2!D:G,4,0),"")</f>
        <v/>
      </c>
      <c r="E390" s="1757" t="str">
        <f t="shared" ca="1" si="164"/>
        <v/>
      </c>
      <c r="F390" s="1777">
        <f t="shared" ca="1" si="194"/>
        <v>0</v>
      </c>
      <c r="G390" s="839">
        <f t="shared" ca="1" si="194"/>
        <v>0</v>
      </c>
      <c r="H390" s="840">
        <f t="shared" ca="1" si="194"/>
        <v>0</v>
      </c>
      <c r="I390" s="443"/>
      <c r="J390" s="838" t="str">
        <f t="shared" si="166"/>
        <v>!$A:$j</v>
      </c>
      <c r="K390" s="475">
        <f t="shared" ca="1" si="167"/>
        <v>0</v>
      </c>
      <c r="L390" s="480"/>
      <c r="M390" s="477">
        <f t="shared" si="168"/>
        <v>0</v>
      </c>
      <c r="N390" s="480"/>
      <c r="O390" s="477">
        <f t="shared" si="169"/>
        <v>0</v>
      </c>
      <c r="P390" s="480"/>
      <c r="Q390" s="477">
        <f t="shared" si="170"/>
        <v>0</v>
      </c>
      <c r="R390" s="480"/>
      <c r="S390" s="477">
        <f t="shared" ca="1" si="171"/>
        <v>0</v>
      </c>
      <c r="T390" s="475">
        <f t="shared" ca="1" si="172"/>
        <v>0</v>
      </c>
      <c r="U390" s="480"/>
      <c r="V390" s="477">
        <f t="shared" si="173"/>
        <v>0</v>
      </c>
      <c r="W390" s="480"/>
      <c r="X390" s="477">
        <f t="shared" si="174"/>
        <v>0</v>
      </c>
      <c r="Y390" s="480"/>
      <c r="Z390" s="477">
        <f t="shared" si="175"/>
        <v>0</v>
      </c>
      <c r="AA390" s="480"/>
      <c r="AB390" s="477">
        <f t="shared" ca="1" si="176"/>
        <v>0</v>
      </c>
      <c r="AC390" s="475">
        <f t="shared" ca="1" si="177"/>
        <v>0</v>
      </c>
      <c r="AD390" s="480"/>
      <c r="AE390" s="477">
        <f t="shared" si="178"/>
        <v>0</v>
      </c>
      <c r="AF390" s="480"/>
      <c r="AG390" s="477">
        <f t="shared" si="179"/>
        <v>0</v>
      </c>
      <c r="AH390" s="480"/>
      <c r="AI390" s="477">
        <f t="shared" si="180"/>
        <v>0</v>
      </c>
      <c r="AJ390" s="480"/>
      <c r="AK390" s="477">
        <f t="shared" ca="1" si="181"/>
        <v>0</v>
      </c>
      <c r="AL390" s="475">
        <f t="shared" ca="1" si="182"/>
        <v>0</v>
      </c>
      <c r="AM390" s="480"/>
      <c r="AN390" s="477">
        <f t="shared" si="183"/>
        <v>0</v>
      </c>
      <c r="AO390" s="480"/>
      <c r="AP390" s="477">
        <f t="shared" si="184"/>
        <v>0</v>
      </c>
      <c r="AQ390" s="480"/>
      <c r="AR390" s="477">
        <f t="shared" si="185"/>
        <v>0</v>
      </c>
      <c r="AS390" s="480"/>
      <c r="AT390" s="477">
        <f t="shared" ca="1" si="186"/>
        <v>0</v>
      </c>
      <c r="AU390" s="475">
        <f t="shared" ca="1" si="187"/>
        <v>0</v>
      </c>
      <c r="AV390" s="480"/>
      <c r="AW390" s="477">
        <f t="shared" si="188"/>
        <v>0</v>
      </c>
      <c r="AX390" s="480"/>
      <c r="AY390" s="477">
        <f t="shared" si="189"/>
        <v>0</v>
      </c>
      <c r="AZ390" s="480"/>
      <c r="BA390" s="477">
        <f t="shared" si="190"/>
        <v>0</v>
      </c>
      <c r="BB390" s="480"/>
      <c r="BC390" s="850">
        <f t="shared" ca="1" si="191"/>
        <v>0</v>
      </c>
    </row>
    <row r="391" spans="1:55">
      <c r="A391" s="837" t="str">
        <f t="shared" ref="A391:A454" si="195">IF(B391="","",IF(COUNTA(C391:H391)&lt;6,"Completati  toate campurile col C:H",""))</f>
        <v/>
      </c>
      <c r="B391" s="440"/>
      <c r="C391" s="834" t="str">
        <f t="shared" ref="C391:C454" ca="1" si="196">IFERROR(LEFT(D391,2),"")</f>
        <v/>
      </c>
      <c r="D391" s="1757" t="str">
        <f ca="1">IFERROR(VLOOKUP(LEFT(E391,4),Nom_activ_2!D:G,4,0),"")</f>
        <v/>
      </c>
      <c r="E391" s="1757" t="str">
        <f t="shared" ref="E391:E454" ca="1" si="197">IFERROR(VLOOKUP($B391,INDIRECT($J391),E$5,0),"")</f>
        <v/>
      </c>
      <c r="F391" s="1777">
        <f t="shared" ca="1" si="194"/>
        <v>0</v>
      </c>
      <c r="G391" s="839">
        <f t="shared" ca="1" si="194"/>
        <v>0</v>
      </c>
      <c r="H391" s="840">
        <f t="shared" ca="1" si="194"/>
        <v>0</v>
      </c>
      <c r="I391" s="443"/>
      <c r="J391" s="838" t="str">
        <f t="shared" ref="J391:J454" si="198">I391&amp;"!$A:$j"</f>
        <v>!$A:$j</v>
      </c>
      <c r="K391" s="475">
        <f t="shared" ref="K391:K454" ca="1" si="199">IFERROR(VLOOKUP($B391,INDIRECT($J391),K$5,0),0)</f>
        <v>0</v>
      </c>
      <c r="L391" s="480"/>
      <c r="M391" s="477">
        <f t="shared" ref="M391:M454" si="200">IF(L391="",0,K391*L391)</f>
        <v>0</v>
      </c>
      <c r="N391" s="480"/>
      <c r="O391" s="477">
        <f t="shared" ref="O391:O454" si="201">IF(N391="",0,M391*N391)</f>
        <v>0</v>
      </c>
      <c r="P391" s="480"/>
      <c r="Q391" s="477">
        <f t="shared" ref="Q391:Q454" si="202">IF(P391="",0,O391*P391)</f>
        <v>0</v>
      </c>
      <c r="R391" s="480"/>
      <c r="S391" s="477">
        <f t="shared" ref="S391:S454" ca="1" si="203">IFERROR(K391-M391-O391-Q391,0)</f>
        <v>0</v>
      </c>
      <c r="T391" s="475">
        <f t="shared" ref="T391:T454" ca="1" si="204">IFERROR(VLOOKUP($B391,INDIRECT($J391),T$5,0),0)</f>
        <v>0</v>
      </c>
      <c r="U391" s="480"/>
      <c r="V391" s="477">
        <f t="shared" ref="V391:V454" si="205">IF(U391="",0,T391*U391)</f>
        <v>0</v>
      </c>
      <c r="W391" s="480"/>
      <c r="X391" s="477">
        <f t="shared" ref="X391:X454" si="206">IF(W391="",0,V391*W391)</f>
        <v>0</v>
      </c>
      <c r="Y391" s="480"/>
      <c r="Z391" s="477">
        <f t="shared" ref="Z391:Z454" si="207">IF(Y391="",0,X391*Y391)</f>
        <v>0</v>
      </c>
      <c r="AA391" s="480"/>
      <c r="AB391" s="477">
        <f t="shared" ref="AB391:AB454" ca="1" si="208">IFERROR(T391-V391-X391-Z391,0)</f>
        <v>0</v>
      </c>
      <c r="AC391" s="475">
        <f t="shared" ref="AC391:AC454" ca="1" si="209">IFERROR(VLOOKUP($B391,INDIRECT($J391),AC$5,0),0)</f>
        <v>0</v>
      </c>
      <c r="AD391" s="480"/>
      <c r="AE391" s="477">
        <f t="shared" ref="AE391:AE454" si="210">IF(AD391="",0,AC391*AD391)</f>
        <v>0</v>
      </c>
      <c r="AF391" s="480"/>
      <c r="AG391" s="477">
        <f t="shared" ref="AG391:AG454" si="211">IF(AF391="",0,AE391*AF391)</f>
        <v>0</v>
      </c>
      <c r="AH391" s="480"/>
      <c r="AI391" s="477">
        <f t="shared" ref="AI391:AI454" si="212">IF(AH391="",0,AG391*AH391)</f>
        <v>0</v>
      </c>
      <c r="AJ391" s="480"/>
      <c r="AK391" s="477">
        <f t="shared" ref="AK391:AK454" ca="1" si="213">IFERROR(AC391-AE391-AG391-AI391,0)</f>
        <v>0</v>
      </c>
      <c r="AL391" s="475">
        <f t="shared" ref="AL391:AL454" ca="1" si="214">IFERROR(VLOOKUP($B391,INDIRECT($J391),AL$5,0),0)</f>
        <v>0</v>
      </c>
      <c r="AM391" s="480"/>
      <c r="AN391" s="477">
        <f t="shared" ref="AN391:AN454" si="215">IF(AM391="",0,AL391*AM391)</f>
        <v>0</v>
      </c>
      <c r="AO391" s="480"/>
      <c r="AP391" s="477">
        <f t="shared" ref="AP391:AP454" si="216">IF(AO391="",0,AN391*AO391)</f>
        <v>0</v>
      </c>
      <c r="AQ391" s="480"/>
      <c r="AR391" s="477">
        <f t="shared" ref="AR391:AR454" si="217">IF(AQ391="",0,AP391*AQ391)</f>
        <v>0</v>
      </c>
      <c r="AS391" s="480"/>
      <c r="AT391" s="477">
        <f t="shared" ref="AT391:AT454" ca="1" si="218">IFERROR(AL391-AN391-AP391-AR391,0)</f>
        <v>0</v>
      </c>
      <c r="AU391" s="475">
        <f t="shared" ref="AU391:AU454" ca="1" si="219">IFERROR(VLOOKUP($B391,INDIRECT($J391),AU$5,0),0)</f>
        <v>0</v>
      </c>
      <c r="AV391" s="480"/>
      <c r="AW391" s="477">
        <f t="shared" ref="AW391:AW454" si="220">IF(AV391="",0,AU391*AV391)</f>
        <v>0</v>
      </c>
      <c r="AX391" s="480"/>
      <c r="AY391" s="477">
        <f t="shared" ref="AY391:AY454" si="221">IF(AX391="",0,AW391*AX391)</f>
        <v>0</v>
      </c>
      <c r="AZ391" s="480"/>
      <c r="BA391" s="477">
        <f t="shared" ref="BA391:BA454" si="222">IF(AZ391="",0,AY391*AZ391)</f>
        <v>0</v>
      </c>
      <c r="BB391" s="480"/>
      <c r="BC391" s="850">
        <f t="shared" ref="BC391:BC454" ca="1" si="223">K391+T391+AC391+AL391+AU391</f>
        <v>0</v>
      </c>
    </row>
    <row r="392" spans="1:55">
      <c r="A392" s="837" t="str">
        <f t="shared" si="195"/>
        <v/>
      </c>
      <c r="B392" s="440"/>
      <c r="C392" s="834" t="str">
        <f t="shared" ca="1" si="196"/>
        <v/>
      </c>
      <c r="D392" s="1757" t="str">
        <f ca="1">IFERROR(VLOOKUP(LEFT(E392,4),Nom_activ_2!D:G,4,0),"")</f>
        <v/>
      </c>
      <c r="E392" s="1757" t="str">
        <f t="shared" ca="1" si="197"/>
        <v/>
      </c>
      <c r="F392" s="1777">
        <f t="shared" ca="1" si="194"/>
        <v>0</v>
      </c>
      <c r="G392" s="839">
        <f t="shared" ca="1" si="194"/>
        <v>0</v>
      </c>
      <c r="H392" s="840">
        <f t="shared" ca="1" si="194"/>
        <v>0</v>
      </c>
      <c r="I392" s="443"/>
      <c r="J392" s="838" t="str">
        <f t="shared" si="198"/>
        <v>!$A:$j</v>
      </c>
      <c r="K392" s="475">
        <f t="shared" ca="1" si="199"/>
        <v>0</v>
      </c>
      <c r="L392" s="480"/>
      <c r="M392" s="477">
        <f t="shared" si="200"/>
        <v>0</v>
      </c>
      <c r="N392" s="480"/>
      <c r="O392" s="477">
        <f t="shared" si="201"/>
        <v>0</v>
      </c>
      <c r="P392" s="480"/>
      <c r="Q392" s="477">
        <f t="shared" si="202"/>
        <v>0</v>
      </c>
      <c r="R392" s="480"/>
      <c r="S392" s="477">
        <f t="shared" ca="1" si="203"/>
        <v>0</v>
      </c>
      <c r="T392" s="475">
        <f t="shared" ca="1" si="204"/>
        <v>0</v>
      </c>
      <c r="U392" s="480"/>
      <c r="V392" s="477">
        <f t="shared" si="205"/>
        <v>0</v>
      </c>
      <c r="W392" s="480"/>
      <c r="X392" s="477">
        <f t="shared" si="206"/>
        <v>0</v>
      </c>
      <c r="Y392" s="480"/>
      <c r="Z392" s="477">
        <f t="shared" si="207"/>
        <v>0</v>
      </c>
      <c r="AA392" s="480"/>
      <c r="AB392" s="477">
        <f t="shared" ca="1" si="208"/>
        <v>0</v>
      </c>
      <c r="AC392" s="475">
        <f t="shared" ca="1" si="209"/>
        <v>0</v>
      </c>
      <c r="AD392" s="480"/>
      <c r="AE392" s="477">
        <f t="shared" si="210"/>
        <v>0</v>
      </c>
      <c r="AF392" s="480"/>
      <c r="AG392" s="477">
        <f t="shared" si="211"/>
        <v>0</v>
      </c>
      <c r="AH392" s="480"/>
      <c r="AI392" s="477">
        <f t="shared" si="212"/>
        <v>0</v>
      </c>
      <c r="AJ392" s="480"/>
      <c r="AK392" s="477">
        <f t="shared" ca="1" si="213"/>
        <v>0</v>
      </c>
      <c r="AL392" s="475">
        <f t="shared" ca="1" si="214"/>
        <v>0</v>
      </c>
      <c r="AM392" s="480"/>
      <c r="AN392" s="477">
        <f t="shared" si="215"/>
        <v>0</v>
      </c>
      <c r="AO392" s="480"/>
      <c r="AP392" s="477">
        <f t="shared" si="216"/>
        <v>0</v>
      </c>
      <c r="AQ392" s="480"/>
      <c r="AR392" s="477">
        <f t="shared" si="217"/>
        <v>0</v>
      </c>
      <c r="AS392" s="480"/>
      <c r="AT392" s="477">
        <f t="shared" ca="1" si="218"/>
        <v>0</v>
      </c>
      <c r="AU392" s="475">
        <f t="shared" ca="1" si="219"/>
        <v>0</v>
      </c>
      <c r="AV392" s="480"/>
      <c r="AW392" s="477">
        <f t="shared" si="220"/>
        <v>0</v>
      </c>
      <c r="AX392" s="480"/>
      <c r="AY392" s="477">
        <f t="shared" si="221"/>
        <v>0</v>
      </c>
      <c r="AZ392" s="480"/>
      <c r="BA392" s="477">
        <f t="shared" si="222"/>
        <v>0</v>
      </c>
      <c r="BB392" s="480"/>
      <c r="BC392" s="850">
        <f t="shared" ca="1" si="223"/>
        <v>0</v>
      </c>
    </row>
    <row r="393" spans="1:55">
      <c r="A393" s="837" t="str">
        <f t="shared" si="195"/>
        <v/>
      </c>
      <c r="B393" s="440"/>
      <c r="C393" s="834" t="str">
        <f t="shared" ca="1" si="196"/>
        <v/>
      </c>
      <c r="D393" s="1757" t="str">
        <f ca="1">IFERROR(VLOOKUP(LEFT(E393,4),Nom_activ_2!D:G,4,0),"")</f>
        <v/>
      </c>
      <c r="E393" s="1757" t="str">
        <f t="shared" ca="1" si="197"/>
        <v/>
      </c>
      <c r="F393" s="1777">
        <f t="shared" ca="1" si="194"/>
        <v>0</v>
      </c>
      <c r="G393" s="839">
        <f t="shared" ca="1" si="194"/>
        <v>0</v>
      </c>
      <c r="H393" s="840">
        <f t="shared" ca="1" si="194"/>
        <v>0</v>
      </c>
      <c r="I393" s="443"/>
      <c r="J393" s="838" t="str">
        <f t="shared" si="198"/>
        <v>!$A:$j</v>
      </c>
      <c r="K393" s="475">
        <f t="shared" ca="1" si="199"/>
        <v>0</v>
      </c>
      <c r="L393" s="480"/>
      <c r="M393" s="477">
        <f t="shared" si="200"/>
        <v>0</v>
      </c>
      <c r="N393" s="480"/>
      <c r="O393" s="477">
        <f t="shared" si="201"/>
        <v>0</v>
      </c>
      <c r="P393" s="480"/>
      <c r="Q393" s="477">
        <f t="shared" si="202"/>
        <v>0</v>
      </c>
      <c r="R393" s="480"/>
      <c r="S393" s="477">
        <f t="shared" ca="1" si="203"/>
        <v>0</v>
      </c>
      <c r="T393" s="475">
        <f t="shared" ca="1" si="204"/>
        <v>0</v>
      </c>
      <c r="U393" s="480"/>
      <c r="V393" s="477">
        <f t="shared" si="205"/>
        <v>0</v>
      </c>
      <c r="W393" s="480"/>
      <c r="X393" s="477">
        <f t="shared" si="206"/>
        <v>0</v>
      </c>
      <c r="Y393" s="480"/>
      <c r="Z393" s="477">
        <f t="shared" si="207"/>
        <v>0</v>
      </c>
      <c r="AA393" s="480"/>
      <c r="AB393" s="477">
        <f t="shared" ca="1" si="208"/>
        <v>0</v>
      </c>
      <c r="AC393" s="475">
        <f t="shared" ca="1" si="209"/>
        <v>0</v>
      </c>
      <c r="AD393" s="480"/>
      <c r="AE393" s="477">
        <f t="shared" si="210"/>
        <v>0</v>
      </c>
      <c r="AF393" s="480"/>
      <c r="AG393" s="477">
        <f t="shared" si="211"/>
        <v>0</v>
      </c>
      <c r="AH393" s="480"/>
      <c r="AI393" s="477">
        <f t="shared" si="212"/>
        <v>0</v>
      </c>
      <c r="AJ393" s="480"/>
      <c r="AK393" s="477">
        <f t="shared" ca="1" si="213"/>
        <v>0</v>
      </c>
      <c r="AL393" s="475">
        <f t="shared" ca="1" si="214"/>
        <v>0</v>
      </c>
      <c r="AM393" s="480"/>
      <c r="AN393" s="477">
        <f t="shared" si="215"/>
        <v>0</v>
      </c>
      <c r="AO393" s="480"/>
      <c r="AP393" s="477">
        <f t="shared" si="216"/>
        <v>0</v>
      </c>
      <c r="AQ393" s="480"/>
      <c r="AR393" s="477">
        <f t="shared" si="217"/>
        <v>0</v>
      </c>
      <c r="AS393" s="480"/>
      <c r="AT393" s="477">
        <f t="shared" ca="1" si="218"/>
        <v>0</v>
      </c>
      <c r="AU393" s="475">
        <f t="shared" ca="1" si="219"/>
        <v>0</v>
      </c>
      <c r="AV393" s="480"/>
      <c r="AW393" s="477">
        <f t="shared" si="220"/>
        <v>0</v>
      </c>
      <c r="AX393" s="480"/>
      <c r="AY393" s="477">
        <f t="shared" si="221"/>
        <v>0</v>
      </c>
      <c r="AZ393" s="480"/>
      <c r="BA393" s="477">
        <f t="shared" si="222"/>
        <v>0</v>
      </c>
      <c r="BB393" s="480"/>
      <c r="BC393" s="850">
        <f t="shared" ca="1" si="223"/>
        <v>0</v>
      </c>
    </row>
    <row r="394" spans="1:55">
      <c r="A394" s="837" t="str">
        <f t="shared" si="195"/>
        <v/>
      </c>
      <c r="B394" s="440"/>
      <c r="C394" s="834" t="str">
        <f t="shared" ca="1" si="196"/>
        <v/>
      </c>
      <c r="D394" s="1757" t="str">
        <f ca="1">IFERROR(VLOOKUP(LEFT(E394,4),Nom_activ_2!D:G,4,0),"")</f>
        <v/>
      </c>
      <c r="E394" s="1757" t="str">
        <f t="shared" ca="1" si="197"/>
        <v/>
      </c>
      <c r="F394" s="1777">
        <f t="shared" ca="1" si="194"/>
        <v>0</v>
      </c>
      <c r="G394" s="839">
        <f t="shared" ca="1" si="194"/>
        <v>0</v>
      </c>
      <c r="H394" s="840">
        <f t="shared" ca="1" si="194"/>
        <v>0</v>
      </c>
      <c r="I394" s="443"/>
      <c r="J394" s="838" t="str">
        <f t="shared" si="198"/>
        <v>!$A:$j</v>
      </c>
      <c r="K394" s="475">
        <f t="shared" ca="1" si="199"/>
        <v>0</v>
      </c>
      <c r="L394" s="480"/>
      <c r="M394" s="477">
        <f t="shared" si="200"/>
        <v>0</v>
      </c>
      <c r="N394" s="480"/>
      <c r="O394" s="477">
        <f t="shared" si="201"/>
        <v>0</v>
      </c>
      <c r="P394" s="480"/>
      <c r="Q394" s="477">
        <f t="shared" si="202"/>
        <v>0</v>
      </c>
      <c r="R394" s="480"/>
      <c r="S394" s="477">
        <f t="shared" ca="1" si="203"/>
        <v>0</v>
      </c>
      <c r="T394" s="475">
        <f t="shared" ca="1" si="204"/>
        <v>0</v>
      </c>
      <c r="U394" s="480"/>
      <c r="V394" s="477">
        <f t="shared" si="205"/>
        <v>0</v>
      </c>
      <c r="W394" s="480"/>
      <c r="X394" s="477">
        <f t="shared" si="206"/>
        <v>0</v>
      </c>
      <c r="Y394" s="480"/>
      <c r="Z394" s="477">
        <f t="shared" si="207"/>
        <v>0</v>
      </c>
      <c r="AA394" s="480"/>
      <c r="AB394" s="477">
        <f t="shared" ca="1" si="208"/>
        <v>0</v>
      </c>
      <c r="AC394" s="475">
        <f t="shared" ca="1" si="209"/>
        <v>0</v>
      </c>
      <c r="AD394" s="480"/>
      <c r="AE394" s="477">
        <f t="shared" si="210"/>
        <v>0</v>
      </c>
      <c r="AF394" s="480"/>
      <c r="AG394" s="477">
        <f t="shared" si="211"/>
        <v>0</v>
      </c>
      <c r="AH394" s="480"/>
      <c r="AI394" s="477">
        <f t="shared" si="212"/>
        <v>0</v>
      </c>
      <c r="AJ394" s="480"/>
      <c r="AK394" s="477">
        <f t="shared" ca="1" si="213"/>
        <v>0</v>
      </c>
      <c r="AL394" s="475">
        <f t="shared" ca="1" si="214"/>
        <v>0</v>
      </c>
      <c r="AM394" s="480"/>
      <c r="AN394" s="477">
        <f t="shared" si="215"/>
        <v>0</v>
      </c>
      <c r="AO394" s="480"/>
      <c r="AP394" s="477">
        <f t="shared" si="216"/>
        <v>0</v>
      </c>
      <c r="AQ394" s="480"/>
      <c r="AR394" s="477">
        <f t="shared" si="217"/>
        <v>0</v>
      </c>
      <c r="AS394" s="480"/>
      <c r="AT394" s="477">
        <f t="shared" ca="1" si="218"/>
        <v>0</v>
      </c>
      <c r="AU394" s="475">
        <f t="shared" ca="1" si="219"/>
        <v>0</v>
      </c>
      <c r="AV394" s="480"/>
      <c r="AW394" s="477">
        <f t="shared" si="220"/>
        <v>0</v>
      </c>
      <c r="AX394" s="480"/>
      <c r="AY394" s="477">
        <f t="shared" si="221"/>
        <v>0</v>
      </c>
      <c r="AZ394" s="480"/>
      <c r="BA394" s="477">
        <f t="shared" si="222"/>
        <v>0</v>
      </c>
      <c r="BB394" s="480"/>
      <c r="BC394" s="850">
        <f t="shared" ca="1" si="223"/>
        <v>0</v>
      </c>
    </row>
    <row r="395" spans="1:55">
      <c r="A395" s="837" t="str">
        <f t="shared" si="195"/>
        <v/>
      </c>
      <c r="B395" s="440"/>
      <c r="C395" s="834" t="str">
        <f t="shared" ca="1" si="196"/>
        <v/>
      </c>
      <c r="D395" s="1757" t="str">
        <f ca="1">IFERROR(VLOOKUP(LEFT(E395,4),Nom_activ_2!D:G,4,0),"")</f>
        <v/>
      </c>
      <c r="E395" s="1757" t="str">
        <f t="shared" ca="1" si="197"/>
        <v/>
      </c>
      <c r="F395" s="1777">
        <f t="shared" ca="1" si="194"/>
        <v>0</v>
      </c>
      <c r="G395" s="839">
        <f t="shared" ca="1" si="194"/>
        <v>0</v>
      </c>
      <c r="H395" s="840">
        <f t="shared" ca="1" si="194"/>
        <v>0</v>
      </c>
      <c r="I395" s="443"/>
      <c r="J395" s="838" t="str">
        <f t="shared" si="198"/>
        <v>!$A:$j</v>
      </c>
      <c r="K395" s="475">
        <f t="shared" ca="1" si="199"/>
        <v>0</v>
      </c>
      <c r="L395" s="480"/>
      <c r="M395" s="477">
        <f t="shared" si="200"/>
        <v>0</v>
      </c>
      <c r="N395" s="480"/>
      <c r="O395" s="477">
        <f t="shared" si="201"/>
        <v>0</v>
      </c>
      <c r="P395" s="480"/>
      <c r="Q395" s="477">
        <f t="shared" si="202"/>
        <v>0</v>
      </c>
      <c r="R395" s="480"/>
      <c r="S395" s="477">
        <f t="shared" ca="1" si="203"/>
        <v>0</v>
      </c>
      <c r="T395" s="475">
        <f t="shared" ca="1" si="204"/>
        <v>0</v>
      </c>
      <c r="U395" s="480"/>
      <c r="V395" s="477">
        <f t="shared" si="205"/>
        <v>0</v>
      </c>
      <c r="W395" s="480"/>
      <c r="X395" s="477">
        <f t="shared" si="206"/>
        <v>0</v>
      </c>
      <c r="Y395" s="480"/>
      <c r="Z395" s="477">
        <f t="shared" si="207"/>
        <v>0</v>
      </c>
      <c r="AA395" s="480"/>
      <c r="AB395" s="477">
        <f t="shared" ca="1" si="208"/>
        <v>0</v>
      </c>
      <c r="AC395" s="475">
        <f t="shared" ca="1" si="209"/>
        <v>0</v>
      </c>
      <c r="AD395" s="480"/>
      <c r="AE395" s="477">
        <f t="shared" si="210"/>
        <v>0</v>
      </c>
      <c r="AF395" s="480"/>
      <c r="AG395" s="477">
        <f t="shared" si="211"/>
        <v>0</v>
      </c>
      <c r="AH395" s="480"/>
      <c r="AI395" s="477">
        <f t="shared" si="212"/>
        <v>0</v>
      </c>
      <c r="AJ395" s="480"/>
      <c r="AK395" s="477">
        <f t="shared" ca="1" si="213"/>
        <v>0</v>
      </c>
      <c r="AL395" s="475">
        <f t="shared" ca="1" si="214"/>
        <v>0</v>
      </c>
      <c r="AM395" s="480"/>
      <c r="AN395" s="477">
        <f t="shared" si="215"/>
        <v>0</v>
      </c>
      <c r="AO395" s="480"/>
      <c r="AP395" s="477">
        <f t="shared" si="216"/>
        <v>0</v>
      </c>
      <c r="AQ395" s="480"/>
      <c r="AR395" s="477">
        <f t="shared" si="217"/>
        <v>0</v>
      </c>
      <c r="AS395" s="480"/>
      <c r="AT395" s="477">
        <f t="shared" ca="1" si="218"/>
        <v>0</v>
      </c>
      <c r="AU395" s="475">
        <f t="shared" ca="1" si="219"/>
        <v>0</v>
      </c>
      <c r="AV395" s="480"/>
      <c r="AW395" s="477">
        <f t="shared" si="220"/>
        <v>0</v>
      </c>
      <c r="AX395" s="480"/>
      <c r="AY395" s="477">
        <f t="shared" si="221"/>
        <v>0</v>
      </c>
      <c r="AZ395" s="480"/>
      <c r="BA395" s="477">
        <f t="shared" si="222"/>
        <v>0</v>
      </c>
      <c r="BB395" s="480"/>
      <c r="BC395" s="850">
        <f t="shared" ca="1" si="223"/>
        <v>0</v>
      </c>
    </row>
    <row r="396" spans="1:55">
      <c r="A396" s="837" t="str">
        <f t="shared" si="195"/>
        <v/>
      </c>
      <c r="B396" s="440"/>
      <c r="C396" s="834" t="str">
        <f t="shared" ca="1" si="196"/>
        <v/>
      </c>
      <c r="D396" s="1757" t="str">
        <f ca="1">IFERROR(VLOOKUP(LEFT(E396,4),Nom_activ_2!D:G,4,0),"")</f>
        <v/>
      </c>
      <c r="E396" s="1757" t="str">
        <f t="shared" ca="1" si="197"/>
        <v/>
      </c>
      <c r="F396" s="1777">
        <f t="shared" ca="1" si="194"/>
        <v>0</v>
      </c>
      <c r="G396" s="839">
        <f t="shared" ca="1" si="194"/>
        <v>0</v>
      </c>
      <c r="H396" s="840">
        <f t="shared" ca="1" si="194"/>
        <v>0</v>
      </c>
      <c r="I396" s="443"/>
      <c r="J396" s="838" t="str">
        <f t="shared" si="198"/>
        <v>!$A:$j</v>
      </c>
      <c r="K396" s="475">
        <f t="shared" ca="1" si="199"/>
        <v>0</v>
      </c>
      <c r="L396" s="480"/>
      <c r="M396" s="477">
        <f t="shared" si="200"/>
        <v>0</v>
      </c>
      <c r="N396" s="480"/>
      <c r="O396" s="477">
        <f t="shared" si="201"/>
        <v>0</v>
      </c>
      <c r="P396" s="480"/>
      <c r="Q396" s="477">
        <f t="shared" si="202"/>
        <v>0</v>
      </c>
      <c r="R396" s="480"/>
      <c r="S396" s="477">
        <f t="shared" ca="1" si="203"/>
        <v>0</v>
      </c>
      <c r="T396" s="475">
        <f t="shared" ca="1" si="204"/>
        <v>0</v>
      </c>
      <c r="U396" s="480"/>
      <c r="V396" s="477">
        <f t="shared" si="205"/>
        <v>0</v>
      </c>
      <c r="W396" s="480"/>
      <c r="X396" s="477">
        <f t="shared" si="206"/>
        <v>0</v>
      </c>
      <c r="Y396" s="480"/>
      <c r="Z396" s="477">
        <f t="shared" si="207"/>
        <v>0</v>
      </c>
      <c r="AA396" s="480"/>
      <c r="AB396" s="477">
        <f t="shared" ca="1" si="208"/>
        <v>0</v>
      </c>
      <c r="AC396" s="475">
        <f t="shared" ca="1" si="209"/>
        <v>0</v>
      </c>
      <c r="AD396" s="480"/>
      <c r="AE396" s="477">
        <f t="shared" si="210"/>
        <v>0</v>
      </c>
      <c r="AF396" s="480"/>
      <c r="AG396" s="477">
        <f t="shared" si="211"/>
        <v>0</v>
      </c>
      <c r="AH396" s="480"/>
      <c r="AI396" s="477">
        <f t="shared" si="212"/>
        <v>0</v>
      </c>
      <c r="AJ396" s="480"/>
      <c r="AK396" s="477">
        <f t="shared" ca="1" si="213"/>
        <v>0</v>
      </c>
      <c r="AL396" s="475">
        <f t="shared" ca="1" si="214"/>
        <v>0</v>
      </c>
      <c r="AM396" s="480"/>
      <c r="AN396" s="477">
        <f t="shared" si="215"/>
        <v>0</v>
      </c>
      <c r="AO396" s="480"/>
      <c r="AP396" s="477">
        <f t="shared" si="216"/>
        <v>0</v>
      </c>
      <c r="AQ396" s="480"/>
      <c r="AR396" s="477">
        <f t="shared" si="217"/>
        <v>0</v>
      </c>
      <c r="AS396" s="480"/>
      <c r="AT396" s="477">
        <f t="shared" ca="1" si="218"/>
        <v>0</v>
      </c>
      <c r="AU396" s="475">
        <f t="shared" ca="1" si="219"/>
        <v>0</v>
      </c>
      <c r="AV396" s="480"/>
      <c r="AW396" s="477">
        <f t="shared" si="220"/>
        <v>0</v>
      </c>
      <c r="AX396" s="480"/>
      <c r="AY396" s="477">
        <f t="shared" si="221"/>
        <v>0</v>
      </c>
      <c r="AZ396" s="480"/>
      <c r="BA396" s="477">
        <f t="shared" si="222"/>
        <v>0</v>
      </c>
      <c r="BB396" s="480"/>
      <c r="BC396" s="850">
        <f t="shared" ca="1" si="223"/>
        <v>0</v>
      </c>
    </row>
    <row r="397" spans="1:55">
      <c r="A397" s="837" t="str">
        <f t="shared" si="195"/>
        <v/>
      </c>
      <c r="B397" s="440"/>
      <c r="C397" s="834" t="str">
        <f t="shared" ca="1" si="196"/>
        <v/>
      </c>
      <c r="D397" s="1757" t="str">
        <f ca="1">IFERROR(VLOOKUP(LEFT(E397,4),Nom_activ_2!D:G,4,0),"")</f>
        <v/>
      </c>
      <c r="E397" s="1757" t="str">
        <f t="shared" ca="1" si="197"/>
        <v/>
      </c>
      <c r="F397" s="1777">
        <f t="shared" ca="1" si="194"/>
        <v>0</v>
      </c>
      <c r="G397" s="839">
        <f t="shared" ca="1" si="194"/>
        <v>0</v>
      </c>
      <c r="H397" s="840">
        <f t="shared" ca="1" si="194"/>
        <v>0</v>
      </c>
      <c r="I397" s="443"/>
      <c r="J397" s="838" t="str">
        <f t="shared" si="198"/>
        <v>!$A:$j</v>
      </c>
      <c r="K397" s="475">
        <f t="shared" ca="1" si="199"/>
        <v>0</v>
      </c>
      <c r="L397" s="480"/>
      <c r="M397" s="477">
        <f t="shared" si="200"/>
        <v>0</v>
      </c>
      <c r="N397" s="480"/>
      <c r="O397" s="477">
        <f t="shared" si="201"/>
        <v>0</v>
      </c>
      <c r="P397" s="480"/>
      <c r="Q397" s="477">
        <f t="shared" si="202"/>
        <v>0</v>
      </c>
      <c r="R397" s="480"/>
      <c r="S397" s="477">
        <f t="shared" ca="1" si="203"/>
        <v>0</v>
      </c>
      <c r="T397" s="475">
        <f t="shared" ca="1" si="204"/>
        <v>0</v>
      </c>
      <c r="U397" s="480"/>
      <c r="V397" s="477">
        <f t="shared" si="205"/>
        <v>0</v>
      </c>
      <c r="W397" s="480"/>
      <c r="X397" s="477">
        <f t="shared" si="206"/>
        <v>0</v>
      </c>
      <c r="Y397" s="480"/>
      <c r="Z397" s="477">
        <f t="shared" si="207"/>
        <v>0</v>
      </c>
      <c r="AA397" s="480"/>
      <c r="AB397" s="477">
        <f t="shared" ca="1" si="208"/>
        <v>0</v>
      </c>
      <c r="AC397" s="475">
        <f t="shared" ca="1" si="209"/>
        <v>0</v>
      </c>
      <c r="AD397" s="480"/>
      <c r="AE397" s="477">
        <f t="shared" si="210"/>
        <v>0</v>
      </c>
      <c r="AF397" s="480"/>
      <c r="AG397" s="477">
        <f t="shared" si="211"/>
        <v>0</v>
      </c>
      <c r="AH397" s="480"/>
      <c r="AI397" s="477">
        <f t="shared" si="212"/>
        <v>0</v>
      </c>
      <c r="AJ397" s="480"/>
      <c r="AK397" s="477">
        <f t="shared" ca="1" si="213"/>
        <v>0</v>
      </c>
      <c r="AL397" s="475">
        <f t="shared" ca="1" si="214"/>
        <v>0</v>
      </c>
      <c r="AM397" s="480"/>
      <c r="AN397" s="477">
        <f t="shared" si="215"/>
        <v>0</v>
      </c>
      <c r="AO397" s="480"/>
      <c r="AP397" s="477">
        <f t="shared" si="216"/>
        <v>0</v>
      </c>
      <c r="AQ397" s="480"/>
      <c r="AR397" s="477">
        <f t="shared" si="217"/>
        <v>0</v>
      </c>
      <c r="AS397" s="480"/>
      <c r="AT397" s="477">
        <f t="shared" ca="1" si="218"/>
        <v>0</v>
      </c>
      <c r="AU397" s="475">
        <f t="shared" ca="1" si="219"/>
        <v>0</v>
      </c>
      <c r="AV397" s="480"/>
      <c r="AW397" s="477">
        <f t="shared" si="220"/>
        <v>0</v>
      </c>
      <c r="AX397" s="480"/>
      <c r="AY397" s="477">
        <f t="shared" si="221"/>
        <v>0</v>
      </c>
      <c r="AZ397" s="480"/>
      <c r="BA397" s="477">
        <f t="shared" si="222"/>
        <v>0</v>
      </c>
      <c r="BB397" s="480"/>
      <c r="BC397" s="850">
        <f t="shared" ca="1" si="223"/>
        <v>0</v>
      </c>
    </row>
    <row r="398" spans="1:55">
      <c r="A398" s="837" t="str">
        <f t="shared" si="195"/>
        <v/>
      </c>
      <c r="B398" s="440"/>
      <c r="C398" s="834" t="str">
        <f t="shared" ca="1" si="196"/>
        <v/>
      </c>
      <c r="D398" s="1757" t="str">
        <f ca="1">IFERROR(VLOOKUP(LEFT(E398,4),Nom_activ_2!D:G,4,0),"")</f>
        <v/>
      </c>
      <c r="E398" s="1757" t="str">
        <f t="shared" ca="1" si="197"/>
        <v/>
      </c>
      <c r="F398" s="1777">
        <f t="shared" ca="1" si="194"/>
        <v>0</v>
      </c>
      <c r="G398" s="839">
        <f t="shared" ca="1" si="194"/>
        <v>0</v>
      </c>
      <c r="H398" s="840">
        <f t="shared" ca="1" si="194"/>
        <v>0</v>
      </c>
      <c r="I398" s="443"/>
      <c r="J398" s="838" t="str">
        <f t="shared" si="198"/>
        <v>!$A:$j</v>
      </c>
      <c r="K398" s="475">
        <f t="shared" ca="1" si="199"/>
        <v>0</v>
      </c>
      <c r="L398" s="480"/>
      <c r="M398" s="477">
        <f t="shared" si="200"/>
        <v>0</v>
      </c>
      <c r="N398" s="480"/>
      <c r="O398" s="477">
        <f t="shared" si="201"/>
        <v>0</v>
      </c>
      <c r="P398" s="480"/>
      <c r="Q398" s="477">
        <f t="shared" si="202"/>
        <v>0</v>
      </c>
      <c r="R398" s="480"/>
      <c r="S398" s="477">
        <f t="shared" ca="1" si="203"/>
        <v>0</v>
      </c>
      <c r="T398" s="475">
        <f t="shared" ca="1" si="204"/>
        <v>0</v>
      </c>
      <c r="U398" s="480"/>
      <c r="V398" s="477">
        <f t="shared" si="205"/>
        <v>0</v>
      </c>
      <c r="W398" s="480"/>
      <c r="X398" s="477">
        <f t="shared" si="206"/>
        <v>0</v>
      </c>
      <c r="Y398" s="480"/>
      <c r="Z398" s="477">
        <f t="shared" si="207"/>
        <v>0</v>
      </c>
      <c r="AA398" s="480"/>
      <c r="AB398" s="477">
        <f t="shared" ca="1" si="208"/>
        <v>0</v>
      </c>
      <c r="AC398" s="475">
        <f t="shared" ca="1" si="209"/>
        <v>0</v>
      </c>
      <c r="AD398" s="480"/>
      <c r="AE398" s="477">
        <f t="shared" si="210"/>
        <v>0</v>
      </c>
      <c r="AF398" s="480"/>
      <c r="AG398" s="477">
        <f t="shared" si="211"/>
        <v>0</v>
      </c>
      <c r="AH398" s="480"/>
      <c r="AI398" s="477">
        <f t="shared" si="212"/>
        <v>0</v>
      </c>
      <c r="AJ398" s="480"/>
      <c r="AK398" s="477">
        <f t="shared" ca="1" si="213"/>
        <v>0</v>
      </c>
      <c r="AL398" s="475">
        <f t="shared" ca="1" si="214"/>
        <v>0</v>
      </c>
      <c r="AM398" s="480"/>
      <c r="AN398" s="477">
        <f t="shared" si="215"/>
        <v>0</v>
      </c>
      <c r="AO398" s="480"/>
      <c r="AP398" s="477">
        <f t="shared" si="216"/>
        <v>0</v>
      </c>
      <c r="AQ398" s="480"/>
      <c r="AR398" s="477">
        <f t="shared" si="217"/>
        <v>0</v>
      </c>
      <c r="AS398" s="480"/>
      <c r="AT398" s="477">
        <f t="shared" ca="1" si="218"/>
        <v>0</v>
      </c>
      <c r="AU398" s="475">
        <f t="shared" ca="1" si="219"/>
        <v>0</v>
      </c>
      <c r="AV398" s="480"/>
      <c r="AW398" s="477">
        <f t="shared" si="220"/>
        <v>0</v>
      </c>
      <c r="AX398" s="480"/>
      <c r="AY398" s="477">
        <f t="shared" si="221"/>
        <v>0</v>
      </c>
      <c r="AZ398" s="480"/>
      <c r="BA398" s="477">
        <f t="shared" si="222"/>
        <v>0</v>
      </c>
      <c r="BB398" s="480"/>
      <c r="BC398" s="850">
        <f t="shared" ca="1" si="223"/>
        <v>0</v>
      </c>
    </row>
    <row r="399" spans="1:55">
      <c r="A399" s="837" t="str">
        <f t="shared" si="195"/>
        <v/>
      </c>
      <c r="B399" s="440"/>
      <c r="C399" s="834" t="str">
        <f t="shared" ca="1" si="196"/>
        <v/>
      </c>
      <c r="D399" s="1757" t="str">
        <f ca="1">IFERROR(VLOOKUP(LEFT(E399,4),Nom_activ_2!D:G,4,0),"")</f>
        <v/>
      </c>
      <c r="E399" s="1757" t="str">
        <f t="shared" ca="1" si="197"/>
        <v/>
      </c>
      <c r="F399" s="1777">
        <f t="shared" ca="1" si="194"/>
        <v>0</v>
      </c>
      <c r="G399" s="839">
        <f t="shared" ca="1" si="194"/>
        <v>0</v>
      </c>
      <c r="H399" s="840">
        <f t="shared" ca="1" si="194"/>
        <v>0</v>
      </c>
      <c r="I399" s="443"/>
      <c r="J399" s="838" t="str">
        <f t="shared" si="198"/>
        <v>!$A:$j</v>
      </c>
      <c r="K399" s="475">
        <f t="shared" ca="1" si="199"/>
        <v>0</v>
      </c>
      <c r="L399" s="480"/>
      <c r="M399" s="477">
        <f t="shared" si="200"/>
        <v>0</v>
      </c>
      <c r="N399" s="480"/>
      <c r="O399" s="477">
        <f t="shared" si="201"/>
        <v>0</v>
      </c>
      <c r="P399" s="480"/>
      <c r="Q399" s="477">
        <f t="shared" si="202"/>
        <v>0</v>
      </c>
      <c r="R399" s="480"/>
      <c r="S399" s="477">
        <f t="shared" ca="1" si="203"/>
        <v>0</v>
      </c>
      <c r="T399" s="475">
        <f t="shared" ca="1" si="204"/>
        <v>0</v>
      </c>
      <c r="U399" s="480"/>
      <c r="V399" s="477">
        <f t="shared" si="205"/>
        <v>0</v>
      </c>
      <c r="W399" s="480"/>
      <c r="X399" s="477">
        <f t="shared" si="206"/>
        <v>0</v>
      </c>
      <c r="Y399" s="480"/>
      <c r="Z399" s="477">
        <f t="shared" si="207"/>
        <v>0</v>
      </c>
      <c r="AA399" s="480"/>
      <c r="AB399" s="477">
        <f t="shared" ca="1" si="208"/>
        <v>0</v>
      </c>
      <c r="AC399" s="475">
        <f t="shared" ca="1" si="209"/>
        <v>0</v>
      </c>
      <c r="AD399" s="480"/>
      <c r="AE399" s="477">
        <f t="shared" si="210"/>
        <v>0</v>
      </c>
      <c r="AF399" s="480"/>
      <c r="AG399" s="477">
        <f t="shared" si="211"/>
        <v>0</v>
      </c>
      <c r="AH399" s="480"/>
      <c r="AI399" s="477">
        <f t="shared" si="212"/>
        <v>0</v>
      </c>
      <c r="AJ399" s="480"/>
      <c r="AK399" s="477">
        <f t="shared" ca="1" si="213"/>
        <v>0</v>
      </c>
      <c r="AL399" s="475">
        <f t="shared" ca="1" si="214"/>
        <v>0</v>
      </c>
      <c r="AM399" s="480"/>
      <c r="AN399" s="477">
        <f t="shared" si="215"/>
        <v>0</v>
      </c>
      <c r="AO399" s="480"/>
      <c r="AP399" s="477">
        <f t="shared" si="216"/>
        <v>0</v>
      </c>
      <c r="AQ399" s="480"/>
      <c r="AR399" s="477">
        <f t="shared" si="217"/>
        <v>0</v>
      </c>
      <c r="AS399" s="480"/>
      <c r="AT399" s="477">
        <f t="shared" ca="1" si="218"/>
        <v>0</v>
      </c>
      <c r="AU399" s="475">
        <f t="shared" ca="1" si="219"/>
        <v>0</v>
      </c>
      <c r="AV399" s="480"/>
      <c r="AW399" s="477">
        <f t="shared" si="220"/>
        <v>0</v>
      </c>
      <c r="AX399" s="480"/>
      <c r="AY399" s="477">
        <f t="shared" si="221"/>
        <v>0</v>
      </c>
      <c r="AZ399" s="480"/>
      <c r="BA399" s="477">
        <f t="shared" si="222"/>
        <v>0</v>
      </c>
      <c r="BB399" s="480"/>
      <c r="BC399" s="850">
        <f t="shared" ca="1" si="223"/>
        <v>0</v>
      </c>
    </row>
    <row r="400" spans="1:55">
      <c r="A400" s="837" t="str">
        <f t="shared" si="195"/>
        <v/>
      </c>
      <c r="B400" s="440"/>
      <c r="C400" s="834" t="str">
        <f t="shared" ca="1" si="196"/>
        <v/>
      </c>
      <c r="D400" s="1757" t="str">
        <f ca="1">IFERROR(VLOOKUP(LEFT(E400,4),Nom_activ_2!D:G,4,0),"")</f>
        <v/>
      </c>
      <c r="E400" s="1757" t="str">
        <f t="shared" ca="1" si="197"/>
        <v/>
      </c>
      <c r="F400" s="1777">
        <f t="shared" ca="1" si="194"/>
        <v>0</v>
      </c>
      <c r="G400" s="839">
        <f t="shared" ca="1" si="194"/>
        <v>0</v>
      </c>
      <c r="H400" s="840">
        <f t="shared" ca="1" si="194"/>
        <v>0</v>
      </c>
      <c r="I400" s="443"/>
      <c r="J400" s="838" t="str">
        <f t="shared" si="198"/>
        <v>!$A:$j</v>
      </c>
      <c r="K400" s="475">
        <f t="shared" ca="1" si="199"/>
        <v>0</v>
      </c>
      <c r="L400" s="480"/>
      <c r="M400" s="477">
        <f t="shared" si="200"/>
        <v>0</v>
      </c>
      <c r="N400" s="480"/>
      <c r="O400" s="477">
        <f t="shared" si="201"/>
        <v>0</v>
      </c>
      <c r="P400" s="480"/>
      <c r="Q400" s="477">
        <f t="shared" si="202"/>
        <v>0</v>
      </c>
      <c r="R400" s="480"/>
      <c r="S400" s="477">
        <f t="shared" ca="1" si="203"/>
        <v>0</v>
      </c>
      <c r="T400" s="475">
        <f t="shared" ca="1" si="204"/>
        <v>0</v>
      </c>
      <c r="U400" s="480"/>
      <c r="V400" s="477">
        <f t="shared" si="205"/>
        <v>0</v>
      </c>
      <c r="W400" s="480"/>
      <c r="X400" s="477">
        <f t="shared" si="206"/>
        <v>0</v>
      </c>
      <c r="Y400" s="480"/>
      <c r="Z400" s="477">
        <f t="shared" si="207"/>
        <v>0</v>
      </c>
      <c r="AA400" s="480"/>
      <c r="AB400" s="477">
        <f t="shared" ca="1" si="208"/>
        <v>0</v>
      </c>
      <c r="AC400" s="475">
        <f t="shared" ca="1" si="209"/>
        <v>0</v>
      </c>
      <c r="AD400" s="480"/>
      <c r="AE400" s="477">
        <f t="shared" si="210"/>
        <v>0</v>
      </c>
      <c r="AF400" s="480"/>
      <c r="AG400" s="477">
        <f t="shared" si="211"/>
        <v>0</v>
      </c>
      <c r="AH400" s="480"/>
      <c r="AI400" s="477">
        <f t="shared" si="212"/>
        <v>0</v>
      </c>
      <c r="AJ400" s="480"/>
      <c r="AK400" s="477">
        <f t="shared" ca="1" si="213"/>
        <v>0</v>
      </c>
      <c r="AL400" s="475">
        <f t="shared" ca="1" si="214"/>
        <v>0</v>
      </c>
      <c r="AM400" s="480"/>
      <c r="AN400" s="477">
        <f t="shared" si="215"/>
        <v>0</v>
      </c>
      <c r="AO400" s="480"/>
      <c r="AP400" s="477">
        <f t="shared" si="216"/>
        <v>0</v>
      </c>
      <c r="AQ400" s="480"/>
      <c r="AR400" s="477">
        <f t="shared" si="217"/>
        <v>0</v>
      </c>
      <c r="AS400" s="480"/>
      <c r="AT400" s="477">
        <f t="shared" ca="1" si="218"/>
        <v>0</v>
      </c>
      <c r="AU400" s="475">
        <f t="shared" ca="1" si="219"/>
        <v>0</v>
      </c>
      <c r="AV400" s="480"/>
      <c r="AW400" s="477">
        <f t="shared" si="220"/>
        <v>0</v>
      </c>
      <c r="AX400" s="480"/>
      <c r="AY400" s="477">
        <f t="shared" si="221"/>
        <v>0</v>
      </c>
      <c r="AZ400" s="480"/>
      <c r="BA400" s="477">
        <f t="shared" si="222"/>
        <v>0</v>
      </c>
      <c r="BB400" s="480"/>
      <c r="BC400" s="850">
        <f t="shared" ca="1" si="223"/>
        <v>0</v>
      </c>
    </row>
    <row r="401" spans="1:55">
      <c r="A401" s="837" t="str">
        <f t="shared" si="195"/>
        <v/>
      </c>
      <c r="B401" s="440"/>
      <c r="C401" s="834" t="str">
        <f t="shared" ca="1" si="196"/>
        <v/>
      </c>
      <c r="D401" s="1757" t="str">
        <f ca="1">IFERROR(VLOOKUP(LEFT(E401,4),Nom_activ_2!D:G,4,0),"")</f>
        <v/>
      </c>
      <c r="E401" s="1757" t="str">
        <f t="shared" ca="1" si="197"/>
        <v/>
      </c>
      <c r="F401" s="1777">
        <f t="shared" ca="1" si="194"/>
        <v>0</v>
      </c>
      <c r="G401" s="839">
        <f t="shared" ca="1" si="194"/>
        <v>0</v>
      </c>
      <c r="H401" s="840">
        <f t="shared" ca="1" si="194"/>
        <v>0</v>
      </c>
      <c r="I401" s="443"/>
      <c r="J401" s="838" t="str">
        <f t="shared" si="198"/>
        <v>!$A:$j</v>
      </c>
      <c r="K401" s="475">
        <f t="shared" ca="1" si="199"/>
        <v>0</v>
      </c>
      <c r="L401" s="480"/>
      <c r="M401" s="477">
        <f t="shared" si="200"/>
        <v>0</v>
      </c>
      <c r="N401" s="480"/>
      <c r="O401" s="477">
        <f t="shared" si="201"/>
        <v>0</v>
      </c>
      <c r="P401" s="480"/>
      <c r="Q401" s="477">
        <f t="shared" si="202"/>
        <v>0</v>
      </c>
      <c r="R401" s="480"/>
      <c r="S401" s="477">
        <f t="shared" ca="1" si="203"/>
        <v>0</v>
      </c>
      <c r="T401" s="475">
        <f t="shared" ca="1" si="204"/>
        <v>0</v>
      </c>
      <c r="U401" s="480"/>
      <c r="V401" s="477">
        <f t="shared" si="205"/>
        <v>0</v>
      </c>
      <c r="W401" s="480"/>
      <c r="X401" s="477">
        <f t="shared" si="206"/>
        <v>0</v>
      </c>
      <c r="Y401" s="480"/>
      <c r="Z401" s="477">
        <f t="shared" si="207"/>
        <v>0</v>
      </c>
      <c r="AA401" s="480"/>
      <c r="AB401" s="477">
        <f t="shared" ca="1" si="208"/>
        <v>0</v>
      </c>
      <c r="AC401" s="475">
        <f t="shared" ca="1" si="209"/>
        <v>0</v>
      </c>
      <c r="AD401" s="480"/>
      <c r="AE401" s="477">
        <f t="shared" si="210"/>
        <v>0</v>
      </c>
      <c r="AF401" s="480"/>
      <c r="AG401" s="477">
        <f t="shared" si="211"/>
        <v>0</v>
      </c>
      <c r="AH401" s="480"/>
      <c r="AI401" s="477">
        <f t="shared" si="212"/>
        <v>0</v>
      </c>
      <c r="AJ401" s="480"/>
      <c r="AK401" s="477">
        <f t="shared" ca="1" si="213"/>
        <v>0</v>
      </c>
      <c r="AL401" s="475">
        <f t="shared" ca="1" si="214"/>
        <v>0</v>
      </c>
      <c r="AM401" s="480"/>
      <c r="AN401" s="477">
        <f t="shared" si="215"/>
        <v>0</v>
      </c>
      <c r="AO401" s="480"/>
      <c r="AP401" s="477">
        <f t="shared" si="216"/>
        <v>0</v>
      </c>
      <c r="AQ401" s="480"/>
      <c r="AR401" s="477">
        <f t="shared" si="217"/>
        <v>0</v>
      </c>
      <c r="AS401" s="480"/>
      <c r="AT401" s="477">
        <f t="shared" ca="1" si="218"/>
        <v>0</v>
      </c>
      <c r="AU401" s="475">
        <f t="shared" ca="1" si="219"/>
        <v>0</v>
      </c>
      <c r="AV401" s="480"/>
      <c r="AW401" s="477">
        <f t="shared" si="220"/>
        <v>0</v>
      </c>
      <c r="AX401" s="480"/>
      <c r="AY401" s="477">
        <f t="shared" si="221"/>
        <v>0</v>
      </c>
      <c r="AZ401" s="480"/>
      <c r="BA401" s="477">
        <f t="shared" si="222"/>
        <v>0</v>
      </c>
      <c r="BB401" s="480"/>
      <c r="BC401" s="850">
        <f t="shared" ca="1" si="223"/>
        <v>0</v>
      </c>
    </row>
    <row r="402" spans="1:55">
      <c r="A402" s="837" t="str">
        <f t="shared" si="195"/>
        <v/>
      </c>
      <c r="B402" s="440"/>
      <c r="C402" s="834" t="str">
        <f t="shared" ca="1" si="196"/>
        <v/>
      </c>
      <c r="D402" s="1757" t="str">
        <f ca="1">IFERROR(VLOOKUP(LEFT(E402,4),Nom_activ_2!D:G,4,0),"")</f>
        <v/>
      </c>
      <c r="E402" s="1757" t="str">
        <f t="shared" ca="1" si="197"/>
        <v/>
      </c>
      <c r="F402" s="1777">
        <f t="shared" ca="1" si="194"/>
        <v>0</v>
      </c>
      <c r="G402" s="839">
        <f t="shared" ca="1" si="194"/>
        <v>0</v>
      </c>
      <c r="H402" s="840">
        <f t="shared" ca="1" si="194"/>
        <v>0</v>
      </c>
      <c r="I402" s="443"/>
      <c r="J402" s="838" t="str">
        <f t="shared" si="198"/>
        <v>!$A:$j</v>
      </c>
      <c r="K402" s="475">
        <f t="shared" ca="1" si="199"/>
        <v>0</v>
      </c>
      <c r="L402" s="480"/>
      <c r="M402" s="477">
        <f t="shared" si="200"/>
        <v>0</v>
      </c>
      <c r="N402" s="480"/>
      <c r="O402" s="477">
        <f t="shared" si="201"/>
        <v>0</v>
      </c>
      <c r="P402" s="480"/>
      <c r="Q402" s="477">
        <f t="shared" si="202"/>
        <v>0</v>
      </c>
      <c r="R402" s="480"/>
      <c r="S402" s="477">
        <f t="shared" ca="1" si="203"/>
        <v>0</v>
      </c>
      <c r="T402" s="475">
        <f t="shared" ca="1" si="204"/>
        <v>0</v>
      </c>
      <c r="U402" s="480"/>
      <c r="V402" s="477">
        <f t="shared" si="205"/>
        <v>0</v>
      </c>
      <c r="W402" s="480"/>
      <c r="X402" s="477">
        <f t="shared" si="206"/>
        <v>0</v>
      </c>
      <c r="Y402" s="480"/>
      <c r="Z402" s="477">
        <f t="shared" si="207"/>
        <v>0</v>
      </c>
      <c r="AA402" s="480"/>
      <c r="AB402" s="477">
        <f t="shared" ca="1" si="208"/>
        <v>0</v>
      </c>
      <c r="AC402" s="475">
        <f t="shared" ca="1" si="209"/>
        <v>0</v>
      </c>
      <c r="AD402" s="480"/>
      <c r="AE402" s="477">
        <f t="shared" si="210"/>
        <v>0</v>
      </c>
      <c r="AF402" s="480"/>
      <c r="AG402" s="477">
        <f t="shared" si="211"/>
        <v>0</v>
      </c>
      <c r="AH402" s="480"/>
      <c r="AI402" s="477">
        <f t="shared" si="212"/>
        <v>0</v>
      </c>
      <c r="AJ402" s="480"/>
      <c r="AK402" s="477">
        <f t="shared" ca="1" si="213"/>
        <v>0</v>
      </c>
      <c r="AL402" s="475">
        <f t="shared" ca="1" si="214"/>
        <v>0</v>
      </c>
      <c r="AM402" s="480"/>
      <c r="AN402" s="477">
        <f t="shared" si="215"/>
        <v>0</v>
      </c>
      <c r="AO402" s="480"/>
      <c r="AP402" s="477">
        <f t="shared" si="216"/>
        <v>0</v>
      </c>
      <c r="AQ402" s="480"/>
      <c r="AR402" s="477">
        <f t="shared" si="217"/>
        <v>0</v>
      </c>
      <c r="AS402" s="480"/>
      <c r="AT402" s="477">
        <f t="shared" ca="1" si="218"/>
        <v>0</v>
      </c>
      <c r="AU402" s="475">
        <f t="shared" ca="1" si="219"/>
        <v>0</v>
      </c>
      <c r="AV402" s="480"/>
      <c r="AW402" s="477">
        <f t="shared" si="220"/>
        <v>0</v>
      </c>
      <c r="AX402" s="480"/>
      <c r="AY402" s="477">
        <f t="shared" si="221"/>
        <v>0</v>
      </c>
      <c r="AZ402" s="480"/>
      <c r="BA402" s="477">
        <f t="shared" si="222"/>
        <v>0</v>
      </c>
      <c r="BB402" s="480"/>
      <c r="BC402" s="850">
        <f t="shared" ca="1" si="223"/>
        <v>0</v>
      </c>
    </row>
    <row r="403" spans="1:55">
      <c r="A403" s="837" t="str">
        <f t="shared" si="195"/>
        <v/>
      </c>
      <c r="B403" s="440"/>
      <c r="C403" s="834" t="str">
        <f t="shared" ca="1" si="196"/>
        <v/>
      </c>
      <c r="D403" s="1757" t="str">
        <f ca="1">IFERROR(VLOOKUP(LEFT(E403,4),Nom_activ_2!D:G,4,0),"")</f>
        <v/>
      </c>
      <c r="E403" s="1757" t="str">
        <f t="shared" ca="1" si="197"/>
        <v/>
      </c>
      <c r="F403" s="1777">
        <f t="shared" ca="1" si="194"/>
        <v>0</v>
      </c>
      <c r="G403" s="839">
        <f t="shared" ca="1" si="194"/>
        <v>0</v>
      </c>
      <c r="H403" s="840">
        <f t="shared" ca="1" si="194"/>
        <v>0</v>
      </c>
      <c r="I403" s="443"/>
      <c r="J403" s="838" t="str">
        <f t="shared" si="198"/>
        <v>!$A:$j</v>
      </c>
      <c r="K403" s="475">
        <f t="shared" ca="1" si="199"/>
        <v>0</v>
      </c>
      <c r="L403" s="480"/>
      <c r="M403" s="477">
        <f t="shared" si="200"/>
        <v>0</v>
      </c>
      <c r="N403" s="480"/>
      <c r="O403" s="477">
        <f t="shared" si="201"/>
        <v>0</v>
      </c>
      <c r="P403" s="480"/>
      <c r="Q403" s="477">
        <f t="shared" si="202"/>
        <v>0</v>
      </c>
      <c r="R403" s="480"/>
      <c r="S403" s="477">
        <f t="shared" ca="1" si="203"/>
        <v>0</v>
      </c>
      <c r="T403" s="475">
        <f t="shared" ca="1" si="204"/>
        <v>0</v>
      </c>
      <c r="U403" s="480"/>
      <c r="V403" s="477">
        <f t="shared" si="205"/>
        <v>0</v>
      </c>
      <c r="W403" s="480"/>
      <c r="X403" s="477">
        <f t="shared" si="206"/>
        <v>0</v>
      </c>
      <c r="Y403" s="480"/>
      <c r="Z403" s="477">
        <f t="shared" si="207"/>
        <v>0</v>
      </c>
      <c r="AA403" s="480"/>
      <c r="AB403" s="477">
        <f t="shared" ca="1" si="208"/>
        <v>0</v>
      </c>
      <c r="AC403" s="475">
        <f t="shared" ca="1" si="209"/>
        <v>0</v>
      </c>
      <c r="AD403" s="480"/>
      <c r="AE403" s="477">
        <f t="shared" si="210"/>
        <v>0</v>
      </c>
      <c r="AF403" s="480"/>
      <c r="AG403" s="477">
        <f t="shared" si="211"/>
        <v>0</v>
      </c>
      <c r="AH403" s="480"/>
      <c r="AI403" s="477">
        <f t="shared" si="212"/>
        <v>0</v>
      </c>
      <c r="AJ403" s="480"/>
      <c r="AK403" s="477">
        <f t="shared" ca="1" si="213"/>
        <v>0</v>
      </c>
      <c r="AL403" s="475">
        <f t="shared" ca="1" si="214"/>
        <v>0</v>
      </c>
      <c r="AM403" s="480"/>
      <c r="AN403" s="477">
        <f t="shared" si="215"/>
        <v>0</v>
      </c>
      <c r="AO403" s="480"/>
      <c r="AP403" s="477">
        <f t="shared" si="216"/>
        <v>0</v>
      </c>
      <c r="AQ403" s="480"/>
      <c r="AR403" s="477">
        <f t="shared" si="217"/>
        <v>0</v>
      </c>
      <c r="AS403" s="480"/>
      <c r="AT403" s="477">
        <f t="shared" ca="1" si="218"/>
        <v>0</v>
      </c>
      <c r="AU403" s="475">
        <f t="shared" ca="1" si="219"/>
        <v>0</v>
      </c>
      <c r="AV403" s="480"/>
      <c r="AW403" s="477">
        <f t="shared" si="220"/>
        <v>0</v>
      </c>
      <c r="AX403" s="480"/>
      <c r="AY403" s="477">
        <f t="shared" si="221"/>
        <v>0</v>
      </c>
      <c r="AZ403" s="480"/>
      <c r="BA403" s="477">
        <f t="shared" si="222"/>
        <v>0</v>
      </c>
      <c r="BB403" s="480"/>
      <c r="BC403" s="850">
        <f t="shared" ca="1" si="223"/>
        <v>0</v>
      </c>
    </row>
    <row r="404" spans="1:55">
      <c r="A404" s="837" t="str">
        <f t="shared" si="195"/>
        <v/>
      </c>
      <c r="B404" s="440"/>
      <c r="C404" s="834" t="str">
        <f t="shared" ca="1" si="196"/>
        <v/>
      </c>
      <c r="D404" s="1757" t="str">
        <f ca="1">IFERROR(VLOOKUP(LEFT(E404,4),Nom_activ_2!D:G,4,0),"")</f>
        <v/>
      </c>
      <c r="E404" s="1757" t="str">
        <f t="shared" ca="1" si="197"/>
        <v/>
      </c>
      <c r="F404" s="1777">
        <f t="shared" ca="1" si="194"/>
        <v>0</v>
      </c>
      <c r="G404" s="839">
        <f t="shared" ca="1" si="194"/>
        <v>0</v>
      </c>
      <c r="H404" s="840">
        <f t="shared" ca="1" si="194"/>
        <v>0</v>
      </c>
      <c r="I404" s="443"/>
      <c r="J404" s="838" t="str">
        <f t="shared" si="198"/>
        <v>!$A:$j</v>
      </c>
      <c r="K404" s="475">
        <f t="shared" ca="1" si="199"/>
        <v>0</v>
      </c>
      <c r="L404" s="480"/>
      <c r="M404" s="477">
        <f t="shared" si="200"/>
        <v>0</v>
      </c>
      <c r="N404" s="480"/>
      <c r="O404" s="477">
        <f t="shared" si="201"/>
        <v>0</v>
      </c>
      <c r="P404" s="480"/>
      <c r="Q404" s="477">
        <f t="shared" si="202"/>
        <v>0</v>
      </c>
      <c r="R404" s="480"/>
      <c r="S404" s="477">
        <f t="shared" ca="1" si="203"/>
        <v>0</v>
      </c>
      <c r="T404" s="475">
        <f t="shared" ca="1" si="204"/>
        <v>0</v>
      </c>
      <c r="U404" s="480"/>
      <c r="V404" s="477">
        <f t="shared" si="205"/>
        <v>0</v>
      </c>
      <c r="W404" s="480"/>
      <c r="X404" s="477">
        <f t="shared" si="206"/>
        <v>0</v>
      </c>
      <c r="Y404" s="480"/>
      <c r="Z404" s="477">
        <f t="shared" si="207"/>
        <v>0</v>
      </c>
      <c r="AA404" s="480"/>
      <c r="AB404" s="477">
        <f t="shared" ca="1" si="208"/>
        <v>0</v>
      </c>
      <c r="AC404" s="475">
        <f t="shared" ca="1" si="209"/>
        <v>0</v>
      </c>
      <c r="AD404" s="480"/>
      <c r="AE404" s="477">
        <f t="shared" si="210"/>
        <v>0</v>
      </c>
      <c r="AF404" s="480"/>
      <c r="AG404" s="477">
        <f t="shared" si="211"/>
        <v>0</v>
      </c>
      <c r="AH404" s="480"/>
      <c r="AI404" s="477">
        <f t="shared" si="212"/>
        <v>0</v>
      </c>
      <c r="AJ404" s="480"/>
      <c r="AK404" s="477">
        <f t="shared" ca="1" si="213"/>
        <v>0</v>
      </c>
      <c r="AL404" s="475">
        <f t="shared" ca="1" si="214"/>
        <v>0</v>
      </c>
      <c r="AM404" s="480"/>
      <c r="AN404" s="477">
        <f t="shared" si="215"/>
        <v>0</v>
      </c>
      <c r="AO404" s="480"/>
      <c r="AP404" s="477">
        <f t="shared" si="216"/>
        <v>0</v>
      </c>
      <c r="AQ404" s="480"/>
      <c r="AR404" s="477">
        <f t="shared" si="217"/>
        <v>0</v>
      </c>
      <c r="AS404" s="480"/>
      <c r="AT404" s="477">
        <f t="shared" ca="1" si="218"/>
        <v>0</v>
      </c>
      <c r="AU404" s="475">
        <f t="shared" ca="1" si="219"/>
        <v>0</v>
      </c>
      <c r="AV404" s="480"/>
      <c r="AW404" s="477">
        <f t="shared" si="220"/>
        <v>0</v>
      </c>
      <c r="AX404" s="480"/>
      <c r="AY404" s="477">
        <f t="shared" si="221"/>
        <v>0</v>
      </c>
      <c r="AZ404" s="480"/>
      <c r="BA404" s="477">
        <f t="shared" si="222"/>
        <v>0</v>
      </c>
      <c r="BB404" s="480"/>
      <c r="BC404" s="850">
        <f t="shared" ca="1" si="223"/>
        <v>0</v>
      </c>
    </row>
    <row r="405" spans="1:55">
      <c r="A405" s="837" t="str">
        <f t="shared" si="195"/>
        <v/>
      </c>
      <c r="B405" s="440"/>
      <c r="C405" s="834" t="str">
        <f t="shared" ca="1" si="196"/>
        <v/>
      </c>
      <c r="D405" s="1757" t="str">
        <f ca="1">IFERROR(VLOOKUP(LEFT(E405,4),Nom_activ_2!D:G,4,0),"")</f>
        <v/>
      </c>
      <c r="E405" s="1757" t="str">
        <f t="shared" ca="1" si="197"/>
        <v/>
      </c>
      <c r="F405" s="1777">
        <f t="shared" ca="1" si="194"/>
        <v>0</v>
      </c>
      <c r="G405" s="839">
        <f t="shared" ca="1" si="194"/>
        <v>0</v>
      </c>
      <c r="H405" s="840">
        <f t="shared" ca="1" si="194"/>
        <v>0</v>
      </c>
      <c r="I405" s="443"/>
      <c r="J405" s="838" t="str">
        <f t="shared" si="198"/>
        <v>!$A:$j</v>
      </c>
      <c r="K405" s="475">
        <f t="shared" ca="1" si="199"/>
        <v>0</v>
      </c>
      <c r="L405" s="480"/>
      <c r="M405" s="477">
        <f t="shared" si="200"/>
        <v>0</v>
      </c>
      <c r="N405" s="480"/>
      <c r="O405" s="477">
        <f t="shared" si="201"/>
        <v>0</v>
      </c>
      <c r="P405" s="480"/>
      <c r="Q405" s="477">
        <f t="shared" si="202"/>
        <v>0</v>
      </c>
      <c r="R405" s="480"/>
      <c r="S405" s="477">
        <f t="shared" ca="1" si="203"/>
        <v>0</v>
      </c>
      <c r="T405" s="475">
        <f t="shared" ca="1" si="204"/>
        <v>0</v>
      </c>
      <c r="U405" s="480"/>
      <c r="V405" s="477">
        <f t="shared" si="205"/>
        <v>0</v>
      </c>
      <c r="W405" s="480"/>
      <c r="X405" s="477">
        <f t="shared" si="206"/>
        <v>0</v>
      </c>
      <c r="Y405" s="480"/>
      <c r="Z405" s="477">
        <f t="shared" si="207"/>
        <v>0</v>
      </c>
      <c r="AA405" s="480"/>
      <c r="AB405" s="477">
        <f t="shared" ca="1" si="208"/>
        <v>0</v>
      </c>
      <c r="AC405" s="475">
        <f t="shared" ca="1" si="209"/>
        <v>0</v>
      </c>
      <c r="AD405" s="480"/>
      <c r="AE405" s="477">
        <f t="shared" si="210"/>
        <v>0</v>
      </c>
      <c r="AF405" s="480"/>
      <c r="AG405" s="477">
        <f t="shared" si="211"/>
        <v>0</v>
      </c>
      <c r="AH405" s="480"/>
      <c r="AI405" s="477">
        <f t="shared" si="212"/>
        <v>0</v>
      </c>
      <c r="AJ405" s="480"/>
      <c r="AK405" s="477">
        <f t="shared" ca="1" si="213"/>
        <v>0</v>
      </c>
      <c r="AL405" s="475">
        <f t="shared" ca="1" si="214"/>
        <v>0</v>
      </c>
      <c r="AM405" s="480"/>
      <c r="AN405" s="477">
        <f t="shared" si="215"/>
        <v>0</v>
      </c>
      <c r="AO405" s="480"/>
      <c r="AP405" s="477">
        <f t="shared" si="216"/>
        <v>0</v>
      </c>
      <c r="AQ405" s="480"/>
      <c r="AR405" s="477">
        <f t="shared" si="217"/>
        <v>0</v>
      </c>
      <c r="AS405" s="480"/>
      <c r="AT405" s="477">
        <f t="shared" ca="1" si="218"/>
        <v>0</v>
      </c>
      <c r="AU405" s="475">
        <f t="shared" ca="1" si="219"/>
        <v>0</v>
      </c>
      <c r="AV405" s="480"/>
      <c r="AW405" s="477">
        <f t="shared" si="220"/>
        <v>0</v>
      </c>
      <c r="AX405" s="480"/>
      <c r="AY405" s="477">
        <f t="shared" si="221"/>
        <v>0</v>
      </c>
      <c r="AZ405" s="480"/>
      <c r="BA405" s="477">
        <f t="shared" si="222"/>
        <v>0</v>
      </c>
      <c r="BB405" s="480"/>
      <c r="BC405" s="850">
        <f t="shared" ca="1" si="223"/>
        <v>0</v>
      </c>
    </row>
    <row r="406" spans="1:55">
      <c r="A406" s="837" t="str">
        <f t="shared" si="195"/>
        <v/>
      </c>
      <c r="B406" s="440"/>
      <c r="C406" s="834" t="str">
        <f t="shared" ca="1" si="196"/>
        <v/>
      </c>
      <c r="D406" s="1757" t="str">
        <f ca="1">IFERROR(VLOOKUP(LEFT(E406,4),Nom_activ_2!D:G,4,0),"")</f>
        <v/>
      </c>
      <c r="E406" s="1757" t="str">
        <f t="shared" ca="1" si="197"/>
        <v/>
      </c>
      <c r="F406" s="1777">
        <f t="shared" ca="1" si="194"/>
        <v>0</v>
      </c>
      <c r="G406" s="839">
        <f t="shared" ca="1" si="194"/>
        <v>0</v>
      </c>
      <c r="H406" s="840">
        <f t="shared" ca="1" si="194"/>
        <v>0</v>
      </c>
      <c r="I406" s="443"/>
      <c r="J406" s="838" t="str">
        <f t="shared" si="198"/>
        <v>!$A:$j</v>
      </c>
      <c r="K406" s="475">
        <f t="shared" ca="1" si="199"/>
        <v>0</v>
      </c>
      <c r="L406" s="480"/>
      <c r="M406" s="477">
        <f t="shared" si="200"/>
        <v>0</v>
      </c>
      <c r="N406" s="480"/>
      <c r="O406" s="477">
        <f t="shared" si="201"/>
        <v>0</v>
      </c>
      <c r="P406" s="480"/>
      <c r="Q406" s="477">
        <f t="shared" si="202"/>
        <v>0</v>
      </c>
      <c r="R406" s="480"/>
      <c r="S406" s="477">
        <f t="shared" ca="1" si="203"/>
        <v>0</v>
      </c>
      <c r="T406" s="475">
        <f t="shared" ca="1" si="204"/>
        <v>0</v>
      </c>
      <c r="U406" s="480"/>
      <c r="V406" s="477">
        <f t="shared" si="205"/>
        <v>0</v>
      </c>
      <c r="W406" s="480"/>
      <c r="X406" s="477">
        <f t="shared" si="206"/>
        <v>0</v>
      </c>
      <c r="Y406" s="480"/>
      <c r="Z406" s="477">
        <f t="shared" si="207"/>
        <v>0</v>
      </c>
      <c r="AA406" s="480"/>
      <c r="AB406" s="477">
        <f t="shared" ca="1" si="208"/>
        <v>0</v>
      </c>
      <c r="AC406" s="475">
        <f t="shared" ca="1" si="209"/>
        <v>0</v>
      </c>
      <c r="AD406" s="480"/>
      <c r="AE406" s="477">
        <f t="shared" si="210"/>
        <v>0</v>
      </c>
      <c r="AF406" s="480"/>
      <c r="AG406" s="477">
        <f t="shared" si="211"/>
        <v>0</v>
      </c>
      <c r="AH406" s="480"/>
      <c r="AI406" s="477">
        <f t="shared" si="212"/>
        <v>0</v>
      </c>
      <c r="AJ406" s="480"/>
      <c r="AK406" s="477">
        <f t="shared" ca="1" si="213"/>
        <v>0</v>
      </c>
      <c r="AL406" s="475">
        <f t="shared" ca="1" si="214"/>
        <v>0</v>
      </c>
      <c r="AM406" s="480"/>
      <c r="AN406" s="477">
        <f t="shared" si="215"/>
        <v>0</v>
      </c>
      <c r="AO406" s="480"/>
      <c r="AP406" s="477">
        <f t="shared" si="216"/>
        <v>0</v>
      </c>
      <c r="AQ406" s="480"/>
      <c r="AR406" s="477">
        <f t="shared" si="217"/>
        <v>0</v>
      </c>
      <c r="AS406" s="480"/>
      <c r="AT406" s="477">
        <f t="shared" ca="1" si="218"/>
        <v>0</v>
      </c>
      <c r="AU406" s="475">
        <f t="shared" ca="1" si="219"/>
        <v>0</v>
      </c>
      <c r="AV406" s="480"/>
      <c r="AW406" s="477">
        <f t="shared" si="220"/>
        <v>0</v>
      </c>
      <c r="AX406" s="480"/>
      <c r="AY406" s="477">
        <f t="shared" si="221"/>
        <v>0</v>
      </c>
      <c r="AZ406" s="480"/>
      <c r="BA406" s="477">
        <f t="shared" si="222"/>
        <v>0</v>
      </c>
      <c r="BB406" s="480"/>
      <c r="BC406" s="850">
        <f t="shared" ca="1" si="223"/>
        <v>0</v>
      </c>
    </row>
    <row r="407" spans="1:55">
      <c r="A407" s="837" t="str">
        <f t="shared" si="195"/>
        <v/>
      </c>
      <c r="B407" s="440"/>
      <c r="C407" s="834" t="str">
        <f t="shared" ca="1" si="196"/>
        <v/>
      </c>
      <c r="D407" s="1757" t="str">
        <f ca="1">IFERROR(VLOOKUP(LEFT(E407,4),Nom_activ_2!D:G,4,0),"")</f>
        <v/>
      </c>
      <c r="E407" s="1757" t="str">
        <f t="shared" ca="1" si="197"/>
        <v/>
      </c>
      <c r="F407" s="1777">
        <f t="shared" ref="F407:H426" ca="1" si="224">IFERROR(VLOOKUP($B407,INDIRECT($J407),F$5,0),0)</f>
        <v>0</v>
      </c>
      <c r="G407" s="839">
        <f t="shared" ca="1" si="224"/>
        <v>0</v>
      </c>
      <c r="H407" s="840">
        <f t="shared" ca="1" si="224"/>
        <v>0</v>
      </c>
      <c r="I407" s="443"/>
      <c r="J407" s="838" t="str">
        <f t="shared" si="198"/>
        <v>!$A:$j</v>
      </c>
      <c r="K407" s="475">
        <f t="shared" ca="1" si="199"/>
        <v>0</v>
      </c>
      <c r="L407" s="480"/>
      <c r="M407" s="477">
        <f t="shared" si="200"/>
        <v>0</v>
      </c>
      <c r="N407" s="480"/>
      <c r="O407" s="477">
        <f t="shared" si="201"/>
        <v>0</v>
      </c>
      <c r="P407" s="480"/>
      <c r="Q407" s="477">
        <f t="shared" si="202"/>
        <v>0</v>
      </c>
      <c r="R407" s="480"/>
      <c r="S407" s="477">
        <f t="shared" ca="1" si="203"/>
        <v>0</v>
      </c>
      <c r="T407" s="475">
        <f t="shared" ca="1" si="204"/>
        <v>0</v>
      </c>
      <c r="U407" s="480"/>
      <c r="V407" s="477">
        <f t="shared" si="205"/>
        <v>0</v>
      </c>
      <c r="W407" s="480"/>
      <c r="X407" s="477">
        <f t="shared" si="206"/>
        <v>0</v>
      </c>
      <c r="Y407" s="480"/>
      <c r="Z407" s="477">
        <f t="shared" si="207"/>
        <v>0</v>
      </c>
      <c r="AA407" s="480"/>
      <c r="AB407" s="477">
        <f t="shared" ca="1" si="208"/>
        <v>0</v>
      </c>
      <c r="AC407" s="475">
        <f t="shared" ca="1" si="209"/>
        <v>0</v>
      </c>
      <c r="AD407" s="480"/>
      <c r="AE407" s="477">
        <f t="shared" si="210"/>
        <v>0</v>
      </c>
      <c r="AF407" s="480"/>
      <c r="AG407" s="477">
        <f t="shared" si="211"/>
        <v>0</v>
      </c>
      <c r="AH407" s="480"/>
      <c r="AI407" s="477">
        <f t="shared" si="212"/>
        <v>0</v>
      </c>
      <c r="AJ407" s="480"/>
      <c r="AK407" s="477">
        <f t="shared" ca="1" si="213"/>
        <v>0</v>
      </c>
      <c r="AL407" s="475">
        <f t="shared" ca="1" si="214"/>
        <v>0</v>
      </c>
      <c r="AM407" s="480"/>
      <c r="AN407" s="477">
        <f t="shared" si="215"/>
        <v>0</v>
      </c>
      <c r="AO407" s="480"/>
      <c r="AP407" s="477">
        <f t="shared" si="216"/>
        <v>0</v>
      </c>
      <c r="AQ407" s="480"/>
      <c r="AR407" s="477">
        <f t="shared" si="217"/>
        <v>0</v>
      </c>
      <c r="AS407" s="480"/>
      <c r="AT407" s="477">
        <f t="shared" ca="1" si="218"/>
        <v>0</v>
      </c>
      <c r="AU407" s="475">
        <f t="shared" ca="1" si="219"/>
        <v>0</v>
      </c>
      <c r="AV407" s="480"/>
      <c r="AW407" s="477">
        <f t="shared" si="220"/>
        <v>0</v>
      </c>
      <c r="AX407" s="480"/>
      <c r="AY407" s="477">
        <f t="shared" si="221"/>
        <v>0</v>
      </c>
      <c r="AZ407" s="480"/>
      <c r="BA407" s="477">
        <f t="shared" si="222"/>
        <v>0</v>
      </c>
      <c r="BB407" s="480"/>
      <c r="BC407" s="850">
        <f t="shared" ca="1" si="223"/>
        <v>0</v>
      </c>
    </row>
    <row r="408" spans="1:55">
      <c r="A408" s="837" t="str">
        <f t="shared" si="195"/>
        <v/>
      </c>
      <c r="B408" s="440"/>
      <c r="C408" s="834" t="str">
        <f t="shared" ca="1" si="196"/>
        <v/>
      </c>
      <c r="D408" s="1757" t="str">
        <f ca="1">IFERROR(VLOOKUP(LEFT(E408,4),Nom_activ_2!D:G,4,0),"")</f>
        <v/>
      </c>
      <c r="E408" s="1757" t="str">
        <f t="shared" ca="1" si="197"/>
        <v/>
      </c>
      <c r="F408" s="1777">
        <f t="shared" ca="1" si="224"/>
        <v>0</v>
      </c>
      <c r="G408" s="839">
        <f t="shared" ca="1" si="224"/>
        <v>0</v>
      </c>
      <c r="H408" s="840">
        <f t="shared" ca="1" si="224"/>
        <v>0</v>
      </c>
      <c r="I408" s="443"/>
      <c r="J408" s="838" t="str">
        <f t="shared" si="198"/>
        <v>!$A:$j</v>
      </c>
      <c r="K408" s="475">
        <f t="shared" ca="1" si="199"/>
        <v>0</v>
      </c>
      <c r="L408" s="480"/>
      <c r="M408" s="477">
        <f t="shared" si="200"/>
        <v>0</v>
      </c>
      <c r="N408" s="480"/>
      <c r="O408" s="477">
        <f t="shared" si="201"/>
        <v>0</v>
      </c>
      <c r="P408" s="480"/>
      <c r="Q408" s="477">
        <f t="shared" si="202"/>
        <v>0</v>
      </c>
      <c r="R408" s="480"/>
      <c r="S408" s="477">
        <f t="shared" ca="1" si="203"/>
        <v>0</v>
      </c>
      <c r="T408" s="475">
        <f t="shared" ca="1" si="204"/>
        <v>0</v>
      </c>
      <c r="U408" s="480"/>
      <c r="V408" s="477">
        <f t="shared" si="205"/>
        <v>0</v>
      </c>
      <c r="W408" s="480"/>
      <c r="X408" s="477">
        <f t="shared" si="206"/>
        <v>0</v>
      </c>
      <c r="Y408" s="480"/>
      <c r="Z408" s="477">
        <f t="shared" si="207"/>
        <v>0</v>
      </c>
      <c r="AA408" s="480"/>
      <c r="AB408" s="477">
        <f t="shared" ca="1" si="208"/>
        <v>0</v>
      </c>
      <c r="AC408" s="475">
        <f t="shared" ca="1" si="209"/>
        <v>0</v>
      </c>
      <c r="AD408" s="480"/>
      <c r="AE408" s="477">
        <f t="shared" si="210"/>
        <v>0</v>
      </c>
      <c r="AF408" s="480"/>
      <c r="AG408" s="477">
        <f t="shared" si="211"/>
        <v>0</v>
      </c>
      <c r="AH408" s="480"/>
      <c r="AI408" s="477">
        <f t="shared" si="212"/>
        <v>0</v>
      </c>
      <c r="AJ408" s="480"/>
      <c r="AK408" s="477">
        <f t="shared" ca="1" si="213"/>
        <v>0</v>
      </c>
      <c r="AL408" s="475">
        <f t="shared" ca="1" si="214"/>
        <v>0</v>
      </c>
      <c r="AM408" s="480"/>
      <c r="AN408" s="477">
        <f t="shared" si="215"/>
        <v>0</v>
      </c>
      <c r="AO408" s="480"/>
      <c r="AP408" s="477">
        <f t="shared" si="216"/>
        <v>0</v>
      </c>
      <c r="AQ408" s="480"/>
      <c r="AR408" s="477">
        <f t="shared" si="217"/>
        <v>0</v>
      </c>
      <c r="AS408" s="480"/>
      <c r="AT408" s="477">
        <f t="shared" ca="1" si="218"/>
        <v>0</v>
      </c>
      <c r="AU408" s="475">
        <f t="shared" ca="1" si="219"/>
        <v>0</v>
      </c>
      <c r="AV408" s="480"/>
      <c r="AW408" s="477">
        <f t="shared" si="220"/>
        <v>0</v>
      </c>
      <c r="AX408" s="480"/>
      <c r="AY408" s="477">
        <f t="shared" si="221"/>
        <v>0</v>
      </c>
      <c r="AZ408" s="480"/>
      <c r="BA408" s="477">
        <f t="shared" si="222"/>
        <v>0</v>
      </c>
      <c r="BB408" s="480"/>
      <c r="BC408" s="850">
        <f t="shared" ca="1" si="223"/>
        <v>0</v>
      </c>
    </row>
    <row r="409" spans="1:55">
      <c r="A409" s="837" t="str">
        <f t="shared" si="195"/>
        <v/>
      </c>
      <c r="B409" s="440"/>
      <c r="C409" s="834" t="str">
        <f t="shared" ca="1" si="196"/>
        <v/>
      </c>
      <c r="D409" s="1757" t="str">
        <f ca="1">IFERROR(VLOOKUP(LEFT(E409,4),Nom_activ_2!D:G,4,0),"")</f>
        <v/>
      </c>
      <c r="E409" s="1757" t="str">
        <f t="shared" ca="1" si="197"/>
        <v/>
      </c>
      <c r="F409" s="1777">
        <f t="shared" ca="1" si="224"/>
        <v>0</v>
      </c>
      <c r="G409" s="839">
        <f t="shared" ca="1" si="224"/>
        <v>0</v>
      </c>
      <c r="H409" s="840">
        <f t="shared" ca="1" si="224"/>
        <v>0</v>
      </c>
      <c r="I409" s="443"/>
      <c r="J409" s="838" t="str">
        <f t="shared" si="198"/>
        <v>!$A:$j</v>
      </c>
      <c r="K409" s="475">
        <f t="shared" ca="1" si="199"/>
        <v>0</v>
      </c>
      <c r="L409" s="480"/>
      <c r="M409" s="477">
        <f t="shared" si="200"/>
        <v>0</v>
      </c>
      <c r="N409" s="480"/>
      <c r="O409" s="477">
        <f t="shared" si="201"/>
        <v>0</v>
      </c>
      <c r="P409" s="480"/>
      <c r="Q409" s="477">
        <f t="shared" si="202"/>
        <v>0</v>
      </c>
      <c r="R409" s="480"/>
      <c r="S409" s="477">
        <f t="shared" ca="1" si="203"/>
        <v>0</v>
      </c>
      <c r="T409" s="475">
        <f t="shared" ca="1" si="204"/>
        <v>0</v>
      </c>
      <c r="U409" s="480"/>
      <c r="V409" s="477">
        <f t="shared" si="205"/>
        <v>0</v>
      </c>
      <c r="W409" s="480"/>
      <c r="X409" s="477">
        <f t="shared" si="206"/>
        <v>0</v>
      </c>
      <c r="Y409" s="480"/>
      <c r="Z409" s="477">
        <f t="shared" si="207"/>
        <v>0</v>
      </c>
      <c r="AA409" s="480"/>
      <c r="AB409" s="477">
        <f t="shared" ca="1" si="208"/>
        <v>0</v>
      </c>
      <c r="AC409" s="475">
        <f t="shared" ca="1" si="209"/>
        <v>0</v>
      </c>
      <c r="AD409" s="480"/>
      <c r="AE409" s="477">
        <f t="shared" si="210"/>
        <v>0</v>
      </c>
      <c r="AF409" s="480"/>
      <c r="AG409" s="477">
        <f t="shared" si="211"/>
        <v>0</v>
      </c>
      <c r="AH409" s="480"/>
      <c r="AI409" s="477">
        <f t="shared" si="212"/>
        <v>0</v>
      </c>
      <c r="AJ409" s="480"/>
      <c r="AK409" s="477">
        <f t="shared" ca="1" si="213"/>
        <v>0</v>
      </c>
      <c r="AL409" s="475">
        <f t="shared" ca="1" si="214"/>
        <v>0</v>
      </c>
      <c r="AM409" s="480"/>
      <c r="AN409" s="477">
        <f t="shared" si="215"/>
        <v>0</v>
      </c>
      <c r="AO409" s="480"/>
      <c r="AP409" s="477">
        <f t="shared" si="216"/>
        <v>0</v>
      </c>
      <c r="AQ409" s="480"/>
      <c r="AR409" s="477">
        <f t="shared" si="217"/>
        <v>0</v>
      </c>
      <c r="AS409" s="480"/>
      <c r="AT409" s="477">
        <f t="shared" ca="1" si="218"/>
        <v>0</v>
      </c>
      <c r="AU409" s="475">
        <f t="shared" ca="1" si="219"/>
        <v>0</v>
      </c>
      <c r="AV409" s="480"/>
      <c r="AW409" s="477">
        <f t="shared" si="220"/>
        <v>0</v>
      </c>
      <c r="AX409" s="480"/>
      <c r="AY409" s="477">
        <f t="shared" si="221"/>
        <v>0</v>
      </c>
      <c r="AZ409" s="480"/>
      <c r="BA409" s="477">
        <f t="shared" si="222"/>
        <v>0</v>
      </c>
      <c r="BB409" s="480"/>
      <c r="BC409" s="850">
        <f t="shared" ca="1" si="223"/>
        <v>0</v>
      </c>
    </row>
    <row r="410" spans="1:55">
      <c r="A410" s="837" t="str">
        <f t="shared" si="195"/>
        <v/>
      </c>
      <c r="B410" s="440"/>
      <c r="C410" s="834" t="str">
        <f t="shared" ca="1" si="196"/>
        <v/>
      </c>
      <c r="D410" s="1757" t="str">
        <f ca="1">IFERROR(VLOOKUP(LEFT(E410,4),Nom_activ_2!D:G,4,0),"")</f>
        <v/>
      </c>
      <c r="E410" s="1757" t="str">
        <f t="shared" ca="1" si="197"/>
        <v/>
      </c>
      <c r="F410" s="1777">
        <f t="shared" ca="1" si="224"/>
        <v>0</v>
      </c>
      <c r="G410" s="839">
        <f t="shared" ca="1" si="224"/>
        <v>0</v>
      </c>
      <c r="H410" s="840">
        <f t="shared" ca="1" si="224"/>
        <v>0</v>
      </c>
      <c r="I410" s="443"/>
      <c r="J410" s="838" t="str">
        <f t="shared" si="198"/>
        <v>!$A:$j</v>
      </c>
      <c r="K410" s="475">
        <f t="shared" ca="1" si="199"/>
        <v>0</v>
      </c>
      <c r="L410" s="480"/>
      <c r="M410" s="477">
        <f t="shared" si="200"/>
        <v>0</v>
      </c>
      <c r="N410" s="480"/>
      <c r="O410" s="477">
        <f t="shared" si="201"/>
        <v>0</v>
      </c>
      <c r="P410" s="480"/>
      <c r="Q410" s="477">
        <f t="shared" si="202"/>
        <v>0</v>
      </c>
      <c r="R410" s="480"/>
      <c r="S410" s="477">
        <f t="shared" ca="1" si="203"/>
        <v>0</v>
      </c>
      <c r="T410" s="475">
        <f t="shared" ca="1" si="204"/>
        <v>0</v>
      </c>
      <c r="U410" s="480"/>
      <c r="V410" s="477">
        <f t="shared" si="205"/>
        <v>0</v>
      </c>
      <c r="W410" s="480"/>
      <c r="X410" s="477">
        <f t="shared" si="206"/>
        <v>0</v>
      </c>
      <c r="Y410" s="480"/>
      <c r="Z410" s="477">
        <f t="shared" si="207"/>
        <v>0</v>
      </c>
      <c r="AA410" s="480"/>
      <c r="AB410" s="477">
        <f t="shared" ca="1" si="208"/>
        <v>0</v>
      </c>
      <c r="AC410" s="475">
        <f t="shared" ca="1" si="209"/>
        <v>0</v>
      </c>
      <c r="AD410" s="480"/>
      <c r="AE410" s="477">
        <f t="shared" si="210"/>
        <v>0</v>
      </c>
      <c r="AF410" s="480"/>
      <c r="AG410" s="477">
        <f t="shared" si="211"/>
        <v>0</v>
      </c>
      <c r="AH410" s="480"/>
      <c r="AI410" s="477">
        <f t="shared" si="212"/>
        <v>0</v>
      </c>
      <c r="AJ410" s="480"/>
      <c r="AK410" s="477">
        <f t="shared" ca="1" si="213"/>
        <v>0</v>
      </c>
      <c r="AL410" s="475">
        <f t="shared" ca="1" si="214"/>
        <v>0</v>
      </c>
      <c r="AM410" s="480"/>
      <c r="AN410" s="477">
        <f t="shared" si="215"/>
        <v>0</v>
      </c>
      <c r="AO410" s="480"/>
      <c r="AP410" s="477">
        <f t="shared" si="216"/>
        <v>0</v>
      </c>
      <c r="AQ410" s="480"/>
      <c r="AR410" s="477">
        <f t="shared" si="217"/>
        <v>0</v>
      </c>
      <c r="AS410" s="480"/>
      <c r="AT410" s="477">
        <f t="shared" ca="1" si="218"/>
        <v>0</v>
      </c>
      <c r="AU410" s="475">
        <f t="shared" ca="1" si="219"/>
        <v>0</v>
      </c>
      <c r="AV410" s="480"/>
      <c r="AW410" s="477">
        <f t="shared" si="220"/>
        <v>0</v>
      </c>
      <c r="AX410" s="480"/>
      <c r="AY410" s="477">
        <f t="shared" si="221"/>
        <v>0</v>
      </c>
      <c r="AZ410" s="480"/>
      <c r="BA410" s="477">
        <f t="shared" si="222"/>
        <v>0</v>
      </c>
      <c r="BB410" s="480"/>
      <c r="BC410" s="850">
        <f t="shared" ca="1" si="223"/>
        <v>0</v>
      </c>
    </row>
    <row r="411" spans="1:55">
      <c r="A411" s="837" t="str">
        <f t="shared" si="195"/>
        <v/>
      </c>
      <c r="B411" s="440"/>
      <c r="C411" s="834" t="str">
        <f t="shared" ca="1" si="196"/>
        <v/>
      </c>
      <c r="D411" s="1757" t="str">
        <f ca="1">IFERROR(VLOOKUP(LEFT(E411,4),Nom_activ_2!D:G,4,0),"")</f>
        <v/>
      </c>
      <c r="E411" s="1757" t="str">
        <f t="shared" ca="1" si="197"/>
        <v/>
      </c>
      <c r="F411" s="1777">
        <f t="shared" ca="1" si="224"/>
        <v>0</v>
      </c>
      <c r="G411" s="839">
        <f t="shared" ca="1" si="224"/>
        <v>0</v>
      </c>
      <c r="H411" s="840">
        <f t="shared" ca="1" si="224"/>
        <v>0</v>
      </c>
      <c r="I411" s="443"/>
      <c r="J411" s="838" t="str">
        <f t="shared" si="198"/>
        <v>!$A:$j</v>
      </c>
      <c r="K411" s="475">
        <f t="shared" ca="1" si="199"/>
        <v>0</v>
      </c>
      <c r="L411" s="480"/>
      <c r="M411" s="477">
        <f t="shared" si="200"/>
        <v>0</v>
      </c>
      <c r="N411" s="480"/>
      <c r="O411" s="477">
        <f t="shared" si="201"/>
        <v>0</v>
      </c>
      <c r="P411" s="480"/>
      <c r="Q411" s="477">
        <f t="shared" si="202"/>
        <v>0</v>
      </c>
      <c r="R411" s="480"/>
      <c r="S411" s="477">
        <f t="shared" ca="1" si="203"/>
        <v>0</v>
      </c>
      <c r="T411" s="475">
        <f t="shared" ca="1" si="204"/>
        <v>0</v>
      </c>
      <c r="U411" s="480"/>
      <c r="V411" s="477">
        <f t="shared" si="205"/>
        <v>0</v>
      </c>
      <c r="W411" s="480"/>
      <c r="X411" s="477">
        <f t="shared" si="206"/>
        <v>0</v>
      </c>
      <c r="Y411" s="480"/>
      <c r="Z411" s="477">
        <f t="shared" si="207"/>
        <v>0</v>
      </c>
      <c r="AA411" s="480"/>
      <c r="AB411" s="477">
        <f t="shared" ca="1" si="208"/>
        <v>0</v>
      </c>
      <c r="AC411" s="475">
        <f t="shared" ca="1" si="209"/>
        <v>0</v>
      </c>
      <c r="AD411" s="480"/>
      <c r="AE411" s="477">
        <f t="shared" si="210"/>
        <v>0</v>
      </c>
      <c r="AF411" s="480"/>
      <c r="AG411" s="477">
        <f t="shared" si="211"/>
        <v>0</v>
      </c>
      <c r="AH411" s="480"/>
      <c r="AI411" s="477">
        <f t="shared" si="212"/>
        <v>0</v>
      </c>
      <c r="AJ411" s="480"/>
      <c r="AK411" s="477">
        <f t="shared" ca="1" si="213"/>
        <v>0</v>
      </c>
      <c r="AL411" s="475">
        <f t="shared" ca="1" si="214"/>
        <v>0</v>
      </c>
      <c r="AM411" s="480"/>
      <c r="AN411" s="477">
        <f t="shared" si="215"/>
        <v>0</v>
      </c>
      <c r="AO411" s="480"/>
      <c r="AP411" s="477">
        <f t="shared" si="216"/>
        <v>0</v>
      </c>
      <c r="AQ411" s="480"/>
      <c r="AR411" s="477">
        <f t="shared" si="217"/>
        <v>0</v>
      </c>
      <c r="AS411" s="480"/>
      <c r="AT411" s="477">
        <f t="shared" ca="1" si="218"/>
        <v>0</v>
      </c>
      <c r="AU411" s="475">
        <f t="shared" ca="1" si="219"/>
        <v>0</v>
      </c>
      <c r="AV411" s="480"/>
      <c r="AW411" s="477">
        <f t="shared" si="220"/>
        <v>0</v>
      </c>
      <c r="AX411" s="480"/>
      <c r="AY411" s="477">
        <f t="shared" si="221"/>
        <v>0</v>
      </c>
      <c r="AZ411" s="480"/>
      <c r="BA411" s="477">
        <f t="shared" si="222"/>
        <v>0</v>
      </c>
      <c r="BB411" s="480"/>
      <c r="BC411" s="850">
        <f t="shared" ca="1" si="223"/>
        <v>0</v>
      </c>
    </row>
    <row r="412" spans="1:55">
      <c r="A412" s="837" t="str">
        <f t="shared" si="195"/>
        <v/>
      </c>
      <c r="B412" s="440"/>
      <c r="C412" s="834" t="str">
        <f t="shared" ca="1" si="196"/>
        <v/>
      </c>
      <c r="D412" s="1757" t="str">
        <f ca="1">IFERROR(VLOOKUP(LEFT(E412,4),Nom_activ_2!D:G,4,0),"")</f>
        <v/>
      </c>
      <c r="E412" s="1757" t="str">
        <f t="shared" ca="1" si="197"/>
        <v/>
      </c>
      <c r="F412" s="1777">
        <f t="shared" ca="1" si="224"/>
        <v>0</v>
      </c>
      <c r="G412" s="839">
        <f t="shared" ca="1" si="224"/>
        <v>0</v>
      </c>
      <c r="H412" s="840">
        <f t="shared" ca="1" si="224"/>
        <v>0</v>
      </c>
      <c r="I412" s="443"/>
      <c r="J412" s="838" t="str">
        <f t="shared" si="198"/>
        <v>!$A:$j</v>
      </c>
      <c r="K412" s="475">
        <f t="shared" ca="1" si="199"/>
        <v>0</v>
      </c>
      <c r="L412" s="480"/>
      <c r="M412" s="477">
        <f t="shared" si="200"/>
        <v>0</v>
      </c>
      <c r="N412" s="480"/>
      <c r="O412" s="477">
        <f t="shared" si="201"/>
        <v>0</v>
      </c>
      <c r="P412" s="480"/>
      <c r="Q412" s="477">
        <f t="shared" si="202"/>
        <v>0</v>
      </c>
      <c r="R412" s="480"/>
      <c r="S412" s="477">
        <f t="shared" ca="1" si="203"/>
        <v>0</v>
      </c>
      <c r="T412" s="475">
        <f t="shared" ca="1" si="204"/>
        <v>0</v>
      </c>
      <c r="U412" s="480"/>
      <c r="V412" s="477">
        <f t="shared" si="205"/>
        <v>0</v>
      </c>
      <c r="W412" s="480"/>
      <c r="X412" s="477">
        <f t="shared" si="206"/>
        <v>0</v>
      </c>
      <c r="Y412" s="480"/>
      <c r="Z412" s="477">
        <f t="shared" si="207"/>
        <v>0</v>
      </c>
      <c r="AA412" s="480"/>
      <c r="AB412" s="477">
        <f t="shared" ca="1" si="208"/>
        <v>0</v>
      </c>
      <c r="AC412" s="475">
        <f t="shared" ca="1" si="209"/>
        <v>0</v>
      </c>
      <c r="AD412" s="480"/>
      <c r="AE412" s="477">
        <f t="shared" si="210"/>
        <v>0</v>
      </c>
      <c r="AF412" s="480"/>
      <c r="AG412" s="477">
        <f t="shared" si="211"/>
        <v>0</v>
      </c>
      <c r="AH412" s="480"/>
      <c r="AI412" s="477">
        <f t="shared" si="212"/>
        <v>0</v>
      </c>
      <c r="AJ412" s="480"/>
      <c r="AK412" s="477">
        <f t="shared" ca="1" si="213"/>
        <v>0</v>
      </c>
      <c r="AL412" s="475">
        <f t="shared" ca="1" si="214"/>
        <v>0</v>
      </c>
      <c r="AM412" s="480"/>
      <c r="AN412" s="477">
        <f t="shared" si="215"/>
        <v>0</v>
      </c>
      <c r="AO412" s="480"/>
      <c r="AP412" s="477">
        <f t="shared" si="216"/>
        <v>0</v>
      </c>
      <c r="AQ412" s="480"/>
      <c r="AR412" s="477">
        <f t="shared" si="217"/>
        <v>0</v>
      </c>
      <c r="AS412" s="480"/>
      <c r="AT412" s="477">
        <f t="shared" ca="1" si="218"/>
        <v>0</v>
      </c>
      <c r="AU412" s="475">
        <f t="shared" ca="1" si="219"/>
        <v>0</v>
      </c>
      <c r="AV412" s="480"/>
      <c r="AW412" s="477">
        <f t="shared" si="220"/>
        <v>0</v>
      </c>
      <c r="AX412" s="480"/>
      <c r="AY412" s="477">
        <f t="shared" si="221"/>
        <v>0</v>
      </c>
      <c r="AZ412" s="480"/>
      <c r="BA412" s="477">
        <f t="shared" si="222"/>
        <v>0</v>
      </c>
      <c r="BB412" s="480"/>
      <c r="BC412" s="850">
        <f t="shared" ca="1" si="223"/>
        <v>0</v>
      </c>
    </row>
    <row r="413" spans="1:55">
      <c r="A413" s="837" t="str">
        <f t="shared" si="195"/>
        <v/>
      </c>
      <c r="B413" s="440"/>
      <c r="C413" s="834" t="str">
        <f t="shared" ca="1" si="196"/>
        <v/>
      </c>
      <c r="D413" s="1757" t="str">
        <f ca="1">IFERROR(VLOOKUP(LEFT(E413,4),Nom_activ_2!D:G,4,0),"")</f>
        <v/>
      </c>
      <c r="E413" s="1757" t="str">
        <f t="shared" ca="1" si="197"/>
        <v/>
      </c>
      <c r="F413" s="1777">
        <f t="shared" ca="1" si="224"/>
        <v>0</v>
      </c>
      <c r="G413" s="839">
        <f t="shared" ca="1" si="224"/>
        <v>0</v>
      </c>
      <c r="H413" s="840">
        <f t="shared" ca="1" si="224"/>
        <v>0</v>
      </c>
      <c r="I413" s="443"/>
      <c r="J413" s="838" t="str">
        <f t="shared" si="198"/>
        <v>!$A:$j</v>
      </c>
      <c r="K413" s="475">
        <f t="shared" ca="1" si="199"/>
        <v>0</v>
      </c>
      <c r="L413" s="480"/>
      <c r="M413" s="477">
        <f t="shared" si="200"/>
        <v>0</v>
      </c>
      <c r="N413" s="480"/>
      <c r="O413" s="477">
        <f t="shared" si="201"/>
        <v>0</v>
      </c>
      <c r="P413" s="480"/>
      <c r="Q413" s="477">
        <f t="shared" si="202"/>
        <v>0</v>
      </c>
      <c r="R413" s="480"/>
      <c r="S413" s="477">
        <f t="shared" ca="1" si="203"/>
        <v>0</v>
      </c>
      <c r="T413" s="475">
        <f t="shared" ca="1" si="204"/>
        <v>0</v>
      </c>
      <c r="U413" s="480"/>
      <c r="V413" s="477">
        <f t="shared" si="205"/>
        <v>0</v>
      </c>
      <c r="W413" s="480"/>
      <c r="X413" s="477">
        <f t="shared" si="206"/>
        <v>0</v>
      </c>
      <c r="Y413" s="480"/>
      <c r="Z413" s="477">
        <f t="shared" si="207"/>
        <v>0</v>
      </c>
      <c r="AA413" s="480"/>
      <c r="AB413" s="477">
        <f t="shared" ca="1" si="208"/>
        <v>0</v>
      </c>
      <c r="AC413" s="475">
        <f t="shared" ca="1" si="209"/>
        <v>0</v>
      </c>
      <c r="AD413" s="480"/>
      <c r="AE413" s="477">
        <f t="shared" si="210"/>
        <v>0</v>
      </c>
      <c r="AF413" s="480"/>
      <c r="AG413" s="477">
        <f t="shared" si="211"/>
        <v>0</v>
      </c>
      <c r="AH413" s="480"/>
      <c r="AI413" s="477">
        <f t="shared" si="212"/>
        <v>0</v>
      </c>
      <c r="AJ413" s="480"/>
      <c r="AK413" s="477">
        <f t="shared" ca="1" si="213"/>
        <v>0</v>
      </c>
      <c r="AL413" s="475">
        <f t="shared" ca="1" si="214"/>
        <v>0</v>
      </c>
      <c r="AM413" s="480"/>
      <c r="AN413" s="477">
        <f t="shared" si="215"/>
        <v>0</v>
      </c>
      <c r="AO413" s="480"/>
      <c r="AP413" s="477">
        <f t="shared" si="216"/>
        <v>0</v>
      </c>
      <c r="AQ413" s="480"/>
      <c r="AR413" s="477">
        <f t="shared" si="217"/>
        <v>0</v>
      </c>
      <c r="AS413" s="480"/>
      <c r="AT413" s="477">
        <f t="shared" ca="1" si="218"/>
        <v>0</v>
      </c>
      <c r="AU413" s="475">
        <f t="shared" ca="1" si="219"/>
        <v>0</v>
      </c>
      <c r="AV413" s="480"/>
      <c r="AW413" s="477">
        <f t="shared" si="220"/>
        <v>0</v>
      </c>
      <c r="AX413" s="480"/>
      <c r="AY413" s="477">
        <f t="shared" si="221"/>
        <v>0</v>
      </c>
      <c r="AZ413" s="480"/>
      <c r="BA413" s="477">
        <f t="shared" si="222"/>
        <v>0</v>
      </c>
      <c r="BB413" s="480"/>
      <c r="BC413" s="850">
        <f t="shared" ca="1" si="223"/>
        <v>0</v>
      </c>
    </row>
    <row r="414" spans="1:55">
      <c r="A414" s="837" t="str">
        <f t="shared" si="195"/>
        <v/>
      </c>
      <c r="B414" s="440"/>
      <c r="C414" s="834" t="str">
        <f t="shared" ca="1" si="196"/>
        <v/>
      </c>
      <c r="D414" s="1757" t="str">
        <f ca="1">IFERROR(VLOOKUP(LEFT(E414,4),Nom_activ_2!D:G,4,0),"")</f>
        <v/>
      </c>
      <c r="E414" s="1757" t="str">
        <f t="shared" ca="1" si="197"/>
        <v/>
      </c>
      <c r="F414" s="1777">
        <f t="shared" ca="1" si="224"/>
        <v>0</v>
      </c>
      <c r="G414" s="839">
        <f t="shared" ca="1" si="224"/>
        <v>0</v>
      </c>
      <c r="H414" s="840">
        <f t="shared" ca="1" si="224"/>
        <v>0</v>
      </c>
      <c r="I414" s="443"/>
      <c r="J414" s="838" t="str">
        <f t="shared" si="198"/>
        <v>!$A:$j</v>
      </c>
      <c r="K414" s="475">
        <f t="shared" ca="1" si="199"/>
        <v>0</v>
      </c>
      <c r="L414" s="480"/>
      <c r="M414" s="477">
        <f t="shared" si="200"/>
        <v>0</v>
      </c>
      <c r="N414" s="480"/>
      <c r="O414" s="477">
        <f t="shared" si="201"/>
        <v>0</v>
      </c>
      <c r="P414" s="480"/>
      <c r="Q414" s="477">
        <f t="shared" si="202"/>
        <v>0</v>
      </c>
      <c r="R414" s="480"/>
      <c r="S414" s="477">
        <f t="shared" ca="1" si="203"/>
        <v>0</v>
      </c>
      <c r="T414" s="475">
        <f t="shared" ca="1" si="204"/>
        <v>0</v>
      </c>
      <c r="U414" s="480"/>
      <c r="V414" s="477">
        <f t="shared" si="205"/>
        <v>0</v>
      </c>
      <c r="W414" s="480"/>
      <c r="X414" s="477">
        <f t="shared" si="206"/>
        <v>0</v>
      </c>
      <c r="Y414" s="480"/>
      <c r="Z414" s="477">
        <f t="shared" si="207"/>
        <v>0</v>
      </c>
      <c r="AA414" s="480"/>
      <c r="AB414" s="477">
        <f t="shared" ca="1" si="208"/>
        <v>0</v>
      </c>
      <c r="AC414" s="475">
        <f t="shared" ca="1" si="209"/>
        <v>0</v>
      </c>
      <c r="AD414" s="480"/>
      <c r="AE414" s="477">
        <f t="shared" si="210"/>
        <v>0</v>
      </c>
      <c r="AF414" s="480"/>
      <c r="AG414" s="477">
        <f t="shared" si="211"/>
        <v>0</v>
      </c>
      <c r="AH414" s="480"/>
      <c r="AI414" s="477">
        <f t="shared" si="212"/>
        <v>0</v>
      </c>
      <c r="AJ414" s="480"/>
      <c r="AK414" s="477">
        <f t="shared" ca="1" si="213"/>
        <v>0</v>
      </c>
      <c r="AL414" s="475">
        <f t="shared" ca="1" si="214"/>
        <v>0</v>
      </c>
      <c r="AM414" s="480"/>
      <c r="AN414" s="477">
        <f t="shared" si="215"/>
        <v>0</v>
      </c>
      <c r="AO414" s="480"/>
      <c r="AP414" s="477">
        <f t="shared" si="216"/>
        <v>0</v>
      </c>
      <c r="AQ414" s="480"/>
      <c r="AR414" s="477">
        <f t="shared" si="217"/>
        <v>0</v>
      </c>
      <c r="AS414" s="480"/>
      <c r="AT414" s="477">
        <f t="shared" ca="1" si="218"/>
        <v>0</v>
      </c>
      <c r="AU414" s="475">
        <f t="shared" ca="1" si="219"/>
        <v>0</v>
      </c>
      <c r="AV414" s="480"/>
      <c r="AW414" s="477">
        <f t="shared" si="220"/>
        <v>0</v>
      </c>
      <c r="AX414" s="480"/>
      <c r="AY414" s="477">
        <f t="shared" si="221"/>
        <v>0</v>
      </c>
      <c r="AZ414" s="480"/>
      <c r="BA414" s="477">
        <f t="shared" si="222"/>
        <v>0</v>
      </c>
      <c r="BB414" s="480"/>
      <c r="BC414" s="850">
        <f t="shared" ca="1" si="223"/>
        <v>0</v>
      </c>
    </row>
    <row r="415" spans="1:55">
      <c r="A415" s="837" t="str">
        <f t="shared" si="195"/>
        <v/>
      </c>
      <c r="B415" s="440"/>
      <c r="C415" s="834" t="str">
        <f t="shared" ca="1" si="196"/>
        <v/>
      </c>
      <c r="D415" s="1757" t="str">
        <f ca="1">IFERROR(VLOOKUP(LEFT(E415,4),Nom_activ_2!D:G,4,0),"")</f>
        <v/>
      </c>
      <c r="E415" s="1757" t="str">
        <f t="shared" ca="1" si="197"/>
        <v/>
      </c>
      <c r="F415" s="1777">
        <f t="shared" ca="1" si="224"/>
        <v>0</v>
      </c>
      <c r="G415" s="839">
        <f t="shared" ca="1" si="224"/>
        <v>0</v>
      </c>
      <c r="H415" s="840">
        <f t="shared" ca="1" si="224"/>
        <v>0</v>
      </c>
      <c r="I415" s="443"/>
      <c r="J415" s="838" t="str">
        <f t="shared" si="198"/>
        <v>!$A:$j</v>
      </c>
      <c r="K415" s="475">
        <f t="shared" ca="1" si="199"/>
        <v>0</v>
      </c>
      <c r="L415" s="480"/>
      <c r="M415" s="477">
        <f t="shared" si="200"/>
        <v>0</v>
      </c>
      <c r="N415" s="480"/>
      <c r="O415" s="477">
        <f t="shared" si="201"/>
        <v>0</v>
      </c>
      <c r="P415" s="480"/>
      <c r="Q415" s="477">
        <f t="shared" si="202"/>
        <v>0</v>
      </c>
      <c r="R415" s="480"/>
      <c r="S415" s="477">
        <f t="shared" ca="1" si="203"/>
        <v>0</v>
      </c>
      <c r="T415" s="475">
        <f t="shared" ca="1" si="204"/>
        <v>0</v>
      </c>
      <c r="U415" s="480"/>
      <c r="V415" s="477">
        <f t="shared" si="205"/>
        <v>0</v>
      </c>
      <c r="W415" s="480"/>
      <c r="X415" s="477">
        <f t="shared" si="206"/>
        <v>0</v>
      </c>
      <c r="Y415" s="480"/>
      <c r="Z415" s="477">
        <f t="shared" si="207"/>
        <v>0</v>
      </c>
      <c r="AA415" s="480"/>
      <c r="AB415" s="477">
        <f t="shared" ca="1" si="208"/>
        <v>0</v>
      </c>
      <c r="AC415" s="475">
        <f t="shared" ca="1" si="209"/>
        <v>0</v>
      </c>
      <c r="AD415" s="480"/>
      <c r="AE415" s="477">
        <f t="shared" si="210"/>
        <v>0</v>
      </c>
      <c r="AF415" s="480"/>
      <c r="AG415" s="477">
        <f t="shared" si="211"/>
        <v>0</v>
      </c>
      <c r="AH415" s="480"/>
      <c r="AI415" s="477">
        <f t="shared" si="212"/>
        <v>0</v>
      </c>
      <c r="AJ415" s="480"/>
      <c r="AK415" s="477">
        <f t="shared" ca="1" si="213"/>
        <v>0</v>
      </c>
      <c r="AL415" s="475">
        <f t="shared" ca="1" si="214"/>
        <v>0</v>
      </c>
      <c r="AM415" s="480"/>
      <c r="AN415" s="477">
        <f t="shared" si="215"/>
        <v>0</v>
      </c>
      <c r="AO415" s="480"/>
      <c r="AP415" s="477">
        <f t="shared" si="216"/>
        <v>0</v>
      </c>
      <c r="AQ415" s="480"/>
      <c r="AR415" s="477">
        <f t="shared" si="217"/>
        <v>0</v>
      </c>
      <c r="AS415" s="480"/>
      <c r="AT415" s="477">
        <f t="shared" ca="1" si="218"/>
        <v>0</v>
      </c>
      <c r="AU415" s="475">
        <f t="shared" ca="1" si="219"/>
        <v>0</v>
      </c>
      <c r="AV415" s="480"/>
      <c r="AW415" s="477">
        <f t="shared" si="220"/>
        <v>0</v>
      </c>
      <c r="AX415" s="480"/>
      <c r="AY415" s="477">
        <f t="shared" si="221"/>
        <v>0</v>
      </c>
      <c r="AZ415" s="480"/>
      <c r="BA415" s="477">
        <f t="shared" si="222"/>
        <v>0</v>
      </c>
      <c r="BB415" s="480"/>
      <c r="BC415" s="850">
        <f t="shared" ca="1" si="223"/>
        <v>0</v>
      </c>
    </row>
    <row r="416" spans="1:55">
      <c r="A416" s="837" t="str">
        <f t="shared" si="195"/>
        <v/>
      </c>
      <c r="B416" s="440"/>
      <c r="C416" s="834" t="str">
        <f t="shared" ca="1" si="196"/>
        <v/>
      </c>
      <c r="D416" s="1757" t="str">
        <f ca="1">IFERROR(VLOOKUP(LEFT(E416,4),Nom_activ_2!D:G,4,0),"")</f>
        <v/>
      </c>
      <c r="E416" s="1757" t="str">
        <f t="shared" ca="1" si="197"/>
        <v/>
      </c>
      <c r="F416" s="1777">
        <f t="shared" ca="1" si="224"/>
        <v>0</v>
      </c>
      <c r="G416" s="839">
        <f t="shared" ca="1" si="224"/>
        <v>0</v>
      </c>
      <c r="H416" s="840">
        <f t="shared" ca="1" si="224"/>
        <v>0</v>
      </c>
      <c r="I416" s="443"/>
      <c r="J416" s="838" t="str">
        <f t="shared" si="198"/>
        <v>!$A:$j</v>
      </c>
      <c r="K416" s="475">
        <f t="shared" ca="1" si="199"/>
        <v>0</v>
      </c>
      <c r="L416" s="480"/>
      <c r="M416" s="477">
        <f t="shared" si="200"/>
        <v>0</v>
      </c>
      <c r="N416" s="480"/>
      <c r="O416" s="477">
        <f t="shared" si="201"/>
        <v>0</v>
      </c>
      <c r="P416" s="480"/>
      <c r="Q416" s="477">
        <f t="shared" si="202"/>
        <v>0</v>
      </c>
      <c r="R416" s="480"/>
      <c r="S416" s="477">
        <f t="shared" ca="1" si="203"/>
        <v>0</v>
      </c>
      <c r="T416" s="475">
        <f t="shared" ca="1" si="204"/>
        <v>0</v>
      </c>
      <c r="U416" s="480"/>
      <c r="V416" s="477">
        <f t="shared" si="205"/>
        <v>0</v>
      </c>
      <c r="W416" s="480"/>
      <c r="X416" s="477">
        <f t="shared" si="206"/>
        <v>0</v>
      </c>
      <c r="Y416" s="480"/>
      <c r="Z416" s="477">
        <f t="shared" si="207"/>
        <v>0</v>
      </c>
      <c r="AA416" s="480"/>
      <c r="AB416" s="477">
        <f t="shared" ca="1" si="208"/>
        <v>0</v>
      </c>
      <c r="AC416" s="475">
        <f t="shared" ca="1" si="209"/>
        <v>0</v>
      </c>
      <c r="AD416" s="480"/>
      <c r="AE416" s="477">
        <f t="shared" si="210"/>
        <v>0</v>
      </c>
      <c r="AF416" s="480"/>
      <c r="AG416" s="477">
        <f t="shared" si="211"/>
        <v>0</v>
      </c>
      <c r="AH416" s="480"/>
      <c r="AI416" s="477">
        <f t="shared" si="212"/>
        <v>0</v>
      </c>
      <c r="AJ416" s="480"/>
      <c r="AK416" s="477">
        <f t="shared" ca="1" si="213"/>
        <v>0</v>
      </c>
      <c r="AL416" s="475">
        <f t="shared" ca="1" si="214"/>
        <v>0</v>
      </c>
      <c r="AM416" s="480"/>
      <c r="AN416" s="477">
        <f t="shared" si="215"/>
        <v>0</v>
      </c>
      <c r="AO416" s="480"/>
      <c r="AP416" s="477">
        <f t="shared" si="216"/>
        <v>0</v>
      </c>
      <c r="AQ416" s="480"/>
      <c r="AR416" s="477">
        <f t="shared" si="217"/>
        <v>0</v>
      </c>
      <c r="AS416" s="480"/>
      <c r="AT416" s="477">
        <f t="shared" ca="1" si="218"/>
        <v>0</v>
      </c>
      <c r="AU416" s="475">
        <f t="shared" ca="1" si="219"/>
        <v>0</v>
      </c>
      <c r="AV416" s="480"/>
      <c r="AW416" s="477">
        <f t="shared" si="220"/>
        <v>0</v>
      </c>
      <c r="AX416" s="480"/>
      <c r="AY416" s="477">
        <f t="shared" si="221"/>
        <v>0</v>
      </c>
      <c r="AZ416" s="480"/>
      <c r="BA416" s="477">
        <f t="shared" si="222"/>
        <v>0</v>
      </c>
      <c r="BB416" s="480"/>
      <c r="BC416" s="850">
        <f t="shared" ca="1" si="223"/>
        <v>0</v>
      </c>
    </row>
    <row r="417" spans="1:55">
      <c r="A417" s="837" t="str">
        <f t="shared" si="195"/>
        <v/>
      </c>
      <c r="B417" s="440"/>
      <c r="C417" s="834" t="str">
        <f t="shared" ca="1" si="196"/>
        <v/>
      </c>
      <c r="D417" s="1757" t="str">
        <f ca="1">IFERROR(VLOOKUP(LEFT(E417,4),Nom_activ_2!D:G,4,0),"")</f>
        <v/>
      </c>
      <c r="E417" s="1757" t="str">
        <f t="shared" ca="1" si="197"/>
        <v/>
      </c>
      <c r="F417" s="1777">
        <f t="shared" ca="1" si="224"/>
        <v>0</v>
      </c>
      <c r="G417" s="839">
        <f t="shared" ca="1" si="224"/>
        <v>0</v>
      </c>
      <c r="H417" s="840">
        <f t="shared" ca="1" si="224"/>
        <v>0</v>
      </c>
      <c r="I417" s="443"/>
      <c r="J417" s="838" t="str">
        <f t="shared" si="198"/>
        <v>!$A:$j</v>
      </c>
      <c r="K417" s="475">
        <f t="shared" ca="1" si="199"/>
        <v>0</v>
      </c>
      <c r="L417" s="480"/>
      <c r="M417" s="477">
        <f t="shared" si="200"/>
        <v>0</v>
      </c>
      <c r="N417" s="480"/>
      <c r="O417" s="477">
        <f t="shared" si="201"/>
        <v>0</v>
      </c>
      <c r="P417" s="480"/>
      <c r="Q417" s="477">
        <f t="shared" si="202"/>
        <v>0</v>
      </c>
      <c r="R417" s="480"/>
      <c r="S417" s="477">
        <f t="shared" ca="1" si="203"/>
        <v>0</v>
      </c>
      <c r="T417" s="475">
        <f t="shared" ca="1" si="204"/>
        <v>0</v>
      </c>
      <c r="U417" s="480"/>
      <c r="V417" s="477">
        <f t="shared" si="205"/>
        <v>0</v>
      </c>
      <c r="W417" s="480"/>
      <c r="X417" s="477">
        <f t="shared" si="206"/>
        <v>0</v>
      </c>
      <c r="Y417" s="480"/>
      <c r="Z417" s="477">
        <f t="shared" si="207"/>
        <v>0</v>
      </c>
      <c r="AA417" s="480"/>
      <c r="AB417" s="477">
        <f t="shared" ca="1" si="208"/>
        <v>0</v>
      </c>
      <c r="AC417" s="475">
        <f t="shared" ca="1" si="209"/>
        <v>0</v>
      </c>
      <c r="AD417" s="480"/>
      <c r="AE417" s="477">
        <f t="shared" si="210"/>
        <v>0</v>
      </c>
      <c r="AF417" s="480"/>
      <c r="AG417" s="477">
        <f t="shared" si="211"/>
        <v>0</v>
      </c>
      <c r="AH417" s="480"/>
      <c r="AI417" s="477">
        <f t="shared" si="212"/>
        <v>0</v>
      </c>
      <c r="AJ417" s="480"/>
      <c r="AK417" s="477">
        <f t="shared" ca="1" si="213"/>
        <v>0</v>
      </c>
      <c r="AL417" s="475">
        <f t="shared" ca="1" si="214"/>
        <v>0</v>
      </c>
      <c r="AM417" s="480"/>
      <c r="AN417" s="477">
        <f t="shared" si="215"/>
        <v>0</v>
      </c>
      <c r="AO417" s="480"/>
      <c r="AP417" s="477">
        <f t="shared" si="216"/>
        <v>0</v>
      </c>
      <c r="AQ417" s="480"/>
      <c r="AR417" s="477">
        <f t="shared" si="217"/>
        <v>0</v>
      </c>
      <c r="AS417" s="480"/>
      <c r="AT417" s="477">
        <f t="shared" ca="1" si="218"/>
        <v>0</v>
      </c>
      <c r="AU417" s="475">
        <f t="shared" ca="1" si="219"/>
        <v>0</v>
      </c>
      <c r="AV417" s="480"/>
      <c r="AW417" s="477">
        <f t="shared" si="220"/>
        <v>0</v>
      </c>
      <c r="AX417" s="480"/>
      <c r="AY417" s="477">
        <f t="shared" si="221"/>
        <v>0</v>
      </c>
      <c r="AZ417" s="480"/>
      <c r="BA417" s="477">
        <f t="shared" si="222"/>
        <v>0</v>
      </c>
      <c r="BB417" s="480"/>
      <c r="BC417" s="850">
        <f t="shared" ca="1" si="223"/>
        <v>0</v>
      </c>
    </row>
    <row r="418" spans="1:55">
      <c r="A418" s="837" t="str">
        <f t="shared" si="195"/>
        <v/>
      </c>
      <c r="B418" s="440"/>
      <c r="C418" s="834" t="str">
        <f t="shared" ca="1" si="196"/>
        <v/>
      </c>
      <c r="D418" s="1757" t="str">
        <f ca="1">IFERROR(VLOOKUP(LEFT(E418,4),Nom_activ_2!D:G,4,0),"")</f>
        <v/>
      </c>
      <c r="E418" s="1757" t="str">
        <f t="shared" ca="1" si="197"/>
        <v/>
      </c>
      <c r="F418" s="1777">
        <f t="shared" ca="1" si="224"/>
        <v>0</v>
      </c>
      <c r="G418" s="839">
        <f t="shared" ca="1" si="224"/>
        <v>0</v>
      </c>
      <c r="H418" s="840">
        <f t="shared" ca="1" si="224"/>
        <v>0</v>
      </c>
      <c r="I418" s="443"/>
      <c r="J418" s="838" t="str">
        <f t="shared" si="198"/>
        <v>!$A:$j</v>
      </c>
      <c r="K418" s="475">
        <f t="shared" ca="1" si="199"/>
        <v>0</v>
      </c>
      <c r="L418" s="480"/>
      <c r="M418" s="477">
        <f t="shared" si="200"/>
        <v>0</v>
      </c>
      <c r="N418" s="480"/>
      <c r="O418" s="477">
        <f t="shared" si="201"/>
        <v>0</v>
      </c>
      <c r="P418" s="480"/>
      <c r="Q418" s="477">
        <f t="shared" si="202"/>
        <v>0</v>
      </c>
      <c r="R418" s="480"/>
      <c r="S418" s="477">
        <f t="shared" ca="1" si="203"/>
        <v>0</v>
      </c>
      <c r="T418" s="475">
        <f t="shared" ca="1" si="204"/>
        <v>0</v>
      </c>
      <c r="U418" s="480"/>
      <c r="V418" s="477">
        <f t="shared" si="205"/>
        <v>0</v>
      </c>
      <c r="W418" s="480"/>
      <c r="X418" s="477">
        <f t="shared" si="206"/>
        <v>0</v>
      </c>
      <c r="Y418" s="480"/>
      <c r="Z418" s="477">
        <f t="shared" si="207"/>
        <v>0</v>
      </c>
      <c r="AA418" s="480"/>
      <c r="AB418" s="477">
        <f t="shared" ca="1" si="208"/>
        <v>0</v>
      </c>
      <c r="AC418" s="475">
        <f t="shared" ca="1" si="209"/>
        <v>0</v>
      </c>
      <c r="AD418" s="480"/>
      <c r="AE418" s="477">
        <f t="shared" si="210"/>
        <v>0</v>
      </c>
      <c r="AF418" s="480"/>
      <c r="AG418" s="477">
        <f t="shared" si="211"/>
        <v>0</v>
      </c>
      <c r="AH418" s="480"/>
      <c r="AI418" s="477">
        <f t="shared" si="212"/>
        <v>0</v>
      </c>
      <c r="AJ418" s="480"/>
      <c r="AK418" s="477">
        <f t="shared" ca="1" si="213"/>
        <v>0</v>
      </c>
      <c r="AL418" s="475">
        <f t="shared" ca="1" si="214"/>
        <v>0</v>
      </c>
      <c r="AM418" s="480"/>
      <c r="AN418" s="477">
        <f t="shared" si="215"/>
        <v>0</v>
      </c>
      <c r="AO418" s="480"/>
      <c r="AP418" s="477">
        <f t="shared" si="216"/>
        <v>0</v>
      </c>
      <c r="AQ418" s="480"/>
      <c r="AR418" s="477">
        <f t="shared" si="217"/>
        <v>0</v>
      </c>
      <c r="AS418" s="480"/>
      <c r="AT418" s="477">
        <f t="shared" ca="1" si="218"/>
        <v>0</v>
      </c>
      <c r="AU418" s="475">
        <f t="shared" ca="1" si="219"/>
        <v>0</v>
      </c>
      <c r="AV418" s="480"/>
      <c r="AW418" s="477">
        <f t="shared" si="220"/>
        <v>0</v>
      </c>
      <c r="AX418" s="480"/>
      <c r="AY418" s="477">
        <f t="shared" si="221"/>
        <v>0</v>
      </c>
      <c r="AZ418" s="480"/>
      <c r="BA418" s="477">
        <f t="shared" si="222"/>
        <v>0</v>
      </c>
      <c r="BB418" s="480"/>
      <c r="BC418" s="850">
        <f t="shared" ca="1" si="223"/>
        <v>0</v>
      </c>
    </row>
    <row r="419" spans="1:55">
      <c r="A419" s="837" t="str">
        <f t="shared" si="195"/>
        <v/>
      </c>
      <c r="B419" s="440"/>
      <c r="C419" s="834" t="str">
        <f t="shared" ca="1" si="196"/>
        <v/>
      </c>
      <c r="D419" s="1757" t="str">
        <f ca="1">IFERROR(VLOOKUP(LEFT(E419,4),Nom_activ_2!D:G,4,0),"")</f>
        <v/>
      </c>
      <c r="E419" s="1757" t="str">
        <f t="shared" ca="1" si="197"/>
        <v/>
      </c>
      <c r="F419" s="1777">
        <f t="shared" ca="1" si="224"/>
        <v>0</v>
      </c>
      <c r="G419" s="839">
        <f t="shared" ca="1" si="224"/>
        <v>0</v>
      </c>
      <c r="H419" s="840">
        <f t="shared" ca="1" si="224"/>
        <v>0</v>
      </c>
      <c r="I419" s="443"/>
      <c r="J419" s="838" t="str">
        <f t="shared" si="198"/>
        <v>!$A:$j</v>
      </c>
      <c r="K419" s="475">
        <f t="shared" ca="1" si="199"/>
        <v>0</v>
      </c>
      <c r="L419" s="480"/>
      <c r="M419" s="477">
        <f t="shared" si="200"/>
        <v>0</v>
      </c>
      <c r="N419" s="480"/>
      <c r="O419" s="477">
        <f t="shared" si="201"/>
        <v>0</v>
      </c>
      <c r="P419" s="480"/>
      <c r="Q419" s="477">
        <f t="shared" si="202"/>
        <v>0</v>
      </c>
      <c r="R419" s="480"/>
      <c r="S419" s="477">
        <f t="shared" ca="1" si="203"/>
        <v>0</v>
      </c>
      <c r="T419" s="475">
        <f t="shared" ca="1" si="204"/>
        <v>0</v>
      </c>
      <c r="U419" s="480"/>
      <c r="V419" s="477">
        <f t="shared" si="205"/>
        <v>0</v>
      </c>
      <c r="W419" s="480"/>
      <c r="X419" s="477">
        <f t="shared" si="206"/>
        <v>0</v>
      </c>
      <c r="Y419" s="480"/>
      <c r="Z419" s="477">
        <f t="shared" si="207"/>
        <v>0</v>
      </c>
      <c r="AA419" s="480"/>
      <c r="AB419" s="477">
        <f t="shared" ca="1" si="208"/>
        <v>0</v>
      </c>
      <c r="AC419" s="475">
        <f t="shared" ca="1" si="209"/>
        <v>0</v>
      </c>
      <c r="AD419" s="480"/>
      <c r="AE419" s="477">
        <f t="shared" si="210"/>
        <v>0</v>
      </c>
      <c r="AF419" s="480"/>
      <c r="AG419" s="477">
        <f t="shared" si="211"/>
        <v>0</v>
      </c>
      <c r="AH419" s="480"/>
      <c r="AI419" s="477">
        <f t="shared" si="212"/>
        <v>0</v>
      </c>
      <c r="AJ419" s="480"/>
      <c r="AK419" s="477">
        <f t="shared" ca="1" si="213"/>
        <v>0</v>
      </c>
      <c r="AL419" s="475">
        <f t="shared" ca="1" si="214"/>
        <v>0</v>
      </c>
      <c r="AM419" s="480"/>
      <c r="AN419" s="477">
        <f t="shared" si="215"/>
        <v>0</v>
      </c>
      <c r="AO419" s="480"/>
      <c r="AP419" s="477">
        <f t="shared" si="216"/>
        <v>0</v>
      </c>
      <c r="AQ419" s="480"/>
      <c r="AR419" s="477">
        <f t="shared" si="217"/>
        <v>0</v>
      </c>
      <c r="AS419" s="480"/>
      <c r="AT419" s="477">
        <f t="shared" ca="1" si="218"/>
        <v>0</v>
      </c>
      <c r="AU419" s="475">
        <f t="shared" ca="1" si="219"/>
        <v>0</v>
      </c>
      <c r="AV419" s="480"/>
      <c r="AW419" s="477">
        <f t="shared" si="220"/>
        <v>0</v>
      </c>
      <c r="AX419" s="480"/>
      <c r="AY419" s="477">
        <f t="shared" si="221"/>
        <v>0</v>
      </c>
      <c r="AZ419" s="480"/>
      <c r="BA419" s="477">
        <f t="shared" si="222"/>
        <v>0</v>
      </c>
      <c r="BB419" s="480"/>
      <c r="BC419" s="850">
        <f t="shared" ca="1" si="223"/>
        <v>0</v>
      </c>
    </row>
    <row r="420" spans="1:55">
      <c r="A420" s="837" t="str">
        <f t="shared" si="195"/>
        <v/>
      </c>
      <c r="B420" s="440"/>
      <c r="C420" s="834" t="str">
        <f t="shared" ca="1" si="196"/>
        <v/>
      </c>
      <c r="D420" s="1757" t="str">
        <f ca="1">IFERROR(VLOOKUP(LEFT(E420,4),Nom_activ_2!D:G,4,0),"")</f>
        <v/>
      </c>
      <c r="E420" s="1757" t="str">
        <f t="shared" ca="1" si="197"/>
        <v/>
      </c>
      <c r="F420" s="1777">
        <f t="shared" ca="1" si="224"/>
        <v>0</v>
      </c>
      <c r="G420" s="839">
        <f t="shared" ca="1" si="224"/>
        <v>0</v>
      </c>
      <c r="H420" s="840">
        <f t="shared" ca="1" si="224"/>
        <v>0</v>
      </c>
      <c r="I420" s="443"/>
      <c r="J420" s="838" t="str">
        <f t="shared" si="198"/>
        <v>!$A:$j</v>
      </c>
      <c r="K420" s="475">
        <f t="shared" ca="1" si="199"/>
        <v>0</v>
      </c>
      <c r="L420" s="480"/>
      <c r="M420" s="477">
        <f t="shared" si="200"/>
        <v>0</v>
      </c>
      <c r="N420" s="480"/>
      <c r="O420" s="477">
        <f t="shared" si="201"/>
        <v>0</v>
      </c>
      <c r="P420" s="480"/>
      <c r="Q420" s="477">
        <f t="shared" si="202"/>
        <v>0</v>
      </c>
      <c r="R420" s="480"/>
      <c r="S420" s="477">
        <f t="shared" ca="1" si="203"/>
        <v>0</v>
      </c>
      <c r="T420" s="475">
        <f t="shared" ca="1" si="204"/>
        <v>0</v>
      </c>
      <c r="U420" s="480"/>
      <c r="V420" s="477">
        <f t="shared" si="205"/>
        <v>0</v>
      </c>
      <c r="W420" s="480"/>
      <c r="X420" s="477">
        <f t="shared" si="206"/>
        <v>0</v>
      </c>
      <c r="Y420" s="480"/>
      <c r="Z420" s="477">
        <f t="shared" si="207"/>
        <v>0</v>
      </c>
      <c r="AA420" s="480"/>
      <c r="AB420" s="477">
        <f t="shared" ca="1" si="208"/>
        <v>0</v>
      </c>
      <c r="AC420" s="475">
        <f t="shared" ca="1" si="209"/>
        <v>0</v>
      </c>
      <c r="AD420" s="480"/>
      <c r="AE420" s="477">
        <f t="shared" si="210"/>
        <v>0</v>
      </c>
      <c r="AF420" s="480"/>
      <c r="AG420" s="477">
        <f t="shared" si="211"/>
        <v>0</v>
      </c>
      <c r="AH420" s="480"/>
      <c r="AI420" s="477">
        <f t="shared" si="212"/>
        <v>0</v>
      </c>
      <c r="AJ420" s="480"/>
      <c r="AK420" s="477">
        <f t="shared" ca="1" si="213"/>
        <v>0</v>
      </c>
      <c r="AL420" s="475">
        <f t="shared" ca="1" si="214"/>
        <v>0</v>
      </c>
      <c r="AM420" s="480"/>
      <c r="AN420" s="477">
        <f t="shared" si="215"/>
        <v>0</v>
      </c>
      <c r="AO420" s="480"/>
      <c r="AP420" s="477">
        <f t="shared" si="216"/>
        <v>0</v>
      </c>
      <c r="AQ420" s="480"/>
      <c r="AR420" s="477">
        <f t="shared" si="217"/>
        <v>0</v>
      </c>
      <c r="AS420" s="480"/>
      <c r="AT420" s="477">
        <f t="shared" ca="1" si="218"/>
        <v>0</v>
      </c>
      <c r="AU420" s="475">
        <f t="shared" ca="1" si="219"/>
        <v>0</v>
      </c>
      <c r="AV420" s="480"/>
      <c r="AW420" s="477">
        <f t="shared" si="220"/>
        <v>0</v>
      </c>
      <c r="AX420" s="480"/>
      <c r="AY420" s="477">
        <f t="shared" si="221"/>
        <v>0</v>
      </c>
      <c r="AZ420" s="480"/>
      <c r="BA420" s="477">
        <f t="shared" si="222"/>
        <v>0</v>
      </c>
      <c r="BB420" s="480"/>
      <c r="BC420" s="850">
        <f t="shared" ca="1" si="223"/>
        <v>0</v>
      </c>
    </row>
    <row r="421" spans="1:55">
      <c r="A421" s="837" t="str">
        <f t="shared" si="195"/>
        <v/>
      </c>
      <c r="B421" s="440"/>
      <c r="C421" s="834" t="str">
        <f t="shared" ca="1" si="196"/>
        <v/>
      </c>
      <c r="D421" s="1757" t="str">
        <f ca="1">IFERROR(VLOOKUP(LEFT(E421,4),Nom_activ_2!D:G,4,0),"")</f>
        <v/>
      </c>
      <c r="E421" s="1757" t="str">
        <f t="shared" ca="1" si="197"/>
        <v/>
      </c>
      <c r="F421" s="1777">
        <f t="shared" ca="1" si="224"/>
        <v>0</v>
      </c>
      <c r="G421" s="839">
        <f t="shared" ca="1" si="224"/>
        <v>0</v>
      </c>
      <c r="H421" s="840">
        <f t="shared" ca="1" si="224"/>
        <v>0</v>
      </c>
      <c r="I421" s="443"/>
      <c r="J421" s="838" t="str">
        <f t="shared" si="198"/>
        <v>!$A:$j</v>
      </c>
      <c r="K421" s="475">
        <f t="shared" ca="1" si="199"/>
        <v>0</v>
      </c>
      <c r="L421" s="480"/>
      <c r="M421" s="477">
        <f t="shared" si="200"/>
        <v>0</v>
      </c>
      <c r="N421" s="480"/>
      <c r="O421" s="477">
        <f t="shared" si="201"/>
        <v>0</v>
      </c>
      <c r="P421" s="480"/>
      <c r="Q421" s="477">
        <f t="shared" si="202"/>
        <v>0</v>
      </c>
      <c r="R421" s="480"/>
      <c r="S421" s="477">
        <f t="shared" ca="1" si="203"/>
        <v>0</v>
      </c>
      <c r="T421" s="475">
        <f t="shared" ca="1" si="204"/>
        <v>0</v>
      </c>
      <c r="U421" s="480"/>
      <c r="V421" s="477">
        <f t="shared" si="205"/>
        <v>0</v>
      </c>
      <c r="W421" s="480"/>
      <c r="X421" s="477">
        <f t="shared" si="206"/>
        <v>0</v>
      </c>
      <c r="Y421" s="480"/>
      <c r="Z421" s="477">
        <f t="shared" si="207"/>
        <v>0</v>
      </c>
      <c r="AA421" s="480"/>
      <c r="AB421" s="477">
        <f t="shared" ca="1" si="208"/>
        <v>0</v>
      </c>
      <c r="AC421" s="475">
        <f t="shared" ca="1" si="209"/>
        <v>0</v>
      </c>
      <c r="AD421" s="480"/>
      <c r="AE421" s="477">
        <f t="shared" si="210"/>
        <v>0</v>
      </c>
      <c r="AF421" s="480"/>
      <c r="AG421" s="477">
        <f t="shared" si="211"/>
        <v>0</v>
      </c>
      <c r="AH421" s="480"/>
      <c r="AI421" s="477">
        <f t="shared" si="212"/>
        <v>0</v>
      </c>
      <c r="AJ421" s="480"/>
      <c r="AK421" s="477">
        <f t="shared" ca="1" si="213"/>
        <v>0</v>
      </c>
      <c r="AL421" s="475">
        <f t="shared" ca="1" si="214"/>
        <v>0</v>
      </c>
      <c r="AM421" s="480"/>
      <c r="AN421" s="477">
        <f t="shared" si="215"/>
        <v>0</v>
      </c>
      <c r="AO421" s="480"/>
      <c r="AP421" s="477">
        <f t="shared" si="216"/>
        <v>0</v>
      </c>
      <c r="AQ421" s="480"/>
      <c r="AR421" s="477">
        <f t="shared" si="217"/>
        <v>0</v>
      </c>
      <c r="AS421" s="480"/>
      <c r="AT421" s="477">
        <f t="shared" ca="1" si="218"/>
        <v>0</v>
      </c>
      <c r="AU421" s="475">
        <f t="shared" ca="1" si="219"/>
        <v>0</v>
      </c>
      <c r="AV421" s="480"/>
      <c r="AW421" s="477">
        <f t="shared" si="220"/>
        <v>0</v>
      </c>
      <c r="AX421" s="480"/>
      <c r="AY421" s="477">
        <f t="shared" si="221"/>
        <v>0</v>
      </c>
      <c r="AZ421" s="480"/>
      <c r="BA421" s="477">
        <f t="shared" si="222"/>
        <v>0</v>
      </c>
      <c r="BB421" s="480"/>
      <c r="BC421" s="850">
        <f t="shared" ca="1" si="223"/>
        <v>0</v>
      </c>
    </row>
    <row r="422" spans="1:55">
      <c r="A422" s="837" t="str">
        <f t="shared" si="195"/>
        <v/>
      </c>
      <c r="B422" s="440"/>
      <c r="C422" s="834" t="str">
        <f t="shared" ca="1" si="196"/>
        <v/>
      </c>
      <c r="D422" s="1757" t="str">
        <f ca="1">IFERROR(VLOOKUP(LEFT(E422,4),Nom_activ_2!D:G,4,0),"")</f>
        <v/>
      </c>
      <c r="E422" s="1757" t="str">
        <f t="shared" ca="1" si="197"/>
        <v/>
      </c>
      <c r="F422" s="1777">
        <f t="shared" ca="1" si="224"/>
        <v>0</v>
      </c>
      <c r="G422" s="839">
        <f t="shared" ca="1" si="224"/>
        <v>0</v>
      </c>
      <c r="H422" s="840">
        <f t="shared" ca="1" si="224"/>
        <v>0</v>
      </c>
      <c r="I422" s="443"/>
      <c r="J422" s="838" t="str">
        <f t="shared" si="198"/>
        <v>!$A:$j</v>
      </c>
      <c r="K422" s="475">
        <f t="shared" ca="1" si="199"/>
        <v>0</v>
      </c>
      <c r="L422" s="480"/>
      <c r="M422" s="477">
        <f t="shared" si="200"/>
        <v>0</v>
      </c>
      <c r="N422" s="480"/>
      <c r="O422" s="477">
        <f t="shared" si="201"/>
        <v>0</v>
      </c>
      <c r="P422" s="480"/>
      <c r="Q422" s="477">
        <f t="shared" si="202"/>
        <v>0</v>
      </c>
      <c r="R422" s="480"/>
      <c r="S422" s="477">
        <f t="shared" ca="1" si="203"/>
        <v>0</v>
      </c>
      <c r="T422" s="475">
        <f t="shared" ca="1" si="204"/>
        <v>0</v>
      </c>
      <c r="U422" s="480"/>
      <c r="V422" s="477">
        <f t="shared" si="205"/>
        <v>0</v>
      </c>
      <c r="W422" s="480"/>
      <c r="X422" s="477">
        <f t="shared" si="206"/>
        <v>0</v>
      </c>
      <c r="Y422" s="480"/>
      <c r="Z422" s="477">
        <f t="shared" si="207"/>
        <v>0</v>
      </c>
      <c r="AA422" s="480"/>
      <c r="AB422" s="477">
        <f t="shared" ca="1" si="208"/>
        <v>0</v>
      </c>
      <c r="AC422" s="475">
        <f t="shared" ca="1" si="209"/>
        <v>0</v>
      </c>
      <c r="AD422" s="480"/>
      <c r="AE422" s="477">
        <f t="shared" si="210"/>
        <v>0</v>
      </c>
      <c r="AF422" s="480"/>
      <c r="AG422" s="477">
        <f t="shared" si="211"/>
        <v>0</v>
      </c>
      <c r="AH422" s="480"/>
      <c r="AI422" s="477">
        <f t="shared" si="212"/>
        <v>0</v>
      </c>
      <c r="AJ422" s="480"/>
      <c r="AK422" s="477">
        <f t="shared" ca="1" si="213"/>
        <v>0</v>
      </c>
      <c r="AL422" s="475">
        <f t="shared" ca="1" si="214"/>
        <v>0</v>
      </c>
      <c r="AM422" s="480"/>
      <c r="AN422" s="477">
        <f t="shared" si="215"/>
        <v>0</v>
      </c>
      <c r="AO422" s="480"/>
      <c r="AP422" s="477">
        <f t="shared" si="216"/>
        <v>0</v>
      </c>
      <c r="AQ422" s="480"/>
      <c r="AR422" s="477">
        <f t="shared" si="217"/>
        <v>0</v>
      </c>
      <c r="AS422" s="480"/>
      <c r="AT422" s="477">
        <f t="shared" ca="1" si="218"/>
        <v>0</v>
      </c>
      <c r="AU422" s="475">
        <f t="shared" ca="1" si="219"/>
        <v>0</v>
      </c>
      <c r="AV422" s="480"/>
      <c r="AW422" s="477">
        <f t="shared" si="220"/>
        <v>0</v>
      </c>
      <c r="AX422" s="480"/>
      <c r="AY422" s="477">
        <f t="shared" si="221"/>
        <v>0</v>
      </c>
      <c r="AZ422" s="480"/>
      <c r="BA422" s="477">
        <f t="shared" si="222"/>
        <v>0</v>
      </c>
      <c r="BB422" s="480"/>
      <c r="BC422" s="850">
        <f t="shared" ca="1" si="223"/>
        <v>0</v>
      </c>
    </row>
    <row r="423" spans="1:55">
      <c r="A423" s="837" t="str">
        <f t="shared" si="195"/>
        <v/>
      </c>
      <c r="B423" s="440"/>
      <c r="C423" s="834" t="str">
        <f t="shared" ca="1" si="196"/>
        <v/>
      </c>
      <c r="D423" s="1757" t="str">
        <f ca="1">IFERROR(VLOOKUP(LEFT(E423,4),Nom_activ_2!D:G,4,0),"")</f>
        <v/>
      </c>
      <c r="E423" s="1757" t="str">
        <f t="shared" ca="1" si="197"/>
        <v/>
      </c>
      <c r="F423" s="1777">
        <f t="shared" ca="1" si="224"/>
        <v>0</v>
      </c>
      <c r="G423" s="839">
        <f t="shared" ca="1" si="224"/>
        <v>0</v>
      </c>
      <c r="H423" s="840">
        <f t="shared" ca="1" si="224"/>
        <v>0</v>
      </c>
      <c r="I423" s="443"/>
      <c r="J423" s="838" t="str">
        <f t="shared" si="198"/>
        <v>!$A:$j</v>
      </c>
      <c r="K423" s="475">
        <f t="shared" ca="1" si="199"/>
        <v>0</v>
      </c>
      <c r="L423" s="480"/>
      <c r="M423" s="477">
        <f t="shared" si="200"/>
        <v>0</v>
      </c>
      <c r="N423" s="480"/>
      <c r="O423" s="477">
        <f t="shared" si="201"/>
        <v>0</v>
      </c>
      <c r="P423" s="480"/>
      <c r="Q423" s="477">
        <f t="shared" si="202"/>
        <v>0</v>
      </c>
      <c r="R423" s="480"/>
      <c r="S423" s="477">
        <f t="shared" ca="1" si="203"/>
        <v>0</v>
      </c>
      <c r="T423" s="475">
        <f t="shared" ca="1" si="204"/>
        <v>0</v>
      </c>
      <c r="U423" s="480"/>
      <c r="V423" s="477">
        <f t="shared" si="205"/>
        <v>0</v>
      </c>
      <c r="W423" s="480"/>
      <c r="X423" s="477">
        <f t="shared" si="206"/>
        <v>0</v>
      </c>
      <c r="Y423" s="480"/>
      <c r="Z423" s="477">
        <f t="shared" si="207"/>
        <v>0</v>
      </c>
      <c r="AA423" s="480"/>
      <c r="AB423" s="477">
        <f t="shared" ca="1" si="208"/>
        <v>0</v>
      </c>
      <c r="AC423" s="475">
        <f t="shared" ca="1" si="209"/>
        <v>0</v>
      </c>
      <c r="AD423" s="480"/>
      <c r="AE423" s="477">
        <f t="shared" si="210"/>
        <v>0</v>
      </c>
      <c r="AF423" s="480"/>
      <c r="AG423" s="477">
        <f t="shared" si="211"/>
        <v>0</v>
      </c>
      <c r="AH423" s="480"/>
      <c r="AI423" s="477">
        <f t="shared" si="212"/>
        <v>0</v>
      </c>
      <c r="AJ423" s="480"/>
      <c r="AK423" s="477">
        <f t="shared" ca="1" si="213"/>
        <v>0</v>
      </c>
      <c r="AL423" s="475">
        <f t="shared" ca="1" si="214"/>
        <v>0</v>
      </c>
      <c r="AM423" s="480"/>
      <c r="AN423" s="477">
        <f t="shared" si="215"/>
        <v>0</v>
      </c>
      <c r="AO423" s="480"/>
      <c r="AP423" s="477">
        <f t="shared" si="216"/>
        <v>0</v>
      </c>
      <c r="AQ423" s="480"/>
      <c r="AR423" s="477">
        <f t="shared" si="217"/>
        <v>0</v>
      </c>
      <c r="AS423" s="480"/>
      <c r="AT423" s="477">
        <f t="shared" ca="1" si="218"/>
        <v>0</v>
      </c>
      <c r="AU423" s="475">
        <f t="shared" ca="1" si="219"/>
        <v>0</v>
      </c>
      <c r="AV423" s="480"/>
      <c r="AW423" s="477">
        <f t="shared" si="220"/>
        <v>0</v>
      </c>
      <c r="AX423" s="480"/>
      <c r="AY423" s="477">
        <f t="shared" si="221"/>
        <v>0</v>
      </c>
      <c r="AZ423" s="480"/>
      <c r="BA423" s="477">
        <f t="shared" si="222"/>
        <v>0</v>
      </c>
      <c r="BB423" s="480"/>
      <c r="BC423" s="850">
        <f t="shared" ca="1" si="223"/>
        <v>0</v>
      </c>
    </row>
    <row r="424" spans="1:55">
      <c r="A424" s="837" t="str">
        <f t="shared" si="195"/>
        <v/>
      </c>
      <c r="B424" s="440"/>
      <c r="C424" s="834" t="str">
        <f t="shared" ca="1" si="196"/>
        <v/>
      </c>
      <c r="D424" s="1757" t="str">
        <f ca="1">IFERROR(VLOOKUP(LEFT(E424,4),Nom_activ_2!D:G,4,0),"")</f>
        <v/>
      </c>
      <c r="E424" s="1757" t="str">
        <f t="shared" ca="1" si="197"/>
        <v/>
      </c>
      <c r="F424" s="1777">
        <f t="shared" ca="1" si="224"/>
        <v>0</v>
      </c>
      <c r="G424" s="839">
        <f t="shared" ca="1" si="224"/>
        <v>0</v>
      </c>
      <c r="H424" s="840">
        <f t="shared" ca="1" si="224"/>
        <v>0</v>
      </c>
      <c r="I424" s="443"/>
      <c r="J424" s="838" t="str">
        <f t="shared" si="198"/>
        <v>!$A:$j</v>
      </c>
      <c r="K424" s="475">
        <f t="shared" ca="1" si="199"/>
        <v>0</v>
      </c>
      <c r="L424" s="480"/>
      <c r="M424" s="477">
        <f t="shared" si="200"/>
        <v>0</v>
      </c>
      <c r="N424" s="480"/>
      <c r="O424" s="477">
        <f t="shared" si="201"/>
        <v>0</v>
      </c>
      <c r="P424" s="480"/>
      <c r="Q424" s="477">
        <f t="shared" si="202"/>
        <v>0</v>
      </c>
      <c r="R424" s="480"/>
      <c r="S424" s="477">
        <f t="shared" ca="1" si="203"/>
        <v>0</v>
      </c>
      <c r="T424" s="475">
        <f t="shared" ca="1" si="204"/>
        <v>0</v>
      </c>
      <c r="U424" s="480"/>
      <c r="V424" s="477">
        <f t="shared" si="205"/>
        <v>0</v>
      </c>
      <c r="W424" s="480"/>
      <c r="X424" s="477">
        <f t="shared" si="206"/>
        <v>0</v>
      </c>
      <c r="Y424" s="480"/>
      <c r="Z424" s="477">
        <f t="shared" si="207"/>
        <v>0</v>
      </c>
      <c r="AA424" s="480"/>
      <c r="AB424" s="477">
        <f t="shared" ca="1" si="208"/>
        <v>0</v>
      </c>
      <c r="AC424" s="475">
        <f t="shared" ca="1" si="209"/>
        <v>0</v>
      </c>
      <c r="AD424" s="480"/>
      <c r="AE424" s="477">
        <f t="shared" si="210"/>
        <v>0</v>
      </c>
      <c r="AF424" s="480"/>
      <c r="AG424" s="477">
        <f t="shared" si="211"/>
        <v>0</v>
      </c>
      <c r="AH424" s="480"/>
      <c r="AI424" s="477">
        <f t="shared" si="212"/>
        <v>0</v>
      </c>
      <c r="AJ424" s="480"/>
      <c r="AK424" s="477">
        <f t="shared" ca="1" si="213"/>
        <v>0</v>
      </c>
      <c r="AL424" s="475">
        <f t="shared" ca="1" si="214"/>
        <v>0</v>
      </c>
      <c r="AM424" s="480"/>
      <c r="AN424" s="477">
        <f t="shared" si="215"/>
        <v>0</v>
      </c>
      <c r="AO424" s="480"/>
      <c r="AP424" s="477">
        <f t="shared" si="216"/>
        <v>0</v>
      </c>
      <c r="AQ424" s="480"/>
      <c r="AR424" s="477">
        <f t="shared" si="217"/>
        <v>0</v>
      </c>
      <c r="AS424" s="480"/>
      <c r="AT424" s="477">
        <f t="shared" ca="1" si="218"/>
        <v>0</v>
      </c>
      <c r="AU424" s="475">
        <f t="shared" ca="1" si="219"/>
        <v>0</v>
      </c>
      <c r="AV424" s="480"/>
      <c r="AW424" s="477">
        <f t="shared" si="220"/>
        <v>0</v>
      </c>
      <c r="AX424" s="480"/>
      <c r="AY424" s="477">
        <f t="shared" si="221"/>
        <v>0</v>
      </c>
      <c r="AZ424" s="480"/>
      <c r="BA424" s="477">
        <f t="shared" si="222"/>
        <v>0</v>
      </c>
      <c r="BB424" s="480"/>
      <c r="BC424" s="850">
        <f t="shared" ca="1" si="223"/>
        <v>0</v>
      </c>
    </row>
    <row r="425" spans="1:55">
      <c r="A425" s="837" t="str">
        <f t="shared" si="195"/>
        <v/>
      </c>
      <c r="B425" s="440"/>
      <c r="C425" s="834" t="str">
        <f t="shared" ca="1" si="196"/>
        <v/>
      </c>
      <c r="D425" s="1757" t="str">
        <f ca="1">IFERROR(VLOOKUP(LEFT(E425,4),Nom_activ_2!D:G,4,0),"")</f>
        <v/>
      </c>
      <c r="E425" s="1757" t="str">
        <f t="shared" ca="1" si="197"/>
        <v/>
      </c>
      <c r="F425" s="1777">
        <f t="shared" ca="1" si="224"/>
        <v>0</v>
      </c>
      <c r="G425" s="839">
        <f t="shared" ca="1" si="224"/>
        <v>0</v>
      </c>
      <c r="H425" s="840">
        <f t="shared" ca="1" si="224"/>
        <v>0</v>
      </c>
      <c r="I425" s="443"/>
      <c r="J425" s="838" t="str">
        <f t="shared" si="198"/>
        <v>!$A:$j</v>
      </c>
      <c r="K425" s="475">
        <f t="shared" ca="1" si="199"/>
        <v>0</v>
      </c>
      <c r="L425" s="480"/>
      <c r="M425" s="477">
        <f t="shared" si="200"/>
        <v>0</v>
      </c>
      <c r="N425" s="480"/>
      <c r="O425" s="477">
        <f t="shared" si="201"/>
        <v>0</v>
      </c>
      <c r="P425" s="480"/>
      <c r="Q425" s="477">
        <f t="shared" si="202"/>
        <v>0</v>
      </c>
      <c r="R425" s="480"/>
      <c r="S425" s="477">
        <f t="shared" ca="1" si="203"/>
        <v>0</v>
      </c>
      <c r="T425" s="475">
        <f t="shared" ca="1" si="204"/>
        <v>0</v>
      </c>
      <c r="U425" s="480"/>
      <c r="V425" s="477">
        <f t="shared" si="205"/>
        <v>0</v>
      </c>
      <c r="W425" s="480"/>
      <c r="X425" s="477">
        <f t="shared" si="206"/>
        <v>0</v>
      </c>
      <c r="Y425" s="480"/>
      <c r="Z425" s="477">
        <f t="shared" si="207"/>
        <v>0</v>
      </c>
      <c r="AA425" s="480"/>
      <c r="AB425" s="477">
        <f t="shared" ca="1" si="208"/>
        <v>0</v>
      </c>
      <c r="AC425" s="475">
        <f t="shared" ca="1" si="209"/>
        <v>0</v>
      </c>
      <c r="AD425" s="480"/>
      <c r="AE425" s="477">
        <f t="shared" si="210"/>
        <v>0</v>
      </c>
      <c r="AF425" s="480"/>
      <c r="AG425" s="477">
        <f t="shared" si="211"/>
        <v>0</v>
      </c>
      <c r="AH425" s="480"/>
      <c r="AI425" s="477">
        <f t="shared" si="212"/>
        <v>0</v>
      </c>
      <c r="AJ425" s="480"/>
      <c r="AK425" s="477">
        <f t="shared" ca="1" si="213"/>
        <v>0</v>
      </c>
      <c r="AL425" s="475">
        <f t="shared" ca="1" si="214"/>
        <v>0</v>
      </c>
      <c r="AM425" s="480"/>
      <c r="AN425" s="477">
        <f t="shared" si="215"/>
        <v>0</v>
      </c>
      <c r="AO425" s="480"/>
      <c r="AP425" s="477">
        <f t="shared" si="216"/>
        <v>0</v>
      </c>
      <c r="AQ425" s="480"/>
      <c r="AR425" s="477">
        <f t="shared" si="217"/>
        <v>0</v>
      </c>
      <c r="AS425" s="480"/>
      <c r="AT425" s="477">
        <f t="shared" ca="1" si="218"/>
        <v>0</v>
      </c>
      <c r="AU425" s="475">
        <f t="shared" ca="1" si="219"/>
        <v>0</v>
      </c>
      <c r="AV425" s="480"/>
      <c r="AW425" s="477">
        <f t="shared" si="220"/>
        <v>0</v>
      </c>
      <c r="AX425" s="480"/>
      <c r="AY425" s="477">
        <f t="shared" si="221"/>
        <v>0</v>
      </c>
      <c r="AZ425" s="480"/>
      <c r="BA425" s="477">
        <f t="shared" si="222"/>
        <v>0</v>
      </c>
      <c r="BB425" s="480"/>
      <c r="BC425" s="850">
        <f t="shared" ca="1" si="223"/>
        <v>0</v>
      </c>
    </row>
    <row r="426" spans="1:55">
      <c r="A426" s="837" t="str">
        <f t="shared" si="195"/>
        <v/>
      </c>
      <c r="B426" s="440"/>
      <c r="C426" s="834" t="str">
        <f t="shared" ca="1" si="196"/>
        <v/>
      </c>
      <c r="D426" s="1757" t="str">
        <f ca="1">IFERROR(VLOOKUP(LEFT(E426,4),Nom_activ_2!D:G,4,0),"")</f>
        <v/>
      </c>
      <c r="E426" s="1757" t="str">
        <f t="shared" ca="1" si="197"/>
        <v/>
      </c>
      <c r="F426" s="1777">
        <f t="shared" ca="1" si="224"/>
        <v>0</v>
      </c>
      <c r="G426" s="839">
        <f t="shared" ca="1" si="224"/>
        <v>0</v>
      </c>
      <c r="H426" s="840">
        <f t="shared" ca="1" si="224"/>
        <v>0</v>
      </c>
      <c r="I426" s="443"/>
      <c r="J426" s="838" t="str">
        <f t="shared" si="198"/>
        <v>!$A:$j</v>
      </c>
      <c r="K426" s="475">
        <f t="shared" ca="1" si="199"/>
        <v>0</v>
      </c>
      <c r="L426" s="480"/>
      <c r="M426" s="477">
        <f t="shared" si="200"/>
        <v>0</v>
      </c>
      <c r="N426" s="480"/>
      <c r="O426" s="477">
        <f t="shared" si="201"/>
        <v>0</v>
      </c>
      <c r="P426" s="480"/>
      <c r="Q426" s="477">
        <f t="shared" si="202"/>
        <v>0</v>
      </c>
      <c r="R426" s="480"/>
      <c r="S426" s="477">
        <f t="shared" ca="1" si="203"/>
        <v>0</v>
      </c>
      <c r="T426" s="475">
        <f t="shared" ca="1" si="204"/>
        <v>0</v>
      </c>
      <c r="U426" s="480"/>
      <c r="V426" s="477">
        <f t="shared" si="205"/>
        <v>0</v>
      </c>
      <c r="W426" s="480"/>
      <c r="X426" s="477">
        <f t="shared" si="206"/>
        <v>0</v>
      </c>
      <c r="Y426" s="480"/>
      <c r="Z426" s="477">
        <f t="shared" si="207"/>
        <v>0</v>
      </c>
      <c r="AA426" s="480"/>
      <c r="AB426" s="477">
        <f t="shared" ca="1" si="208"/>
        <v>0</v>
      </c>
      <c r="AC426" s="475">
        <f t="shared" ca="1" si="209"/>
        <v>0</v>
      </c>
      <c r="AD426" s="480"/>
      <c r="AE426" s="477">
        <f t="shared" si="210"/>
        <v>0</v>
      </c>
      <c r="AF426" s="480"/>
      <c r="AG426" s="477">
        <f t="shared" si="211"/>
        <v>0</v>
      </c>
      <c r="AH426" s="480"/>
      <c r="AI426" s="477">
        <f t="shared" si="212"/>
        <v>0</v>
      </c>
      <c r="AJ426" s="480"/>
      <c r="AK426" s="477">
        <f t="shared" ca="1" si="213"/>
        <v>0</v>
      </c>
      <c r="AL426" s="475">
        <f t="shared" ca="1" si="214"/>
        <v>0</v>
      </c>
      <c r="AM426" s="480"/>
      <c r="AN426" s="477">
        <f t="shared" si="215"/>
        <v>0</v>
      </c>
      <c r="AO426" s="480"/>
      <c r="AP426" s="477">
        <f t="shared" si="216"/>
        <v>0</v>
      </c>
      <c r="AQ426" s="480"/>
      <c r="AR426" s="477">
        <f t="shared" si="217"/>
        <v>0</v>
      </c>
      <c r="AS426" s="480"/>
      <c r="AT426" s="477">
        <f t="shared" ca="1" si="218"/>
        <v>0</v>
      </c>
      <c r="AU426" s="475">
        <f t="shared" ca="1" si="219"/>
        <v>0</v>
      </c>
      <c r="AV426" s="480"/>
      <c r="AW426" s="477">
        <f t="shared" si="220"/>
        <v>0</v>
      </c>
      <c r="AX426" s="480"/>
      <c r="AY426" s="477">
        <f t="shared" si="221"/>
        <v>0</v>
      </c>
      <c r="AZ426" s="480"/>
      <c r="BA426" s="477">
        <f t="shared" si="222"/>
        <v>0</v>
      </c>
      <c r="BB426" s="480"/>
      <c r="BC426" s="850">
        <f t="shared" ca="1" si="223"/>
        <v>0</v>
      </c>
    </row>
    <row r="427" spans="1:55">
      <c r="A427" s="837" t="str">
        <f t="shared" si="195"/>
        <v/>
      </c>
      <c r="B427" s="440"/>
      <c r="C427" s="834" t="str">
        <f t="shared" ca="1" si="196"/>
        <v/>
      </c>
      <c r="D427" s="1757" t="str">
        <f ca="1">IFERROR(VLOOKUP(LEFT(E427,4),Nom_activ_2!D:G,4,0),"")</f>
        <v/>
      </c>
      <c r="E427" s="1757" t="str">
        <f t="shared" ca="1" si="197"/>
        <v/>
      </c>
      <c r="F427" s="1777">
        <f t="shared" ref="F427:H446" ca="1" si="225">IFERROR(VLOOKUP($B427,INDIRECT($J427),F$5,0),0)</f>
        <v>0</v>
      </c>
      <c r="G427" s="839">
        <f t="shared" ca="1" si="225"/>
        <v>0</v>
      </c>
      <c r="H427" s="840">
        <f t="shared" ca="1" si="225"/>
        <v>0</v>
      </c>
      <c r="I427" s="443"/>
      <c r="J427" s="838" t="str">
        <f t="shared" si="198"/>
        <v>!$A:$j</v>
      </c>
      <c r="K427" s="475">
        <f t="shared" ca="1" si="199"/>
        <v>0</v>
      </c>
      <c r="L427" s="480"/>
      <c r="M427" s="477">
        <f t="shared" si="200"/>
        <v>0</v>
      </c>
      <c r="N427" s="480"/>
      <c r="O427" s="477">
        <f t="shared" si="201"/>
        <v>0</v>
      </c>
      <c r="P427" s="480"/>
      <c r="Q427" s="477">
        <f t="shared" si="202"/>
        <v>0</v>
      </c>
      <c r="R427" s="480"/>
      <c r="S427" s="477">
        <f t="shared" ca="1" si="203"/>
        <v>0</v>
      </c>
      <c r="T427" s="475">
        <f t="shared" ca="1" si="204"/>
        <v>0</v>
      </c>
      <c r="U427" s="480"/>
      <c r="V427" s="477">
        <f t="shared" si="205"/>
        <v>0</v>
      </c>
      <c r="W427" s="480"/>
      <c r="X427" s="477">
        <f t="shared" si="206"/>
        <v>0</v>
      </c>
      <c r="Y427" s="480"/>
      <c r="Z427" s="477">
        <f t="shared" si="207"/>
        <v>0</v>
      </c>
      <c r="AA427" s="480"/>
      <c r="AB427" s="477">
        <f t="shared" ca="1" si="208"/>
        <v>0</v>
      </c>
      <c r="AC427" s="475">
        <f t="shared" ca="1" si="209"/>
        <v>0</v>
      </c>
      <c r="AD427" s="480"/>
      <c r="AE427" s="477">
        <f t="shared" si="210"/>
        <v>0</v>
      </c>
      <c r="AF427" s="480"/>
      <c r="AG427" s="477">
        <f t="shared" si="211"/>
        <v>0</v>
      </c>
      <c r="AH427" s="480"/>
      <c r="AI427" s="477">
        <f t="shared" si="212"/>
        <v>0</v>
      </c>
      <c r="AJ427" s="480"/>
      <c r="AK427" s="477">
        <f t="shared" ca="1" si="213"/>
        <v>0</v>
      </c>
      <c r="AL427" s="475">
        <f t="shared" ca="1" si="214"/>
        <v>0</v>
      </c>
      <c r="AM427" s="480"/>
      <c r="AN427" s="477">
        <f t="shared" si="215"/>
        <v>0</v>
      </c>
      <c r="AO427" s="480"/>
      <c r="AP427" s="477">
        <f t="shared" si="216"/>
        <v>0</v>
      </c>
      <c r="AQ427" s="480"/>
      <c r="AR427" s="477">
        <f t="shared" si="217"/>
        <v>0</v>
      </c>
      <c r="AS427" s="480"/>
      <c r="AT427" s="477">
        <f t="shared" ca="1" si="218"/>
        <v>0</v>
      </c>
      <c r="AU427" s="475">
        <f t="shared" ca="1" si="219"/>
        <v>0</v>
      </c>
      <c r="AV427" s="480"/>
      <c r="AW427" s="477">
        <f t="shared" si="220"/>
        <v>0</v>
      </c>
      <c r="AX427" s="480"/>
      <c r="AY427" s="477">
        <f t="shared" si="221"/>
        <v>0</v>
      </c>
      <c r="AZ427" s="480"/>
      <c r="BA427" s="477">
        <f t="shared" si="222"/>
        <v>0</v>
      </c>
      <c r="BB427" s="480"/>
      <c r="BC427" s="850">
        <f t="shared" ca="1" si="223"/>
        <v>0</v>
      </c>
    </row>
    <row r="428" spans="1:55">
      <c r="A428" s="837" t="str">
        <f t="shared" si="195"/>
        <v/>
      </c>
      <c r="B428" s="440"/>
      <c r="C428" s="834" t="str">
        <f t="shared" ca="1" si="196"/>
        <v/>
      </c>
      <c r="D428" s="1757" t="str">
        <f ca="1">IFERROR(VLOOKUP(LEFT(E428,4),Nom_activ_2!D:G,4,0),"")</f>
        <v/>
      </c>
      <c r="E428" s="1757" t="str">
        <f t="shared" ca="1" si="197"/>
        <v/>
      </c>
      <c r="F428" s="1777">
        <f t="shared" ca="1" si="225"/>
        <v>0</v>
      </c>
      <c r="G428" s="839">
        <f t="shared" ca="1" si="225"/>
        <v>0</v>
      </c>
      <c r="H428" s="840">
        <f t="shared" ca="1" si="225"/>
        <v>0</v>
      </c>
      <c r="I428" s="443"/>
      <c r="J428" s="838" t="str">
        <f t="shared" si="198"/>
        <v>!$A:$j</v>
      </c>
      <c r="K428" s="475">
        <f t="shared" ca="1" si="199"/>
        <v>0</v>
      </c>
      <c r="L428" s="480"/>
      <c r="M428" s="477">
        <f t="shared" si="200"/>
        <v>0</v>
      </c>
      <c r="N428" s="480"/>
      <c r="O428" s="477">
        <f t="shared" si="201"/>
        <v>0</v>
      </c>
      <c r="P428" s="480"/>
      <c r="Q428" s="477">
        <f t="shared" si="202"/>
        <v>0</v>
      </c>
      <c r="R428" s="480"/>
      <c r="S428" s="477">
        <f t="shared" ca="1" si="203"/>
        <v>0</v>
      </c>
      <c r="T428" s="475">
        <f t="shared" ca="1" si="204"/>
        <v>0</v>
      </c>
      <c r="U428" s="480"/>
      <c r="V428" s="477">
        <f t="shared" si="205"/>
        <v>0</v>
      </c>
      <c r="W428" s="480"/>
      <c r="X428" s="477">
        <f t="shared" si="206"/>
        <v>0</v>
      </c>
      <c r="Y428" s="480"/>
      <c r="Z428" s="477">
        <f t="shared" si="207"/>
        <v>0</v>
      </c>
      <c r="AA428" s="480"/>
      <c r="AB428" s="477">
        <f t="shared" ca="1" si="208"/>
        <v>0</v>
      </c>
      <c r="AC428" s="475">
        <f t="shared" ca="1" si="209"/>
        <v>0</v>
      </c>
      <c r="AD428" s="480"/>
      <c r="AE428" s="477">
        <f t="shared" si="210"/>
        <v>0</v>
      </c>
      <c r="AF428" s="480"/>
      <c r="AG428" s="477">
        <f t="shared" si="211"/>
        <v>0</v>
      </c>
      <c r="AH428" s="480"/>
      <c r="AI428" s="477">
        <f t="shared" si="212"/>
        <v>0</v>
      </c>
      <c r="AJ428" s="480"/>
      <c r="AK428" s="477">
        <f t="shared" ca="1" si="213"/>
        <v>0</v>
      </c>
      <c r="AL428" s="475">
        <f t="shared" ca="1" si="214"/>
        <v>0</v>
      </c>
      <c r="AM428" s="480"/>
      <c r="AN428" s="477">
        <f t="shared" si="215"/>
        <v>0</v>
      </c>
      <c r="AO428" s="480"/>
      <c r="AP428" s="477">
        <f t="shared" si="216"/>
        <v>0</v>
      </c>
      <c r="AQ428" s="480"/>
      <c r="AR428" s="477">
        <f t="shared" si="217"/>
        <v>0</v>
      </c>
      <c r="AS428" s="480"/>
      <c r="AT428" s="477">
        <f t="shared" ca="1" si="218"/>
        <v>0</v>
      </c>
      <c r="AU428" s="475">
        <f t="shared" ca="1" si="219"/>
        <v>0</v>
      </c>
      <c r="AV428" s="480"/>
      <c r="AW428" s="477">
        <f t="shared" si="220"/>
        <v>0</v>
      </c>
      <c r="AX428" s="480"/>
      <c r="AY428" s="477">
        <f t="shared" si="221"/>
        <v>0</v>
      </c>
      <c r="AZ428" s="480"/>
      <c r="BA428" s="477">
        <f t="shared" si="222"/>
        <v>0</v>
      </c>
      <c r="BB428" s="480"/>
      <c r="BC428" s="850">
        <f t="shared" ca="1" si="223"/>
        <v>0</v>
      </c>
    </row>
    <row r="429" spans="1:55">
      <c r="A429" s="837" t="str">
        <f t="shared" si="195"/>
        <v/>
      </c>
      <c r="B429" s="440"/>
      <c r="C429" s="834" t="str">
        <f t="shared" ca="1" si="196"/>
        <v/>
      </c>
      <c r="D429" s="1757" t="str">
        <f ca="1">IFERROR(VLOOKUP(LEFT(E429,4),Nom_activ_2!D:G,4,0),"")</f>
        <v/>
      </c>
      <c r="E429" s="1757" t="str">
        <f t="shared" ca="1" si="197"/>
        <v/>
      </c>
      <c r="F429" s="1777">
        <f t="shared" ca="1" si="225"/>
        <v>0</v>
      </c>
      <c r="G429" s="839">
        <f t="shared" ca="1" si="225"/>
        <v>0</v>
      </c>
      <c r="H429" s="840">
        <f t="shared" ca="1" si="225"/>
        <v>0</v>
      </c>
      <c r="I429" s="443"/>
      <c r="J429" s="838" t="str">
        <f t="shared" si="198"/>
        <v>!$A:$j</v>
      </c>
      <c r="K429" s="475">
        <f t="shared" ca="1" si="199"/>
        <v>0</v>
      </c>
      <c r="L429" s="480"/>
      <c r="M429" s="477">
        <f t="shared" si="200"/>
        <v>0</v>
      </c>
      <c r="N429" s="480"/>
      <c r="O429" s="477">
        <f t="shared" si="201"/>
        <v>0</v>
      </c>
      <c r="P429" s="480"/>
      <c r="Q429" s="477">
        <f t="shared" si="202"/>
        <v>0</v>
      </c>
      <c r="R429" s="480"/>
      <c r="S429" s="477">
        <f t="shared" ca="1" si="203"/>
        <v>0</v>
      </c>
      <c r="T429" s="475">
        <f t="shared" ca="1" si="204"/>
        <v>0</v>
      </c>
      <c r="U429" s="480"/>
      <c r="V429" s="477">
        <f t="shared" si="205"/>
        <v>0</v>
      </c>
      <c r="W429" s="480"/>
      <c r="X429" s="477">
        <f t="shared" si="206"/>
        <v>0</v>
      </c>
      <c r="Y429" s="480"/>
      <c r="Z429" s="477">
        <f t="shared" si="207"/>
        <v>0</v>
      </c>
      <c r="AA429" s="480"/>
      <c r="AB429" s="477">
        <f t="shared" ca="1" si="208"/>
        <v>0</v>
      </c>
      <c r="AC429" s="475">
        <f t="shared" ca="1" si="209"/>
        <v>0</v>
      </c>
      <c r="AD429" s="480"/>
      <c r="AE429" s="477">
        <f t="shared" si="210"/>
        <v>0</v>
      </c>
      <c r="AF429" s="480"/>
      <c r="AG429" s="477">
        <f t="shared" si="211"/>
        <v>0</v>
      </c>
      <c r="AH429" s="480"/>
      <c r="AI429" s="477">
        <f t="shared" si="212"/>
        <v>0</v>
      </c>
      <c r="AJ429" s="480"/>
      <c r="AK429" s="477">
        <f t="shared" ca="1" si="213"/>
        <v>0</v>
      </c>
      <c r="AL429" s="475">
        <f t="shared" ca="1" si="214"/>
        <v>0</v>
      </c>
      <c r="AM429" s="480"/>
      <c r="AN429" s="477">
        <f t="shared" si="215"/>
        <v>0</v>
      </c>
      <c r="AO429" s="480"/>
      <c r="AP429" s="477">
        <f t="shared" si="216"/>
        <v>0</v>
      </c>
      <c r="AQ429" s="480"/>
      <c r="AR429" s="477">
        <f t="shared" si="217"/>
        <v>0</v>
      </c>
      <c r="AS429" s="480"/>
      <c r="AT429" s="477">
        <f t="shared" ca="1" si="218"/>
        <v>0</v>
      </c>
      <c r="AU429" s="475">
        <f t="shared" ca="1" si="219"/>
        <v>0</v>
      </c>
      <c r="AV429" s="480"/>
      <c r="AW429" s="477">
        <f t="shared" si="220"/>
        <v>0</v>
      </c>
      <c r="AX429" s="480"/>
      <c r="AY429" s="477">
        <f t="shared" si="221"/>
        <v>0</v>
      </c>
      <c r="AZ429" s="480"/>
      <c r="BA429" s="477">
        <f t="shared" si="222"/>
        <v>0</v>
      </c>
      <c r="BB429" s="480"/>
      <c r="BC429" s="850">
        <f t="shared" ca="1" si="223"/>
        <v>0</v>
      </c>
    </row>
    <row r="430" spans="1:55">
      <c r="A430" s="837" t="str">
        <f t="shared" si="195"/>
        <v/>
      </c>
      <c r="B430" s="440"/>
      <c r="C430" s="834" t="str">
        <f t="shared" ca="1" si="196"/>
        <v/>
      </c>
      <c r="D430" s="1757" t="str">
        <f ca="1">IFERROR(VLOOKUP(LEFT(E430,4),Nom_activ_2!D:G,4,0),"")</f>
        <v/>
      </c>
      <c r="E430" s="1757" t="str">
        <f t="shared" ca="1" si="197"/>
        <v/>
      </c>
      <c r="F430" s="1777">
        <f t="shared" ca="1" si="225"/>
        <v>0</v>
      </c>
      <c r="G430" s="839">
        <f t="shared" ca="1" si="225"/>
        <v>0</v>
      </c>
      <c r="H430" s="840">
        <f t="shared" ca="1" si="225"/>
        <v>0</v>
      </c>
      <c r="I430" s="443"/>
      <c r="J430" s="838" t="str">
        <f t="shared" si="198"/>
        <v>!$A:$j</v>
      </c>
      <c r="K430" s="475">
        <f t="shared" ca="1" si="199"/>
        <v>0</v>
      </c>
      <c r="L430" s="480"/>
      <c r="M430" s="477">
        <f t="shared" si="200"/>
        <v>0</v>
      </c>
      <c r="N430" s="480"/>
      <c r="O430" s="477">
        <f t="shared" si="201"/>
        <v>0</v>
      </c>
      <c r="P430" s="480"/>
      <c r="Q430" s="477">
        <f t="shared" si="202"/>
        <v>0</v>
      </c>
      <c r="R430" s="480"/>
      <c r="S430" s="477">
        <f t="shared" ca="1" si="203"/>
        <v>0</v>
      </c>
      <c r="T430" s="475">
        <f t="shared" ca="1" si="204"/>
        <v>0</v>
      </c>
      <c r="U430" s="480"/>
      <c r="V430" s="477">
        <f t="shared" si="205"/>
        <v>0</v>
      </c>
      <c r="W430" s="480"/>
      <c r="X430" s="477">
        <f t="shared" si="206"/>
        <v>0</v>
      </c>
      <c r="Y430" s="480"/>
      <c r="Z430" s="477">
        <f t="shared" si="207"/>
        <v>0</v>
      </c>
      <c r="AA430" s="480"/>
      <c r="AB430" s="477">
        <f t="shared" ca="1" si="208"/>
        <v>0</v>
      </c>
      <c r="AC430" s="475">
        <f t="shared" ca="1" si="209"/>
        <v>0</v>
      </c>
      <c r="AD430" s="480"/>
      <c r="AE430" s="477">
        <f t="shared" si="210"/>
        <v>0</v>
      </c>
      <c r="AF430" s="480"/>
      <c r="AG430" s="477">
        <f t="shared" si="211"/>
        <v>0</v>
      </c>
      <c r="AH430" s="480"/>
      <c r="AI430" s="477">
        <f t="shared" si="212"/>
        <v>0</v>
      </c>
      <c r="AJ430" s="480"/>
      <c r="AK430" s="477">
        <f t="shared" ca="1" si="213"/>
        <v>0</v>
      </c>
      <c r="AL430" s="475">
        <f t="shared" ca="1" si="214"/>
        <v>0</v>
      </c>
      <c r="AM430" s="480"/>
      <c r="AN430" s="477">
        <f t="shared" si="215"/>
        <v>0</v>
      </c>
      <c r="AO430" s="480"/>
      <c r="AP430" s="477">
        <f t="shared" si="216"/>
        <v>0</v>
      </c>
      <c r="AQ430" s="480"/>
      <c r="AR430" s="477">
        <f t="shared" si="217"/>
        <v>0</v>
      </c>
      <c r="AS430" s="480"/>
      <c r="AT430" s="477">
        <f t="shared" ca="1" si="218"/>
        <v>0</v>
      </c>
      <c r="AU430" s="475">
        <f t="shared" ca="1" si="219"/>
        <v>0</v>
      </c>
      <c r="AV430" s="480"/>
      <c r="AW430" s="477">
        <f t="shared" si="220"/>
        <v>0</v>
      </c>
      <c r="AX430" s="480"/>
      <c r="AY430" s="477">
        <f t="shared" si="221"/>
        <v>0</v>
      </c>
      <c r="AZ430" s="480"/>
      <c r="BA430" s="477">
        <f t="shared" si="222"/>
        <v>0</v>
      </c>
      <c r="BB430" s="480"/>
      <c r="BC430" s="850">
        <f t="shared" ca="1" si="223"/>
        <v>0</v>
      </c>
    </row>
    <row r="431" spans="1:55">
      <c r="A431" s="837" t="str">
        <f t="shared" si="195"/>
        <v/>
      </c>
      <c r="B431" s="440"/>
      <c r="C431" s="834" t="str">
        <f t="shared" ca="1" si="196"/>
        <v/>
      </c>
      <c r="D431" s="1757" t="str">
        <f ca="1">IFERROR(VLOOKUP(LEFT(E431,4),Nom_activ_2!D:G,4,0),"")</f>
        <v/>
      </c>
      <c r="E431" s="1757" t="str">
        <f t="shared" ca="1" si="197"/>
        <v/>
      </c>
      <c r="F431" s="1777">
        <f t="shared" ca="1" si="225"/>
        <v>0</v>
      </c>
      <c r="G431" s="839">
        <f t="shared" ca="1" si="225"/>
        <v>0</v>
      </c>
      <c r="H431" s="840">
        <f t="shared" ca="1" si="225"/>
        <v>0</v>
      </c>
      <c r="I431" s="443"/>
      <c r="J431" s="838" t="str">
        <f t="shared" si="198"/>
        <v>!$A:$j</v>
      </c>
      <c r="K431" s="475">
        <f t="shared" ca="1" si="199"/>
        <v>0</v>
      </c>
      <c r="L431" s="480"/>
      <c r="M431" s="477">
        <f t="shared" si="200"/>
        <v>0</v>
      </c>
      <c r="N431" s="480"/>
      <c r="O431" s="477">
        <f t="shared" si="201"/>
        <v>0</v>
      </c>
      <c r="P431" s="480"/>
      <c r="Q431" s="477">
        <f t="shared" si="202"/>
        <v>0</v>
      </c>
      <c r="R431" s="480"/>
      <c r="S431" s="477">
        <f t="shared" ca="1" si="203"/>
        <v>0</v>
      </c>
      <c r="T431" s="475">
        <f t="shared" ca="1" si="204"/>
        <v>0</v>
      </c>
      <c r="U431" s="480"/>
      <c r="V431" s="477">
        <f t="shared" si="205"/>
        <v>0</v>
      </c>
      <c r="W431" s="480"/>
      <c r="X431" s="477">
        <f t="shared" si="206"/>
        <v>0</v>
      </c>
      <c r="Y431" s="480"/>
      <c r="Z431" s="477">
        <f t="shared" si="207"/>
        <v>0</v>
      </c>
      <c r="AA431" s="480"/>
      <c r="AB431" s="477">
        <f t="shared" ca="1" si="208"/>
        <v>0</v>
      </c>
      <c r="AC431" s="475">
        <f t="shared" ca="1" si="209"/>
        <v>0</v>
      </c>
      <c r="AD431" s="480"/>
      <c r="AE431" s="477">
        <f t="shared" si="210"/>
        <v>0</v>
      </c>
      <c r="AF431" s="480"/>
      <c r="AG431" s="477">
        <f t="shared" si="211"/>
        <v>0</v>
      </c>
      <c r="AH431" s="480"/>
      <c r="AI431" s="477">
        <f t="shared" si="212"/>
        <v>0</v>
      </c>
      <c r="AJ431" s="480"/>
      <c r="AK431" s="477">
        <f t="shared" ca="1" si="213"/>
        <v>0</v>
      </c>
      <c r="AL431" s="475">
        <f t="shared" ca="1" si="214"/>
        <v>0</v>
      </c>
      <c r="AM431" s="480"/>
      <c r="AN431" s="477">
        <f t="shared" si="215"/>
        <v>0</v>
      </c>
      <c r="AO431" s="480"/>
      <c r="AP431" s="477">
        <f t="shared" si="216"/>
        <v>0</v>
      </c>
      <c r="AQ431" s="480"/>
      <c r="AR431" s="477">
        <f t="shared" si="217"/>
        <v>0</v>
      </c>
      <c r="AS431" s="480"/>
      <c r="AT431" s="477">
        <f t="shared" ca="1" si="218"/>
        <v>0</v>
      </c>
      <c r="AU431" s="475">
        <f t="shared" ca="1" si="219"/>
        <v>0</v>
      </c>
      <c r="AV431" s="480"/>
      <c r="AW431" s="477">
        <f t="shared" si="220"/>
        <v>0</v>
      </c>
      <c r="AX431" s="480"/>
      <c r="AY431" s="477">
        <f t="shared" si="221"/>
        <v>0</v>
      </c>
      <c r="AZ431" s="480"/>
      <c r="BA431" s="477">
        <f t="shared" si="222"/>
        <v>0</v>
      </c>
      <c r="BB431" s="480"/>
      <c r="BC431" s="850">
        <f t="shared" ca="1" si="223"/>
        <v>0</v>
      </c>
    </row>
    <row r="432" spans="1:55">
      <c r="A432" s="837" t="str">
        <f t="shared" si="195"/>
        <v/>
      </c>
      <c r="B432" s="440"/>
      <c r="C432" s="834" t="str">
        <f t="shared" ca="1" si="196"/>
        <v/>
      </c>
      <c r="D432" s="1757" t="str">
        <f ca="1">IFERROR(VLOOKUP(LEFT(E432,4),Nom_activ_2!D:G,4,0),"")</f>
        <v/>
      </c>
      <c r="E432" s="1757" t="str">
        <f t="shared" ca="1" si="197"/>
        <v/>
      </c>
      <c r="F432" s="1777">
        <f t="shared" ca="1" si="225"/>
        <v>0</v>
      </c>
      <c r="G432" s="839">
        <f t="shared" ca="1" si="225"/>
        <v>0</v>
      </c>
      <c r="H432" s="840">
        <f t="shared" ca="1" si="225"/>
        <v>0</v>
      </c>
      <c r="I432" s="443"/>
      <c r="J432" s="838" t="str">
        <f t="shared" si="198"/>
        <v>!$A:$j</v>
      </c>
      <c r="K432" s="475">
        <f t="shared" ca="1" si="199"/>
        <v>0</v>
      </c>
      <c r="L432" s="480"/>
      <c r="M432" s="477">
        <f t="shared" si="200"/>
        <v>0</v>
      </c>
      <c r="N432" s="480"/>
      <c r="O432" s="477">
        <f t="shared" si="201"/>
        <v>0</v>
      </c>
      <c r="P432" s="480"/>
      <c r="Q432" s="477">
        <f t="shared" si="202"/>
        <v>0</v>
      </c>
      <c r="R432" s="480"/>
      <c r="S432" s="477">
        <f t="shared" ca="1" si="203"/>
        <v>0</v>
      </c>
      <c r="T432" s="475">
        <f t="shared" ca="1" si="204"/>
        <v>0</v>
      </c>
      <c r="U432" s="480"/>
      <c r="V432" s="477">
        <f t="shared" si="205"/>
        <v>0</v>
      </c>
      <c r="W432" s="480"/>
      <c r="X432" s="477">
        <f t="shared" si="206"/>
        <v>0</v>
      </c>
      <c r="Y432" s="480"/>
      <c r="Z432" s="477">
        <f t="shared" si="207"/>
        <v>0</v>
      </c>
      <c r="AA432" s="480"/>
      <c r="AB432" s="477">
        <f t="shared" ca="1" si="208"/>
        <v>0</v>
      </c>
      <c r="AC432" s="475">
        <f t="shared" ca="1" si="209"/>
        <v>0</v>
      </c>
      <c r="AD432" s="480"/>
      <c r="AE432" s="477">
        <f t="shared" si="210"/>
        <v>0</v>
      </c>
      <c r="AF432" s="480"/>
      <c r="AG432" s="477">
        <f t="shared" si="211"/>
        <v>0</v>
      </c>
      <c r="AH432" s="480"/>
      <c r="AI432" s="477">
        <f t="shared" si="212"/>
        <v>0</v>
      </c>
      <c r="AJ432" s="480"/>
      <c r="AK432" s="477">
        <f t="shared" ca="1" si="213"/>
        <v>0</v>
      </c>
      <c r="AL432" s="475">
        <f t="shared" ca="1" si="214"/>
        <v>0</v>
      </c>
      <c r="AM432" s="480"/>
      <c r="AN432" s="477">
        <f t="shared" si="215"/>
        <v>0</v>
      </c>
      <c r="AO432" s="480"/>
      <c r="AP432" s="477">
        <f t="shared" si="216"/>
        <v>0</v>
      </c>
      <c r="AQ432" s="480"/>
      <c r="AR432" s="477">
        <f t="shared" si="217"/>
        <v>0</v>
      </c>
      <c r="AS432" s="480"/>
      <c r="AT432" s="477">
        <f t="shared" ca="1" si="218"/>
        <v>0</v>
      </c>
      <c r="AU432" s="475">
        <f t="shared" ca="1" si="219"/>
        <v>0</v>
      </c>
      <c r="AV432" s="480"/>
      <c r="AW432" s="477">
        <f t="shared" si="220"/>
        <v>0</v>
      </c>
      <c r="AX432" s="480"/>
      <c r="AY432" s="477">
        <f t="shared" si="221"/>
        <v>0</v>
      </c>
      <c r="AZ432" s="480"/>
      <c r="BA432" s="477">
        <f t="shared" si="222"/>
        <v>0</v>
      </c>
      <c r="BB432" s="480"/>
      <c r="BC432" s="850">
        <f t="shared" ca="1" si="223"/>
        <v>0</v>
      </c>
    </row>
    <row r="433" spans="1:55">
      <c r="A433" s="837" t="str">
        <f t="shared" si="195"/>
        <v/>
      </c>
      <c r="B433" s="440"/>
      <c r="C433" s="834" t="str">
        <f t="shared" ca="1" si="196"/>
        <v/>
      </c>
      <c r="D433" s="1757" t="str">
        <f ca="1">IFERROR(VLOOKUP(LEFT(E433,4),Nom_activ_2!D:G,4,0),"")</f>
        <v/>
      </c>
      <c r="E433" s="1757" t="str">
        <f t="shared" ca="1" si="197"/>
        <v/>
      </c>
      <c r="F433" s="1777">
        <f t="shared" ca="1" si="225"/>
        <v>0</v>
      </c>
      <c r="G433" s="839">
        <f t="shared" ca="1" si="225"/>
        <v>0</v>
      </c>
      <c r="H433" s="840">
        <f t="shared" ca="1" si="225"/>
        <v>0</v>
      </c>
      <c r="I433" s="443"/>
      <c r="J433" s="838" t="str">
        <f t="shared" si="198"/>
        <v>!$A:$j</v>
      </c>
      <c r="K433" s="475">
        <f t="shared" ca="1" si="199"/>
        <v>0</v>
      </c>
      <c r="L433" s="480"/>
      <c r="M433" s="477">
        <f t="shared" si="200"/>
        <v>0</v>
      </c>
      <c r="N433" s="480"/>
      <c r="O433" s="477">
        <f t="shared" si="201"/>
        <v>0</v>
      </c>
      <c r="P433" s="480"/>
      <c r="Q433" s="477">
        <f t="shared" si="202"/>
        <v>0</v>
      </c>
      <c r="R433" s="480"/>
      <c r="S433" s="477">
        <f t="shared" ca="1" si="203"/>
        <v>0</v>
      </c>
      <c r="T433" s="475">
        <f t="shared" ca="1" si="204"/>
        <v>0</v>
      </c>
      <c r="U433" s="480"/>
      <c r="V433" s="477">
        <f t="shared" si="205"/>
        <v>0</v>
      </c>
      <c r="W433" s="480"/>
      <c r="X433" s="477">
        <f t="shared" si="206"/>
        <v>0</v>
      </c>
      <c r="Y433" s="480"/>
      <c r="Z433" s="477">
        <f t="shared" si="207"/>
        <v>0</v>
      </c>
      <c r="AA433" s="480"/>
      <c r="AB433" s="477">
        <f t="shared" ca="1" si="208"/>
        <v>0</v>
      </c>
      <c r="AC433" s="475">
        <f t="shared" ca="1" si="209"/>
        <v>0</v>
      </c>
      <c r="AD433" s="480"/>
      <c r="AE433" s="477">
        <f t="shared" si="210"/>
        <v>0</v>
      </c>
      <c r="AF433" s="480"/>
      <c r="AG433" s="477">
        <f t="shared" si="211"/>
        <v>0</v>
      </c>
      <c r="AH433" s="480"/>
      <c r="AI433" s="477">
        <f t="shared" si="212"/>
        <v>0</v>
      </c>
      <c r="AJ433" s="480"/>
      <c r="AK433" s="477">
        <f t="shared" ca="1" si="213"/>
        <v>0</v>
      </c>
      <c r="AL433" s="475">
        <f t="shared" ca="1" si="214"/>
        <v>0</v>
      </c>
      <c r="AM433" s="480"/>
      <c r="AN433" s="477">
        <f t="shared" si="215"/>
        <v>0</v>
      </c>
      <c r="AO433" s="480"/>
      <c r="AP433" s="477">
        <f t="shared" si="216"/>
        <v>0</v>
      </c>
      <c r="AQ433" s="480"/>
      <c r="AR433" s="477">
        <f t="shared" si="217"/>
        <v>0</v>
      </c>
      <c r="AS433" s="480"/>
      <c r="AT433" s="477">
        <f t="shared" ca="1" si="218"/>
        <v>0</v>
      </c>
      <c r="AU433" s="475">
        <f t="shared" ca="1" si="219"/>
        <v>0</v>
      </c>
      <c r="AV433" s="480"/>
      <c r="AW433" s="477">
        <f t="shared" si="220"/>
        <v>0</v>
      </c>
      <c r="AX433" s="480"/>
      <c r="AY433" s="477">
        <f t="shared" si="221"/>
        <v>0</v>
      </c>
      <c r="AZ433" s="480"/>
      <c r="BA433" s="477">
        <f t="shared" si="222"/>
        <v>0</v>
      </c>
      <c r="BB433" s="480"/>
      <c r="BC433" s="850">
        <f t="shared" ca="1" si="223"/>
        <v>0</v>
      </c>
    </row>
    <row r="434" spans="1:55">
      <c r="A434" s="837" t="str">
        <f t="shared" si="195"/>
        <v/>
      </c>
      <c r="B434" s="440"/>
      <c r="C434" s="834" t="str">
        <f t="shared" ca="1" si="196"/>
        <v/>
      </c>
      <c r="D434" s="1757" t="str">
        <f ca="1">IFERROR(VLOOKUP(LEFT(E434,4),Nom_activ_2!D:G,4,0),"")</f>
        <v/>
      </c>
      <c r="E434" s="1757" t="str">
        <f t="shared" ca="1" si="197"/>
        <v/>
      </c>
      <c r="F434" s="1777">
        <f t="shared" ca="1" si="225"/>
        <v>0</v>
      </c>
      <c r="G434" s="839">
        <f t="shared" ca="1" si="225"/>
        <v>0</v>
      </c>
      <c r="H434" s="840">
        <f t="shared" ca="1" si="225"/>
        <v>0</v>
      </c>
      <c r="I434" s="443"/>
      <c r="J434" s="838" t="str">
        <f t="shared" si="198"/>
        <v>!$A:$j</v>
      </c>
      <c r="K434" s="475">
        <f t="shared" ca="1" si="199"/>
        <v>0</v>
      </c>
      <c r="L434" s="480"/>
      <c r="M434" s="477">
        <f t="shared" si="200"/>
        <v>0</v>
      </c>
      <c r="N434" s="480"/>
      <c r="O434" s="477">
        <f t="shared" si="201"/>
        <v>0</v>
      </c>
      <c r="P434" s="480"/>
      <c r="Q434" s="477">
        <f t="shared" si="202"/>
        <v>0</v>
      </c>
      <c r="R434" s="480"/>
      <c r="S434" s="477">
        <f t="shared" ca="1" si="203"/>
        <v>0</v>
      </c>
      <c r="T434" s="475">
        <f t="shared" ca="1" si="204"/>
        <v>0</v>
      </c>
      <c r="U434" s="480"/>
      <c r="V434" s="477">
        <f t="shared" si="205"/>
        <v>0</v>
      </c>
      <c r="W434" s="480"/>
      <c r="X434" s="477">
        <f t="shared" si="206"/>
        <v>0</v>
      </c>
      <c r="Y434" s="480"/>
      <c r="Z434" s="477">
        <f t="shared" si="207"/>
        <v>0</v>
      </c>
      <c r="AA434" s="480"/>
      <c r="AB434" s="477">
        <f t="shared" ca="1" si="208"/>
        <v>0</v>
      </c>
      <c r="AC434" s="475">
        <f t="shared" ca="1" si="209"/>
        <v>0</v>
      </c>
      <c r="AD434" s="480"/>
      <c r="AE434" s="477">
        <f t="shared" si="210"/>
        <v>0</v>
      </c>
      <c r="AF434" s="480"/>
      <c r="AG434" s="477">
        <f t="shared" si="211"/>
        <v>0</v>
      </c>
      <c r="AH434" s="480"/>
      <c r="AI434" s="477">
        <f t="shared" si="212"/>
        <v>0</v>
      </c>
      <c r="AJ434" s="480"/>
      <c r="AK434" s="477">
        <f t="shared" ca="1" si="213"/>
        <v>0</v>
      </c>
      <c r="AL434" s="475">
        <f t="shared" ca="1" si="214"/>
        <v>0</v>
      </c>
      <c r="AM434" s="480"/>
      <c r="AN434" s="477">
        <f t="shared" si="215"/>
        <v>0</v>
      </c>
      <c r="AO434" s="480"/>
      <c r="AP434" s="477">
        <f t="shared" si="216"/>
        <v>0</v>
      </c>
      <c r="AQ434" s="480"/>
      <c r="AR434" s="477">
        <f t="shared" si="217"/>
        <v>0</v>
      </c>
      <c r="AS434" s="480"/>
      <c r="AT434" s="477">
        <f t="shared" ca="1" si="218"/>
        <v>0</v>
      </c>
      <c r="AU434" s="475">
        <f t="shared" ca="1" si="219"/>
        <v>0</v>
      </c>
      <c r="AV434" s="480"/>
      <c r="AW434" s="477">
        <f t="shared" si="220"/>
        <v>0</v>
      </c>
      <c r="AX434" s="480"/>
      <c r="AY434" s="477">
        <f t="shared" si="221"/>
        <v>0</v>
      </c>
      <c r="AZ434" s="480"/>
      <c r="BA434" s="477">
        <f t="shared" si="222"/>
        <v>0</v>
      </c>
      <c r="BB434" s="480"/>
      <c r="BC434" s="850">
        <f t="shared" ca="1" si="223"/>
        <v>0</v>
      </c>
    </row>
    <row r="435" spans="1:55">
      <c r="A435" s="837" t="str">
        <f t="shared" si="195"/>
        <v/>
      </c>
      <c r="B435" s="440"/>
      <c r="C435" s="834" t="str">
        <f t="shared" ca="1" si="196"/>
        <v/>
      </c>
      <c r="D435" s="1757" t="str">
        <f ca="1">IFERROR(VLOOKUP(LEFT(E435,4),Nom_activ_2!D:G,4,0),"")</f>
        <v/>
      </c>
      <c r="E435" s="1757" t="str">
        <f t="shared" ca="1" si="197"/>
        <v/>
      </c>
      <c r="F435" s="1777">
        <f t="shared" ca="1" si="225"/>
        <v>0</v>
      </c>
      <c r="G435" s="839">
        <f t="shared" ca="1" si="225"/>
        <v>0</v>
      </c>
      <c r="H435" s="840">
        <f t="shared" ca="1" si="225"/>
        <v>0</v>
      </c>
      <c r="I435" s="443"/>
      <c r="J435" s="838" t="str">
        <f t="shared" si="198"/>
        <v>!$A:$j</v>
      </c>
      <c r="K435" s="475">
        <f t="shared" ca="1" si="199"/>
        <v>0</v>
      </c>
      <c r="L435" s="480"/>
      <c r="M435" s="477">
        <f t="shared" si="200"/>
        <v>0</v>
      </c>
      <c r="N435" s="480"/>
      <c r="O435" s="477">
        <f t="shared" si="201"/>
        <v>0</v>
      </c>
      <c r="P435" s="480"/>
      <c r="Q435" s="477">
        <f t="shared" si="202"/>
        <v>0</v>
      </c>
      <c r="R435" s="480"/>
      <c r="S435" s="477">
        <f t="shared" ca="1" si="203"/>
        <v>0</v>
      </c>
      <c r="T435" s="475">
        <f t="shared" ca="1" si="204"/>
        <v>0</v>
      </c>
      <c r="U435" s="480"/>
      <c r="V435" s="477">
        <f t="shared" si="205"/>
        <v>0</v>
      </c>
      <c r="W435" s="480"/>
      <c r="X435" s="477">
        <f t="shared" si="206"/>
        <v>0</v>
      </c>
      <c r="Y435" s="480"/>
      <c r="Z435" s="477">
        <f t="shared" si="207"/>
        <v>0</v>
      </c>
      <c r="AA435" s="480"/>
      <c r="AB435" s="477">
        <f t="shared" ca="1" si="208"/>
        <v>0</v>
      </c>
      <c r="AC435" s="475">
        <f t="shared" ca="1" si="209"/>
        <v>0</v>
      </c>
      <c r="AD435" s="480"/>
      <c r="AE435" s="477">
        <f t="shared" si="210"/>
        <v>0</v>
      </c>
      <c r="AF435" s="480"/>
      <c r="AG435" s="477">
        <f t="shared" si="211"/>
        <v>0</v>
      </c>
      <c r="AH435" s="480"/>
      <c r="AI435" s="477">
        <f t="shared" si="212"/>
        <v>0</v>
      </c>
      <c r="AJ435" s="480"/>
      <c r="AK435" s="477">
        <f t="shared" ca="1" si="213"/>
        <v>0</v>
      </c>
      <c r="AL435" s="475">
        <f t="shared" ca="1" si="214"/>
        <v>0</v>
      </c>
      <c r="AM435" s="480"/>
      <c r="AN435" s="477">
        <f t="shared" si="215"/>
        <v>0</v>
      </c>
      <c r="AO435" s="480"/>
      <c r="AP435" s="477">
        <f t="shared" si="216"/>
        <v>0</v>
      </c>
      <c r="AQ435" s="480"/>
      <c r="AR435" s="477">
        <f t="shared" si="217"/>
        <v>0</v>
      </c>
      <c r="AS435" s="480"/>
      <c r="AT435" s="477">
        <f t="shared" ca="1" si="218"/>
        <v>0</v>
      </c>
      <c r="AU435" s="475">
        <f t="shared" ca="1" si="219"/>
        <v>0</v>
      </c>
      <c r="AV435" s="480"/>
      <c r="AW435" s="477">
        <f t="shared" si="220"/>
        <v>0</v>
      </c>
      <c r="AX435" s="480"/>
      <c r="AY435" s="477">
        <f t="shared" si="221"/>
        <v>0</v>
      </c>
      <c r="AZ435" s="480"/>
      <c r="BA435" s="477">
        <f t="shared" si="222"/>
        <v>0</v>
      </c>
      <c r="BB435" s="480"/>
      <c r="BC435" s="850">
        <f t="shared" ca="1" si="223"/>
        <v>0</v>
      </c>
    </row>
    <row r="436" spans="1:55">
      <c r="A436" s="837" t="str">
        <f t="shared" si="195"/>
        <v/>
      </c>
      <c r="B436" s="440"/>
      <c r="C436" s="834" t="str">
        <f t="shared" ca="1" si="196"/>
        <v/>
      </c>
      <c r="D436" s="1757" t="str">
        <f ca="1">IFERROR(VLOOKUP(LEFT(E436,4),Nom_activ_2!D:G,4,0),"")</f>
        <v/>
      </c>
      <c r="E436" s="1757" t="str">
        <f t="shared" ca="1" si="197"/>
        <v/>
      </c>
      <c r="F436" s="1777">
        <f t="shared" ca="1" si="225"/>
        <v>0</v>
      </c>
      <c r="G436" s="839">
        <f t="shared" ca="1" si="225"/>
        <v>0</v>
      </c>
      <c r="H436" s="840">
        <f t="shared" ca="1" si="225"/>
        <v>0</v>
      </c>
      <c r="I436" s="443"/>
      <c r="J436" s="838" t="str">
        <f t="shared" si="198"/>
        <v>!$A:$j</v>
      </c>
      <c r="K436" s="475">
        <f t="shared" ca="1" si="199"/>
        <v>0</v>
      </c>
      <c r="L436" s="480"/>
      <c r="M436" s="477">
        <f t="shared" si="200"/>
        <v>0</v>
      </c>
      <c r="N436" s="480"/>
      <c r="O436" s="477">
        <f t="shared" si="201"/>
        <v>0</v>
      </c>
      <c r="P436" s="480"/>
      <c r="Q436" s="477">
        <f t="shared" si="202"/>
        <v>0</v>
      </c>
      <c r="R436" s="480"/>
      <c r="S436" s="477">
        <f t="shared" ca="1" si="203"/>
        <v>0</v>
      </c>
      <c r="T436" s="475">
        <f t="shared" ca="1" si="204"/>
        <v>0</v>
      </c>
      <c r="U436" s="480"/>
      <c r="V436" s="477">
        <f t="shared" si="205"/>
        <v>0</v>
      </c>
      <c r="W436" s="480"/>
      <c r="X436" s="477">
        <f t="shared" si="206"/>
        <v>0</v>
      </c>
      <c r="Y436" s="480"/>
      <c r="Z436" s="477">
        <f t="shared" si="207"/>
        <v>0</v>
      </c>
      <c r="AA436" s="480"/>
      <c r="AB436" s="477">
        <f t="shared" ca="1" si="208"/>
        <v>0</v>
      </c>
      <c r="AC436" s="475">
        <f t="shared" ca="1" si="209"/>
        <v>0</v>
      </c>
      <c r="AD436" s="480"/>
      <c r="AE436" s="477">
        <f t="shared" si="210"/>
        <v>0</v>
      </c>
      <c r="AF436" s="480"/>
      <c r="AG436" s="477">
        <f t="shared" si="211"/>
        <v>0</v>
      </c>
      <c r="AH436" s="480"/>
      <c r="AI436" s="477">
        <f t="shared" si="212"/>
        <v>0</v>
      </c>
      <c r="AJ436" s="480"/>
      <c r="AK436" s="477">
        <f t="shared" ca="1" si="213"/>
        <v>0</v>
      </c>
      <c r="AL436" s="475">
        <f t="shared" ca="1" si="214"/>
        <v>0</v>
      </c>
      <c r="AM436" s="480"/>
      <c r="AN436" s="477">
        <f t="shared" si="215"/>
        <v>0</v>
      </c>
      <c r="AO436" s="480"/>
      <c r="AP436" s="477">
        <f t="shared" si="216"/>
        <v>0</v>
      </c>
      <c r="AQ436" s="480"/>
      <c r="AR436" s="477">
        <f t="shared" si="217"/>
        <v>0</v>
      </c>
      <c r="AS436" s="480"/>
      <c r="AT436" s="477">
        <f t="shared" ca="1" si="218"/>
        <v>0</v>
      </c>
      <c r="AU436" s="475">
        <f t="shared" ca="1" si="219"/>
        <v>0</v>
      </c>
      <c r="AV436" s="480"/>
      <c r="AW436" s="477">
        <f t="shared" si="220"/>
        <v>0</v>
      </c>
      <c r="AX436" s="480"/>
      <c r="AY436" s="477">
        <f t="shared" si="221"/>
        <v>0</v>
      </c>
      <c r="AZ436" s="480"/>
      <c r="BA436" s="477">
        <f t="shared" si="222"/>
        <v>0</v>
      </c>
      <c r="BB436" s="480"/>
      <c r="BC436" s="850">
        <f t="shared" ca="1" si="223"/>
        <v>0</v>
      </c>
    </row>
    <row r="437" spans="1:55">
      <c r="A437" s="837" t="str">
        <f t="shared" si="195"/>
        <v/>
      </c>
      <c r="B437" s="440"/>
      <c r="C437" s="834" t="str">
        <f t="shared" ca="1" si="196"/>
        <v/>
      </c>
      <c r="D437" s="1757" t="str">
        <f ca="1">IFERROR(VLOOKUP(LEFT(E437,4),Nom_activ_2!D:G,4,0),"")</f>
        <v/>
      </c>
      <c r="E437" s="1757" t="str">
        <f t="shared" ca="1" si="197"/>
        <v/>
      </c>
      <c r="F437" s="1777">
        <f t="shared" ca="1" si="225"/>
        <v>0</v>
      </c>
      <c r="G437" s="839">
        <f t="shared" ca="1" si="225"/>
        <v>0</v>
      </c>
      <c r="H437" s="840">
        <f t="shared" ca="1" si="225"/>
        <v>0</v>
      </c>
      <c r="I437" s="443"/>
      <c r="J437" s="838" t="str">
        <f t="shared" si="198"/>
        <v>!$A:$j</v>
      </c>
      <c r="K437" s="475">
        <f t="shared" ca="1" si="199"/>
        <v>0</v>
      </c>
      <c r="L437" s="480"/>
      <c r="M437" s="477">
        <f t="shared" si="200"/>
        <v>0</v>
      </c>
      <c r="N437" s="480"/>
      <c r="O437" s="477">
        <f t="shared" si="201"/>
        <v>0</v>
      </c>
      <c r="P437" s="480"/>
      <c r="Q437" s="477">
        <f t="shared" si="202"/>
        <v>0</v>
      </c>
      <c r="R437" s="480"/>
      <c r="S437" s="477">
        <f t="shared" ca="1" si="203"/>
        <v>0</v>
      </c>
      <c r="T437" s="475">
        <f t="shared" ca="1" si="204"/>
        <v>0</v>
      </c>
      <c r="U437" s="480"/>
      <c r="V437" s="477">
        <f t="shared" si="205"/>
        <v>0</v>
      </c>
      <c r="W437" s="480"/>
      <c r="X437" s="477">
        <f t="shared" si="206"/>
        <v>0</v>
      </c>
      <c r="Y437" s="480"/>
      <c r="Z437" s="477">
        <f t="shared" si="207"/>
        <v>0</v>
      </c>
      <c r="AA437" s="480"/>
      <c r="AB437" s="477">
        <f t="shared" ca="1" si="208"/>
        <v>0</v>
      </c>
      <c r="AC437" s="475">
        <f t="shared" ca="1" si="209"/>
        <v>0</v>
      </c>
      <c r="AD437" s="480"/>
      <c r="AE437" s="477">
        <f t="shared" si="210"/>
        <v>0</v>
      </c>
      <c r="AF437" s="480"/>
      <c r="AG437" s="477">
        <f t="shared" si="211"/>
        <v>0</v>
      </c>
      <c r="AH437" s="480"/>
      <c r="AI437" s="477">
        <f t="shared" si="212"/>
        <v>0</v>
      </c>
      <c r="AJ437" s="480"/>
      <c r="AK437" s="477">
        <f t="shared" ca="1" si="213"/>
        <v>0</v>
      </c>
      <c r="AL437" s="475">
        <f t="shared" ca="1" si="214"/>
        <v>0</v>
      </c>
      <c r="AM437" s="480"/>
      <c r="AN437" s="477">
        <f t="shared" si="215"/>
        <v>0</v>
      </c>
      <c r="AO437" s="480"/>
      <c r="AP437" s="477">
        <f t="shared" si="216"/>
        <v>0</v>
      </c>
      <c r="AQ437" s="480"/>
      <c r="AR437" s="477">
        <f t="shared" si="217"/>
        <v>0</v>
      </c>
      <c r="AS437" s="480"/>
      <c r="AT437" s="477">
        <f t="shared" ca="1" si="218"/>
        <v>0</v>
      </c>
      <c r="AU437" s="475">
        <f t="shared" ca="1" si="219"/>
        <v>0</v>
      </c>
      <c r="AV437" s="480"/>
      <c r="AW437" s="477">
        <f t="shared" si="220"/>
        <v>0</v>
      </c>
      <c r="AX437" s="480"/>
      <c r="AY437" s="477">
        <f t="shared" si="221"/>
        <v>0</v>
      </c>
      <c r="AZ437" s="480"/>
      <c r="BA437" s="477">
        <f t="shared" si="222"/>
        <v>0</v>
      </c>
      <c r="BB437" s="480"/>
      <c r="BC437" s="850">
        <f t="shared" ca="1" si="223"/>
        <v>0</v>
      </c>
    </row>
    <row r="438" spans="1:55">
      <c r="A438" s="837" t="str">
        <f t="shared" si="195"/>
        <v/>
      </c>
      <c r="B438" s="440"/>
      <c r="C438" s="834" t="str">
        <f t="shared" ca="1" si="196"/>
        <v/>
      </c>
      <c r="D438" s="1757" t="str">
        <f ca="1">IFERROR(VLOOKUP(LEFT(E438,4),Nom_activ_2!D:G,4,0),"")</f>
        <v/>
      </c>
      <c r="E438" s="1757" t="str">
        <f t="shared" ca="1" si="197"/>
        <v/>
      </c>
      <c r="F438" s="1777">
        <f t="shared" ca="1" si="225"/>
        <v>0</v>
      </c>
      <c r="G438" s="839">
        <f t="shared" ca="1" si="225"/>
        <v>0</v>
      </c>
      <c r="H438" s="840">
        <f t="shared" ca="1" si="225"/>
        <v>0</v>
      </c>
      <c r="I438" s="443"/>
      <c r="J438" s="838" t="str">
        <f t="shared" si="198"/>
        <v>!$A:$j</v>
      </c>
      <c r="K438" s="475">
        <f t="shared" ca="1" si="199"/>
        <v>0</v>
      </c>
      <c r="L438" s="480"/>
      <c r="M438" s="477">
        <f t="shared" si="200"/>
        <v>0</v>
      </c>
      <c r="N438" s="480"/>
      <c r="O438" s="477">
        <f t="shared" si="201"/>
        <v>0</v>
      </c>
      <c r="P438" s="480"/>
      <c r="Q438" s="477">
        <f t="shared" si="202"/>
        <v>0</v>
      </c>
      <c r="R438" s="480"/>
      <c r="S438" s="477">
        <f t="shared" ca="1" si="203"/>
        <v>0</v>
      </c>
      <c r="T438" s="475">
        <f t="shared" ca="1" si="204"/>
        <v>0</v>
      </c>
      <c r="U438" s="480"/>
      <c r="V438" s="477">
        <f t="shared" si="205"/>
        <v>0</v>
      </c>
      <c r="W438" s="480"/>
      <c r="X438" s="477">
        <f t="shared" si="206"/>
        <v>0</v>
      </c>
      <c r="Y438" s="480"/>
      <c r="Z438" s="477">
        <f t="shared" si="207"/>
        <v>0</v>
      </c>
      <c r="AA438" s="480"/>
      <c r="AB438" s="477">
        <f t="shared" ca="1" si="208"/>
        <v>0</v>
      </c>
      <c r="AC438" s="475">
        <f t="shared" ca="1" si="209"/>
        <v>0</v>
      </c>
      <c r="AD438" s="480"/>
      <c r="AE438" s="477">
        <f t="shared" si="210"/>
        <v>0</v>
      </c>
      <c r="AF438" s="480"/>
      <c r="AG438" s="477">
        <f t="shared" si="211"/>
        <v>0</v>
      </c>
      <c r="AH438" s="480"/>
      <c r="AI438" s="477">
        <f t="shared" si="212"/>
        <v>0</v>
      </c>
      <c r="AJ438" s="480"/>
      <c r="AK438" s="477">
        <f t="shared" ca="1" si="213"/>
        <v>0</v>
      </c>
      <c r="AL438" s="475">
        <f t="shared" ca="1" si="214"/>
        <v>0</v>
      </c>
      <c r="AM438" s="480"/>
      <c r="AN438" s="477">
        <f t="shared" si="215"/>
        <v>0</v>
      </c>
      <c r="AO438" s="480"/>
      <c r="AP438" s="477">
        <f t="shared" si="216"/>
        <v>0</v>
      </c>
      <c r="AQ438" s="480"/>
      <c r="AR438" s="477">
        <f t="shared" si="217"/>
        <v>0</v>
      </c>
      <c r="AS438" s="480"/>
      <c r="AT438" s="477">
        <f t="shared" ca="1" si="218"/>
        <v>0</v>
      </c>
      <c r="AU438" s="475">
        <f t="shared" ca="1" si="219"/>
        <v>0</v>
      </c>
      <c r="AV438" s="480"/>
      <c r="AW438" s="477">
        <f t="shared" si="220"/>
        <v>0</v>
      </c>
      <c r="AX438" s="480"/>
      <c r="AY438" s="477">
        <f t="shared" si="221"/>
        <v>0</v>
      </c>
      <c r="AZ438" s="480"/>
      <c r="BA438" s="477">
        <f t="shared" si="222"/>
        <v>0</v>
      </c>
      <c r="BB438" s="480"/>
      <c r="BC438" s="850">
        <f t="shared" ca="1" si="223"/>
        <v>0</v>
      </c>
    </row>
    <row r="439" spans="1:55">
      <c r="A439" s="837" t="str">
        <f t="shared" si="195"/>
        <v/>
      </c>
      <c r="B439" s="440"/>
      <c r="C439" s="834" t="str">
        <f t="shared" ca="1" si="196"/>
        <v/>
      </c>
      <c r="D439" s="1757" t="str">
        <f ca="1">IFERROR(VLOOKUP(LEFT(E439,4),Nom_activ_2!D:G,4,0),"")</f>
        <v/>
      </c>
      <c r="E439" s="1757" t="str">
        <f t="shared" ca="1" si="197"/>
        <v/>
      </c>
      <c r="F439" s="1777">
        <f t="shared" ca="1" si="225"/>
        <v>0</v>
      </c>
      <c r="G439" s="839">
        <f t="shared" ca="1" si="225"/>
        <v>0</v>
      </c>
      <c r="H439" s="840">
        <f t="shared" ca="1" si="225"/>
        <v>0</v>
      </c>
      <c r="I439" s="443"/>
      <c r="J439" s="838" t="str">
        <f t="shared" si="198"/>
        <v>!$A:$j</v>
      </c>
      <c r="K439" s="475">
        <f t="shared" ca="1" si="199"/>
        <v>0</v>
      </c>
      <c r="L439" s="480"/>
      <c r="M439" s="477">
        <f t="shared" si="200"/>
        <v>0</v>
      </c>
      <c r="N439" s="480"/>
      <c r="O439" s="477">
        <f t="shared" si="201"/>
        <v>0</v>
      </c>
      <c r="P439" s="480"/>
      <c r="Q439" s="477">
        <f t="shared" si="202"/>
        <v>0</v>
      </c>
      <c r="R439" s="480"/>
      <c r="S439" s="477">
        <f t="shared" ca="1" si="203"/>
        <v>0</v>
      </c>
      <c r="T439" s="475">
        <f t="shared" ca="1" si="204"/>
        <v>0</v>
      </c>
      <c r="U439" s="480"/>
      <c r="V439" s="477">
        <f t="shared" si="205"/>
        <v>0</v>
      </c>
      <c r="W439" s="480"/>
      <c r="X439" s="477">
        <f t="shared" si="206"/>
        <v>0</v>
      </c>
      <c r="Y439" s="480"/>
      <c r="Z439" s="477">
        <f t="shared" si="207"/>
        <v>0</v>
      </c>
      <c r="AA439" s="480"/>
      <c r="AB439" s="477">
        <f t="shared" ca="1" si="208"/>
        <v>0</v>
      </c>
      <c r="AC439" s="475">
        <f t="shared" ca="1" si="209"/>
        <v>0</v>
      </c>
      <c r="AD439" s="480"/>
      <c r="AE439" s="477">
        <f t="shared" si="210"/>
        <v>0</v>
      </c>
      <c r="AF439" s="480"/>
      <c r="AG439" s="477">
        <f t="shared" si="211"/>
        <v>0</v>
      </c>
      <c r="AH439" s="480"/>
      <c r="AI439" s="477">
        <f t="shared" si="212"/>
        <v>0</v>
      </c>
      <c r="AJ439" s="480"/>
      <c r="AK439" s="477">
        <f t="shared" ca="1" si="213"/>
        <v>0</v>
      </c>
      <c r="AL439" s="475">
        <f t="shared" ca="1" si="214"/>
        <v>0</v>
      </c>
      <c r="AM439" s="480"/>
      <c r="AN439" s="477">
        <f t="shared" si="215"/>
        <v>0</v>
      </c>
      <c r="AO439" s="480"/>
      <c r="AP439" s="477">
        <f t="shared" si="216"/>
        <v>0</v>
      </c>
      <c r="AQ439" s="480"/>
      <c r="AR439" s="477">
        <f t="shared" si="217"/>
        <v>0</v>
      </c>
      <c r="AS439" s="480"/>
      <c r="AT439" s="477">
        <f t="shared" ca="1" si="218"/>
        <v>0</v>
      </c>
      <c r="AU439" s="475">
        <f t="shared" ca="1" si="219"/>
        <v>0</v>
      </c>
      <c r="AV439" s="480"/>
      <c r="AW439" s="477">
        <f t="shared" si="220"/>
        <v>0</v>
      </c>
      <c r="AX439" s="480"/>
      <c r="AY439" s="477">
        <f t="shared" si="221"/>
        <v>0</v>
      </c>
      <c r="AZ439" s="480"/>
      <c r="BA439" s="477">
        <f t="shared" si="222"/>
        <v>0</v>
      </c>
      <c r="BB439" s="480"/>
      <c r="BC439" s="850">
        <f t="shared" ca="1" si="223"/>
        <v>0</v>
      </c>
    </row>
    <row r="440" spans="1:55">
      <c r="A440" s="837" t="str">
        <f t="shared" si="195"/>
        <v/>
      </c>
      <c r="B440" s="440"/>
      <c r="C440" s="834" t="str">
        <f t="shared" ca="1" si="196"/>
        <v/>
      </c>
      <c r="D440" s="1757" t="str">
        <f ca="1">IFERROR(VLOOKUP(LEFT(E440,4),Nom_activ_2!D:G,4,0),"")</f>
        <v/>
      </c>
      <c r="E440" s="1757" t="str">
        <f t="shared" ca="1" si="197"/>
        <v/>
      </c>
      <c r="F440" s="1777">
        <f t="shared" ca="1" si="225"/>
        <v>0</v>
      </c>
      <c r="G440" s="839">
        <f t="shared" ca="1" si="225"/>
        <v>0</v>
      </c>
      <c r="H440" s="840">
        <f t="shared" ca="1" si="225"/>
        <v>0</v>
      </c>
      <c r="I440" s="443"/>
      <c r="J440" s="838" t="str">
        <f t="shared" si="198"/>
        <v>!$A:$j</v>
      </c>
      <c r="K440" s="475">
        <f t="shared" ca="1" si="199"/>
        <v>0</v>
      </c>
      <c r="L440" s="480"/>
      <c r="M440" s="477">
        <f t="shared" si="200"/>
        <v>0</v>
      </c>
      <c r="N440" s="480"/>
      <c r="O440" s="477">
        <f t="shared" si="201"/>
        <v>0</v>
      </c>
      <c r="P440" s="480"/>
      <c r="Q440" s="477">
        <f t="shared" si="202"/>
        <v>0</v>
      </c>
      <c r="R440" s="480"/>
      <c r="S440" s="477">
        <f t="shared" ca="1" si="203"/>
        <v>0</v>
      </c>
      <c r="T440" s="475">
        <f t="shared" ca="1" si="204"/>
        <v>0</v>
      </c>
      <c r="U440" s="480"/>
      <c r="V440" s="477">
        <f t="shared" si="205"/>
        <v>0</v>
      </c>
      <c r="W440" s="480"/>
      <c r="X440" s="477">
        <f t="shared" si="206"/>
        <v>0</v>
      </c>
      <c r="Y440" s="480"/>
      <c r="Z440" s="477">
        <f t="shared" si="207"/>
        <v>0</v>
      </c>
      <c r="AA440" s="480"/>
      <c r="AB440" s="477">
        <f t="shared" ca="1" si="208"/>
        <v>0</v>
      </c>
      <c r="AC440" s="475">
        <f t="shared" ca="1" si="209"/>
        <v>0</v>
      </c>
      <c r="AD440" s="480"/>
      <c r="AE440" s="477">
        <f t="shared" si="210"/>
        <v>0</v>
      </c>
      <c r="AF440" s="480"/>
      <c r="AG440" s="477">
        <f t="shared" si="211"/>
        <v>0</v>
      </c>
      <c r="AH440" s="480"/>
      <c r="AI440" s="477">
        <f t="shared" si="212"/>
        <v>0</v>
      </c>
      <c r="AJ440" s="480"/>
      <c r="AK440" s="477">
        <f t="shared" ca="1" si="213"/>
        <v>0</v>
      </c>
      <c r="AL440" s="475">
        <f t="shared" ca="1" si="214"/>
        <v>0</v>
      </c>
      <c r="AM440" s="480"/>
      <c r="AN440" s="477">
        <f t="shared" si="215"/>
        <v>0</v>
      </c>
      <c r="AO440" s="480"/>
      <c r="AP440" s="477">
        <f t="shared" si="216"/>
        <v>0</v>
      </c>
      <c r="AQ440" s="480"/>
      <c r="AR440" s="477">
        <f t="shared" si="217"/>
        <v>0</v>
      </c>
      <c r="AS440" s="480"/>
      <c r="AT440" s="477">
        <f t="shared" ca="1" si="218"/>
        <v>0</v>
      </c>
      <c r="AU440" s="475">
        <f t="shared" ca="1" si="219"/>
        <v>0</v>
      </c>
      <c r="AV440" s="480"/>
      <c r="AW440" s="477">
        <f t="shared" si="220"/>
        <v>0</v>
      </c>
      <c r="AX440" s="480"/>
      <c r="AY440" s="477">
        <f t="shared" si="221"/>
        <v>0</v>
      </c>
      <c r="AZ440" s="480"/>
      <c r="BA440" s="477">
        <f t="shared" si="222"/>
        <v>0</v>
      </c>
      <c r="BB440" s="480"/>
      <c r="BC440" s="850">
        <f t="shared" ca="1" si="223"/>
        <v>0</v>
      </c>
    </row>
    <row r="441" spans="1:55">
      <c r="A441" s="837" t="str">
        <f t="shared" si="195"/>
        <v/>
      </c>
      <c r="B441" s="440"/>
      <c r="C441" s="834" t="str">
        <f t="shared" ca="1" si="196"/>
        <v/>
      </c>
      <c r="D441" s="1757" t="str">
        <f ca="1">IFERROR(VLOOKUP(LEFT(E441,4),Nom_activ_2!D:G,4,0),"")</f>
        <v/>
      </c>
      <c r="E441" s="1757" t="str">
        <f t="shared" ca="1" si="197"/>
        <v/>
      </c>
      <c r="F441" s="1777">
        <f t="shared" ca="1" si="225"/>
        <v>0</v>
      </c>
      <c r="G441" s="839">
        <f t="shared" ca="1" si="225"/>
        <v>0</v>
      </c>
      <c r="H441" s="840">
        <f t="shared" ca="1" si="225"/>
        <v>0</v>
      </c>
      <c r="I441" s="443"/>
      <c r="J441" s="838" t="str">
        <f t="shared" si="198"/>
        <v>!$A:$j</v>
      </c>
      <c r="K441" s="475">
        <f t="shared" ca="1" si="199"/>
        <v>0</v>
      </c>
      <c r="L441" s="480"/>
      <c r="M441" s="477">
        <f t="shared" si="200"/>
        <v>0</v>
      </c>
      <c r="N441" s="480"/>
      <c r="O441" s="477">
        <f t="shared" si="201"/>
        <v>0</v>
      </c>
      <c r="P441" s="480"/>
      <c r="Q441" s="477">
        <f t="shared" si="202"/>
        <v>0</v>
      </c>
      <c r="R441" s="480"/>
      <c r="S441" s="477">
        <f t="shared" ca="1" si="203"/>
        <v>0</v>
      </c>
      <c r="T441" s="475">
        <f t="shared" ca="1" si="204"/>
        <v>0</v>
      </c>
      <c r="U441" s="480"/>
      <c r="V441" s="477">
        <f t="shared" si="205"/>
        <v>0</v>
      </c>
      <c r="W441" s="480"/>
      <c r="X441" s="477">
        <f t="shared" si="206"/>
        <v>0</v>
      </c>
      <c r="Y441" s="480"/>
      <c r="Z441" s="477">
        <f t="shared" si="207"/>
        <v>0</v>
      </c>
      <c r="AA441" s="480"/>
      <c r="AB441" s="477">
        <f t="shared" ca="1" si="208"/>
        <v>0</v>
      </c>
      <c r="AC441" s="475">
        <f t="shared" ca="1" si="209"/>
        <v>0</v>
      </c>
      <c r="AD441" s="480"/>
      <c r="AE441" s="477">
        <f t="shared" si="210"/>
        <v>0</v>
      </c>
      <c r="AF441" s="480"/>
      <c r="AG441" s="477">
        <f t="shared" si="211"/>
        <v>0</v>
      </c>
      <c r="AH441" s="480"/>
      <c r="AI441" s="477">
        <f t="shared" si="212"/>
        <v>0</v>
      </c>
      <c r="AJ441" s="480"/>
      <c r="AK441" s="477">
        <f t="shared" ca="1" si="213"/>
        <v>0</v>
      </c>
      <c r="AL441" s="475">
        <f t="shared" ca="1" si="214"/>
        <v>0</v>
      </c>
      <c r="AM441" s="480"/>
      <c r="AN441" s="477">
        <f t="shared" si="215"/>
        <v>0</v>
      </c>
      <c r="AO441" s="480"/>
      <c r="AP441" s="477">
        <f t="shared" si="216"/>
        <v>0</v>
      </c>
      <c r="AQ441" s="480"/>
      <c r="AR441" s="477">
        <f t="shared" si="217"/>
        <v>0</v>
      </c>
      <c r="AS441" s="480"/>
      <c r="AT441" s="477">
        <f t="shared" ca="1" si="218"/>
        <v>0</v>
      </c>
      <c r="AU441" s="475">
        <f t="shared" ca="1" si="219"/>
        <v>0</v>
      </c>
      <c r="AV441" s="480"/>
      <c r="AW441" s="477">
        <f t="shared" si="220"/>
        <v>0</v>
      </c>
      <c r="AX441" s="480"/>
      <c r="AY441" s="477">
        <f t="shared" si="221"/>
        <v>0</v>
      </c>
      <c r="AZ441" s="480"/>
      <c r="BA441" s="477">
        <f t="shared" si="222"/>
        <v>0</v>
      </c>
      <c r="BB441" s="480"/>
      <c r="BC441" s="850">
        <f t="shared" ca="1" si="223"/>
        <v>0</v>
      </c>
    </row>
    <row r="442" spans="1:55">
      <c r="A442" s="837" t="str">
        <f t="shared" si="195"/>
        <v/>
      </c>
      <c r="B442" s="440"/>
      <c r="C442" s="834" t="str">
        <f t="shared" ca="1" si="196"/>
        <v/>
      </c>
      <c r="D442" s="1757" t="str">
        <f ca="1">IFERROR(VLOOKUP(LEFT(E442,4),Nom_activ_2!D:G,4,0),"")</f>
        <v/>
      </c>
      <c r="E442" s="1757" t="str">
        <f t="shared" ca="1" si="197"/>
        <v/>
      </c>
      <c r="F442" s="1777">
        <f t="shared" ca="1" si="225"/>
        <v>0</v>
      </c>
      <c r="G442" s="839">
        <f t="shared" ca="1" si="225"/>
        <v>0</v>
      </c>
      <c r="H442" s="840">
        <f t="shared" ca="1" si="225"/>
        <v>0</v>
      </c>
      <c r="I442" s="443"/>
      <c r="J442" s="838" t="str">
        <f t="shared" si="198"/>
        <v>!$A:$j</v>
      </c>
      <c r="K442" s="475">
        <f t="shared" ca="1" si="199"/>
        <v>0</v>
      </c>
      <c r="L442" s="480"/>
      <c r="M442" s="477">
        <f t="shared" si="200"/>
        <v>0</v>
      </c>
      <c r="N442" s="480"/>
      <c r="O442" s="477">
        <f t="shared" si="201"/>
        <v>0</v>
      </c>
      <c r="P442" s="480"/>
      <c r="Q442" s="477">
        <f t="shared" si="202"/>
        <v>0</v>
      </c>
      <c r="R442" s="480"/>
      <c r="S442" s="477">
        <f t="shared" ca="1" si="203"/>
        <v>0</v>
      </c>
      <c r="T442" s="475">
        <f t="shared" ca="1" si="204"/>
        <v>0</v>
      </c>
      <c r="U442" s="480"/>
      <c r="V442" s="477">
        <f t="shared" si="205"/>
        <v>0</v>
      </c>
      <c r="W442" s="480"/>
      <c r="X442" s="477">
        <f t="shared" si="206"/>
        <v>0</v>
      </c>
      <c r="Y442" s="480"/>
      <c r="Z442" s="477">
        <f t="shared" si="207"/>
        <v>0</v>
      </c>
      <c r="AA442" s="480"/>
      <c r="AB442" s="477">
        <f t="shared" ca="1" si="208"/>
        <v>0</v>
      </c>
      <c r="AC442" s="475">
        <f t="shared" ca="1" si="209"/>
        <v>0</v>
      </c>
      <c r="AD442" s="480"/>
      <c r="AE442" s="477">
        <f t="shared" si="210"/>
        <v>0</v>
      </c>
      <c r="AF442" s="480"/>
      <c r="AG442" s="477">
        <f t="shared" si="211"/>
        <v>0</v>
      </c>
      <c r="AH442" s="480"/>
      <c r="AI442" s="477">
        <f t="shared" si="212"/>
        <v>0</v>
      </c>
      <c r="AJ442" s="480"/>
      <c r="AK442" s="477">
        <f t="shared" ca="1" si="213"/>
        <v>0</v>
      </c>
      <c r="AL442" s="475">
        <f t="shared" ca="1" si="214"/>
        <v>0</v>
      </c>
      <c r="AM442" s="480"/>
      <c r="AN442" s="477">
        <f t="shared" si="215"/>
        <v>0</v>
      </c>
      <c r="AO442" s="480"/>
      <c r="AP442" s="477">
        <f t="shared" si="216"/>
        <v>0</v>
      </c>
      <c r="AQ442" s="480"/>
      <c r="AR442" s="477">
        <f t="shared" si="217"/>
        <v>0</v>
      </c>
      <c r="AS442" s="480"/>
      <c r="AT442" s="477">
        <f t="shared" ca="1" si="218"/>
        <v>0</v>
      </c>
      <c r="AU442" s="475">
        <f t="shared" ca="1" si="219"/>
        <v>0</v>
      </c>
      <c r="AV442" s="480"/>
      <c r="AW442" s="477">
        <f t="shared" si="220"/>
        <v>0</v>
      </c>
      <c r="AX442" s="480"/>
      <c r="AY442" s="477">
        <f t="shared" si="221"/>
        <v>0</v>
      </c>
      <c r="AZ442" s="480"/>
      <c r="BA442" s="477">
        <f t="shared" si="222"/>
        <v>0</v>
      </c>
      <c r="BB442" s="480"/>
      <c r="BC442" s="850">
        <f t="shared" ca="1" si="223"/>
        <v>0</v>
      </c>
    </row>
    <row r="443" spans="1:55">
      <c r="A443" s="837" t="str">
        <f t="shared" si="195"/>
        <v/>
      </c>
      <c r="B443" s="440"/>
      <c r="C443" s="834" t="str">
        <f t="shared" ca="1" si="196"/>
        <v/>
      </c>
      <c r="D443" s="1757" t="str">
        <f ca="1">IFERROR(VLOOKUP(LEFT(E443,4),Nom_activ_2!D:G,4,0),"")</f>
        <v/>
      </c>
      <c r="E443" s="1757" t="str">
        <f t="shared" ca="1" si="197"/>
        <v/>
      </c>
      <c r="F443" s="1777">
        <f t="shared" ca="1" si="225"/>
        <v>0</v>
      </c>
      <c r="G443" s="839">
        <f t="shared" ca="1" si="225"/>
        <v>0</v>
      </c>
      <c r="H443" s="840">
        <f t="shared" ca="1" si="225"/>
        <v>0</v>
      </c>
      <c r="I443" s="443"/>
      <c r="J443" s="838" t="str">
        <f t="shared" si="198"/>
        <v>!$A:$j</v>
      </c>
      <c r="K443" s="475">
        <f t="shared" ca="1" si="199"/>
        <v>0</v>
      </c>
      <c r="L443" s="480"/>
      <c r="M443" s="477">
        <f t="shared" si="200"/>
        <v>0</v>
      </c>
      <c r="N443" s="480"/>
      <c r="O443" s="477">
        <f t="shared" si="201"/>
        <v>0</v>
      </c>
      <c r="P443" s="480"/>
      <c r="Q443" s="477">
        <f t="shared" si="202"/>
        <v>0</v>
      </c>
      <c r="R443" s="480"/>
      <c r="S443" s="477">
        <f t="shared" ca="1" si="203"/>
        <v>0</v>
      </c>
      <c r="T443" s="475">
        <f t="shared" ca="1" si="204"/>
        <v>0</v>
      </c>
      <c r="U443" s="480"/>
      <c r="V443" s="477">
        <f t="shared" si="205"/>
        <v>0</v>
      </c>
      <c r="W443" s="480"/>
      <c r="X443" s="477">
        <f t="shared" si="206"/>
        <v>0</v>
      </c>
      <c r="Y443" s="480"/>
      <c r="Z443" s="477">
        <f t="shared" si="207"/>
        <v>0</v>
      </c>
      <c r="AA443" s="480"/>
      <c r="AB443" s="477">
        <f t="shared" ca="1" si="208"/>
        <v>0</v>
      </c>
      <c r="AC443" s="475">
        <f t="shared" ca="1" si="209"/>
        <v>0</v>
      </c>
      <c r="AD443" s="480"/>
      <c r="AE443" s="477">
        <f t="shared" si="210"/>
        <v>0</v>
      </c>
      <c r="AF443" s="480"/>
      <c r="AG443" s="477">
        <f t="shared" si="211"/>
        <v>0</v>
      </c>
      <c r="AH443" s="480"/>
      <c r="AI443" s="477">
        <f t="shared" si="212"/>
        <v>0</v>
      </c>
      <c r="AJ443" s="480"/>
      <c r="AK443" s="477">
        <f t="shared" ca="1" si="213"/>
        <v>0</v>
      </c>
      <c r="AL443" s="475">
        <f t="shared" ca="1" si="214"/>
        <v>0</v>
      </c>
      <c r="AM443" s="480"/>
      <c r="AN443" s="477">
        <f t="shared" si="215"/>
        <v>0</v>
      </c>
      <c r="AO443" s="480"/>
      <c r="AP443" s="477">
        <f t="shared" si="216"/>
        <v>0</v>
      </c>
      <c r="AQ443" s="480"/>
      <c r="AR443" s="477">
        <f t="shared" si="217"/>
        <v>0</v>
      </c>
      <c r="AS443" s="480"/>
      <c r="AT443" s="477">
        <f t="shared" ca="1" si="218"/>
        <v>0</v>
      </c>
      <c r="AU443" s="475">
        <f t="shared" ca="1" si="219"/>
        <v>0</v>
      </c>
      <c r="AV443" s="480"/>
      <c r="AW443" s="477">
        <f t="shared" si="220"/>
        <v>0</v>
      </c>
      <c r="AX443" s="480"/>
      <c r="AY443" s="477">
        <f t="shared" si="221"/>
        <v>0</v>
      </c>
      <c r="AZ443" s="480"/>
      <c r="BA443" s="477">
        <f t="shared" si="222"/>
        <v>0</v>
      </c>
      <c r="BB443" s="480"/>
      <c r="BC443" s="850">
        <f t="shared" ca="1" si="223"/>
        <v>0</v>
      </c>
    </row>
    <row r="444" spans="1:55">
      <c r="A444" s="837" t="str">
        <f t="shared" si="195"/>
        <v/>
      </c>
      <c r="B444" s="440"/>
      <c r="C444" s="834" t="str">
        <f t="shared" ca="1" si="196"/>
        <v/>
      </c>
      <c r="D444" s="1757" t="str">
        <f ca="1">IFERROR(VLOOKUP(LEFT(E444,4),Nom_activ_2!D:G,4,0),"")</f>
        <v/>
      </c>
      <c r="E444" s="1757" t="str">
        <f t="shared" ca="1" si="197"/>
        <v/>
      </c>
      <c r="F444" s="1777">
        <f t="shared" ca="1" si="225"/>
        <v>0</v>
      </c>
      <c r="G444" s="839">
        <f t="shared" ca="1" si="225"/>
        <v>0</v>
      </c>
      <c r="H444" s="840">
        <f t="shared" ca="1" si="225"/>
        <v>0</v>
      </c>
      <c r="I444" s="443"/>
      <c r="J444" s="838" t="str">
        <f t="shared" si="198"/>
        <v>!$A:$j</v>
      </c>
      <c r="K444" s="475">
        <f t="shared" ca="1" si="199"/>
        <v>0</v>
      </c>
      <c r="L444" s="480"/>
      <c r="M444" s="477">
        <f t="shared" si="200"/>
        <v>0</v>
      </c>
      <c r="N444" s="480"/>
      <c r="O444" s="477">
        <f t="shared" si="201"/>
        <v>0</v>
      </c>
      <c r="P444" s="480"/>
      <c r="Q444" s="477">
        <f t="shared" si="202"/>
        <v>0</v>
      </c>
      <c r="R444" s="480"/>
      <c r="S444" s="477">
        <f t="shared" ca="1" si="203"/>
        <v>0</v>
      </c>
      <c r="T444" s="475">
        <f t="shared" ca="1" si="204"/>
        <v>0</v>
      </c>
      <c r="U444" s="480"/>
      <c r="V444" s="477">
        <f t="shared" si="205"/>
        <v>0</v>
      </c>
      <c r="W444" s="480"/>
      <c r="X444" s="477">
        <f t="shared" si="206"/>
        <v>0</v>
      </c>
      <c r="Y444" s="480"/>
      <c r="Z444" s="477">
        <f t="shared" si="207"/>
        <v>0</v>
      </c>
      <c r="AA444" s="480"/>
      <c r="AB444" s="477">
        <f t="shared" ca="1" si="208"/>
        <v>0</v>
      </c>
      <c r="AC444" s="475">
        <f t="shared" ca="1" si="209"/>
        <v>0</v>
      </c>
      <c r="AD444" s="480"/>
      <c r="AE444" s="477">
        <f t="shared" si="210"/>
        <v>0</v>
      </c>
      <c r="AF444" s="480"/>
      <c r="AG444" s="477">
        <f t="shared" si="211"/>
        <v>0</v>
      </c>
      <c r="AH444" s="480"/>
      <c r="AI444" s="477">
        <f t="shared" si="212"/>
        <v>0</v>
      </c>
      <c r="AJ444" s="480"/>
      <c r="AK444" s="477">
        <f t="shared" ca="1" si="213"/>
        <v>0</v>
      </c>
      <c r="AL444" s="475">
        <f t="shared" ca="1" si="214"/>
        <v>0</v>
      </c>
      <c r="AM444" s="480"/>
      <c r="AN444" s="477">
        <f t="shared" si="215"/>
        <v>0</v>
      </c>
      <c r="AO444" s="480"/>
      <c r="AP444" s="477">
        <f t="shared" si="216"/>
        <v>0</v>
      </c>
      <c r="AQ444" s="480"/>
      <c r="AR444" s="477">
        <f t="shared" si="217"/>
        <v>0</v>
      </c>
      <c r="AS444" s="480"/>
      <c r="AT444" s="477">
        <f t="shared" ca="1" si="218"/>
        <v>0</v>
      </c>
      <c r="AU444" s="475">
        <f t="shared" ca="1" si="219"/>
        <v>0</v>
      </c>
      <c r="AV444" s="480"/>
      <c r="AW444" s="477">
        <f t="shared" si="220"/>
        <v>0</v>
      </c>
      <c r="AX444" s="480"/>
      <c r="AY444" s="477">
        <f t="shared" si="221"/>
        <v>0</v>
      </c>
      <c r="AZ444" s="480"/>
      <c r="BA444" s="477">
        <f t="shared" si="222"/>
        <v>0</v>
      </c>
      <c r="BB444" s="480"/>
      <c r="BC444" s="850">
        <f t="shared" ca="1" si="223"/>
        <v>0</v>
      </c>
    </row>
    <row r="445" spans="1:55">
      <c r="A445" s="837" t="str">
        <f t="shared" si="195"/>
        <v/>
      </c>
      <c r="B445" s="440"/>
      <c r="C445" s="834" t="str">
        <f t="shared" ca="1" si="196"/>
        <v/>
      </c>
      <c r="D445" s="1757" t="str">
        <f ca="1">IFERROR(VLOOKUP(LEFT(E445,4),Nom_activ_2!D:G,4,0),"")</f>
        <v/>
      </c>
      <c r="E445" s="1757" t="str">
        <f t="shared" ca="1" si="197"/>
        <v/>
      </c>
      <c r="F445" s="1777">
        <f t="shared" ca="1" si="225"/>
        <v>0</v>
      </c>
      <c r="G445" s="839">
        <f t="shared" ca="1" si="225"/>
        <v>0</v>
      </c>
      <c r="H445" s="840">
        <f t="shared" ca="1" si="225"/>
        <v>0</v>
      </c>
      <c r="I445" s="443"/>
      <c r="J445" s="838" t="str">
        <f t="shared" si="198"/>
        <v>!$A:$j</v>
      </c>
      <c r="K445" s="475">
        <f t="shared" ca="1" si="199"/>
        <v>0</v>
      </c>
      <c r="L445" s="480"/>
      <c r="M445" s="477">
        <f t="shared" si="200"/>
        <v>0</v>
      </c>
      <c r="N445" s="480"/>
      <c r="O445" s="477">
        <f t="shared" si="201"/>
        <v>0</v>
      </c>
      <c r="P445" s="480"/>
      <c r="Q445" s="477">
        <f t="shared" si="202"/>
        <v>0</v>
      </c>
      <c r="R445" s="480"/>
      <c r="S445" s="477">
        <f t="shared" ca="1" si="203"/>
        <v>0</v>
      </c>
      <c r="T445" s="475">
        <f t="shared" ca="1" si="204"/>
        <v>0</v>
      </c>
      <c r="U445" s="480"/>
      <c r="V445" s="477">
        <f t="shared" si="205"/>
        <v>0</v>
      </c>
      <c r="W445" s="480"/>
      <c r="X445" s="477">
        <f t="shared" si="206"/>
        <v>0</v>
      </c>
      <c r="Y445" s="480"/>
      <c r="Z445" s="477">
        <f t="shared" si="207"/>
        <v>0</v>
      </c>
      <c r="AA445" s="480"/>
      <c r="AB445" s="477">
        <f t="shared" ca="1" si="208"/>
        <v>0</v>
      </c>
      <c r="AC445" s="475">
        <f t="shared" ca="1" si="209"/>
        <v>0</v>
      </c>
      <c r="AD445" s="480"/>
      <c r="AE445" s="477">
        <f t="shared" si="210"/>
        <v>0</v>
      </c>
      <c r="AF445" s="480"/>
      <c r="AG445" s="477">
        <f t="shared" si="211"/>
        <v>0</v>
      </c>
      <c r="AH445" s="480"/>
      <c r="AI445" s="477">
        <f t="shared" si="212"/>
        <v>0</v>
      </c>
      <c r="AJ445" s="480"/>
      <c r="AK445" s="477">
        <f t="shared" ca="1" si="213"/>
        <v>0</v>
      </c>
      <c r="AL445" s="475">
        <f t="shared" ca="1" si="214"/>
        <v>0</v>
      </c>
      <c r="AM445" s="480"/>
      <c r="AN445" s="477">
        <f t="shared" si="215"/>
        <v>0</v>
      </c>
      <c r="AO445" s="480"/>
      <c r="AP445" s="477">
        <f t="shared" si="216"/>
        <v>0</v>
      </c>
      <c r="AQ445" s="480"/>
      <c r="AR445" s="477">
        <f t="shared" si="217"/>
        <v>0</v>
      </c>
      <c r="AS445" s="480"/>
      <c r="AT445" s="477">
        <f t="shared" ca="1" si="218"/>
        <v>0</v>
      </c>
      <c r="AU445" s="475">
        <f t="shared" ca="1" si="219"/>
        <v>0</v>
      </c>
      <c r="AV445" s="480"/>
      <c r="AW445" s="477">
        <f t="shared" si="220"/>
        <v>0</v>
      </c>
      <c r="AX445" s="480"/>
      <c r="AY445" s="477">
        <f t="shared" si="221"/>
        <v>0</v>
      </c>
      <c r="AZ445" s="480"/>
      <c r="BA445" s="477">
        <f t="shared" si="222"/>
        <v>0</v>
      </c>
      <c r="BB445" s="480"/>
      <c r="BC445" s="850">
        <f t="shared" ca="1" si="223"/>
        <v>0</v>
      </c>
    </row>
    <row r="446" spans="1:55">
      <c r="A446" s="837" t="str">
        <f t="shared" si="195"/>
        <v/>
      </c>
      <c r="B446" s="440"/>
      <c r="C446" s="834" t="str">
        <f t="shared" ca="1" si="196"/>
        <v/>
      </c>
      <c r="D446" s="1757" t="str">
        <f ca="1">IFERROR(VLOOKUP(LEFT(E446,4),Nom_activ_2!D:G,4,0),"")</f>
        <v/>
      </c>
      <c r="E446" s="1757" t="str">
        <f t="shared" ca="1" si="197"/>
        <v/>
      </c>
      <c r="F446" s="1777">
        <f t="shared" ca="1" si="225"/>
        <v>0</v>
      </c>
      <c r="G446" s="839">
        <f t="shared" ca="1" si="225"/>
        <v>0</v>
      </c>
      <c r="H446" s="840">
        <f t="shared" ca="1" si="225"/>
        <v>0</v>
      </c>
      <c r="I446" s="443"/>
      <c r="J446" s="838" t="str">
        <f t="shared" si="198"/>
        <v>!$A:$j</v>
      </c>
      <c r="K446" s="475">
        <f t="shared" ca="1" si="199"/>
        <v>0</v>
      </c>
      <c r="L446" s="480"/>
      <c r="M446" s="477">
        <f t="shared" si="200"/>
        <v>0</v>
      </c>
      <c r="N446" s="480"/>
      <c r="O446" s="477">
        <f t="shared" si="201"/>
        <v>0</v>
      </c>
      <c r="P446" s="480"/>
      <c r="Q446" s="477">
        <f t="shared" si="202"/>
        <v>0</v>
      </c>
      <c r="R446" s="480"/>
      <c r="S446" s="477">
        <f t="shared" ca="1" si="203"/>
        <v>0</v>
      </c>
      <c r="T446" s="475">
        <f t="shared" ca="1" si="204"/>
        <v>0</v>
      </c>
      <c r="U446" s="480"/>
      <c r="V446" s="477">
        <f t="shared" si="205"/>
        <v>0</v>
      </c>
      <c r="W446" s="480"/>
      <c r="X446" s="477">
        <f t="shared" si="206"/>
        <v>0</v>
      </c>
      <c r="Y446" s="480"/>
      <c r="Z446" s="477">
        <f t="shared" si="207"/>
        <v>0</v>
      </c>
      <c r="AA446" s="480"/>
      <c r="AB446" s="477">
        <f t="shared" ca="1" si="208"/>
        <v>0</v>
      </c>
      <c r="AC446" s="475">
        <f t="shared" ca="1" si="209"/>
        <v>0</v>
      </c>
      <c r="AD446" s="480"/>
      <c r="AE446" s="477">
        <f t="shared" si="210"/>
        <v>0</v>
      </c>
      <c r="AF446" s="480"/>
      <c r="AG446" s="477">
        <f t="shared" si="211"/>
        <v>0</v>
      </c>
      <c r="AH446" s="480"/>
      <c r="AI446" s="477">
        <f t="shared" si="212"/>
        <v>0</v>
      </c>
      <c r="AJ446" s="480"/>
      <c r="AK446" s="477">
        <f t="shared" ca="1" si="213"/>
        <v>0</v>
      </c>
      <c r="AL446" s="475">
        <f t="shared" ca="1" si="214"/>
        <v>0</v>
      </c>
      <c r="AM446" s="480"/>
      <c r="AN446" s="477">
        <f t="shared" si="215"/>
        <v>0</v>
      </c>
      <c r="AO446" s="480"/>
      <c r="AP446" s="477">
        <f t="shared" si="216"/>
        <v>0</v>
      </c>
      <c r="AQ446" s="480"/>
      <c r="AR446" s="477">
        <f t="shared" si="217"/>
        <v>0</v>
      </c>
      <c r="AS446" s="480"/>
      <c r="AT446" s="477">
        <f t="shared" ca="1" si="218"/>
        <v>0</v>
      </c>
      <c r="AU446" s="475">
        <f t="shared" ca="1" si="219"/>
        <v>0</v>
      </c>
      <c r="AV446" s="480"/>
      <c r="AW446" s="477">
        <f t="shared" si="220"/>
        <v>0</v>
      </c>
      <c r="AX446" s="480"/>
      <c r="AY446" s="477">
        <f t="shared" si="221"/>
        <v>0</v>
      </c>
      <c r="AZ446" s="480"/>
      <c r="BA446" s="477">
        <f t="shared" si="222"/>
        <v>0</v>
      </c>
      <c r="BB446" s="480"/>
      <c r="BC446" s="850">
        <f t="shared" ca="1" si="223"/>
        <v>0</v>
      </c>
    </row>
    <row r="447" spans="1:55">
      <c r="A447" s="837" t="str">
        <f t="shared" si="195"/>
        <v/>
      </c>
      <c r="B447" s="440"/>
      <c r="C447" s="834" t="str">
        <f t="shared" ca="1" si="196"/>
        <v/>
      </c>
      <c r="D447" s="1757" t="str">
        <f ca="1">IFERROR(VLOOKUP(LEFT(E447,4),Nom_activ_2!D:G,4,0),"")</f>
        <v/>
      </c>
      <c r="E447" s="1757" t="str">
        <f t="shared" ca="1" si="197"/>
        <v/>
      </c>
      <c r="F447" s="1777">
        <f t="shared" ref="F447:H466" ca="1" si="226">IFERROR(VLOOKUP($B447,INDIRECT($J447),F$5,0),0)</f>
        <v>0</v>
      </c>
      <c r="G447" s="839">
        <f t="shared" ca="1" si="226"/>
        <v>0</v>
      </c>
      <c r="H447" s="840">
        <f t="shared" ca="1" si="226"/>
        <v>0</v>
      </c>
      <c r="I447" s="443"/>
      <c r="J447" s="838" t="str">
        <f t="shared" si="198"/>
        <v>!$A:$j</v>
      </c>
      <c r="K447" s="475">
        <f t="shared" ca="1" si="199"/>
        <v>0</v>
      </c>
      <c r="L447" s="480"/>
      <c r="M447" s="477">
        <f t="shared" si="200"/>
        <v>0</v>
      </c>
      <c r="N447" s="480"/>
      <c r="O447" s="477">
        <f t="shared" si="201"/>
        <v>0</v>
      </c>
      <c r="P447" s="480"/>
      <c r="Q447" s="477">
        <f t="shared" si="202"/>
        <v>0</v>
      </c>
      <c r="R447" s="480"/>
      <c r="S447" s="477">
        <f t="shared" ca="1" si="203"/>
        <v>0</v>
      </c>
      <c r="T447" s="475">
        <f t="shared" ca="1" si="204"/>
        <v>0</v>
      </c>
      <c r="U447" s="480"/>
      <c r="V447" s="477">
        <f t="shared" si="205"/>
        <v>0</v>
      </c>
      <c r="W447" s="480"/>
      <c r="X447" s="477">
        <f t="shared" si="206"/>
        <v>0</v>
      </c>
      <c r="Y447" s="480"/>
      <c r="Z447" s="477">
        <f t="shared" si="207"/>
        <v>0</v>
      </c>
      <c r="AA447" s="480"/>
      <c r="AB447" s="477">
        <f t="shared" ca="1" si="208"/>
        <v>0</v>
      </c>
      <c r="AC447" s="475">
        <f t="shared" ca="1" si="209"/>
        <v>0</v>
      </c>
      <c r="AD447" s="480"/>
      <c r="AE447" s="477">
        <f t="shared" si="210"/>
        <v>0</v>
      </c>
      <c r="AF447" s="480"/>
      <c r="AG447" s="477">
        <f t="shared" si="211"/>
        <v>0</v>
      </c>
      <c r="AH447" s="480"/>
      <c r="AI447" s="477">
        <f t="shared" si="212"/>
        <v>0</v>
      </c>
      <c r="AJ447" s="480"/>
      <c r="AK447" s="477">
        <f t="shared" ca="1" si="213"/>
        <v>0</v>
      </c>
      <c r="AL447" s="475">
        <f t="shared" ca="1" si="214"/>
        <v>0</v>
      </c>
      <c r="AM447" s="480"/>
      <c r="AN447" s="477">
        <f t="shared" si="215"/>
        <v>0</v>
      </c>
      <c r="AO447" s="480"/>
      <c r="AP447" s="477">
        <f t="shared" si="216"/>
        <v>0</v>
      </c>
      <c r="AQ447" s="480"/>
      <c r="AR447" s="477">
        <f t="shared" si="217"/>
        <v>0</v>
      </c>
      <c r="AS447" s="480"/>
      <c r="AT447" s="477">
        <f t="shared" ca="1" si="218"/>
        <v>0</v>
      </c>
      <c r="AU447" s="475">
        <f t="shared" ca="1" si="219"/>
        <v>0</v>
      </c>
      <c r="AV447" s="480"/>
      <c r="AW447" s="477">
        <f t="shared" si="220"/>
        <v>0</v>
      </c>
      <c r="AX447" s="480"/>
      <c r="AY447" s="477">
        <f t="shared" si="221"/>
        <v>0</v>
      </c>
      <c r="AZ447" s="480"/>
      <c r="BA447" s="477">
        <f t="shared" si="222"/>
        <v>0</v>
      </c>
      <c r="BB447" s="480"/>
      <c r="BC447" s="850">
        <f t="shared" ca="1" si="223"/>
        <v>0</v>
      </c>
    </row>
    <row r="448" spans="1:55">
      <c r="A448" s="837" t="str">
        <f t="shared" si="195"/>
        <v/>
      </c>
      <c r="B448" s="440"/>
      <c r="C448" s="834" t="str">
        <f t="shared" ca="1" si="196"/>
        <v/>
      </c>
      <c r="D448" s="1757" t="str">
        <f ca="1">IFERROR(VLOOKUP(LEFT(E448,4),Nom_activ_2!D:G,4,0),"")</f>
        <v/>
      </c>
      <c r="E448" s="1757" t="str">
        <f t="shared" ca="1" si="197"/>
        <v/>
      </c>
      <c r="F448" s="1777">
        <f t="shared" ca="1" si="226"/>
        <v>0</v>
      </c>
      <c r="G448" s="839">
        <f t="shared" ca="1" si="226"/>
        <v>0</v>
      </c>
      <c r="H448" s="840">
        <f t="shared" ca="1" si="226"/>
        <v>0</v>
      </c>
      <c r="I448" s="443"/>
      <c r="J448" s="838" t="str">
        <f t="shared" si="198"/>
        <v>!$A:$j</v>
      </c>
      <c r="K448" s="475">
        <f t="shared" ca="1" si="199"/>
        <v>0</v>
      </c>
      <c r="L448" s="480"/>
      <c r="M448" s="477">
        <f t="shared" si="200"/>
        <v>0</v>
      </c>
      <c r="N448" s="480"/>
      <c r="O448" s="477">
        <f t="shared" si="201"/>
        <v>0</v>
      </c>
      <c r="P448" s="480"/>
      <c r="Q448" s="477">
        <f t="shared" si="202"/>
        <v>0</v>
      </c>
      <c r="R448" s="480"/>
      <c r="S448" s="477">
        <f t="shared" ca="1" si="203"/>
        <v>0</v>
      </c>
      <c r="T448" s="475">
        <f t="shared" ca="1" si="204"/>
        <v>0</v>
      </c>
      <c r="U448" s="480"/>
      <c r="V448" s="477">
        <f t="shared" si="205"/>
        <v>0</v>
      </c>
      <c r="W448" s="480"/>
      <c r="X448" s="477">
        <f t="shared" si="206"/>
        <v>0</v>
      </c>
      <c r="Y448" s="480"/>
      <c r="Z448" s="477">
        <f t="shared" si="207"/>
        <v>0</v>
      </c>
      <c r="AA448" s="480"/>
      <c r="AB448" s="477">
        <f t="shared" ca="1" si="208"/>
        <v>0</v>
      </c>
      <c r="AC448" s="475">
        <f t="shared" ca="1" si="209"/>
        <v>0</v>
      </c>
      <c r="AD448" s="480"/>
      <c r="AE448" s="477">
        <f t="shared" si="210"/>
        <v>0</v>
      </c>
      <c r="AF448" s="480"/>
      <c r="AG448" s="477">
        <f t="shared" si="211"/>
        <v>0</v>
      </c>
      <c r="AH448" s="480"/>
      <c r="AI448" s="477">
        <f t="shared" si="212"/>
        <v>0</v>
      </c>
      <c r="AJ448" s="480"/>
      <c r="AK448" s="477">
        <f t="shared" ca="1" si="213"/>
        <v>0</v>
      </c>
      <c r="AL448" s="475">
        <f t="shared" ca="1" si="214"/>
        <v>0</v>
      </c>
      <c r="AM448" s="480"/>
      <c r="AN448" s="477">
        <f t="shared" si="215"/>
        <v>0</v>
      </c>
      <c r="AO448" s="480"/>
      <c r="AP448" s="477">
        <f t="shared" si="216"/>
        <v>0</v>
      </c>
      <c r="AQ448" s="480"/>
      <c r="AR448" s="477">
        <f t="shared" si="217"/>
        <v>0</v>
      </c>
      <c r="AS448" s="480"/>
      <c r="AT448" s="477">
        <f t="shared" ca="1" si="218"/>
        <v>0</v>
      </c>
      <c r="AU448" s="475">
        <f t="shared" ca="1" si="219"/>
        <v>0</v>
      </c>
      <c r="AV448" s="480"/>
      <c r="AW448" s="477">
        <f t="shared" si="220"/>
        <v>0</v>
      </c>
      <c r="AX448" s="480"/>
      <c r="AY448" s="477">
        <f t="shared" si="221"/>
        <v>0</v>
      </c>
      <c r="AZ448" s="480"/>
      <c r="BA448" s="477">
        <f t="shared" si="222"/>
        <v>0</v>
      </c>
      <c r="BB448" s="480"/>
      <c r="BC448" s="850">
        <f t="shared" ca="1" si="223"/>
        <v>0</v>
      </c>
    </row>
    <row r="449" spans="1:55">
      <c r="A449" s="837" t="str">
        <f t="shared" si="195"/>
        <v/>
      </c>
      <c r="B449" s="440"/>
      <c r="C449" s="834" t="str">
        <f t="shared" ca="1" si="196"/>
        <v/>
      </c>
      <c r="D449" s="1757" t="str">
        <f ca="1">IFERROR(VLOOKUP(LEFT(E449,4),Nom_activ_2!D:G,4,0),"")</f>
        <v/>
      </c>
      <c r="E449" s="1757" t="str">
        <f t="shared" ca="1" si="197"/>
        <v/>
      </c>
      <c r="F449" s="1777">
        <f t="shared" ca="1" si="226"/>
        <v>0</v>
      </c>
      <c r="G449" s="839">
        <f t="shared" ca="1" si="226"/>
        <v>0</v>
      </c>
      <c r="H449" s="840">
        <f t="shared" ca="1" si="226"/>
        <v>0</v>
      </c>
      <c r="I449" s="443"/>
      <c r="J449" s="838" t="str">
        <f t="shared" si="198"/>
        <v>!$A:$j</v>
      </c>
      <c r="K449" s="475">
        <f t="shared" ca="1" si="199"/>
        <v>0</v>
      </c>
      <c r="L449" s="480"/>
      <c r="M449" s="477">
        <f t="shared" si="200"/>
        <v>0</v>
      </c>
      <c r="N449" s="480"/>
      <c r="O449" s="477">
        <f t="shared" si="201"/>
        <v>0</v>
      </c>
      <c r="P449" s="480"/>
      <c r="Q449" s="477">
        <f t="shared" si="202"/>
        <v>0</v>
      </c>
      <c r="R449" s="480"/>
      <c r="S449" s="477">
        <f t="shared" ca="1" si="203"/>
        <v>0</v>
      </c>
      <c r="T449" s="475">
        <f t="shared" ca="1" si="204"/>
        <v>0</v>
      </c>
      <c r="U449" s="480"/>
      <c r="V449" s="477">
        <f t="shared" si="205"/>
        <v>0</v>
      </c>
      <c r="W449" s="480"/>
      <c r="X449" s="477">
        <f t="shared" si="206"/>
        <v>0</v>
      </c>
      <c r="Y449" s="480"/>
      <c r="Z449" s="477">
        <f t="shared" si="207"/>
        <v>0</v>
      </c>
      <c r="AA449" s="480"/>
      <c r="AB449" s="477">
        <f t="shared" ca="1" si="208"/>
        <v>0</v>
      </c>
      <c r="AC449" s="475">
        <f t="shared" ca="1" si="209"/>
        <v>0</v>
      </c>
      <c r="AD449" s="480"/>
      <c r="AE449" s="477">
        <f t="shared" si="210"/>
        <v>0</v>
      </c>
      <c r="AF449" s="480"/>
      <c r="AG449" s="477">
        <f t="shared" si="211"/>
        <v>0</v>
      </c>
      <c r="AH449" s="480"/>
      <c r="AI449" s="477">
        <f t="shared" si="212"/>
        <v>0</v>
      </c>
      <c r="AJ449" s="480"/>
      <c r="AK449" s="477">
        <f t="shared" ca="1" si="213"/>
        <v>0</v>
      </c>
      <c r="AL449" s="475">
        <f t="shared" ca="1" si="214"/>
        <v>0</v>
      </c>
      <c r="AM449" s="480"/>
      <c r="AN449" s="477">
        <f t="shared" si="215"/>
        <v>0</v>
      </c>
      <c r="AO449" s="480"/>
      <c r="AP449" s="477">
        <f t="shared" si="216"/>
        <v>0</v>
      </c>
      <c r="AQ449" s="480"/>
      <c r="AR449" s="477">
        <f t="shared" si="217"/>
        <v>0</v>
      </c>
      <c r="AS449" s="480"/>
      <c r="AT449" s="477">
        <f t="shared" ca="1" si="218"/>
        <v>0</v>
      </c>
      <c r="AU449" s="475">
        <f t="shared" ca="1" si="219"/>
        <v>0</v>
      </c>
      <c r="AV449" s="480"/>
      <c r="AW449" s="477">
        <f t="shared" si="220"/>
        <v>0</v>
      </c>
      <c r="AX449" s="480"/>
      <c r="AY449" s="477">
        <f t="shared" si="221"/>
        <v>0</v>
      </c>
      <c r="AZ449" s="480"/>
      <c r="BA449" s="477">
        <f t="shared" si="222"/>
        <v>0</v>
      </c>
      <c r="BB449" s="480"/>
      <c r="BC449" s="850">
        <f t="shared" ca="1" si="223"/>
        <v>0</v>
      </c>
    </row>
    <row r="450" spans="1:55">
      <c r="A450" s="837" t="str">
        <f t="shared" si="195"/>
        <v/>
      </c>
      <c r="B450" s="440"/>
      <c r="C450" s="834" t="str">
        <f t="shared" ca="1" si="196"/>
        <v/>
      </c>
      <c r="D450" s="1757" t="str">
        <f ca="1">IFERROR(VLOOKUP(LEFT(E450,4),Nom_activ_2!D:G,4,0),"")</f>
        <v/>
      </c>
      <c r="E450" s="1757" t="str">
        <f t="shared" ca="1" si="197"/>
        <v/>
      </c>
      <c r="F450" s="1777">
        <f t="shared" ca="1" si="226"/>
        <v>0</v>
      </c>
      <c r="G450" s="839">
        <f t="shared" ca="1" si="226"/>
        <v>0</v>
      </c>
      <c r="H450" s="840">
        <f t="shared" ca="1" si="226"/>
        <v>0</v>
      </c>
      <c r="I450" s="443"/>
      <c r="J450" s="838" t="str">
        <f t="shared" si="198"/>
        <v>!$A:$j</v>
      </c>
      <c r="K450" s="475">
        <f t="shared" ca="1" si="199"/>
        <v>0</v>
      </c>
      <c r="L450" s="480"/>
      <c r="M450" s="477">
        <f t="shared" si="200"/>
        <v>0</v>
      </c>
      <c r="N450" s="480"/>
      <c r="O450" s="477">
        <f t="shared" si="201"/>
        <v>0</v>
      </c>
      <c r="P450" s="480"/>
      <c r="Q450" s="477">
        <f t="shared" si="202"/>
        <v>0</v>
      </c>
      <c r="R450" s="480"/>
      <c r="S450" s="477">
        <f t="shared" ca="1" si="203"/>
        <v>0</v>
      </c>
      <c r="T450" s="475">
        <f t="shared" ca="1" si="204"/>
        <v>0</v>
      </c>
      <c r="U450" s="480"/>
      <c r="V450" s="477">
        <f t="shared" si="205"/>
        <v>0</v>
      </c>
      <c r="W450" s="480"/>
      <c r="X450" s="477">
        <f t="shared" si="206"/>
        <v>0</v>
      </c>
      <c r="Y450" s="480"/>
      <c r="Z450" s="477">
        <f t="shared" si="207"/>
        <v>0</v>
      </c>
      <c r="AA450" s="480"/>
      <c r="AB450" s="477">
        <f t="shared" ca="1" si="208"/>
        <v>0</v>
      </c>
      <c r="AC450" s="475">
        <f t="shared" ca="1" si="209"/>
        <v>0</v>
      </c>
      <c r="AD450" s="480"/>
      <c r="AE450" s="477">
        <f t="shared" si="210"/>
        <v>0</v>
      </c>
      <c r="AF450" s="480"/>
      <c r="AG450" s="477">
        <f t="shared" si="211"/>
        <v>0</v>
      </c>
      <c r="AH450" s="480"/>
      <c r="AI450" s="477">
        <f t="shared" si="212"/>
        <v>0</v>
      </c>
      <c r="AJ450" s="480"/>
      <c r="AK450" s="477">
        <f t="shared" ca="1" si="213"/>
        <v>0</v>
      </c>
      <c r="AL450" s="475">
        <f t="shared" ca="1" si="214"/>
        <v>0</v>
      </c>
      <c r="AM450" s="480"/>
      <c r="AN450" s="477">
        <f t="shared" si="215"/>
        <v>0</v>
      </c>
      <c r="AO450" s="480"/>
      <c r="AP450" s="477">
        <f t="shared" si="216"/>
        <v>0</v>
      </c>
      <c r="AQ450" s="480"/>
      <c r="AR450" s="477">
        <f t="shared" si="217"/>
        <v>0</v>
      </c>
      <c r="AS450" s="480"/>
      <c r="AT450" s="477">
        <f t="shared" ca="1" si="218"/>
        <v>0</v>
      </c>
      <c r="AU450" s="475">
        <f t="shared" ca="1" si="219"/>
        <v>0</v>
      </c>
      <c r="AV450" s="480"/>
      <c r="AW450" s="477">
        <f t="shared" si="220"/>
        <v>0</v>
      </c>
      <c r="AX450" s="480"/>
      <c r="AY450" s="477">
        <f t="shared" si="221"/>
        <v>0</v>
      </c>
      <c r="AZ450" s="480"/>
      <c r="BA450" s="477">
        <f t="shared" si="222"/>
        <v>0</v>
      </c>
      <c r="BB450" s="480"/>
      <c r="BC450" s="850">
        <f t="shared" ca="1" si="223"/>
        <v>0</v>
      </c>
    </row>
    <row r="451" spans="1:55">
      <c r="A451" s="837" t="str">
        <f t="shared" si="195"/>
        <v/>
      </c>
      <c r="B451" s="440"/>
      <c r="C451" s="834" t="str">
        <f t="shared" ca="1" si="196"/>
        <v/>
      </c>
      <c r="D451" s="1757" t="str">
        <f ca="1">IFERROR(VLOOKUP(LEFT(E451,4),Nom_activ_2!D:G,4,0),"")</f>
        <v/>
      </c>
      <c r="E451" s="1757" t="str">
        <f t="shared" ca="1" si="197"/>
        <v/>
      </c>
      <c r="F451" s="1777">
        <f t="shared" ca="1" si="226"/>
        <v>0</v>
      </c>
      <c r="G451" s="839">
        <f t="shared" ca="1" si="226"/>
        <v>0</v>
      </c>
      <c r="H451" s="840">
        <f t="shared" ca="1" si="226"/>
        <v>0</v>
      </c>
      <c r="I451" s="443"/>
      <c r="J451" s="838" t="str">
        <f t="shared" si="198"/>
        <v>!$A:$j</v>
      </c>
      <c r="K451" s="475">
        <f t="shared" ca="1" si="199"/>
        <v>0</v>
      </c>
      <c r="L451" s="480"/>
      <c r="M451" s="477">
        <f t="shared" si="200"/>
        <v>0</v>
      </c>
      <c r="N451" s="480"/>
      <c r="O451" s="477">
        <f t="shared" si="201"/>
        <v>0</v>
      </c>
      <c r="P451" s="480"/>
      <c r="Q451" s="477">
        <f t="shared" si="202"/>
        <v>0</v>
      </c>
      <c r="R451" s="480"/>
      <c r="S451" s="477">
        <f t="shared" ca="1" si="203"/>
        <v>0</v>
      </c>
      <c r="T451" s="475">
        <f t="shared" ca="1" si="204"/>
        <v>0</v>
      </c>
      <c r="U451" s="480"/>
      <c r="V451" s="477">
        <f t="shared" si="205"/>
        <v>0</v>
      </c>
      <c r="W451" s="480"/>
      <c r="X451" s="477">
        <f t="shared" si="206"/>
        <v>0</v>
      </c>
      <c r="Y451" s="480"/>
      <c r="Z451" s="477">
        <f t="shared" si="207"/>
        <v>0</v>
      </c>
      <c r="AA451" s="480"/>
      <c r="AB451" s="477">
        <f t="shared" ca="1" si="208"/>
        <v>0</v>
      </c>
      <c r="AC451" s="475">
        <f t="shared" ca="1" si="209"/>
        <v>0</v>
      </c>
      <c r="AD451" s="480"/>
      <c r="AE451" s="477">
        <f t="shared" si="210"/>
        <v>0</v>
      </c>
      <c r="AF451" s="480"/>
      <c r="AG451" s="477">
        <f t="shared" si="211"/>
        <v>0</v>
      </c>
      <c r="AH451" s="480"/>
      <c r="AI451" s="477">
        <f t="shared" si="212"/>
        <v>0</v>
      </c>
      <c r="AJ451" s="480"/>
      <c r="AK451" s="477">
        <f t="shared" ca="1" si="213"/>
        <v>0</v>
      </c>
      <c r="AL451" s="475">
        <f t="shared" ca="1" si="214"/>
        <v>0</v>
      </c>
      <c r="AM451" s="480"/>
      <c r="AN451" s="477">
        <f t="shared" si="215"/>
        <v>0</v>
      </c>
      <c r="AO451" s="480"/>
      <c r="AP451" s="477">
        <f t="shared" si="216"/>
        <v>0</v>
      </c>
      <c r="AQ451" s="480"/>
      <c r="AR451" s="477">
        <f t="shared" si="217"/>
        <v>0</v>
      </c>
      <c r="AS451" s="480"/>
      <c r="AT451" s="477">
        <f t="shared" ca="1" si="218"/>
        <v>0</v>
      </c>
      <c r="AU451" s="475">
        <f t="shared" ca="1" si="219"/>
        <v>0</v>
      </c>
      <c r="AV451" s="480"/>
      <c r="AW451" s="477">
        <f t="shared" si="220"/>
        <v>0</v>
      </c>
      <c r="AX451" s="480"/>
      <c r="AY451" s="477">
        <f t="shared" si="221"/>
        <v>0</v>
      </c>
      <c r="AZ451" s="480"/>
      <c r="BA451" s="477">
        <f t="shared" si="222"/>
        <v>0</v>
      </c>
      <c r="BB451" s="480"/>
      <c r="BC451" s="850">
        <f t="shared" ca="1" si="223"/>
        <v>0</v>
      </c>
    </row>
    <row r="452" spans="1:55">
      <c r="A452" s="837" t="str">
        <f t="shared" si="195"/>
        <v/>
      </c>
      <c r="B452" s="440"/>
      <c r="C452" s="834" t="str">
        <f t="shared" ca="1" si="196"/>
        <v/>
      </c>
      <c r="D452" s="1757" t="str">
        <f ca="1">IFERROR(VLOOKUP(LEFT(E452,4),Nom_activ_2!D:G,4,0),"")</f>
        <v/>
      </c>
      <c r="E452" s="1757" t="str">
        <f t="shared" ca="1" si="197"/>
        <v/>
      </c>
      <c r="F452" s="1777">
        <f t="shared" ca="1" si="226"/>
        <v>0</v>
      </c>
      <c r="G452" s="839">
        <f t="shared" ca="1" si="226"/>
        <v>0</v>
      </c>
      <c r="H452" s="840">
        <f t="shared" ca="1" si="226"/>
        <v>0</v>
      </c>
      <c r="I452" s="443"/>
      <c r="J452" s="838" t="str">
        <f t="shared" si="198"/>
        <v>!$A:$j</v>
      </c>
      <c r="K452" s="475">
        <f t="shared" ca="1" si="199"/>
        <v>0</v>
      </c>
      <c r="L452" s="480"/>
      <c r="M452" s="477">
        <f t="shared" si="200"/>
        <v>0</v>
      </c>
      <c r="N452" s="480"/>
      <c r="O452" s="477">
        <f t="shared" si="201"/>
        <v>0</v>
      </c>
      <c r="P452" s="480"/>
      <c r="Q452" s="477">
        <f t="shared" si="202"/>
        <v>0</v>
      </c>
      <c r="R452" s="480"/>
      <c r="S452" s="477">
        <f t="shared" ca="1" si="203"/>
        <v>0</v>
      </c>
      <c r="T452" s="475">
        <f t="shared" ca="1" si="204"/>
        <v>0</v>
      </c>
      <c r="U452" s="480"/>
      <c r="V452" s="477">
        <f t="shared" si="205"/>
        <v>0</v>
      </c>
      <c r="W452" s="480"/>
      <c r="X452" s="477">
        <f t="shared" si="206"/>
        <v>0</v>
      </c>
      <c r="Y452" s="480"/>
      <c r="Z452" s="477">
        <f t="shared" si="207"/>
        <v>0</v>
      </c>
      <c r="AA452" s="480"/>
      <c r="AB452" s="477">
        <f t="shared" ca="1" si="208"/>
        <v>0</v>
      </c>
      <c r="AC452" s="475">
        <f t="shared" ca="1" si="209"/>
        <v>0</v>
      </c>
      <c r="AD452" s="480"/>
      <c r="AE452" s="477">
        <f t="shared" si="210"/>
        <v>0</v>
      </c>
      <c r="AF452" s="480"/>
      <c r="AG452" s="477">
        <f t="shared" si="211"/>
        <v>0</v>
      </c>
      <c r="AH452" s="480"/>
      <c r="AI452" s="477">
        <f t="shared" si="212"/>
        <v>0</v>
      </c>
      <c r="AJ452" s="480"/>
      <c r="AK452" s="477">
        <f t="shared" ca="1" si="213"/>
        <v>0</v>
      </c>
      <c r="AL452" s="475">
        <f t="shared" ca="1" si="214"/>
        <v>0</v>
      </c>
      <c r="AM452" s="480"/>
      <c r="AN452" s="477">
        <f t="shared" si="215"/>
        <v>0</v>
      </c>
      <c r="AO452" s="480"/>
      <c r="AP452" s="477">
        <f t="shared" si="216"/>
        <v>0</v>
      </c>
      <c r="AQ452" s="480"/>
      <c r="AR452" s="477">
        <f t="shared" si="217"/>
        <v>0</v>
      </c>
      <c r="AS452" s="480"/>
      <c r="AT452" s="477">
        <f t="shared" ca="1" si="218"/>
        <v>0</v>
      </c>
      <c r="AU452" s="475">
        <f t="shared" ca="1" si="219"/>
        <v>0</v>
      </c>
      <c r="AV452" s="480"/>
      <c r="AW452" s="477">
        <f t="shared" si="220"/>
        <v>0</v>
      </c>
      <c r="AX452" s="480"/>
      <c r="AY452" s="477">
        <f t="shared" si="221"/>
        <v>0</v>
      </c>
      <c r="AZ452" s="480"/>
      <c r="BA452" s="477">
        <f t="shared" si="222"/>
        <v>0</v>
      </c>
      <c r="BB452" s="480"/>
      <c r="BC452" s="850">
        <f t="shared" ca="1" si="223"/>
        <v>0</v>
      </c>
    </row>
    <row r="453" spans="1:55">
      <c r="A453" s="837" t="str">
        <f t="shared" si="195"/>
        <v/>
      </c>
      <c r="B453" s="440"/>
      <c r="C453" s="834" t="str">
        <f t="shared" ca="1" si="196"/>
        <v/>
      </c>
      <c r="D453" s="1757" t="str">
        <f ca="1">IFERROR(VLOOKUP(LEFT(E453,4),Nom_activ_2!D:G,4,0),"")</f>
        <v/>
      </c>
      <c r="E453" s="1757" t="str">
        <f t="shared" ca="1" si="197"/>
        <v/>
      </c>
      <c r="F453" s="1777">
        <f t="shared" ca="1" si="226"/>
        <v>0</v>
      </c>
      <c r="G453" s="839">
        <f t="shared" ca="1" si="226"/>
        <v>0</v>
      </c>
      <c r="H453" s="840">
        <f t="shared" ca="1" si="226"/>
        <v>0</v>
      </c>
      <c r="I453" s="443"/>
      <c r="J453" s="838" t="str">
        <f t="shared" si="198"/>
        <v>!$A:$j</v>
      </c>
      <c r="K453" s="475">
        <f t="shared" ca="1" si="199"/>
        <v>0</v>
      </c>
      <c r="L453" s="480"/>
      <c r="M453" s="477">
        <f t="shared" si="200"/>
        <v>0</v>
      </c>
      <c r="N453" s="480"/>
      <c r="O453" s="477">
        <f t="shared" si="201"/>
        <v>0</v>
      </c>
      <c r="P453" s="480"/>
      <c r="Q453" s="477">
        <f t="shared" si="202"/>
        <v>0</v>
      </c>
      <c r="R453" s="480"/>
      <c r="S453" s="477">
        <f t="shared" ca="1" si="203"/>
        <v>0</v>
      </c>
      <c r="T453" s="475">
        <f t="shared" ca="1" si="204"/>
        <v>0</v>
      </c>
      <c r="U453" s="480"/>
      <c r="V453" s="477">
        <f t="shared" si="205"/>
        <v>0</v>
      </c>
      <c r="W453" s="480"/>
      <c r="X453" s="477">
        <f t="shared" si="206"/>
        <v>0</v>
      </c>
      <c r="Y453" s="480"/>
      <c r="Z453" s="477">
        <f t="shared" si="207"/>
        <v>0</v>
      </c>
      <c r="AA453" s="480"/>
      <c r="AB453" s="477">
        <f t="shared" ca="1" si="208"/>
        <v>0</v>
      </c>
      <c r="AC453" s="475">
        <f t="shared" ca="1" si="209"/>
        <v>0</v>
      </c>
      <c r="AD453" s="480"/>
      <c r="AE453" s="477">
        <f t="shared" si="210"/>
        <v>0</v>
      </c>
      <c r="AF453" s="480"/>
      <c r="AG453" s="477">
        <f t="shared" si="211"/>
        <v>0</v>
      </c>
      <c r="AH453" s="480"/>
      <c r="AI453" s="477">
        <f t="shared" si="212"/>
        <v>0</v>
      </c>
      <c r="AJ453" s="480"/>
      <c r="AK453" s="477">
        <f t="shared" ca="1" si="213"/>
        <v>0</v>
      </c>
      <c r="AL453" s="475">
        <f t="shared" ca="1" si="214"/>
        <v>0</v>
      </c>
      <c r="AM453" s="480"/>
      <c r="AN453" s="477">
        <f t="shared" si="215"/>
        <v>0</v>
      </c>
      <c r="AO453" s="480"/>
      <c r="AP453" s="477">
        <f t="shared" si="216"/>
        <v>0</v>
      </c>
      <c r="AQ453" s="480"/>
      <c r="AR453" s="477">
        <f t="shared" si="217"/>
        <v>0</v>
      </c>
      <c r="AS453" s="480"/>
      <c r="AT453" s="477">
        <f t="shared" ca="1" si="218"/>
        <v>0</v>
      </c>
      <c r="AU453" s="475">
        <f t="shared" ca="1" si="219"/>
        <v>0</v>
      </c>
      <c r="AV453" s="480"/>
      <c r="AW453" s="477">
        <f t="shared" si="220"/>
        <v>0</v>
      </c>
      <c r="AX453" s="480"/>
      <c r="AY453" s="477">
        <f t="shared" si="221"/>
        <v>0</v>
      </c>
      <c r="AZ453" s="480"/>
      <c r="BA453" s="477">
        <f t="shared" si="222"/>
        <v>0</v>
      </c>
      <c r="BB453" s="480"/>
      <c r="BC453" s="850">
        <f t="shared" ca="1" si="223"/>
        <v>0</v>
      </c>
    </row>
    <row r="454" spans="1:55">
      <c r="A454" s="837" t="str">
        <f t="shared" si="195"/>
        <v/>
      </c>
      <c r="B454" s="440"/>
      <c r="C454" s="834" t="str">
        <f t="shared" ca="1" si="196"/>
        <v/>
      </c>
      <c r="D454" s="1757" t="str">
        <f ca="1">IFERROR(VLOOKUP(LEFT(E454,4),Nom_activ_2!D:G,4,0),"")</f>
        <v/>
      </c>
      <c r="E454" s="1757" t="str">
        <f t="shared" ca="1" si="197"/>
        <v/>
      </c>
      <c r="F454" s="1777">
        <f t="shared" ca="1" si="226"/>
        <v>0</v>
      </c>
      <c r="G454" s="839">
        <f t="shared" ca="1" si="226"/>
        <v>0</v>
      </c>
      <c r="H454" s="840">
        <f t="shared" ca="1" si="226"/>
        <v>0</v>
      </c>
      <c r="I454" s="443"/>
      <c r="J454" s="838" t="str">
        <f t="shared" si="198"/>
        <v>!$A:$j</v>
      </c>
      <c r="K454" s="475">
        <f t="shared" ca="1" si="199"/>
        <v>0</v>
      </c>
      <c r="L454" s="480"/>
      <c r="M454" s="477">
        <f t="shared" si="200"/>
        <v>0</v>
      </c>
      <c r="N454" s="480"/>
      <c r="O454" s="477">
        <f t="shared" si="201"/>
        <v>0</v>
      </c>
      <c r="P454" s="480"/>
      <c r="Q454" s="477">
        <f t="shared" si="202"/>
        <v>0</v>
      </c>
      <c r="R454" s="480"/>
      <c r="S454" s="477">
        <f t="shared" ca="1" si="203"/>
        <v>0</v>
      </c>
      <c r="T454" s="475">
        <f t="shared" ca="1" si="204"/>
        <v>0</v>
      </c>
      <c r="U454" s="480"/>
      <c r="V454" s="477">
        <f t="shared" si="205"/>
        <v>0</v>
      </c>
      <c r="W454" s="480"/>
      <c r="X454" s="477">
        <f t="shared" si="206"/>
        <v>0</v>
      </c>
      <c r="Y454" s="480"/>
      <c r="Z454" s="477">
        <f t="shared" si="207"/>
        <v>0</v>
      </c>
      <c r="AA454" s="480"/>
      <c r="AB454" s="477">
        <f t="shared" ca="1" si="208"/>
        <v>0</v>
      </c>
      <c r="AC454" s="475">
        <f t="shared" ca="1" si="209"/>
        <v>0</v>
      </c>
      <c r="AD454" s="480"/>
      <c r="AE454" s="477">
        <f t="shared" si="210"/>
        <v>0</v>
      </c>
      <c r="AF454" s="480"/>
      <c r="AG454" s="477">
        <f t="shared" si="211"/>
        <v>0</v>
      </c>
      <c r="AH454" s="480"/>
      <c r="AI454" s="477">
        <f t="shared" si="212"/>
        <v>0</v>
      </c>
      <c r="AJ454" s="480"/>
      <c r="AK454" s="477">
        <f t="shared" ca="1" si="213"/>
        <v>0</v>
      </c>
      <c r="AL454" s="475">
        <f t="shared" ca="1" si="214"/>
        <v>0</v>
      </c>
      <c r="AM454" s="480"/>
      <c r="AN454" s="477">
        <f t="shared" si="215"/>
        <v>0</v>
      </c>
      <c r="AO454" s="480"/>
      <c r="AP454" s="477">
        <f t="shared" si="216"/>
        <v>0</v>
      </c>
      <c r="AQ454" s="480"/>
      <c r="AR454" s="477">
        <f t="shared" si="217"/>
        <v>0</v>
      </c>
      <c r="AS454" s="480"/>
      <c r="AT454" s="477">
        <f t="shared" ca="1" si="218"/>
        <v>0</v>
      </c>
      <c r="AU454" s="475">
        <f t="shared" ca="1" si="219"/>
        <v>0</v>
      </c>
      <c r="AV454" s="480"/>
      <c r="AW454" s="477">
        <f t="shared" si="220"/>
        <v>0</v>
      </c>
      <c r="AX454" s="480"/>
      <c r="AY454" s="477">
        <f t="shared" si="221"/>
        <v>0</v>
      </c>
      <c r="AZ454" s="480"/>
      <c r="BA454" s="477">
        <f t="shared" si="222"/>
        <v>0</v>
      </c>
      <c r="BB454" s="480"/>
      <c r="BC454" s="850">
        <f t="shared" ca="1" si="223"/>
        <v>0</v>
      </c>
    </row>
    <row r="455" spans="1:55">
      <c r="A455" s="837" t="str">
        <f t="shared" ref="A455:A518" si="227">IF(B455="","",IF(COUNTA(C455:H455)&lt;6,"Completati  toate campurile col C:H",""))</f>
        <v/>
      </c>
      <c r="B455" s="440"/>
      <c r="C455" s="834" t="str">
        <f t="shared" ref="C455:C518" ca="1" si="228">IFERROR(LEFT(D455,2),"")</f>
        <v/>
      </c>
      <c r="D455" s="1757" t="str">
        <f ca="1">IFERROR(VLOOKUP(LEFT(E455,4),Nom_activ_2!D:G,4,0),"")</f>
        <v/>
      </c>
      <c r="E455" s="1757" t="str">
        <f t="shared" ref="E455:E518" ca="1" si="229">IFERROR(VLOOKUP($B455,INDIRECT($J455),E$5,0),"")</f>
        <v/>
      </c>
      <c r="F455" s="1777">
        <f t="shared" ca="1" si="226"/>
        <v>0</v>
      </c>
      <c r="G455" s="839">
        <f t="shared" ca="1" si="226"/>
        <v>0</v>
      </c>
      <c r="H455" s="840">
        <f t="shared" ca="1" si="226"/>
        <v>0</v>
      </c>
      <c r="I455" s="443"/>
      <c r="J455" s="838" t="str">
        <f t="shared" ref="J455:J518" si="230">I455&amp;"!$A:$j"</f>
        <v>!$A:$j</v>
      </c>
      <c r="K455" s="475">
        <f t="shared" ref="K455:K518" ca="1" si="231">IFERROR(VLOOKUP($B455,INDIRECT($J455),K$5,0),0)</f>
        <v>0</v>
      </c>
      <c r="L455" s="480"/>
      <c r="M455" s="477">
        <f t="shared" ref="M455:M518" si="232">IF(L455="",0,K455*L455)</f>
        <v>0</v>
      </c>
      <c r="N455" s="480"/>
      <c r="O455" s="477">
        <f t="shared" ref="O455:O518" si="233">IF(N455="",0,M455*N455)</f>
        <v>0</v>
      </c>
      <c r="P455" s="480"/>
      <c r="Q455" s="477">
        <f t="shared" ref="Q455:Q518" si="234">IF(P455="",0,O455*P455)</f>
        <v>0</v>
      </c>
      <c r="R455" s="480"/>
      <c r="S455" s="477">
        <f t="shared" ref="S455:S518" ca="1" si="235">IFERROR(K455-M455-O455-Q455,0)</f>
        <v>0</v>
      </c>
      <c r="T455" s="475">
        <f t="shared" ref="T455:T518" ca="1" si="236">IFERROR(VLOOKUP($B455,INDIRECT($J455),T$5,0),0)</f>
        <v>0</v>
      </c>
      <c r="U455" s="480"/>
      <c r="V455" s="477">
        <f t="shared" ref="V455:V518" si="237">IF(U455="",0,T455*U455)</f>
        <v>0</v>
      </c>
      <c r="W455" s="480"/>
      <c r="X455" s="477">
        <f t="shared" ref="X455:X518" si="238">IF(W455="",0,V455*W455)</f>
        <v>0</v>
      </c>
      <c r="Y455" s="480"/>
      <c r="Z455" s="477">
        <f t="shared" ref="Z455:Z518" si="239">IF(Y455="",0,X455*Y455)</f>
        <v>0</v>
      </c>
      <c r="AA455" s="480"/>
      <c r="AB455" s="477">
        <f t="shared" ref="AB455:AB518" ca="1" si="240">IFERROR(T455-V455-X455-Z455,0)</f>
        <v>0</v>
      </c>
      <c r="AC455" s="475">
        <f t="shared" ref="AC455:AC518" ca="1" si="241">IFERROR(VLOOKUP($B455,INDIRECT($J455),AC$5,0),0)</f>
        <v>0</v>
      </c>
      <c r="AD455" s="480"/>
      <c r="AE455" s="477">
        <f t="shared" ref="AE455:AE518" si="242">IF(AD455="",0,AC455*AD455)</f>
        <v>0</v>
      </c>
      <c r="AF455" s="480"/>
      <c r="AG455" s="477">
        <f t="shared" ref="AG455:AG518" si="243">IF(AF455="",0,AE455*AF455)</f>
        <v>0</v>
      </c>
      <c r="AH455" s="480"/>
      <c r="AI455" s="477">
        <f t="shared" ref="AI455:AI518" si="244">IF(AH455="",0,AG455*AH455)</f>
        <v>0</v>
      </c>
      <c r="AJ455" s="480"/>
      <c r="AK455" s="477">
        <f t="shared" ref="AK455:AK518" ca="1" si="245">IFERROR(AC455-AE455-AG455-AI455,0)</f>
        <v>0</v>
      </c>
      <c r="AL455" s="475">
        <f t="shared" ref="AL455:AL518" ca="1" si="246">IFERROR(VLOOKUP($B455,INDIRECT($J455),AL$5,0),0)</f>
        <v>0</v>
      </c>
      <c r="AM455" s="480"/>
      <c r="AN455" s="477">
        <f t="shared" ref="AN455:AN518" si="247">IF(AM455="",0,AL455*AM455)</f>
        <v>0</v>
      </c>
      <c r="AO455" s="480"/>
      <c r="AP455" s="477">
        <f t="shared" ref="AP455:AP518" si="248">IF(AO455="",0,AN455*AO455)</f>
        <v>0</v>
      </c>
      <c r="AQ455" s="480"/>
      <c r="AR455" s="477">
        <f t="shared" ref="AR455:AR518" si="249">IF(AQ455="",0,AP455*AQ455)</f>
        <v>0</v>
      </c>
      <c r="AS455" s="480"/>
      <c r="AT455" s="477">
        <f t="shared" ref="AT455:AT518" ca="1" si="250">IFERROR(AL455-AN455-AP455-AR455,0)</f>
        <v>0</v>
      </c>
      <c r="AU455" s="475">
        <f t="shared" ref="AU455:AU518" ca="1" si="251">IFERROR(VLOOKUP($B455,INDIRECT($J455),AU$5,0),0)</f>
        <v>0</v>
      </c>
      <c r="AV455" s="480"/>
      <c r="AW455" s="477">
        <f t="shared" ref="AW455:AW518" si="252">IF(AV455="",0,AU455*AV455)</f>
        <v>0</v>
      </c>
      <c r="AX455" s="480"/>
      <c r="AY455" s="477">
        <f t="shared" ref="AY455:AY518" si="253">IF(AX455="",0,AW455*AX455)</f>
        <v>0</v>
      </c>
      <c r="AZ455" s="480"/>
      <c r="BA455" s="477">
        <f t="shared" ref="BA455:BA518" si="254">IF(AZ455="",0,AY455*AZ455)</f>
        <v>0</v>
      </c>
      <c r="BB455" s="480"/>
      <c r="BC455" s="850">
        <f t="shared" ref="BC455:BC518" ca="1" si="255">K455+T455+AC455+AL455+AU455</f>
        <v>0</v>
      </c>
    </row>
    <row r="456" spans="1:55">
      <c r="A456" s="837" t="str">
        <f t="shared" si="227"/>
        <v/>
      </c>
      <c r="B456" s="440"/>
      <c r="C456" s="834" t="str">
        <f t="shared" ca="1" si="228"/>
        <v/>
      </c>
      <c r="D456" s="1757" t="str">
        <f ca="1">IFERROR(VLOOKUP(LEFT(E456,4),Nom_activ_2!D:G,4,0),"")</f>
        <v/>
      </c>
      <c r="E456" s="1757" t="str">
        <f t="shared" ca="1" si="229"/>
        <v/>
      </c>
      <c r="F456" s="1777">
        <f t="shared" ca="1" si="226"/>
        <v>0</v>
      </c>
      <c r="G456" s="839">
        <f t="shared" ca="1" si="226"/>
        <v>0</v>
      </c>
      <c r="H456" s="840">
        <f t="shared" ca="1" si="226"/>
        <v>0</v>
      </c>
      <c r="I456" s="443"/>
      <c r="J456" s="838" t="str">
        <f t="shared" si="230"/>
        <v>!$A:$j</v>
      </c>
      <c r="K456" s="475">
        <f t="shared" ca="1" si="231"/>
        <v>0</v>
      </c>
      <c r="L456" s="480"/>
      <c r="M456" s="477">
        <f t="shared" si="232"/>
        <v>0</v>
      </c>
      <c r="N456" s="480"/>
      <c r="O456" s="477">
        <f t="shared" si="233"/>
        <v>0</v>
      </c>
      <c r="P456" s="480"/>
      <c r="Q456" s="477">
        <f t="shared" si="234"/>
        <v>0</v>
      </c>
      <c r="R456" s="480"/>
      <c r="S456" s="477">
        <f t="shared" ca="1" si="235"/>
        <v>0</v>
      </c>
      <c r="T456" s="475">
        <f t="shared" ca="1" si="236"/>
        <v>0</v>
      </c>
      <c r="U456" s="480"/>
      <c r="V456" s="477">
        <f t="shared" si="237"/>
        <v>0</v>
      </c>
      <c r="W456" s="480"/>
      <c r="X456" s="477">
        <f t="shared" si="238"/>
        <v>0</v>
      </c>
      <c r="Y456" s="480"/>
      <c r="Z456" s="477">
        <f t="shared" si="239"/>
        <v>0</v>
      </c>
      <c r="AA456" s="480"/>
      <c r="AB456" s="477">
        <f t="shared" ca="1" si="240"/>
        <v>0</v>
      </c>
      <c r="AC456" s="475">
        <f t="shared" ca="1" si="241"/>
        <v>0</v>
      </c>
      <c r="AD456" s="480"/>
      <c r="AE456" s="477">
        <f t="shared" si="242"/>
        <v>0</v>
      </c>
      <c r="AF456" s="480"/>
      <c r="AG456" s="477">
        <f t="shared" si="243"/>
        <v>0</v>
      </c>
      <c r="AH456" s="480"/>
      <c r="AI456" s="477">
        <f t="shared" si="244"/>
        <v>0</v>
      </c>
      <c r="AJ456" s="480"/>
      <c r="AK456" s="477">
        <f t="shared" ca="1" si="245"/>
        <v>0</v>
      </c>
      <c r="AL456" s="475">
        <f t="shared" ca="1" si="246"/>
        <v>0</v>
      </c>
      <c r="AM456" s="480"/>
      <c r="AN456" s="477">
        <f t="shared" si="247"/>
        <v>0</v>
      </c>
      <c r="AO456" s="480"/>
      <c r="AP456" s="477">
        <f t="shared" si="248"/>
        <v>0</v>
      </c>
      <c r="AQ456" s="480"/>
      <c r="AR456" s="477">
        <f t="shared" si="249"/>
        <v>0</v>
      </c>
      <c r="AS456" s="480"/>
      <c r="AT456" s="477">
        <f t="shared" ca="1" si="250"/>
        <v>0</v>
      </c>
      <c r="AU456" s="475">
        <f t="shared" ca="1" si="251"/>
        <v>0</v>
      </c>
      <c r="AV456" s="480"/>
      <c r="AW456" s="477">
        <f t="shared" si="252"/>
        <v>0</v>
      </c>
      <c r="AX456" s="480"/>
      <c r="AY456" s="477">
        <f t="shared" si="253"/>
        <v>0</v>
      </c>
      <c r="AZ456" s="480"/>
      <c r="BA456" s="477">
        <f t="shared" si="254"/>
        <v>0</v>
      </c>
      <c r="BB456" s="480"/>
      <c r="BC456" s="850">
        <f t="shared" ca="1" si="255"/>
        <v>0</v>
      </c>
    </row>
    <row r="457" spans="1:55">
      <c r="A457" s="837" t="str">
        <f t="shared" si="227"/>
        <v/>
      </c>
      <c r="B457" s="440"/>
      <c r="C457" s="834" t="str">
        <f t="shared" ca="1" si="228"/>
        <v/>
      </c>
      <c r="D457" s="1757" t="str">
        <f ca="1">IFERROR(VLOOKUP(LEFT(E457,4),Nom_activ_2!D:G,4,0),"")</f>
        <v/>
      </c>
      <c r="E457" s="1757" t="str">
        <f t="shared" ca="1" si="229"/>
        <v/>
      </c>
      <c r="F457" s="1777">
        <f t="shared" ca="1" si="226"/>
        <v>0</v>
      </c>
      <c r="G457" s="839">
        <f t="shared" ca="1" si="226"/>
        <v>0</v>
      </c>
      <c r="H457" s="840">
        <f t="shared" ca="1" si="226"/>
        <v>0</v>
      </c>
      <c r="I457" s="443"/>
      <c r="J457" s="838" t="str">
        <f t="shared" si="230"/>
        <v>!$A:$j</v>
      </c>
      <c r="K457" s="475">
        <f t="shared" ca="1" si="231"/>
        <v>0</v>
      </c>
      <c r="L457" s="480"/>
      <c r="M457" s="477">
        <f t="shared" si="232"/>
        <v>0</v>
      </c>
      <c r="N457" s="480"/>
      <c r="O457" s="477">
        <f t="shared" si="233"/>
        <v>0</v>
      </c>
      <c r="P457" s="480"/>
      <c r="Q457" s="477">
        <f t="shared" si="234"/>
        <v>0</v>
      </c>
      <c r="R457" s="480"/>
      <c r="S457" s="477">
        <f t="shared" ca="1" si="235"/>
        <v>0</v>
      </c>
      <c r="T457" s="475">
        <f t="shared" ca="1" si="236"/>
        <v>0</v>
      </c>
      <c r="U457" s="480"/>
      <c r="V457" s="477">
        <f t="shared" si="237"/>
        <v>0</v>
      </c>
      <c r="W457" s="480"/>
      <c r="X457" s="477">
        <f t="shared" si="238"/>
        <v>0</v>
      </c>
      <c r="Y457" s="480"/>
      <c r="Z457" s="477">
        <f t="shared" si="239"/>
        <v>0</v>
      </c>
      <c r="AA457" s="480"/>
      <c r="AB457" s="477">
        <f t="shared" ca="1" si="240"/>
        <v>0</v>
      </c>
      <c r="AC457" s="475">
        <f t="shared" ca="1" si="241"/>
        <v>0</v>
      </c>
      <c r="AD457" s="480"/>
      <c r="AE457" s="477">
        <f t="shared" si="242"/>
        <v>0</v>
      </c>
      <c r="AF457" s="480"/>
      <c r="AG457" s="477">
        <f t="shared" si="243"/>
        <v>0</v>
      </c>
      <c r="AH457" s="480"/>
      <c r="AI457" s="477">
        <f t="shared" si="244"/>
        <v>0</v>
      </c>
      <c r="AJ457" s="480"/>
      <c r="AK457" s="477">
        <f t="shared" ca="1" si="245"/>
        <v>0</v>
      </c>
      <c r="AL457" s="475">
        <f t="shared" ca="1" si="246"/>
        <v>0</v>
      </c>
      <c r="AM457" s="480"/>
      <c r="AN457" s="477">
        <f t="shared" si="247"/>
        <v>0</v>
      </c>
      <c r="AO457" s="480"/>
      <c r="AP457" s="477">
        <f t="shared" si="248"/>
        <v>0</v>
      </c>
      <c r="AQ457" s="480"/>
      <c r="AR457" s="477">
        <f t="shared" si="249"/>
        <v>0</v>
      </c>
      <c r="AS457" s="480"/>
      <c r="AT457" s="477">
        <f t="shared" ca="1" si="250"/>
        <v>0</v>
      </c>
      <c r="AU457" s="475">
        <f t="shared" ca="1" si="251"/>
        <v>0</v>
      </c>
      <c r="AV457" s="480"/>
      <c r="AW457" s="477">
        <f t="shared" si="252"/>
        <v>0</v>
      </c>
      <c r="AX457" s="480"/>
      <c r="AY457" s="477">
        <f t="shared" si="253"/>
        <v>0</v>
      </c>
      <c r="AZ457" s="480"/>
      <c r="BA457" s="477">
        <f t="shared" si="254"/>
        <v>0</v>
      </c>
      <c r="BB457" s="480"/>
      <c r="BC457" s="850">
        <f t="shared" ca="1" si="255"/>
        <v>0</v>
      </c>
    </row>
    <row r="458" spans="1:55">
      <c r="A458" s="837" t="str">
        <f t="shared" si="227"/>
        <v/>
      </c>
      <c r="B458" s="440"/>
      <c r="C458" s="834" t="str">
        <f t="shared" ca="1" si="228"/>
        <v/>
      </c>
      <c r="D458" s="1757" t="str">
        <f ca="1">IFERROR(VLOOKUP(LEFT(E458,4),Nom_activ_2!D:G,4,0),"")</f>
        <v/>
      </c>
      <c r="E458" s="1757" t="str">
        <f t="shared" ca="1" si="229"/>
        <v/>
      </c>
      <c r="F458" s="1777">
        <f t="shared" ca="1" si="226"/>
        <v>0</v>
      </c>
      <c r="G458" s="839">
        <f t="shared" ca="1" si="226"/>
        <v>0</v>
      </c>
      <c r="H458" s="840">
        <f t="shared" ca="1" si="226"/>
        <v>0</v>
      </c>
      <c r="I458" s="443"/>
      <c r="J458" s="838" t="str">
        <f t="shared" si="230"/>
        <v>!$A:$j</v>
      </c>
      <c r="K458" s="475">
        <f t="shared" ca="1" si="231"/>
        <v>0</v>
      </c>
      <c r="L458" s="480"/>
      <c r="M458" s="477">
        <f t="shared" si="232"/>
        <v>0</v>
      </c>
      <c r="N458" s="480"/>
      <c r="O458" s="477">
        <f t="shared" si="233"/>
        <v>0</v>
      </c>
      <c r="P458" s="480"/>
      <c r="Q458" s="477">
        <f t="shared" si="234"/>
        <v>0</v>
      </c>
      <c r="R458" s="480"/>
      <c r="S458" s="477">
        <f t="shared" ca="1" si="235"/>
        <v>0</v>
      </c>
      <c r="T458" s="475">
        <f t="shared" ca="1" si="236"/>
        <v>0</v>
      </c>
      <c r="U458" s="480"/>
      <c r="V458" s="477">
        <f t="shared" si="237"/>
        <v>0</v>
      </c>
      <c r="W458" s="480"/>
      <c r="X458" s="477">
        <f t="shared" si="238"/>
        <v>0</v>
      </c>
      <c r="Y458" s="480"/>
      <c r="Z458" s="477">
        <f t="shared" si="239"/>
        <v>0</v>
      </c>
      <c r="AA458" s="480"/>
      <c r="AB458" s="477">
        <f t="shared" ca="1" si="240"/>
        <v>0</v>
      </c>
      <c r="AC458" s="475">
        <f t="shared" ca="1" si="241"/>
        <v>0</v>
      </c>
      <c r="AD458" s="480"/>
      <c r="AE458" s="477">
        <f t="shared" si="242"/>
        <v>0</v>
      </c>
      <c r="AF458" s="480"/>
      <c r="AG458" s="477">
        <f t="shared" si="243"/>
        <v>0</v>
      </c>
      <c r="AH458" s="480"/>
      <c r="AI458" s="477">
        <f t="shared" si="244"/>
        <v>0</v>
      </c>
      <c r="AJ458" s="480"/>
      <c r="AK458" s="477">
        <f t="shared" ca="1" si="245"/>
        <v>0</v>
      </c>
      <c r="AL458" s="475">
        <f t="shared" ca="1" si="246"/>
        <v>0</v>
      </c>
      <c r="AM458" s="480"/>
      <c r="AN458" s="477">
        <f t="shared" si="247"/>
        <v>0</v>
      </c>
      <c r="AO458" s="480"/>
      <c r="AP458" s="477">
        <f t="shared" si="248"/>
        <v>0</v>
      </c>
      <c r="AQ458" s="480"/>
      <c r="AR458" s="477">
        <f t="shared" si="249"/>
        <v>0</v>
      </c>
      <c r="AS458" s="480"/>
      <c r="AT458" s="477">
        <f t="shared" ca="1" si="250"/>
        <v>0</v>
      </c>
      <c r="AU458" s="475">
        <f t="shared" ca="1" si="251"/>
        <v>0</v>
      </c>
      <c r="AV458" s="480"/>
      <c r="AW458" s="477">
        <f t="shared" si="252"/>
        <v>0</v>
      </c>
      <c r="AX458" s="480"/>
      <c r="AY458" s="477">
        <f t="shared" si="253"/>
        <v>0</v>
      </c>
      <c r="AZ458" s="480"/>
      <c r="BA458" s="477">
        <f t="shared" si="254"/>
        <v>0</v>
      </c>
      <c r="BB458" s="480"/>
      <c r="BC458" s="850">
        <f t="shared" ca="1" si="255"/>
        <v>0</v>
      </c>
    </row>
    <row r="459" spans="1:55">
      <c r="A459" s="837" t="str">
        <f t="shared" si="227"/>
        <v/>
      </c>
      <c r="B459" s="440"/>
      <c r="C459" s="834" t="str">
        <f t="shared" ca="1" si="228"/>
        <v/>
      </c>
      <c r="D459" s="1757" t="str">
        <f ca="1">IFERROR(VLOOKUP(LEFT(E459,4),Nom_activ_2!D:G,4,0),"")</f>
        <v/>
      </c>
      <c r="E459" s="1757" t="str">
        <f t="shared" ca="1" si="229"/>
        <v/>
      </c>
      <c r="F459" s="1777">
        <f t="shared" ca="1" si="226"/>
        <v>0</v>
      </c>
      <c r="G459" s="839">
        <f t="shared" ca="1" si="226"/>
        <v>0</v>
      </c>
      <c r="H459" s="840">
        <f t="shared" ca="1" si="226"/>
        <v>0</v>
      </c>
      <c r="I459" s="443"/>
      <c r="J459" s="838" t="str">
        <f t="shared" si="230"/>
        <v>!$A:$j</v>
      </c>
      <c r="K459" s="475">
        <f t="shared" ca="1" si="231"/>
        <v>0</v>
      </c>
      <c r="L459" s="480"/>
      <c r="M459" s="477">
        <f t="shared" si="232"/>
        <v>0</v>
      </c>
      <c r="N459" s="480"/>
      <c r="O459" s="477">
        <f t="shared" si="233"/>
        <v>0</v>
      </c>
      <c r="P459" s="480"/>
      <c r="Q459" s="477">
        <f t="shared" si="234"/>
        <v>0</v>
      </c>
      <c r="R459" s="480"/>
      <c r="S459" s="477">
        <f t="shared" ca="1" si="235"/>
        <v>0</v>
      </c>
      <c r="T459" s="475">
        <f t="shared" ca="1" si="236"/>
        <v>0</v>
      </c>
      <c r="U459" s="480"/>
      <c r="V459" s="477">
        <f t="shared" si="237"/>
        <v>0</v>
      </c>
      <c r="W459" s="480"/>
      <c r="X459" s="477">
        <f t="shared" si="238"/>
        <v>0</v>
      </c>
      <c r="Y459" s="480"/>
      <c r="Z459" s="477">
        <f t="shared" si="239"/>
        <v>0</v>
      </c>
      <c r="AA459" s="480"/>
      <c r="AB459" s="477">
        <f t="shared" ca="1" si="240"/>
        <v>0</v>
      </c>
      <c r="AC459" s="475">
        <f t="shared" ca="1" si="241"/>
        <v>0</v>
      </c>
      <c r="AD459" s="480"/>
      <c r="AE459" s="477">
        <f t="shared" si="242"/>
        <v>0</v>
      </c>
      <c r="AF459" s="480"/>
      <c r="AG459" s="477">
        <f t="shared" si="243"/>
        <v>0</v>
      </c>
      <c r="AH459" s="480"/>
      <c r="AI459" s="477">
        <f t="shared" si="244"/>
        <v>0</v>
      </c>
      <c r="AJ459" s="480"/>
      <c r="AK459" s="477">
        <f t="shared" ca="1" si="245"/>
        <v>0</v>
      </c>
      <c r="AL459" s="475">
        <f t="shared" ca="1" si="246"/>
        <v>0</v>
      </c>
      <c r="AM459" s="480"/>
      <c r="AN459" s="477">
        <f t="shared" si="247"/>
        <v>0</v>
      </c>
      <c r="AO459" s="480"/>
      <c r="AP459" s="477">
        <f t="shared" si="248"/>
        <v>0</v>
      </c>
      <c r="AQ459" s="480"/>
      <c r="AR459" s="477">
        <f t="shared" si="249"/>
        <v>0</v>
      </c>
      <c r="AS459" s="480"/>
      <c r="AT459" s="477">
        <f t="shared" ca="1" si="250"/>
        <v>0</v>
      </c>
      <c r="AU459" s="475">
        <f t="shared" ca="1" si="251"/>
        <v>0</v>
      </c>
      <c r="AV459" s="480"/>
      <c r="AW459" s="477">
        <f t="shared" si="252"/>
        <v>0</v>
      </c>
      <c r="AX459" s="480"/>
      <c r="AY459" s="477">
        <f t="shared" si="253"/>
        <v>0</v>
      </c>
      <c r="AZ459" s="480"/>
      <c r="BA459" s="477">
        <f t="shared" si="254"/>
        <v>0</v>
      </c>
      <c r="BB459" s="480"/>
      <c r="BC459" s="850">
        <f t="shared" ca="1" si="255"/>
        <v>0</v>
      </c>
    </row>
    <row r="460" spans="1:55">
      <c r="A460" s="837" t="str">
        <f t="shared" si="227"/>
        <v/>
      </c>
      <c r="B460" s="440"/>
      <c r="C460" s="834" t="str">
        <f t="shared" ca="1" si="228"/>
        <v/>
      </c>
      <c r="D460" s="1757" t="str">
        <f ca="1">IFERROR(VLOOKUP(LEFT(E460,4),Nom_activ_2!D:G,4,0),"")</f>
        <v/>
      </c>
      <c r="E460" s="1757" t="str">
        <f t="shared" ca="1" si="229"/>
        <v/>
      </c>
      <c r="F460" s="1777">
        <f t="shared" ca="1" si="226"/>
        <v>0</v>
      </c>
      <c r="G460" s="839">
        <f t="shared" ca="1" si="226"/>
        <v>0</v>
      </c>
      <c r="H460" s="840">
        <f t="shared" ca="1" si="226"/>
        <v>0</v>
      </c>
      <c r="I460" s="443"/>
      <c r="J460" s="838" t="str">
        <f t="shared" si="230"/>
        <v>!$A:$j</v>
      </c>
      <c r="K460" s="475">
        <f t="shared" ca="1" si="231"/>
        <v>0</v>
      </c>
      <c r="L460" s="480"/>
      <c r="M460" s="477">
        <f t="shared" si="232"/>
        <v>0</v>
      </c>
      <c r="N460" s="480"/>
      <c r="O460" s="477">
        <f t="shared" si="233"/>
        <v>0</v>
      </c>
      <c r="P460" s="480"/>
      <c r="Q460" s="477">
        <f t="shared" si="234"/>
        <v>0</v>
      </c>
      <c r="R460" s="480"/>
      <c r="S460" s="477">
        <f t="shared" ca="1" si="235"/>
        <v>0</v>
      </c>
      <c r="T460" s="475">
        <f t="shared" ca="1" si="236"/>
        <v>0</v>
      </c>
      <c r="U460" s="480"/>
      <c r="V460" s="477">
        <f t="shared" si="237"/>
        <v>0</v>
      </c>
      <c r="W460" s="480"/>
      <c r="X460" s="477">
        <f t="shared" si="238"/>
        <v>0</v>
      </c>
      <c r="Y460" s="480"/>
      <c r="Z460" s="477">
        <f t="shared" si="239"/>
        <v>0</v>
      </c>
      <c r="AA460" s="480"/>
      <c r="AB460" s="477">
        <f t="shared" ca="1" si="240"/>
        <v>0</v>
      </c>
      <c r="AC460" s="475">
        <f t="shared" ca="1" si="241"/>
        <v>0</v>
      </c>
      <c r="AD460" s="480"/>
      <c r="AE460" s="477">
        <f t="shared" si="242"/>
        <v>0</v>
      </c>
      <c r="AF460" s="480"/>
      <c r="AG460" s="477">
        <f t="shared" si="243"/>
        <v>0</v>
      </c>
      <c r="AH460" s="480"/>
      <c r="AI460" s="477">
        <f t="shared" si="244"/>
        <v>0</v>
      </c>
      <c r="AJ460" s="480"/>
      <c r="AK460" s="477">
        <f t="shared" ca="1" si="245"/>
        <v>0</v>
      </c>
      <c r="AL460" s="475">
        <f t="shared" ca="1" si="246"/>
        <v>0</v>
      </c>
      <c r="AM460" s="480"/>
      <c r="AN460" s="477">
        <f t="shared" si="247"/>
        <v>0</v>
      </c>
      <c r="AO460" s="480"/>
      <c r="AP460" s="477">
        <f t="shared" si="248"/>
        <v>0</v>
      </c>
      <c r="AQ460" s="480"/>
      <c r="AR460" s="477">
        <f t="shared" si="249"/>
        <v>0</v>
      </c>
      <c r="AS460" s="480"/>
      <c r="AT460" s="477">
        <f t="shared" ca="1" si="250"/>
        <v>0</v>
      </c>
      <c r="AU460" s="475">
        <f t="shared" ca="1" si="251"/>
        <v>0</v>
      </c>
      <c r="AV460" s="480"/>
      <c r="AW460" s="477">
        <f t="shared" si="252"/>
        <v>0</v>
      </c>
      <c r="AX460" s="480"/>
      <c r="AY460" s="477">
        <f t="shared" si="253"/>
        <v>0</v>
      </c>
      <c r="AZ460" s="480"/>
      <c r="BA460" s="477">
        <f t="shared" si="254"/>
        <v>0</v>
      </c>
      <c r="BB460" s="480"/>
      <c r="BC460" s="850">
        <f t="shared" ca="1" si="255"/>
        <v>0</v>
      </c>
    </row>
    <row r="461" spans="1:55">
      <c r="A461" s="837" t="str">
        <f t="shared" si="227"/>
        <v/>
      </c>
      <c r="B461" s="440"/>
      <c r="C461" s="834" t="str">
        <f t="shared" ca="1" si="228"/>
        <v/>
      </c>
      <c r="D461" s="1757" t="str">
        <f ca="1">IFERROR(VLOOKUP(LEFT(E461,4),Nom_activ_2!D:G,4,0),"")</f>
        <v/>
      </c>
      <c r="E461" s="1757" t="str">
        <f t="shared" ca="1" si="229"/>
        <v/>
      </c>
      <c r="F461" s="1777">
        <f t="shared" ca="1" si="226"/>
        <v>0</v>
      </c>
      <c r="G461" s="839">
        <f t="shared" ca="1" si="226"/>
        <v>0</v>
      </c>
      <c r="H461" s="840">
        <f t="shared" ca="1" si="226"/>
        <v>0</v>
      </c>
      <c r="I461" s="443"/>
      <c r="J461" s="838" t="str">
        <f t="shared" si="230"/>
        <v>!$A:$j</v>
      </c>
      <c r="K461" s="475">
        <f t="shared" ca="1" si="231"/>
        <v>0</v>
      </c>
      <c r="L461" s="480"/>
      <c r="M461" s="477">
        <f t="shared" si="232"/>
        <v>0</v>
      </c>
      <c r="N461" s="480"/>
      <c r="O461" s="477">
        <f t="shared" si="233"/>
        <v>0</v>
      </c>
      <c r="P461" s="480"/>
      <c r="Q461" s="477">
        <f t="shared" si="234"/>
        <v>0</v>
      </c>
      <c r="R461" s="480"/>
      <c r="S461" s="477">
        <f t="shared" ca="1" si="235"/>
        <v>0</v>
      </c>
      <c r="T461" s="475">
        <f t="shared" ca="1" si="236"/>
        <v>0</v>
      </c>
      <c r="U461" s="480"/>
      <c r="V461" s="477">
        <f t="shared" si="237"/>
        <v>0</v>
      </c>
      <c r="W461" s="480"/>
      <c r="X461" s="477">
        <f t="shared" si="238"/>
        <v>0</v>
      </c>
      <c r="Y461" s="480"/>
      <c r="Z461" s="477">
        <f t="shared" si="239"/>
        <v>0</v>
      </c>
      <c r="AA461" s="480"/>
      <c r="AB461" s="477">
        <f t="shared" ca="1" si="240"/>
        <v>0</v>
      </c>
      <c r="AC461" s="475">
        <f t="shared" ca="1" si="241"/>
        <v>0</v>
      </c>
      <c r="AD461" s="480"/>
      <c r="AE461" s="477">
        <f t="shared" si="242"/>
        <v>0</v>
      </c>
      <c r="AF461" s="480"/>
      <c r="AG461" s="477">
        <f t="shared" si="243"/>
        <v>0</v>
      </c>
      <c r="AH461" s="480"/>
      <c r="AI461" s="477">
        <f t="shared" si="244"/>
        <v>0</v>
      </c>
      <c r="AJ461" s="480"/>
      <c r="AK461" s="477">
        <f t="shared" ca="1" si="245"/>
        <v>0</v>
      </c>
      <c r="AL461" s="475">
        <f t="shared" ca="1" si="246"/>
        <v>0</v>
      </c>
      <c r="AM461" s="480"/>
      <c r="AN461" s="477">
        <f t="shared" si="247"/>
        <v>0</v>
      </c>
      <c r="AO461" s="480"/>
      <c r="AP461" s="477">
        <f t="shared" si="248"/>
        <v>0</v>
      </c>
      <c r="AQ461" s="480"/>
      <c r="AR461" s="477">
        <f t="shared" si="249"/>
        <v>0</v>
      </c>
      <c r="AS461" s="480"/>
      <c r="AT461" s="477">
        <f t="shared" ca="1" si="250"/>
        <v>0</v>
      </c>
      <c r="AU461" s="475">
        <f t="shared" ca="1" si="251"/>
        <v>0</v>
      </c>
      <c r="AV461" s="480"/>
      <c r="AW461" s="477">
        <f t="shared" si="252"/>
        <v>0</v>
      </c>
      <c r="AX461" s="480"/>
      <c r="AY461" s="477">
        <f t="shared" si="253"/>
        <v>0</v>
      </c>
      <c r="AZ461" s="480"/>
      <c r="BA461" s="477">
        <f t="shared" si="254"/>
        <v>0</v>
      </c>
      <c r="BB461" s="480"/>
      <c r="BC461" s="850">
        <f t="shared" ca="1" si="255"/>
        <v>0</v>
      </c>
    </row>
    <row r="462" spans="1:55">
      <c r="A462" s="837" t="str">
        <f t="shared" si="227"/>
        <v/>
      </c>
      <c r="B462" s="440"/>
      <c r="C462" s="834" t="str">
        <f t="shared" ca="1" si="228"/>
        <v/>
      </c>
      <c r="D462" s="1757" t="str">
        <f ca="1">IFERROR(VLOOKUP(LEFT(E462,4),Nom_activ_2!D:G,4,0),"")</f>
        <v/>
      </c>
      <c r="E462" s="1757" t="str">
        <f t="shared" ca="1" si="229"/>
        <v/>
      </c>
      <c r="F462" s="1777">
        <f t="shared" ca="1" si="226"/>
        <v>0</v>
      </c>
      <c r="G462" s="839">
        <f t="shared" ca="1" si="226"/>
        <v>0</v>
      </c>
      <c r="H462" s="840">
        <f t="shared" ca="1" si="226"/>
        <v>0</v>
      </c>
      <c r="I462" s="443"/>
      <c r="J462" s="838" t="str">
        <f t="shared" si="230"/>
        <v>!$A:$j</v>
      </c>
      <c r="K462" s="475">
        <f t="shared" ca="1" si="231"/>
        <v>0</v>
      </c>
      <c r="L462" s="480"/>
      <c r="M462" s="477">
        <f t="shared" si="232"/>
        <v>0</v>
      </c>
      <c r="N462" s="480"/>
      <c r="O462" s="477">
        <f t="shared" si="233"/>
        <v>0</v>
      </c>
      <c r="P462" s="480"/>
      <c r="Q462" s="477">
        <f t="shared" si="234"/>
        <v>0</v>
      </c>
      <c r="R462" s="480"/>
      <c r="S462" s="477">
        <f t="shared" ca="1" si="235"/>
        <v>0</v>
      </c>
      <c r="T462" s="475">
        <f t="shared" ca="1" si="236"/>
        <v>0</v>
      </c>
      <c r="U462" s="480"/>
      <c r="V462" s="477">
        <f t="shared" si="237"/>
        <v>0</v>
      </c>
      <c r="W462" s="480"/>
      <c r="X462" s="477">
        <f t="shared" si="238"/>
        <v>0</v>
      </c>
      <c r="Y462" s="480"/>
      <c r="Z462" s="477">
        <f t="shared" si="239"/>
        <v>0</v>
      </c>
      <c r="AA462" s="480"/>
      <c r="AB462" s="477">
        <f t="shared" ca="1" si="240"/>
        <v>0</v>
      </c>
      <c r="AC462" s="475">
        <f t="shared" ca="1" si="241"/>
        <v>0</v>
      </c>
      <c r="AD462" s="480"/>
      <c r="AE462" s="477">
        <f t="shared" si="242"/>
        <v>0</v>
      </c>
      <c r="AF462" s="480"/>
      <c r="AG462" s="477">
        <f t="shared" si="243"/>
        <v>0</v>
      </c>
      <c r="AH462" s="480"/>
      <c r="AI462" s="477">
        <f t="shared" si="244"/>
        <v>0</v>
      </c>
      <c r="AJ462" s="480"/>
      <c r="AK462" s="477">
        <f t="shared" ca="1" si="245"/>
        <v>0</v>
      </c>
      <c r="AL462" s="475">
        <f t="shared" ca="1" si="246"/>
        <v>0</v>
      </c>
      <c r="AM462" s="480"/>
      <c r="AN462" s="477">
        <f t="shared" si="247"/>
        <v>0</v>
      </c>
      <c r="AO462" s="480"/>
      <c r="AP462" s="477">
        <f t="shared" si="248"/>
        <v>0</v>
      </c>
      <c r="AQ462" s="480"/>
      <c r="AR462" s="477">
        <f t="shared" si="249"/>
        <v>0</v>
      </c>
      <c r="AS462" s="480"/>
      <c r="AT462" s="477">
        <f t="shared" ca="1" si="250"/>
        <v>0</v>
      </c>
      <c r="AU462" s="475">
        <f t="shared" ca="1" si="251"/>
        <v>0</v>
      </c>
      <c r="AV462" s="480"/>
      <c r="AW462" s="477">
        <f t="shared" si="252"/>
        <v>0</v>
      </c>
      <c r="AX462" s="480"/>
      <c r="AY462" s="477">
        <f t="shared" si="253"/>
        <v>0</v>
      </c>
      <c r="AZ462" s="480"/>
      <c r="BA462" s="477">
        <f t="shared" si="254"/>
        <v>0</v>
      </c>
      <c r="BB462" s="480"/>
      <c r="BC462" s="850">
        <f t="shared" ca="1" si="255"/>
        <v>0</v>
      </c>
    </row>
    <row r="463" spans="1:55">
      <c r="A463" s="837" t="str">
        <f t="shared" si="227"/>
        <v/>
      </c>
      <c r="B463" s="440"/>
      <c r="C463" s="834" t="str">
        <f t="shared" ca="1" si="228"/>
        <v/>
      </c>
      <c r="D463" s="1757" t="str">
        <f ca="1">IFERROR(VLOOKUP(LEFT(E463,4),Nom_activ_2!D:G,4,0),"")</f>
        <v/>
      </c>
      <c r="E463" s="1757" t="str">
        <f t="shared" ca="1" si="229"/>
        <v/>
      </c>
      <c r="F463" s="1777">
        <f t="shared" ca="1" si="226"/>
        <v>0</v>
      </c>
      <c r="G463" s="839">
        <f t="shared" ca="1" si="226"/>
        <v>0</v>
      </c>
      <c r="H463" s="840">
        <f t="shared" ca="1" si="226"/>
        <v>0</v>
      </c>
      <c r="I463" s="443"/>
      <c r="J463" s="838" t="str">
        <f t="shared" si="230"/>
        <v>!$A:$j</v>
      </c>
      <c r="K463" s="475">
        <f t="shared" ca="1" si="231"/>
        <v>0</v>
      </c>
      <c r="L463" s="480"/>
      <c r="M463" s="477">
        <f t="shared" si="232"/>
        <v>0</v>
      </c>
      <c r="N463" s="480"/>
      <c r="O463" s="477">
        <f t="shared" si="233"/>
        <v>0</v>
      </c>
      <c r="P463" s="480"/>
      <c r="Q463" s="477">
        <f t="shared" si="234"/>
        <v>0</v>
      </c>
      <c r="R463" s="480"/>
      <c r="S463" s="477">
        <f t="shared" ca="1" si="235"/>
        <v>0</v>
      </c>
      <c r="T463" s="475">
        <f t="shared" ca="1" si="236"/>
        <v>0</v>
      </c>
      <c r="U463" s="480"/>
      <c r="V463" s="477">
        <f t="shared" si="237"/>
        <v>0</v>
      </c>
      <c r="W463" s="480"/>
      <c r="X463" s="477">
        <f t="shared" si="238"/>
        <v>0</v>
      </c>
      <c r="Y463" s="480"/>
      <c r="Z463" s="477">
        <f t="shared" si="239"/>
        <v>0</v>
      </c>
      <c r="AA463" s="480"/>
      <c r="AB463" s="477">
        <f t="shared" ca="1" si="240"/>
        <v>0</v>
      </c>
      <c r="AC463" s="475">
        <f t="shared" ca="1" si="241"/>
        <v>0</v>
      </c>
      <c r="AD463" s="480"/>
      <c r="AE463" s="477">
        <f t="shared" si="242"/>
        <v>0</v>
      </c>
      <c r="AF463" s="480"/>
      <c r="AG463" s="477">
        <f t="shared" si="243"/>
        <v>0</v>
      </c>
      <c r="AH463" s="480"/>
      <c r="AI463" s="477">
        <f t="shared" si="244"/>
        <v>0</v>
      </c>
      <c r="AJ463" s="480"/>
      <c r="AK463" s="477">
        <f t="shared" ca="1" si="245"/>
        <v>0</v>
      </c>
      <c r="AL463" s="475">
        <f t="shared" ca="1" si="246"/>
        <v>0</v>
      </c>
      <c r="AM463" s="480"/>
      <c r="AN463" s="477">
        <f t="shared" si="247"/>
        <v>0</v>
      </c>
      <c r="AO463" s="480"/>
      <c r="AP463" s="477">
        <f t="shared" si="248"/>
        <v>0</v>
      </c>
      <c r="AQ463" s="480"/>
      <c r="AR463" s="477">
        <f t="shared" si="249"/>
        <v>0</v>
      </c>
      <c r="AS463" s="480"/>
      <c r="AT463" s="477">
        <f t="shared" ca="1" si="250"/>
        <v>0</v>
      </c>
      <c r="AU463" s="475">
        <f t="shared" ca="1" si="251"/>
        <v>0</v>
      </c>
      <c r="AV463" s="480"/>
      <c r="AW463" s="477">
        <f t="shared" si="252"/>
        <v>0</v>
      </c>
      <c r="AX463" s="480"/>
      <c r="AY463" s="477">
        <f t="shared" si="253"/>
        <v>0</v>
      </c>
      <c r="AZ463" s="480"/>
      <c r="BA463" s="477">
        <f t="shared" si="254"/>
        <v>0</v>
      </c>
      <c r="BB463" s="480"/>
      <c r="BC463" s="850">
        <f t="shared" ca="1" si="255"/>
        <v>0</v>
      </c>
    </row>
    <row r="464" spans="1:55">
      <c r="A464" s="837" t="str">
        <f t="shared" si="227"/>
        <v/>
      </c>
      <c r="B464" s="440"/>
      <c r="C464" s="834" t="str">
        <f t="shared" ca="1" si="228"/>
        <v/>
      </c>
      <c r="D464" s="1757" t="str">
        <f ca="1">IFERROR(VLOOKUP(LEFT(E464,4),Nom_activ_2!D:G,4,0),"")</f>
        <v/>
      </c>
      <c r="E464" s="1757" t="str">
        <f t="shared" ca="1" si="229"/>
        <v/>
      </c>
      <c r="F464" s="1777">
        <f t="shared" ca="1" si="226"/>
        <v>0</v>
      </c>
      <c r="G464" s="839">
        <f t="shared" ca="1" si="226"/>
        <v>0</v>
      </c>
      <c r="H464" s="840">
        <f t="shared" ca="1" si="226"/>
        <v>0</v>
      </c>
      <c r="I464" s="443"/>
      <c r="J464" s="838" t="str">
        <f t="shared" si="230"/>
        <v>!$A:$j</v>
      </c>
      <c r="K464" s="475">
        <f t="shared" ca="1" si="231"/>
        <v>0</v>
      </c>
      <c r="L464" s="480"/>
      <c r="M464" s="477">
        <f t="shared" si="232"/>
        <v>0</v>
      </c>
      <c r="N464" s="480"/>
      <c r="O464" s="477">
        <f t="shared" si="233"/>
        <v>0</v>
      </c>
      <c r="P464" s="480"/>
      <c r="Q464" s="477">
        <f t="shared" si="234"/>
        <v>0</v>
      </c>
      <c r="R464" s="480"/>
      <c r="S464" s="477">
        <f t="shared" ca="1" si="235"/>
        <v>0</v>
      </c>
      <c r="T464" s="475">
        <f t="shared" ca="1" si="236"/>
        <v>0</v>
      </c>
      <c r="U464" s="480"/>
      <c r="V464" s="477">
        <f t="shared" si="237"/>
        <v>0</v>
      </c>
      <c r="W464" s="480"/>
      <c r="X464" s="477">
        <f t="shared" si="238"/>
        <v>0</v>
      </c>
      <c r="Y464" s="480"/>
      <c r="Z464" s="477">
        <f t="shared" si="239"/>
        <v>0</v>
      </c>
      <c r="AA464" s="480"/>
      <c r="AB464" s="477">
        <f t="shared" ca="1" si="240"/>
        <v>0</v>
      </c>
      <c r="AC464" s="475">
        <f t="shared" ca="1" si="241"/>
        <v>0</v>
      </c>
      <c r="AD464" s="480"/>
      <c r="AE464" s="477">
        <f t="shared" si="242"/>
        <v>0</v>
      </c>
      <c r="AF464" s="480"/>
      <c r="AG464" s="477">
        <f t="shared" si="243"/>
        <v>0</v>
      </c>
      <c r="AH464" s="480"/>
      <c r="AI464" s="477">
        <f t="shared" si="244"/>
        <v>0</v>
      </c>
      <c r="AJ464" s="480"/>
      <c r="AK464" s="477">
        <f t="shared" ca="1" si="245"/>
        <v>0</v>
      </c>
      <c r="AL464" s="475">
        <f t="shared" ca="1" si="246"/>
        <v>0</v>
      </c>
      <c r="AM464" s="480"/>
      <c r="AN464" s="477">
        <f t="shared" si="247"/>
        <v>0</v>
      </c>
      <c r="AO464" s="480"/>
      <c r="AP464" s="477">
        <f t="shared" si="248"/>
        <v>0</v>
      </c>
      <c r="AQ464" s="480"/>
      <c r="AR464" s="477">
        <f t="shared" si="249"/>
        <v>0</v>
      </c>
      <c r="AS464" s="480"/>
      <c r="AT464" s="477">
        <f t="shared" ca="1" si="250"/>
        <v>0</v>
      </c>
      <c r="AU464" s="475">
        <f t="shared" ca="1" si="251"/>
        <v>0</v>
      </c>
      <c r="AV464" s="480"/>
      <c r="AW464" s="477">
        <f t="shared" si="252"/>
        <v>0</v>
      </c>
      <c r="AX464" s="480"/>
      <c r="AY464" s="477">
        <f t="shared" si="253"/>
        <v>0</v>
      </c>
      <c r="AZ464" s="480"/>
      <c r="BA464" s="477">
        <f t="shared" si="254"/>
        <v>0</v>
      </c>
      <c r="BB464" s="480"/>
      <c r="BC464" s="850">
        <f t="shared" ca="1" si="255"/>
        <v>0</v>
      </c>
    </row>
    <row r="465" spans="1:55">
      <c r="A465" s="837" t="str">
        <f t="shared" si="227"/>
        <v/>
      </c>
      <c r="B465" s="440"/>
      <c r="C465" s="834" t="str">
        <f t="shared" ca="1" si="228"/>
        <v/>
      </c>
      <c r="D465" s="1757" t="str">
        <f ca="1">IFERROR(VLOOKUP(LEFT(E465,4),Nom_activ_2!D:G,4,0),"")</f>
        <v/>
      </c>
      <c r="E465" s="1757" t="str">
        <f t="shared" ca="1" si="229"/>
        <v/>
      </c>
      <c r="F465" s="1777">
        <f t="shared" ca="1" si="226"/>
        <v>0</v>
      </c>
      <c r="G465" s="839">
        <f t="shared" ca="1" si="226"/>
        <v>0</v>
      </c>
      <c r="H465" s="840">
        <f t="shared" ca="1" si="226"/>
        <v>0</v>
      </c>
      <c r="I465" s="443"/>
      <c r="J465" s="838" t="str">
        <f t="shared" si="230"/>
        <v>!$A:$j</v>
      </c>
      <c r="K465" s="475">
        <f t="shared" ca="1" si="231"/>
        <v>0</v>
      </c>
      <c r="L465" s="480"/>
      <c r="M465" s="477">
        <f t="shared" si="232"/>
        <v>0</v>
      </c>
      <c r="N465" s="480"/>
      <c r="O465" s="477">
        <f t="shared" si="233"/>
        <v>0</v>
      </c>
      <c r="P465" s="480"/>
      <c r="Q465" s="477">
        <f t="shared" si="234"/>
        <v>0</v>
      </c>
      <c r="R465" s="480"/>
      <c r="S465" s="477">
        <f t="shared" ca="1" si="235"/>
        <v>0</v>
      </c>
      <c r="T465" s="475">
        <f t="shared" ca="1" si="236"/>
        <v>0</v>
      </c>
      <c r="U465" s="480"/>
      <c r="V465" s="477">
        <f t="shared" si="237"/>
        <v>0</v>
      </c>
      <c r="W465" s="480"/>
      <c r="X465" s="477">
        <f t="shared" si="238"/>
        <v>0</v>
      </c>
      <c r="Y465" s="480"/>
      <c r="Z465" s="477">
        <f t="shared" si="239"/>
        <v>0</v>
      </c>
      <c r="AA465" s="480"/>
      <c r="AB465" s="477">
        <f t="shared" ca="1" si="240"/>
        <v>0</v>
      </c>
      <c r="AC465" s="475">
        <f t="shared" ca="1" si="241"/>
        <v>0</v>
      </c>
      <c r="AD465" s="480"/>
      <c r="AE465" s="477">
        <f t="shared" si="242"/>
        <v>0</v>
      </c>
      <c r="AF465" s="480"/>
      <c r="AG465" s="477">
        <f t="shared" si="243"/>
        <v>0</v>
      </c>
      <c r="AH465" s="480"/>
      <c r="AI465" s="477">
        <f t="shared" si="244"/>
        <v>0</v>
      </c>
      <c r="AJ465" s="480"/>
      <c r="AK465" s="477">
        <f t="shared" ca="1" si="245"/>
        <v>0</v>
      </c>
      <c r="AL465" s="475">
        <f t="shared" ca="1" si="246"/>
        <v>0</v>
      </c>
      <c r="AM465" s="480"/>
      <c r="AN465" s="477">
        <f t="shared" si="247"/>
        <v>0</v>
      </c>
      <c r="AO465" s="480"/>
      <c r="AP465" s="477">
        <f t="shared" si="248"/>
        <v>0</v>
      </c>
      <c r="AQ465" s="480"/>
      <c r="AR465" s="477">
        <f t="shared" si="249"/>
        <v>0</v>
      </c>
      <c r="AS465" s="480"/>
      <c r="AT465" s="477">
        <f t="shared" ca="1" si="250"/>
        <v>0</v>
      </c>
      <c r="AU465" s="475">
        <f t="shared" ca="1" si="251"/>
        <v>0</v>
      </c>
      <c r="AV465" s="480"/>
      <c r="AW465" s="477">
        <f t="shared" si="252"/>
        <v>0</v>
      </c>
      <c r="AX465" s="480"/>
      <c r="AY465" s="477">
        <f t="shared" si="253"/>
        <v>0</v>
      </c>
      <c r="AZ465" s="480"/>
      <c r="BA465" s="477">
        <f t="shared" si="254"/>
        <v>0</v>
      </c>
      <c r="BB465" s="480"/>
      <c r="BC465" s="850">
        <f t="shared" ca="1" si="255"/>
        <v>0</v>
      </c>
    </row>
    <row r="466" spans="1:55">
      <c r="A466" s="837" t="str">
        <f t="shared" si="227"/>
        <v/>
      </c>
      <c r="B466" s="440"/>
      <c r="C466" s="834" t="str">
        <f t="shared" ca="1" si="228"/>
        <v/>
      </c>
      <c r="D466" s="1757" t="str">
        <f ca="1">IFERROR(VLOOKUP(LEFT(E466,4),Nom_activ_2!D:G,4,0),"")</f>
        <v/>
      </c>
      <c r="E466" s="1757" t="str">
        <f t="shared" ca="1" si="229"/>
        <v/>
      </c>
      <c r="F466" s="1777">
        <f t="shared" ca="1" si="226"/>
        <v>0</v>
      </c>
      <c r="G466" s="839">
        <f t="shared" ca="1" si="226"/>
        <v>0</v>
      </c>
      <c r="H466" s="840">
        <f t="shared" ca="1" si="226"/>
        <v>0</v>
      </c>
      <c r="I466" s="443"/>
      <c r="J466" s="838" t="str">
        <f t="shared" si="230"/>
        <v>!$A:$j</v>
      </c>
      <c r="K466" s="475">
        <f t="shared" ca="1" si="231"/>
        <v>0</v>
      </c>
      <c r="L466" s="480"/>
      <c r="M466" s="477">
        <f t="shared" si="232"/>
        <v>0</v>
      </c>
      <c r="N466" s="480"/>
      <c r="O466" s="477">
        <f t="shared" si="233"/>
        <v>0</v>
      </c>
      <c r="P466" s="480"/>
      <c r="Q466" s="477">
        <f t="shared" si="234"/>
        <v>0</v>
      </c>
      <c r="R466" s="480"/>
      <c r="S466" s="477">
        <f t="shared" ca="1" si="235"/>
        <v>0</v>
      </c>
      <c r="T466" s="475">
        <f t="shared" ca="1" si="236"/>
        <v>0</v>
      </c>
      <c r="U466" s="480"/>
      <c r="V466" s="477">
        <f t="shared" si="237"/>
        <v>0</v>
      </c>
      <c r="W466" s="480"/>
      <c r="X466" s="477">
        <f t="shared" si="238"/>
        <v>0</v>
      </c>
      <c r="Y466" s="480"/>
      <c r="Z466" s="477">
        <f t="shared" si="239"/>
        <v>0</v>
      </c>
      <c r="AA466" s="480"/>
      <c r="AB466" s="477">
        <f t="shared" ca="1" si="240"/>
        <v>0</v>
      </c>
      <c r="AC466" s="475">
        <f t="shared" ca="1" si="241"/>
        <v>0</v>
      </c>
      <c r="AD466" s="480"/>
      <c r="AE466" s="477">
        <f t="shared" si="242"/>
        <v>0</v>
      </c>
      <c r="AF466" s="480"/>
      <c r="AG466" s="477">
        <f t="shared" si="243"/>
        <v>0</v>
      </c>
      <c r="AH466" s="480"/>
      <c r="AI466" s="477">
        <f t="shared" si="244"/>
        <v>0</v>
      </c>
      <c r="AJ466" s="480"/>
      <c r="AK466" s="477">
        <f t="shared" ca="1" si="245"/>
        <v>0</v>
      </c>
      <c r="AL466" s="475">
        <f t="shared" ca="1" si="246"/>
        <v>0</v>
      </c>
      <c r="AM466" s="480"/>
      <c r="AN466" s="477">
        <f t="shared" si="247"/>
        <v>0</v>
      </c>
      <c r="AO466" s="480"/>
      <c r="AP466" s="477">
        <f t="shared" si="248"/>
        <v>0</v>
      </c>
      <c r="AQ466" s="480"/>
      <c r="AR466" s="477">
        <f t="shared" si="249"/>
        <v>0</v>
      </c>
      <c r="AS466" s="480"/>
      <c r="AT466" s="477">
        <f t="shared" ca="1" si="250"/>
        <v>0</v>
      </c>
      <c r="AU466" s="475">
        <f t="shared" ca="1" si="251"/>
        <v>0</v>
      </c>
      <c r="AV466" s="480"/>
      <c r="AW466" s="477">
        <f t="shared" si="252"/>
        <v>0</v>
      </c>
      <c r="AX466" s="480"/>
      <c r="AY466" s="477">
        <f t="shared" si="253"/>
        <v>0</v>
      </c>
      <c r="AZ466" s="480"/>
      <c r="BA466" s="477">
        <f t="shared" si="254"/>
        <v>0</v>
      </c>
      <c r="BB466" s="480"/>
      <c r="BC466" s="850">
        <f t="shared" ca="1" si="255"/>
        <v>0</v>
      </c>
    </row>
    <row r="467" spans="1:55">
      <c r="A467" s="837" t="str">
        <f t="shared" si="227"/>
        <v/>
      </c>
      <c r="B467" s="440"/>
      <c r="C467" s="834" t="str">
        <f t="shared" ca="1" si="228"/>
        <v/>
      </c>
      <c r="D467" s="1757" t="str">
        <f ca="1">IFERROR(VLOOKUP(LEFT(E467,4),Nom_activ_2!D:G,4,0),"")</f>
        <v/>
      </c>
      <c r="E467" s="1757" t="str">
        <f t="shared" ca="1" si="229"/>
        <v/>
      </c>
      <c r="F467" s="1777">
        <f t="shared" ref="F467:H486" ca="1" si="256">IFERROR(VLOOKUP($B467,INDIRECT($J467),F$5,0),0)</f>
        <v>0</v>
      </c>
      <c r="G467" s="839">
        <f t="shared" ca="1" si="256"/>
        <v>0</v>
      </c>
      <c r="H467" s="840">
        <f t="shared" ca="1" si="256"/>
        <v>0</v>
      </c>
      <c r="I467" s="443"/>
      <c r="J467" s="838" t="str">
        <f t="shared" si="230"/>
        <v>!$A:$j</v>
      </c>
      <c r="K467" s="475">
        <f t="shared" ca="1" si="231"/>
        <v>0</v>
      </c>
      <c r="L467" s="480"/>
      <c r="M467" s="477">
        <f t="shared" si="232"/>
        <v>0</v>
      </c>
      <c r="N467" s="480"/>
      <c r="O467" s="477">
        <f t="shared" si="233"/>
        <v>0</v>
      </c>
      <c r="P467" s="480"/>
      <c r="Q467" s="477">
        <f t="shared" si="234"/>
        <v>0</v>
      </c>
      <c r="R467" s="480"/>
      <c r="S467" s="477">
        <f t="shared" ca="1" si="235"/>
        <v>0</v>
      </c>
      <c r="T467" s="475">
        <f t="shared" ca="1" si="236"/>
        <v>0</v>
      </c>
      <c r="U467" s="480"/>
      <c r="V467" s="477">
        <f t="shared" si="237"/>
        <v>0</v>
      </c>
      <c r="W467" s="480"/>
      <c r="X467" s="477">
        <f t="shared" si="238"/>
        <v>0</v>
      </c>
      <c r="Y467" s="480"/>
      <c r="Z467" s="477">
        <f t="shared" si="239"/>
        <v>0</v>
      </c>
      <c r="AA467" s="480"/>
      <c r="AB467" s="477">
        <f t="shared" ca="1" si="240"/>
        <v>0</v>
      </c>
      <c r="AC467" s="475">
        <f t="shared" ca="1" si="241"/>
        <v>0</v>
      </c>
      <c r="AD467" s="480"/>
      <c r="AE467" s="477">
        <f t="shared" si="242"/>
        <v>0</v>
      </c>
      <c r="AF467" s="480"/>
      <c r="AG467" s="477">
        <f t="shared" si="243"/>
        <v>0</v>
      </c>
      <c r="AH467" s="480"/>
      <c r="AI467" s="477">
        <f t="shared" si="244"/>
        <v>0</v>
      </c>
      <c r="AJ467" s="480"/>
      <c r="AK467" s="477">
        <f t="shared" ca="1" si="245"/>
        <v>0</v>
      </c>
      <c r="AL467" s="475">
        <f t="shared" ca="1" si="246"/>
        <v>0</v>
      </c>
      <c r="AM467" s="480"/>
      <c r="AN467" s="477">
        <f t="shared" si="247"/>
        <v>0</v>
      </c>
      <c r="AO467" s="480"/>
      <c r="AP467" s="477">
        <f t="shared" si="248"/>
        <v>0</v>
      </c>
      <c r="AQ467" s="480"/>
      <c r="AR467" s="477">
        <f t="shared" si="249"/>
        <v>0</v>
      </c>
      <c r="AS467" s="480"/>
      <c r="AT467" s="477">
        <f t="shared" ca="1" si="250"/>
        <v>0</v>
      </c>
      <c r="AU467" s="475">
        <f t="shared" ca="1" si="251"/>
        <v>0</v>
      </c>
      <c r="AV467" s="480"/>
      <c r="AW467" s="477">
        <f t="shared" si="252"/>
        <v>0</v>
      </c>
      <c r="AX467" s="480"/>
      <c r="AY467" s="477">
        <f t="shared" si="253"/>
        <v>0</v>
      </c>
      <c r="AZ467" s="480"/>
      <c r="BA467" s="477">
        <f t="shared" si="254"/>
        <v>0</v>
      </c>
      <c r="BB467" s="480"/>
      <c r="BC467" s="850">
        <f t="shared" ca="1" si="255"/>
        <v>0</v>
      </c>
    </row>
    <row r="468" spans="1:55">
      <c r="A468" s="837" t="str">
        <f t="shared" si="227"/>
        <v/>
      </c>
      <c r="B468" s="440"/>
      <c r="C468" s="834" t="str">
        <f t="shared" ca="1" si="228"/>
        <v/>
      </c>
      <c r="D468" s="1757" t="str">
        <f ca="1">IFERROR(VLOOKUP(LEFT(E468,4),Nom_activ_2!D:G,4,0),"")</f>
        <v/>
      </c>
      <c r="E468" s="1757" t="str">
        <f t="shared" ca="1" si="229"/>
        <v/>
      </c>
      <c r="F468" s="1777">
        <f t="shared" ca="1" si="256"/>
        <v>0</v>
      </c>
      <c r="G468" s="839">
        <f t="shared" ca="1" si="256"/>
        <v>0</v>
      </c>
      <c r="H468" s="840">
        <f t="shared" ca="1" si="256"/>
        <v>0</v>
      </c>
      <c r="I468" s="443"/>
      <c r="J468" s="838" t="str">
        <f t="shared" si="230"/>
        <v>!$A:$j</v>
      </c>
      <c r="K468" s="475">
        <f t="shared" ca="1" si="231"/>
        <v>0</v>
      </c>
      <c r="L468" s="480"/>
      <c r="M468" s="477">
        <f t="shared" si="232"/>
        <v>0</v>
      </c>
      <c r="N468" s="480"/>
      <c r="O468" s="477">
        <f t="shared" si="233"/>
        <v>0</v>
      </c>
      <c r="P468" s="480"/>
      <c r="Q468" s="477">
        <f t="shared" si="234"/>
        <v>0</v>
      </c>
      <c r="R468" s="480"/>
      <c r="S468" s="477">
        <f t="shared" ca="1" si="235"/>
        <v>0</v>
      </c>
      <c r="T468" s="475">
        <f t="shared" ca="1" si="236"/>
        <v>0</v>
      </c>
      <c r="U468" s="480"/>
      <c r="V468" s="477">
        <f t="shared" si="237"/>
        <v>0</v>
      </c>
      <c r="W468" s="480"/>
      <c r="X468" s="477">
        <f t="shared" si="238"/>
        <v>0</v>
      </c>
      <c r="Y468" s="480"/>
      <c r="Z468" s="477">
        <f t="shared" si="239"/>
        <v>0</v>
      </c>
      <c r="AA468" s="480"/>
      <c r="AB468" s="477">
        <f t="shared" ca="1" si="240"/>
        <v>0</v>
      </c>
      <c r="AC468" s="475">
        <f t="shared" ca="1" si="241"/>
        <v>0</v>
      </c>
      <c r="AD468" s="480"/>
      <c r="AE468" s="477">
        <f t="shared" si="242"/>
        <v>0</v>
      </c>
      <c r="AF468" s="480"/>
      <c r="AG468" s="477">
        <f t="shared" si="243"/>
        <v>0</v>
      </c>
      <c r="AH468" s="480"/>
      <c r="AI468" s="477">
        <f t="shared" si="244"/>
        <v>0</v>
      </c>
      <c r="AJ468" s="480"/>
      <c r="AK468" s="477">
        <f t="shared" ca="1" si="245"/>
        <v>0</v>
      </c>
      <c r="AL468" s="475">
        <f t="shared" ca="1" si="246"/>
        <v>0</v>
      </c>
      <c r="AM468" s="480"/>
      <c r="AN468" s="477">
        <f t="shared" si="247"/>
        <v>0</v>
      </c>
      <c r="AO468" s="480"/>
      <c r="AP468" s="477">
        <f t="shared" si="248"/>
        <v>0</v>
      </c>
      <c r="AQ468" s="480"/>
      <c r="AR468" s="477">
        <f t="shared" si="249"/>
        <v>0</v>
      </c>
      <c r="AS468" s="480"/>
      <c r="AT468" s="477">
        <f t="shared" ca="1" si="250"/>
        <v>0</v>
      </c>
      <c r="AU468" s="475">
        <f t="shared" ca="1" si="251"/>
        <v>0</v>
      </c>
      <c r="AV468" s="480"/>
      <c r="AW468" s="477">
        <f t="shared" si="252"/>
        <v>0</v>
      </c>
      <c r="AX468" s="480"/>
      <c r="AY468" s="477">
        <f t="shared" si="253"/>
        <v>0</v>
      </c>
      <c r="AZ468" s="480"/>
      <c r="BA468" s="477">
        <f t="shared" si="254"/>
        <v>0</v>
      </c>
      <c r="BB468" s="480"/>
      <c r="BC468" s="850">
        <f t="shared" ca="1" si="255"/>
        <v>0</v>
      </c>
    </row>
    <row r="469" spans="1:55">
      <c r="A469" s="837" t="str">
        <f t="shared" si="227"/>
        <v/>
      </c>
      <c r="B469" s="440"/>
      <c r="C469" s="834" t="str">
        <f t="shared" ca="1" si="228"/>
        <v/>
      </c>
      <c r="D469" s="1757" t="str">
        <f ca="1">IFERROR(VLOOKUP(LEFT(E469,4),Nom_activ_2!D:G,4,0),"")</f>
        <v/>
      </c>
      <c r="E469" s="1757" t="str">
        <f t="shared" ca="1" si="229"/>
        <v/>
      </c>
      <c r="F469" s="1777">
        <f t="shared" ca="1" si="256"/>
        <v>0</v>
      </c>
      <c r="G469" s="839">
        <f t="shared" ca="1" si="256"/>
        <v>0</v>
      </c>
      <c r="H469" s="840">
        <f t="shared" ca="1" si="256"/>
        <v>0</v>
      </c>
      <c r="I469" s="443"/>
      <c r="J469" s="838" t="str">
        <f t="shared" si="230"/>
        <v>!$A:$j</v>
      </c>
      <c r="K469" s="475">
        <f t="shared" ca="1" si="231"/>
        <v>0</v>
      </c>
      <c r="L469" s="480"/>
      <c r="M469" s="477">
        <f t="shared" si="232"/>
        <v>0</v>
      </c>
      <c r="N469" s="480"/>
      <c r="O469" s="477">
        <f t="shared" si="233"/>
        <v>0</v>
      </c>
      <c r="P469" s="480"/>
      <c r="Q469" s="477">
        <f t="shared" si="234"/>
        <v>0</v>
      </c>
      <c r="R469" s="480"/>
      <c r="S469" s="477">
        <f t="shared" ca="1" si="235"/>
        <v>0</v>
      </c>
      <c r="T469" s="475">
        <f t="shared" ca="1" si="236"/>
        <v>0</v>
      </c>
      <c r="U469" s="480"/>
      <c r="V469" s="477">
        <f t="shared" si="237"/>
        <v>0</v>
      </c>
      <c r="W469" s="480"/>
      <c r="X469" s="477">
        <f t="shared" si="238"/>
        <v>0</v>
      </c>
      <c r="Y469" s="480"/>
      <c r="Z469" s="477">
        <f t="shared" si="239"/>
        <v>0</v>
      </c>
      <c r="AA469" s="480"/>
      <c r="AB469" s="477">
        <f t="shared" ca="1" si="240"/>
        <v>0</v>
      </c>
      <c r="AC469" s="475">
        <f t="shared" ca="1" si="241"/>
        <v>0</v>
      </c>
      <c r="AD469" s="480"/>
      <c r="AE469" s="477">
        <f t="shared" si="242"/>
        <v>0</v>
      </c>
      <c r="AF469" s="480"/>
      <c r="AG469" s="477">
        <f t="shared" si="243"/>
        <v>0</v>
      </c>
      <c r="AH469" s="480"/>
      <c r="AI469" s="477">
        <f t="shared" si="244"/>
        <v>0</v>
      </c>
      <c r="AJ469" s="480"/>
      <c r="AK469" s="477">
        <f t="shared" ca="1" si="245"/>
        <v>0</v>
      </c>
      <c r="AL469" s="475">
        <f t="shared" ca="1" si="246"/>
        <v>0</v>
      </c>
      <c r="AM469" s="480"/>
      <c r="AN469" s="477">
        <f t="shared" si="247"/>
        <v>0</v>
      </c>
      <c r="AO469" s="480"/>
      <c r="AP469" s="477">
        <f t="shared" si="248"/>
        <v>0</v>
      </c>
      <c r="AQ469" s="480"/>
      <c r="AR469" s="477">
        <f t="shared" si="249"/>
        <v>0</v>
      </c>
      <c r="AS469" s="480"/>
      <c r="AT469" s="477">
        <f t="shared" ca="1" si="250"/>
        <v>0</v>
      </c>
      <c r="AU469" s="475">
        <f t="shared" ca="1" si="251"/>
        <v>0</v>
      </c>
      <c r="AV469" s="480"/>
      <c r="AW469" s="477">
        <f t="shared" si="252"/>
        <v>0</v>
      </c>
      <c r="AX469" s="480"/>
      <c r="AY469" s="477">
        <f t="shared" si="253"/>
        <v>0</v>
      </c>
      <c r="AZ469" s="480"/>
      <c r="BA469" s="477">
        <f t="shared" si="254"/>
        <v>0</v>
      </c>
      <c r="BB469" s="480"/>
      <c r="BC469" s="850">
        <f t="shared" ca="1" si="255"/>
        <v>0</v>
      </c>
    </row>
    <row r="470" spans="1:55">
      <c r="A470" s="837" t="str">
        <f t="shared" si="227"/>
        <v/>
      </c>
      <c r="B470" s="440"/>
      <c r="C470" s="834" t="str">
        <f t="shared" ca="1" si="228"/>
        <v/>
      </c>
      <c r="D470" s="1757" t="str">
        <f ca="1">IFERROR(VLOOKUP(LEFT(E470,4),Nom_activ_2!D:G,4,0),"")</f>
        <v/>
      </c>
      <c r="E470" s="1757" t="str">
        <f t="shared" ca="1" si="229"/>
        <v/>
      </c>
      <c r="F470" s="1777">
        <f t="shared" ca="1" si="256"/>
        <v>0</v>
      </c>
      <c r="G470" s="839">
        <f t="shared" ca="1" si="256"/>
        <v>0</v>
      </c>
      <c r="H470" s="840">
        <f t="shared" ca="1" si="256"/>
        <v>0</v>
      </c>
      <c r="I470" s="443"/>
      <c r="J470" s="838" t="str">
        <f t="shared" si="230"/>
        <v>!$A:$j</v>
      </c>
      <c r="K470" s="475">
        <f t="shared" ca="1" si="231"/>
        <v>0</v>
      </c>
      <c r="L470" s="480"/>
      <c r="M470" s="477">
        <f t="shared" si="232"/>
        <v>0</v>
      </c>
      <c r="N470" s="480"/>
      <c r="O470" s="477">
        <f t="shared" si="233"/>
        <v>0</v>
      </c>
      <c r="P470" s="480"/>
      <c r="Q470" s="477">
        <f t="shared" si="234"/>
        <v>0</v>
      </c>
      <c r="R470" s="480"/>
      <c r="S470" s="477">
        <f t="shared" ca="1" si="235"/>
        <v>0</v>
      </c>
      <c r="T470" s="475">
        <f t="shared" ca="1" si="236"/>
        <v>0</v>
      </c>
      <c r="U470" s="480"/>
      <c r="V470" s="477">
        <f t="shared" si="237"/>
        <v>0</v>
      </c>
      <c r="W470" s="480"/>
      <c r="X470" s="477">
        <f t="shared" si="238"/>
        <v>0</v>
      </c>
      <c r="Y470" s="480"/>
      <c r="Z470" s="477">
        <f t="shared" si="239"/>
        <v>0</v>
      </c>
      <c r="AA470" s="480"/>
      <c r="AB470" s="477">
        <f t="shared" ca="1" si="240"/>
        <v>0</v>
      </c>
      <c r="AC470" s="475">
        <f t="shared" ca="1" si="241"/>
        <v>0</v>
      </c>
      <c r="AD470" s="480"/>
      <c r="AE470" s="477">
        <f t="shared" si="242"/>
        <v>0</v>
      </c>
      <c r="AF470" s="480"/>
      <c r="AG470" s="477">
        <f t="shared" si="243"/>
        <v>0</v>
      </c>
      <c r="AH470" s="480"/>
      <c r="AI470" s="477">
        <f t="shared" si="244"/>
        <v>0</v>
      </c>
      <c r="AJ470" s="480"/>
      <c r="AK470" s="477">
        <f t="shared" ca="1" si="245"/>
        <v>0</v>
      </c>
      <c r="AL470" s="475">
        <f t="shared" ca="1" si="246"/>
        <v>0</v>
      </c>
      <c r="AM470" s="480"/>
      <c r="AN470" s="477">
        <f t="shared" si="247"/>
        <v>0</v>
      </c>
      <c r="AO470" s="480"/>
      <c r="AP470" s="477">
        <f t="shared" si="248"/>
        <v>0</v>
      </c>
      <c r="AQ470" s="480"/>
      <c r="AR470" s="477">
        <f t="shared" si="249"/>
        <v>0</v>
      </c>
      <c r="AS470" s="480"/>
      <c r="AT470" s="477">
        <f t="shared" ca="1" si="250"/>
        <v>0</v>
      </c>
      <c r="AU470" s="475">
        <f t="shared" ca="1" si="251"/>
        <v>0</v>
      </c>
      <c r="AV470" s="480"/>
      <c r="AW470" s="477">
        <f t="shared" si="252"/>
        <v>0</v>
      </c>
      <c r="AX470" s="480"/>
      <c r="AY470" s="477">
        <f t="shared" si="253"/>
        <v>0</v>
      </c>
      <c r="AZ470" s="480"/>
      <c r="BA470" s="477">
        <f t="shared" si="254"/>
        <v>0</v>
      </c>
      <c r="BB470" s="480"/>
      <c r="BC470" s="850">
        <f t="shared" ca="1" si="255"/>
        <v>0</v>
      </c>
    </row>
    <row r="471" spans="1:55">
      <c r="A471" s="837" t="str">
        <f t="shared" si="227"/>
        <v/>
      </c>
      <c r="B471" s="440"/>
      <c r="C471" s="834" t="str">
        <f t="shared" ca="1" si="228"/>
        <v/>
      </c>
      <c r="D471" s="1757" t="str">
        <f ca="1">IFERROR(VLOOKUP(LEFT(E471,4),Nom_activ_2!D:G,4,0),"")</f>
        <v/>
      </c>
      <c r="E471" s="1757" t="str">
        <f t="shared" ca="1" si="229"/>
        <v/>
      </c>
      <c r="F471" s="1777">
        <f t="shared" ca="1" si="256"/>
        <v>0</v>
      </c>
      <c r="G471" s="839">
        <f t="shared" ca="1" si="256"/>
        <v>0</v>
      </c>
      <c r="H471" s="840">
        <f t="shared" ca="1" si="256"/>
        <v>0</v>
      </c>
      <c r="I471" s="443"/>
      <c r="J471" s="838" t="str">
        <f t="shared" si="230"/>
        <v>!$A:$j</v>
      </c>
      <c r="K471" s="475">
        <f t="shared" ca="1" si="231"/>
        <v>0</v>
      </c>
      <c r="L471" s="480"/>
      <c r="M471" s="477">
        <f t="shared" si="232"/>
        <v>0</v>
      </c>
      <c r="N471" s="480"/>
      <c r="O471" s="477">
        <f t="shared" si="233"/>
        <v>0</v>
      </c>
      <c r="P471" s="480"/>
      <c r="Q471" s="477">
        <f t="shared" si="234"/>
        <v>0</v>
      </c>
      <c r="R471" s="480"/>
      <c r="S471" s="477">
        <f t="shared" ca="1" si="235"/>
        <v>0</v>
      </c>
      <c r="T471" s="475">
        <f t="shared" ca="1" si="236"/>
        <v>0</v>
      </c>
      <c r="U471" s="480"/>
      <c r="V471" s="477">
        <f t="shared" si="237"/>
        <v>0</v>
      </c>
      <c r="W471" s="480"/>
      <c r="X471" s="477">
        <f t="shared" si="238"/>
        <v>0</v>
      </c>
      <c r="Y471" s="480"/>
      <c r="Z471" s="477">
        <f t="shared" si="239"/>
        <v>0</v>
      </c>
      <c r="AA471" s="480"/>
      <c r="AB471" s="477">
        <f t="shared" ca="1" si="240"/>
        <v>0</v>
      </c>
      <c r="AC471" s="475">
        <f t="shared" ca="1" si="241"/>
        <v>0</v>
      </c>
      <c r="AD471" s="480"/>
      <c r="AE471" s="477">
        <f t="shared" si="242"/>
        <v>0</v>
      </c>
      <c r="AF471" s="480"/>
      <c r="AG471" s="477">
        <f t="shared" si="243"/>
        <v>0</v>
      </c>
      <c r="AH471" s="480"/>
      <c r="AI471" s="477">
        <f t="shared" si="244"/>
        <v>0</v>
      </c>
      <c r="AJ471" s="480"/>
      <c r="AK471" s="477">
        <f t="shared" ca="1" si="245"/>
        <v>0</v>
      </c>
      <c r="AL471" s="475">
        <f t="shared" ca="1" si="246"/>
        <v>0</v>
      </c>
      <c r="AM471" s="480"/>
      <c r="AN471" s="477">
        <f t="shared" si="247"/>
        <v>0</v>
      </c>
      <c r="AO471" s="480"/>
      <c r="AP471" s="477">
        <f t="shared" si="248"/>
        <v>0</v>
      </c>
      <c r="AQ471" s="480"/>
      <c r="AR471" s="477">
        <f t="shared" si="249"/>
        <v>0</v>
      </c>
      <c r="AS471" s="480"/>
      <c r="AT471" s="477">
        <f t="shared" ca="1" si="250"/>
        <v>0</v>
      </c>
      <c r="AU471" s="475">
        <f t="shared" ca="1" si="251"/>
        <v>0</v>
      </c>
      <c r="AV471" s="480"/>
      <c r="AW471" s="477">
        <f t="shared" si="252"/>
        <v>0</v>
      </c>
      <c r="AX471" s="480"/>
      <c r="AY471" s="477">
        <f t="shared" si="253"/>
        <v>0</v>
      </c>
      <c r="AZ471" s="480"/>
      <c r="BA471" s="477">
        <f t="shared" si="254"/>
        <v>0</v>
      </c>
      <c r="BB471" s="480"/>
      <c r="BC471" s="850">
        <f t="shared" ca="1" si="255"/>
        <v>0</v>
      </c>
    </row>
    <row r="472" spans="1:55">
      <c r="A472" s="837" t="str">
        <f t="shared" si="227"/>
        <v/>
      </c>
      <c r="B472" s="440"/>
      <c r="C472" s="834" t="str">
        <f t="shared" ca="1" si="228"/>
        <v/>
      </c>
      <c r="D472" s="1757" t="str">
        <f ca="1">IFERROR(VLOOKUP(LEFT(E472,4),Nom_activ_2!D:G,4,0),"")</f>
        <v/>
      </c>
      <c r="E472" s="1757" t="str">
        <f t="shared" ca="1" si="229"/>
        <v/>
      </c>
      <c r="F472" s="1777">
        <f t="shared" ca="1" si="256"/>
        <v>0</v>
      </c>
      <c r="G472" s="839">
        <f t="shared" ca="1" si="256"/>
        <v>0</v>
      </c>
      <c r="H472" s="840">
        <f t="shared" ca="1" si="256"/>
        <v>0</v>
      </c>
      <c r="I472" s="443"/>
      <c r="J472" s="838" t="str">
        <f t="shared" si="230"/>
        <v>!$A:$j</v>
      </c>
      <c r="K472" s="475">
        <f t="shared" ca="1" si="231"/>
        <v>0</v>
      </c>
      <c r="L472" s="480"/>
      <c r="M472" s="477">
        <f t="shared" si="232"/>
        <v>0</v>
      </c>
      <c r="N472" s="480"/>
      <c r="O472" s="477">
        <f t="shared" si="233"/>
        <v>0</v>
      </c>
      <c r="P472" s="480"/>
      <c r="Q472" s="477">
        <f t="shared" si="234"/>
        <v>0</v>
      </c>
      <c r="R472" s="480"/>
      <c r="S472" s="477">
        <f t="shared" ca="1" si="235"/>
        <v>0</v>
      </c>
      <c r="T472" s="475">
        <f t="shared" ca="1" si="236"/>
        <v>0</v>
      </c>
      <c r="U472" s="480"/>
      <c r="V472" s="477">
        <f t="shared" si="237"/>
        <v>0</v>
      </c>
      <c r="W472" s="480"/>
      <c r="X472" s="477">
        <f t="shared" si="238"/>
        <v>0</v>
      </c>
      <c r="Y472" s="480"/>
      <c r="Z472" s="477">
        <f t="shared" si="239"/>
        <v>0</v>
      </c>
      <c r="AA472" s="480"/>
      <c r="AB472" s="477">
        <f t="shared" ca="1" si="240"/>
        <v>0</v>
      </c>
      <c r="AC472" s="475">
        <f t="shared" ca="1" si="241"/>
        <v>0</v>
      </c>
      <c r="AD472" s="480"/>
      <c r="AE472" s="477">
        <f t="shared" si="242"/>
        <v>0</v>
      </c>
      <c r="AF472" s="480"/>
      <c r="AG472" s="477">
        <f t="shared" si="243"/>
        <v>0</v>
      </c>
      <c r="AH472" s="480"/>
      <c r="AI472" s="477">
        <f t="shared" si="244"/>
        <v>0</v>
      </c>
      <c r="AJ472" s="480"/>
      <c r="AK472" s="477">
        <f t="shared" ca="1" si="245"/>
        <v>0</v>
      </c>
      <c r="AL472" s="475">
        <f t="shared" ca="1" si="246"/>
        <v>0</v>
      </c>
      <c r="AM472" s="480"/>
      <c r="AN472" s="477">
        <f t="shared" si="247"/>
        <v>0</v>
      </c>
      <c r="AO472" s="480"/>
      <c r="AP472" s="477">
        <f t="shared" si="248"/>
        <v>0</v>
      </c>
      <c r="AQ472" s="480"/>
      <c r="AR472" s="477">
        <f t="shared" si="249"/>
        <v>0</v>
      </c>
      <c r="AS472" s="480"/>
      <c r="AT472" s="477">
        <f t="shared" ca="1" si="250"/>
        <v>0</v>
      </c>
      <c r="AU472" s="475">
        <f t="shared" ca="1" si="251"/>
        <v>0</v>
      </c>
      <c r="AV472" s="480"/>
      <c r="AW472" s="477">
        <f t="shared" si="252"/>
        <v>0</v>
      </c>
      <c r="AX472" s="480"/>
      <c r="AY472" s="477">
        <f t="shared" si="253"/>
        <v>0</v>
      </c>
      <c r="AZ472" s="480"/>
      <c r="BA472" s="477">
        <f t="shared" si="254"/>
        <v>0</v>
      </c>
      <c r="BB472" s="480"/>
      <c r="BC472" s="850">
        <f t="shared" ca="1" si="255"/>
        <v>0</v>
      </c>
    </row>
    <row r="473" spans="1:55">
      <c r="A473" s="837" t="str">
        <f t="shared" si="227"/>
        <v/>
      </c>
      <c r="B473" s="440"/>
      <c r="C473" s="834" t="str">
        <f t="shared" ca="1" si="228"/>
        <v/>
      </c>
      <c r="D473" s="1757" t="str">
        <f ca="1">IFERROR(VLOOKUP(LEFT(E473,4),Nom_activ_2!D:G,4,0),"")</f>
        <v/>
      </c>
      <c r="E473" s="1757" t="str">
        <f t="shared" ca="1" si="229"/>
        <v/>
      </c>
      <c r="F473" s="1777">
        <f t="shared" ca="1" si="256"/>
        <v>0</v>
      </c>
      <c r="G473" s="839">
        <f t="shared" ca="1" si="256"/>
        <v>0</v>
      </c>
      <c r="H473" s="840">
        <f t="shared" ca="1" si="256"/>
        <v>0</v>
      </c>
      <c r="I473" s="443"/>
      <c r="J473" s="838" t="str">
        <f t="shared" si="230"/>
        <v>!$A:$j</v>
      </c>
      <c r="K473" s="475">
        <f t="shared" ca="1" si="231"/>
        <v>0</v>
      </c>
      <c r="L473" s="480"/>
      <c r="M473" s="477">
        <f t="shared" si="232"/>
        <v>0</v>
      </c>
      <c r="N473" s="480"/>
      <c r="O473" s="477">
        <f t="shared" si="233"/>
        <v>0</v>
      </c>
      <c r="P473" s="480"/>
      <c r="Q473" s="477">
        <f t="shared" si="234"/>
        <v>0</v>
      </c>
      <c r="R473" s="480"/>
      <c r="S473" s="477">
        <f t="shared" ca="1" si="235"/>
        <v>0</v>
      </c>
      <c r="T473" s="475">
        <f t="shared" ca="1" si="236"/>
        <v>0</v>
      </c>
      <c r="U473" s="480"/>
      <c r="V473" s="477">
        <f t="shared" si="237"/>
        <v>0</v>
      </c>
      <c r="W473" s="480"/>
      <c r="X473" s="477">
        <f t="shared" si="238"/>
        <v>0</v>
      </c>
      <c r="Y473" s="480"/>
      <c r="Z473" s="477">
        <f t="shared" si="239"/>
        <v>0</v>
      </c>
      <c r="AA473" s="480"/>
      <c r="AB473" s="477">
        <f t="shared" ca="1" si="240"/>
        <v>0</v>
      </c>
      <c r="AC473" s="475">
        <f t="shared" ca="1" si="241"/>
        <v>0</v>
      </c>
      <c r="AD473" s="480"/>
      <c r="AE473" s="477">
        <f t="shared" si="242"/>
        <v>0</v>
      </c>
      <c r="AF473" s="480"/>
      <c r="AG473" s="477">
        <f t="shared" si="243"/>
        <v>0</v>
      </c>
      <c r="AH473" s="480"/>
      <c r="AI473" s="477">
        <f t="shared" si="244"/>
        <v>0</v>
      </c>
      <c r="AJ473" s="480"/>
      <c r="AK473" s="477">
        <f t="shared" ca="1" si="245"/>
        <v>0</v>
      </c>
      <c r="AL473" s="475">
        <f t="shared" ca="1" si="246"/>
        <v>0</v>
      </c>
      <c r="AM473" s="480"/>
      <c r="AN473" s="477">
        <f t="shared" si="247"/>
        <v>0</v>
      </c>
      <c r="AO473" s="480"/>
      <c r="AP473" s="477">
        <f t="shared" si="248"/>
        <v>0</v>
      </c>
      <c r="AQ473" s="480"/>
      <c r="AR473" s="477">
        <f t="shared" si="249"/>
        <v>0</v>
      </c>
      <c r="AS473" s="480"/>
      <c r="AT473" s="477">
        <f t="shared" ca="1" si="250"/>
        <v>0</v>
      </c>
      <c r="AU473" s="475">
        <f t="shared" ca="1" si="251"/>
        <v>0</v>
      </c>
      <c r="AV473" s="480"/>
      <c r="AW473" s="477">
        <f t="shared" si="252"/>
        <v>0</v>
      </c>
      <c r="AX473" s="480"/>
      <c r="AY473" s="477">
        <f t="shared" si="253"/>
        <v>0</v>
      </c>
      <c r="AZ473" s="480"/>
      <c r="BA473" s="477">
        <f t="shared" si="254"/>
        <v>0</v>
      </c>
      <c r="BB473" s="480"/>
      <c r="BC473" s="850">
        <f t="shared" ca="1" si="255"/>
        <v>0</v>
      </c>
    </row>
    <row r="474" spans="1:55">
      <c r="A474" s="837" t="str">
        <f t="shared" si="227"/>
        <v/>
      </c>
      <c r="B474" s="440"/>
      <c r="C474" s="834" t="str">
        <f t="shared" ca="1" si="228"/>
        <v/>
      </c>
      <c r="D474" s="1757" t="str">
        <f ca="1">IFERROR(VLOOKUP(LEFT(E474,4),Nom_activ_2!D:G,4,0),"")</f>
        <v/>
      </c>
      <c r="E474" s="1757" t="str">
        <f t="shared" ca="1" si="229"/>
        <v/>
      </c>
      <c r="F474" s="1777">
        <f t="shared" ca="1" si="256"/>
        <v>0</v>
      </c>
      <c r="G474" s="839">
        <f t="shared" ca="1" si="256"/>
        <v>0</v>
      </c>
      <c r="H474" s="840">
        <f t="shared" ca="1" si="256"/>
        <v>0</v>
      </c>
      <c r="I474" s="443"/>
      <c r="J474" s="838" t="str">
        <f t="shared" si="230"/>
        <v>!$A:$j</v>
      </c>
      <c r="K474" s="475">
        <f t="shared" ca="1" si="231"/>
        <v>0</v>
      </c>
      <c r="L474" s="480"/>
      <c r="M474" s="477">
        <f t="shared" si="232"/>
        <v>0</v>
      </c>
      <c r="N474" s="480"/>
      <c r="O474" s="477">
        <f t="shared" si="233"/>
        <v>0</v>
      </c>
      <c r="P474" s="480"/>
      <c r="Q474" s="477">
        <f t="shared" si="234"/>
        <v>0</v>
      </c>
      <c r="R474" s="480"/>
      <c r="S474" s="477">
        <f t="shared" ca="1" si="235"/>
        <v>0</v>
      </c>
      <c r="T474" s="475">
        <f t="shared" ca="1" si="236"/>
        <v>0</v>
      </c>
      <c r="U474" s="480"/>
      <c r="V474" s="477">
        <f t="shared" si="237"/>
        <v>0</v>
      </c>
      <c r="W474" s="480"/>
      <c r="X474" s="477">
        <f t="shared" si="238"/>
        <v>0</v>
      </c>
      <c r="Y474" s="480"/>
      <c r="Z474" s="477">
        <f t="shared" si="239"/>
        <v>0</v>
      </c>
      <c r="AA474" s="480"/>
      <c r="AB474" s="477">
        <f t="shared" ca="1" si="240"/>
        <v>0</v>
      </c>
      <c r="AC474" s="475">
        <f t="shared" ca="1" si="241"/>
        <v>0</v>
      </c>
      <c r="AD474" s="480"/>
      <c r="AE474" s="477">
        <f t="shared" si="242"/>
        <v>0</v>
      </c>
      <c r="AF474" s="480"/>
      <c r="AG474" s="477">
        <f t="shared" si="243"/>
        <v>0</v>
      </c>
      <c r="AH474" s="480"/>
      <c r="AI474" s="477">
        <f t="shared" si="244"/>
        <v>0</v>
      </c>
      <c r="AJ474" s="480"/>
      <c r="AK474" s="477">
        <f t="shared" ca="1" si="245"/>
        <v>0</v>
      </c>
      <c r="AL474" s="475">
        <f t="shared" ca="1" si="246"/>
        <v>0</v>
      </c>
      <c r="AM474" s="480"/>
      <c r="AN474" s="477">
        <f t="shared" si="247"/>
        <v>0</v>
      </c>
      <c r="AO474" s="480"/>
      <c r="AP474" s="477">
        <f t="shared" si="248"/>
        <v>0</v>
      </c>
      <c r="AQ474" s="480"/>
      <c r="AR474" s="477">
        <f t="shared" si="249"/>
        <v>0</v>
      </c>
      <c r="AS474" s="480"/>
      <c r="AT474" s="477">
        <f t="shared" ca="1" si="250"/>
        <v>0</v>
      </c>
      <c r="AU474" s="475">
        <f t="shared" ca="1" si="251"/>
        <v>0</v>
      </c>
      <c r="AV474" s="480"/>
      <c r="AW474" s="477">
        <f t="shared" si="252"/>
        <v>0</v>
      </c>
      <c r="AX474" s="480"/>
      <c r="AY474" s="477">
        <f t="shared" si="253"/>
        <v>0</v>
      </c>
      <c r="AZ474" s="480"/>
      <c r="BA474" s="477">
        <f t="shared" si="254"/>
        <v>0</v>
      </c>
      <c r="BB474" s="480"/>
      <c r="BC474" s="850">
        <f t="shared" ca="1" si="255"/>
        <v>0</v>
      </c>
    </row>
    <row r="475" spans="1:55">
      <c r="A475" s="837" t="str">
        <f t="shared" si="227"/>
        <v/>
      </c>
      <c r="B475" s="440"/>
      <c r="C475" s="834" t="str">
        <f t="shared" ca="1" si="228"/>
        <v/>
      </c>
      <c r="D475" s="1757" t="str">
        <f ca="1">IFERROR(VLOOKUP(LEFT(E475,4),Nom_activ_2!D:G,4,0),"")</f>
        <v/>
      </c>
      <c r="E475" s="1757" t="str">
        <f t="shared" ca="1" si="229"/>
        <v/>
      </c>
      <c r="F475" s="1777">
        <f t="shared" ca="1" si="256"/>
        <v>0</v>
      </c>
      <c r="G475" s="839">
        <f t="shared" ca="1" si="256"/>
        <v>0</v>
      </c>
      <c r="H475" s="840">
        <f t="shared" ca="1" si="256"/>
        <v>0</v>
      </c>
      <c r="I475" s="443"/>
      <c r="J475" s="838" t="str">
        <f t="shared" si="230"/>
        <v>!$A:$j</v>
      </c>
      <c r="K475" s="475">
        <f t="shared" ca="1" si="231"/>
        <v>0</v>
      </c>
      <c r="L475" s="480"/>
      <c r="M475" s="477">
        <f t="shared" si="232"/>
        <v>0</v>
      </c>
      <c r="N475" s="480"/>
      <c r="O475" s="477">
        <f t="shared" si="233"/>
        <v>0</v>
      </c>
      <c r="P475" s="480"/>
      <c r="Q475" s="477">
        <f t="shared" si="234"/>
        <v>0</v>
      </c>
      <c r="R475" s="480"/>
      <c r="S475" s="477">
        <f t="shared" ca="1" si="235"/>
        <v>0</v>
      </c>
      <c r="T475" s="475">
        <f t="shared" ca="1" si="236"/>
        <v>0</v>
      </c>
      <c r="U475" s="480"/>
      <c r="V475" s="477">
        <f t="shared" si="237"/>
        <v>0</v>
      </c>
      <c r="W475" s="480"/>
      <c r="X475" s="477">
        <f t="shared" si="238"/>
        <v>0</v>
      </c>
      <c r="Y475" s="480"/>
      <c r="Z475" s="477">
        <f t="shared" si="239"/>
        <v>0</v>
      </c>
      <c r="AA475" s="480"/>
      <c r="AB475" s="477">
        <f t="shared" ca="1" si="240"/>
        <v>0</v>
      </c>
      <c r="AC475" s="475">
        <f t="shared" ca="1" si="241"/>
        <v>0</v>
      </c>
      <c r="AD475" s="480"/>
      <c r="AE475" s="477">
        <f t="shared" si="242"/>
        <v>0</v>
      </c>
      <c r="AF475" s="480"/>
      <c r="AG475" s="477">
        <f t="shared" si="243"/>
        <v>0</v>
      </c>
      <c r="AH475" s="480"/>
      <c r="AI475" s="477">
        <f t="shared" si="244"/>
        <v>0</v>
      </c>
      <c r="AJ475" s="480"/>
      <c r="AK475" s="477">
        <f t="shared" ca="1" si="245"/>
        <v>0</v>
      </c>
      <c r="AL475" s="475">
        <f t="shared" ca="1" si="246"/>
        <v>0</v>
      </c>
      <c r="AM475" s="480"/>
      <c r="AN475" s="477">
        <f t="shared" si="247"/>
        <v>0</v>
      </c>
      <c r="AO475" s="480"/>
      <c r="AP475" s="477">
        <f t="shared" si="248"/>
        <v>0</v>
      </c>
      <c r="AQ475" s="480"/>
      <c r="AR475" s="477">
        <f t="shared" si="249"/>
        <v>0</v>
      </c>
      <c r="AS475" s="480"/>
      <c r="AT475" s="477">
        <f t="shared" ca="1" si="250"/>
        <v>0</v>
      </c>
      <c r="AU475" s="475">
        <f t="shared" ca="1" si="251"/>
        <v>0</v>
      </c>
      <c r="AV475" s="480"/>
      <c r="AW475" s="477">
        <f t="shared" si="252"/>
        <v>0</v>
      </c>
      <c r="AX475" s="480"/>
      <c r="AY475" s="477">
        <f t="shared" si="253"/>
        <v>0</v>
      </c>
      <c r="AZ475" s="480"/>
      <c r="BA475" s="477">
        <f t="shared" si="254"/>
        <v>0</v>
      </c>
      <c r="BB475" s="480"/>
      <c r="BC475" s="850">
        <f t="shared" ca="1" si="255"/>
        <v>0</v>
      </c>
    </row>
    <row r="476" spans="1:55">
      <c r="A476" s="837" t="str">
        <f t="shared" si="227"/>
        <v/>
      </c>
      <c r="B476" s="440"/>
      <c r="C476" s="834" t="str">
        <f t="shared" ca="1" si="228"/>
        <v/>
      </c>
      <c r="D476" s="1757" t="str">
        <f ca="1">IFERROR(VLOOKUP(LEFT(E476,4),Nom_activ_2!D:G,4,0),"")</f>
        <v/>
      </c>
      <c r="E476" s="1757" t="str">
        <f t="shared" ca="1" si="229"/>
        <v/>
      </c>
      <c r="F476" s="1777">
        <f t="shared" ca="1" si="256"/>
        <v>0</v>
      </c>
      <c r="G476" s="839">
        <f t="shared" ca="1" si="256"/>
        <v>0</v>
      </c>
      <c r="H476" s="840">
        <f t="shared" ca="1" si="256"/>
        <v>0</v>
      </c>
      <c r="I476" s="443"/>
      <c r="J476" s="838" t="str">
        <f t="shared" si="230"/>
        <v>!$A:$j</v>
      </c>
      <c r="K476" s="475">
        <f t="shared" ca="1" si="231"/>
        <v>0</v>
      </c>
      <c r="L476" s="480"/>
      <c r="M476" s="477">
        <f t="shared" si="232"/>
        <v>0</v>
      </c>
      <c r="N476" s="480"/>
      <c r="O476" s="477">
        <f t="shared" si="233"/>
        <v>0</v>
      </c>
      <c r="P476" s="480"/>
      <c r="Q476" s="477">
        <f t="shared" si="234"/>
        <v>0</v>
      </c>
      <c r="R476" s="480"/>
      <c r="S476" s="477">
        <f t="shared" ca="1" si="235"/>
        <v>0</v>
      </c>
      <c r="T476" s="475">
        <f t="shared" ca="1" si="236"/>
        <v>0</v>
      </c>
      <c r="U476" s="480"/>
      <c r="V476" s="477">
        <f t="shared" si="237"/>
        <v>0</v>
      </c>
      <c r="W476" s="480"/>
      <c r="X476" s="477">
        <f t="shared" si="238"/>
        <v>0</v>
      </c>
      <c r="Y476" s="480"/>
      <c r="Z476" s="477">
        <f t="shared" si="239"/>
        <v>0</v>
      </c>
      <c r="AA476" s="480"/>
      <c r="AB476" s="477">
        <f t="shared" ca="1" si="240"/>
        <v>0</v>
      </c>
      <c r="AC476" s="475">
        <f t="shared" ca="1" si="241"/>
        <v>0</v>
      </c>
      <c r="AD476" s="480"/>
      <c r="AE476" s="477">
        <f t="shared" si="242"/>
        <v>0</v>
      </c>
      <c r="AF476" s="480"/>
      <c r="AG476" s="477">
        <f t="shared" si="243"/>
        <v>0</v>
      </c>
      <c r="AH476" s="480"/>
      <c r="AI476" s="477">
        <f t="shared" si="244"/>
        <v>0</v>
      </c>
      <c r="AJ476" s="480"/>
      <c r="AK476" s="477">
        <f t="shared" ca="1" si="245"/>
        <v>0</v>
      </c>
      <c r="AL476" s="475">
        <f t="shared" ca="1" si="246"/>
        <v>0</v>
      </c>
      <c r="AM476" s="480"/>
      <c r="AN476" s="477">
        <f t="shared" si="247"/>
        <v>0</v>
      </c>
      <c r="AO476" s="480"/>
      <c r="AP476" s="477">
        <f t="shared" si="248"/>
        <v>0</v>
      </c>
      <c r="AQ476" s="480"/>
      <c r="AR476" s="477">
        <f t="shared" si="249"/>
        <v>0</v>
      </c>
      <c r="AS476" s="480"/>
      <c r="AT476" s="477">
        <f t="shared" ca="1" si="250"/>
        <v>0</v>
      </c>
      <c r="AU476" s="475">
        <f t="shared" ca="1" si="251"/>
        <v>0</v>
      </c>
      <c r="AV476" s="480"/>
      <c r="AW476" s="477">
        <f t="shared" si="252"/>
        <v>0</v>
      </c>
      <c r="AX476" s="480"/>
      <c r="AY476" s="477">
        <f t="shared" si="253"/>
        <v>0</v>
      </c>
      <c r="AZ476" s="480"/>
      <c r="BA476" s="477">
        <f t="shared" si="254"/>
        <v>0</v>
      </c>
      <c r="BB476" s="480"/>
      <c r="BC476" s="850">
        <f t="shared" ca="1" si="255"/>
        <v>0</v>
      </c>
    </row>
    <row r="477" spans="1:55">
      <c r="A477" s="837" t="str">
        <f t="shared" si="227"/>
        <v/>
      </c>
      <c r="B477" s="440"/>
      <c r="C477" s="834" t="str">
        <f t="shared" ca="1" si="228"/>
        <v/>
      </c>
      <c r="D477" s="1757" t="str">
        <f ca="1">IFERROR(VLOOKUP(LEFT(E477,4),Nom_activ_2!D:G,4,0),"")</f>
        <v/>
      </c>
      <c r="E477" s="1757" t="str">
        <f t="shared" ca="1" si="229"/>
        <v/>
      </c>
      <c r="F477" s="1777">
        <f t="shared" ca="1" si="256"/>
        <v>0</v>
      </c>
      <c r="G477" s="839">
        <f t="shared" ca="1" si="256"/>
        <v>0</v>
      </c>
      <c r="H477" s="840">
        <f t="shared" ca="1" si="256"/>
        <v>0</v>
      </c>
      <c r="I477" s="443"/>
      <c r="J477" s="838" t="str">
        <f t="shared" si="230"/>
        <v>!$A:$j</v>
      </c>
      <c r="K477" s="475">
        <f t="shared" ca="1" si="231"/>
        <v>0</v>
      </c>
      <c r="L477" s="480"/>
      <c r="M477" s="477">
        <f t="shared" si="232"/>
        <v>0</v>
      </c>
      <c r="N477" s="480"/>
      <c r="O477" s="477">
        <f t="shared" si="233"/>
        <v>0</v>
      </c>
      <c r="P477" s="480"/>
      <c r="Q477" s="477">
        <f t="shared" si="234"/>
        <v>0</v>
      </c>
      <c r="R477" s="480"/>
      <c r="S477" s="477">
        <f t="shared" ca="1" si="235"/>
        <v>0</v>
      </c>
      <c r="T477" s="475">
        <f t="shared" ca="1" si="236"/>
        <v>0</v>
      </c>
      <c r="U477" s="480"/>
      <c r="V477" s="477">
        <f t="shared" si="237"/>
        <v>0</v>
      </c>
      <c r="W477" s="480"/>
      <c r="X477" s="477">
        <f t="shared" si="238"/>
        <v>0</v>
      </c>
      <c r="Y477" s="480"/>
      <c r="Z477" s="477">
        <f t="shared" si="239"/>
        <v>0</v>
      </c>
      <c r="AA477" s="480"/>
      <c r="AB477" s="477">
        <f t="shared" ca="1" si="240"/>
        <v>0</v>
      </c>
      <c r="AC477" s="475">
        <f t="shared" ca="1" si="241"/>
        <v>0</v>
      </c>
      <c r="AD477" s="480"/>
      <c r="AE477" s="477">
        <f t="shared" si="242"/>
        <v>0</v>
      </c>
      <c r="AF477" s="480"/>
      <c r="AG477" s="477">
        <f t="shared" si="243"/>
        <v>0</v>
      </c>
      <c r="AH477" s="480"/>
      <c r="AI477" s="477">
        <f t="shared" si="244"/>
        <v>0</v>
      </c>
      <c r="AJ477" s="480"/>
      <c r="AK477" s="477">
        <f t="shared" ca="1" si="245"/>
        <v>0</v>
      </c>
      <c r="AL477" s="475">
        <f t="shared" ca="1" si="246"/>
        <v>0</v>
      </c>
      <c r="AM477" s="480"/>
      <c r="AN477" s="477">
        <f t="shared" si="247"/>
        <v>0</v>
      </c>
      <c r="AO477" s="480"/>
      <c r="AP477" s="477">
        <f t="shared" si="248"/>
        <v>0</v>
      </c>
      <c r="AQ477" s="480"/>
      <c r="AR477" s="477">
        <f t="shared" si="249"/>
        <v>0</v>
      </c>
      <c r="AS477" s="480"/>
      <c r="AT477" s="477">
        <f t="shared" ca="1" si="250"/>
        <v>0</v>
      </c>
      <c r="AU477" s="475">
        <f t="shared" ca="1" si="251"/>
        <v>0</v>
      </c>
      <c r="AV477" s="480"/>
      <c r="AW477" s="477">
        <f t="shared" si="252"/>
        <v>0</v>
      </c>
      <c r="AX477" s="480"/>
      <c r="AY477" s="477">
        <f t="shared" si="253"/>
        <v>0</v>
      </c>
      <c r="AZ477" s="480"/>
      <c r="BA477" s="477">
        <f t="shared" si="254"/>
        <v>0</v>
      </c>
      <c r="BB477" s="480"/>
      <c r="BC477" s="850">
        <f t="shared" ca="1" si="255"/>
        <v>0</v>
      </c>
    </row>
    <row r="478" spans="1:55">
      <c r="A478" s="837" t="str">
        <f t="shared" si="227"/>
        <v/>
      </c>
      <c r="B478" s="440"/>
      <c r="C478" s="834" t="str">
        <f t="shared" ca="1" si="228"/>
        <v/>
      </c>
      <c r="D478" s="1757" t="str">
        <f ca="1">IFERROR(VLOOKUP(LEFT(E478,4),Nom_activ_2!D:G,4,0),"")</f>
        <v/>
      </c>
      <c r="E478" s="1757" t="str">
        <f t="shared" ca="1" si="229"/>
        <v/>
      </c>
      <c r="F478" s="1777">
        <f t="shared" ca="1" si="256"/>
        <v>0</v>
      </c>
      <c r="G478" s="839">
        <f t="shared" ca="1" si="256"/>
        <v>0</v>
      </c>
      <c r="H478" s="840">
        <f t="shared" ca="1" si="256"/>
        <v>0</v>
      </c>
      <c r="I478" s="443"/>
      <c r="J478" s="838" t="str">
        <f t="shared" si="230"/>
        <v>!$A:$j</v>
      </c>
      <c r="K478" s="475">
        <f t="shared" ca="1" si="231"/>
        <v>0</v>
      </c>
      <c r="L478" s="480"/>
      <c r="M478" s="477">
        <f t="shared" si="232"/>
        <v>0</v>
      </c>
      <c r="N478" s="480"/>
      <c r="O478" s="477">
        <f t="shared" si="233"/>
        <v>0</v>
      </c>
      <c r="P478" s="480"/>
      <c r="Q478" s="477">
        <f t="shared" si="234"/>
        <v>0</v>
      </c>
      <c r="R478" s="480"/>
      <c r="S478" s="477">
        <f t="shared" ca="1" si="235"/>
        <v>0</v>
      </c>
      <c r="T478" s="475">
        <f t="shared" ca="1" si="236"/>
        <v>0</v>
      </c>
      <c r="U478" s="480"/>
      <c r="V478" s="477">
        <f t="shared" si="237"/>
        <v>0</v>
      </c>
      <c r="W478" s="480"/>
      <c r="X478" s="477">
        <f t="shared" si="238"/>
        <v>0</v>
      </c>
      <c r="Y478" s="480"/>
      <c r="Z478" s="477">
        <f t="shared" si="239"/>
        <v>0</v>
      </c>
      <c r="AA478" s="480"/>
      <c r="AB478" s="477">
        <f t="shared" ca="1" si="240"/>
        <v>0</v>
      </c>
      <c r="AC478" s="475">
        <f t="shared" ca="1" si="241"/>
        <v>0</v>
      </c>
      <c r="AD478" s="480"/>
      <c r="AE478" s="477">
        <f t="shared" si="242"/>
        <v>0</v>
      </c>
      <c r="AF478" s="480"/>
      <c r="AG478" s="477">
        <f t="shared" si="243"/>
        <v>0</v>
      </c>
      <c r="AH478" s="480"/>
      <c r="AI478" s="477">
        <f t="shared" si="244"/>
        <v>0</v>
      </c>
      <c r="AJ478" s="480"/>
      <c r="AK478" s="477">
        <f t="shared" ca="1" si="245"/>
        <v>0</v>
      </c>
      <c r="AL478" s="475">
        <f t="shared" ca="1" si="246"/>
        <v>0</v>
      </c>
      <c r="AM478" s="480"/>
      <c r="AN478" s="477">
        <f t="shared" si="247"/>
        <v>0</v>
      </c>
      <c r="AO478" s="480"/>
      <c r="AP478" s="477">
        <f t="shared" si="248"/>
        <v>0</v>
      </c>
      <c r="AQ478" s="480"/>
      <c r="AR478" s="477">
        <f t="shared" si="249"/>
        <v>0</v>
      </c>
      <c r="AS478" s="480"/>
      <c r="AT478" s="477">
        <f t="shared" ca="1" si="250"/>
        <v>0</v>
      </c>
      <c r="AU478" s="475">
        <f t="shared" ca="1" si="251"/>
        <v>0</v>
      </c>
      <c r="AV478" s="480"/>
      <c r="AW478" s="477">
        <f t="shared" si="252"/>
        <v>0</v>
      </c>
      <c r="AX478" s="480"/>
      <c r="AY478" s="477">
        <f t="shared" si="253"/>
        <v>0</v>
      </c>
      <c r="AZ478" s="480"/>
      <c r="BA478" s="477">
        <f t="shared" si="254"/>
        <v>0</v>
      </c>
      <c r="BB478" s="480"/>
      <c r="BC478" s="850">
        <f t="shared" ca="1" si="255"/>
        <v>0</v>
      </c>
    </row>
    <row r="479" spans="1:55">
      <c r="A479" s="837" t="str">
        <f t="shared" si="227"/>
        <v/>
      </c>
      <c r="B479" s="440"/>
      <c r="C479" s="834" t="str">
        <f t="shared" ca="1" si="228"/>
        <v/>
      </c>
      <c r="D479" s="1757" t="str">
        <f ca="1">IFERROR(VLOOKUP(LEFT(E479,4),Nom_activ_2!D:G,4,0),"")</f>
        <v/>
      </c>
      <c r="E479" s="1757" t="str">
        <f t="shared" ca="1" si="229"/>
        <v/>
      </c>
      <c r="F479" s="1777">
        <f t="shared" ca="1" si="256"/>
        <v>0</v>
      </c>
      <c r="G479" s="839">
        <f t="shared" ca="1" si="256"/>
        <v>0</v>
      </c>
      <c r="H479" s="840">
        <f t="shared" ca="1" si="256"/>
        <v>0</v>
      </c>
      <c r="I479" s="443"/>
      <c r="J479" s="838" t="str">
        <f t="shared" si="230"/>
        <v>!$A:$j</v>
      </c>
      <c r="K479" s="475">
        <f t="shared" ca="1" si="231"/>
        <v>0</v>
      </c>
      <c r="L479" s="480"/>
      <c r="M479" s="477">
        <f t="shared" si="232"/>
        <v>0</v>
      </c>
      <c r="N479" s="480"/>
      <c r="O479" s="477">
        <f t="shared" si="233"/>
        <v>0</v>
      </c>
      <c r="P479" s="480"/>
      <c r="Q479" s="477">
        <f t="shared" si="234"/>
        <v>0</v>
      </c>
      <c r="R479" s="480"/>
      <c r="S479" s="477">
        <f t="shared" ca="1" si="235"/>
        <v>0</v>
      </c>
      <c r="T479" s="475">
        <f t="shared" ca="1" si="236"/>
        <v>0</v>
      </c>
      <c r="U479" s="480"/>
      <c r="V479" s="477">
        <f t="shared" si="237"/>
        <v>0</v>
      </c>
      <c r="W479" s="480"/>
      <c r="X479" s="477">
        <f t="shared" si="238"/>
        <v>0</v>
      </c>
      <c r="Y479" s="480"/>
      <c r="Z479" s="477">
        <f t="shared" si="239"/>
        <v>0</v>
      </c>
      <c r="AA479" s="480"/>
      <c r="AB479" s="477">
        <f t="shared" ca="1" si="240"/>
        <v>0</v>
      </c>
      <c r="AC479" s="475">
        <f t="shared" ca="1" si="241"/>
        <v>0</v>
      </c>
      <c r="AD479" s="480"/>
      <c r="AE479" s="477">
        <f t="shared" si="242"/>
        <v>0</v>
      </c>
      <c r="AF479" s="480"/>
      <c r="AG479" s="477">
        <f t="shared" si="243"/>
        <v>0</v>
      </c>
      <c r="AH479" s="480"/>
      <c r="AI479" s="477">
        <f t="shared" si="244"/>
        <v>0</v>
      </c>
      <c r="AJ479" s="480"/>
      <c r="AK479" s="477">
        <f t="shared" ca="1" si="245"/>
        <v>0</v>
      </c>
      <c r="AL479" s="475">
        <f t="shared" ca="1" si="246"/>
        <v>0</v>
      </c>
      <c r="AM479" s="480"/>
      <c r="AN479" s="477">
        <f t="shared" si="247"/>
        <v>0</v>
      </c>
      <c r="AO479" s="480"/>
      <c r="AP479" s="477">
        <f t="shared" si="248"/>
        <v>0</v>
      </c>
      <c r="AQ479" s="480"/>
      <c r="AR479" s="477">
        <f t="shared" si="249"/>
        <v>0</v>
      </c>
      <c r="AS479" s="480"/>
      <c r="AT479" s="477">
        <f t="shared" ca="1" si="250"/>
        <v>0</v>
      </c>
      <c r="AU479" s="475">
        <f t="shared" ca="1" si="251"/>
        <v>0</v>
      </c>
      <c r="AV479" s="480"/>
      <c r="AW479" s="477">
        <f t="shared" si="252"/>
        <v>0</v>
      </c>
      <c r="AX479" s="480"/>
      <c r="AY479" s="477">
        <f t="shared" si="253"/>
        <v>0</v>
      </c>
      <c r="AZ479" s="480"/>
      <c r="BA479" s="477">
        <f t="shared" si="254"/>
        <v>0</v>
      </c>
      <c r="BB479" s="480"/>
      <c r="BC479" s="850">
        <f t="shared" ca="1" si="255"/>
        <v>0</v>
      </c>
    </row>
    <row r="480" spans="1:55">
      <c r="A480" s="837" t="str">
        <f t="shared" si="227"/>
        <v/>
      </c>
      <c r="B480" s="440"/>
      <c r="C480" s="834" t="str">
        <f t="shared" ca="1" si="228"/>
        <v/>
      </c>
      <c r="D480" s="1757" t="str">
        <f ca="1">IFERROR(VLOOKUP(LEFT(E480,4),Nom_activ_2!D:G,4,0),"")</f>
        <v/>
      </c>
      <c r="E480" s="1757" t="str">
        <f t="shared" ca="1" si="229"/>
        <v/>
      </c>
      <c r="F480" s="1777">
        <f t="shared" ca="1" si="256"/>
        <v>0</v>
      </c>
      <c r="G480" s="839">
        <f t="shared" ca="1" si="256"/>
        <v>0</v>
      </c>
      <c r="H480" s="840">
        <f t="shared" ca="1" si="256"/>
        <v>0</v>
      </c>
      <c r="I480" s="443"/>
      <c r="J480" s="838" t="str">
        <f t="shared" si="230"/>
        <v>!$A:$j</v>
      </c>
      <c r="K480" s="475">
        <f t="shared" ca="1" si="231"/>
        <v>0</v>
      </c>
      <c r="L480" s="480"/>
      <c r="M480" s="477">
        <f t="shared" si="232"/>
        <v>0</v>
      </c>
      <c r="N480" s="480"/>
      <c r="O480" s="477">
        <f t="shared" si="233"/>
        <v>0</v>
      </c>
      <c r="P480" s="480"/>
      <c r="Q480" s="477">
        <f t="shared" si="234"/>
        <v>0</v>
      </c>
      <c r="R480" s="480"/>
      <c r="S480" s="477">
        <f t="shared" ca="1" si="235"/>
        <v>0</v>
      </c>
      <c r="T480" s="475">
        <f t="shared" ca="1" si="236"/>
        <v>0</v>
      </c>
      <c r="U480" s="480"/>
      <c r="V480" s="477">
        <f t="shared" si="237"/>
        <v>0</v>
      </c>
      <c r="W480" s="480"/>
      <c r="X480" s="477">
        <f t="shared" si="238"/>
        <v>0</v>
      </c>
      <c r="Y480" s="480"/>
      <c r="Z480" s="477">
        <f t="shared" si="239"/>
        <v>0</v>
      </c>
      <c r="AA480" s="480"/>
      <c r="AB480" s="477">
        <f t="shared" ca="1" si="240"/>
        <v>0</v>
      </c>
      <c r="AC480" s="475">
        <f t="shared" ca="1" si="241"/>
        <v>0</v>
      </c>
      <c r="AD480" s="480"/>
      <c r="AE480" s="477">
        <f t="shared" si="242"/>
        <v>0</v>
      </c>
      <c r="AF480" s="480"/>
      <c r="AG480" s="477">
        <f t="shared" si="243"/>
        <v>0</v>
      </c>
      <c r="AH480" s="480"/>
      <c r="AI480" s="477">
        <f t="shared" si="244"/>
        <v>0</v>
      </c>
      <c r="AJ480" s="480"/>
      <c r="AK480" s="477">
        <f t="shared" ca="1" si="245"/>
        <v>0</v>
      </c>
      <c r="AL480" s="475">
        <f t="shared" ca="1" si="246"/>
        <v>0</v>
      </c>
      <c r="AM480" s="480"/>
      <c r="AN480" s="477">
        <f t="shared" si="247"/>
        <v>0</v>
      </c>
      <c r="AO480" s="480"/>
      <c r="AP480" s="477">
        <f t="shared" si="248"/>
        <v>0</v>
      </c>
      <c r="AQ480" s="480"/>
      <c r="AR480" s="477">
        <f t="shared" si="249"/>
        <v>0</v>
      </c>
      <c r="AS480" s="480"/>
      <c r="AT480" s="477">
        <f t="shared" ca="1" si="250"/>
        <v>0</v>
      </c>
      <c r="AU480" s="475">
        <f t="shared" ca="1" si="251"/>
        <v>0</v>
      </c>
      <c r="AV480" s="480"/>
      <c r="AW480" s="477">
        <f t="shared" si="252"/>
        <v>0</v>
      </c>
      <c r="AX480" s="480"/>
      <c r="AY480" s="477">
        <f t="shared" si="253"/>
        <v>0</v>
      </c>
      <c r="AZ480" s="480"/>
      <c r="BA480" s="477">
        <f t="shared" si="254"/>
        <v>0</v>
      </c>
      <c r="BB480" s="480"/>
      <c r="BC480" s="850">
        <f t="shared" ca="1" si="255"/>
        <v>0</v>
      </c>
    </row>
    <row r="481" spans="1:55">
      <c r="A481" s="837" t="str">
        <f t="shared" si="227"/>
        <v/>
      </c>
      <c r="B481" s="440"/>
      <c r="C481" s="834" t="str">
        <f t="shared" ca="1" si="228"/>
        <v/>
      </c>
      <c r="D481" s="1757" t="str">
        <f ca="1">IFERROR(VLOOKUP(LEFT(E481,4),Nom_activ_2!D:G,4,0),"")</f>
        <v/>
      </c>
      <c r="E481" s="1757" t="str">
        <f t="shared" ca="1" si="229"/>
        <v/>
      </c>
      <c r="F481" s="1777">
        <f t="shared" ca="1" si="256"/>
        <v>0</v>
      </c>
      <c r="G481" s="839">
        <f t="shared" ca="1" si="256"/>
        <v>0</v>
      </c>
      <c r="H481" s="840">
        <f t="shared" ca="1" si="256"/>
        <v>0</v>
      </c>
      <c r="I481" s="443"/>
      <c r="J481" s="838" t="str">
        <f t="shared" si="230"/>
        <v>!$A:$j</v>
      </c>
      <c r="K481" s="475">
        <f t="shared" ca="1" si="231"/>
        <v>0</v>
      </c>
      <c r="L481" s="480"/>
      <c r="M481" s="477">
        <f t="shared" si="232"/>
        <v>0</v>
      </c>
      <c r="N481" s="480"/>
      <c r="O481" s="477">
        <f t="shared" si="233"/>
        <v>0</v>
      </c>
      <c r="P481" s="480"/>
      <c r="Q481" s="477">
        <f t="shared" si="234"/>
        <v>0</v>
      </c>
      <c r="R481" s="480"/>
      <c r="S481" s="477">
        <f t="shared" ca="1" si="235"/>
        <v>0</v>
      </c>
      <c r="T481" s="475">
        <f t="shared" ca="1" si="236"/>
        <v>0</v>
      </c>
      <c r="U481" s="480"/>
      <c r="V481" s="477">
        <f t="shared" si="237"/>
        <v>0</v>
      </c>
      <c r="W481" s="480"/>
      <c r="X481" s="477">
        <f t="shared" si="238"/>
        <v>0</v>
      </c>
      <c r="Y481" s="480"/>
      <c r="Z481" s="477">
        <f t="shared" si="239"/>
        <v>0</v>
      </c>
      <c r="AA481" s="480"/>
      <c r="AB481" s="477">
        <f t="shared" ca="1" si="240"/>
        <v>0</v>
      </c>
      <c r="AC481" s="475">
        <f t="shared" ca="1" si="241"/>
        <v>0</v>
      </c>
      <c r="AD481" s="480"/>
      <c r="AE481" s="477">
        <f t="shared" si="242"/>
        <v>0</v>
      </c>
      <c r="AF481" s="480"/>
      <c r="AG481" s="477">
        <f t="shared" si="243"/>
        <v>0</v>
      </c>
      <c r="AH481" s="480"/>
      <c r="AI481" s="477">
        <f t="shared" si="244"/>
        <v>0</v>
      </c>
      <c r="AJ481" s="480"/>
      <c r="AK481" s="477">
        <f t="shared" ca="1" si="245"/>
        <v>0</v>
      </c>
      <c r="AL481" s="475">
        <f t="shared" ca="1" si="246"/>
        <v>0</v>
      </c>
      <c r="AM481" s="480"/>
      <c r="AN481" s="477">
        <f t="shared" si="247"/>
        <v>0</v>
      </c>
      <c r="AO481" s="480"/>
      <c r="AP481" s="477">
        <f t="shared" si="248"/>
        <v>0</v>
      </c>
      <c r="AQ481" s="480"/>
      <c r="AR481" s="477">
        <f t="shared" si="249"/>
        <v>0</v>
      </c>
      <c r="AS481" s="480"/>
      <c r="AT481" s="477">
        <f t="shared" ca="1" si="250"/>
        <v>0</v>
      </c>
      <c r="AU481" s="475">
        <f t="shared" ca="1" si="251"/>
        <v>0</v>
      </c>
      <c r="AV481" s="480"/>
      <c r="AW481" s="477">
        <f t="shared" si="252"/>
        <v>0</v>
      </c>
      <c r="AX481" s="480"/>
      <c r="AY481" s="477">
        <f t="shared" si="253"/>
        <v>0</v>
      </c>
      <c r="AZ481" s="480"/>
      <c r="BA481" s="477">
        <f t="shared" si="254"/>
        <v>0</v>
      </c>
      <c r="BB481" s="480"/>
      <c r="BC481" s="850">
        <f t="shared" ca="1" si="255"/>
        <v>0</v>
      </c>
    </row>
    <row r="482" spans="1:55">
      <c r="A482" s="837" t="str">
        <f t="shared" si="227"/>
        <v/>
      </c>
      <c r="B482" s="440"/>
      <c r="C482" s="834" t="str">
        <f t="shared" ca="1" si="228"/>
        <v/>
      </c>
      <c r="D482" s="1757" t="str">
        <f ca="1">IFERROR(VLOOKUP(LEFT(E482,4),Nom_activ_2!D:G,4,0),"")</f>
        <v/>
      </c>
      <c r="E482" s="1757" t="str">
        <f t="shared" ca="1" si="229"/>
        <v/>
      </c>
      <c r="F482" s="1777">
        <f t="shared" ca="1" si="256"/>
        <v>0</v>
      </c>
      <c r="G482" s="839">
        <f t="shared" ca="1" si="256"/>
        <v>0</v>
      </c>
      <c r="H482" s="840">
        <f t="shared" ca="1" si="256"/>
        <v>0</v>
      </c>
      <c r="I482" s="443"/>
      <c r="J482" s="838" t="str">
        <f t="shared" si="230"/>
        <v>!$A:$j</v>
      </c>
      <c r="K482" s="475">
        <f t="shared" ca="1" si="231"/>
        <v>0</v>
      </c>
      <c r="L482" s="480"/>
      <c r="M482" s="477">
        <f t="shared" si="232"/>
        <v>0</v>
      </c>
      <c r="N482" s="480"/>
      <c r="O482" s="477">
        <f t="shared" si="233"/>
        <v>0</v>
      </c>
      <c r="P482" s="480"/>
      <c r="Q482" s="477">
        <f t="shared" si="234"/>
        <v>0</v>
      </c>
      <c r="R482" s="480"/>
      <c r="S482" s="477">
        <f t="shared" ca="1" si="235"/>
        <v>0</v>
      </c>
      <c r="T482" s="475">
        <f t="shared" ca="1" si="236"/>
        <v>0</v>
      </c>
      <c r="U482" s="480"/>
      <c r="V482" s="477">
        <f t="shared" si="237"/>
        <v>0</v>
      </c>
      <c r="W482" s="480"/>
      <c r="X482" s="477">
        <f t="shared" si="238"/>
        <v>0</v>
      </c>
      <c r="Y482" s="480"/>
      <c r="Z482" s="477">
        <f t="shared" si="239"/>
        <v>0</v>
      </c>
      <c r="AA482" s="480"/>
      <c r="AB482" s="477">
        <f t="shared" ca="1" si="240"/>
        <v>0</v>
      </c>
      <c r="AC482" s="475">
        <f t="shared" ca="1" si="241"/>
        <v>0</v>
      </c>
      <c r="AD482" s="480"/>
      <c r="AE482" s="477">
        <f t="shared" si="242"/>
        <v>0</v>
      </c>
      <c r="AF482" s="480"/>
      <c r="AG482" s="477">
        <f t="shared" si="243"/>
        <v>0</v>
      </c>
      <c r="AH482" s="480"/>
      <c r="AI482" s="477">
        <f t="shared" si="244"/>
        <v>0</v>
      </c>
      <c r="AJ482" s="480"/>
      <c r="AK482" s="477">
        <f t="shared" ca="1" si="245"/>
        <v>0</v>
      </c>
      <c r="AL482" s="475">
        <f t="shared" ca="1" si="246"/>
        <v>0</v>
      </c>
      <c r="AM482" s="480"/>
      <c r="AN482" s="477">
        <f t="shared" si="247"/>
        <v>0</v>
      </c>
      <c r="AO482" s="480"/>
      <c r="AP482" s="477">
        <f t="shared" si="248"/>
        <v>0</v>
      </c>
      <c r="AQ482" s="480"/>
      <c r="AR482" s="477">
        <f t="shared" si="249"/>
        <v>0</v>
      </c>
      <c r="AS482" s="480"/>
      <c r="AT482" s="477">
        <f t="shared" ca="1" si="250"/>
        <v>0</v>
      </c>
      <c r="AU482" s="475">
        <f t="shared" ca="1" si="251"/>
        <v>0</v>
      </c>
      <c r="AV482" s="480"/>
      <c r="AW482" s="477">
        <f t="shared" si="252"/>
        <v>0</v>
      </c>
      <c r="AX482" s="480"/>
      <c r="AY482" s="477">
        <f t="shared" si="253"/>
        <v>0</v>
      </c>
      <c r="AZ482" s="480"/>
      <c r="BA482" s="477">
        <f t="shared" si="254"/>
        <v>0</v>
      </c>
      <c r="BB482" s="480"/>
      <c r="BC482" s="850">
        <f t="shared" ca="1" si="255"/>
        <v>0</v>
      </c>
    </row>
    <row r="483" spans="1:55">
      <c r="A483" s="837" t="str">
        <f t="shared" si="227"/>
        <v/>
      </c>
      <c r="B483" s="440"/>
      <c r="C483" s="834" t="str">
        <f t="shared" ca="1" si="228"/>
        <v/>
      </c>
      <c r="D483" s="1757" t="str">
        <f ca="1">IFERROR(VLOOKUP(LEFT(E483,4),Nom_activ_2!D:G,4,0),"")</f>
        <v/>
      </c>
      <c r="E483" s="1757" t="str">
        <f t="shared" ca="1" si="229"/>
        <v/>
      </c>
      <c r="F483" s="1777">
        <f t="shared" ca="1" si="256"/>
        <v>0</v>
      </c>
      <c r="G483" s="839">
        <f t="shared" ca="1" si="256"/>
        <v>0</v>
      </c>
      <c r="H483" s="840">
        <f t="shared" ca="1" si="256"/>
        <v>0</v>
      </c>
      <c r="I483" s="443"/>
      <c r="J483" s="838" t="str">
        <f t="shared" si="230"/>
        <v>!$A:$j</v>
      </c>
      <c r="K483" s="475">
        <f t="shared" ca="1" si="231"/>
        <v>0</v>
      </c>
      <c r="L483" s="480"/>
      <c r="M483" s="477">
        <f t="shared" si="232"/>
        <v>0</v>
      </c>
      <c r="N483" s="480"/>
      <c r="O483" s="477">
        <f t="shared" si="233"/>
        <v>0</v>
      </c>
      <c r="P483" s="480"/>
      <c r="Q483" s="477">
        <f t="shared" si="234"/>
        <v>0</v>
      </c>
      <c r="R483" s="480"/>
      <c r="S483" s="477">
        <f t="shared" ca="1" si="235"/>
        <v>0</v>
      </c>
      <c r="T483" s="475">
        <f t="shared" ca="1" si="236"/>
        <v>0</v>
      </c>
      <c r="U483" s="480"/>
      <c r="V483" s="477">
        <f t="shared" si="237"/>
        <v>0</v>
      </c>
      <c r="W483" s="480"/>
      <c r="X483" s="477">
        <f t="shared" si="238"/>
        <v>0</v>
      </c>
      <c r="Y483" s="480"/>
      <c r="Z483" s="477">
        <f t="shared" si="239"/>
        <v>0</v>
      </c>
      <c r="AA483" s="480"/>
      <c r="AB483" s="477">
        <f t="shared" ca="1" si="240"/>
        <v>0</v>
      </c>
      <c r="AC483" s="475">
        <f t="shared" ca="1" si="241"/>
        <v>0</v>
      </c>
      <c r="AD483" s="480"/>
      <c r="AE483" s="477">
        <f t="shared" si="242"/>
        <v>0</v>
      </c>
      <c r="AF483" s="480"/>
      <c r="AG483" s="477">
        <f t="shared" si="243"/>
        <v>0</v>
      </c>
      <c r="AH483" s="480"/>
      <c r="AI483" s="477">
        <f t="shared" si="244"/>
        <v>0</v>
      </c>
      <c r="AJ483" s="480"/>
      <c r="AK483" s="477">
        <f t="shared" ca="1" si="245"/>
        <v>0</v>
      </c>
      <c r="AL483" s="475">
        <f t="shared" ca="1" si="246"/>
        <v>0</v>
      </c>
      <c r="AM483" s="480"/>
      <c r="AN483" s="477">
        <f t="shared" si="247"/>
        <v>0</v>
      </c>
      <c r="AO483" s="480"/>
      <c r="AP483" s="477">
        <f t="shared" si="248"/>
        <v>0</v>
      </c>
      <c r="AQ483" s="480"/>
      <c r="AR483" s="477">
        <f t="shared" si="249"/>
        <v>0</v>
      </c>
      <c r="AS483" s="480"/>
      <c r="AT483" s="477">
        <f t="shared" ca="1" si="250"/>
        <v>0</v>
      </c>
      <c r="AU483" s="475">
        <f t="shared" ca="1" si="251"/>
        <v>0</v>
      </c>
      <c r="AV483" s="480"/>
      <c r="AW483" s="477">
        <f t="shared" si="252"/>
        <v>0</v>
      </c>
      <c r="AX483" s="480"/>
      <c r="AY483" s="477">
        <f t="shared" si="253"/>
        <v>0</v>
      </c>
      <c r="AZ483" s="480"/>
      <c r="BA483" s="477">
        <f t="shared" si="254"/>
        <v>0</v>
      </c>
      <c r="BB483" s="480"/>
      <c r="BC483" s="850">
        <f t="shared" ca="1" si="255"/>
        <v>0</v>
      </c>
    </row>
    <row r="484" spans="1:55">
      <c r="A484" s="837" t="str">
        <f t="shared" si="227"/>
        <v/>
      </c>
      <c r="B484" s="440"/>
      <c r="C484" s="834" t="str">
        <f t="shared" ca="1" si="228"/>
        <v/>
      </c>
      <c r="D484" s="1757" t="str">
        <f ca="1">IFERROR(VLOOKUP(LEFT(E484,4),Nom_activ_2!D:G,4,0),"")</f>
        <v/>
      </c>
      <c r="E484" s="1757" t="str">
        <f t="shared" ca="1" si="229"/>
        <v/>
      </c>
      <c r="F484" s="1777">
        <f t="shared" ca="1" si="256"/>
        <v>0</v>
      </c>
      <c r="G484" s="839">
        <f t="shared" ca="1" si="256"/>
        <v>0</v>
      </c>
      <c r="H484" s="840">
        <f t="shared" ca="1" si="256"/>
        <v>0</v>
      </c>
      <c r="I484" s="443"/>
      <c r="J484" s="838" t="str">
        <f t="shared" si="230"/>
        <v>!$A:$j</v>
      </c>
      <c r="K484" s="475">
        <f t="shared" ca="1" si="231"/>
        <v>0</v>
      </c>
      <c r="L484" s="480"/>
      <c r="M484" s="477">
        <f t="shared" si="232"/>
        <v>0</v>
      </c>
      <c r="N484" s="480"/>
      <c r="O484" s="477">
        <f t="shared" si="233"/>
        <v>0</v>
      </c>
      <c r="P484" s="480"/>
      <c r="Q484" s="477">
        <f t="shared" si="234"/>
        <v>0</v>
      </c>
      <c r="R484" s="480"/>
      <c r="S484" s="477">
        <f t="shared" ca="1" si="235"/>
        <v>0</v>
      </c>
      <c r="T484" s="475">
        <f t="shared" ca="1" si="236"/>
        <v>0</v>
      </c>
      <c r="U484" s="480"/>
      <c r="V484" s="477">
        <f t="shared" si="237"/>
        <v>0</v>
      </c>
      <c r="W484" s="480"/>
      <c r="X484" s="477">
        <f t="shared" si="238"/>
        <v>0</v>
      </c>
      <c r="Y484" s="480"/>
      <c r="Z484" s="477">
        <f t="shared" si="239"/>
        <v>0</v>
      </c>
      <c r="AA484" s="480"/>
      <c r="AB484" s="477">
        <f t="shared" ca="1" si="240"/>
        <v>0</v>
      </c>
      <c r="AC484" s="475">
        <f t="shared" ca="1" si="241"/>
        <v>0</v>
      </c>
      <c r="AD484" s="480"/>
      <c r="AE484" s="477">
        <f t="shared" si="242"/>
        <v>0</v>
      </c>
      <c r="AF484" s="480"/>
      <c r="AG484" s="477">
        <f t="shared" si="243"/>
        <v>0</v>
      </c>
      <c r="AH484" s="480"/>
      <c r="AI484" s="477">
        <f t="shared" si="244"/>
        <v>0</v>
      </c>
      <c r="AJ484" s="480"/>
      <c r="AK484" s="477">
        <f t="shared" ca="1" si="245"/>
        <v>0</v>
      </c>
      <c r="AL484" s="475">
        <f t="shared" ca="1" si="246"/>
        <v>0</v>
      </c>
      <c r="AM484" s="480"/>
      <c r="AN484" s="477">
        <f t="shared" si="247"/>
        <v>0</v>
      </c>
      <c r="AO484" s="480"/>
      <c r="AP484" s="477">
        <f t="shared" si="248"/>
        <v>0</v>
      </c>
      <c r="AQ484" s="480"/>
      <c r="AR484" s="477">
        <f t="shared" si="249"/>
        <v>0</v>
      </c>
      <c r="AS484" s="480"/>
      <c r="AT484" s="477">
        <f t="shared" ca="1" si="250"/>
        <v>0</v>
      </c>
      <c r="AU484" s="475">
        <f t="shared" ca="1" si="251"/>
        <v>0</v>
      </c>
      <c r="AV484" s="480"/>
      <c r="AW484" s="477">
        <f t="shared" si="252"/>
        <v>0</v>
      </c>
      <c r="AX484" s="480"/>
      <c r="AY484" s="477">
        <f t="shared" si="253"/>
        <v>0</v>
      </c>
      <c r="AZ484" s="480"/>
      <c r="BA484" s="477">
        <f t="shared" si="254"/>
        <v>0</v>
      </c>
      <c r="BB484" s="480"/>
      <c r="BC484" s="850">
        <f t="shared" ca="1" si="255"/>
        <v>0</v>
      </c>
    </row>
    <row r="485" spans="1:55">
      <c r="A485" s="837" t="str">
        <f t="shared" si="227"/>
        <v/>
      </c>
      <c r="B485" s="440"/>
      <c r="C485" s="834" t="str">
        <f t="shared" ca="1" si="228"/>
        <v/>
      </c>
      <c r="D485" s="1757" t="str">
        <f ca="1">IFERROR(VLOOKUP(LEFT(E485,4),Nom_activ_2!D:G,4,0),"")</f>
        <v/>
      </c>
      <c r="E485" s="1757" t="str">
        <f t="shared" ca="1" si="229"/>
        <v/>
      </c>
      <c r="F485" s="1777">
        <f t="shared" ca="1" si="256"/>
        <v>0</v>
      </c>
      <c r="G485" s="839">
        <f t="shared" ca="1" si="256"/>
        <v>0</v>
      </c>
      <c r="H485" s="840">
        <f t="shared" ca="1" si="256"/>
        <v>0</v>
      </c>
      <c r="I485" s="443"/>
      <c r="J485" s="838" t="str">
        <f t="shared" si="230"/>
        <v>!$A:$j</v>
      </c>
      <c r="K485" s="475">
        <f t="shared" ca="1" si="231"/>
        <v>0</v>
      </c>
      <c r="L485" s="480"/>
      <c r="M485" s="477">
        <f t="shared" si="232"/>
        <v>0</v>
      </c>
      <c r="N485" s="480"/>
      <c r="O485" s="477">
        <f t="shared" si="233"/>
        <v>0</v>
      </c>
      <c r="P485" s="480"/>
      <c r="Q485" s="477">
        <f t="shared" si="234"/>
        <v>0</v>
      </c>
      <c r="R485" s="480"/>
      <c r="S485" s="477">
        <f t="shared" ca="1" si="235"/>
        <v>0</v>
      </c>
      <c r="T485" s="475">
        <f t="shared" ca="1" si="236"/>
        <v>0</v>
      </c>
      <c r="U485" s="480"/>
      <c r="V485" s="477">
        <f t="shared" si="237"/>
        <v>0</v>
      </c>
      <c r="W485" s="480"/>
      <c r="X485" s="477">
        <f t="shared" si="238"/>
        <v>0</v>
      </c>
      <c r="Y485" s="480"/>
      <c r="Z485" s="477">
        <f t="shared" si="239"/>
        <v>0</v>
      </c>
      <c r="AA485" s="480"/>
      <c r="AB485" s="477">
        <f t="shared" ca="1" si="240"/>
        <v>0</v>
      </c>
      <c r="AC485" s="475">
        <f t="shared" ca="1" si="241"/>
        <v>0</v>
      </c>
      <c r="AD485" s="480"/>
      <c r="AE485" s="477">
        <f t="shared" si="242"/>
        <v>0</v>
      </c>
      <c r="AF485" s="480"/>
      <c r="AG485" s="477">
        <f t="shared" si="243"/>
        <v>0</v>
      </c>
      <c r="AH485" s="480"/>
      <c r="AI485" s="477">
        <f t="shared" si="244"/>
        <v>0</v>
      </c>
      <c r="AJ485" s="480"/>
      <c r="AK485" s="477">
        <f t="shared" ca="1" si="245"/>
        <v>0</v>
      </c>
      <c r="AL485" s="475">
        <f t="shared" ca="1" si="246"/>
        <v>0</v>
      </c>
      <c r="AM485" s="480"/>
      <c r="AN485" s="477">
        <f t="shared" si="247"/>
        <v>0</v>
      </c>
      <c r="AO485" s="480"/>
      <c r="AP485" s="477">
        <f t="shared" si="248"/>
        <v>0</v>
      </c>
      <c r="AQ485" s="480"/>
      <c r="AR485" s="477">
        <f t="shared" si="249"/>
        <v>0</v>
      </c>
      <c r="AS485" s="480"/>
      <c r="AT485" s="477">
        <f t="shared" ca="1" si="250"/>
        <v>0</v>
      </c>
      <c r="AU485" s="475">
        <f t="shared" ca="1" si="251"/>
        <v>0</v>
      </c>
      <c r="AV485" s="480"/>
      <c r="AW485" s="477">
        <f t="shared" si="252"/>
        <v>0</v>
      </c>
      <c r="AX485" s="480"/>
      <c r="AY485" s="477">
        <f t="shared" si="253"/>
        <v>0</v>
      </c>
      <c r="AZ485" s="480"/>
      <c r="BA485" s="477">
        <f t="shared" si="254"/>
        <v>0</v>
      </c>
      <c r="BB485" s="480"/>
      <c r="BC485" s="850">
        <f t="shared" ca="1" si="255"/>
        <v>0</v>
      </c>
    </row>
    <row r="486" spans="1:55">
      <c r="A486" s="837" t="str">
        <f t="shared" si="227"/>
        <v/>
      </c>
      <c r="B486" s="440"/>
      <c r="C486" s="834" t="str">
        <f t="shared" ca="1" si="228"/>
        <v/>
      </c>
      <c r="D486" s="1757" t="str">
        <f ca="1">IFERROR(VLOOKUP(LEFT(E486,4),Nom_activ_2!D:G,4,0),"")</f>
        <v/>
      </c>
      <c r="E486" s="1757" t="str">
        <f t="shared" ca="1" si="229"/>
        <v/>
      </c>
      <c r="F486" s="1777">
        <f t="shared" ca="1" si="256"/>
        <v>0</v>
      </c>
      <c r="G486" s="839">
        <f t="shared" ca="1" si="256"/>
        <v>0</v>
      </c>
      <c r="H486" s="840">
        <f t="shared" ca="1" si="256"/>
        <v>0</v>
      </c>
      <c r="I486" s="443"/>
      <c r="J486" s="838" t="str">
        <f t="shared" si="230"/>
        <v>!$A:$j</v>
      </c>
      <c r="K486" s="475">
        <f t="shared" ca="1" si="231"/>
        <v>0</v>
      </c>
      <c r="L486" s="480"/>
      <c r="M486" s="477">
        <f t="shared" si="232"/>
        <v>0</v>
      </c>
      <c r="N486" s="480"/>
      <c r="O486" s="477">
        <f t="shared" si="233"/>
        <v>0</v>
      </c>
      <c r="P486" s="480"/>
      <c r="Q486" s="477">
        <f t="shared" si="234"/>
        <v>0</v>
      </c>
      <c r="R486" s="480"/>
      <c r="S486" s="477">
        <f t="shared" ca="1" si="235"/>
        <v>0</v>
      </c>
      <c r="T486" s="475">
        <f t="shared" ca="1" si="236"/>
        <v>0</v>
      </c>
      <c r="U486" s="480"/>
      <c r="V486" s="477">
        <f t="shared" si="237"/>
        <v>0</v>
      </c>
      <c r="W486" s="480"/>
      <c r="X486" s="477">
        <f t="shared" si="238"/>
        <v>0</v>
      </c>
      <c r="Y486" s="480"/>
      <c r="Z486" s="477">
        <f t="shared" si="239"/>
        <v>0</v>
      </c>
      <c r="AA486" s="480"/>
      <c r="AB486" s="477">
        <f t="shared" ca="1" si="240"/>
        <v>0</v>
      </c>
      <c r="AC486" s="475">
        <f t="shared" ca="1" si="241"/>
        <v>0</v>
      </c>
      <c r="AD486" s="480"/>
      <c r="AE486" s="477">
        <f t="shared" si="242"/>
        <v>0</v>
      </c>
      <c r="AF486" s="480"/>
      <c r="AG486" s="477">
        <f t="shared" si="243"/>
        <v>0</v>
      </c>
      <c r="AH486" s="480"/>
      <c r="AI486" s="477">
        <f t="shared" si="244"/>
        <v>0</v>
      </c>
      <c r="AJ486" s="480"/>
      <c r="AK486" s="477">
        <f t="shared" ca="1" si="245"/>
        <v>0</v>
      </c>
      <c r="AL486" s="475">
        <f t="shared" ca="1" si="246"/>
        <v>0</v>
      </c>
      <c r="AM486" s="480"/>
      <c r="AN486" s="477">
        <f t="shared" si="247"/>
        <v>0</v>
      </c>
      <c r="AO486" s="480"/>
      <c r="AP486" s="477">
        <f t="shared" si="248"/>
        <v>0</v>
      </c>
      <c r="AQ486" s="480"/>
      <c r="AR486" s="477">
        <f t="shared" si="249"/>
        <v>0</v>
      </c>
      <c r="AS486" s="480"/>
      <c r="AT486" s="477">
        <f t="shared" ca="1" si="250"/>
        <v>0</v>
      </c>
      <c r="AU486" s="475">
        <f t="shared" ca="1" si="251"/>
        <v>0</v>
      </c>
      <c r="AV486" s="480"/>
      <c r="AW486" s="477">
        <f t="shared" si="252"/>
        <v>0</v>
      </c>
      <c r="AX486" s="480"/>
      <c r="AY486" s="477">
        <f t="shared" si="253"/>
        <v>0</v>
      </c>
      <c r="AZ486" s="480"/>
      <c r="BA486" s="477">
        <f t="shared" si="254"/>
        <v>0</v>
      </c>
      <c r="BB486" s="480"/>
      <c r="BC486" s="850">
        <f t="shared" ca="1" si="255"/>
        <v>0</v>
      </c>
    </row>
    <row r="487" spans="1:55">
      <c r="A487" s="837" t="str">
        <f t="shared" si="227"/>
        <v/>
      </c>
      <c r="B487" s="440"/>
      <c r="C487" s="834" t="str">
        <f t="shared" ca="1" si="228"/>
        <v/>
      </c>
      <c r="D487" s="1757" t="str">
        <f ca="1">IFERROR(VLOOKUP(LEFT(E487,4),Nom_activ_2!D:G,4,0),"")</f>
        <v/>
      </c>
      <c r="E487" s="1757" t="str">
        <f t="shared" ca="1" si="229"/>
        <v/>
      </c>
      <c r="F487" s="1777">
        <f t="shared" ref="F487:H506" ca="1" si="257">IFERROR(VLOOKUP($B487,INDIRECT($J487),F$5,0),0)</f>
        <v>0</v>
      </c>
      <c r="G487" s="839">
        <f t="shared" ca="1" si="257"/>
        <v>0</v>
      </c>
      <c r="H487" s="840">
        <f t="shared" ca="1" si="257"/>
        <v>0</v>
      </c>
      <c r="I487" s="443"/>
      <c r="J487" s="838" t="str">
        <f t="shared" si="230"/>
        <v>!$A:$j</v>
      </c>
      <c r="K487" s="475">
        <f t="shared" ca="1" si="231"/>
        <v>0</v>
      </c>
      <c r="L487" s="480"/>
      <c r="M487" s="477">
        <f t="shared" si="232"/>
        <v>0</v>
      </c>
      <c r="N487" s="480"/>
      <c r="O487" s="477">
        <f t="shared" si="233"/>
        <v>0</v>
      </c>
      <c r="P487" s="480"/>
      <c r="Q487" s="477">
        <f t="shared" si="234"/>
        <v>0</v>
      </c>
      <c r="R487" s="480"/>
      <c r="S487" s="477">
        <f t="shared" ca="1" si="235"/>
        <v>0</v>
      </c>
      <c r="T487" s="475">
        <f t="shared" ca="1" si="236"/>
        <v>0</v>
      </c>
      <c r="U487" s="480"/>
      <c r="V487" s="477">
        <f t="shared" si="237"/>
        <v>0</v>
      </c>
      <c r="W487" s="480"/>
      <c r="X487" s="477">
        <f t="shared" si="238"/>
        <v>0</v>
      </c>
      <c r="Y487" s="480"/>
      <c r="Z487" s="477">
        <f t="shared" si="239"/>
        <v>0</v>
      </c>
      <c r="AA487" s="480"/>
      <c r="AB487" s="477">
        <f t="shared" ca="1" si="240"/>
        <v>0</v>
      </c>
      <c r="AC487" s="475">
        <f t="shared" ca="1" si="241"/>
        <v>0</v>
      </c>
      <c r="AD487" s="480"/>
      <c r="AE487" s="477">
        <f t="shared" si="242"/>
        <v>0</v>
      </c>
      <c r="AF487" s="480"/>
      <c r="AG487" s="477">
        <f t="shared" si="243"/>
        <v>0</v>
      </c>
      <c r="AH487" s="480"/>
      <c r="AI487" s="477">
        <f t="shared" si="244"/>
        <v>0</v>
      </c>
      <c r="AJ487" s="480"/>
      <c r="AK487" s="477">
        <f t="shared" ca="1" si="245"/>
        <v>0</v>
      </c>
      <c r="AL487" s="475">
        <f t="shared" ca="1" si="246"/>
        <v>0</v>
      </c>
      <c r="AM487" s="480"/>
      <c r="AN487" s="477">
        <f t="shared" si="247"/>
        <v>0</v>
      </c>
      <c r="AO487" s="480"/>
      <c r="AP487" s="477">
        <f t="shared" si="248"/>
        <v>0</v>
      </c>
      <c r="AQ487" s="480"/>
      <c r="AR487" s="477">
        <f t="shared" si="249"/>
        <v>0</v>
      </c>
      <c r="AS487" s="480"/>
      <c r="AT487" s="477">
        <f t="shared" ca="1" si="250"/>
        <v>0</v>
      </c>
      <c r="AU487" s="475">
        <f t="shared" ca="1" si="251"/>
        <v>0</v>
      </c>
      <c r="AV487" s="480"/>
      <c r="AW487" s="477">
        <f t="shared" si="252"/>
        <v>0</v>
      </c>
      <c r="AX487" s="480"/>
      <c r="AY487" s="477">
        <f t="shared" si="253"/>
        <v>0</v>
      </c>
      <c r="AZ487" s="480"/>
      <c r="BA487" s="477">
        <f t="shared" si="254"/>
        <v>0</v>
      </c>
      <c r="BB487" s="480"/>
      <c r="BC487" s="850">
        <f t="shared" ca="1" si="255"/>
        <v>0</v>
      </c>
    </row>
    <row r="488" spans="1:55">
      <c r="A488" s="837" t="str">
        <f t="shared" si="227"/>
        <v/>
      </c>
      <c r="B488" s="440"/>
      <c r="C488" s="834" t="str">
        <f t="shared" ca="1" si="228"/>
        <v/>
      </c>
      <c r="D488" s="1757" t="str">
        <f ca="1">IFERROR(VLOOKUP(LEFT(E488,4),Nom_activ_2!D:G,4,0),"")</f>
        <v/>
      </c>
      <c r="E488" s="1757" t="str">
        <f t="shared" ca="1" si="229"/>
        <v/>
      </c>
      <c r="F488" s="1777">
        <f t="shared" ca="1" si="257"/>
        <v>0</v>
      </c>
      <c r="G488" s="839">
        <f t="shared" ca="1" si="257"/>
        <v>0</v>
      </c>
      <c r="H488" s="840">
        <f t="shared" ca="1" si="257"/>
        <v>0</v>
      </c>
      <c r="I488" s="443"/>
      <c r="J488" s="838" t="str">
        <f t="shared" si="230"/>
        <v>!$A:$j</v>
      </c>
      <c r="K488" s="475">
        <f t="shared" ca="1" si="231"/>
        <v>0</v>
      </c>
      <c r="L488" s="480"/>
      <c r="M488" s="477">
        <f t="shared" si="232"/>
        <v>0</v>
      </c>
      <c r="N488" s="480"/>
      <c r="O488" s="477">
        <f t="shared" si="233"/>
        <v>0</v>
      </c>
      <c r="P488" s="480"/>
      <c r="Q488" s="477">
        <f t="shared" si="234"/>
        <v>0</v>
      </c>
      <c r="R488" s="480"/>
      <c r="S488" s="477">
        <f t="shared" ca="1" si="235"/>
        <v>0</v>
      </c>
      <c r="T488" s="475">
        <f t="shared" ca="1" si="236"/>
        <v>0</v>
      </c>
      <c r="U488" s="480"/>
      <c r="V488" s="477">
        <f t="shared" si="237"/>
        <v>0</v>
      </c>
      <c r="W488" s="480"/>
      <c r="X488" s="477">
        <f t="shared" si="238"/>
        <v>0</v>
      </c>
      <c r="Y488" s="480"/>
      <c r="Z488" s="477">
        <f t="shared" si="239"/>
        <v>0</v>
      </c>
      <c r="AA488" s="480"/>
      <c r="AB488" s="477">
        <f t="shared" ca="1" si="240"/>
        <v>0</v>
      </c>
      <c r="AC488" s="475">
        <f t="shared" ca="1" si="241"/>
        <v>0</v>
      </c>
      <c r="AD488" s="480"/>
      <c r="AE488" s="477">
        <f t="shared" si="242"/>
        <v>0</v>
      </c>
      <c r="AF488" s="480"/>
      <c r="AG488" s="477">
        <f t="shared" si="243"/>
        <v>0</v>
      </c>
      <c r="AH488" s="480"/>
      <c r="AI488" s="477">
        <f t="shared" si="244"/>
        <v>0</v>
      </c>
      <c r="AJ488" s="480"/>
      <c r="AK488" s="477">
        <f t="shared" ca="1" si="245"/>
        <v>0</v>
      </c>
      <c r="AL488" s="475">
        <f t="shared" ca="1" si="246"/>
        <v>0</v>
      </c>
      <c r="AM488" s="480"/>
      <c r="AN488" s="477">
        <f t="shared" si="247"/>
        <v>0</v>
      </c>
      <c r="AO488" s="480"/>
      <c r="AP488" s="477">
        <f t="shared" si="248"/>
        <v>0</v>
      </c>
      <c r="AQ488" s="480"/>
      <c r="AR488" s="477">
        <f t="shared" si="249"/>
        <v>0</v>
      </c>
      <c r="AS488" s="480"/>
      <c r="AT488" s="477">
        <f t="shared" ca="1" si="250"/>
        <v>0</v>
      </c>
      <c r="AU488" s="475">
        <f t="shared" ca="1" si="251"/>
        <v>0</v>
      </c>
      <c r="AV488" s="480"/>
      <c r="AW488" s="477">
        <f t="shared" si="252"/>
        <v>0</v>
      </c>
      <c r="AX488" s="480"/>
      <c r="AY488" s="477">
        <f t="shared" si="253"/>
        <v>0</v>
      </c>
      <c r="AZ488" s="480"/>
      <c r="BA488" s="477">
        <f t="shared" si="254"/>
        <v>0</v>
      </c>
      <c r="BB488" s="480"/>
      <c r="BC488" s="850">
        <f t="shared" ca="1" si="255"/>
        <v>0</v>
      </c>
    </row>
    <row r="489" spans="1:55">
      <c r="A489" s="837" t="str">
        <f t="shared" si="227"/>
        <v/>
      </c>
      <c r="B489" s="440"/>
      <c r="C489" s="834" t="str">
        <f t="shared" ca="1" si="228"/>
        <v/>
      </c>
      <c r="D489" s="1757" t="str">
        <f ca="1">IFERROR(VLOOKUP(LEFT(E489,4),Nom_activ_2!D:G,4,0),"")</f>
        <v/>
      </c>
      <c r="E489" s="1757" t="str">
        <f t="shared" ca="1" si="229"/>
        <v/>
      </c>
      <c r="F489" s="1777">
        <f t="shared" ca="1" si="257"/>
        <v>0</v>
      </c>
      <c r="G489" s="839">
        <f t="shared" ca="1" si="257"/>
        <v>0</v>
      </c>
      <c r="H489" s="840">
        <f t="shared" ca="1" si="257"/>
        <v>0</v>
      </c>
      <c r="I489" s="443"/>
      <c r="J489" s="838" t="str">
        <f t="shared" si="230"/>
        <v>!$A:$j</v>
      </c>
      <c r="K489" s="475">
        <f t="shared" ca="1" si="231"/>
        <v>0</v>
      </c>
      <c r="L489" s="480"/>
      <c r="M489" s="477">
        <f t="shared" si="232"/>
        <v>0</v>
      </c>
      <c r="N489" s="480"/>
      <c r="O489" s="477">
        <f t="shared" si="233"/>
        <v>0</v>
      </c>
      <c r="P489" s="480"/>
      <c r="Q489" s="477">
        <f t="shared" si="234"/>
        <v>0</v>
      </c>
      <c r="R489" s="480"/>
      <c r="S489" s="477">
        <f t="shared" ca="1" si="235"/>
        <v>0</v>
      </c>
      <c r="T489" s="475">
        <f t="shared" ca="1" si="236"/>
        <v>0</v>
      </c>
      <c r="U489" s="480"/>
      <c r="V489" s="477">
        <f t="shared" si="237"/>
        <v>0</v>
      </c>
      <c r="W489" s="480"/>
      <c r="X489" s="477">
        <f t="shared" si="238"/>
        <v>0</v>
      </c>
      <c r="Y489" s="480"/>
      <c r="Z489" s="477">
        <f t="shared" si="239"/>
        <v>0</v>
      </c>
      <c r="AA489" s="480"/>
      <c r="AB489" s="477">
        <f t="shared" ca="1" si="240"/>
        <v>0</v>
      </c>
      <c r="AC489" s="475">
        <f t="shared" ca="1" si="241"/>
        <v>0</v>
      </c>
      <c r="AD489" s="480"/>
      <c r="AE489" s="477">
        <f t="shared" si="242"/>
        <v>0</v>
      </c>
      <c r="AF489" s="480"/>
      <c r="AG489" s="477">
        <f t="shared" si="243"/>
        <v>0</v>
      </c>
      <c r="AH489" s="480"/>
      <c r="AI489" s="477">
        <f t="shared" si="244"/>
        <v>0</v>
      </c>
      <c r="AJ489" s="480"/>
      <c r="AK489" s="477">
        <f t="shared" ca="1" si="245"/>
        <v>0</v>
      </c>
      <c r="AL489" s="475">
        <f t="shared" ca="1" si="246"/>
        <v>0</v>
      </c>
      <c r="AM489" s="480"/>
      <c r="AN489" s="477">
        <f t="shared" si="247"/>
        <v>0</v>
      </c>
      <c r="AO489" s="480"/>
      <c r="AP489" s="477">
        <f t="shared" si="248"/>
        <v>0</v>
      </c>
      <c r="AQ489" s="480"/>
      <c r="AR489" s="477">
        <f t="shared" si="249"/>
        <v>0</v>
      </c>
      <c r="AS489" s="480"/>
      <c r="AT489" s="477">
        <f t="shared" ca="1" si="250"/>
        <v>0</v>
      </c>
      <c r="AU489" s="475">
        <f t="shared" ca="1" si="251"/>
        <v>0</v>
      </c>
      <c r="AV489" s="480"/>
      <c r="AW489" s="477">
        <f t="shared" si="252"/>
        <v>0</v>
      </c>
      <c r="AX489" s="480"/>
      <c r="AY489" s="477">
        <f t="shared" si="253"/>
        <v>0</v>
      </c>
      <c r="AZ489" s="480"/>
      <c r="BA489" s="477">
        <f t="shared" si="254"/>
        <v>0</v>
      </c>
      <c r="BB489" s="480"/>
      <c r="BC489" s="850">
        <f t="shared" ca="1" si="255"/>
        <v>0</v>
      </c>
    </row>
    <row r="490" spans="1:55">
      <c r="A490" s="837" t="str">
        <f t="shared" si="227"/>
        <v/>
      </c>
      <c r="B490" s="440"/>
      <c r="C490" s="834" t="str">
        <f t="shared" ca="1" si="228"/>
        <v/>
      </c>
      <c r="D490" s="1757" t="str">
        <f ca="1">IFERROR(VLOOKUP(LEFT(E490,4),Nom_activ_2!D:G,4,0),"")</f>
        <v/>
      </c>
      <c r="E490" s="1757" t="str">
        <f t="shared" ca="1" si="229"/>
        <v/>
      </c>
      <c r="F490" s="1777">
        <f t="shared" ca="1" si="257"/>
        <v>0</v>
      </c>
      <c r="G490" s="839">
        <f t="shared" ca="1" si="257"/>
        <v>0</v>
      </c>
      <c r="H490" s="840">
        <f t="shared" ca="1" si="257"/>
        <v>0</v>
      </c>
      <c r="I490" s="443"/>
      <c r="J490" s="838" t="str">
        <f t="shared" si="230"/>
        <v>!$A:$j</v>
      </c>
      <c r="K490" s="475">
        <f t="shared" ca="1" si="231"/>
        <v>0</v>
      </c>
      <c r="L490" s="480"/>
      <c r="M490" s="477">
        <f t="shared" si="232"/>
        <v>0</v>
      </c>
      <c r="N490" s="480"/>
      <c r="O490" s="477">
        <f t="shared" si="233"/>
        <v>0</v>
      </c>
      <c r="P490" s="480"/>
      <c r="Q490" s="477">
        <f t="shared" si="234"/>
        <v>0</v>
      </c>
      <c r="R490" s="480"/>
      <c r="S490" s="477">
        <f t="shared" ca="1" si="235"/>
        <v>0</v>
      </c>
      <c r="T490" s="475">
        <f t="shared" ca="1" si="236"/>
        <v>0</v>
      </c>
      <c r="U490" s="480"/>
      <c r="V490" s="477">
        <f t="shared" si="237"/>
        <v>0</v>
      </c>
      <c r="W490" s="480"/>
      <c r="X490" s="477">
        <f t="shared" si="238"/>
        <v>0</v>
      </c>
      <c r="Y490" s="480"/>
      <c r="Z490" s="477">
        <f t="shared" si="239"/>
        <v>0</v>
      </c>
      <c r="AA490" s="480"/>
      <c r="AB490" s="477">
        <f t="shared" ca="1" si="240"/>
        <v>0</v>
      </c>
      <c r="AC490" s="475">
        <f t="shared" ca="1" si="241"/>
        <v>0</v>
      </c>
      <c r="AD490" s="480"/>
      <c r="AE490" s="477">
        <f t="shared" si="242"/>
        <v>0</v>
      </c>
      <c r="AF490" s="480"/>
      <c r="AG490" s="477">
        <f t="shared" si="243"/>
        <v>0</v>
      </c>
      <c r="AH490" s="480"/>
      <c r="AI490" s="477">
        <f t="shared" si="244"/>
        <v>0</v>
      </c>
      <c r="AJ490" s="480"/>
      <c r="AK490" s="477">
        <f t="shared" ca="1" si="245"/>
        <v>0</v>
      </c>
      <c r="AL490" s="475">
        <f t="shared" ca="1" si="246"/>
        <v>0</v>
      </c>
      <c r="AM490" s="480"/>
      <c r="AN490" s="477">
        <f t="shared" si="247"/>
        <v>0</v>
      </c>
      <c r="AO490" s="480"/>
      <c r="AP490" s="477">
        <f t="shared" si="248"/>
        <v>0</v>
      </c>
      <c r="AQ490" s="480"/>
      <c r="AR490" s="477">
        <f t="shared" si="249"/>
        <v>0</v>
      </c>
      <c r="AS490" s="480"/>
      <c r="AT490" s="477">
        <f t="shared" ca="1" si="250"/>
        <v>0</v>
      </c>
      <c r="AU490" s="475">
        <f t="shared" ca="1" si="251"/>
        <v>0</v>
      </c>
      <c r="AV490" s="480"/>
      <c r="AW490" s="477">
        <f t="shared" si="252"/>
        <v>0</v>
      </c>
      <c r="AX490" s="480"/>
      <c r="AY490" s="477">
        <f t="shared" si="253"/>
        <v>0</v>
      </c>
      <c r="AZ490" s="480"/>
      <c r="BA490" s="477">
        <f t="shared" si="254"/>
        <v>0</v>
      </c>
      <c r="BB490" s="480"/>
      <c r="BC490" s="850">
        <f t="shared" ca="1" si="255"/>
        <v>0</v>
      </c>
    </row>
    <row r="491" spans="1:55">
      <c r="A491" s="837" t="str">
        <f t="shared" si="227"/>
        <v/>
      </c>
      <c r="B491" s="440"/>
      <c r="C491" s="834" t="str">
        <f t="shared" ca="1" si="228"/>
        <v/>
      </c>
      <c r="D491" s="1757" t="str">
        <f ca="1">IFERROR(VLOOKUP(LEFT(E491,4),Nom_activ_2!D:G,4,0),"")</f>
        <v/>
      </c>
      <c r="E491" s="1757" t="str">
        <f t="shared" ca="1" si="229"/>
        <v/>
      </c>
      <c r="F491" s="1777">
        <f t="shared" ca="1" si="257"/>
        <v>0</v>
      </c>
      <c r="G491" s="839">
        <f t="shared" ca="1" si="257"/>
        <v>0</v>
      </c>
      <c r="H491" s="840">
        <f t="shared" ca="1" si="257"/>
        <v>0</v>
      </c>
      <c r="I491" s="443"/>
      <c r="J491" s="838" t="str">
        <f t="shared" si="230"/>
        <v>!$A:$j</v>
      </c>
      <c r="K491" s="475">
        <f t="shared" ca="1" si="231"/>
        <v>0</v>
      </c>
      <c r="L491" s="480"/>
      <c r="M491" s="477">
        <f t="shared" si="232"/>
        <v>0</v>
      </c>
      <c r="N491" s="480"/>
      <c r="O491" s="477">
        <f t="shared" si="233"/>
        <v>0</v>
      </c>
      <c r="P491" s="480"/>
      <c r="Q491" s="477">
        <f t="shared" si="234"/>
        <v>0</v>
      </c>
      <c r="R491" s="480"/>
      <c r="S491" s="477">
        <f t="shared" ca="1" si="235"/>
        <v>0</v>
      </c>
      <c r="T491" s="475">
        <f t="shared" ca="1" si="236"/>
        <v>0</v>
      </c>
      <c r="U491" s="480"/>
      <c r="V491" s="477">
        <f t="shared" si="237"/>
        <v>0</v>
      </c>
      <c r="W491" s="480"/>
      <c r="X491" s="477">
        <f t="shared" si="238"/>
        <v>0</v>
      </c>
      <c r="Y491" s="480"/>
      <c r="Z491" s="477">
        <f t="shared" si="239"/>
        <v>0</v>
      </c>
      <c r="AA491" s="480"/>
      <c r="AB491" s="477">
        <f t="shared" ca="1" si="240"/>
        <v>0</v>
      </c>
      <c r="AC491" s="475">
        <f t="shared" ca="1" si="241"/>
        <v>0</v>
      </c>
      <c r="AD491" s="480"/>
      <c r="AE491" s="477">
        <f t="shared" si="242"/>
        <v>0</v>
      </c>
      <c r="AF491" s="480"/>
      <c r="AG491" s="477">
        <f t="shared" si="243"/>
        <v>0</v>
      </c>
      <c r="AH491" s="480"/>
      <c r="AI491" s="477">
        <f t="shared" si="244"/>
        <v>0</v>
      </c>
      <c r="AJ491" s="480"/>
      <c r="AK491" s="477">
        <f t="shared" ca="1" si="245"/>
        <v>0</v>
      </c>
      <c r="AL491" s="475">
        <f t="shared" ca="1" si="246"/>
        <v>0</v>
      </c>
      <c r="AM491" s="480"/>
      <c r="AN491" s="477">
        <f t="shared" si="247"/>
        <v>0</v>
      </c>
      <c r="AO491" s="480"/>
      <c r="AP491" s="477">
        <f t="shared" si="248"/>
        <v>0</v>
      </c>
      <c r="AQ491" s="480"/>
      <c r="AR491" s="477">
        <f t="shared" si="249"/>
        <v>0</v>
      </c>
      <c r="AS491" s="480"/>
      <c r="AT491" s="477">
        <f t="shared" ca="1" si="250"/>
        <v>0</v>
      </c>
      <c r="AU491" s="475">
        <f t="shared" ca="1" si="251"/>
        <v>0</v>
      </c>
      <c r="AV491" s="480"/>
      <c r="AW491" s="477">
        <f t="shared" si="252"/>
        <v>0</v>
      </c>
      <c r="AX491" s="480"/>
      <c r="AY491" s="477">
        <f t="shared" si="253"/>
        <v>0</v>
      </c>
      <c r="AZ491" s="480"/>
      <c r="BA491" s="477">
        <f t="shared" si="254"/>
        <v>0</v>
      </c>
      <c r="BB491" s="480"/>
      <c r="BC491" s="850">
        <f t="shared" ca="1" si="255"/>
        <v>0</v>
      </c>
    </row>
    <row r="492" spans="1:55">
      <c r="A492" s="837" t="str">
        <f t="shared" si="227"/>
        <v/>
      </c>
      <c r="B492" s="440"/>
      <c r="C492" s="834" t="str">
        <f t="shared" ca="1" si="228"/>
        <v/>
      </c>
      <c r="D492" s="1757" t="str">
        <f ca="1">IFERROR(VLOOKUP(LEFT(E492,4),Nom_activ_2!D:G,4,0),"")</f>
        <v/>
      </c>
      <c r="E492" s="1757" t="str">
        <f t="shared" ca="1" si="229"/>
        <v/>
      </c>
      <c r="F492" s="1777">
        <f t="shared" ca="1" si="257"/>
        <v>0</v>
      </c>
      <c r="G492" s="839">
        <f t="shared" ca="1" si="257"/>
        <v>0</v>
      </c>
      <c r="H492" s="840">
        <f t="shared" ca="1" si="257"/>
        <v>0</v>
      </c>
      <c r="I492" s="443"/>
      <c r="J492" s="838" t="str">
        <f t="shared" si="230"/>
        <v>!$A:$j</v>
      </c>
      <c r="K492" s="475">
        <f t="shared" ca="1" si="231"/>
        <v>0</v>
      </c>
      <c r="L492" s="480"/>
      <c r="M492" s="477">
        <f t="shared" si="232"/>
        <v>0</v>
      </c>
      <c r="N492" s="480"/>
      <c r="O492" s="477">
        <f t="shared" si="233"/>
        <v>0</v>
      </c>
      <c r="P492" s="480"/>
      <c r="Q492" s="477">
        <f t="shared" si="234"/>
        <v>0</v>
      </c>
      <c r="R492" s="480"/>
      <c r="S492" s="477">
        <f t="shared" ca="1" si="235"/>
        <v>0</v>
      </c>
      <c r="T492" s="475">
        <f t="shared" ca="1" si="236"/>
        <v>0</v>
      </c>
      <c r="U492" s="480"/>
      <c r="V492" s="477">
        <f t="shared" si="237"/>
        <v>0</v>
      </c>
      <c r="W492" s="480"/>
      <c r="X492" s="477">
        <f t="shared" si="238"/>
        <v>0</v>
      </c>
      <c r="Y492" s="480"/>
      <c r="Z492" s="477">
        <f t="shared" si="239"/>
        <v>0</v>
      </c>
      <c r="AA492" s="480"/>
      <c r="AB492" s="477">
        <f t="shared" ca="1" si="240"/>
        <v>0</v>
      </c>
      <c r="AC492" s="475">
        <f t="shared" ca="1" si="241"/>
        <v>0</v>
      </c>
      <c r="AD492" s="480"/>
      <c r="AE492" s="477">
        <f t="shared" si="242"/>
        <v>0</v>
      </c>
      <c r="AF492" s="480"/>
      <c r="AG492" s="477">
        <f t="shared" si="243"/>
        <v>0</v>
      </c>
      <c r="AH492" s="480"/>
      <c r="AI492" s="477">
        <f t="shared" si="244"/>
        <v>0</v>
      </c>
      <c r="AJ492" s="480"/>
      <c r="AK492" s="477">
        <f t="shared" ca="1" si="245"/>
        <v>0</v>
      </c>
      <c r="AL492" s="475">
        <f t="shared" ca="1" si="246"/>
        <v>0</v>
      </c>
      <c r="AM492" s="480"/>
      <c r="AN492" s="477">
        <f t="shared" si="247"/>
        <v>0</v>
      </c>
      <c r="AO492" s="480"/>
      <c r="AP492" s="477">
        <f t="shared" si="248"/>
        <v>0</v>
      </c>
      <c r="AQ492" s="480"/>
      <c r="AR492" s="477">
        <f t="shared" si="249"/>
        <v>0</v>
      </c>
      <c r="AS492" s="480"/>
      <c r="AT492" s="477">
        <f t="shared" ca="1" si="250"/>
        <v>0</v>
      </c>
      <c r="AU492" s="475">
        <f t="shared" ca="1" si="251"/>
        <v>0</v>
      </c>
      <c r="AV492" s="480"/>
      <c r="AW492" s="477">
        <f t="shared" si="252"/>
        <v>0</v>
      </c>
      <c r="AX492" s="480"/>
      <c r="AY492" s="477">
        <f t="shared" si="253"/>
        <v>0</v>
      </c>
      <c r="AZ492" s="480"/>
      <c r="BA492" s="477">
        <f t="shared" si="254"/>
        <v>0</v>
      </c>
      <c r="BB492" s="480"/>
      <c r="BC492" s="850">
        <f t="shared" ca="1" si="255"/>
        <v>0</v>
      </c>
    </row>
    <row r="493" spans="1:55">
      <c r="A493" s="837" t="str">
        <f t="shared" si="227"/>
        <v/>
      </c>
      <c r="B493" s="440"/>
      <c r="C493" s="834" t="str">
        <f t="shared" ca="1" si="228"/>
        <v/>
      </c>
      <c r="D493" s="1757" t="str">
        <f ca="1">IFERROR(VLOOKUP(LEFT(E493,4),Nom_activ_2!D:G,4,0),"")</f>
        <v/>
      </c>
      <c r="E493" s="1757" t="str">
        <f t="shared" ca="1" si="229"/>
        <v/>
      </c>
      <c r="F493" s="1777">
        <f t="shared" ca="1" si="257"/>
        <v>0</v>
      </c>
      <c r="G493" s="839">
        <f t="shared" ca="1" si="257"/>
        <v>0</v>
      </c>
      <c r="H493" s="840">
        <f t="shared" ca="1" si="257"/>
        <v>0</v>
      </c>
      <c r="I493" s="443"/>
      <c r="J493" s="838" t="str">
        <f t="shared" si="230"/>
        <v>!$A:$j</v>
      </c>
      <c r="K493" s="475">
        <f t="shared" ca="1" si="231"/>
        <v>0</v>
      </c>
      <c r="L493" s="480"/>
      <c r="M493" s="477">
        <f t="shared" si="232"/>
        <v>0</v>
      </c>
      <c r="N493" s="480"/>
      <c r="O493" s="477">
        <f t="shared" si="233"/>
        <v>0</v>
      </c>
      <c r="P493" s="480"/>
      <c r="Q493" s="477">
        <f t="shared" si="234"/>
        <v>0</v>
      </c>
      <c r="R493" s="480"/>
      <c r="S493" s="477">
        <f t="shared" ca="1" si="235"/>
        <v>0</v>
      </c>
      <c r="T493" s="475">
        <f t="shared" ca="1" si="236"/>
        <v>0</v>
      </c>
      <c r="U493" s="480"/>
      <c r="V493" s="477">
        <f t="shared" si="237"/>
        <v>0</v>
      </c>
      <c r="W493" s="480"/>
      <c r="X493" s="477">
        <f t="shared" si="238"/>
        <v>0</v>
      </c>
      <c r="Y493" s="480"/>
      <c r="Z493" s="477">
        <f t="shared" si="239"/>
        <v>0</v>
      </c>
      <c r="AA493" s="480"/>
      <c r="AB493" s="477">
        <f t="shared" ca="1" si="240"/>
        <v>0</v>
      </c>
      <c r="AC493" s="475">
        <f t="shared" ca="1" si="241"/>
        <v>0</v>
      </c>
      <c r="AD493" s="480"/>
      <c r="AE493" s="477">
        <f t="shared" si="242"/>
        <v>0</v>
      </c>
      <c r="AF493" s="480"/>
      <c r="AG493" s="477">
        <f t="shared" si="243"/>
        <v>0</v>
      </c>
      <c r="AH493" s="480"/>
      <c r="AI493" s="477">
        <f t="shared" si="244"/>
        <v>0</v>
      </c>
      <c r="AJ493" s="480"/>
      <c r="AK493" s="477">
        <f t="shared" ca="1" si="245"/>
        <v>0</v>
      </c>
      <c r="AL493" s="475">
        <f t="shared" ca="1" si="246"/>
        <v>0</v>
      </c>
      <c r="AM493" s="480"/>
      <c r="AN493" s="477">
        <f t="shared" si="247"/>
        <v>0</v>
      </c>
      <c r="AO493" s="480"/>
      <c r="AP493" s="477">
        <f t="shared" si="248"/>
        <v>0</v>
      </c>
      <c r="AQ493" s="480"/>
      <c r="AR493" s="477">
        <f t="shared" si="249"/>
        <v>0</v>
      </c>
      <c r="AS493" s="480"/>
      <c r="AT493" s="477">
        <f t="shared" ca="1" si="250"/>
        <v>0</v>
      </c>
      <c r="AU493" s="475">
        <f t="shared" ca="1" si="251"/>
        <v>0</v>
      </c>
      <c r="AV493" s="480"/>
      <c r="AW493" s="477">
        <f t="shared" si="252"/>
        <v>0</v>
      </c>
      <c r="AX493" s="480"/>
      <c r="AY493" s="477">
        <f t="shared" si="253"/>
        <v>0</v>
      </c>
      <c r="AZ493" s="480"/>
      <c r="BA493" s="477">
        <f t="shared" si="254"/>
        <v>0</v>
      </c>
      <c r="BB493" s="480"/>
      <c r="BC493" s="850">
        <f t="shared" ca="1" si="255"/>
        <v>0</v>
      </c>
    </row>
    <row r="494" spans="1:55">
      <c r="A494" s="837" t="str">
        <f t="shared" si="227"/>
        <v/>
      </c>
      <c r="B494" s="440"/>
      <c r="C494" s="834" t="str">
        <f t="shared" ca="1" si="228"/>
        <v/>
      </c>
      <c r="D494" s="1757" t="str">
        <f ca="1">IFERROR(VLOOKUP(LEFT(E494,4),Nom_activ_2!D:G,4,0),"")</f>
        <v/>
      </c>
      <c r="E494" s="1757" t="str">
        <f t="shared" ca="1" si="229"/>
        <v/>
      </c>
      <c r="F494" s="1777">
        <f t="shared" ca="1" si="257"/>
        <v>0</v>
      </c>
      <c r="G494" s="839">
        <f t="shared" ca="1" si="257"/>
        <v>0</v>
      </c>
      <c r="H494" s="840">
        <f t="shared" ca="1" si="257"/>
        <v>0</v>
      </c>
      <c r="I494" s="443"/>
      <c r="J494" s="838" t="str">
        <f t="shared" si="230"/>
        <v>!$A:$j</v>
      </c>
      <c r="K494" s="475">
        <f t="shared" ca="1" si="231"/>
        <v>0</v>
      </c>
      <c r="L494" s="480"/>
      <c r="M494" s="477">
        <f t="shared" si="232"/>
        <v>0</v>
      </c>
      <c r="N494" s="480"/>
      <c r="O494" s="477">
        <f t="shared" si="233"/>
        <v>0</v>
      </c>
      <c r="P494" s="480"/>
      <c r="Q494" s="477">
        <f t="shared" si="234"/>
        <v>0</v>
      </c>
      <c r="R494" s="480"/>
      <c r="S494" s="477">
        <f t="shared" ca="1" si="235"/>
        <v>0</v>
      </c>
      <c r="T494" s="475">
        <f t="shared" ca="1" si="236"/>
        <v>0</v>
      </c>
      <c r="U494" s="480"/>
      <c r="V494" s="477">
        <f t="shared" si="237"/>
        <v>0</v>
      </c>
      <c r="W494" s="480"/>
      <c r="X494" s="477">
        <f t="shared" si="238"/>
        <v>0</v>
      </c>
      <c r="Y494" s="480"/>
      <c r="Z494" s="477">
        <f t="shared" si="239"/>
        <v>0</v>
      </c>
      <c r="AA494" s="480"/>
      <c r="AB494" s="477">
        <f t="shared" ca="1" si="240"/>
        <v>0</v>
      </c>
      <c r="AC494" s="475">
        <f t="shared" ca="1" si="241"/>
        <v>0</v>
      </c>
      <c r="AD494" s="480"/>
      <c r="AE494" s="477">
        <f t="shared" si="242"/>
        <v>0</v>
      </c>
      <c r="AF494" s="480"/>
      <c r="AG494" s="477">
        <f t="shared" si="243"/>
        <v>0</v>
      </c>
      <c r="AH494" s="480"/>
      <c r="AI494" s="477">
        <f t="shared" si="244"/>
        <v>0</v>
      </c>
      <c r="AJ494" s="480"/>
      <c r="AK494" s="477">
        <f t="shared" ca="1" si="245"/>
        <v>0</v>
      </c>
      <c r="AL494" s="475">
        <f t="shared" ca="1" si="246"/>
        <v>0</v>
      </c>
      <c r="AM494" s="480"/>
      <c r="AN494" s="477">
        <f t="shared" si="247"/>
        <v>0</v>
      </c>
      <c r="AO494" s="480"/>
      <c r="AP494" s="477">
        <f t="shared" si="248"/>
        <v>0</v>
      </c>
      <c r="AQ494" s="480"/>
      <c r="AR494" s="477">
        <f t="shared" si="249"/>
        <v>0</v>
      </c>
      <c r="AS494" s="480"/>
      <c r="AT494" s="477">
        <f t="shared" ca="1" si="250"/>
        <v>0</v>
      </c>
      <c r="AU494" s="475">
        <f t="shared" ca="1" si="251"/>
        <v>0</v>
      </c>
      <c r="AV494" s="480"/>
      <c r="AW494" s="477">
        <f t="shared" si="252"/>
        <v>0</v>
      </c>
      <c r="AX494" s="480"/>
      <c r="AY494" s="477">
        <f t="shared" si="253"/>
        <v>0</v>
      </c>
      <c r="AZ494" s="480"/>
      <c r="BA494" s="477">
        <f t="shared" si="254"/>
        <v>0</v>
      </c>
      <c r="BB494" s="480"/>
      <c r="BC494" s="850">
        <f t="shared" ca="1" si="255"/>
        <v>0</v>
      </c>
    </row>
    <row r="495" spans="1:55">
      <c r="A495" s="837" t="str">
        <f t="shared" si="227"/>
        <v/>
      </c>
      <c r="B495" s="440"/>
      <c r="C495" s="834" t="str">
        <f t="shared" ca="1" si="228"/>
        <v/>
      </c>
      <c r="D495" s="1757" t="str">
        <f ca="1">IFERROR(VLOOKUP(LEFT(E495,4),Nom_activ_2!D:G,4,0),"")</f>
        <v/>
      </c>
      <c r="E495" s="1757" t="str">
        <f t="shared" ca="1" si="229"/>
        <v/>
      </c>
      <c r="F495" s="1777">
        <f t="shared" ca="1" si="257"/>
        <v>0</v>
      </c>
      <c r="G495" s="839">
        <f t="shared" ca="1" si="257"/>
        <v>0</v>
      </c>
      <c r="H495" s="840">
        <f t="shared" ca="1" si="257"/>
        <v>0</v>
      </c>
      <c r="I495" s="443"/>
      <c r="J495" s="838" t="str">
        <f t="shared" si="230"/>
        <v>!$A:$j</v>
      </c>
      <c r="K495" s="475">
        <f t="shared" ca="1" si="231"/>
        <v>0</v>
      </c>
      <c r="L495" s="480"/>
      <c r="M495" s="477">
        <f t="shared" si="232"/>
        <v>0</v>
      </c>
      <c r="N495" s="480"/>
      <c r="O495" s="477">
        <f t="shared" si="233"/>
        <v>0</v>
      </c>
      <c r="P495" s="480"/>
      <c r="Q495" s="477">
        <f t="shared" si="234"/>
        <v>0</v>
      </c>
      <c r="R495" s="480"/>
      <c r="S495" s="477">
        <f t="shared" ca="1" si="235"/>
        <v>0</v>
      </c>
      <c r="T495" s="475">
        <f t="shared" ca="1" si="236"/>
        <v>0</v>
      </c>
      <c r="U495" s="480"/>
      <c r="V495" s="477">
        <f t="shared" si="237"/>
        <v>0</v>
      </c>
      <c r="W495" s="480"/>
      <c r="X495" s="477">
        <f t="shared" si="238"/>
        <v>0</v>
      </c>
      <c r="Y495" s="480"/>
      <c r="Z495" s="477">
        <f t="shared" si="239"/>
        <v>0</v>
      </c>
      <c r="AA495" s="480"/>
      <c r="AB495" s="477">
        <f t="shared" ca="1" si="240"/>
        <v>0</v>
      </c>
      <c r="AC495" s="475">
        <f t="shared" ca="1" si="241"/>
        <v>0</v>
      </c>
      <c r="AD495" s="480"/>
      <c r="AE495" s="477">
        <f t="shared" si="242"/>
        <v>0</v>
      </c>
      <c r="AF495" s="480"/>
      <c r="AG495" s="477">
        <f t="shared" si="243"/>
        <v>0</v>
      </c>
      <c r="AH495" s="480"/>
      <c r="AI495" s="477">
        <f t="shared" si="244"/>
        <v>0</v>
      </c>
      <c r="AJ495" s="480"/>
      <c r="AK495" s="477">
        <f t="shared" ca="1" si="245"/>
        <v>0</v>
      </c>
      <c r="AL495" s="475">
        <f t="shared" ca="1" si="246"/>
        <v>0</v>
      </c>
      <c r="AM495" s="480"/>
      <c r="AN495" s="477">
        <f t="shared" si="247"/>
        <v>0</v>
      </c>
      <c r="AO495" s="480"/>
      <c r="AP495" s="477">
        <f t="shared" si="248"/>
        <v>0</v>
      </c>
      <c r="AQ495" s="480"/>
      <c r="AR495" s="477">
        <f t="shared" si="249"/>
        <v>0</v>
      </c>
      <c r="AS495" s="480"/>
      <c r="AT495" s="477">
        <f t="shared" ca="1" si="250"/>
        <v>0</v>
      </c>
      <c r="AU495" s="475">
        <f t="shared" ca="1" si="251"/>
        <v>0</v>
      </c>
      <c r="AV495" s="480"/>
      <c r="AW495" s="477">
        <f t="shared" si="252"/>
        <v>0</v>
      </c>
      <c r="AX495" s="480"/>
      <c r="AY495" s="477">
        <f t="shared" si="253"/>
        <v>0</v>
      </c>
      <c r="AZ495" s="480"/>
      <c r="BA495" s="477">
        <f t="shared" si="254"/>
        <v>0</v>
      </c>
      <c r="BB495" s="480"/>
      <c r="BC495" s="850">
        <f t="shared" ca="1" si="255"/>
        <v>0</v>
      </c>
    </row>
    <row r="496" spans="1:55">
      <c r="A496" s="837" t="str">
        <f t="shared" si="227"/>
        <v/>
      </c>
      <c r="B496" s="440"/>
      <c r="C496" s="834" t="str">
        <f t="shared" ca="1" si="228"/>
        <v/>
      </c>
      <c r="D496" s="1757" t="str">
        <f ca="1">IFERROR(VLOOKUP(LEFT(E496,4),Nom_activ_2!D:G,4,0),"")</f>
        <v/>
      </c>
      <c r="E496" s="1757" t="str">
        <f t="shared" ca="1" si="229"/>
        <v/>
      </c>
      <c r="F496" s="1777">
        <f t="shared" ca="1" si="257"/>
        <v>0</v>
      </c>
      <c r="G496" s="839">
        <f t="shared" ca="1" si="257"/>
        <v>0</v>
      </c>
      <c r="H496" s="840">
        <f t="shared" ca="1" si="257"/>
        <v>0</v>
      </c>
      <c r="I496" s="443"/>
      <c r="J496" s="838" t="str">
        <f t="shared" si="230"/>
        <v>!$A:$j</v>
      </c>
      <c r="K496" s="475">
        <f t="shared" ca="1" si="231"/>
        <v>0</v>
      </c>
      <c r="L496" s="480"/>
      <c r="M496" s="477">
        <f t="shared" si="232"/>
        <v>0</v>
      </c>
      <c r="N496" s="480"/>
      <c r="O496" s="477">
        <f t="shared" si="233"/>
        <v>0</v>
      </c>
      <c r="P496" s="480"/>
      <c r="Q496" s="477">
        <f t="shared" si="234"/>
        <v>0</v>
      </c>
      <c r="R496" s="480"/>
      <c r="S496" s="477">
        <f t="shared" ca="1" si="235"/>
        <v>0</v>
      </c>
      <c r="T496" s="475">
        <f t="shared" ca="1" si="236"/>
        <v>0</v>
      </c>
      <c r="U496" s="480"/>
      <c r="V496" s="477">
        <f t="shared" si="237"/>
        <v>0</v>
      </c>
      <c r="W496" s="480"/>
      <c r="X496" s="477">
        <f t="shared" si="238"/>
        <v>0</v>
      </c>
      <c r="Y496" s="480"/>
      <c r="Z496" s="477">
        <f t="shared" si="239"/>
        <v>0</v>
      </c>
      <c r="AA496" s="480"/>
      <c r="AB496" s="477">
        <f t="shared" ca="1" si="240"/>
        <v>0</v>
      </c>
      <c r="AC496" s="475">
        <f t="shared" ca="1" si="241"/>
        <v>0</v>
      </c>
      <c r="AD496" s="480"/>
      <c r="AE496" s="477">
        <f t="shared" si="242"/>
        <v>0</v>
      </c>
      <c r="AF496" s="480"/>
      <c r="AG496" s="477">
        <f t="shared" si="243"/>
        <v>0</v>
      </c>
      <c r="AH496" s="480"/>
      <c r="AI496" s="477">
        <f t="shared" si="244"/>
        <v>0</v>
      </c>
      <c r="AJ496" s="480"/>
      <c r="AK496" s="477">
        <f t="shared" ca="1" si="245"/>
        <v>0</v>
      </c>
      <c r="AL496" s="475">
        <f t="shared" ca="1" si="246"/>
        <v>0</v>
      </c>
      <c r="AM496" s="480"/>
      <c r="AN496" s="477">
        <f t="shared" si="247"/>
        <v>0</v>
      </c>
      <c r="AO496" s="480"/>
      <c r="AP496" s="477">
        <f t="shared" si="248"/>
        <v>0</v>
      </c>
      <c r="AQ496" s="480"/>
      <c r="AR496" s="477">
        <f t="shared" si="249"/>
        <v>0</v>
      </c>
      <c r="AS496" s="480"/>
      <c r="AT496" s="477">
        <f t="shared" ca="1" si="250"/>
        <v>0</v>
      </c>
      <c r="AU496" s="475">
        <f t="shared" ca="1" si="251"/>
        <v>0</v>
      </c>
      <c r="AV496" s="480"/>
      <c r="AW496" s="477">
        <f t="shared" si="252"/>
        <v>0</v>
      </c>
      <c r="AX496" s="480"/>
      <c r="AY496" s="477">
        <f t="shared" si="253"/>
        <v>0</v>
      </c>
      <c r="AZ496" s="480"/>
      <c r="BA496" s="477">
        <f t="shared" si="254"/>
        <v>0</v>
      </c>
      <c r="BB496" s="480"/>
      <c r="BC496" s="850">
        <f t="shared" ca="1" si="255"/>
        <v>0</v>
      </c>
    </row>
    <row r="497" spans="1:55">
      <c r="A497" s="837" t="str">
        <f t="shared" si="227"/>
        <v/>
      </c>
      <c r="B497" s="440"/>
      <c r="C497" s="834" t="str">
        <f t="shared" ca="1" si="228"/>
        <v/>
      </c>
      <c r="D497" s="1757" t="str">
        <f ca="1">IFERROR(VLOOKUP(LEFT(E497,4),Nom_activ_2!D:G,4,0),"")</f>
        <v/>
      </c>
      <c r="E497" s="1757" t="str">
        <f t="shared" ca="1" si="229"/>
        <v/>
      </c>
      <c r="F497" s="1777">
        <f t="shared" ca="1" si="257"/>
        <v>0</v>
      </c>
      <c r="G497" s="839">
        <f t="shared" ca="1" si="257"/>
        <v>0</v>
      </c>
      <c r="H497" s="840">
        <f t="shared" ca="1" si="257"/>
        <v>0</v>
      </c>
      <c r="I497" s="443"/>
      <c r="J497" s="838" t="str">
        <f t="shared" si="230"/>
        <v>!$A:$j</v>
      </c>
      <c r="K497" s="475">
        <f t="shared" ca="1" si="231"/>
        <v>0</v>
      </c>
      <c r="L497" s="480"/>
      <c r="M497" s="477">
        <f t="shared" si="232"/>
        <v>0</v>
      </c>
      <c r="N497" s="480"/>
      <c r="O497" s="477">
        <f t="shared" si="233"/>
        <v>0</v>
      </c>
      <c r="P497" s="480"/>
      <c r="Q497" s="477">
        <f t="shared" si="234"/>
        <v>0</v>
      </c>
      <c r="R497" s="480"/>
      <c r="S497" s="477">
        <f t="shared" ca="1" si="235"/>
        <v>0</v>
      </c>
      <c r="T497" s="475">
        <f t="shared" ca="1" si="236"/>
        <v>0</v>
      </c>
      <c r="U497" s="480"/>
      <c r="V497" s="477">
        <f t="shared" si="237"/>
        <v>0</v>
      </c>
      <c r="W497" s="480"/>
      <c r="X497" s="477">
        <f t="shared" si="238"/>
        <v>0</v>
      </c>
      <c r="Y497" s="480"/>
      <c r="Z497" s="477">
        <f t="shared" si="239"/>
        <v>0</v>
      </c>
      <c r="AA497" s="480"/>
      <c r="AB497" s="477">
        <f t="shared" ca="1" si="240"/>
        <v>0</v>
      </c>
      <c r="AC497" s="475">
        <f t="shared" ca="1" si="241"/>
        <v>0</v>
      </c>
      <c r="AD497" s="480"/>
      <c r="AE497" s="477">
        <f t="shared" si="242"/>
        <v>0</v>
      </c>
      <c r="AF497" s="480"/>
      <c r="AG497" s="477">
        <f t="shared" si="243"/>
        <v>0</v>
      </c>
      <c r="AH497" s="480"/>
      <c r="AI497" s="477">
        <f t="shared" si="244"/>
        <v>0</v>
      </c>
      <c r="AJ497" s="480"/>
      <c r="AK497" s="477">
        <f t="shared" ca="1" si="245"/>
        <v>0</v>
      </c>
      <c r="AL497" s="475">
        <f t="shared" ca="1" si="246"/>
        <v>0</v>
      </c>
      <c r="AM497" s="480"/>
      <c r="AN497" s="477">
        <f t="shared" si="247"/>
        <v>0</v>
      </c>
      <c r="AO497" s="480"/>
      <c r="AP497" s="477">
        <f t="shared" si="248"/>
        <v>0</v>
      </c>
      <c r="AQ497" s="480"/>
      <c r="AR497" s="477">
        <f t="shared" si="249"/>
        <v>0</v>
      </c>
      <c r="AS497" s="480"/>
      <c r="AT497" s="477">
        <f t="shared" ca="1" si="250"/>
        <v>0</v>
      </c>
      <c r="AU497" s="475">
        <f t="shared" ca="1" si="251"/>
        <v>0</v>
      </c>
      <c r="AV497" s="480"/>
      <c r="AW497" s="477">
        <f t="shared" si="252"/>
        <v>0</v>
      </c>
      <c r="AX497" s="480"/>
      <c r="AY497" s="477">
        <f t="shared" si="253"/>
        <v>0</v>
      </c>
      <c r="AZ497" s="480"/>
      <c r="BA497" s="477">
        <f t="shared" si="254"/>
        <v>0</v>
      </c>
      <c r="BB497" s="480"/>
      <c r="BC497" s="850">
        <f t="shared" ca="1" si="255"/>
        <v>0</v>
      </c>
    </row>
    <row r="498" spans="1:55">
      <c r="A498" s="837" t="str">
        <f t="shared" si="227"/>
        <v/>
      </c>
      <c r="B498" s="440"/>
      <c r="C498" s="834" t="str">
        <f t="shared" ca="1" si="228"/>
        <v/>
      </c>
      <c r="D498" s="1757" t="str">
        <f ca="1">IFERROR(VLOOKUP(LEFT(E498,4),Nom_activ_2!D:G,4,0),"")</f>
        <v/>
      </c>
      <c r="E498" s="1757" t="str">
        <f t="shared" ca="1" si="229"/>
        <v/>
      </c>
      <c r="F498" s="1777">
        <f t="shared" ca="1" si="257"/>
        <v>0</v>
      </c>
      <c r="G498" s="839">
        <f t="shared" ca="1" si="257"/>
        <v>0</v>
      </c>
      <c r="H498" s="840">
        <f t="shared" ca="1" si="257"/>
        <v>0</v>
      </c>
      <c r="I498" s="443"/>
      <c r="J498" s="838" t="str">
        <f t="shared" si="230"/>
        <v>!$A:$j</v>
      </c>
      <c r="K498" s="475">
        <f t="shared" ca="1" si="231"/>
        <v>0</v>
      </c>
      <c r="L498" s="480"/>
      <c r="M498" s="477">
        <f t="shared" si="232"/>
        <v>0</v>
      </c>
      <c r="N498" s="480"/>
      <c r="O498" s="477">
        <f t="shared" si="233"/>
        <v>0</v>
      </c>
      <c r="P498" s="480"/>
      <c r="Q498" s="477">
        <f t="shared" si="234"/>
        <v>0</v>
      </c>
      <c r="R498" s="480"/>
      <c r="S498" s="477">
        <f t="shared" ca="1" si="235"/>
        <v>0</v>
      </c>
      <c r="T498" s="475">
        <f t="shared" ca="1" si="236"/>
        <v>0</v>
      </c>
      <c r="U498" s="480"/>
      <c r="V498" s="477">
        <f t="shared" si="237"/>
        <v>0</v>
      </c>
      <c r="W498" s="480"/>
      <c r="X498" s="477">
        <f t="shared" si="238"/>
        <v>0</v>
      </c>
      <c r="Y498" s="480"/>
      <c r="Z498" s="477">
        <f t="shared" si="239"/>
        <v>0</v>
      </c>
      <c r="AA498" s="480"/>
      <c r="AB498" s="477">
        <f t="shared" ca="1" si="240"/>
        <v>0</v>
      </c>
      <c r="AC498" s="475">
        <f t="shared" ca="1" si="241"/>
        <v>0</v>
      </c>
      <c r="AD498" s="480"/>
      <c r="AE498" s="477">
        <f t="shared" si="242"/>
        <v>0</v>
      </c>
      <c r="AF498" s="480"/>
      <c r="AG498" s="477">
        <f t="shared" si="243"/>
        <v>0</v>
      </c>
      <c r="AH498" s="480"/>
      <c r="AI498" s="477">
        <f t="shared" si="244"/>
        <v>0</v>
      </c>
      <c r="AJ498" s="480"/>
      <c r="AK498" s="477">
        <f t="shared" ca="1" si="245"/>
        <v>0</v>
      </c>
      <c r="AL498" s="475">
        <f t="shared" ca="1" si="246"/>
        <v>0</v>
      </c>
      <c r="AM498" s="480"/>
      <c r="AN498" s="477">
        <f t="shared" si="247"/>
        <v>0</v>
      </c>
      <c r="AO498" s="480"/>
      <c r="AP498" s="477">
        <f t="shared" si="248"/>
        <v>0</v>
      </c>
      <c r="AQ498" s="480"/>
      <c r="AR498" s="477">
        <f t="shared" si="249"/>
        <v>0</v>
      </c>
      <c r="AS498" s="480"/>
      <c r="AT498" s="477">
        <f t="shared" ca="1" si="250"/>
        <v>0</v>
      </c>
      <c r="AU498" s="475">
        <f t="shared" ca="1" si="251"/>
        <v>0</v>
      </c>
      <c r="AV498" s="480"/>
      <c r="AW498" s="477">
        <f t="shared" si="252"/>
        <v>0</v>
      </c>
      <c r="AX498" s="480"/>
      <c r="AY498" s="477">
        <f t="shared" si="253"/>
        <v>0</v>
      </c>
      <c r="AZ498" s="480"/>
      <c r="BA498" s="477">
        <f t="shared" si="254"/>
        <v>0</v>
      </c>
      <c r="BB498" s="480"/>
      <c r="BC498" s="850">
        <f t="shared" ca="1" si="255"/>
        <v>0</v>
      </c>
    </row>
    <row r="499" spans="1:55">
      <c r="A499" s="837" t="str">
        <f t="shared" si="227"/>
        <v/>
      </c>
      <c r="B499" s="440"/>
      <c r="C499" s="834" t="str">
        <f t="shared" ca="1" si="228"/>
        <v/>
      </c>
      <c r="D499" s="1757" t="str">
        <f ca="1">IFERROR(VLOOKUP(LEFT(E499,4),Nom_activ_2!D:G,4,0),"")</f>
        <v/>
      </c>
      <c r="E499" s="1757" t="str">
        <f t="shared" ca="1" si="229"/>
        <v/>
      </c>
      <c r="F499" s="1777">
        <f t="shared" ca="1" si="257"/>
        <v>0</v>
      </c>
      <c r="G499" s="839">
        <f t="shared" ca="1" si="257"/>
        <v>0</v>
      </c>
      <c r="H499" s="840">
        <f t="shared" ca="1" si="257"/>
        <v>0</v>
      </c>
      <c r="I499" s="443"/>
      <c r="J499" s="838" t="str">
        <f t="shared" si="230"/>
        <v>!$A:$j</v>
      </c>
      <c r="K499" s="475">
        <f t="shared" ca="1" si="231"/>
        <v>0</v>
      </c>
      <c r="L499" s="480"/>
      <c r="M499" s="477">
        <f t="shared" si="232"/>
        <v>0</v>
      </c>
      <c r="N499" s="480"/>
      <c r="O499" s="477">
        <f t="shared" si="233"/>
        <v>0</v>
      </c>
      <c r="P499" s="480"/>
      <c r="Q499" s="477">
        <f t="shared" si="234"/>
        <v>0</v>
      </c>
      <c r="R499" s="480"/>
      <c r="S499" s="477">
        <f t="shared" ca="1" si="235"/>
        <v>0</v>
      </c>
      <c r="T499" s="475">
        <f t="shared" ca="1" si="236"/>
        <v>0</v>
      </c>
      <c r="U499" s="480"/>
      <c r="V499" s="477">
        <f t="shared" si="237"/>
        <v>0</v>
      </c>
      <c r="W499" s="480"/>
      <c r="X499" s="477">
        <f t="shared" si="238"/>
        <v>0</v>
      </c>
      <c r="Y499" s="480"/>
      <c r="Z499" s="477">
        <f t="shared" si="239"/>
        <v>0</v>
      </c>
      <c r="AA499" s="480"/>
      <c r="AB499" s="477">
        <f t="shared" ca="1" si="240"/>
        <v>0</v>
      </c>
      <c r="AC499" s="475">
        <f t="shared" ca="1" si="241"/>
        <v>0</v>
      </c>
      <c r="AD499" s="480"/>
      <c r="AE499" s="477">
        <f t="shared" si="242"/>
        <v>0</v>
      </c>
      <c r="AF499" s="480"/>
      <c r="AG499" s="477">
        <f t="shared" si="243"/>
        <v>0</v>
      </c>
      <c r="AH499" s="480"/>
      <c r="AI499" s="477">
        <f t="shared" si="244"/>
        <v>0</v>
      </c>
      <c r="AJ499" s="480"/>
      <c r="AK499" s="477">
        <f t="shared" ca="1" si="245"/>
        <v>0</v>
      </c>
      <c r="AL499" s="475">
        <f t="shared" ca="1" si="246"/>
        <v>0</v>
      </c>
      <c r="AM499" s="480"/>
      <c r="AN499" s="477">
        <f t="shared" si="247"/>
        <v>0</v>
      </c>
      <c r="AO499" s="480"/>
      <c r="AP499" s="477">
        <f t="shared" si="248"/>
        <v>0</v>
      </c>
      <c r="AQ499" s="480"/>
      <c r="AR499" s="477">
        <f t="shared" si="249"/>
        <v>0</v>
      </c>
      <c r="AS499" s="480"/>
      <c r="AT499" s="477">
        <f t="shared" ca="1" si="250"/>
        <v>0</v>
      </c>
      <c r="AU499" s="475">
        <f t="shared" ca="1" si="251"/>
        <v>0</v>
      </c>
      <c r="AV499" s="480"/>
      <c r="AW499" s="477">
        <f t="shared" si="252"/>
        <v>0</v>
      </c>
      <c r="AX499" s="480"/>
      <c r="AY499" s="477">
        <f t="shared" si="253"/>
        <v>0</v>
      </c>
      <c r="AZ499" s="480"/>
      <c r="BA499" s="477">
        <f t="shared" si="254"/>
        <v>0</v>
      </c>
      <c r="BB499" s="480"/>
      <c r="BC499" s="850">
        <f t="shared" ca="1" si="255"/>
        <v>0</v>
      </c>
    </row>
    <row r="500" spans="1:55">
      <c r="A500" s="837" t="str">
        <f t="shared" si="227"/>
        <v/>
      </c>
      <c r="B500" s="440"/>
      <c r="C500" s="834" t="str">
        <f t="shared" ca="1" si="228"/>
        <v/>
      </c>
      <c r="D500" s="1757" t="str">
        <f ca="1">IFERROR(VLOOKUP(LEFT(E500,4),Nom_activ_2!D:G,4,0),"")</f>
        <v/>
      </c>
      <c r="E500" s="1757" t="str">
        <f t="shared" ca="1" si="229"/>
        <v/>
      </c>
      <c r="F500" s="1777">
        <f t="shared" ca="1" si="257"/>
        <v>0</v>
      </c>
      <c r="G500" s="839">
        <f t="shared" ca="1" si="257"/>
        <v>0</v>
      </c>
      <c r="H500" s="840">
        <f t="shared" ca="1" si="257"/>
        <v>0</v>
      </c>
      <c r="I500" s="443"/>
      <c r="J500" s="838" t="str">
        <f t="shared" si="230"/>
        <v>!$A:$j</v>
      </c>
      <c r="K500" s="475">
        <f t="shared" ca="1" si="231"/>
        <v>0</v>
      </c>
      <c r="L500" s="480"/>
      <c r="M500" s="477">
        <f t="shared" si="232"/>
        <v>0</v>
      </c>
      <c r="N500" s="480"/>
      <c r="O500" s="477">
        <f t="shared" si="233"/>
        <v>0</v>
      </c>
      <c r="P500" s="480"/>
      <c r="Q500" s="477">
        <f t="shared" si="234"/>
        <v>0</v>
      </c>
      <c r="R500" s="480"/>
      <c r="S500" s="477">
        <f t="shared" ca="1" si="235"/>
        <v>0</v>
      </c>
      <c r="T500" s="475">
        <f t="shared" ca="1" si="236"/>
        <v>0</v>
      </c>
      <c r="U500" s="480"/>
      <c r="V500" s="477">
        <f t="shared" si="237"/>
        <v>0</v>
      </c>
      <c r="W500" s="480"/>
      <c r="X500" s="477">
        <f t="shared" si="238"/>
        <v>0</v>
      </c>
      <c r="Y500" s="480"/>
      <c r="Z500" s="477">
        <f t="shared" si="239"/>
        <v>0</v>
      </c>
      <c r="AA500" s="480"/>
      <c r="AB500" s="477">
        <f t="shared" ca="1" si="240"/>
        <v>0</v>
      </c>
      <c r="AC500" s="475">
        <f t="shared" ca="1" si="241"/>
        <v>0</v>
      </c>
      <c r="AD500" s="480"/>
      <c r="AE500" s="477">
        <f t="shared" si="242"/>
        <v>0</v>
      </c>
      <c r="AF500" s="480"/>
      <c r="AG500" s="477">
        <f t="shared" si="243"/>
        <v>0</v>
      </c>
      <c r="AH500" s="480"/>
      <c r="AI500" s="477">
        <f t="shared" si="244"/>
        <v>0</v>
      </c>
      <c r="AJ500" s="480"/>
      <c r="AK500" s="477">
        <f t="shared" ca="1" si="245"/>
        <v>0</v>
      </c>
      <c r="AL500" s="475">
        <f t="shared" ca="1" si="246"/>
        <v>0</v>
      </c>
      <c r="AM500" s="480"/>
      <c r="AN500" s="477">
        <f t="shared" si="247"/>
        <v>0</v>
      </c>
      <c r="AO500" s="480"/>
      <c r="AP500" s="477">
        <f t="shared" si="248"/>
        <v>0</v>
      </c>
      <c r="AQ500" s="480"/>
      <c r="AR500" s="477">
        <f t="shared" si="249"/>
        <v>0</v>
      </c>
      <c r="AS500" s="480"/>
      <c r="AT500" s="477">
        <f t="shared" ca="1" si="250"/>
        <v>0</v>
      </c>
      <c r="AU500" s="475">
        <f t="shared" ca="1" si="251"/>
        <v>0</v>
      </c>
      <c r="AV500" s="480"/>
      <c r="AW500" s="477">
        <f t="shared" si="252"/>
        <v>0</v>
      </c>
      <c r="AX500" s="480"/>
      <c r="AY500" s="477">
        <f t="shared" si="253"/>
        <v>0</v>
      </c>
      <c r="AZ500" s="480"/>
      <c r="BA500" s="477">
        <f t="shared" si="254"/>
        <v>0</v>
      </c>
      <c r="BB500" s="480"/>
      <c r="BC500" s="850">
        <f t="shared" ca="1" si="255"/>
        <v>0</v>
      </c>
    </row>
    <row r="501" spans="1:55">
      <c r="A501" s="837" t="str">
        <f t="shared" si="227"/>
        <v/>
      </c>
      <c r="B501" s="440"/>
      <c r="C501" s="834" t="str">
        <f t="shared" ca="1" si="228"/>
        <v/>
      </c>
      <c r="D501" s="1757" t="str">
        <f ca="1">IFERROR(VLOOKUP(LEFT(E501,4),Nom_activ_2!D:G,4,0),"")</f>
        <v/>
      </c>
      <c r="E501" s="1757" t="str">
        <f t="shared" ca="1" si="229"/>
        <v/>
      </c>
      <c r="F501" s="1777">
        <f t="shared" ca="1" si="257"/>
        <v>0</v>
      </c>
      <c r="G501" s="839">
        <f t="shared" ca="1" si="257"/>
        <v>0</v>
      </c>
      <c r="H501" s="840">
        <f t="shared" ca="1" si="257"/>
        <v>0</v>
      </c>
      <c r="I501" s="443"/>
      <c r="J501" s="838" t="str">
        <f t="shared" si="230"/>
        <v>!$A:$j</v>
      </c>
      <c r="K501" s="475">
        <f t="shared" ca="1" si="231"/>
        <v>0</v>
      </c>
      <c r="L501" s="480"/>
      <c r="M501" s="477">
        <f t="shared" si="232"/>
        <v>0</v>
      </c>
      <c r="N501" s="480"/>
      <c r="O501" s="477">
        <f t="shared" si="233"/>
        <v>0</v>
      </c>
      <c r="P501" s="480"/>
      <c r="Q501" s="477">
        <f t="shared" si="234"/>
        <v>0</v>
      </c>
      <c r="R501" s="480"/>
      <c r="S501" s="477">
        <f t="shared" ca="1" si="235"/>
        <v>0</v>
      </c>
      <c r="T501" s="475">
        <f t="shared" ca="1" si="236"/>
        <v>0</v>
      </c>
      <c r="U501" s="480"/>
      <c r="V501" s="477">
        <f t="shared" si="237"/>
        <v>0</v>
      </c>
      <c r="W501" s="480"/>
      <c r="X501" s="477">
        <f t="shared" si="238"/>
        <v>0</v>
      </c>
      <c r="Y501" s="480"/>
      <c r="Z501" s="477">
        <f t="shared" si="239"/>
        <v>0</v>
      </c>
      <c r="AA501" s="480"/>
      <c r="AB501" s="477">
        <f t="shared" ca="1" si="240"/>
        <v>0</v>
      </c>
      <c r="AC501" s="475">
        <f t="shared" ca="1" si="241"/>
        <v>0</v>
      </c>
      <c r="AD501" s="480"/>
      <c r="AE501" s="477">
        <f t="shared" si="242"/>
        <v>0</v>
      </c>
      <c r="AF501" s="480"/>
      <c r="AG501" s="477">
        <f t="shared" si="243"/>
        <v>0</v>
      </c>
      <c r="AH501" s="480"/>
      <c r="AI501" s="477">
        <f t="shared" si="244"/>
        <v>0</v>
      </c>
      <c r="AJ501" s="480"/>
      <c r="AK501" s="477">
        <f t="shared" ca="1" si="245"/>
        <v>0</v>
      </c>
      <c r="AL501" s="475">
        <f t="shared" ca="1" si="246"/>
        <v>0</v>
      </c>
      <c r="AM501" s="480"/>
      <c r="AN501" s="477">
        <f t="shared" si="247"/>
        <v>0</v>
      </c>
      <c r="AO501" s="480"/>
      <c r="AP501" s="477">
        <f t="shared" si="248"/>
        <v>0</v>
      </c>
      <c r="AQ501" s="480"/>
      <c r="AR501" s="477">
        <f t="shared" si="249"/>
        <v>0</v>
      </c>
      <c r="AS501" s="480"/>
      <c r="AT501" s="477">
        <f t="shared" ca="1" si="250"/>
        <v>0</v>
      </c>
      <c r="AU501" s="475">
        <f t="shared" ca="1" si="251"/>
        <v>0</v>
      </c>
      <c r="AV501" s="480"/>
      <c r="AW501" s="477">
        <f t="shared" si="252"/>
        <v>0</v>
      </c>
      <c r="AX501" s="480"/>
      <c r="AY501" s="477">
        <f t="shared" si="253"/>
        <v>0</v>
      </c>
      <c r="AZ501" s="480"/>
      <c r="BA501" s="477">
        <f t="shared" si="254"/>
        <v>0</v>
      </c>
      <c r="BB501" s="480"/>
      <c r="BC501" s="850">
        <f t="shared" ca="1" si="255"/>
        <v>0</v>
      </c>
    </row>
    <row r="502" spans="1:55">
      <c r="A502" s="837" t="str">
        <f t="shared" si="227"/>
        <v/>
      </c>
      <c r="B502" s="440"/>
      <c r="C502" s="834" t="str">
        <f t="shared" ca="1" si="228"/>
        <v/>
      </c>
      <c r="D502" s="1757" t="str">
        <f ca="1">IFERROR(VLOOKUP(LEFT(E502,4),Nom_activ_2!D:G,4,0),"")</f>
        <v/>
      </c>
      <c r="E502" s="1757" t="str">
        <f t="shared" ca="1" si="229"/>
        <v/>
      </c>
      <c r="F502" s="1777">
        <f t="shared" ca="1" si="257"/>
        <v>0</v>
      </c>
      <c r="G502" s="839">
        <f t="shared" ca="1" si="257"/>
        <v>0</v>
      </c>
      <c r="H502" s="840">
        <f t="shared" ca="1" si="257"/>
        <v>0</v>
      </c>
      <c r="I502" s="443"/>
      <c r="J502" s="838" t="str">
        <f t="shared" si="230"/>
        <v>!$A:$j</v>
      </c>
      <c r="K502" s="475">
        <f t="shared" ca="1" si="231"/>
        <v>0</v>
      </c>
      <c r="L502" s="480"/>
      <c r="M502" s="477">
        <f t="shared" si="232"/>
        <v>0</v>
      </c>
      <c r="N502" s="480"/>
      <c r="O502" s="477">
        <f t="shared" si="233"/>
        <v>0</v>
      </c>
      <c r="P502" s="480"/>
      <c r="Q502" s="477">
        <f t="shared" si="234"/>
        <v>0</v>
      </c>
      <c r="R502" s="480"/>
      <c r="S502" s="477">
        <f t="shared" ca="1" si="235"/>
        <v>0</v>
      </c>
      <c r="T502" s="475">
        <f t="shared" ca="1" si="236"/>
        <v>0</v>
      </c>
      <c r="U502" s="480"/>
      <c r="V502" s="477">
        <f t="shared" si="237"/>
        <v>0</v>
      </c>
      <c r="W502" s="480"/>
      <c r="X502" s="477">
        <f t="shared" si="238"/>
        <v>0</v>
      </c>
      <c r="Y502" s="480"/>
      <c r="Z502" s="477">
        <f t="shared" si="239"/>
        <v>0</v>
      </c>
      <c r="AA502" s="480"/>
      <c r="AB502" s="477">
        <f t="shared" ca="1" si="240"/>
        <v>0</v>
      </c>
      <c r="AC502" s="475">
        <f t="shared" ca="1" si="241"/>
        <v>0</v>
      </c>
      <c r="AD502" s="480"/>
      <c r="AE502" s="477">
        <f t="shared" si="242"/>
        <v>0</v>
      </c>
      <c r="AF502" s="480"/>
      <c r="AG502" s="477">
        <f t="shared" si="243"/>
        <v>0</v>
      </c>
      <c r="AH502" s="480"/>
      <c r="AI502" s="477">
        <f t="shared" si="244"/>
        <v>0</v>
      </c>
      <c r="AJ502" s="480"/>
      <c r="AK502" s="477">
        <f t="shared" ca="1" si="245"/>
        <v>0</v>
      </c>
      <c r="AL502" s="475">
        <f t="shared" ca="1" si="246"/>
        <v>0</v>
      </c>
      <c r="AM502" s="480"/>
      <c r="AN502" s="477">
        <f t="shared" si="247"/>
        <v>0</v>
      </c>
      <c r="AO502" s="480"/>
      <c r="AP502" s="477">
        <f t="shared" si="248"/>
        <v>0</v>
      </c>
      <c r="AQ502" s="480"/>
      <c r="AR502" s="477">
        <f t="shared" si="249"/>
        <v>0</v>
      </c>
      <c r="AS502" s="480"/>
      <c r="AT502" s="477">
        <f t="shared" ca="1" si="250"/>
        <v>0</v>
      </c>
      <c r="AU502" s="475">
        <f t="shared" ca="1" si="251"/>
        <v>0</v>
      </c>
      <c r="AV502" s="480"/>
      <c r="AW502" s="477">
        <f t="shared" si="252"/>
        <v>0</v>
      </c>
      <c r="AX502" s="480"/>
      <c r="AY502" s="477">
        <f t="shared" si="253"/>
        <v>0</v>
      </c>
      <c r="AZ502" s="480"/>
      <c r="BA502" s="477">
        <f t="shared" si="254"/>
        <v>0</v>
      </c>
      <c r="BB502" s="480"/>
      <c r="BC502" s="850">
        <f t="shared" ca="1" si="255"/>
        <v>0</v>
      </c>
    </row>
    <row r="503" spans="1:55">
      <c r="A503" s="837" t="str">
        <f t="shared" si="227"/>
        <v/>
      </c>
      <c r="B503" s="440"/>
      <c r="C503" s="834" t="str">
        <f t="shared" ca="1" si="228"/>
        <v/>
      </c>
      <c r="D503" s="1757" t="str">
        <f ca="1">IFERROR(VLOOKUP(LEFT(E503,4),Nom_activ_2!D:G,4,0),"")</f>
        <v/>
      </c>
      <c r="E503" s="1757" t="str">
        <f t="shared" ca="1" si="229"/>
        <v/>
      </c>
      <c r="F503" s="1777">
        <f t="shared" ca="1" si="257"/>
        <v>0</v>
      </c>
      <c r="G503" s="839">
        <f t="shared" ca="1" si="257"/>
        <v>0</v>
      </c>
      <c r="H503" s="840">
        <f t="shared" ca="1" si="257"/>
        <v>0</v>
      </c>
      <c r="I503" s="443"/>
      <c r="J503" s="838" t="str">
        <f t="shared" si="230"/>
        <v>!$A:$j</v>
      </c>
      <c r="K503" s="475">
        <f t="shared" ca="1" si="231"/>
        <v>0</v>
      </c>
      <c r="L503" s="480"/>
      <c r="M503" s="477">
        <f t="shared" si="232"/>
        <v>0</v>
      </c>
      <c r="N503" s="480"/>
      <c r="O503" s="477">
        <f t="shared" si="233"/>
        <v>0</v>
      </c>
      <c r="P503" s="480"/>
      <c r="Q503" s="477">
        <f t="shared" si="234"/>
        <v>0</v>
      </c>
      <c r="R503" s="480"/>
      <c r="S503" s="477">
        <f t="shared" ca="1" si="235"/>
        <v>0</v>
      </c>
      <c r="T503" s="475">
        <f t="shared" ca="1" si="236"/>
        <v>0</v>
      </c>
      <c r="U503" s="480"/>
      <c r="V503" s="477">
        <f t="shared" si="237"/>
        <v>0</v>
      </c>
      <c r="W503" s="480"/>
      <c r="X503" s="477">
        <f t="shared" si="238"/>
        <v>0</v>
      </c>
      <c r="Y503" s="480"/>
      <c r="Z503" s="477">
        <f t="shared" si="239"/>
        <v>0</v>
      </c>
      <c r="AA503" s="480"/>
      <c r="AB503" s="477">
        <f t="shared" ca="1" si="240"/>
        <v>0</v>
      </c>
      <c r="AC503" s="475">
        <f t="shared" ca="1" si="241"/>
        <v>0</v>
      </c>
      <c r="AD503" s="480"/>
      <c r="AE503" s="477">
        <f t="shared" si="242"/>
        <v>0</v>
      </c>
      <c r="AF503" s="480"/>
      <c r="AG503" s="477">
        <f t="shared" si="243"/>
        <v>0</v>
      </c>
      <c r="AH503" s="480"/>
      <c r="AI503" s="477">
        <f t="shared" si="244"/>
        <v>0</v>
      </c>
      <c r="AJ503" s="480"/>
      <c r="AK503" s="477">
        <f t="shared" ca="1" si="245"/>
        <v>0</v>
      </c>
      <c r="AL503" s="475">
        <f t="shared" ca="1" si="246"/>
        <v>0</v>
      </c>
      <c r="AM503" s="480"/>
      <c r="AN503" s="477">
        <f t="shared" si="247"/>
        <v>0</v>
      </c>
      <c r="AO503" s="480"/>
      <c r="AP503" s="477">
        <f t="shared" si="248"/>
        <v>0</v>
      </c>
      <c r="AQ503" s="480"/>
      <c r="AR503" s="477">
        <f t="shared" si="249"/>
        <v>0</v>
      </c>
      <c r="AS503" s="480"/>
      <c r="AT503" s="477">
        <f t="shared" ca="1" si="250"/>
        <v>0</v>
      </c>
      <c r="AU503" s="475">
        <f t="shared" ca="1" si="251"/>
        <v>0</v>
      </c>
      <c r="AV503" s="480"/>
      <c r="AW503" s="477">
        <f t="shared" si="252"/>
        <v>0</v>
      </c>
      <c r="AX503" s="480"/>
      <c r="AY503" s="477">
        <f t="shared" si="253"/>
        <v>0</v>
      </c>
      <c r="AZ503" s="480"/>
      <c r="BA503" s="477">
        <f t="shared" si="254"/>
        <v>0</v>
      </c>
      <c r="BB503" s="480"/>
      <c r="BC503" s="850">
        <f t="shared" ca="1" si="255"/>
        <v>0</v>
      </c>
    </row>
    <row r="504" spans="1:55">
      <c r="A504" s="837" t="str">
        <f t="shared" si="227"/>
        <v/>
      </c>
      <c r="B504" s="440"/>
      <c r="C504" s="834" t="str">
        <f t="shared" ca="1" si="228"/>
        <v/>
      </c>
      <c r="D504" s="1757" t="str">
        <f ca="1">IFERROR(VLOOKUP(LEFT(E504,4),Nom_activ_2!D:G,4,0),"")</f>
        <v/>
      </c>
      <c r="E504" s="1757" t="str">
        <f t="shared" ca="1" si="229"/>
        <v/>
      </c>
      <c r="F504" s="1777">
        <f t="shared" ca="1" si="257"/>
        <v>0</v>
      </c>
      <c r="G504" s="839">
        <f t="shared" ca="1" si="257"/>
        <v>0</v>
      </c>
      <c r="H504" s="840">
        <f t="shared" ca="1" si="257"/>
        <v>0</v>
      </c>
      <c r="I504" s="443"/>
      <c r="J504" s="838" t="str">
        <f t="shared" si="230"/>
        <v>!$A:$j</v>
      </c>
      <c r="K504" s="475">
        <f t="shared" ca="1" si="231"/>
        <v>0</v>
      </c>
      <c r="L504" s="480"/>
      <c r="M504" s="477">
        <f t="shared" si="232"/>
        <v>0</v>
      </c>
      <c r="N504" s="480"/>
      <c r="O504" s="477">
        <f t="shared" si="233"/>
        <v>0</v>
      </c>
      <c r="P504" s="480"/>
      <c r="Q504" s="477">
        <f t="shared" si="234"/>
        <v>0</v>
      </c>
      <c r="R504" s="480"/>
      <c r="S504" s="477">
        <f t="shared" ca="1" si="235"/>
        <v>0</v>
      </c>
      <c r="T504" s="475">
        <f t="shared" ca="1" si="236"/>
        <v>0</v>
      </c>
      <c r="U504" s="480"/>
      <c r="V504" s="477">
        <f t="shared" si="237"/>
        <v>0</v>
      </c>
      <c r="W504" s="480"/>
      <c r="X504" s="477">
        <f t="shared" si="238"/>
        <v>0</v>
      </c>
      <c r="Y504" s="480"/>
      <c r="Z504" s="477">
        <f t="shared" si="239"/>
        <v>0</v>
      </c>
      <c r="AA504" s="480"/>
      <c r="AB504" s="477">
        <f t="shared" ca="1" si="240"/>
        <v>0</v>
      </c>
      <c r="AC504" s="475">
        <f t="shared" ca="1" si="241"/>
        <v>0</v>
      </c>
      <c r="AD504" s="480"/>
      <c r="AE504" s="477">
        <f t="shared" si="242"/>
        <v>0</v>
      </c>
      <c r="AF504" s="480"/>
      <c r="AG504" s="477">
        <f t="shared" si="243"/>
        <v>0</v>
      </c>
      <c r="AH504" s="480"/>
      <c r="AI504" s="477">
        <f t="shared" si="244"/>
        <v>0</v>
      </c>
      <c r="AJ504" s="480"/>
      <c r="AK504" s="477">
        <f t="shared" ca="1" si="245"/>
        <v>0</v>
      </c>
      <c r="AL504" s="475">
        <f t="shared" ca="1" si="246"/>
        <v>0</v>
      </c>
      <c r="AM504" s="480"/>
      <c r="AN504" s="477">
        <f t="shared" si="247"/>
        <v>0</v>
      </c>
      <c r="AO504" s="480"/>
      <c r="AP504" s="477">
        <f t="shared" si="248"/>
        <v>0</v>
      </c>
      <c r="AQ504" s="480"/>
      <c r="AR504" s="477">
        <f t="shared" si="249"/>
        <v>0</v>
      </c>
      <c r="AS504" s="480"/>
      <c r="AT504" s="477">
        <f t="shared" ca="1" si="250"/>
        <v>0</v>
      </c>
      <c r="AU504" s="475">
        <f t="shared" ca="1" si="251"/>
        <v>0</v>
      </c>
      <c r="AV504" s="480"/>
      <c r="AW504" s="477">
        <f t="shared" si="252"/>
        <v>0</v>
      </c>
      <c r="AX504" s="480"/>
      <c r="AY504" s="477">
        <f t="shared" si="253"/>
        <v>0</v>
      </c>
      <c r="AZ504" s="480"/>
      <c r="BA504" s="477">
        <f t="shared" si="254"/>
        <v>0</v>
      </c>
      <c r="BB504" s="480"/>
      <c r="BC504" s="850">
        <f t="shared" ca="1" si="255"/>
        <v>0</v>
      </c>
    </row>
    <row r="505" spans="1:55">
      <c r="A505" s="837" t="str">
        <f t="shared" si="227"/>
        <v/>
      </c>
      <c r="B505" s="440"/>
      <c r="C505" s="834" t="str">
        <f t="shared" ca="1" si="228"/>
        <v/>
      </c>
      <c r="D505" s="1757" t="str">
        <f ca="1">IFERROR(VLOOKUP(LEFT(E505,4),Nom_activ_2!D:G,4,0),"")</f>
        <v/>
      </c>
      <c r="E505" s="1757" t="str">
        <f t="shared" ca="1" si="229"/>
        <v/>
      </c>
      <c r="F505" s="1777">
        <f t="shared" ca="1" si="257"/>
        <v>0</v>
      </c>
      <c r="G505" s="839">
        <f t="shared" ca="1" si="257"/>
        <v>0</v>
      </c>
      <c r="H505" s="840">
        <f t="shared" ca="1" si="257"/>
        <v>0</v>
      </c>
      <c r="I505" s="443"/>
      <c r="J505" s="838" t="str">
        <f t="shared" si="230"/>
        <v>!$A:$j</v>
      </c>
      <c r="K505" s="475">
        <f t="shared" ca="1" si="231"/>
        <v>0</v>
      </c>
      <c r="L505" s="480"/>
      <c r="M505" s="477">
        <f t="shared" si="232"/>
        <v>0</v>
      </c>
      <c r="N505" s="480"/>
      <c r="O505" s="477">
        <f t="shared" si="233"/>
        <v>0</v>
      </c>
      <c r="P505" s="480"/>
      <c r="Q505" s="477">
        <f t="shared" si="234"/>
        <v>0</v>
      </c>
      <c r="R505" s="480"/>
      <c r="S505" s="477">
        <f t="shared" ca="1" si="235"/>
        <v>0</v>
      </c>
      <c r="T505" s="475">
        <f t="shared" ca="1" si="236"/>
        <v>0</v>
      </c>
      <c r="U505" s="480"/>
      <c r="V505" s="477">
        <f t="shared" si="237"/>
        <v>0</v>
      </c>
      <c r="W505" s="480"/>
      <c r="X505" s="477">
        <f t="shared" si="238"/>
        <v>0</v>
      </c>
      <c r="Y505" s="480"/>
      <c r="Z505" s="477">
        <f t="shared" si="239"/>
        <v>0</v>
      </c>
      <c r="AA505" s="480"/>
      <c r="AB505" s="477">
        <f t="shared" ca="1" si="240"/>
        <v>0</v>
      </c>
      <c r="AC505" s="475">
        <f t="shared" ca="1" si="241"/>
        <v>0</v>
      </c>
      <c r="AD505" s="480"/>
      <c r="AE505" s="477">
        <f t="shared" si="242"/>
        <v>0</v>
      </c>
      <c r="AF505" s="480"/>
      <c r="AG505" s="477">
        <f t="shared" si="243"/>
        <v>0</v>
      </c>
      <c r="AH505" s="480"/>
      <c r="AI505" s="477">
        <f t="shared" si="244"/>
        <v>0</v>
      </c>
      <c r="AJ505" s="480"/>
      <c r="AK505" s="477">
        <f t="shared" ca="1" si="245"/>
        <v>0</v>
      </c>
      <c r="AL505" s="475">
        <f t="shared" ca="1" si="246"/>
        <v>0</v>
      </c>
      <c r="AM505" s="480"/>
      <c r="AN505" s="477">
        <f t="shared" si="247"/>
        <v>0</v>
      </c>
      <c r="AO505" s="480"/>
      <c r="AP505" s="477">
        <f t="shared" si="248"/>
        <v>0</v>
      </c>
      <c r="AQ505" s="480"/>
      <c r="AR505" s="477">
        <f t="shared" si="249"/>
        <v>0</v>
      </c>
      <c r="AS505" s="480"/>
      <c r="AT505" s="477">
        <f t="shared" ca="1" si="250"/>
        <v>0</v>
      </c>
      <c r="AU505" s="475">
        <f t="shared" ca="1" si="251"/>
        <v>0</v>
      </c>
      <c r="AV505" s="480"/>
      <c r="AW505" s="477">
        <f t="shared" si="252"/>
        <v>0</v>
      </c>
      <c r="AX505" s="480"/>
      <c r="AY505" s="477">
        <f t="shared" si="253"/>
        <v>0</v>
      </c>
      <c r="AZ505" s="480"/>
      <c r="BA505" s="477">
        <f t="shared" si="254"/>
        <v>0</v>
      </c>
      <c r="BB505" s="480"/>
      <c r="BC505" s="850">
        <f t="shared" ca="1" si="255"/>
        <v>0</v>
      </c>
    </row>
    <row r="506" spans="1:55">
      <c r="A506" s="837" t="str">
        <f t="shared" si="227"/>
        <v/>
      </c>
      <c r="B506" s="440"/>
      <c r="C506" s="834" t="str">
        <f t="shared" ca="1" si="228"/>
        <v/>
      </c>
      <c r="D506" s="1757" t="str">
        <f ca="1">IFERROR(VLOOKUP(LEFT(E506,4),Nom_activ_2!D:G,4,0),"")</f>
        <v/>
      </c>
      <c r="E506" s="1757" t="str">
        <f t="shared" ca="1" si="229"/>
        <v/>
      </c>
      <c r="F506" s="1777">
        <f t="shared" ca="1" si="257"/>
        <v>0</v>
      </c>
      <c r="G506" s="839">
        <f t="shared" ca="1" si="257"/>
        <v>0</v>
      </c>
      <c r="H506" s="840">
        <f t="shared" ca="1" si="257"/>
        <v>0</v>
      </c>
      <c r="I506" s="443"/>
      <c r="J506" s="838" t="str">
        <f t="shared" si="230"/>
        <v>!$A:$j</v>
      </c>
      <c r="K506" s="475">
        <f t="shared" ca="1" si="231"/>
        <v>0</v>
      </c>
      <c r="L506" s="480"/>
      <c r="M506" s="477">
        <f t="shared" si="232"/>
        <v>0</v>
      </c>
      <c r="N506" s="480"/>
      <c r="O506" s="477">
        <f t="shared" si="233"/>
        <v>0</v>
      </c>
      <c r="P506" s="480"/>
      <c r="Q506" s="477">
        <f t="shared" si="234"/>
        <v>0</v>
      </c>
      <c r="R506" s="480"/>
      <c r="S506" s="477">
        <f t="shared" ca="1" si="235"/>
        <v>0</v>
      </c>
      <c r="T506" s="475">
        <f t="shared" ca="1" si="236"/>
        <v>0</v>
      </c>
      <c r="U506" s="480"/>
      <c r="V506" s="477">
        <f t="shared" si="237"/>
        <v>0</v>
      </c>
      <c r="W506" s="480"/>
      <c r="X506" s="477">
        <f t="shared" si="238"/>
        <v>0</v>
      </c>
      <c r="Y506" s="480"/>
      <c r="Z506" s="477">
        <f t="shared" si="239"/>
        <v>0</v>
      </c>
      <c r="AA506" s="480"/>
      <c r="AB506" s="477">
        <f t="shared" ca="1" si="240"/>
        <v>0</v>
      </c>
      <c r="AC506" s="475">
        <f t="shared" ca="1" si="241"/>
        <v>0</v>
      </c>
      <c r="AD506" s="480"/>
      <c r="AE506" s="477">
        <f t="shared" si="242"/>
        <v>0</v>
      </c>
      <c r="AF506" s="480"/>
      <c r="AG506" s="477">
        <f t="shared" si="243"/>
        <v>0</v>
      </c>
      <c r="AH506" s="480"/>
      <c r="AI506" s="477">
        <f t="shared" si="244"/>
        <v>0</v>
      </c>
      <c r="AJ506" s="480"/>
      <c r="AK506" s="477">
        <f t="shared" ca="1" si="245"/>
        <v>0</v>
      </c>
      <c r="AL506" s="475">
        <f t="shared" ca="1" si="246"/>
        <v>0</v>
      </c>
      <c r="AM506" s="480"/>
      <c r="AN506" s="477">
        <f t="shared" si="247"/>
        <v>0</v>
      </c>
      <c r="AO506" s="480"/>
      <c r="AP506" s="477">
        <f t="shared" si="248"/>
        <v>0</v>
      </c>
      <c r="AQ506" s="480"/>
      <c r="AR506" s="477">
        <f t="shared" si="249"/>
        <v>0</v>
      </c>
      <c r="AS506" s="480"/>
      <c r="AT506" s="477">
        <f t="shared" ca="1" si="250"/>
        <v>0</v>
      </c>
      <c r="AU506" s="475">
        <f t="shared" ca="1" si="251"/>
        <v>0</v>
      </c>
      <c r="AV506" s="480"/>
      <c r="AW506" s="477">
        <f t="shared" si="252"/>
        <v>0</v>
      </c>
      <c r="AX506" s="480"/>
      <c r="AY506" s="477">
        <f t="shared" si="253"/>
        <v>0</v>
      </c>
      <c r="AZ506" s="480"/>
      <c r="BA506" s="477">
        <f t="shared" si="254"/>
        <v>0</v>
      </c>
      <c r="BB506" s="480"/>
      <c r="BC506" s="850">
        <f t="shared" ca="1" si="255"/>
        <v>0</v>
      </c>
    </row>
    <row r="507" spans="1:55">
      <c r="A507" s="837" t="str">
        <f t="shared" si="227"/>
        <v/>
      </c>
      <c r="B507" s="440"/>
      <c r="C507" s="834" t="str">
        <f t="shared" ca="1" si="228"/>
        <v/>
      </c>
      <c r="D507" s="1757" t="str">
        <f ca="1">IFERROR(VLOOKUP(LEFT(E507,4),Nom_activ_2!D:G,4,0),"")</f>
        <v/>
      </c>
      <c r="E507" s="1757" t="str">
        <f t="shared" ca="1" si="229"/>
        <v/>
      </c>
      <c r="F507" s="1777">
        <f t="shared" ref="F507:H526" ca="1" si="258">IFERROR(VLOOKUP($B507,INDIRECT($J507),F$5,0),0)</f>
        <v>0</v>
      </c>
      <c r="G507" s="839">
        <f t="shared" ca="1" si="258"/>
        <v>0</v>
      </c>
      <c r="H507" s="840">
        <f t="shared" ca="1" si="258"/>
        <v>0</v>
      </c>
      <c r="I507" s="443"/>
      <c r="J507" s="838" t="str">
        <f t="shared" si="230"/>
        <v>!$A:$j</v>
      </c>
      <c r="K507" s="475">
        <f t="shared" ca="1" si="231"/>
        <v>0</v>
      </c>
      <c r="L507" s="480"/>
      <c r="M507" s="477">
        <f t="shared" si="232"/>
        <v>0</v>
      </c>
      <c r="N507" s="480"/>
      <c r="O507" s="477">
        <f t="shared" si="233"/>
        <v>0</v>
      </c>
      <c r="P507" s="480"/>
      <c r="Q507" s="477">
        <f t="shared" si="234"/>
        <v>0</v>
      </c>
      <c r="R507" s="480"/>
      <c r="S507" s="477">
        <f t="shared" ca="1" si="235"/>
        <v>0</v>
      </c>
      <c r="T507" s="475">
        <f t="shared" ca="1" si="236"/>
        <v>0</v>
      </c>
      <c r="U507" s="480"/>
      <c r="V507" s="477">
        <f t="shared" si="237"/>
        <v>0</v>
      </c>
      <c r="W507" s="480"/>
      <c r="X507" s="477">
        <f t="shared" si="238"/>
        <v>0</v>
      </c>
      <c r="Y507" s="480"/>
      <c r="Z507" s="477">
        <f t="shared" si="239"/>
        <v>0</v>
      </c>
      <c r="AA507" s="480"/>
      <c r="AB507" s="477">
        <f t="shared" ca="1" si="240"/>
        <v>0</v>
      </c>
      <c r="AC507" s="475">
        <f t="shared" ca="1" si="241"/>
        <v>0</v>
      </c>
      <c r="AD507" s="480"/>
      <c r="AE507" s="477">
        <f t="shared" si="242"/>
        <v>0</v>
      </c>
      <c r="AF507" s="480"/>
      <c r="AG507" s="477">
        <f t="shared" si="243"/>
        <v>0</v>
      </c>
      <c r="AH507" s="480"/>
      <c r="AI507" s="477">
        <f t="shared" si="244"/>
        <v>0</v>
      </c>
      <c r="AJ507" s="480"/>
      <c r="AK507" s="477">
        <f t="shared" ca="1" si="245"/>
        <v>0</v>
      </c>
      <c r="AL507" s="475">
        <f t="shared" ca="1" si="246"/>
        <v>0</v>
      </c>
      <c r="AM507" s="480"/>
      <c r="AN507" s="477">
        <f t="shared" si="247"/>
        <v>0</v>
      </c>
      <c r="AO507" s="480"/>
      <c r="AP507" s="477">
        <f t="shared" si="248"/>
        <v>0</v>
      </c>
      <c r="AQ507" s="480"/>
      <c r="AR507" s="477">
        <f t="shared" si="249"/>
        <v>0</v>
      </c>
      <c r="AS507" s="480"/>
      <c r="AT507" s="477">
        <f t="shared" ca="1" si="250"/>
        <v>0</v>
      </c>
      <c r="AU507" s="475">
        <f t="shared" ca="1" si="251"/>
        <v>0</v>
      </c>
      <c r="AV507" s="480"/>
      <c r="AW507" s="477">
        <f t="shared" si="252"/>
        <v>0</v>
      </c>
      <c r="AX507" s="480"/>
      <c r="AY507" s="477">
        <f t="shared" si="253"/>
        <v>0</v>
      </c>
      <c r="AZ507" s="480"/>
      <c r="BA507" s="477">
        <f t="shared" si="254"/>
        <v>0</v>
      </c>
      <c r="BB507" s="480"/>
      <c r="BC507" s="850">
        <f t="shared" ca="1" si="255"/>
        <v>0</v>
      </c>
    </row>
    <row r="508" spans="1:55">
      <c r="A508" s="837" t="str">
        <f t="shared" si="227"/>
        <v/>
      </c>
      <c r="B508" s="440"/>
      <c r="C508" s="834" t="str">
        <f t="shared" ca="1" si="228"/>
        <v/>
      </c>
      <c r="D508" s="1757" t="str">
        <f ca="1">IFERROR(VLOOKUP(LEFT(E508,4),Nom_activ_2!D:G,4,0),"")</f>
        <v/>
      </c>
      <c r="E508" s="1757" t="str">
        <f t="shared" ca="1" si="229"/>
        <v/>
      </c>
      <c r="F508" s="1777">
        <f t="shared" ca="1" si="258"/>
        <v>0</v>
      </c>
      <c r="G508" s="839">
        <f t="shared" ca="1" si="258"/>
        <v>0</v>
      </c>
      <c r="H508" s="840">
        <f t="shared" ca="1" si="258"/>
        <v>0</v>
      </c>
      <c r="I508" s="443"/>
      <c r="J508" s="838" t="str">
        <f t="shared" si="230"/>
        <v>!$A:$j</v>
      </c>
      <c r="K508" s="475">
        <f t="shared" ca="1" si="231"/>
        <v>0</v>
      </c>
      <c r="L508" s="480"/>
      <c r="M508" s="477">
        <f t="shared" si="232"/>
        <v>0</v>
      </c>
      <c r="N508" s="480"/>
      <c r="O508" s="477">
        <f t="shared" si="233"/>
        <v>0</v>
      </c>
      <c r="P508" s="480"/>
      <c r="Q508" s="477">
        <f t="shared" si="234"/>
        <v>0</v>
      </c>
      <c r="R508" s="480"/>
      <c r="S508" s="477">
        <f t="shared" ca="1" si="235"/>
        <v>0</v>
      </c>
      <c r="T508" s="475">
        <f t="shared" ca="1" si="236"/>
        <v>0</v>
      </c>
      <c r="U508" s="480"/>
      <c r="V508" s="477">
        <f t="shared" si="237"/>
        <v>0</v>
      </c>
      <c r="W508" s="480"/>
      <c r="X508" s="477">
        <f t="shared" si="238"/>
        <v>0</v>
      </c>
      <c r="Y508" s="480"/>
      <c r="Z508" s="477">
        <f t="shared" si="239"/>
        <v>0</v>
      </c>
      <c r="AA508" s="480"/>
      <c r="AB508" s="477">
        <f t="shared" ca="1" si="240"/>
        <v>0</v>
      </c>
      <c r="AC508" s="475">
        <f t="shared" ca="1" si="241"/>
        <v>0</v>
      </c>
      <c r="AD508" s="480"/>
      <c r="AE508" s="477">
        <f t="shared" si="242"/>
        <v>0</v>
      </c>
      <c r="AF508" s="480"/>
      <c r="AG508" s="477">
        <f t="shared" si="243"/>
        <v>0</v>
      </c>
      <c r="AH508" s="480"/>
      <c r="AI508" s="477">
        <f t="shared" si="244"/>
        <v>0</v>
      </c>
      <c r="AJ508" s="480"/>
      <c r="AK508" s="477">
        <f t="shared" ca="1" si="245"/>
        <v>0</v>
      </c>
      <c r="AL508" s="475">
        <f t="shared" ca="1" si="246"/>
        <v>0</v>
      </c>
      <c r="AM508" s="480"/>
      <c r="AN508" s="477">
        <f t="shared" si="247"/>
        <v>0</v>
      </c>
      <c r="AO508" s="480"/>
      <c r="AP508" s="477">
        <f t="shared" si="248"/>
        <v>0</v>
      </c>
      <c r="AQ508" s="480"/>
      <c r="AR508" s="477">
        <f t="shared" si="249"/>
        <v>0</v>
      </c>
      <c r="AS508" s="480"/>
      <c r="AT508" s="477">
        <f t="shared" ca="1" si="250"/>
        <v>0</v>
      </c>
      <c r="AU508" s="475">
        <f t="shared" ca="1" si="251"/>
        <v>0</v>
      </c>
      <c r="AV508" s="480"/>
      <c r="AW508" s="477">
        <f t="shared" si="252"/>
        <v>0</v>
      </c>
      <c r="AX508" s="480"/>
      <c r="AY508" s="477">
        <f t="shared" si="253"/>
        <v>0</v>
      </c>
      <c r="AZ508" s="480"/>
      <c r="BA508" s="477">
        <f t="shared" si="254"/>
        <v>0</v>
      </c>
      <c r="BB508" s="480"/>
      <c r="BC508" s="850">
        <f t="shared" ca="1" si="255"/>
        <v>0</v>
      </c>
    </row>
    <row r="509" spans="1:55">
      <c r="A509" s="837" t="str">
        <f t="shared" si="227"/>
        <v/>
      </c>
      <c r="B509" s="440"/>
      <c r="C509" s="834" t="str">
        <f t="shared" ca="1" si="228"/>
        <v/>
      </c>
      <c r="D509" s="1757" t="str">
        <f ca="1">IFERROR(VLOOKUP(LEFT(E509,4),Nom_activ_2!D:G,4,0),"")</f>
        <v/>
      </c>
      <c r="E509" s="1757" t="str">
        <f t="shared" ca="1" si="229"/>
        <v/>
      </c>
      <c r="F509" s="1777">
        <f t="shared" ca="1" si="258"/>
        <v>0</v>
      </c>
      <c r="G509" s="839">
        <f t="shared" ca="1" si="258"/>
        <v>0</v>
      </c>
      <c r="H509" s="840">
        <f t="shared" ca="1" si="258"/>
        <v>0</v>
      </c>
      <c r="I509" s="443"/>
      <c r="J509" s="838" t="str">
        <f t="shared" si="230"/>
        <v>!$A:$j</v>
      </c>
      <c r="K509" s="475">
        <f t="shared" ca="1" si="231"/>
        <v>0</v>
      </c>
      <c r="L509" s="480"/>
      <c r="M509" s="477">
        <f t="shared" si="232"/>
        <v>0</v>
      </c>
      <c r="N509" s="480"/>
      <c r="O509" s="477">
        <f t="shared" si="233"/>
        <v>0</v>
      </c>
      <c r="P509" s="480"/>
      <c r="Q509" s="477">
        <f t="shared" si="234"/>
        <v>0</v>
      </c>
      <c r="R509" s="480"/>
      <c r="S509" s="477">
        <f t="shared" ca="1" si="235"/>
        <v>0</v>
      </c>
      <c r="T509" s="475">
        <f t="shared" ca="1" si="236"/>
        <v>0</v>
      </c>
      <c r="U509" s="480"/>
      <c r="V509" s="477">
        <f t="shared" si="237"/>
        <v>0</v>
      </c>
      <c r="W509" s="480"/>
      <c r="X509" s="477">
        <f t="shared" si="238"/>
        <v>0</v>
      </c>
      <c r="Y509" s="480"/>
      <c r="Z509" s="477">
        <f t="shared" si="239"/>
        <v>0</v>
      </c>
      <c r="AA509" s="480"/>
      <c r="AB509" s="477">
        <f t="shared" ca="1" si="240"/>
        <v>0</v>
      </c>
      <c r="AC509" s="475">
        <f t="shared" ca="1" si="241"/>
        <v>0</v>
      </c>
      <c r="AD509" s="480"/>
      <c r="AE509" s="477">
        <f t="shared" si="242"/>
        <v>0</v>
      </c>
      <c r="AF509" s="480"/>
      <c r="AG509" s="477">
        <f t="shared" si="243"/>
        <v>0</v>
      </c>
      <c r="AH509" s="480"/>
      <c r="AI509" s="477">
        <f t="shared" si="244"/>
        <v>0</v>
      </c>
      <c r="AJ509" s="480"/>
      <c r="AK509" s="477">
        <f t="shared" ca="1" si="245"/>
        <v>0</v>
      </c>
      <c r="AL509" s="475">
        <f t="shared" ca="1" si="246"/>
        <v>0</v>
      </c>
      <c r="AM509" s="480"/>
      <c r="AN509" s="477">
        <f t="shared" si="247"/>
        <v>0</v>
      </c>
      <c r="AO509" s="480"/>
      <c r="AP509" s="477">
        <f t="shared" si="248"/>
        <v>0</v>
      </c>
      <c r="AQ509" s="480"/>
      <c r="AR509" s="477">
        <f t="shared" si="249"/>
        <v>0</v>
      </c>
      <c r="AS509" s="480"/>
      <c r="AT509" s="477">
        <f t="shared" ca="1" si="250"/>
        <v>0</v>
      </c>
      <c r="AU509" s="475">
        <f t="shared" ca="1" si="251"/>
        <v>0</v>
      </c>
      <c r="AV509" s="480"/>
      <c r="AW509" s="477">
        <f t="shared" si="252"/>
        <v>0</v>
      </c>
      <c r="AX509" s="480"/>
      <c r="AY509" s="477">
        <f t="shared" si="253"/>
        <v>0</v>
      </c>
      <c r="AZ509" s="480"/>
      <c r="BA509" s="477">
        <f t="shared" si="254"/>
        <v>0</v>
      </c>
      <c r="BB509" s="480"/>
      <c r="BC509" s="850">
        <f t="shared" ca="1" si="255"/>
        <v>0</v>
      </c>
    </row>
    <row r="510" spans="1:55">
      <c r="A510" s="837" t="str">
        <f t="shared" si="227"/>
        <v/>
      </c>
      <c r="B510" s="440"/>
      <c r="C510" s="834" t="str">
        <f t="shared" ca="1" si="228"/>
        <v/>
      </c>
      <c r="D510" s="1757" t="str">
        <f ca="1">IFERROR(VLOOKUP(LEFT(E510,4),Nom_activ_2!D:G,4,0),"")</f>
        <v/>
      </c>
      <c r="E510" s="1757" t="str">
        <f t="shared" ca="1" si="229"/>
        <v/>
      </c>
      <c r="F510" s="1777">
        <f t="shared" ca="1" si="258"/>
        <v>0</v>
      </c>
      <c r="G510" s="839">
        <f t="shared" ca="1" si="258"/>
        <v>0</v>
      </c>
      <c r="H510" s="840">
        <f t="shared" ca="1" si="258"/>
        <v>0</v>
      </c>
      <c r="I510" s="443"/>
      <c r="J510" s="838" t="str">
        <f t="shared" si="230"/>
        <v>!$A:$j</v>
      </c>
      <c r="K510" s="475">
        <f t="shared" ca="1" si="231"/>
        <v>0</v>
      </c>
      <c r="L510" s="480"/>
      <c r="M510" s="477">
        <f t="shared" si="232"/>
        <v>0</v>
      </c>
      <c r="N510" s="480"/>
      <c r="O510" s="477">
        <f t="shared" si="233"/>
        <v>0</v>
      </c>
      <c r="P510" s="480"/>
      <c r="Q510" s="477">
        <f t="shared" si="234"/>
        <v>0</v>
      </c>
      <c r="R510" s="480"/>
      <c r="S510" s="477">
        <f t="shared" ca="1" si="235"/>
        <v>0</v>
      </c>
      <c r="T510" s="475">
        <f t="shared" ca="1" si="236"/>
        <v>0</v>
      </c>
      <c r="U510" s="480"/>
      <c r="V510" s="477">
        <f t="shared" si="237"/>
        <v>0</v>
      </c>
      <c r="W510" s="480"/>
      <c r="X510" s="477">
        <f t="shared" si="238"/>
        <v>0</v>
      </c>
      <c r="Y510" s="480"/>
      <c r="Z510" s="477">
        <f t="shared" si="239"/>
        <v>0</v>
      </c>
      <c r="AA510" s="480"/>
      <c r="AB510" s="477">
        <f t="shared" ca="1" si="240"/>
        <v>0</v>
      </c>
      <c r="AC510" s="475">
        <f t="shared" ca="1" si="241"/>
        <v>0</v>
      </c>
      <c r="AD510" s="480"/>
      <c r="AE510" s="477">
        <f t="shared" si="242"/>
        <v>0</v>
      </c>
      <c r="AF510" s="480"/>
      <c r="AG510" s="477">
        <f t="shared" si="243"/>
        <v>0</v>
      </c>
      <c r="AH510" s="480"/>
      <c r="AI510" s="477">
        <f t="shared" si="244"/>
        <v>0</v>
      </c>
      <c r="AJ510" s="480"/>
      <c r="AK510" s="477">
        <f t="shared" ca="1" si="245"/>
        <v>0</v>
      </c>
      <c r="AL510" s="475">
        <f t="shared" ca="1" si="246"/>
        <v>0</v>
      </c>
      <c r="AM510" s="480"/>
      <c r="AN510" s="477">
        <f t="shared" si="247"/>
        <v>0</v>
      </c>
      <c r="AO510" s="480"/>
      <c r="AP510" s="477">
        <f t="shared" si="248"/>
        <v>0</v>
      </c>
      <c r="AQ510" s="480"/>
      <c r="AR510" s="477">
        <f t="shared" si="249"/>
        <v>0</v>
      </c>
      <c r="AS510" s="480"/>
      <c r="AT510" s="477">
        <f t="shared" ca="1" si="250"/>
        <v>0</v>
      </c>
      <c r="AU510" s="475">
        <f t="shared" ca="1" si="251"/>
        <v>0</v>
      </c>
      <c r="AV510" s="480"/>
      <c r="AW510" s="477">
        <f t="shared" si="252"/>
        <v>0</v>
      </c>
      <c r="AX510" s="480"/>
      <c r="AY510" s="477">
        <f t="shared" si="253"/>
        <v>0</v>
      </c>
      <c r="AZ510" s="480"/>
      <c r="BA510" s="477">
        <f t="shared" si="254"/>
        <v>0</v>
      </c>
      <c r="BB510" s="480"/>
      <c r="BC510" s="850">
        <f t="shared" ca="1" si="255"/>
        <v>0</v>
      </c>
    </row>
    <row r="511" spans="1:55">
      <c r="A511" s="837" t="str">
        <f t="shared" si="227"/>
        <v/>
      </c>
      <c r="B511" s="440"/>
      <c r="C511" s="834" t="str">
        <f t="shared" ca="1" si="228"/>
        <v/>
      </c>
      <c r="D511" s="1757" t="str">
        <f ca="1">IFERROR(VLOOKUP(LEFT(E511,4),Nom_activ_2!D:G,4,0),"")</f>
        <v/>
      </c>
      <c r="E511" s="1757" t="str">
        <f t="shared" ca="1" si="229"/>
        <v/>
      </c>
      <c r="F511" s="1777">
        <f t="shared" ca="1" si="258"/>
        <v>0</v>
      </c>
      <c r="G511" s="839">
        <f t="shared" ca="1" si="258"/>
        <v>0</v>
      </c>
      <c r="H511" s="840">
        <f t="shared" ca="1" si="258"/>
        <v>0</v>
      </c>
      <c r="I511" s="443"/>
      <c r="J511" s="838" t="str">
        <f t="shared" si="230"/>
        <v>!$A:$j</v>
      </c>
      <c r="K511" s="475">
        <f t="shared" ca="1" si="231"/>
        <v>0</v>
      </c>
      <c r="L511" s="480"/>
      <c r="M511" s="477">
        <f t="shared" si="232"/>
        <v>0</v>
      </c>
      <c r="N511" s="480"/>
      <c r="O511" s="477">
        <f t="shared" si="233"/>
        <v>0</v>
      </c>
      <c r="P511" s="480"/>
      <c r="Q511" s="477">
        <f t="shared" si="234"/>
        <v>0</v>
      </c>
      <c r="R511" s="480"/>
      <c r="S511" s="477">
        <f t="shared" ca="1" si="235"/>
        <v>0</v>
      </c>
      <c r="T511" s="475">
        <f t="shared" ca="1" si="236"/>
        <v>0</v>
      </c>
      <c r="U511" s="480"/>
      <c r="V511" s="477">
        <f t="shared" si="237"/>
        <v>0</v>
      </c>
      <c r="W511" s="480"/>
      <c r="X511" s="477">
        <f t="shared" si="238"/>
        <v>0</v>
      </c>
      <c r="Y511" s="480"/>
      <c r="Z511" s="477">
        <f t="shared" si="239"/>
        <v>0</v>
      </c>
      <c r="AA511" s="480"/>
      <c r="AB511" s="477">
        <f t="shared" ca="1" si="240"/>
        <v>0</v>
      </c>
      <c r="AC511" s="475">
        <f t="shared" ca="1" si="241"/>
        <v>0</v>
      </c>
      <c r="AD511" s="480"/>
      <c r="AE511" s="477">
        <f t="shared" si="242"/>
        <v>0</v>
      </c>
      <c r="AF511" s="480"/>
      <c r="AG511" s="477">
        <f t="shared" si="243"/>
        <v>0</v>
      </c>
      <c r="AH511" s="480"/>
      <c r="AI511" s="477">
        <f t="shared" si="244"/>
        <v>0</v>
      </c>
      <c r="AJ511" s="480"/>
      <c r="AK511" s="477">
        <f t="shared" ca="1" si="245"/>
        <v>0</v>
      </c>
      <c r="AL511" s="475">
        <f t="shared" ca="1" si="246"/>
        <v>0</v>
      </c>
      <c r="AM511" s="480"/>
      <c r="AN511" s="477">
        <f t="shared" si="247"/>
        <v>0</v>
      </c>
      <c r="AO511" s="480"/>
      <c r="AP511" s="477">
        <f t="shared" si="248"/>
        <v>0</v>
      </c>
      <c r="AQ511" s="480"/>
      <c r="AR511" s="477">
        <f t="shared" si="249"/>
        <v>0</v>
      </c>
      <c r="AS511" s="480"/>
      <c r="AT511" s="477">
        <f t="shared" ca="1" si="250"/>
        <v>0</v>
      </c>
      <c r="AU511" s="475">
        <f t="shared" ca="1" si="251"/>
        <v>0</v>
      </c>
      <c r="AV511" s="480"/>
      <c r="AW511" s="477">
        <f t="shared" si="252"/>
        <v>0</v>
      </c>
      <c r="AX511" s="480"/>
      <c r="AY511" s="477">
        <f t="shared" si="253"/>
        <v>0</v>
      </c>
      <c r="AZ511" s="480"/>
      <c r="BA511" s="477">
        <f t="shared" si="254"/>
        <v>0</v>
      </c>
      <c r="BB511" s="480"/>
      <c r="BC511" s="850">
        <f t="shared" ca="1" si="255"/>
        <v>0</v>
      </c>
    </row>
    <row r="512" spans="1:55">
      <c r="A512" s="837" t="str">
        <f t="shared" si="227"/>
        <v/>
      </c>
      <c r="B512" s="440"/>
      <c r="C512" s="834" t="str">
        <f t="shared" ca="1" si="228"/>
        <v/>
      </c>
      <c r="D512" s="1757" t="str">
        <f ca="1">IFERROR(VLOOKUP(LEFT(E512,4),Nom_activ_2!D:G,4,0),"")</f>
        <v/>
      </c>
      <c r="E512" s="1757" t="str">
        <f t="shared" ca="1" si="229"/>
        <v/>
      </c>
      <c r="F512" s="1777">
        <f t="shared" ca="1" si="258"/>
        <v>0</v>
      </c>
      <c r="G512" s="839">
        <f t="shared" ca="1" si="258"/>
        <v>0</v>
      </c>
      <c r="H512" s="840">
        <f t="shared" ca="1" si="258"/>
        <v>0</v>
      </c>
      <c r="I512" s="443"/>
      <c r="J512" s="838" t="str">
        <f t="shared" si="230"/>
        <v>!$A:$j</v>
      </c>
      <c r="K512" s="475">
        <f t="shared" ca="1" si="231"/>
        <v>0</v>
      </c>
      <c r="L512" s="480"/>
      <c r="M512" s="477">
        <f t="shared" si="232"/>
        <v>0</v>
      </c>
      <c r="N512" s="480"/>
      <c r="O512" s="477">
        <f t="shared" si="233"/>
        <v>0</v>
      </c>
      <c r="P512" s="480"/>
      <c r="Q512" s="477">
        <f t="shared" si="234"/>
        <v>0</v>
      </c>
      <c r="R512" s="480"/>
      <c r="S512" s="477">
        <f t="shared" ca="1" si="235"/>
        <v>0</v>
      </c>
      <c r="T512" s="475">
        <f t="shared" ca="1" si="236"/>
        <v>0</v>
      </c>
      <c r="U512" s="480"/>
      <c r="V512" s="477">
        <f t="shared" si="237"/>
        <v>0</v>
      </c>
      <c r="W512" s="480"/>
      <c r="X512" s="477">
        <f t="shared" si="238"/>
        <v>0</v>
      </c>
      <c r="Y512" s="480"/>
      <c r="Z512" s="477">
        <f t="shared" si="239"/>
        <v>0</v>
      </c>
      <c r="AA512" s="480"/>
      <c r="AB512" s="477">
        <f t="shared" ca="1" si="240"/>
        <v>0</v>
      </c>
      <c r="AC512" s="475">
        <f t="shared" ca="1" si="241"/>
        <v>0</v>
      </c>
      <c r="AD512" s="480"/>
      <c r="AE512" s="477">
        <f t="shared" si="242"/>
        <v>0</v>
      </c>
      <c r="AF512" s="480"/>
      <c r="AG512" s="477">
        <f t="shared" si="243"/>
        <v>0</v>
      </c>
      <c r="AH512" s="480"/>
      <c r="AI512" s="477">
        <f t="shared" si="244"/>
        <v>0</v>
      </c>
      <c r="AJ512" s="480"/>
      <c r="AK512" s="477">
        <f t="shared" ca="1" si="245"/>
        <v>0</v>
      </c>
      <c r="AL512" s="475">
        <f t="shared" ca="1" si="246"/>
        <v>0</v>
      </c>
      <c r="AM512" s="480"/>
      <c r="AN512" s="477">
        <f t="shared" si="247"/>
        <v>0</v>
      </c>
      <c r="AO512" s="480"/>
      <c r="AP512" s="477">
        <f t="shared" si="248"/>
        <v>0</v>
      </c>
      <c r="AQ512" s="480"/>
      <c r="AR512" s="477">
        <f t="shared" si="249"/>
        <v>0</v>
      </c>
      <c r="AS512" s="480"/>
      <c r="AT512" s="477">
        <f t="shared" ca="1" si="250"/>
        <v>0</v>
      </c>
      <c r="AU512" s="475">
        <f t="shared" ca="1" si="251"/>
        <v>0</v>
      </c>
      <c r="AV512" s="480"/>
      <c r="AW512" s="477">
        <f t="shared" si="252"/>
        <v>0</v>
      </c>
      <c r="AX512" s="480"/>
      <c r="AY512" s="477">
        <f t="shared" si="253"/>
        <v>0</v>
      </c>
      <c r="AZ512" s="480"/>
      <c r="BA512" s="477">
        <f t="shared" si="254"/>
        <v>0</v>
      </c>
      <c r="BB512" s="480"/>
      <c r="BC512" s="850">
        <f t="shared" ca="1" si="255"/>
        <v>0</v>
      </c>
    </row>
    <row r="513" spans="1:55">
      <c r="A513" s="837" t="str">
        <f t="shared" si="227"/>
        <v/>
      </c>
      <c r="B513" s="440"/>
      <c r="C513" s="834" t="str">
        <f t="shared" ca="1" si="228"/>
        <v/>
      </c>
      <c r="D513" s="1757" t="str">
        <f ca="1">IFERROR(VLOOKUP(LEFT(E513,4),Nom_activ_2!D:G,4,0),"")</f>
        <v/>
      </c>
      <c r="E513" s="1757" t="str">
        <f t="shared" ca="1" si="229"/>
        <v/>
      </c>
      <c r="F513" s="1777">
        <f t="shared" ca="1" si="258"/>
        <v>0</v>
      </c>
      <c r="G513" s="839">
        <f t="shared" ca="1" si="258"/>
        <v>0</v>
      </c>
      <c r="H513" s="840">
        <f t="shared" ca="1" si="258"/>
        <v>0</v>
      </c>
      <c r="I513" s="443"/>
      <c r="J513" s="838" t="str">
        <f t="shared" si="230"/>
        <v>!$A:$j</v>
      </c>
      <c r="K513" s="475">
        <f t="shared" ca="1" si="231"/>
        <v>0</v>
      </c>
      <c r="L513" s="480"/>
      <c r="M513" s="477">
        <f t="shared" si="232"/>
        <v>0</v>
      </c>
      <c r="N513" s="480"/>
      <c r="O513" s="477">
        <f t="shared" si="233"/>
        <v>0</v>
      </c>
      <c r="P513" s="480"/>
      <c r="Q513" s="477">
        <f t="shared" si="234"/>
        <v>0</v>
      </c>
      <c r="R513" s="480"/>
      <c r="S513" s="477">
        <f t="shared" ca="1" si="235"/>
        <v>0</v>
      </c>
      <c r="T513" s="475">
        <f t="shared" ca="1" si="236"/>
        <v>0</v>
      </c>
      <c r="U513" s="480"/>
      <c r="V513" s="477">
        <f t="shared" si="237"/>
        <v>0</v>
      </c>
      <c r="W513" s="480"/>
      <c r="X513" s="477">
        <f t="shared" si="238"/>
        <v>0</v>
      </c>
      <c r="Y513" s="480"/>
      <c r="Z513" s="477">
        <f t="shared" si="239"/>
        <v>0</v>
      </c>
      <c r="AA513" s="480"/>
      <c r="AB513" s="477">
        <f t="shared" ca="1" si="240"/>
        <v>0</v>
      </c>
      <c r="AC513" s="475">
        <f t="shared" ca="1" si="241"/>
        <v>0</v>
      </c>
      <c r="AD513" s="480"/>
      <c r="AE513" s="477">
        <f t="shared" si="242"/>
        <v>0</v>
      </c>
      <c r="AF513" s="480"/>
      <c r="AG513" s="477">
        <f t="shared" si="243"/>
        <v>0</v>
      </c>
      <c r="AH513" s="480"/>
      <c r="AI513" s="477">
        <f t="shared" si="244"/>
        <v>0</v>
      </c>
      <c r="AJ513" s="480"/>
      <c r="AK513" s="477">
        <f t="shared" ca="1" si="245"/>
        <v>0</v>
      </c>
      <c r="AL513" s="475">
        <f t="shared" ca="1" si="246"/>
        <v>0</v>
      </c>
      <c r="AM513" s="480"/>
      <c r="AN513" s="477">
        <f t="shared" si="247"/>
        <v>0</v>
      </c>
      <c r="AO513" s="480"/>
      <c r="AP513" s="477">
        <f t="shared" si="248"/>
        <v>0</v>
      </c>
      <c r="AQ513" s="480"/>
      <c r="AR513" s="477">
        <f t="shared" si="249"/>
        <v>0</v>
      </c>
      <c r="AS513" s="480"/>
      <c r="AT513" s="477">
        <f t="shared" ca="1" si="250"/>
        <v>0</v>
      </c>
      <c r="AU513" s="475">
        <f t="shared" ca="1" si="251"/>
        <v>0</v>
      </c>
      <c r="AV513" s="480"/>
      <c r="AW513" s="477">
        <f t="shared" si="252"/>
        <v>0</v>
      </c>
      <c r="AX513" s="480"/>
      <c r="AY513" s="477">
        <f t="shared" si="253"/>
        <v>0</v>
      </c>
      <c r="AZ513" s="480"/>
      <c r="BA513" s="477">
        <f t="shared" si="254"/>
        <v>0</v>
      </c>
      <c r="BB513" s="480"/>
      <c r="BC513" s="850">
        <f t="shared" ca="1" si="255"/>
        <v>0</v>
      </c>
    </row>
    <row r="514" spans="1:55">
      <c r="A514" s="837" t="str">
        <f t="shared" si="227"/>
        <v/>
      </c>
      <c r="B514" s="440"/>
      <c r="C514" s="834" t="str">
        <f t="shared" ca="1" si="228"/>
        <v/>
      </c>
      <c r="D514" s="1757" t="str">
        <f ca="1">IFERROR(VLOOKUP(LEFT(E514,4),Nom_activ_2!D:G,4,0),"")</f>
        <v/>
      </c>
      <c r="E514" s="1757" t="str">
        <f t="shared" ca="1" si="229"/>
        <v/>
      </c>
      <c r="F514" s="1777">
        <f t="shared" ca="1" si="258"/>
        <v>0</v>
      </c>
      <c r="G514" s="839">
        <f t="shared" ca="1" si="258"/>
        <v>0</v>
      </c>
      <c r="H514" s="840">
        <f t="shared" ca="1" si="258"/>
        <v>0</v>
      </c>
      <c r="I514" s="443"/>
      <c r="J514" s="838" t="str">
        <f t="shared" si="230"/>
        <v>!$A:$j</v>
      </c>
      <c r="K514" s="475">
        <f t="shared" ca="1" si="231"/>
        <v>0</v>
      </c>
      <c r="L514" s="480"/>
      <c r="M514" s="477">
        <f t="shared" si="232"/>
        <v>0</v>
      </c>
      <c r="N514" s="480"/>
      <c r="O514" s="477">
        <f t="shared" si="233"/>
        <v>0</v>
      </c>
      <c r="P514" s="480"/>
      <c r="Q514" s="477">
        <f t="shared" si="234"/>
        <v>0</v>
      </c>
      <c r="R514" s="480"/>
      <c r="S514" s="477">
        <f t="shared" ca="1" si="235"/>
        <v>0</v>
      </c>
      <c r="T514" s="475">
        <f t="shared" ca="1" si="236"/>
        <v>0</v>
      </c>
      <c r="U514" s="480"/>
      <c r="V514" s="477">
        <f t="shared" si="237"/>
        <v>0</v>
      </c>
      <c r="W514" s="480"/>
      <c r="X514" s="477">
        <f t="shared" si="238"/>
        <v>0</v>
      </c>
      <c r="Y514" s="480"/>
      <c r="Z514" s="477">
        <f t="shared" si="239"/>
        <v>0</v>
      </c>
      <c r="AA514" s="480"/>
      <c r="AB514" s="477">
        <f t="shared" ca="1" si="240"/>
        <v>0</v>
      </c>
      <c r="AC514" s="475">
        <f t="shared" ca="1" si="241"/>
        <v>0</v>
      </c>
      <c r="AD514" s="480"/>
      <c r="AE514" s="477">
        <f t="shared" si="242"/>
        <v>0</v>
      </c>
      <c r="AF514" s="480"/>
      <c r="AG514" s="477">
        <f t="shared" si="243"/>
        <v>0</v>
      </c>
      <c r="AH514" s="480"/>
      <c r="AI514" s="477">
        <f t="shared" si="244"/>
        <v>0</v>
      </c>
      <c r="AJ514" s="480"/>
      <c r="AK514" s="477">
        <f t="shared" ca="1" si="245"/>
        <v>0</v>
      </c>
      <c r="AL514" s="475">
        <f t="shared" ca="1" si="246"/>
        <v>0</v>
      </c>
      <c r="AM514" s="480"/>
      <c r="AN514" s="477">
        <f t="shared" si="247"/>
        <v>0</v>
      </c>
      <c r="AO514" s="480"/>
      <c r="AP514" s="477">
        <f t="shared" si="248"/>
        <v>0</v>
      </c>
      <c r="AQ514" s="480"/>
      <c r="AR514" s="477">
        <f t="shared" si="249"/>
        <v>0</v>
      </c>
      <c r="AS514" s="480"/>
      <c r="AT514" s="477">
        <f t="shared" ca="1" si="250"/>
        <v>0</v>
      </c>
      <c r="AU514" s="475">
        <f t="shared" ca="1" si="251"/>
        <v>0</v>
      </c>
      <c r="AV514" s="480"/>
      <c r="AW514" s="477">
        <f t="shared" si="252"/>
        <v>0</v>
      </c>
      <c r="AX514" s="480"/>
      <c r="AY514" s="477">
        <f t="shared" si="253"/>
        <v>0</v>
      </c>
      <c r="AZ514" s="480"/>
      <c r="BA514" s="477">
        <f t="shared" si="254"/>
        <v>0</v>
      </c>
      <c r="BB514" s="480"/>
      <c r="BC514" s="850">
        <f t="shared" ca="1" si="255"/>
        <v>0</v>
      </c>
    </row>
    <row r="515" spans="1:55">
      <c r="A515" s="837" t="str">
        <f t="shared" si="227"/>
        <v/>
      </c>
      <c r="B515" s="440"/>
      <c r="C515" s="834" t="str">
        <f t="shared" ca="1" si="228"/>
        <v/>
      </c>
      <c r="D515" s="1757" t="str">
        <f ca="1">IFERROR(VLOOKUP(LEFT(E515,4),Nom_activ_2!D:G,4,0),"")</f>
        <v/>
      </c>
      <c r="E515" s="1757" t="str">
        <f t="shared" ca="1" si="229"/>
        <v/>
      </c>
      <c r="F515" s="1777">
        <f t="shared" ca="1" si="258"/>
        <v>0</v>
      </c>
      <c r="G515" s="839">
        <f t="shared" ca="1" si="258"/>
        <v>0</v>
      </c>
      <c r="H515" s="840">
        <f t="shared" ca="1" si="258"/>
        <v>0</v>
      </c>
      <c r="I515" s="443"/>
      <c r="J515" s="838" t="str">
        <f t="shared" si="230"/>
        <v>!$A:$j</v>
      </c>
      <c r="K515" s="475">
        <f t="shared" ca="1" si="231"/>
        <v>0</v>
      </c>
      <c r="L515" s="480"/>
      <c r="M515" s="477">
        <f t="shared" si="232"/>
        <v>0</v>
      </c>
      <c r="N515" s="480"/>
      <c r="O515" s="477">
        <f t="shared" si="233"/>
        <v>0</v>
      </c>
      <c r="P515" s="480"/>
      <c r="Q515" s="477">
        <f t="shared" si="234"/>
        <v>0</v>
      </c>
      <c r="R515" s="480"/>
      <c r="S515" s="477">
        <f t="shared" ca="1" si="235"/>
        <v>0</v>
      </c>
      <c r="T515" s="475">
        <f t="shared" ca="1" si="236"/>
        <v>0</v>
      </c>
      <c r="U515" s="480"/>
      <c r="V515" s="477">
        <f t="shared" si="237"/>
        <v>0</v>
      </c>
      <c r="W515" s="480"/>
      <c r="X515" s="477">
        <f t="shared" si="238"/>
        <v>0</v>
      </c>
      <c r="Y515" s="480"/>
      <c r="Z515" s="477">
        <f t="shared" si="239"/>
        <v>0</v>
      </c>
      <c r="AA515" s="480"/>
      <c r="AB515" s="477">
        <f t="shared" ca="1" si="240"/>
        <v>0</v>
      </c>
      <c r="AC515" s="475">
        <f t="shared" ca="1" si="241"/>
        <v>0</v>
      </c>
      <c r="AD515" s="480"/>
      <c r="AE515" s="477">
        <f t="shared" si="242"/>
        <v>0</v>
      </c>
      <c r="AF515" s="480"/>
      <c r="AG515" s="477">
        <f t="shared" si="243"/>
        <v>0</v>
      </c>
      <c r="AH515" s="480"/>
      <c r="AI515" s="477">
        <f t="shared" si="244"/>
        <v>0</v>
      </c>
      <c r="AJ515" s="480"/>
      <c r="AK515" s="477">
        <f t="shared" ca="1" si="245"/>
        <v>0</v>
      </c>
      <c r="AL515" s="475">
        <f t="shared" ca="1" si="246"/>
        <v>0</v>
      </c>
      <c r="AM515" s="480"/>
      <c r="AN515" s="477">
        <f t="shared" si="247"/>
        <v>0</v>
      </c>
      <c r="AO515" s="480"/>
      <c r="AP515" s="477">
        <f t="shared" si="248"/>
        <v>0</v>
      </c>
      <c r="AQ515" s="480"/>
      <c r="AR515" s="477">
        <f t="shared" si="249"/>
        <v>0</v>
      </c>
      <c r="AS515" s="480"/>
      <c r="AT515" s="477">
        <f t="shared" ca="1" si="250"/>
        <v>0</v>
      </c>
      <c r="AU515" s="475">
        <f t="shared" ca="1" si="251"/>
        <v>0</v>
      </c>
      <c r="AV515" s="480"/>
      <c r="AW515" s="477">
        <f t="shared" si="252"/>
        <v>0</v>
      </c>
      <c r="AX515" s="480"/>
      <c r="AY515" s="477">
        <f t="shared" si="253"/>
        <v>0</v>
      </c>
      <c r="AZ515" s="480"/>
      <c r="BA515" s="477">
        <f t="shared" si="254"/>
        <v>0</v>
      </c>
      <c r="BB515" s="480"/>
      <c r="BC515" s="850">
        <f t="shared" ca="1" si="255"/>
        <v>0</v>
      </c>
    </row>
    <row r="516" spans="1:55">
      <c r="A516" s="837" t="str">
        <f t="shared" si="227"/>
        <v/>
      </c>
      <c r="B516" s="440"/>
      <c r="C516" s="834" t="str">
        <f t="shared" ca="1" si="228"/>
        <v/>
      </c>
      <c r="D516" s="1757" t="str">
        <f ca="1">IFERROR(VLOOKUP(LEFT(E516,4),Nom_activ_2!D:G,4,0),"")</f>
        <v/>
      </c>
      <c r="E516" s="1757" t="str">
        <f t="shared" ca="1" si="229"/>
        <v/>
      </c>
      <c r="F516" s="1777">
        <f t="shared" ca="1" si="258"/>
        <v>0</v>
      </c>
      <c r="G516" s="839">
        <f t="shared" ca="1" si="258"/>
        <v>0</v>
      </c>
      <c r="H516" s="840">
        <f t="shared" ca="1" si="258"/>
        <v>0</v>
      </c>
      <c r="I516" s="443"/>
      <c r="J516" s="838" t="str">
        <f t="shared" si="230"/>
        <v>!$A:$j</v>
      </c>
      <c r="K516" s="475">
        <f t="shared" ca="1" si="231"/>
        <v>0</v>
      </c>
      <c r="L516" s="480"/>
      <c r="M516" s="477">
        <f t="shared" si="232"/>
        <v>0</v>
      </c>
      <c r="N516" s="480"/>
      <c r="O516" s="477">
        <f t="shared" si="233"/>
        <v>0</v>
      </c>
      <c r="P516" s="480"/>
      <c r="Q516" s="477">
        <f t="shared" si="234"/>
        <v>0</v>
      </c>
      <c r="R516" s="480"/>
      <c r="S516" s="477">
        <f t="shared" ca="1" si="235"/>
        <v>0</v>
      </c>
      <c r="T516" s="475">
        <f t="shared" ca="1" si="236"/>
        <v>0</v>
      </c>
      <c r="U516" s="480"/>
      <c r="V516" s="477">
        <f t="shared" si="237"/>
        <v>0</v>
      </c>
      <c r="W516" s="480"/>
      <c r="X516" s="477">
        <f t="shared" si="238"/>
        <v>0</v>
      </c>
      <c r="Y516" s="480"/>
      <c r="Z516" s="477">
        <f t="shared" si="239"/>
        <v>0</v>
      </c>
      <c r="AA516" s="480"/>
      <c r="AB516" s="477">
        <f t="shared" ca="1" si="240"/>
        <v>0</v>
      </c>
      <c r="AC516" s="475">
        <f t="shared" ca="1" si="241"/>
        <v>0</v>
      </c>
      <c r="AD516" s="480"/>
      <c r="AE516" s="477">
        <f t="shared" si="242"/>
        <v>0</v>
      </c>
      <c r="AF516" s="480"/>
      <c r="AG516" s="477">
        <f t="shared" si="243"/>
        <v>0</v>
      </c>
      <c r="AH516" s="480"/>
      <c r="AI516" s="477">
        <f t="shared" si="244"/>
        <v>0</v>
      </c>
      <c r="AJ516" s="480"/>
      <c r="AK516" s="477">
        <f t="shared" ca="1" si="245"/>
        <v>0</v>
      </c>
      <c r="AL516" s="475">
        <f t="shared" ca="1" si="246"/>
        <v>0</v>
      </c>
      <c r="AM516" s="480"/>
      <c r="AN516" s="477">
        <f t="shared" si="247"/>
        <v>0</v>
      </c>
      <c r="AO516" s="480"/>
      <c r="AP516" s="477">
        <f t="shared" si="248"/>
        <v>0</v>
      </c>
      <c r="AQ516" s="480"/>
      <c r="AR516" s="477">
        <f t="shared" si="249"/>
        <v>0</v>
      </c>
      <c r="AS516" s="480"/>
      <c r="AT516" s="477">
        <f t="shared" ca="1" si="250"/>
        <v>0</v>
      </c>
      <c r="AU516" s="475">
        <f t="shared" ca="1" si="251"/>
        <v>0</v>
      </c>
      <c r="AV516" s="480"/>
      <c r="AW516" s="477">
        <f t="shared" si="252"/>
        <v>0</v>
      </c>
      <c r="AX516" s="480"/>
      <c r="AY516" s="477">
        <f t="shared" si="253"/>
        <v>0</v>
      </c>
      <c r="AZ516" s="480"/>
      <c r="BA516" s="477">
        <f t="shared" si="254"/>
        <v>0</v>
      </c>
      <c r="BB516" s="480"/>
      <c r="BC516" s="850">
        <f t="shared" ca="1" si="255"/>
        <v>0</v>
      </c>
    </row>
    <row r="517" spans="1:55">
      <c r="A517" s="837" t="str">
        <f t="shared" si="227"/>
        <v/>
      </c>
      <c r="B517" s="440"/>
      <c r="C517" s="834" t="str">
        <f t="shared" ca="1" si="228"/>
        <v/>
      </c>
      <c r="D517" s="1757" t="str">
        <f ca="1">IFERROR(VLOOKUP(LEFT(E517,4),Nom_activ_2!D:G,4,0),"")</f>
        <v/>
      </c>
      <c r="E517" s="1757" t="str">
        <f t="shared" ca="1" si="229"/>
        <v/>
      </c>
      <c r="F517" s="1777">
        <f t="shared" ca="1" si="258"/>
        <v>0</v>
      </c>
      <c r="G517" s="839">
        <f t="shared" ca="1" si="258"/>
        <v>0</v>
      </c>
      <c r="H517" s="840">
        <f t="shared" ca="1" si="258"/>
        <v>0</v>
      </c>
      <c r="I517" s="443"/>
      <c r="J517" s="838" t="str">
        <f t="shared" si="230"/>
        <v>!$A:$j</v>
      </c>
      <c r="K517" s="475">
        <f t="shared" ca="1" si="231"/>
        <v>0</v>
      </c>
      <c r="L517" s="480"/>
      <c r="M517" s="477">
        <f t="shared" si="232"/>
        <v>0</v>
      </c>
      <c r="N517" s="480"/>
      <c r="O517" s="477">
        <f t="shared" si="233"/>
        <v>0</v>
      </c>
      <c r="P517" s="480"/>
      <c r="Q517" s="477">
        <f t="shared" si="234"/>
        <v>0</v>
      </c>
      <c r="R517" s="480"/>
      <c r="S517" s="477">
        <f t="shared" ca="1" si="235"/>
        <v>0</v>
      </c>
      <c r="T517" s="475">
        <f t="shared" ca="1" si="236"/>
        <v>0</v>
      </c>
      <c r="U517" s="480"/>
      <c r="V517" s="477">
        <f t="shared" si="237"/>
        <v>0</v>
      </c>
      <c r="W517" s="480"/>
      <c r="X517" s="477">
        <f t="shared" si="238"/>
        <v>0</v>
      </c>
      <c r="Y517" s="480"/>
      <c r="Z517" s="477">
        <f t="shared" si="239"/>
        <v>0</v>
      </c>
      <c r="AA517" s="480"/>
      <c r="AB517" s="477">
        <f t="shared" ca="1" si="240"/>
        <v>0</v>
      </c>
      <c r="AC517" s="475">
        <f t="shared" ca="1" si="241"/>
        <v>0</v>
      </c>
      <c r="AD517" s="480"/>
      <c r="AE517" s="477">
        <f t="shared" si="242"/>
        <v>0</v>
      </c>
      <c r="AF517" s="480"/>
      <c r="AG517" s="477">
        <f t="shared" si="243"/>
        <v>0</v>
      </c>
      <c r="AH517" s="480"/>
      <c r="AI517" s="477">
        <f t="shared" si="244"/>
        <v>0</v>
      </c>
      <c r="AJ517" s="480"/>
      <c r="AK517" s="477">
        <f t="shared" ca="1" si="245"/>
        <v>0</v>
      </c>
      <c r="AL517" s="475">
        <f t="shared" ca="1" si="246"/>
        <v>0</v>
      </c>
      <c r="AM517" s="480"/>
      <c r="AN517" s="477">
        <f t="shared" si="247"/>
        <v>0</v>
      </c>
      <c r="AO517" s="480"/>
      <c r="AP517" s="477">
        <f t="shared" si="248"/>
        <v>0</v>
      </c>
      <c r="AQ517" s="480"/>
      <c r="AR517" s="477">
        <f t="shared" si="249"/>
        <v>0</v>
      </c>
      <c r="AS517" s="480"/>
      <c r="AT517" s="477">
        <f t="shared" ca="1" si="250"/>
        <v>0</v>
      </c>
      <c r="AU517" s="475">
        <f t="shared" ca="1" si="251"/>
        <v>0</v>
      </c>
      <c r="AV517" s="480"/>
      <c r="AW517" s="477">
        <f t="shared" si="252"/>
        <v>0</v>
      </c>
      <c r="AX517" s="480"/>
      <c r="AY517" s="477">
        <f t="shared" si="253"/>
        <v>0</v>
      </c>
      <c r="AZ517" s="480"/>
      <c r="BA517" s="477">
        <f t="shared" si="254"/>
        <v>0</v>
      </c>
      <c r="BB517" s="480"/>
      <c r="BC517" s="850">
        <f t="shared" ca="1" si="255"/>
        <v>0</v>
      </c>
    </row>
    <row r="518" spans="1:55">
      <c r="A518" s="837" t="str">
        <f t="shared" si="227"/>
        <v/>
      </c>
      <c r="B518" s="440"/>
      <c r="C518" s="834" t="str">
        <f t="shared" ca="1" si="228"/>
        <v/>
      </c>
      <c r="D518" s="1757" t="str">
        <f ca="1">IFERROR(VLOOKUP(LEFT(E518,4),Nom_activ_2!D:G,4,0),"")</f>
        <v/>
      </c>
      <c r="E518" s="1757" t="str">
        <f t="shared" ca="1" si="229"/>
        <v/>
      </c>
      <c r="F518" s="1777">
        <f t="shared" ca="1" si="258"/>
        <v>0</v>
      </c>
      <c r="G518" s="839">
        <f t="shared" ca="1" si="258"/>
        <v>0</v>
      </c>
      <c r="H518" s="840">
        <f t="shared" ca="1" si="258"/>
        <v>0</v>
      </c>
      <c r="I518" s="443"/>
      <c r="J518" s="838" t="str">
        <f t="shared" si="230"/>
        <v>!$A:$j</v>
      </c>
      <c r="K518" s="475">
        <f t="shared" ca="1" si="231"/>
        <v>0</v>
      </c>
      <c r="L518" s="480"/>
      <c r="M518" s="477">
        <f t="shared" si="232"/>
        <v>0</v>
      </c>
      <c r="N518" s="480"/>
      <c r="O518" s="477">
        <f t="shared" si="233"/>
        <v>0</v>
      </c>
      <c r="P518" s="480"/>
      <c r="Q518" s="477">
        <f t="shared" si="234"/>
        <v>0</v>
      </c>
      <c r="R518" s="480"/>
      <c r="S518" s="477">
        <f t="shared" ca="1" si="235"/>
        <v>0</v>
      </c>
      <c r="T518" s="475">
        <f t="shared" ca="1" si="236"/>
        <v>0</v>
      </c>
      <c r="U518" s="480"/>
      <c r="V518" s="477">
        <f t="shared" si="237"/>
        <v>0</v>
      </c>
      <c r="W518" s="480"/>
      <c r="X518" s="477">
        <f t="shared" si="238"/>
        <v>0</v>
      </c>
      <c r="Y518" s="480"/>
      <c r="Z518" s="477">
        <f t="shared" si="239"/>
        <v>0</v>
      </c>
      <c r="AA518" s="480"/>
      <c r="AB518" s="477">
        <f t="shared" ca="1" si="240"/>
        <v>0</v>
      </c>
      <c r="AC518" s="475">
        <f t="shared" ca="1" si="241"/>
        <v>0</v>
      </c>
      <c r="AD518" s="480"/>
      <c r="AE518" s="477">
        <f t="shared" si="242"/>
        <v>0</v>
      </c>
      <c r="AF518" s="480"/>
      <c r="AG518" s="477">
        <f t="shared" si="243"/>
        <v>0</v>
      </c>
      <c r="AH518" s="480"/>
      <c r="AI518" s="477">
        <f t="shared" si="244"/>
        <v>0</v>
      </c>
      <c r="AJ518" s="480"/>
      <c r="AK518" s="477">
        <f t="shared" ca="1" si="245"/>
        <v>0</v>
      </c>
      <c r="AL518" s="475">
        <f t="shared" ca="1" si="246"/>
        <v>0</v>
      </c>
      <c r="AM518" s="480"/>
      <c r="AN518" s="477">
        <f t="shared" si="247"/>
        <v>0</v>
      </c>
      <c r="AO518" s="480"/>
      <c r="AP518" s="477">
        <f t="shared" si="248"/>
        <v>0</v>
      </c>
      <c r="AQ518" s="480"/>
      <c r="AR518" s="477">
        <f t="shared" si="249"/>
        <v>0</v>
      </c>
      <c r="AS518" s="480"/>
      <c r="AT518" s="477">
        <f t="shared" ca="1" si="250"/>
        <v>0</v>
      </c>
      <c r="AU518" s="475">
        <f t="shared" ca="1" si="251"/>
        <v>0</v>
      </c>
      <c r="AV518" s="480"/>
      <c r="AW518" s="477">
        <f t="shared" si="252"/>
        <v>0</v>
      </c>
      <c r="AX518" s="480"/>
      <c r="AY518" s="477">
        <f t="shared" si="253"/>
        <v>0</v>
      </c>
      <c r="AZ518" s="480"/>
      <c r="BA518" s="477">
        <f t="shared" si="254"/>
        <v>0</v>
      </c>
      <c r="BB518" s="480"/>
      <c r="BC518" s="850">
        <f t="shared" ca="1" si="255"/>
        <v>0</v>
      </c>
    </row>
    <row r="519" spans="1:55">
      <c r="A519" s="837" t="str">
        <f t="shared" ref="A519:A582" si="259">IF(B519="","",IF(COUNTA(C519:H519)&lt;6,"Completati  toate campurile col C:H",""))</f>
        <v/>
      </c>
      <c r="B519" s="440"/>
      <c r="C519" s="834" t="str">
        <f t="shared" ref="C519:C582" ca="1" si="260">IFERROR(LEFT(D519,2),"")</f>
        <v/>
      </c>
      <c r="D519" s="1757" t="str">
        <f ca="1">IFERROR(VLOOKUP(LEFT(E519,4),Nom_activ_2!D:G,4,0),"")</f>
        <v/>
      </c>
      <c r="E519" s="1757" t="str">
        <f t="shared" ref="E519:E582" ca="1" si="261">IFERROR(VLOOKUP($B519,INDIRECT($J519),E$5,0),"")</f>
        <v/>
      </c>
      <c r="F519" s="1777">
        <f t="shared" ca="1" si="258"/>
        <v>0</v>
      </c>
      <c r="G519" s="839">
        <f t="shared" ca="1" si="258"/>
        <v>0</v>
      </c>
      <c r="H519" s="840">
        <f t="shared" ca="1" si="258"/>
        <v>0</v>
      </c>
      <c r="I519" s="443"/>
      <c r="J519" s="838" t="str">
        <f t="shared" ref="J519:J582" si="262">I519&amp;"!$A:$j"</f>
        <v>!$A:$j</v>
      </c>
      <c r="K519" s="475">
        <f t="shared" ref="K519:K582" ca="1" si="263">IFERROR(VLOOKUP($B519,INDIRECT($J519),K$5,0),0)</f>
        <v>0</v>
      </c>
      <c r="L519" s="480"/>
      <c r="M519" s="477">
        <f t="shared" ref="M519:M582" si="264">IF(L519="",0,K519*L519)</f>
        <v>0</v>
      </c>
      <c r="N519" s="480"/>
      <c r="O519" s="477">
        <f t="shared" ref="O519:O582" si="265">IF(N519="",0,M519*N519)</f>
        <v>0</v>
      </c>
      <c r="P519" s="480"/>
      <c r="Q519" s="477">
        <f t="shared" ref="Q519:Q582" si="266">IF(P519="",0,O519*P519)</f>
        <v>0</v>
      </c>
      <c r="R519" s="480"/>
      <c r="S519" s="477">
        <f t="shared" ref="S519:S582" ca="1" si="267">IFERROR(K519-M519-O519-Q519,0)</f>
        <v>0</v>
      </c>
      <c r="T519" s="475">
        <f t="shared" ref="T519:T582" ca="1" si="268">IFERROR(VLOOKUP($B519,INDIRECT($J519),T$5,0),0)</f>
        <v>0</v>
      </c>
      <c r="U519" s="480"/>
      <c r="V519" s="477">
        <f t="shared" ref="V519:V582" si="269">IF(U519="",0,T519*U519)</f>
        <v>0</v>
      </c>
      <c r="W519" s="480"/>
      <c r="X519" s="477">
        <f t="shared" ref="X519:X582" si="270">IF(W519="",0,V519*W519)</f>
        <v>0</v>
      </c>
      <c r="Y519" s="480"/>
      <c r="Z519" s="477">
        <f t="shared" ref="Z519:Z582" si="271">IF(Y519="",0,X519*Y519)</f>
        <v>0</v>
      </c>
      <c r="AA519" s="480"/>
      <c r="AB519" s="477">
        <f t="shared" ref="AB519:AB582" ca="1" si="272">IFERROR(T519-V519-X519-Z519,0)</f>
        <v>0</v>
      </c>
      <c r="AC519" s="475">
        <f t="shared" ref="AC519:AC582" ca="1" si="273">IFERROR(VLOOKUP($B519,INDIRECT($J519),AC$5,0),0)</f>
        <v>0</v>
      </c>
      <c r="AD519" s="480"/>
      <c r="AE519" s="477">
        <f t="shared" ref="AE519:AE582" si="274">IF(AD519="",0,AC519*AD519)</f>
        <v>0</v>
      </c>
      <c r="AF519" s="480"/>
      <c r="AG519" s="477">
        <f t="shared" ref="AG519:AG582" si="275">IF(AF519="",0,AE519*AF519)</f>
        <v>0</v>
      </c>
      <c r="AH519" s="480"/>
      <c r="AI519" s="477">
        <f t="shared" ref="AI519:AI582" si="276">IF(AH519="",0,AG519*AH519)</f>
        <v>0</v>
      </c>
      <c r="AJ519" s="480"/>
      <c r="AK519" s="477">
        <f t="shared" ref="AK519:AK582" ca="1" si="277">IFERROR(AC519-AE519-AG519-AI519,0)</f>
        <v>0</v>
      </c>
      <c r="AL519" s="475">
        <f t="shared" ref="AL519:AL582" ca="1" si="278">IFERROR(VLOOKUP($B519,INDIRECT($J519),AL$5,0),0)</f>
        <v>0</v>
      </c>
      <c r="AM519" s="480"/>
      <c r="AN519" s="477">
        <f t="shared" ref="AN519:AN582" si="279">IF(AM519="",0,AL519*AM519)</f>
        <v>0</v>
      </c>
      <c r="AO519" s="480"/>
      <c r="AP519" s="477">
        <f t="shared" ref="AP519:AP582" si="280">IF(AO519="",0,AN519*AO519)</f>
        <v>0</v>
      </c>
      <c r="AQ519" s="480"/>
      <c r="AR519" s="477">
        <f t="shared" ref="AR519:AR582" si="281">IF(AQ519="",0,AP519*AQ519)</f>
        <v>0</v>
      </c>
      <c r="AS519" s="480"/>
      <c r="AT519" s="477">
        <f t="shared" ref="AT519:AT582" ca="1" si="282">IFERROR(AL519-AN519-AP519-AR519,0)</f>
        <v>0</v>
      </c>
      <c r="AU519" s="475">
        <f t="shared" ref="AU519:AU582" ca="1" si="283">IFERROR(VLOOKUP($B519,INDIRECT($J519),AU$5,0),0)</f>
        <v>0</v>
      </c>
      <c r="AV519" s="480"/>
      <c r="AW519" s="477">
        <f t="shared" ref="AW519:AW582" si="284">IF(AV519="",0,AU519*AV519)</f>
        <v>0</v>
      </c>
      <c r="AX519" s="480"/>
      <c r="AY519" s="477">
        <f t="shared" ref="AY519:AY582" si="285">IF(AX519="",0,AW519*AX519)</f>
        <v>0</v>
      </c>
      <c r="AZ519" s="480"/>
      <c r="BA519" s="477">
        <f t="shared" ref="BA519:BA582" si="286">IF(AZ519="",0,AY519*AZ519)</f>
        <v>0</v>
      </c>
      <c r="BB519" s="480"/>
      <c r="BC519" s="850">
        <f t="shared" ref="BC519:BC582" ca="1" si="287">K519+T519+AC519+AL519+AU519</f>
        <v>0</v>
      </c>
    </row>
    <row r="520" spans="1:55">
      <c r="A520" s="837" t="str">
        <f t="shared" si="259"/>
        <v/>
      </c>
      <c r="B520" s="440"/>
      <c r="C520" s="834" t="str">
        <f t="shared" ca="1" si="260"/>
        <v/>
      </c>
      <c r="D520" s="1757" t="str">
        <f ca="1">IFERROR(VLOOKUP(LEFT(E520,4),Nom_activ_2!D:G,4,0),"")</f>
        <v/>
      </c>
      <c r="E520" s="1757" t="str">
        <f t="shared" ca="1" si="261"/>
        <v/>
      </c>
      <c r="F520" s="1777">
        <f t="shared" ca="1" si="258"/>
        <v>0</v>
      </c>
      <c r="G520" s="839">
        <f t="shared" ca="1" si="258"/>
        <v>0</v>
      </c>
      <c r="H520" s="840">
        <f t="shared" ca="1" si="258"/>
        <v>0</v>
      </c>
      <c r="I520" s="443"/>
      <c r="J520" s="838" t="str">
        <f t="shared" si="262"/>
        <v>!$A:$j</v>
      </c>
      <c r="K520" s="475">
        <f t="shared" ca="1" si="263"/>
        <v>0</v>
      </c>
      <c r="L520" s="480"/>
      <c r="M520" s="477">
        <f t="shared" si="264"/>
        <v>0</v>
      </c>
      <c r="N520" s="480"/>
      <c r="O520" s="477">
        <f t="shared" si="265"/>
        <v>0</v>
      </c>
      <c r="P520" s="480"/>
      <c r="Q520" s="477">
        <f t="shared" si="266"/>
        <v>0</v>
      </c>
      <c r="R520" s="480"/>
      <c r="S520" s="477">
        <f t="shared" ca="1" si="267"/>
        <v>0</v>
      </c>
      <c r="T520" s="475">
        <f t="shared" ca="1" si="268"/>
        <v>0</v>
      </c>
      <c r="U520" s="480"/>
      <c r="V520" s="477">
        <f t="shared" si="269"/>
        <v>0</v>
      </c>
      <c r="W520" s="480"/>
      <c r="X520" s="477">
        <f t="shared" si="270"/>
        <v>0</v>
      </c>
      <c r="Y520" s="480"/>
      <c r="Z520" s="477">
        <f t="shared" si="271"/>
        <v>0</v>
      </c>
      <c r="AA520" s="480"/>
      <c r="AB520" s="477">
        <f t="shared" ca="1" si="272"/>
        <v>0</v>
      </c>
      <c r="AC520" s="475">
        <f t="shared" ca="1" si="273"/>
        <v>0</v>
      </c>
      <c r="AD520" s="480"/>
      <c r="AE520" s="477">
        <f t="shared" si="274"/>
        <v>0</v>
      </c>
      <c r="AF520" s="480"/>
      <c r="AG520" s="477">
        <f t="shared" si="275"/>
        <v>0</v>
      </c>
      <c r="AH520" s="480"/>
      <c r="AI520" s="477">
        <f t="shared" si="276"/>
        <v>0</v>
      </c>
      <c r="AJ520" s="480"/>
      <c r="AK520" s="477">
        <f t="shared" ca="1" si="277"/>
        <v>0</v>
      </c>
      <c r="AL520" s="475">
        <f t="shared" ca="1" si="278"/>
        <v>0</v>
      </c>
      <c r="AM520" s="480"/>
      <c r="AN520" s="477">
        <f t="shared" si="279"/>
        <v>0</v>
      </c>
      <c r="AO520" s="480"/>
      <c r="AP520" s="477">
        <f t="shared" si="280"/>
        <v>0</v>
      </c>
      <c r="AQ520" s="480"/>
      <c r="AR520" s="477">
        <f t="shared" si="281"/>
        <v>0</v>
      </c>
      <c r="AS520" s="480"/>
      <c r="AT520" s="477">
        <f t="shared" ca="1" si="282"/>
        <v>0</v>
      </c>
      <c r="AU520" s="475">
        <f t="shared" ca="1" si="283"/>
        <v>0</v>
      </c>
      <c r="AV520" s="480"/>
      <c r="AW520" s="477">
        <f t="shared" si="284"/>
        <v>0</v>
      </c>
      <c r="AX520" s="480"/>
      <c r="AY520" s="477">
        <f t="shared" si="285"/>
        <v>0</v>
      </c>
      <c r="AZ520" s="480"/>
      <c r="BA520" s="477">
        <f t="shared" si="286"/>
        <v>0</v>
      </c>
      <c r="BB520" s="480"/>
      <c r="BC520" s="850">
        <f t="shared" ca="1" si="287"/>
        <v>0</v>
      </c>
    </row>
    <row r="521" spans="1:55">
      <c r="A521" s="837" t="str">
        <f t="shared" si="259"/>
        <v/>
      </c>
      <c r="B521" s="440"/>
      <c r="C521" s="834" t="str">
        <f t="shared" ca="1" si="260"/>
        <v/>
      </c>
      <c r="D521" s="1757" t="str">
        <f ca="1">IFERROR(VLOOKUP(LEFT(E521,4),Nom_activ_2!D:G,4,0),"")</f>
        <v/>
      </c>
      <c r="E521" s="1757" t="str">
        <f t="shared" ca="1" si="261"/>
        <v/>
      </c>
      <c r="F521" s="1777">
        <f t="shared" ca="1" si="258"/>
        <v>0</v>
      </c>
      <c r="G521" s="839">
        <f t="shared" ca="1" si="258"/>
        <v>0</v>
      </c>
      <c r="H521" s="840">
        <f t="shared" ca="1" si="258"/>
        <v>0</v>
      </c>
      <c r="I521" s="443"/>
      <c r="J521" s="838" t="str">
        <f t="shared" si="262"/>
        <v>!$A:$j</v>
      </c>
      <c r="K521" s="475">
        <f t="shared" ca="1" si="263"/>
        <v>0</v>
      </c>
      <c r="L521" s="480"/>
      <c r="M521" s="477">
        <f t="shared" si="264"/>
        <v>0</v>
      </c>
      <c r="N521" s="480"/>
      <c r="O521" s="477">
        <f t="shared" si="265"/>
        <v>0</v>
      </c>
      <c r="P521" s="480"/>
      <c r="Q521" s="477">
        <f t="shared" si="266"/>
        <v>0</v>
      </c>
      <c r="R521" s="480"/>
      <c r="S521" s="477">
        <f t="shared" ca="1" si="267"/>
        <v>0</v>
      </c>
      <c r="T521" s="475">
        <f t="shared" ca="1" si="268"/>
        <v>0</v>
      </c>
      <c r="U521" s="480"/>
      <c r="V521" s="477">
        <f t="shared" si="269"/>
        <v>0</v>
      </c>
      <c r="W521" s="480"/>
      <c r="X521" s="477">
        <f t="shared" si="270"/>
        <v>0</v>
      </c>
      <c r="Y521" s="480"/>
      <c r="Z521" s="477">
        <f t="shared" si="271"/>
        <v>0</v>
      </c>
      <c r="AA521" s="480"/>
      <c r="AB521" s="477">
        <f t="shared" ca="1" si="272"/>
        <v>0</v>
      </c>
      <c r="AC521" s="475">
        <f t="shared" ca="1" si="273"/>
        <v>0</v>
      </c>
      <c r="AD521" s="480"/>
      <c r="AE521" s="477">
        <f t="shared" si="274"/>
        <v>0</v>
      </c>
      <c r="AF521" s="480"/>
      <c r="AG521" s="477">
        <f t="shared" si="275"/>
        <v>0</v>
      </c>
      <c r="AH521" s="480"/>
      <c r="AI521" s="477">
        <f t="shared" si="276"/>
        <v>0</v>
      </c>
      <c r="AJ521" s="480"/>
      <c r="AK521" s="477">
        <f t="shared" ca="1" si="277"/>
        <v>0</v>
      </c>
      <c r="AL521" s="475">
        <f t="shared" ca="1" si="278"/>
        <v>0</v>
      </c>
      <c r="AM521" s="480"/>
      <c r="AN521" s="477">
        <f t="shared" si="279"/>
        <v>0</v>
      </c>
      <c r="AO521" s="480"/>
      <c r="AP521" s="477">
        <f t="shared" si="280"/>
        <v>0</v>
      </c>
      <c r="AQ521" s="480"/>
      <c r="AR521" s="477">
        <f t="shared" si="281"/>
        <v>0</v>
      </c>
      <c r="AS521" s="480"/>
      <c r="AT521" s="477">
        <f t="shared" ca="1" si="282"/>
        <v>0</v>
      </c>
      <c r="AU521" s="475">
        <f t="shared" ca="1" si="283"/>
        <v>0</v>
      </c>
      <c r="AV521" s="480"/>
      <c r="AW521" s="477">
        <f t="shared" si="284"/>
        <v>0</v>
      </c>
      <c r="AX521" s="480"/>
      <c r="AY521" s="477">
        <f t="shared" si="285"/>
        <v>0</v>
      </c>
      <c r="AZ521" s="480"/>
      <c r="BA521" s="477">
        <f t="shared" si="286"/>
        <v>0</v>
      </c>
      <c r="BB521" s="480"/>
      <c r="BC521" s="850">
        <f t="shared" ca="1" si="287"/>
        <v>0</v>
      </c>
    </row>
    <row r="522" spans="1:55">
      <c r="A522" s="837" t="str">
        <f t="shared" si="259"/>
        <v/>
      </c>
      <c r="B522" s="440"/>
      <c r="C522" s="834" t="str">
        <f t="shared" ca="1" si="260"/>
        <v/>
      </c>
      <c r="D522" s="1757" t="str">
        <f ca="1">IFERROR(VLOOKUP(LEFT(E522,4),Nom_activ_2!D:G,4,0),"")</f>
        <v/>
      </c>
      <c r="E522" s="1757" t="str">
        <f t="shared" ca="1" si="261"/>
        <v/>
      </c>
      <c r="F522" s="1777">
        <f t="shared" ca="1" si="258"/>
        <v>0</v>
      </c>
      <c r="G522" s="839">
        <f t="shared" ca="1" si="258"/>
        <v>0</v>
      </c>
      <c r="H522" s="840">
        <f t="shared" ca="1" si="258"/>
        <v>0</v>
      </c>
      <c r="I522" s="443"/>
      <c r="J522" s="838" t="str">
        <f t="shared" si="262"/>
        <v>!$A:$j</v>
      </c>
      <c r="K522" s="475">
        <f t="shared" ca="1" si="263"/>
        <v>0</v>
      </c>
      <c r="L522" s="480"/>
      <c r="M522" s="477">
        <f t="shared" si="264"/>
        <v>0</v>
      </c>
      <c r="N522" s="480"/>
      <c r="O522" s="477">
        <f t="shared" si="265"/>
        <v>0</v>
      </c>
      <c r="P522" s="480"/>
      <c r="Q522" s="477">
        <f t="shared" si="266"/>
        <v>0</v>
      </c>
      <c r="R522" s="480"/>
      <c r="S522" s="477">
        <f t="shared" ca="1" si="267"/>
        <v>0</v>
      </c>
      <c r="T522" s="475">
        <f t="shared" ca="1" si="268"/>
        <v>0</v>
      </c>
      <c r="U522" s="480"/>
      <c r="V522" s="477">
        <f t="shared" si="269"/>
        <v>0</v>
      </c>
      <c r="W522" s="480"/>
      <c r="X522" s="477">
        <f t="shared" si="270"/>
        <v>0</v>
      </c>
      <c r="Y522" s="480"/>
      <c r="Z522" s="477">
        <f t="shared" si="271"/>
        <v>0</v>
      </c>
      <c r="AA522" s="480"/>
      <c r="AB522" s="477">
        <f t="shared" ca="1" si="272"/>
        <v>0</v>
      </c>
      <c r="AC522" s="475">
        <f t="shared" ca="1" si="273"/>
        <v>0</v>
      </c>
      <c r="AD522" s="480"/>
      <c r="AE522" s="477">
        <f t="shared" si="274"/>
        <v>0</v>
      </c>
      <c r="AF522" s="480"/>
      <c r="AG522" s="477">
        <f t="shared" si="275"/>
        <v>0</v>
      </c>
      <c r="AH522" s="480"/>
      <c r="AI522" s="477">
        <f t="shared" si="276"/>
        <v>0</v>
      </c>
      <c r="AJ522" s="480"/>
      <c r="AK522" s="477">
        <f t="shared" ca="1" si="277"/>
        <v>0</v>
      </c>
      <c r="AL522" s="475">
        <f t="shared" ca="1" si="278"/>
        <v>0</v>
      </c>
      <c r="AM522" s="480"/>
      <c r="AN522" s="477">
        <f t="shared" si="279"/>
        <v>0</v>
      </c>
      <c r="AO522" s="480"/>
      <c r="AP522" s="477">
        <f t="shared" si="280"/>
        <v>0</v>
      </c>
      <c r="AQ522" s="480"/>
      <c r="AR522" s="477">
        <f t="shared" si="281"/>
        <v>0</v>
      </c>
      <c r="AS522" s="480"/>
      <c r="AT522" s="477">
        <f t="shared" ca="1" si="282"/>
        <v>0</v>
      </c>
      <c r="AU522" s="475">
        <f t="shared" ca="1" si="283"/>
        <v>0</v>
      </c>
      <c r="AV522" s="480"/>
      <c r="AW522" s="477">
        <f t="shared" si="284"/>
        <v>0</v>
      </c>
      <c r="AX522" s="480"/>
      <c r="AY522" s="477">
        <f t="shared" si="285"/>
        <v>0</v>
      </c>
      <c r="AZ522" s="480"/>
      <c r="BA522" s="477">
        <f t="shared" si="286"/>
        <v>0</v>
      </c>
      <c r="BB522" s="480"/>
      <c r="BC522" s="850">
        <f t="shared" ca="1" si="287"/>
        <v>0</v>
      </c>
    </row>
    <row r="523" spans="1:55">
      <c r="A523" s="837" t="str">
        <f t="shared" si="259"/>
        <v/>
      </c>
      <c r="B523" s="440"/>
      <c r="C523" s="834" t="str">
        <f t="shared" ca="1" si="260"/>
        <v/>
      </c>
      <c r="D523" s="1757" t="str">
        <f ca="1">IFERROR(VLOOKUP(LEFT(E523,4),Nom_activ_2!D:G,4,0),"")</f>
        <v/>
      </c>
      <c r="E523" s="1757" t="str">
        <f t="shared" ca="1" si="261"/>
        <v/>
      </c>
      <c r="F523" s="1777">
        <f t="shared" ca="1" si="258"/>
        <v>0</v>
      </c>
      <c r="G523" s="839">
        <f t="shared" ca="1" si="258"/>
        <v>0</v>
      </c>
      <c r="H523" s="840">
        <f t="shared" ca="1" si="258"/>
        <v>0</v>
      </c>
      <c r="I523" s="443"/>
      <c r="J523" s="838" t="str">
        <f t="shared" si="262"/>
        <v>!$A:$j</v>
      </c>
      <c r="K523" s="475">
        <f t="shared" ca="1" si="263"/>
        <v>0</v>
      </c>
      <c r="L523" s="480"/>
      <c r="M523" s="477">
        <f t="shared" si="264"/>
        <v>0</v>
      </c>
      <c r="N523" s="480"/>
      <c r="O523" s="477">
        <f t="shared" si="265"/>
        <v>0</v>
      </c>
      <c r="P523" s="480"/>
      <c r="Q523" s="477">
        <f t="shared" si="266"/>
        <v>0</v>
      </c>
      <c r="R523" s="480"/>
      <c r="S523" s="477">
        <f t="shared" ca="1" si="267"/>
        <v>0</v>
      </c>
      <c r="T523" s="475">
        <f t="shared" ca="1" si="268"/>
        <v>0</v>
      </c>
      <c r="U523" s="480"/>
      <c r="V523" s="477">
        <f t="shared" si="269"/>
        <v>0</v>
      </c>
      <c r="W523" s="480"/>
      <c r="X523" s="477">
        <f t="shared" si="270"/>
        <v>0</v>
      </c>
      <c r="Y523" s="480"/>
      <c r="Z523" s="477">
        <f t="shared" si="271"/>
        <v>0</v>
      </c>
      <c r="AA523" s="480"/>
      <c r="AB523" s="477">
        <f t="shared" ca="1" si="272"/>
        <v>0</v>
      </c>
      <c r="AC523" s="475">
        <f t="shared" ca="1" si="273"/>
        <v>0</v>
      </c>
      <c r="AD523" s="480"/>
      <c r="AE523" s="477">
        <f t="shared" si="274"/>
        <v>0</v>
      </c>
      <c r="AF523" s="480"/>
      <c r="AG523" s="477">
        <f t="shared" si="275"/>
        <v>0</v>
      </c>
      <c r="AH523" s="480"/>
      <c r="AI523" s="477">
        <f t="shared" si="276"/>
        <v>0</v>
      </c>
      <c r="AJ523" s="480"/>
      <c r="AK523" s="477">
        <f t="shared" ca="1" si="277"/>
        <v>0</v>
      </c>
      <c r="AL523" s="475">
        <f t="shared" ca="1" si="278"/>
        <v>0</v>
      </c>
      <c r="AM523" s="480"/>
      <c r="AN523" s="477">
        <f t="shared" si="279"/>
        <v>0</v>
      </c>
      <c r="AO523" s="480"/>
      <c r="AP523" s="477">
        <f t="shared" si="280"/>
        <v>0</v>
      </c>
      <c r="AQ523" s="480"/>
      <c r="AR523" s="477">
        <f t="shared" si="281"/>
        <v>0</v>
      </c>
      <c r="AS523" s="480"/>
      <c r="AT523" s="477">
        <f t="shared" ca="1" si="282"/>
        <v>0</v>
      </c>
      <c r="AU523" s="475">
        <f t="shared" ca="1" si="283"/>
        <v>0</v>
      </c>
      <c r="AV523" s="480"/>
      <c r="AW523" s="477">
        <f t="shared" si="284"/>
        <v>0</v>
      </c>
      <c r="AX523" s="480"/>
      <c r="AY523" s="477">
        <f t="shared" si="285"/>
        <v>0</v>
      </c>
      <c r="AZ523" s="480"/>
      <c r="BA523" s="477">
        <f t="shared" si="286"/>
        <v>0</v>
      </c>
      <c r="BB523" s="480"/>
      <c r="BC523" s="850">
        <f t="shared" ca="1" si="287"/>
        <v>0</v>
      </c>
    </row>
    <row r="524" spans="1:55">
      <c r="A524" s="837" t="str">
        <f t="shared" si="259"/>
        <v/>
      </c>
      <c r="B524" s="440"/>
      <c r="C524" s="834" t="str">
        <f t="shared" ca="1" si="260"/>
        <v/>
      </c>
      <c r="D524" s="1757" t="str">
        <f ca="1">IFERROR(VLOOKUP(LEFT(E524,4),Nom_activ_2!D:G,4,0),"")</f>
        <v/>
      </c>
      <c r="E524" s="1757" t="str">
        <f t="shared" ca="1" si="261"/>
        <v/>
      </c>
      <c r="F524" s="1777">
        <f t="shared" ca="1" si="258"/>
        <v>0</v>
      </c>
      <c r="G524" s="839">
        <f t="shared" ca="1" si="258"/>
        <v>0</v>
      </c>
      <c r="H524" s="840">
        <f t="shared" ca="1" si="258"/>
        <v>0</v>
      </c>
      <c r="I524" s="443"/>
      <c r="J524" s="838" t="str">
        <f t="shared" si="262"/>
        <v>!$A:$j</v>
      </c>
      <c r="K524" s="475">
        <f t="shared" ca="1" si="263"/>
        <v>0</v>
      </c>
      <c r="L524" s="480"/>
      <c r="M524" s="477">
        <f t="shared" si="264"/>
        <v>0</v>
      </c>
      <c r="N524" s="480"/>
      <c r="O524" s="477">
        <f t="shared" si="265"/>
        <v>0</v>
      </c>
      <c r="P524" s="480"/>
      <c r="Q524" s="477">
        <f t="shared" si="266"/>
        <v>0</v>
      </c>
      <c r="R524" s="480"/>
      <c r="S524" s="477">
        <f t="shared" ca="1" si="267"/>
        <v>0</v>
      </c>
      <c r="T524" s="475">
        <f t="shared" ca="1" si="268"/>
        <v>0</v>
      </c>
      <c r="U524" s="480"/>
      <c r="V524" s="477">
        <f t="shared" si="269"/>
        <v>0</v>
      </c>
      <c r="W524" s="480"/>
      <c r="X524" s="477">
        <f t="shared" si="270"/>
        <v>0</v>
      </c>
      <c r="Y524" s="480"/>
      <c r="Z524" s="477">
        <f t="shared" si="271"/>
        <v>0</v>
      </c>
      <c r="AA524" s="480"/>
      <c r="AB524" s="477">
        <f t="shared" ca="1" si="272"/>
        <v>0</v>
      </c>
      <c r="AC524" s="475">
        <f t="shared" ca="1" si="273"/>
        <v>0</v>
      </c>
      <c r="AD524" s="480"/>
      <c r="AE524" s="477">
        <f t="shared" si="274"/>
        <v>0</v>
      </c>
      <c r="AF524" s="480"/>
      <c r="AG524" s="477">
        <f t="shared" si="275"/>
        <v>0</v>
      </c>
      <c r="AH524" s="480"/>
      <c r="AI524" s="477">
        <f t="shared" si="276"/>
        <v>0</v>
      </c>
      <c r="AJ524" s="480"/>
      <c r="AK524" s="477">
        <f t="shared" ca="1" si="277"/>
        <v>0</v>
      </c>
      <c r="AL524" s="475">
        <f t="shared" ca="1" si="278"/>
        <v>0</v>
      </c>
      <c r="AM524" s="480"/>
      <c r="AN524" s="477">
        <f t="shared" si="279"/>
        <v>0</v>
      </c>
      <c r="AO524" s="480"/>
      <c r="AP524" s="477">
        <f t="shared" si="280"/>
        <v>0</v>
      </c>
      <c r="AQ524" s="480"/>
      <c r="AR524" s="477">
        <f t="shared" si="281"/>
        <v>0</v>
      </c>
      <c r="AS524" s="480"/>
      <c r="AT524" s="477">
        <f t="shared" ca="1" si="282"/>
        <v>0</v>
      </c>
      <c r="AU524" s="475">
        <f t="shared" ca="1" si="283"/>
        <v>0</v>
      </c>
      <c r="AV524" s="480"/>
      <c r="AW524" s="477">
        <f t="shared" si="284"/>
        <v>0</v>
      </c>
      <c r="AX524" s="480"/>
      <c r="AY524" s="477">
        <f t="shared" si="285"/>
        <v>0</v>
      </c>
      <c r="AZ524" s="480"/>
      <c r="BA524" s="477">
        <f t="shared" si="286"/>
        <v>0</v>
      </c>
      <c r="BB524" s="480"/>
      <c r="BC524" s="850">
        <f t="shared" ca="1" si="287"/>
        <v>0</v>
      </c>
    </row>
    <row r="525" spans="1:55">
      <c r="A525" s="837" t="str">
        <f t="shared" si="259"/>
        <v/>
      </c>
      <c r="B525" s="440"/>
      <c r="C525" s="834" t="str">
        <f t="shared" ca="1" si="260"/>
        <v/>
      </c>
      <c r="D525" s="1757" t="str">
        <f ca="1">IFERROR(VLOOKUP(LEFT(E525,4),Nom_activ_2!D:G,4,0),"")</f>
        <v/>
      </c>
      <c r="E525" s="1757" t="str">
        <f t="shared" ca="1" si="261"/>
        <v/>
      </c>
      <c r="F525" s="1777">
        <f t="shared" ca="1" si="258"/>
        <v>0</v>
      </c>
      <c r="G525" s="839">
        <f t="shared" ca="1" si="258"/>
        <v>0</v>
      </c>
      <c r="H525" s="840">
        <f t="shared" ca="1" si="258"/>
        <v>0</v>
      </c>
      <c r="I525" s="443"/>
      <c r="J525" s="838" t="str">
        <f t="shared" si="262"/>
        <v>!$A:$j</v>
      </c>
      <c r="K525" s="475">
        <f t="shared" ca="1" si="263"/>
        <v>0</v>
      </c>
      <c r="L525" s="480"/>
      <c r="M525" s="477">
        <f t="shared" si="264"/>
        <v>0</v>
      </c>
      <c r="N525" s="480"/>
      <c r="O525" s="477">
        <f t="shared" si="265"/>
        <v>0</v>
      </c>
      <c r="P525" s="480"/>
      <c r="Q525" s="477">
        <f t="shared" si="266"/>
        <v>0</v>
      </c>
      <c r="R525" s="480"/>
      <c r="S525" s="477">
        <f t="shared" ca="1" si="267"/>
        <v>0</v>
      </c>
      <c r="T525" s="475">
        <f t="shared" ca="1" si="268"/>
        <v>0</v>
      </c>
      <c r="U525" s="480"/>
      <c r="V525" s="477">
        <f t="shared" si="269"/>
        <v>0</v>
      </c>
      <c r="W525" s="480"/>
      <c r="X525" s="477">
        <f t="shared" si="270"/>
        <v>0</v>
      </c>
      <c r="Y525" s="480"/>
      <c r="Z525" s="477">
        <f t="shared" si="271"/>
        <v>0</v>
      </c>
      <c r="AA525" s="480"/>
      <c r="AB525" s="477">
        <f t="shared" ca="1" si="272"/>
        <v>0</v>
      </c>
      <c r="AC525" s="475">
        <f t="shared" ca="1" si="273"/>
        <v>0</v>
      </c>
      <c r="AD525" s="480"/>
      <c r="AE525" s="477">
        <f t="shared" si="274"/>
        <v>0</v>
      </c>
      <c r="AF525" s="480"/>
      <c r="AG525" s="477">
        <f t="shared" si="275"/>
        <v>0</v>
      </c>
      <c r="AH525" s="480"/>
      <c r="AI525" s="477">
        <f t="shared" si="276"/>
        <v>0</v>
      </c>
      <c r="AJ525" s="480"/>
      <c r="AK525" s="477">
        <f t="shared" ca="1" si="277"/>
        <v>0</v>
      </c>
      <c r="AL525" s="475">
        <f t="shared" ca="1" si="278"/>
        <v>0</v>
      </c>
      <c r="AM525" s="480"/>
      <c r="AN525" s="477">
        <f t="shared" si="279"/>
        <v>0</v>
      </c>
      <c r="AO525" s="480"/>
      <c r="AP525" s="477">
        <f t="shared" si="280"/>
        <v>0</v>
      </c>
      <c r="AQ525" s="480"/>
      <c r="AR525" s="477">
        <f t="shared" si="281"/>
        <v>0</v>
      </c>
      <c r="AS525" s="480"/>
      <c r="AT525" s="477">
        <f t="shared" ca="1" si="282"/>
        <v>0</v>
      </c>
      <c r="AU525" s="475">
        <f t="shared" ca="1" si="283"/>
        <v>0</v>
      </c>
      <c r="AV525" s="480"/>
      <c r="AW525" s="477">
        <f t="shared" si="284"/>
        <v>0</v>
      </c>
      <c r="AX525" s="480"/>
      <c r="AY525" s="477">
        <f t="shared" si="285"/>
        <v>0</v>
      </c>
      <c r="AZ525" s="480"/>
      <c r="BA525" s="477">
        <f t="shared" si="286"/>
        <v>0</v>
      </c>
      <c r="BB525" s="480"/>
      <c r="BC525" s="850">
        <f t="shared" ca="1" si="287"/>
        <v>0</v>
      </c>
    </row>
    <row r="526" spans="1:55">
      <c r="A526" s="837" t="str">
        <f t="shared" si="259"/>
        <v/>
      </c>
      <c r="B526" s="440"/>
      <c r="C526" s="834" t="str">
        <f t="shared" ca="1" si="260"/>
        <v/>
      </c>
      <c r="D526" s="1757" t="str">
        <f ca="1">IFERROR(VLOOKUP(LEFT(E526,4),Nom_activ_2!D:G,4,0),"")</f>
        <v/>
      </c>
      <c r="E526" s="1757" t="str">
        <f t="shared" ca="1" si="261"/>
        <v/>
      </c>
      <c r="F526" s="1777">
        <f t="shared" ca="1" si="258"/>
        <v>0</v>
      </c>
      <c r="G526" s="839">
        <f t="shared" ca="1" si="258"/>
        <v>0</v>
      </c>
      <c r="H526" s="840">
        <f t="shared" ca="1" si="258"/>
        <v>0</v>
      </c>
      <c r="I526" s="443"/>
      <c r="J526" s="838" t="str">
        <f t="shared" si="262"/>
        <v>!$A:$j</v>
      </c>
      <c r="K526" s="475">
        <f t="shared" ca="1" si="263"/>
        <v>0</v>
      </c>
      <c r="L526" s="480"/>
      <c r="M526" s="477">
        <f t="shared" si="264"/>
        <v>0</v>
      </c>
      <c r="N526" s="480"/>
      <c r="O526" s="477">
        <f t="shared" si="265"/>
        <v>0</v>
      </c>
      <c r="P526" s="480"/>
      <c r="Q526" s="477">
        <f t="shared" si="266"/>
        <v>0</v>
      </c>
      <c r="R526" s="480"/>
      <c r="S526" s="477">
        <f t="shared" ca="1" si="267"/>
        <v>0</v>
      </c>
      <c r="T526" s="475">
        <f t="shared" ca="1" si="268"/>
        <v>0</v>
      </c>
      <c r="U526" s="480"/>
      <c r="V526" s="477">
        <f t="shared" si="269"/>
        <v>0</v>
      </c>
      <c r="W526" s="480"/>
      <c r="X526" s="477">
        <f t="shared" si="270"/>
        <v>0</v>
      </c>
      <c r="Y526" s="480"/>
      <c r="Z526" s="477">
        <f t="shared" si="271"/>
        <v>0</v>
      </c>
      <c r="AA526" s="480"/>
      <c r="AB526" s="477">
        <f t="shared" ca="1" si="272"/>
        <v>0</v>
      </c>
      <c r="AC526" s="475">
        <f t="shared" ca="1" si="273"/>
        <v>0</v>
      </c>
      <c r="AD526" s="480"/>
      <c r="AE526" s="477">
        <f t="shared" si="274"/>
        <v>0</v>
      </c>
      <c r="AF526" s="480"/>
      <c r="AG526" s="477">
        <f t="shared" si="275"/>
        <v>0</v>
      </c>
      <c r="AH526" s="480"/>
      <c r="AI526" s="477">
        <f t="shared" si="276"/>
        <v>0</v>
      </c>
      <c r="AJ526" s="480"/>
      <c r="AK526" s="477">
        <f t="shared" ca="1" si="277"/>
        <v>0</v>
      </c>
      <c r="AL526" s="475">
        <f t="shared" ca="1" si="278"/>
        <v>0</v>
      </c>
      <c r="AM526" s="480"/>
      <c r="AN526" s="477">
        <f t="shared" si="279"/>
        <v>0</v>
      </c>
      <c r="AO526" s="480"/>
      <c r="AP526" s="477">
        <f t="shared" si="280"/>
        <v>0</v>
      </c>
      <c r="AQ526" s="480"/>
      <c r="AR526" s="477">
        <f t="shared" si="281"/>
        <v>0</v>
      </c>
      <c r="AS526" s="480"/>
      <c r="AT526" s="477">
        <f t="shared" ca="1" si="282"/>
        <v>0</v>
      </c>
      <c r="AU526" s="475">
        <f t="shared" ca="1" si="283"/>
        <v>0</v>
      </c>
      <c r="AV526" s="480"/>
      <c r="AW526" s="477">
        <f t="shared" si="284"/>
        <v>0</v>
      </c>
      <c r="AX526" s="480"/>
      <c r="AY526" s="477">
        <f t="shared" si="285"/>
        <v>0</v>
      </c>
      <c r="AZ526" s="480"/>
      <c r="BA526" s="477">
        <f t="shared" si="286"/>
        <v>0</v>
      </c>
      <c r="BB526" s="480"/>
      <c r="BC526" s="850">
        <f t="shared" ca="1" si="287"/>
        <v>0</v>
      </c>
    </row>
    <row r="527" spans="1:55">
      <c r="A527" s="837" t="str">
        <f t="shared" si="259"/>
        <v/>
      </c>
      <c r="B527" s="440"/>
      <c r="C527" s="834" t="str">
        <f t="shared" ca="1" si="260"/>
        <v/>
      </c>
      <c r="D527" s="1757" t="str">
        <f ca="1">IFERROR(VLOOKUP(LEFT(E527,4),Nom_activ_2!D:G,4,0),"")</f>
        <v/>
      </c>
      <c r="E527" s="1757" t="str">
        <f t="shared" ca="1" si="261"/>
        <v/>
      </c>
      <c r="F527" s="1777">
        <f t="shared" ref="F527:H546" ca="1" si="288">IFERROR(VLOOKUP($B527,INDIRECT($J527),F$5,0),0)</f>
        <v>0</v>
      </c>
      <c r="G527" s="839">
        <f t="shared" ca="1" si="288"/>
        <v>0</v>
      </c>
      <c r="H527" s="840">
        <f t="shared" ca="1" si="288"/>
        <v>0</v>
      </c>
      <c r="I527" s="443"/>
      <c r="J527" s="838" t="str">
        <f t="shared" si="262"/>
        <v>!$A:$j</v>
      </c>
      <c r="K527" s="475">
        <f t="shared" ca="1" si="263"/>
        <v>0</v>
      </c>
      <c r="L527" s="480"/>
      <c r="M527" s="477">
        <f t="shared" si="264"/>
        <v>0</v>
      </c>
      <c r="N527" s="480"/>
      <c r="O527" s="477">
        <f t="shared" si="265"/>
        <v>0</v>
      </c>
      <c r="P527" s="480"/>
      <c r="Q527" s="477">
        <f t="shared" si="266"/>
        <v>0</v>
      </c>
      <c r="R527" s="480"/>
      <c r="S527" s="477">
        <f t="shared" ca="1" si="267"/>
        <v>0</v>
      </c>
      <c r="T527" s="475">
        <f t="shared" ca="1" si="268"/>
        <v>0</v>
      </c>
      <c r="U527" s="480"/>
      <c r="V527" s="477">
        <f t="shared" si="269"/>
        <v>0</v>
      </c>
      <c r="W527" s="480"/>
      <c r="X527" s="477">
        <f t="shared" si="270"/>
        <v>0</v>
      </c>
      <c r="Y527" s="480"/>
      <c r="Z527" s="477">
        <f t="shared" si="271"/>
        <v>0</v>
      </c>
      <c r="AA527" s="480"/>
      <c r="AB527" s="477">
        <f t="shared" ca="1" si="272"/>
        <v>0</v>
      </c>
      <c r="AC527" s="475">
        <f t="shared" ca="1" si="273"/>
        <v>0</v>
      </c>
      <c r="AD527" s="480"/>
      <c r="AE527" s="477">
        <f t="shared" si="274"/>
        <v>0</v>
      </c>
      <c r="AF527" s="480"/>
      <c r="AG527" s="477">
        <f t="shared" si="275"/>
        <v>0</v>
      </c>
      <c r="AH527" s="480"/>
      <c r="AI527" s="477">
        <f t="shared" si="276"/>
        <v>0</v>
      </c>
      <c r="AJ527" s="480"/>
      <c r="AK527" s="477">
        <f t="shared" ca="1" si="277"/>
        <v>0</v>
      </c>
      <c r="AL527" s="475">
        <f t="shared" ca="1" si="278"/>
        <v>0</v>
      </c>
      <c r="AM527" s="480"/>
      <c r="AN527" s="477">
        <f t="shared" si="279"/>
        <v>0</v>
      </c>
      <c r="AO527" s="480"/>
      <c r="AP527" s="477">
        <f t="shared" si="280"/>
        <v>0</v>
      </c>
      <c r="AQ527" s="480"/>
      <c r="AR527" s="477">
        <f t="shared" si="281"/>
        <v>0</v>
      </c>
      <c r="AS527" s="480"/>
      <c r="AT527" s="477">
        <f t="shared" ca="1" si="282"/>
        <v>0</v>
      </c>
      <c r="AU527" s="475">
        <f t="shared" ca="1" si="283"/>
        <v>0</v>
      </c>
      <c r="AV527" s="480"/>
      <c r="AW527" s="477">
        <f t="shared" si="284"/>
        <v>0</v>
      </c>
      <c r="AX527" s="480"/>
      <c r="AY527" s="477">
        <f t="shared" si="285"/>
        <v>0</v>
      </c>
      <c r="AZ527" s="480"/>
      <c r="BA527" s="477">
        <f t="shared" si="286"/>
        <v>0</v>
      </c>
      <c r="BB527" s="480"/>
      <c r="BC527" s="850">
        <f t="shared" ca="1" si="287"/>
        <v>0</v>
      </c>
    </row>
    <row r="528" spans="1:55">
      <c r="A528" s="837" t="str">
        <f t="shared" si="259"/>
        <v/>
      </c>
      <c r="B528" s="440"/>
      <c r="C528" s="834" t="str">
        <f t="shared" ca="1" si="260"/>
        <v/>
      </c>
      <c r="D528" s="1757" t="str">
        <f ca="1">IFERROR(VLOOKUP(LEFT(E528,4),Nom_activ_2!D:G,4,0),"")</f>
        <v/>
      </c>
      <c r="E528" s="1757" t="str">
        <f t="shared" ca="1" si="261"/>
        <v/>
      </c>
      <c r="F528" s="1777">
        <f t="shared" ca="1" si="288"/>
        <v>0</v>
      </c>
      <c r="G528" s="839">
        <f t="shared" ca="1" si="288"/>
        <v>0</v>
      </c>
      <c r="H528" s="840">
        <f t="shared" ca="1" si="288"/>
        <v>0</v>
      </c>
      <c r="I528" s="443"/>
      <c r="J528" s="838" t="str">
        <f t="shared" si="262"/>
        <v>!$A:$j</v>
      </c>
      <c r="K528" s="475">
        <f t="shared" ca="1" si="263"/>
        <v>0</v>
      </c>
      <c r="L528" s="480"/>
      <c r="M528" s="477">
        <f t="shared" si="264"/>
        <v>0</v>
      </c>
      <c r="N528" s="480"/>
      <c r="O528" s="477">
        <f t="shared" si="265"/>
        <v>0</v>
      </c>
      <c r="P528" s="480"/>
      <c r="Q528" s="477">
        <f t="shared" si="266"/>
        <v>0</v>
      </c>
      <c r="R528" s="480"/>
      <c r="S528" s="477">
        <f t="shared" ca="1" si="267"/>
        <v>0</v>
      </c>
      <c r="T528" s="475">
        <f t="shared" ca="1" si="268"/>
        <v>0</v>
      </c>
      <c r="U528" s="480"/>
      <c r="V528" s="477">
        <f t="shared" si="269"/>
        <v>0</v>
      </c>
      <c r="W528" s="480"/>
      <c r="X528" s="477">
        <f t="shared" si="270"/>
        <v>0</v>
      </c>
      <c r="Y528" s="480"/>
      <c r="Z528" s="477">
        <f t="shared" si="271"/>
        <v>0</v>
      </c>
      <c r="AA528" s="480"/>
      <c r="AB528" s="477">
        <f t="shared" ca="1" si="272"/>
        <v>0</v>
      </c>
      <c r="AC528" s="475">
        <f t="shared" ca="1" si="273"/>
        <v>0</v>
      </c>
      <c r="AD528" s="480"/>
      <c r="AE528" s="477">
        <f t="shared" si="274"/>
        <v>0</v>
      </c>
      <c r="AF528" s="480"/>
      <c r="AG528" s="477">
        <f t="shared" si="275"/>
        <v>0</v>
      </c>
      <c r="AH528" s="480"/>
      <c r="AI528" s="477">
        <f t="shared" si="276"/>
        <v>0</v>
      </c>
      <c r="AJ528" s="480"/>
      <c r="AK528" s="477">
        <f t="shared" ca="1" si="277"/>
        <v>0</v>
      </c>
      <c r="AL528" s="475">
        <f t="shared" ca="1" si="278"/>
        <v>0</v>
      </c>
      <c r="AM528" s="480"/>
      <c r="AN528" s="477">
        <f t="shared" si="279"/>
        <v>0</v>
      </c>
      <c r="AO528" s="480"/>
      <c r="AP528" s="477">
        <f t="shared" si="280"/>
        <v>0</v>
      </c>
      <c r="AQ528" s="480"/>
      <c r="AR528" s="477">
        <f t="shared" si="281"/>
        <v>0</v>
      </c>
      <c r="AS528" s="480"/>
      <c r="AT528" s="477">
        <f t="shared" ca="1" si="282"/>
        <v>0</v>
      </c>
      <c r="AU528" s="475">
        <f t="shared" ca="1" si="283"/>
        <v>0</v>
      </c>
      <c r="AV528" s="480"/>
      <c r="AW528" s="477">
        <f t="shared" si="284"/>
        <v>0</v>
      </c>
      <c r="AX528" s="480"/>
      <c r="AY528" s="477">
        <f t="shared" si="285"/>
        <v>0</v>
      </c>
      <c r="AZ528" s="480"/>
      <c r="BA528" s="477">
        <f t="shared" si="286"/>
        <v>0</v>
      </c>
      <c r="BB528" s="480"/>
      <c r="BC528" s="850">
        <f t="shared" ca="1" si="287"/>
        <v>0</v>
      </c>
    </row>
    <row r="529" spans="1:55">
      <c r="A529" s="837" t="str">
        <f t="shared" si="259"/>
        <v/>
      </c>
      <c r="B529" s="440"/>
      <c r="C529" s="834" t="str">
        <f t="shared" ca="1" si="260"/>
        <v/>
      </c>
      <c r="D529" s="1757" t="str">
        <f ca="1">IFERROR(VLOOKUP(LEFT(E529,4),Nom_activ_2!D:G,4,0),"")</f>
        <v/>
      </c>
      <c r="E529" s="1757" t="str">
        <f t="shared" ca="1" si="261"/>
        <v/>
      </c>
      <c r="F529" s="1777">
        <f t="shared" ca="1" si="288"/>
        <v>0</v>
      </c>
      <c r="G529" s="839">
        <f t="shared" ca="1" si="288"/>
        <v>0</v>
      </c>
      <c r="H529" s="840">
        <f t="shared" ca="1" si="288"/>
        <v>0</v>
      </c>
      <c r="I529" s="443"/>
      <c r="J529" s="838" t="str">
        <f t="shared" si="262"/>
        <v>!$A:$j</v>
      </c>
      <c r="K529" s="475">
        <f t="shared" ca="1" si="263"/>
        <v>0</v>
      </c>
      <c r="L529" s="480"/>
      <c r="M529" s="477">
        <f t="shared" si="264"/>
        <v>0</v>
      </c>
      <c r="N529" s="480"/>
      <c r="O529" s="477">
        <f t="shared" si="265"/>
        <v>0</v>
      </c>
      <c r="P529" s="480"/>
      <c r="Q529" s="477">
        <f t="shared" si="266"/>
        <v>0</v>
      </c>
      <c r="R529" s="480"/>
      <c r="S529" s="477">
        <f t="shared" ca="1" si="267"/>
        <v>0</v>
      </c>
      <c r="T529" s="475">
        <f t="shared" ca="1" si="268"/>
        <v>0</v>
      </c>
      <c r="U529" s="480"/>
      <c r="V529" s="477">
        <f t="shared" si="269"/>
        <v>0</v>
      </c>
      <c r="W529" s="480"/>
      <c r="X529" s="477">
        <f t="shared" si="270"/>
        <v>0</v>
      </c>
      <c r="Y529" s="480"/>
      <c r="Z529" s="477">
        <f t="shared" si="271"/>
        <v>0</v>
      </c>
      <c r="AA529" s="480"/>
      <c r="AB529" s="477">
        <f t="shared" ca="1" si="272"/>
        <v>0</v>
      </c>
      <c r="AC529" s="475">
        <f t="shared" ca="1" si="273"/>
        <v>0</v>
      </c>
      <c r="AD529" s="480"/>
      <c r="AE529" s="477">
        <f t="shared" si="274"/>
        <v>0</v>
      </c>
      <c r="AF529" s="480"/>
      <c r="AG529" s="477">
        <f t="shared" si="275"/>
        <v>0</v>
      </c>
      <c r="AH529" s="480"/>
      <c r="AI529" s="477">
        <f t="shared" si="276"/>
        <v>0</v>
      </c>
      <c r="AJ529" s="480"/>
      <c r="AK529" s="477">
        <f t="shared" ca="1" si="277"/>
        <v>0</v>
      </c>
      <c r="AL529" s="475">
        <f t="shared" ca="1" si="278"/>
        <v>0</v>
      </c>
      <c r="AM529" s="480"/>
      <c r="AN529" s="477">
        <f t="shared" si="279"/>
        <v>0</v>
      </c>
      <c r="AO529" s="480"/>
      <c r="AP529" s="477">
        <f t="shared" si="280"/>
        <v>0</v>
      </c>
      <c r="AQ529" s="480"/>
      <c r="AR529" s="477">
        <f t="shared" si="281"/>
        <v>0</v>
      </c>
      <c r="AS529" s="480"/>
      <c r="AT529" s="477">
        <f t="shared" ca="1" si="282"/>
        <v>0</v>
      </c>
      <c r="AU529" s="475">
        <f t="shared" ca="1" si="283"/>
        <v>0</v>
      </c>
      <c r="AV529" s="480"/>
      <c r="AW529" s="477">
        <f t="shared" si="284"/>
        <v>0</v>
      </c>
      <c r="AX529" s="480"/>
      <c r="AY529" s="477">
        <f t="shared" si="285"/>
        <v>0</v>
      </c>
      <c r="AZ529" s="480"/>
      <c r="BA529" s="477">
        <f t="shared" si="286"/>
        <v>0</v>
      </c>
      <c r="BB529" s="480"/>
      <c r="BC529" s="850">
        <f t="shared" ca="1" si="287"/>
        <v>0</v>
      </c>
    </row>
    <row r="530" spans="1:55">
      <c r="A530" s="837" t="str">
        <f t="shared" si="259"/>
        <v/>
      </c>
      <c r="B530" s="440"/>
      <c r="C530" s="834" t="str">
        <f t="shared" ca="1" si="260"/>
        <v/>
      </c>
      <c r="D530" s="1757" t="str">
        <f ca="1">IFERROR(VLOOKUP(LEFT(E530,4),Nom_activ_2!D:G,4,0),"")</f>
        <v/>
      </c>
      <c r="E530" s="1757" t="str">
        <f t="shared" ca="1" si="261"/>
        <v/>
      </c>
      <c r="F530" s="1777">
        <f t="shared" ca="1" si="288"/>
        <v>0</v>
      </c>
      <c r="G530" s="839">
        <f t="shared" ca="1" si="288"/>
        <v>0</v>
      </c>
      <c r="H530" s="840">
        <f t="shared" ca="1" si="288"/>
        <v>0</v>
      </c>
      <c r="I530" s="443"/>
      <c r="J530" s="838" t="str">
        <f t="shared" si="262"/>
        <v>!$A:$j</v>
      </c>
      <c r="K530" s="475">
        <f t="shared" ca="1" si="263"/>
        <v>0</v>
      </c>
      <c r="L530" s="480"/>
      <c r="M530" s="477">
        <f t="shared" si="264"/>
        <v>0</v>
      </c>
      <c r="N530" s="480"/>
      <c r="O530" s="477">
        <f t="shared" si="265"/>
        <v>0</v>
      </c>
      <c r="P530" s="480"/>
      <c r="Q530" s="477">
        <f t="shared" si="266"/>
        <v>0</v>
      </c>
      <c r="R530" s="480"/>
      <c r="S530" s="477">
        <f t="shared" ca="1" si="267"/>
        <v>0</v>
      </c>
      <c r="T530" s="475">
        <f t="shared" ca="1" si="268"/>
        <v>0</v>
      </c>
      <c r="U530" s="480"/>
      <c r="V530" s="477">
        <f t="shared" si="269"/>
        <v>0</v>
      </c>
      <c r="W530" s="480"/>
      <c r="X530" s="477">
        <f t="shared" si="270"/>
        <v>0</v>
      </c>
      <c r="Y530" s="480"/>
      <c r="Z530" s="477">
        <f t="shared" si="271"/>
        <v>0</v>
      </c>
      <c r="AA530" s="480"/>
      <c r="AB530" s="477">
        <f t="shared" ca="1" si="272"/>
        <v>0</v>
      </c>
      <c r="AC530" s="475">
        <f t="shared" ca="1" si="273"/>
        <v>0</v>
      </c>
      <c r="AD530" s="480"/>
      <c r="AE530" s="477">
        <f t="shared" si="274"/>
        <v>0</v>
      </c>
      <c r="AF530" s="480"/>
      <c r="AG530" s="477">
        <f t="shared" si="275"/>
        <v>0</v>
      </c>
      <c r="AH530" s="480"/>
      <c r="AI530" s="477">
        <f t="shared" si="276"/>
        <v>0</v>
      </c>
      <c r="AJ530" s="480"/>
      <c r="AK530" s="477">
        <f t="shared" ca="1" si="277"/>
        <v>0</v>
      </c>
      <c r="AL530" s="475">
        <f t="shared" ca="1" si="278"/>
        <v>0</v>
      </c>
      <c r="AM530" s="480"/>
      <c r="AN530" s="477">
        <f t="shared" si="279"/>
        <v>0</v>
      </c>
      <c r="AO530" s="480"/>
      <c r="AP530" s="477">
        <f t="shared" si="280"/>
        <v>0</v>
      </c>
      <c r="AQ530" s="480"/>
      <c r="AR530" s="477">
        <f t="shared" si="281"/>
        <v>0</v>
      </c>
      <c r="AS530" s="480"/>
      <c r="AT530" s="477">
        <f t="shared" ca="1" si="282"/>
        <v>0</v>
      </c>
      <c r="AU530" s="475">
        <f t="shared" ca="1" si="283"/>
        <v>0</v>
      </c>
      <c r="AV530" s="480"/>
      <c r="AW530" s="477">
        <f t="shared" si="284"/>
        <v>0</v>
      </c>
      <c r="AX530" s="480"/>
      <c r="AY530" s="477">
        <f t="shared" si="285"/>
        <v>0</v>
      </c>
      <c r="AZ530" s="480"/>
      <c r="BA530" s="477">
        <f t="shared" si="286"/>
        <v>0</v>
      </c>
      <c r="BB530" s="480"/>
      <c r="BC530" s="850">
        <f t="shared" ca="1" si="287"/>
        <v>0</v>
      </c>
    </row>
    <row r="531" spans="1:55">
      <c r="A531" s="837" t="str">
        <f t="shared" si="259"/>
        <v/>
      </c>
      <c r="B531" s="440"/>
      <c r="C531" s="834" t="str">
        <f t="shared" ca="1" si="260"/>
        <v/>
      </c>
      <c r="D531" s="1757" t="str">
        <f ca="1">IFERROR(VLOOKUP(LEFT(E531,4),Nom_activ_2!D:G,4,0),"")</f>
        <v/>
      </c>
      <c r="E531" s="1757" t="str">
        <f t="shared" ca="1" si="261"/>
        <v/>
      </c>
      <c r="F531" s="1777">
        <f t="shared" ca="1" si="288"/>
        <v>0</v>
      </c>
      <c r="G531" s="839">
        <f t="shared" ca="1" si="288"/>
        <v>0</v>
      </c>
      <c r="H531" s="840">
        <f t="shared" ca="1" si="288"/>
        <v>0</v>
      </c>
      <c r="I531" s="443"/>
      <c r="J531" s="838" t="str">
        <f t="shared" si="262"/>
        <v>!$A:$j</v>
      </c>
      <c r="K531" s="475">
        <f t="shared" ca="1" si="263"/>
        <v>0</v>
      </c>
      <c r="L531" s="480"/>
      <c r="M531" s="477">
        <f t="shared" si="264"/>
        <v>0</v>
      </c>
      <c r="N531" s="480"/>
      <c r="O531" s="477">
        <f t="shared" si="265"/>
        <v>0</v>
      </c>
      <c r="P531" s="480"/>
      <c r="Q531" s="477">
        <f t="shared" si="266"/>
        <v>0</v>
      </c>
      <c r="R531" s="480"/>
      <c r="S531" s="477">
        <f t="shared" ca="1" si="267"/>
        <v>0</v>
      </c>
      <c r="T531" s="475">
        <f t="shared" ca="1" si="268"/>
        <v>0</v>
      </c>
      <c r="U531" s="480"/>
      <c r="V531" s="477">
        <f t="shared" si="269"/>
        <v>0</v>
      </c>
      <c r="W531" s="480"/>
      <c r="X531" s="477">
        <f t="shared" si="270"/>
        <v>0</v>
      </c>
      <c r="Y531" s="480"/>
      <c r="Z531" s="477">
        <f t="shared" si="271"/>
        <v>0</v>
      </c>
      <c r="AA531" s="480"/>
      <c r="AB531" s="477">
        <f t="shared" ca="1" si="272"/>
        <v>0</v>
      </c>
      <c r="AC531" s="475">
        <f t="shared" ca="1" si="273"/>
        <v>0</v>
      </c>
      <c r="AD531" s="480"/>
      <c r="AE531" s="477">
        <f t="shared" si="274"/>
        <v>0</v>
      </c>
      <c r="AF531" s="480"/>
      <c r="AG531" s="477">
        <f t="shared" si="275"/>
        <v>0</v>
      </c>
      <c r="AH531" s="480"/>
      <c r="AI531" s="477">
        <f t="shared" si="276"/>
        <v>0</v>
      </c>
      <c r="AJ531" s="480"/>
      <c r="AK531" s="477">
        <f t="shared" ca="1" si="277"/>
        <v>0</v>
      </c>
      <c r="AL531" s="475">
        <f t="shared" ca="1" si="278"/>
        <v>0</v>
      </c>
      <c r="AM531" s="480"/>
      <c r="AN531" s="477">
        <f t="shared" si="279"/>
        <v>0</v>
      </c>
      <c r="AO531" s="480"/>
      <c r="AP531" s="477">
        <f t="shared" si="280"/>
        <v>0</v>
      </c>
      <c r="AQ531" s="480"/>
      <c r="AR531" s="477">
        <f t="shared" si="281"/>
        <v>0</v>
      </c>
      <c r="AS531" s="480"/>
      <c r="AT531" s="477">
        <f t="shared" ca="1" si="282"/>
        <v>0</v>
      </c>
      <c r="AU531" s="475">
        <f t="shared" ca="1" si="283"/>
        <v>0</v>
      </c>
      <c r="AV531" s="480"/>
      <c r="AW531" s="477">
        <f t="shared" si="284"/>
        <v>0</v>
      </c>
      <c r="AX531" s="480"/>
      <c r="AY531" s="477">
        <f t="shared" si="285"/>
        <v>0</v>
      </c>
      <c r="AZ531" s="480"/>
      <c r="BA531" s="477">
        <f t="shared" si="286"/>
        <v>0</v>
      </c>
      <c r="BB531" s="480"/>
      <c r="BC531" s="850">
        <f t="shared" ca="1" si="287"/>
        <v>0</v>
      </c>
    </row>
    <row r="532" spans="1:55">
      <c r="A532" s="837" t="str">
        <f t="shared" si="259"/>
        <v/>
      </c>
      <c r="B532" s="440"/>
      <c r="C532" s="834" t="str">
        <f t="shared" ca="1" si="260"/>
        <v/>
      </c>
      <c r="D532" s="1757" t="str">
        <f ca="1">IFERROR(VLOOKUP(LEFT(E532,4),Nom_activ_2!D:G,4,0),"")</f>
        <v/>
      </c>
      <c r="E532" s="1757" t="str">
        <f t="shared" ca="1" si="261"/>
        <v/>
      </c>
      <c r="F532" s="1777">
        <f t="shared" ca="1" si="288"/>
        <v>0</v>
      </c>
      <c r="G532" s="839">
        <f t="shared" ca="1" si="288"/>
        <v>0</v>
      </c>
      <c r="H532" s="840">
        <f t="shared" ca="1" si="288"/>
        <v>0</v>
      </c>
      <c r="I532" s="443"/>
      <c r="J532" s="838" t="str">
        <f t="shared" si="262"/>
        <v>!$A:$j</v>
      </c>
      <c r="K532" s="475">
        <f t="shared" ca="1" si="263"/>
        <v>0</v>
      </c>
      <c r="L532" s="480"/>
      <c r="M532" s="477">
        <f t="shared" si="264"/>
        <v>0</v>
      </c>
      <c r="N532" s="480"/>
      <c r="O532" s="477">
        <f t="shared" si="265"/>
        <v>0</v>
      </c>
      <c r="P532" s="480"/>
      <c r="Q532" s="477">
        <f t="shared" si="266"/>
        <v>0</v>
      </c>
      <c r="R532" s="480"/>
      <c r="S532" s="477">
        <f t="shared" ca="1" si="267"/>
        <v>0</v>
      </c>
      <c r="T532" s="475">
        <f t="shared" ca="1" si="268"/>
        <v>0</v>
      </c>
      <c r="U532" s="480"/>
      <c r="V532" s="477">
        <f t="shared" si="269"/>
        <v>0</v>
      </c>
      <c r="W532" s="480"/>
      <c r="X532" s="477">
        <f t="shared" si="270"/>
        <v>0</v>
      </c>
      <c r="Y532" s="480"/>
      <c r="Z532" s="477">
        <f t="shared" si="271"/>
        <v>0</v>
      </c>
      <c r="AA532" s="480"/>
      <c r="AB532" s="477">
        <f t="shared" ca="1" si="272"/>
        <v>0</v>
      </c>
      <c r="AC532" s="475">
        <f t="shared" ca="1" si="273"/>
        <v>0</v>
      </c>
      <c r="AD532" s="480"/>
      <c r="AE532" s="477">
        <f t="shared" si="274"/>
        <v>0</v>
      </c>
      <c r="AF532" s="480"/>
      <c r="AG532" s="477">
        <f t="shared" si="275"/>
        <v>0</v>
      </c>
      <c r="AH532" s="480"/>
      <c r="AI532" s="477">
        <f t="shared" si="276"/>
        <v>0</v>
      </c>
      <c r="AJ532" s="480"/>
      <c r="AK532" s="477">
        <f t="shared" ca="1" si="277"/>
        <v>0</v>
      </c>
      <c r="AL532" s="475">
        <f t="shared" ca="1" si="278"/>
        <v>0</v>
      </c>
      <c r="AM532" s="480"/>
      <c r="AN532" s="477">
        <f t="shared" si="279"/>
        <v>0</v>
      </c>
      <c r="AO532" s="480"/>
      <c r="AP532" s="477">
        <f t="shared" si="280"/>
        <v>0</v>
      </c>
      <c r="AQ532" s="480"/>
      <c r="AR532" s="477">
        <f t="shared" si="281"/>
        <v>0</v>
      </c>
      <c r="AS532" s="480"/>
      <c r="AT532" s="477">
        <f t="shared" ca="1" si="282"/>
        <v>0</v>
      </c>
      <c r="AU532" s="475">
        <f t="shared" ca="1" si="283"/>
        <v>0</v>
      </c>
      <c r="AV532" s="480"/>
      <c r="AW532" s="477">
        <f t="shared" si="284"/>
        <v>0</v>
      </c>
      <c r="AX532" s="480"/>
      <c r="AY532" s="477">
        <f t="shared" si="285"/>
        <v>0</v>
      </c>
      <c r="AZ532" s="480"/>
      <c r="BA532" s="477">
        <f t="shared" si="286"/>
        <v>0</v>
      </c>
      <c r="BB532" s="480"/>
      <c r="BC532" s="850">
        <f t="shared" ca="1" si="287"/>
        <v>0</v>
      </c>
    </row>
    <row r="533" spans="1:55">
      <c r="A533" s="837" t="str">
        <f t="shared" si="259"/>
        <v/>
      </c>
      <c r="B533" s="440"/>
      <c r="C533" s="834" t="str">
        <f t="shared" ca="1" si="260"/>
        <v/>
      </c>
      <c r="D533" s="1757" t="str">
        <f ca="1">IFERROR(VLOOKUP(LEFT(E533,4),Nom_activ_2!D:G,4,0),"")</f>
        <v/>
      </c>
      <c r="E533" s="1757" t="str">
        <f t="shared" ca="1" si="261"/>
        <v/>
      </c>
      <c r="F533" s="1777">
        <f t="shared" ca="1" si="288"/>
        <v>0</v>
      </c>
      <c r="G533" s="839">
        <f t="shared" ca="1" si="288"/>
        <v>0</v>
      </c>
      <c r="H533" s="840">
        <f t="shared" ca="1" si="288"/>
        <v>0</v>
      </c>
      <c r="I533" s="443"/>
      <c r="J533" s="838" t="str">
        <f t="shared" si="262"/>
        <v>!$A:$j</v>
      </c>
      <c r="K533" s="475">
        <f t="shared" ca="1" si="263"/>
        <v>0</v>
      </c>
      <c r="L533" s="480"/>
      <c r="M533" s="477">
        <f t="shared" si="264"/>
        <v>0</v>
      </c>
      <c r="N533" s="480"/>
      <c r="O533" s="477">
        <f t="shared" si="265"/>
        <v>0</v>
      </c>
      <c r="P533" s="480"/>
      <c r="Q533" s="477">
        <f t="shared" si="266"/>
        <v>0</v>
      </c>
      <c r="R533" s="480"/>
      <c r="S533" s="477">
        <f t="shared" ca="1" si="267"/>
        <v>0</v>
      </c>
      <c r="T533" s="475">
        <f t="shared" ca="1" si="268"/>
        <v>0</v>
      </c>
      <c r="U533" s="480"/>
      <c r="V533" s="477">
        <f t="shared" si="269"/>
        <v>0</v>
      </c>
      <c r="W533" s="480"/>
      <c r="X533" s="477">
        <f t="shared" si="270"/>
        <v>0</v>
      </c>
      <c r="Y533" s="480"/>
      <c r="Z533" s="477">
        <f t="shared" si="271"/>
        <v>0</v>
      </c>
      <c r="AA533" s="480"/>
      <c r="AB533" s="477">
        <f t="shared" ca="1" si="272"/>
        <v>0</v>
      </c>
      <c r="AC533" s="475">
        <f t="shared" ca="1" si="273"/>
        <v>0</v>
      </c>
      <c r="AD533" s="480"/>
      <c r="AE533" s="477">
        <f t="shared" si="274"/>
        <v>0</v>
      </c>
      <c r="AF533" s="480"/>
      <c r="AG533" s="477">
        <f t="shared" si="275"/>
        <v>0</v>
      </c>
      <c r="AH533" s="480"/>
      <c r="AI533" s="477">
        <f t="shared" si="276"/>
        <v>0</v>
      </c>
      <c r="AJ533" s="480"/>
      <c r="AK533" s="477">
        <f t="shared" ca="1" si="277"/>
        <v>0</v>
      </c>
      <c r="AL533" s="475">
        <f t="shared" ca="1" si="278"/>
        <v>0</v>
      </c>
      <c r="AM533" s="480"/>
      <c r="AN533" s="477">
        <f t="shared" si="279"/>
        <v>0</v>
      </c>
      <c r="AO533" s="480"/>
      <c r="AP533" s="477">
        <f t="shared" si="280"/>
        <v>0</v>
      </c>
      <c r="AQ533" s="480"/>
      <c r="AR533" s="477">
        <f t="shared" si="281"/>
        <v>0</v>
      </c>
      <c r="AS533" s="480"/>
      <c r="AT533" s="477">
        <f t="shared" ca="1" si="282"/>
        <v>0</v>
      </c>
      <c r="AU533" s="475">
        <f t="shared" ca="1" si="283"/>
        <v>0</v>
      </c>
      <c r="AV533" s="480"/>
      <c r="AW533" s="477">
        <f t="shared" si="284"/>
        <v>0</v>
      </c>
      <c r="AX533" s="480"/>
      <c r="AY533" s="477">
        <f t="shared" si="285"/>
        <v>0</v>
      </c>
      <c r="AZ533" s="480"/>
      <c r="BA533" s="477">
        <f t="shared" si="286"/>
        <v>0</v>
      </c>
      <c r="BB533" s="480"/>
      <c r="BC533" s="850">
        <f t="shared" ca="1" si="287"/>
        <v>0</v>
      </c>
    </row>
    <row r="534" spans="1:55">
      <c r="A534" s="837" t="str">
        <f t="shared" si="259"/>
        <v/>
      </c>
      <c r="B534" s="440"/>
      <c r="C534" s="834" t="str">
        <f t="shared" ca="1" si="260"/>
        <v/>
      </c>
      <c r="D534" s="1757" t="str">
        <f ca="1">IFERROR(VLOOKUP(LEFT(E534,4),Nom_activ_2!D:G,4,0),"")</f>
        <v/>
      </c>
      <c r="E534" s="1757" t="str">
        <f t="shared" ca="1" si="261"/>
        <v/>
      </c>
      <c r="F534" s="1777">
        <f t="shared" ca="1" si="288"/>
        <v>0</v>
      </c>
      <c r="G534" s="839">
        <f t="shared" ca="1" si="288"/>
        <v>0</v>
      </c>
      <c r="H534" s="840">
        <f t="shared" ca="1" si="288"/>
        <v>0</v>
      </c>
      <c r="I534" s="443"/>
      <c r="J534" s="838" t="str">
        <f t="shared" si="262"/>
        <v>!$A:$j</v>
      </c>
      <c r="K534" s="475">
        <f t="shared" ca="1" si="263"/>
        <v>0</v>
      </c>
      <c r="L534" s="480"/>
      <c r="M534" s="477">
        <f t="shared" si="264"/>
        <v>0</v>
      </c>
      <c r="N534" s="480"/>
      <c r="O534" s="477">
        <f t="shared" si="265"/>
        <v>0</v>
      </c>
      <c r="P534" s="480"/>
      <c r="Q534" s="477">
        <f t="shared" si="266"/>
        <v>0</v>
      </c>
      <c r="R534" s="480"/>
      <c r="S534" s="477">
        <f t="shared" ca="1" si="267"/>
        <v>0</v>
      </c>
      <c r="T534" s="475">
        <f t="shared" ca="1" si="268"/>
        <v>0</v>
      </c>
      <c r="U534" s="480"/>
      <c r="V534" s="477">
        <f t="shared" si="269"/>
        <v>0</v>
      </c>
      <c r="W534" s="480"/>
      <c r="X534" s="477">
        <f t="shared" si="270"/>
        <v>0</v>
      </c>
      <c r="Y534" s="480"/>
      <c r="Z534" s="477">
        <f t="shared" si="271"/>
        <v>0</v>
      </c>
      <c r="AA534" s="480"/>
      <c r="AB534" s="477">
        <f t="shared" ca="1" si="272"/>
        <v>0</v>
      </c>
      <c r="AC534" s="475">
        <f t="shared" ca="1" si="273"/>
        <v>0</v>
      </c>
      <c r="AD534" s="480"/>
      <c r="AE534" s="477">
        <f t="shared" si="274"/>
        <v>0</v>
      </c>
      <c r="AF534" s="480"/>
      <c r="AG534" s="477">
        <f t="shared" si="275"/>
        <v>0</v>
      </c>
      <c r="AH534" s="480"/>
      <c r="AI534" s="477">
        <f t="shared" si="276"/>
        <v>0</v>
      </c>
      <c r="AJ534" s="480"/>
      <c r="AK534" s="477">
        <f t="shared" ca="1" si="277"/>
        <v>0</v>
      </c>
      <c r="AL534" s="475">
        <f t="shared" ca="1" si="278"/>
        <v>0</v>
      </c>
      <c r="AM534" s="480"/>
      <c r="AN534" s="477">
        <f t="shared" si="279"/>
        <v>0</v>
      </c>
      <c r="AO534" s="480"/>
      <c r="AP534" s="477">
        <f t="shared" si="280"/>
        <v>0</v>
      </c>
      <c r="AQ534" s="480"/>
      <c r="AR534" s="477">
        <f t="shared" si="281"/>
        <v>0</v>
      </c>
      <c r="AS534" s="480"/>
      <c r="AT534" s="477">
        <f t="shared" ca="1" si="282"/>
        <v>0</v>
      </c>
      <c r="AU534" s="475">
        <f t="shared" ca="1" si="283"/>
        <v>0</v>
      </c>
      <c r="AV534" s="480"/>
      <c r="AW534" s="477">
        <f t="shared" si="284"/>
        <v>0</v>
      </c>
      <c r="AX534" s="480"/>
      <c r="AY534" s="477">
        <f t="shared" si="285"/>
        <v>0</v>
      </c>
      <c r="AZ534" s="480"/>
      <c r="BA534" s="477">
        <f t="shared" si="286"/>
        <v>0</v>
      </c>
      <c r="BB534" s="480"/>
      <c r="BC534" s="850">
        <f t="shared" ca="1" si="287"/>
        <v>0</v>
      </c>
    </row>
    <row r="535" spans="1:55">
      <c r="A535" s="837" t="str">
        <f t="shared" si="259"/>
        <v/>
      </c>
      <c r="B535" s="440"/>
      <c r="C535" s="834" t="str">
        <f t="shared" ca="1" si="260"/>
        <v/>
      </c>
      <c r="D535" s="1757" t="str">
        <f ca="1">IFERROR(VLOOKUP(LEFT(E535,4),Nom_activ_2!D:G,4,0),"")</f>
        <v/>
      </c>
      <c r="E535" s="1757" t="str">
        <f t="shared" ca="1" si="261"/>
        <v/>
      </c>
      <c r="F535" s="1777">
        <f t="shared" ca="1" si="288"/>
        <v>0</v>
      </c>
      <c r="G535" s="839">
        <f t="shared" ca="1" si="288"/>
        <v>0</v>
      </c>
      <c r="H535" s="840">
        <f t="shared" ca="1" si="288"/>
        <v>0</v>
      </c>
      <c r="I535" s="443"/>
      <c r="J535" s="838" t="str">
        <f t="shared" si="262"/>
        <v>!$A:$j</v>
      </c>
      <c r="K535" s="475">
        <f t="shared" ca="1" si="263"/>
        <v>0</v>
      </c>
      <c r="L535" s="480"/>
      <c r="M535" s="477">
        <f t="shared" si="264"/>
        <v>0</v>
      </c>
      <c r="N535" s="480"/>
      <c r="O535" s="477">
        <f t="shared" si="265"/>
        <v>0</v>
      </c>
      <c r="P535" s="480"/>
      <c r="Q535" s="477">
        <f t="shared" si="266"/>
        <v>0</v>
      </c>
      <c r="R535" s="480"/>
      <c r="S535" s="477">
        <f t="shared" ca="1" si="267"/>
        <v>0</v>
      </c>
      <c r="T535" s="475">
        <f t="shared" ca="1" si="268"/>
        <v>0</v>
      </c>
      <c r="U535" s="480"/>
      <c r="V535" s="477">
        <f t="shared" si="269"/>
        <v>0</v>
      </c>
      <c r="W535" s="480"/>
      <c r="X535" s="477">
        <f t="shared" si="270"/>
        <v>0</v>
      </c>
      <c r="Y535" s="480"/>
      <c r="Z535" s="477">
        <f t="shared" si="271"/>
        <v>0</v>
      </c>
      <c r="AA535" s="480"/>
      <c r="AB535" s="477">
        <f t="shared" ca="1" si="272"/>
        <v>0</v>
      </c>
      <c r="AC535" s="475">
        <f t="shared" ca="1" si="273"/>
        <v>0</v>
      </c>
      <c r="AD535" s="480"/>
      <c r="AE535" s="477">
        <f t="shared" si="274"/>
        <v>0</v>
      </c>
      <c r="AF535" s="480"/>
      <c r="AG535" s="477">
        <f t="shared" si="275"/>
        <v>0</v>
      </c>
      <c r="AH535" s="480"/>
      <c r="AI535" s="477">
        <f t="shared" si="276"/>
        <v>0</v>
      </c>
      <c r="AJ535" s="480"/>
      <c r="AK535" s="477">
        <f t="shared" ca="1" si="277"/>
        <v>0</v>
      </c>
      <c r="AL535" s="475">
        <f t="shared" ca="1" si="278"/>
        <v>0</v>
      </c>
      <c r="AM535" s="480"/>
      <c r="AN535" s="477">
        <f t="shared" si="279"/>
        <v>0</v>
      </c>
      <c r="AO535" s="480"/>
      <c r="AP535" s="477">
        <f t="shared" si="280"/>
        <v>0</v>
      </c>
      <c r="AQ535" s="480"/>
      <c r="AR535" s="477">
        <f t="shared" si="281"/>
        <v>0</v>
      </c>
      <c r="AS535" s="480"/>
      <c r="AT535" s="477">
        <f t="shared" ca="1" si="282"/>
        <v>0</v>
      </c>
      <c r="AU535" s="475">
        <f t="shared" ca="1" si="283"/>
        <v>0</v>
      </c>
      <c r="AV535" s="480"/>
      <c r="AW535" s="477">
        <f t="shared" si="284"/>
        <v>0</v>
      </c>
      <c r="AX535" s="480"/>
      <c r="AY535" s="477">
        <f t="shared" si="285"/>
        <v>0</v>
      </c>
      <c r="AZ535" s="480"/>
      <c r="BA535" s="477">
        <f t="shared" si="286"/>
        <v>0</v>
      </c>
      <c r="BB535" s="480"/>
      <c r="BC535" s="850">
        <f t="shared" ca="1" si="287"/>
        <v>0</v>
      </c>
    </row>
    <row r="536" spans="1:55">
      <c r="A536" s="837" t="str">
        <f t="shared" si="259"/>
        <v/>
      </c>
      <c r="B536" s="440"/>
      <c r="C536" s="834" t="str">
        <f t="shared" ca="1" si="260"/>
        <v/>
      </c>
      <c r="D536" s="1757" t="str">
        <f ca="1">IFERROR(VLOOKUP(LEFT(E536,4),Nom_activ_2!D:G,4,0),"")</f>
        <v/>
      </c>
      <c r="E536" s="1757" t="str">
        <f t="shared" ca="1" si="261"/>
        <v/>
      </c>
      <c r="F536" s="1777">
        <f t="shared" ca="1" si="288"/>
        <v>0</v>
      </c>
      <c r="G536" s="839">
        <f t="shared" ca="1" si="288"/>
        <v>0</v>
      </c>
      <c r="H536" s="840">
        <f t="shared" ca="1" si="288"/>
        <v>0</v>
      </c>
      <c r="I536" s="443"/>
      <c r="J536" s="838" t="str">
        <f t="shared" si="262"/>
        <v>!$A:$j</v>
      </c>
      <c r="K536" s="475">
        <f t="shared" ca="1" si="263"/>
        <v>0</v>
      </c>
      <c r="L536" s="480"/>
      <c r="M536" s="477">
        <f t="shared" si="264"/>
        <v>0</v>
      </c>
      <c r="N536" s="480"/>
      <c r="O536" s="477">
        <f t="shared" si="265"/>
        <v>0</v>
      </c>
      <c r="P536" s="480"/>
      <c r="Q536" s="477">
        <f t="shared" si="266"/>
        <v>0</v>
      </c>
      <c r="R536" s="480"/>
      <c r="S536" s="477">
        <f t="shared" ca="1" si="267"/>
        <v>0</v>
      </c>
      <c r="T536" s="475">
        <f t="shared" ca="1" si="268"/>
        <v>0</v>
      </c>
      <c r="U536" s="480"/>
      <c r="V536" s="477">
        <f t="shared" si="269"/>
        <v>0</v>
      </c>
      <c r="W536" s="480"/>
      <c r="X536" s="477">
        <f t="shared" si="270"/>
        <v>0</v>
      </c>
      <c r="Y536" s="480"/>
      <c r="Z536" s="477">
        <f t="shared" si="271"/>
        <v>0</v>
      </c>
      <c r="AA536" s="480"/>
      <c r="AB536" s="477">
        <f t="shared" ca="1" si="272"/>
        <v>0</v>
      </c>
      <c r="AC536" s="475">
        <f t="shared" ca="1" si="273"/>
        <v>0</v>
      </c>
      <c r="AD536" s="480"/>
      <c r="AE536" s="477">
        <f t="shared" si="274"/>
        <v>0</v>
      </c>
      <c r="AF536" s="480"/>
      <c r="AG536" s="477">
        <f t="shared" si="275"/>
        <v>0</v>
      </c>
      <c r="AH536" s="480"/>
      <c r="AI536" s="477">
        <f t="shared" si="276"/>
        <v>0</v>
      </c>
      <c r="AJ536" s="480"/>
      <c r="AK536" s="477">
        <f t="shared" ca="1" si="277"/>
        <v>0</v>
      </c>
      <c r="AL536" s="475">
        <f t="shared" ca="1" si="278"/>
        <v>0</v>
      </c>
      <c r="AM536" s="480"/>
      <c r="AN536" s="477">
        <f t="shared" si="279"/>
        <v>0</v>
      </c>
      <c r="AO536" s="480"/>
      <c r="AP536" s="477">
        <f t="shared" si="280"/>
        <v>0</v>
      </c>
      <c r="AQ536" s="480"/>
      <c r="AR536" s="477">
        <f t="shared" si="281"/>
        <v>0</v>
      </c>
      <c r="AS536" s="480"/>
      <c r="AT536" s="477">
        <f t="shared" ca="1" si="282"/>
        <v>0</v>
      </c>
      <c r="AU536" s="475">
        <f t="shared" ca="1" si="283"/>
        <v>0</v>
      </c>
      <c r="AV536" s="480"/>
      <c r="AW536" s="477">
        <f t="shared" si="284"/>
        <v>0</v>
      </c>
      <c r="AX536" s="480"/>
      <c r="AY536" s="477">
        <f t="shared" si="285"/>
        <v>0</v>
      </c>
      <c r="AZ536" s="480"/>
      <c r="BA536" s="477">
        <f t="shared" si="286"/>
        <v>0</v>
      </c>
      <c r="BB536" s="480"/>
      <c r="BC536" s="850">
        <f t="shared" ca="1" si="287"/>
        <v>0</v>
      </c>
    </row>
    <row r="537" spans="1:55">
      <c r="A537" s="837" t="str">
        <f t="shared" si="259"/>
        <v/>
      </c>
      <c r="B537" s="440"/>
      <c r="C537" s="834" t="str">
        <f t="shared" ca="1" si="260"/>
        <v/>
      </c>
      <c r="D537" s="1757" t="str">
        <f ca="1">IFERROR(VLOOKUP(LEFT(E537,4),Nom_activ_2!D:G,4,0),"")</f>
        <v/>
      </c>
      <c r="E537" s="1757" t="str">
        <f t="shared" ca="1" si="261"/>
        <v/>
      </c>
      <c r="F537" s="1777">
        <f t="shared" ca="1" si="288"/>
        <v>0</v>
      </c>
      <c r="G537" s="839">
        <f t="shared" ca="1" si="288"/>
        <v>0</v>
      </c>
      <c r="H537" s="840">
        <f t="shared" ca="1" si="288"/>
        <v>0</v>
      </c>
      <c r="I537" s="443"/>
      <c r="J537" s="838" t="str">
        <f t="shared" si="262"/>
        <v>!$A:$j</v>
      </c>
      <c r="K537" s="475">
        <f t="shared" ca="1" si="263"/>
        <v>0</v>
      </c>
      <c r="L537" s="480"/>
      <c r="M537" s="477">
        <f t="shared" si="264"/>
        <v>0</v>
      </c>
      <c r="N537" s="480"/>
      <c r="O537" s="477">
        <f t="shared" si="265"/>
        <v>0</v>
      </c>
      <c r="P537" s="480"/>
      <c r="Q537" s="477">
        <f t="shared" si="266"/>
        <v>0</v>
      </c>
      <c r="R537" s="480"/>
      <c r="S537" s="477">
        <f t="shared" ca="1" si="267"/>
        <v>0</v>
      </c>
      <c r="T537" s="475">
        <f t="shared" ca="1" si="268"/>
        <v>0</v>
      </c>
      <c r="U537" s="480"/>
      <c r="V537" s="477">
        <f t="shared" si="269"/>
        <v>0</v>
      </c>
      <c r="W537" s="480"/>
      <c r="X537" s="477">
        <f t="shared" si="270"/>
        <v>0</v>
      </c>
      <c r="Y537" s="480"/>
      <c r="Z537" s="477">
        <f t="shared" si="271"/>
        <v>0</v>
      </c>
      <c r="AA537" s="480"/>
      <c r="AB537" s="477">
        <f t="shared" ca="1" si="272"/>
        <v>0</v>
      </c>
      <c r="AC537" s="475">
        <f t="shared" ca="1" si="273"/>
        <v>0</v>
      </c>
      <c r="AD537" s="480"/>
      <c r="AE537" s="477">
        <f t="shared" si="274"/>
        <v>0</v>
      </c>
      <c r="AF537" s="480"/>
      <c r="AG537" s="477">
        <f t="shared" si="275"/>
        <v>0</v>
      </c>
      <c r="AH537" s="480"/>
      <c r="AI537" s="477">
        <f t="shared" si="276"/>
        <v>0</v>
      </c>
      <c r="AJ537" s="480"/>
      <c r="AK537" s="477">
        <f t="shared" ca="1" si="277"/>
        <v>0</v>
      </c>
      <c r="AL537" s="475">
        <f t="shared" ca="1" si="278"/>
        <v>0</v>
      </c>
      <c r="AM537" s="480"/>
      <c r="AN537" s="477">
        <f t="shared" si="279"/>
        <v>0</v>
      </c>
      <c r="AO537" s="480"/>
      <c r="AP537" s="477">
        <f t="shared" si="280"/>
        <v>0</v>
      </c>
      <c r="AQ537" s="480"/>
      <c r="AR537" s="477">
        <f t="shared" si="281"/>
        <v>0</v>
      </c>
      <c r="AS537" s="480"/>
      <c r="AT537" s="477">
        <f t="shared" ca="1" si="282"/>
        <v>0</v>
      </c>
      <c r="AU537" s="475">
        <f t="shared" ca="1" si="283"/>
        <v>0</v>
      </c>
      <c r="AV537" s="480"/>
      <c r="AW537" s="477">
        <f t="shared" si="284"/>
        <v>0</v>
      </c>
      <c r="AX537" s="480"/>
      <c r="AY537" s="477">
        <f t="shared" si="285"/>
        <v>0</v>
      </c>
      <c r="AZ537" s="480"/>
      <c r="BA537" s="477">
        <f t="shared" si="286"/>
        <v>0</v>
      </c>
      <c r="BB537" s="480"/>
      <c r="BC537" s="850">
        <f t="shared" ca="1" si="287"/>
        <v>0</v>
      </c>
    </row>
    <row r="538" spans="1:55">
      <c r="A538" s="837" t="str">
        <f t="shared" si="259"/>
        <v/>
      </c>
      <c r="B538" s="440"/>
      <c r="C538" s="834" t="str">
        <f t="shared" ca="1" si="260"/>
        <v/>
      </c>
      <c r="D538" s="1757" t="str">
        <f ca="1">IFERROR(VLOOKUP(LEFT(E538,4),Nom_activ_2!D:G,4,0),"")</f>
        <v/>
      </c>
      <c r="E538" s="1757" t="str">
        <f t="shared" ca="1" si="261"/>
        <v/>
      </c>
      <c r="F538" s="1777">
        <f t="shared" ca="1" si="288"/>
        <v>0</v>
      </c>
      <c r="G538" s="839">
        <f t="shared" ca="1" si="288"/>
        <v>0</v>
      </c>
      <c r="H538" s="840">
        <f t="shared" ca="1" si="288"/>
        <v>0</v>
      </c>
      <c r="I538" s="443"/>
      <c r="J538" s="838" t="str">
        <f t="shared" si="262"/>
        <v>!$A:$j</v>
      </c>
      <c r="K538" s="475">
        <f t="shared" ca="1" si="263"/>
        <v>0</v>
      </c>
      <c r="L538" s="480"/>
      <c r="M538" s="477">
        <f t="shared" si="264"/>
        <v>0</v>
      </c>
      <c r="N538" s="480"/>
      <c r="O538" s="477">
        <f t="shared" si="265"/>
        <v>0</v>
      </c>
      <c r="P538" s="480"/>
      <c r="Q538" s="477">
        <f t="shared" si="266"/>
        <v>0</v>
      </c>
      <c r="R538" s="480"/>
      <c r="S538" s="477">
        <f t="shared" ca="1" si="267"/>
        <v>0</v>
      </c>
      <c r="T538" s="475">
        <f t="shared" ca="1" si="268"/>
        <v>0</v>
      </c>
      <c r="U538" s="480"/>
      <c r="V538" s="477">
        <f t="shared" si="269"/>
        <v>0</v>
      </c>
      <c r="W538" s="480"/>
      <c r="X538" s="477">
        <f t="shared" si="270"/>
        <v>0</v>
      </c>
      <c r="Y538" s="480"/>
      <c r="Z538" s="477">
        <f t="shared" si="271"/>
        <v>0</v>
      </c>
      <c r="AA538" s="480"/>
      <c r="AB538" s="477">
        <f t="shared" ca="1" si="272"/>
        <v>0</v>
      </c>
      <c r="AC538" s="475">
        <f t="shared" ca="1" si="273"/>
        <v>0</v>
      </c>
      <c r="AD538" s="480"/>
      <c r="AE538" s="477">
        <f t="shared" si="274"/>
        <v>0</v>
      </c>
      <c r="AF538" s="480"/>
      <c r="AG538" s="477">
        <f t="shared" si="275"/>
        <v>0</v>
      </c>
      <c r="AH538" s="480"/>
      <c r="AI538" s="477">
        <f t="shared" si="276"/>
        <v>0</v>
      </c>
      <c r="AJ538" s="480"/>
      <c r="AK538" s="477">
        <f t="shared" ca="1" si="277"/>
        <v>0</v>
      </c>
      <c r="AL538" s="475">
        <f t="shared" ca="1" si="278"/>
        <v>0</v>
      </c>
      <c r="AM538" s="480"/>
      <c r="AN538" s="477">
        <f t="shared" si="279"/>
        <v>0</v>
      </c>
      <c r="AO538" s="480"/>
      <c r="AP538" s="477">
        <f t="shared" si="280"/>
        <v>0</v>
      </c>
      <c r="AQ538" s="480"/>
      <c r="AR538" s="477">
        <f t="shared" si="281"/>
        <v>0</v>
      </c>
      <c r="AS538" s="480"/>
      <c r="AT538" s="477">
        <f t="shared" ca="1" si="282"/>
        <v>0</v>
      </c>
      <c r="AU538" s="475">
        <f t="shared" ca="1" si="283"/>
        <v>0</v>
      </c>
      <c r="AV538" s="480"/>
      <c r="AW538" s="477">
        <f t="shared" si="284"/>
        <v>0</v>
      </c>
      <c r="AX538" s="480"/>
      <c r="AY538" s="477">
        <f t="shared" si="285"/>
        <v>0</v>
      </c>
      <c r="AZ538" s="480"/>
      <c r="BA538" s="477">
        <f t="shared" si="286"/>
        <v>0</v>
      </c>
      <c r="BB538" s="480"/>
      <c r="BC538" s="850">
        <f t="shared" ca="1" si="287"/>
        <v>0</v>
      </c>
    </row>
    <row r="539" spans="1:55">
      <c r="A539" s="837" t="str">
        <f t="shared" si="259"/>
        <v/>
      </c>
      <c r="B539" s="440"/>
      <c r="C539" s="834" t="str">
        <f t="shared" ca="1" si="260"/>
        <v/>
      </c>
      <c r="D539" s="1757" t="str">
        <f ca="1">IFERROR(VLOOKUP(LEFT(E539,4),Nom_activ_2!D:G,4,0),"")</f>
        <v/>
      </c>
      <c r="E539" s="1757" t="str">
        <f t="shared" ca="1" si="261"/>
        <v/>
      </c>
      <c r="F539" s="1777">
        <f t="shared" ca="1" si="288"/>
        <v>0</v>
      </c>
      <c r="G539" s="839">
        <f t="shared" ca="1" si="288"/>
        <v>0</v>
      </c>
      <c r="H539" s="840">
        <f t="shared" ca="1" si="288"/>
        <v>0</v>
      </c>
      <c r="I539" s="443"/>
      <c r="J539" s="838" t="str">
        <f t="shared" si="262"/>
        <v>!$A:$j</v>
      </c>
      <c r="K539" s="475">
        <f t="shared" ca="1" si="263"/>
        <v>0</v>
      </c>
      <c r="L539" s="480"/>
      <c r="M539" s="477">
        <f t="shared" si="264"/>
        <v>0</v>
      </c>
      <c r="N539" s="480"/>
      <c r="O539" s="477">
        <f t="shared" si="265"/>
        <v>0</v>
      </c>
      <c r="P539" s="480"/>
      <c r="Q539" s="477">
        <f t="shared" si="266"/>
        <v>0</v>
      </c>
      <c r="R539" s="480"/>
      <c r="S539" s="477">
        <f t="shared" ca="1" si="267"/>
        <v>0</v>
      </c>
      <c r="T539" s="475">
        <f t="shared" ca="1" si="268"/>
        <v>0</v>
      </c>
      <c r="U539" s="480"/>
      <c r="V539" s="477">
        <f t="shared" si="269"/>
        <v>0</v>
      </c>
      <c r="W539" s="480"/>
      <c r="X539" s="477">
        <f t="shared" si="270"/>
        <v>0</v>
      </c>
      <c r="Y539" s="480"/>
      <c r="Z539" s="477">
        <f t="shared" si="271"/>
        <v>0</v>
      </c>
      <c r="AA539" s="480"/>
      <c r="AB539" s="477">
        <f t="shared" ca="1" si="272"/>
        <v>0</v>
      </c>
      <c r="AC539" s="475">
        <f t="shared" ca="1" si="273"/>
        <v>0</v>
      </c>
      <c r="AD539" s="480"/>
      <c r="AE539" s="477">
        <f t="shared" si="274"/>
        <v>0</v>
      </c>
      <c r="AF539" s="480"/>
      <c r="AG539" s="477">
        <f t="shared" si="275"/>
        <v>0</v>
      </c>
      <c r="AH539" s="480"/>
      <c r="AI539" s="477">
        <f t="shared" si="276"/>
        <v>0</v>
      </c>
      <c r="AJ539" s="480"/>
      <c r="AK539" s="477">
        <f t="shared" ca="1" si="277"/>
        <v>0</v>
      </c>
      <c r="AL539" s="475">
        <f t="shared" ca="1" si="278"/>
        <v>0</v>
      </c>
      <c r="AM539" s="480"/>
      <c r="AN539" s="477">
        <f t="shared" si="279"/>
        <v>0</v>
      </c>
      <c r="AO539" s="480"/>
      <c r="AP539" s="477">
        <f t="shared" si="280"/>
        <v>0</v>
      </c>
      <c r="AQ539" s="480"/>
      <c r="AR539" s="477">
        <f t="shared" si="281"/>
        <v>0</v>
      </c>
      <c r="AS539" s="480"/>
      <c r="AT539" s="477">
        <f t="shared" ca="1" si="282"/>
        <v>0</v>
      </c>
      <c r="AU539" s="475">
        <f t="shared" ca="1" si="283"/>
        <v>0</v>
      </c>
      <c r="AV539" s="480"/>
      <c r="AW539" s="477">
        <f t="shared" si="284"/>
        <v>0</v>
      </c>
      <c r="AX539" s="480"/>
      <c r="AY539" s="477">
        <f t="shared" si="285"/>
        <v>0</v>
      </c>
      <c r="AZ539" s="480"/>
      <c r="BA539" s="477">
        <f t="shared" si="286"/>
        <v>0</v>
      </c>
      <c r="BB539" s="480"/>
      <c r="BC539" s="850">
        <f t="shared" ca="1" si="287"/>
        <v>0</v>
      </c>
    </row>
    <row r="540" spans="1:55">
      <c r="A540" s="837" t="str">
        <f t="shared" si="259"/>
        <v/>
      </c>
      <c r="B540" s="440"/>
      <c r="C540" s="834" t="str">
        <f t="shared" ca="1" si="260"/>
        <v/>
      </c>
      <c r="D540" s="1757" t="str">
        <f ca="1">IFERROR(VLOOKUP(LEFT(E540,4),Nom_activ_2!D:G,4,0),"")</f>
        <v/>
      </c>
      <c r="E540" s="1757" t="str">
        <f t="shared" ca="1" si="261"/>
        <v/>
      </c>
      <c r="F540" s="1777">
        <f t="shared" ca="1" si="288"/>
        <v>0</v>
      </c>
      <c r="G540" s="839">
        <f t="shared" ca="1" si="288"/>
        <v>0</v>
      </c>
      <c r="H540" s="840">
        <f t="shared" ca="1" si="288"/>
        <v>0</v>
      </c>
      <c r="I540" s="443"/>
      <c r="J540" s="838" t="str">
        <f t="shared" si="262"/>
        <v>!$A:$j</v>
      </c>
      <c r="K540" s="475">
        <f t="shared" ca="1" si="263"/>
        <v>0</v>
      </c>
      <c r="L540" s="480"/>
      <c r="M540" s="477">
        <f t="shared" si="264"/>
        <v>0</v>
      </c>
      <c r="N540" s="480"/>
      <c r="O540" s="477">
        <f t="shared" si="265"/>
        <v>0</v>
      </c>
      <c r="P540" s="480"/>
      <c r="Q540" s="477">
        <f t="shared" si="266"/>
        <v>0</v>
      </c>
      <c r="R540" s="480"/>
      <c r="S540" s="477">
        <f t="shared" ca="1" si="267"/>
        <v>0</v>
      </c>
      <c r="T540" s="475">
        <f t="shared" ca="1" si="268"/>
        <v>0</v>
      </c>
      <c r="U540" s="480"/>
      <c r="V540" s="477">
        <f t="shared" si="269"/>
        <v>0</v>
      </c>
      <c r="W540" s="480"/>
      <c r="X540" s="477">
        <f t="shared" si="270"/>
        <v>0</v>
      </c>
      <c r="Y540" s="480"/>
      <c r="Z540" s="477">
        <f t="shared" si="271"/>
        <v>0</v>
      </c>
      <c r="AA540" s="480"/>
      <c r="AB540" s="477">
        <f t="shared" ca="1" si="272"/>
        <v>0</v>
      </c>
      <c r="AC540" s="475">
        <f t="shared" ca="1" si="273"/>
        <v>0</v>
      </c>
      <c r="AD540" s="480"/>
      <c r="AE540" s="477">
        <f t="shared" si="274"/>
        <v>0</v>
      </c>
      <c r="AF540" s="480"/>
      <c r="AG540" s="477">
        <f t="shared" si="275"/>
        <v>0</v>
      </c>
      <c r="AH540" s="480"/>
      <c r="AI540" s="477">
        <f t="shared" si="276"/>
        <v>0</v>
      </c>
      <c r="AJ540" s="480"/>
      <c r="AK540" s="477">
        <f t="shared" ca="1" si="277"/>
        <v>0</v>
      </c>
      <c r="AL540" s="475">
        <f t="shared" ca="1" si="278"/>
        <v>0</v>
      </c>
      <c r="AM540" s="480"/>
      <c r="AN540" s="477">
        <f t="shared" si="279"/>
        <v>0</v>
      </c>
      <c r="AO540" s="480"/>
      <c r="AP540" s="477">
        <f t="shared" si="280"/>
        <v>0</v>
      </c>
      <c r="AQ540" s="480"/>
      <c r="AR540" s="477">
        <f t="shared" si="281"/>
        <v>0</v>
      </c>
      <c r="AS540" s="480"/>
      <c r="AT540" s="477">
        <f t="shared" ca="1" si="282"/>
        <v>0</v>
      </c>
      <c r="AU540" s="475">
        <f t="shared" ca="1" si="283"/>
        <v>0</v>
      </c>
      <c r="AV540" s="480"/>
      <c r="AW540" s="477">
        <f t="shared" si="284"/>
        <v>0</v>
      </c>
      <c r="AX540" s="480"/>
      <c r="AY540" s="477">
        <f t="shared" si="285"/>
        <v>0</v>
      </c>
      <c r="AZ540" s="480"/>
      <c r="BA540" s="477">
        <f t="shared" si="286"/>
        <v>0</v>
      </c>
      <c r="BB540" s="480"/>
      <c r="BC540" s="850">
        <f t="shared" ca="1" si="287"/>
        <v>0</v>
      </c>
    </row>
    <row r="541" spans="1:55">
      <c r="A541" s="837" t="str">
        <f t="shared" si="259"/>
        <v/>
      </c>
      <c r="B541" s="440"/>
      <c r="C541" s="834" t="str">
        <f t="shared" ca="1" si="260"/>
        <v/>
      </c>
      <c r="D541" s="1757" t="str">
        <f ca="1">IFERROR(VLOOKUP(LEFT(E541,4),Nom_activ_2!D:G,4,0),"")</f>
        <v/>
      </c>
      <c r="E541" s="1757" t="str">
        <f t="shared" ca="1" si="261"/>
        <v/>
      </c>
      <c r="F541" s="1777">
        <f t="shared" ca="1" si="288"/>
        <v>0</v>
      </c>
      <c r="G541" s="839">
        <f t="shared" ca="1" si="288"/>
        <v>0</v>
      </c>
      <c r="H541" s="840">
        <f t="shared" ca="1" si="288"/>
        <v>0</v>
      </c>
      <c r="I541" s="443"/>
      <c r="J541" s="838" t="str">
        <f t="shared" si="262"/>
        <v>!$A:$j</v>
      </c>
      <c r="K541" s="475">
        <f t="shared" ca="1" si="263"/>
        <v>0</v>
      </c>
      <c r="L541" s="480"/>
      <c r="M541" s="477">
        <f t="shared" si="264"/>
        <v>0</v>
      </c>
      <c r="N541" s="480"/>
      <c r="O541" s="477">
        <f t="shared" si="265"/>
        <v>0</v>
      </c>
      <c r="P541" s="480"/>
      <c r="Q541" s="477">
        <f t="shared" si="266"/>
        <v>0</v>
      </c>
      <c r="R541" s="480"/>
      <c r="S541" s="477">
        <f t="shared" ca="1" si="267"/>
        <v>0</v>
      </c>
      <c r="T541" s="475">
        <f t="shared" ca="1" si="268"/>
        <v>0</v>
      </c>
      <c r="U541" s="480"/>
      <c r="V541" s="477">
        <f t="shared" si="269"/>
        <v>0</v>
      </c>
      <c r="W541" s="480"/>
      <c r="X541" s="477">
        <f t="shared" si="270"/>
        <v>0</v>
      </c>
      <c r="Y541" s="480"/>
      <c r="Z541" s="477">
        <f t="shared" si="271"/>
        <v>0</v>
      </c>
      <c r="AA541" s="480"/>
      <c r="AB541" s="477">
        <f t="shared" ca="1" si="272"/>
        <v>0</v>
      </c>
      <c r="AC541" s="475">
        <f t="shared" ca="1" si="273"/>
        <v>0</v>
      </c>
      <c r="AD541" s="480"/>
      <c r="AE541" s="477">
        <f t="shared" si="274"/>
        <v>0</v>
      </c>
      <c r="AF541" s="480"/>
      <c r="AG541" s="477">
        <f t="shared" si="275"/>
        <v>0</v>
      </c>
      <c r="AH541" s="480"/>
      <c r="AI541" s="477">
        <f t="shared" si="276"/>
        <v>0</v>
      </c>
      <c r="AJ541" s="480"/>
      <c r="AK541" s="477">
        <f t="shared" ca="1" si="277"/>
        <v>0</v>
      </c>
      <c r="AL541" s="475">
        <f t="shared" ca="1" si="278"/>
        <v>0</v>
      </c>
      <c r="AM541" s="480"/>
      <c r="AN541" s="477">
        <f t="shared" si="279"/>
        <v>0</v>
      </c>
      <c r="AO541" s="480"/>
      <c r="AP541" s="477">
        <f t="shared" si="280"/>
        <v>0</v>
      </c>
      <c r="AQ541" s="480"/>
      <c r="AR541" s="477">
        <f t="shared" si="281"/>
        <v>0</v>
      </c>
      <c r="AS541" s="480"/>
      <c r="AT541" s="477">
        <f t="shared" ca="1" si="282"/>
        <v>0</v>
      </c>
      <c r="AU541" s="475">
        <f t="shared" ca="1" si="283"/>
        <v>0</v>
      </c>
      <c r="AV541" s="480"/>
      <c r="AW541" s="477">
        <f t="shared" si="284"/>
        <v>0</v>
      </c>
      <c r="AX541" s="480"/>
      <c r="AY541" s="477">
        <f t="shared" si="285"/>
        <v>0</v>
      </c>
      <c r="AZ541" s="480"/>
      <c r="BA541" s="477">
        <f t="shared" si="286"/>
        <v>0</v>
      </c>
      <c r="BB541" s="480"/>
      <c r="BC541" s="850">
        <f t="shared" ca="1" si="287"/>
        <v>0</v>
      </c>
    </row>
    <row r="542" spans="1:55">
      <c r="A542" s="837" t="str">
        <f t="shared" si="259"/>
        <v/>
      </c>
      <c r="B542" s="440"/>
      <c r="C542" s="834" t="str">
        <f t="shared" ca="1" si="260"/>
        <v/>
      </c>
      <c r="D542" s="1757" t="str">
        <f ca="1">IFERROR(VLOOKUP(LEFT(E542,4),Nom_activ_2!D:G,4,0),"")</f>
        <v/>
      </c>
      <c r="E542" s="1757" t="str">
        <f t="shared" ca="1" si="261"/>
        <v/>
      </c>
      <c r="F542" s="1777">
        <f t="shared" ca="1" si="288"/>
        <v>0</v>
      </c>
      <c r="G542" s="839">
        <f t="shared" ca="1" si="288"/>
        <v>0</v>
      </c>
      <c r="H542" s="840">
        <f t="shared" ca="1" si="288"/>
        <v>0</v>
      </c>
      <c r="I542" s="443"/>
      <c r="J542" s="838" t="str">
        <f t="shared" si="262"/>
        <v>!$A:$j</v>
      </c>
      <c r="K542" s="475">
        <f t="shared" ca="1" si="263"/>
        <v>0</v>
      </c>
      <c r="L542" s="480"/>
      <c r="M542" s="477">
        <f t="shared" si="264"/>
        <v>0</v>
      </c>
      <c r="N542" s="480"/>
      <c r="O542" s="477">
        <f t="shared" si="265"/>
        <v>0</v>
      </c>
      <c r="P542" s="480"/>
      <c r="Q542" s="477">
        <f t="shared" si="266"/>
        <v>0</v>
      </c>
      <c r="R542" s="480"/>
      <c r="S542" s="477">
        <f t="shared" ca="1" si="267"/>
        <v>0</v>
      </c>
      <c r="T542" s="475">
        <f t="shared" ca="1" si="268"/>
        <v>0</v>
      </c>
      <c r="U542" s="480"/>
      <c r="V542" s="477">
        <f t="shared" si="269"/>
        <v>0</v>
      </c>
      <c r="W542" s="480"/>
      <c r="X542" s="477">
        <f t="shared" si="270"/>
        <v>0</v>
      </c>
      <c r="Y542" s="480"/>
      <c r="Z542" s="477">
        <f t="shared" si="271"/>
        <v>0</v>
      </c>
      <c r="AA542" s="480"/>
      <c r="AB542" s="477">
        <f t="shared" ca="1" si="272"/>
        <v>0</v>
      </c>
      <c r="AC542" s="475">
        <f t="shared" ca="1" si="273"/>
        <v>0</v>
      </c>
      <c r="AD542" s="480"/>
      <c r="AE542" s="477">
        <f t="shared" si="274"/>
        <v>0</v>
      </c>
      <c r="AF542" s="480"/>
      <c r="AG542" s="477">
        <f t="shared" si="275"/>
        <v>0</v>
      </c>
      <c r="AH542" s="480"/>
      <c r="AI542" s="477">
        <f t="shared" si="276"/>
        <v>0</v>
      </c>
      <c r="AJ542" s="480"/>
      <c r="AK542" s="477">
        <f t="shared" ca="1" si="277"/>
        <v>0</v>
      </c>
      <c r="AL542" s="475">
        <f t="shared" ca="1" si="278"/>
        <v>0</v>
      </c>
      <c r="AM542" s="480"/>
      <c r="AN542" s="477">
        <f t="shared" si="279"/>
        <v>0</v>
      </c>
      <c r="AO542" s="480"/>
      <c r="AP542" s="477">
        <f t="shared" si="280"/>
        <v>0</v>
      </c>
      <c r="AQ542" s="480"/>
      <c r="AR542" s="477">
        <f t="shared" si="281"/>
        <v>0</v>
      </c>
      <c r="AS542" s="480"/>
      <c r="AT542" s="477">
        <f t="shared" ca="1" si="282"/>
        <v>0</v>
      </c>
      <c r="AU542" s="475">
        <f t="shared" ca="1" si="283"/>
        <v>0</v>
      </c>
      <c r="AV542" s="480"/>
      <c r="AW542" s="477">
        <f t="shared" si="284"/>
        <v>0</v>
      </c>
      <c r="AX542" s="480"/>
      <c r="AY542" s="477">
        <f t="shared" si="285"/>
        <v>0</v>
      </c>
      <c r="AZ542" s="480"/>
      <c r="BA542" s="477">
        <f t="shared" si="286"/>
        <v>0</v>
      </c>
      <c r="BB542" s="480"/>
      <c r="BC542" s="850">
        <f t="shared" ca="1" si="287"/>
        <v>0</v>
      </c>
    </row>
    <row r="543" spans="1:55">
      <c r="A543" s="837" t="str">
        <f t="shared" si="259"/>
        <v/>
      </c>
      <c r="B543" s="440"/>
      <c r="C543" s="834" t="str">
        <f t="shared" ca="1" si="260"/>
        <v/>
      </c>
      <c r="D543" s="1757" t="str">
        <f ca="1">IFERROR(VLOOKUP(LEFT(E543,4),Nom_activ_2!D:G,4,0),"")</f>
        <v/>
      </c>
      <c r="E543" s="1757" t="str">
        <f t="shared" ca="1" si="261"/>
        <v/>
      </c>
      <c r="F543" s="1777">
        <f t="shared" ca="1" si="288"/>
        <v>0</v>
      </c>
      <c r="G543" s="839">
        <f t="shared" ca="1" si="288"/>
        <v>0</v>
      </c>
      <c r="H543" s="840">
        <f t="shared" ca="1" si="288"/>
        <v>0</v>
      </c>
      <c r="I543" s="443"/>
      <c r="J543" s="838" t="str">
        <f t="shared" si="262"/>
        <v>!$A:$j</v>
      </c>
      <c r="K543" s="475">
        <f t="shared" ca="1" si="263"/>
        <v>0</v>
      </c>
      <c r="L543" s="480"/>
      <c r="M543" s="477">
        <f t="shared" si="264"/>
        <v>0</v>
      </c>
      <c r="N543" s="480"/>
      <c r="O543" s="477">
        <f t="shared" si="265"/>
        <v>0</v>
      </c>
      <c r="P543" s="480"/>
      <c r="Q543" s="477">
        <f t="shared" si="266"/>
        <v>0</v>
      </c>
      <c r="R543" s="480"/>
      <c r="S543" s="477">
        <f t="shared" ca="1" si="267"/>
        <v>0</v>
      </c>
      <c r="T543" s="475">
        <f t="shared" ca="1" si="268"/>
        <v>0</v>
      </c>
      <c r="U543" s="480"/>
      <c r="V543" s="477">
        <f t="shared" si="269"/>
        <v>0</v>
      </c>
      <c r="W543" s="480"/>
      <c r="X543" s="477">
        <f t="shared" si="270"/>
        <v>0</v>
      </c>
      <c r="Y543" s="480"/>
      <c r="Z543" s="477">
        <f t="shared" si="271"/>
        <v>0</v>
      </c>
      <c r="AA543" s="480"/>
      <c r="AB543" s="477">
        <f t="shared" ca="1" si="272"/>
        <v>0</v>
      </c>
      <c r="AC543" s="475">
        <f t="shared" ca="1" si="273"/>
        <v>0</v>
      </c>
      <c r="AD543" s="480"/>
      <c r="AE543" s="477">
        <f t="shared" si="274"/>
        <v>0</v>
      </c>
      <c r="AF543" s="480"/>
      <c r="AG543" s="477">
        <f t="shared" si="275"/>
        <v>0</v>
      </c>
      <c r="AH543" s="480"/>
      <c r="AI543" s="477">
        <f t="shared" si="276"/>
        <v>0</v>
      </c>
      <c r="AJ543" s="480"/>
      <c r="AK543" s="477">
        <f t="shared" ca="1" si="277"/>
        <v>0</v>
      </c>
      <c r="AL543" s="475">
        <f t="shared" ca="1" si="278"/>
        <v>0</v>
      </c>
      <c r="AM543" s="480"/>
      <c r="AN543" s="477">
        <f t="shared" si="279"/>
        <v>0</v>
      </c>
      <c r="AO543" s="480"/>
      <c r="AP543" s="477">
        <f t="shared" si="280"/>
        <v>0</v>
      </c>
      <c r="AQ543" s="480"/>
      <c r="AR543" s="477">
        <f t="shared" si="281"/>
        <v>0</v>
      </c>
      <c r="AS543" s="480"/>
      <c r="AT543" s="477">
        <f t="shared" ca="1" si="282"/>
        <v>0</v>
      </c>
      <c r="AU543" s="475">
        <f t="shared" ca="1" si="283"/>
        <v>0</v>
      </c>
      <c r="AV543" s="480"/>
      <c r="AW543" s="477">
        <f t="shared" si="284"/>
        <v>0</v>
      </c>
      <c r="AX543" s="480"/>
      <c r="AY543" s="477">
        <f t="shared" si="285"/>
        <v>0</v>
      </c>
      <c r="AZ543" s="480"/>
      <c r="BA543" s="477">
        <f t="shared" si="286"/>
        <v>0</v>
      </c>
      <c r="BB543" s="480"/>
      <c r="BC543" s="850">
        <f t="shared" ca="1" si="287"/>
        <v>0</v>
      </c>
    </row>
    <row r="544" spans="1:55">
      <c r="A544" s="837" t="str">
        <f t="shared" si="259"/>
        <v/>
      </c>
      <c r="B544" s="440"/>
      <c r="C544" s="834" t="str">
        <f t="shared" ca="1" si="260"/>
        <v/>
      </c>
      <c r="D544" s="1757" t="str">
        <f ca="1">IFERROR(VLOOKUP(LEFT(E544,4),Nom_activ_2!D:G,4,0),"")</f>
        <v/>
      </c>
      <c r="E544" s="1757" t="str">
        <f t="shared" ca="1" si="261"/>
        <v/>
      </c>
      <c r="F544" s="1777">
        <f t="shared" ca="1" si="288"/>
        <v>0</v>
      </c>
      <c r="G544" s="839">
        <f t="shared" ca="1" si="288"/>
        <v>0</v>
      </c>
      <c r="H544" s="840">
        <f t="shared" ca="1" si="288"/>
        <v>0</v>
      </c>
      <c r="I544" s="443"/>
      <c r="J544" s="838" t="str">
        <f t="shared" si="262"/>
        <v>!$A:$j</v>
      </c>
      <c r="K544" s="475">
        <f t="shared" ca="1" si="263"/>
        <v>0</v>
      </c>
      <c r="L544" s="480"/>
      <c r="M544" s="477">
        <f t="shared" si="264"/>
        <v>0</v>
      </c>
      <c r="N544" s="480"/>
      <c r="O544" s="477">
        <f t="shared" si="265"/>
        <v>0</v>
      </c>
      <c r="P544" s="480"/>
      <c r="Q544" s="477">
        <f t="shared" si="266"/>
        <v>0</v>
      </c>
      <c r="R544" s="480"/>
      <c r="S544" s="477">
        <f t="shared" ca="1" si="267"/>
        <v>0</v>
      </c>
      <c r="T544" s="475">
        <f t="shared" ca="1" si="268"/>
        <v>0</v>
      </c>
      <c r="U544" s="480"/>
      <c r="V544" s="477">
        <f t="shared" si="269"/>
        <v>0</v>
      </c>
      <c r="W544" s="480"/>
      <c r="X544" s="477">
        <f t="shared" si="270"/>
        <v>0</v>
      </c>
      <c r="Y544" s="480"/>
      <c r="Z544" s="477">
        <f t="shared" si="271"/>
        <v>0</v>
      </c>
      <c r="AA544" s="480"/>
      <c r="AB544" s="477">
        <f t="shared" ca="1" si="272"/>
        <v>0</v>
      </c>
      <c r="AC544" s="475">
        <f t="shared" ca="1" si="273"/>
        <v>0</v>
      </c>
      <c r="AD544" s="480"/>
      <c r="AE544" s="477">
        <f t="shared" si="274"/>
        <v>0</v>
      </c>
      <c r="AF544" s="480"/>
      <c r="AG544" s="477">
        <f t="shared" si="275"/>
        <v>0</v>
      </c>
      <c r="AH544" s="480"/>
      <c r="AI544" s="477">
        <f t="shared" si="276"/>
        <v>0</v>
      </c>
      <c r="AJ544" s="480"/>
      <c r="AK544" s="477">
        <f t="shared" ca="1" si="277"/>
        <v>0</v>
      </c>
      <c r="AL544" s="475">
        <f t="shared" ca="1" si="278"/>
        <v>0</v>
      </c>
      <c r="AM544" s="480"/>
      <c r="AN544" s="477">
        <f t="shared" si="279"/>
        <v>0</v>
      </c>
      <c r="AO544" s="480"/>
      <c r="AP544" s="477">
        <f t="shared" si="280"/>
        <v>0</v>
      </c>
      <c r="AQ544" s="480"/>
      <c r="AR544" s="477">
        <f t="shared" si="281"/>
        <v>0</v>
      </c>
      <c r="AS544" s="480"/>
      <c r="AT544" s="477">
        <f t="shared" ca="1" si="282"/>
        <v>0</v>
      </c>
      <c r="AU544" s="475">
        <f t="shared" ca="1" si="283"/>
        <v>0</v>
      </c>
      <c r="AV544" s="480"/>
      <c r="AW544" s="477">
        <f t="shared" si="284"/>
        <v>0</v>
      </c>
      <c r="AX544" s="480"/>
      <c r="AY544" s="477">
        <f t="shared" si="285"/>
        <v>0</v>
      </c>
      <c r="AZ544" s="480"/>
      <c r="BA544" s="477">
        <f t="shared" si="286"/>
        <v>0</v>
      </c>
      <c r="BB544" s="480"/>
      <c r="BC544" s="850">
        <f t="shared" ca="1" si="287"/>
        <v>0</v>
      </c>
    </row>
    <row r="545" spans="1:55">
      <c r="A545" s="837" t="str">
        <f t="shared" si="259"/>
        <v/>
      </c>
      <c r="B545" s="440"/>
      <c r="C545" s="834" t="str">
        <f t="shared" ca="1" si="260"/>
        <v/>
      </c>
      <c r="D545" s="1757" t="str">
        <f ca="1">IFERROR(VLOOKUP(LEFT(E545,4),Nom_activ_2!D:G,4,0),"")</f>
        <v/>
      </c>
      <c r="E545" s="1757" t="str">
        <f t="shared" ca="1" si="261"/>
        <v/>
      </c>
      <c r="F545" s="1777">
        <f t="shared" ca="1" si="288"/>
        <v>0</v>
      </c>
      <c r="G545" s="839">
        <f t="shared" ca="1" si="288"/>
        <v>0</v>
      </c>
      <c r="H545" s="840">
        <f t="shared" ca="1" si="288"/>
        <v>0</v>
      </c>
      <c r="I545" s="443"/>
      <c r="J545" s="838" t="str">
        <f t="shared" si="262"/>
        <v>!$A:$j</v>
      </c>
      <c r="K545" s="475">
        <f t="shared" ca="1" si="263"/>
        <v>0</v>
      </c>
      <c r="L545" s="480"/>
      <c r="M545" s="477">
        <f t="shared" si="264"/>
        <v>0</v>
      </c>
      <c r="N545" s="480"/>
      <c r="O545" s="477">
        <f t="shared" si="265"/>
        <v>0</v>
      </c>
      <c r="P545" s="480"/>
      <c r="Q545" s="477">
        <f t="shared" si="266"/>
        <v>0</v>
      </c>
      <c r="R545" s="480"/>
      <c r="S545" s="477">
        <f t="shared" ca="1" si="267"/>
        <v>0</v>
      </c>
      <c r="T545" s="475">
        <f t="shared" ca="1" si="268"/>
        <v>0</v>
      </c>
      <c r="U545" s="480"/>
      <c r="V545" s="477">
        <f t="shared" si="269"/>
        <v>0</v>
      </c>
      <c r="W545" s="480"/>
      <c r="X545" s="477">
        <f t="shared" si="270"/>
        <v>0</v>
      </c>
      <c r="Y545" s="480"/>
      <c r="Z545" s="477">
        <f t="shared" si="271"/>
        <v>0</v>
      </c>
      <c r="AA545" s="480"/>
      <c r="AB545" s="477">
        <f t="shared" ca="1" si="272"/>
        <v>0</v>
      </c>
      <c r="AC545" s="475">
        <f t="shared" ca="1" si="273"/>
        <v>0</v>
      </c>
      <c r="AD545" s="480"/>
      <c r="AE545" s="477">
        <f t="shared" si="274"/>
        <v>0</v>
      </c>
      <c r="AF545" s="480"/>
      <c r="AG545" s="477">
        <f t="shared" si="275"/>
        <v>0</v>
      </c>
      <c r="AH545" s="480"/>
      <c r="AI545" s="477">
        <f t="shared" si="276"/>
        <v>0</v>
      </c>
      <c r="AJ545" s="480"/>
      <c r="AK545" s="477">
        <f t="shared" ca="1" si="277"/>
        <v>0</v>
      </c>
      <c r="AL545" s="475">
        <f t="shared" ca="1" si="278"/>
        <v>0</v>
      </c>
      <c r="AM545" s="480"/>
      <c r="AN545" s="477">
        <f t="shared" si="279"/>
        <v>0</v>
      </c>
      <c r="AO545" s="480"/>
      <c r="AP545" s="477">
        <f t="shared" si="280"/>
        <v>0</v>
      </c>
      <c r="AQ545" s="480"/>
      <c r="AR545" s="477">
        <f t="shared" si="281"/>
        <v>0</v>
      </c>
      <c r="AS545" s="480"/>
      <c r="AT545" s="477">
        <f t="shared" ca="1" si="282"/>
        <v>0</v>
      </c>
      <c r="AU545" s="475">
        <f t="shared" ca="1" si="283"/>
        <v>0</v>
      </c>
      <c r="AV545" s="480"/>
      <c r="AW545" s="477">
        <f t="shared" si="284"/>
        <v>0</v>
      </c>
      <c r="AX545" s="480"/>
      <c r="AY545" s="477">
        <f t="shared" si="285"/>
        <v>0</v>
      </c>
      <c r="AZ545" s="480"/>
      <c r="BA545" s="477">
        <f t="shared" si="286"/>
        <v>0</v>
      </c>
      <c r="BB545" s="480"/>
      <c r="BC545" s="850">
        <f t="shared" ca="1" si="287"/>
        <v>0</v>
      </c>
    </row>
    <row r="546" spans="1:55">
      <c r="A546" s="837" t="str">
        <f t="shared" si="259"/>
        <v/>
      </c>
      <c r="B546" s="440"/>
      <c r="C546" s="834" t="str">
        <f t="shared" ca="1" si="260"/>
        <v/>
      </c>
      <c r="D546" s="1757" t="str">
        <f ca="1">IFERROR(VLOOKUP(LEFT(E546,4),Nom_activ_2!D:G,4,0),"")</f>
        <v/>
      </c>
      <c r="E546" s="1757" t="str">
        <f t="shared" ca="1" si="261"/>
        <v/>
      </c>
      <c r="F546" s="1777">
        <f t="shared" ca="1" si="288"/>
        <v>0</v>
      </c>
      <c r="G546" s="839">
        <f t="shared" ca="1" si="288"/>
        <v>0</v>
      </c>
      <c r="H546" s="840">
        <f t="shared" ca="1" si="288"/>
        <v>0</v>
      </c>
      <c r="I546" s="443"/>
      <c r="J546" s="838" t="str">
        <f t="shared" si="262"/>
        <v>!$A:$j</v>
      </c>
      <c r="K546" s="475">
        <f t="shared" ca="1" si="263"/>
        <v>0</v>
      </c>
      <c r="L546" s="480"/>
      <c r="M546" s="477">
        <f t="shared" si="264"/>
        <v>0</v>
      </c>
      <c r="N546" s="480"/>
      <c r="O546" s="477">
        <f t="shared" si="265"/>
        <v>0</v>
      </c>
      <c r="P546" s="480"/>
      <c r="Q546" s="477">
        <f t="shared" si="266"/>
        <v>0</v>
      </c>
      <c r="R546" s="480"/>
      <c r="S546" s="477">
        <f t="shared" ca="1" si="267"/>
        <v>0</v>
      </c>
      <c r="T546" s="475">
        <f t="shared" ca="1" si="268"/>
        <v>0</v>
      </c>
      <c r="U546" s="480"/>
      <c r="V546" s="477">
        <f t="shared" si="269"/>
        <v>0</v>
      </c>
      <c r="W546" s="480"/>
      <c r="X546" s="477">
        <f t="shared" si="270"/>
        <v>0</v>
      </c>
      <c r="Y546" s="480"/>
      <c r="Z546" s="477">
        <f t="shared" si="271"/>
        <v>0</v>
      </c>
      <c r="AA546" s="480"/>
      <c r="AB546" s="477">
        <f t="shared" ca="1" si="272"/>
        <v>0</v>
      </c>
      <c r="AC546" s="475">
        <f t="shared" ca="1" si="273"/>
        <v>0</v>
      </c>
      <c r="AD546" s="480"/>
      <c r="AE546" s="477">
        <f t="shared" si="274"/>
        <v>0</v>
      </c>
      <c r="AF546" s="480"/>
      <c r="AG546" s="477">
        <f t="shared" si="275"/>
        <v>0</v>
      </c>
      <c r="AH546" s="480"/>
      <c r="AI546" s="477">
        <f t="shared" si="276"/>
        <v>0</v>
      </c>
      <c r="AJ546" s="480"/>
      <c r="AK546" s="477">
        <f t="shared" ca="1" si="277"/>
        <v>0</v>
      </c>
      <c r="AL546" s="475">
        <f t="shared" ca="1" si="278"/>
        <v>0</v>
      </c>
      <c r="AM546" s="480"/>
      <c r="AN546" s="477">
        <f t="shared" si="279"/>
        <v>0</v>
      </c>
      <c r="AO546" s="480"/>
      <c r="AP546" s="477">
        <f t="shared" si="280"/>
        <v>0</v>
      </c>
      <c r="AQ546" s="480"/>
      <c r="AR546" s="477">
        <f t="shared" si="281"/>
        <v>0</v>
      </c>
      <c r="AS546" s="480"/>
      <c r="AT546" s="477">
        <f t="shared" ca="1" si="282"/>
        <v>0</v>
      </c>
      <c r="AU546" s="475">
        <f t="shared" ca="1" si="283"/>
        <v>0</v>
      </c>
      <c r="AV546" s="480"/>
      <c r="AW546" s="477">
        <f t="shared" si="284"/>
        <v>0</v>
      </c>
      <c r="AX546" s="480"/>
      <c r="AY546" s="477">
        <f t="shared" si="285"/>
        <v>0</v>
      </c>
      <c r="AZ546" s="480"/>
      <c r="BA546" s="477">
        <f t="shared" si="286"/>
        <v>0</v>
      </c>
      <c r="BB546" s="480"/>
      <c r="BC546" s="850">
        <f t="shared" ca="1" si="287"/>
        <v>0</v>
      </c>
    </row>
    <row r="547" spans="1:55">
      <c r="A547" s="837" t="str">
        <f t="shared" si="259"/>
        <v/>
      </c>
      <c r="B547" s="440"/>
      <c r="C547" s="834" t="str">
        <f t="shared" ca="1" si="260"/>
        <v/>
      </c>
      <c r="D547" s="1757" t="str">
        <f ca="1">IFERROR(VLOOKUP(LEFT(E547,4),Nom_activ_2!D:G,4,0),"")</f>
        <v/>
      </c>
      <c r="E547" s="1757" t="str">
        <f t="shared" ca="1" si="261"/>
        <v/>
      </c>
      <c r="F547" s="1777">
        <f t="shared" ref="F547:H566" ca="1" si="289">IFERROR(VLOOKUP($B547,INDIRECT($J547),F$5,0),0)</f>
        <v>0</v>
      </c>
      <c r="G547" s="839">
        <f t="shared" ca="1" si="289"/>
        <v>0</v>
      </c>
      <c r="H547" s="840">
        <f t="shared" ca="1" si="289"/>
        <v>0</v>
      </c>
      <c r="I547" s="443"/>
      <c r="J547" s="838" t="str">
        <f t="shared" si="262"/>
        <v>!$A:$j</v>
      </c>
      <c r="K547" s="475">
        <f t="shared" ca="1" si="263"/>
        <v>0</v>
      </c>
      <c r="L547" s="480"/>
      <c r="M547" s="477">
        <f t="shared" si="264"/>
        <v>0</v>
      </c>
      <c r="N547" s="480"/>
      <c r="O547" s="477">
        <f t="shared" si="265"/>
        <v>0</v>
      </c>
      <c r="P547" s="480"/>
      <c r="Q547" s="477">
        <f t="shared" si="266"/>
        <v>0</v>
      </c>
      <c r="R547" s="480"/>
      <c r="S547" s="477">
        <f t="shared" ca="1" si="267"/>
        <v>0</v>
      </c>
      <c r="T547" s="475">
        <f t="shared" ca="1" si="268"/>
        <v>0</v>
      </c>
      <c r="U547" s="480"/>
      <c r="V547" s="477">
        <f t="shared" si="269"/>
        <v>0</v>
      </c>
      <c r="W547" s="480"/>
      <c r="X547" s="477">
        <f t="shared" si="270"/>
        <v>0</v>
      </c>
      <c r="Y547" s="480"/>
      <c r="Z547" s="477">
        <f t="shared" si="271"/>
        <v>0</v>
      </c>
      <c r="AA547" s="480"/>
      <c r="AB547" s="477">
        <f t="shared" ca="1" si="272"/>
        <v>0</v>
      </c>
      <c r="AC547" s="475">
        <f t="shared" ca="1" si="273"/>
        <v>0</v>
      </c>
      <c r="AD547" s="480"/>
      <c r="AE547" s="477">
        <f t="shared" si="274"/>
        <v>0</v>
      </c>
      <c r="AF547" s="480"/>
      <c r="AG547" s="477">
        <f t="shared" si="275"/>
        <v>0</v>
      </c>
      <c r="AH547" s="480"/>
      <c r="AI547" s="477">
        <f t="shared" si="276"/>
        <v>0</v>
      </c>
      <c r="AJ547" s="480"/>
      <c r="AK547" s="477">
        <f t="shared" ca="1" si="277"/>
        <v>0</v>
      </c>
      <c r="AL547" s="475">
        <f t="shared" ca="1" si="278"/>
        <v>0</v>
      </c>
      <c r="AM547" s="480"/>
      <c r="AN547" s="477">
        <f t="shared" si="279"/>
        <v>0</v>
      </c>
      <c r="AO547" s="480"/>
      <c r="AP547" s="477">
        <f t="shared" si="280"/>
        <v>0</v>
      </c>
      <c r="AQ547" s="480"/>
      <c r="AR547" s="477">
        <f t="shared" si="281"/>
        <v>0</v>
      </c>
      <c r="AS547" s="480"/>
      <c r="AT547" s="477">
        <f t="shared" ca="1" si="282"/>
        <v>0</v>
      </c>
      <c r="AU547" s="475">
        <f t="shared" ca="1" si="283"/>
        <v>0</v>
      </c>
      <c r="AV547" s="480"/>
      <c r="AW547" s="477">
        <f t="shared" si="284"/>
        <v>0</v>
      </c>
      <c r="AX547" s="480"/>
      <c r="AY547" s="477">
        <f t="shared" si="285"/>
        <v>0</v>
      </c>
      <c r="AZ547" s="480"/>
      <c r="BA547" s="477">
        <f t="shared" si="286"/>
        <v>0</v>
      </c>
      <c r="BB547" s="480"/>
      <c r="BC547" s="850">
        <f t="shared" ca="1" si="287"/>
        <v>0</v>
      </c>
    </row>
    <row r="548" spans="1:55">
      <c r="A548" s="837" t="str">
        <f t="shared" si="259"/>
        <v/>
      </c>
      <c r="B548" s="440"/>
      <c r="C548" s="834" t="str">
        <f t="shared" ca="1" si="260"/>
        <v/>
      </c>
      <c r="D548" s="1757" t="str">
        <f ca="1">IFERROR(VLOOKUP(LEFT(E548,4),Nom_activ_2!D:G,4,0),"")</f>
        <v/>
      </c>
      <c r="E548" s="1757" t="str">
        <f t="shared" ca="1" si="261"/>
        <v/>
      </c>
      <c r="F548" s="1777">
        <f t="shared" ca="1" si="289"/>
        <v>0</v>
      </c>
      <c r="G548" s="839">
        <f t="shared" ca="1" si="289"/>
        <v>0</v>
      </c>
      <c r="H548" s="840">
        <f t="shared" ca="1" si="289"/>
        <v>0</v>
      </c>
      <c r="I548" s="443"/>
      <c r="J548" s="838" t="str">
        <f t="shared" si="262"/>
        <v>!$A:$j</v>
      </c>
      <c r="K548" s="475">
        <f t="shared" ca="1" si="263"/>
        <v>0</v>
      </c>
      <c r="L548" s="480"/>
      <c r="M548" s="477">
        <f t="shared" si="264"/>
        <v>0</v>
      </c>
      <c r="N548" s="480"/>
      <c r="O548" s="477">
        <f t="shared" si="265"/>
        <v>0</v>
      </c>
      <c r="P548" s="480"/>
      <c r="Q548" s="477">
        <f t="shared" si="266"/>
        <v>0</v>
      </c>
      <c r="R548" s="480"/>
      <c r="S548" s="477">
        <f t="shared" ca="1" si="267"/>
        <v>0</v>
      </c>
      <c r="T548" s="475">
        <f t="shared" ca="1" si="268"/>
        <v>0</v>
      </c>
      <c r="U548" s="480"/>
      <c r="V548" s="477">
        <f t="shared" si="269"/>
        <v>0</v>
      </c>
      <c r="W548" s="480"/>
      <c r="X548" s="477">
        <f t="shared" si="270"/>
        <v>0</v>
      </c>
      <c r="Y548" s="480"/>
      <c r="Z548" s="477">
        <f t="shared" si="271"/>
        <v>0</v>
      </c>
      <c r="AA548" s="480"/>
      <c r="AB548" s="477">
        <f t="shared" ca="1" si="272"/>
        <v>0</v>
      </c>
      <c r="AC548" s="475">
        <f t="shared" ca="1" si="273"/>
        <v>0</v>
      </c>
      <c r="AD548" s="480"/>
      <c r="AE548" s="477">
        <f t="shared" si="274"/>
        <v>0</v>
      </c>
      <c r="AF548" s="480"/>
      <c r="AG548" s="477">
        <f t="shared" si="275"/>
        <v>0</v>
      </c>
      <c r="AH548" s="480"/>
      <c r="AI548" s="477">
        <f t="shared" si="276"/>
        <v>0</v>
      </c>
      <c r="AJ548" s="480"/>
      <c r="AK548" s="477">
        <f t="shared" ca="1" si="277"/>
        <v>0</v>
      </c>
      <c r="AL548" s="475">
        <f t="shared" ca="1" si="278"/>
        <v>0</v>
      </c>
      <c r="AM548" s="480"/>
      <c r="AN548" s="477">
        <f t="shared" si="279"/>
        <v>0</v>
      </c>
      <c r="AO548" s="480"/>
      <c r="AP548" s="477">
        <f t="shared" si="280"/>
        <v>0</v>
      </c>
      <c r="AQ548" s="480"/>
      <c r="AR548" s="477">
        <f t="shared" si="281"/>
        <v>0</v>
      </c>
      <c r="AS548" s="480"/>
      <c r="AT548" s="477">
        <f t="shared" ca="1" si="282"/>
        <v>0</v>
      </c>
      <c r="AU548" s="475">
        <f t="shared" ca="1" si="283"/>
        <v>0</v>
      </c>
      <c r="AV548" s="480"/>
      <c r="AW548" s="477">
        <f t="shared" si="284"/>
        <v>0</v>
      </c>
      <c r="AX548" s="480"/>
      <c r="AY548" s="477">
        <f t="shared" si="285"/>
        <v>0</v>
      </c>
      <c r="AZ548" s="480"/>
      <c r="BA548" s="477">
        <f t="shared" si="286"/>
        <v>0</v>
      </c>
      <c r="BB548" s="480"/>
      <c r="BC548" s="850">
        <f t="shared" ca="1" si="287"/>
        <v>0</v>
      </c>
    </row>
    <row r="549" spans="1:55">
      <c r="A549" s="837" t="str">
        <f t="shared" si="259"/>
        <v/>
      </c>
      <c r="B549" s="440"/>
      <c r="C549" s="834" t="str">
        <f t="shared" ca="1" si="260"/>
        <v/>
      </c>
      <c r="D549" s="1757" t="str">
        <f ca="1">IFERROR(VLOOKUP(LEFT(E549,4),Nom_activ_2!D:G,4,0),"")</f>
        <v/>
      </c>
      <c r="E549" s="1757" t="str">
        <f t="shared" ca="1" si="261"/>
        <v/>
      </c>
      <c r="F549" s="1777">
        <f t="shared" ca="1" si="289"/>
        <v>0</v>
      </c>
      <c r="G549" s="839">
        <f t="shared" ca="1" si="289"/>
        <v>0</v>
      </c>
      <c r="H549" s="840">
        <f t="shared" ca="1" si="289"/>
        <v>0</v>
      </c>
      <c r="I549" s="443"/>
      <c r="J549" s="838" t="str">
        <f t="shared" si="262"/>
        <v>!$A:$j</v>
      </c>
      <c r="K549" s="475">
        <f t="shared" ca="1" si="263"/>
        <v>0</v>
      </c>
      <c r="L549" s="480"/>
      <c r="M549" s="477">
        <f t="shared" si="264"/>
        <v>0</v>
      </c>
      <c r="N549" s="480"/>
      <c r="O549" s="477">
        <f t="shared" si="265"/>
        <v>0</v>
      </c>
      <c r="P549" s="480"/>
      <c r="Q549" s="477">
        <f t="shared" si="266"/>
        <v>0</v>
      </c>
      <c r="R549" s="480"/>
      <c r="S549" s="477">
        <f t="shared" ca="1" si="267"/>
        <v>0</v>
      </c>
      <c r="T549" s="475">
        <f t="shared" ca="1" si="268"/>
        <v>0</v>
      </c>
      <c r="U549" s="480"/>
      <c r="V549" s="477">
        <f t="shared" si="269"/>
        <v>0</v>
      </c>
      <c r="W549" s="480"/>
      <c r="X549" s="477">
        <f t="shared" si="270"/>
        <v>0</v>
      </c>
      <c r="Y549" s="480"/>
      <c r="Z549" s="477">
        <f t="shared" si="271"/>
        <v>0</v>
      </c>
      <c r="AA549" s="480"/>
      <c r="AB549" s="477">
        <f t="shared" ca="1" si="272"/>
        <v>0</v>
      </c>
      <c r="AC549" s="475">
        <f t="shared" ca="1" si="273"/>
        <v>0</v>
      </c>
      <c r="AD549" s="480"/>
      <c r="AE549" s="477">
        <f t="shared" si="274"/>
        <v>0</v>
      </c>
      <c r="AF549" s="480"/>
      <c r="AG549" s="477">
        <f t="shared" si="275"/>
        <v>0</v>
      </c>
      <c r="AH549" s="480"/>
      <c r="AI549" s="477">
        <f t="shared" si="276"/>
        <v>0</v>
      </c>
      <c r="AJ549" s="480"/>
      <c r="AK549" s="477">
        <f t="shared" ca="1" si="277"/>
        <v>0</v>
      </c>
      <c r="AL549" s="475">
        <f t="shared" ca="1" si="278"/>
        <v>0</v>
      </c>
      <c r="AM549" s="480"/>
      <c r="AN549" s="477">
        <f t="shared" si="279"/>
        <v>0</v>
      </c>
      <c r="AO549" s="480"/>
      <c r="AP549" s="477">
        <f t="shared" si="280"/>
        <v>0</v>
      </c>
      <c r="AQ549" s="480"/>
      <c r="AR549" s="477">
        <f t="shared" si="281"/>
        <v>0</v>
      </c>
      <c r="AS549" s="480"/>
      <c r="AT549" s="477">
        <f t="shared" ca="1" si="282"/>
        <v>0</v>
      </c>
      <c r="AU549" s="475">
        <f t="shared" ca="1" si="283"/>
        <v>0</v>
      </c>
      <c r="AV549" s="480"/>
      <c r="AW549" s="477">
        <f t="shared" si="284"/>
        <v>0</v>
      </c>
      <c r="AX549" s="480"/>
      <c r="AY549" s="477">
        <f t="shared" si="285"/>
        <v>0</v>
      </c>
      <c r="AZ549" s="480"/>
      <c r="BA549" s="477">
        <f t="shared" si="286"/>
        <v>0</v>
      </c>
      <c r="BB549" s="480"/>
      <c r="BC549" s="850">
        <f t="shared" ca="1" si="287"/>
        <v>0</v>
      </c>
    </row>
    <row r="550" spans="1:55">
      <c r="A550" s="837" t="str">
        <f t="shared" si="259"/>
        <v/>
      </c>
      <c r="B550" s="440"/>
      <c r="C550" s="834" t="str">
        <f t="shared" ca="1" si="260"/>
        <v/>
      </c>
      <c r="D550" s="1757" t="str">
        <f ca="1">IFERROR(VLOOKUP(LEFT(E550,4),Nom_activ_2!D:G,4,0),"")</f>
        <v/>
      </c>
      <c r="E550" s="1757" t="str">
        <f t="shared" ca="1" si="261"/>
        <v/>
      </c>
      <c r="F550" s="1777">
        <f t="shared" ca="1" si="289"/>
        <v>0</v>
      </c>
      <c r="G550" s="839">
        <f t="shared" ca="1" si="289"/>
        <v>0</v>
      </c>
      <c r="H550" s="840">
        <f t="shared" ca="1" si="289"/>
        <v>0</v>
      </c>
      <c r="I550" s="443"/>
      <c r="J550" s="838" t="str">
        <f t="shared" si="262"/>
        <v>!$A:$j</v>
      </c>
      <c r="K550" s="475">
        <f t="shared" ca="1" si="263"/>
        <v>0</v>
      </c>
      <c r="L550" s="480"/>
      <c r="M550" s="477">
        <f t="shared" si="264"/>
        <v>0</v>
      </c>
      <c r="N550" s="480"/>
      <c r="O550" s="477">
        <f t="shared" si="265"/>
        <v>0</v>
      </c>
      <c r="P550" s="480"/>
      <c r="Q550" s="477">
        <f t="shared" si="266"/>
        <v>0</v>
      </c>
      <c r="R550" s="480"/>
      <c r="S550" s="477">
        <f t="shared" ca="1" si="267"/>
        <v>0</v>
      </c>
      <c r="T550" s="475">
        <f t="shared" ca="1" si="268"/>
        <v>0</v>
      </c>
      <c r="U550" s="480"/>
      <c r="V550" s="477">
        <f t="shared" si="269"/>
        <v>0</v>
      </c>
      <c r="W550" s="480"/>
      <c r="X550" s="477">
        <f t="shared" si="270"/>
        <v>0</v>
      </c>
      <c r="Y550" s="480"/>
      <c r="Z550" s="477">
        <f t="shared" si="271"/>
        <v>0</v>
      </c>
      <c r="AA550" s="480"/>
      <c r="AB550" s="477">
        <f t="shared" ca="1" si="272"/>
        <v>0</v>
      </c>
      <c r="AC550" s="475">
        <f t="shared" ca="1" si="273"/>
        <v>0</v>
      </c>
      <c r="AD550" s="480"/>
      <c r="AE550" s="477">
        <f t="shared" si="274"/>
        <v>0</v>
      </c>
      <c r="AF550" s="480"/>
      <c r="AG550" s="477">
        <f t="shared" si="275"/>
        <v>0</v>
      </c>
      <c r="AH550" s="480"/>
      <c r="AI550" s="477">
        <f t="shared" si="276"/>
        <v>0</v>
      </c>
      <c r="AJ550" s="480"/>
      <c r="AK550" s="477">
        <f t="shared" ca="1" si="277"/>
        <v>0</v>
      </c>
      <c r="AL550" s="475">
        <f t="shared" ca="1" si="278"/>
        <v>0</v>
      </c>
      <c r="AM550" s="480"/>
      <c r="AN550" s="477">
        <f t="shared" si="279"/>
        <v>0</v>
      </c>
      <c r="AO550" s="480"/>
      <c r="AP550" s="477">
        <f t="shared" si="280"/>
        <v>0</v>
      </c>
      <c r="AQ550" s="480"/>
      <c r="AR550" s="477">
        <f t="shared" si="281"/>
        <v>0</v>
      </c>
      <c r="AS550" s="480"/>
      <c r="AT550" s="477">
        <f t="shared" ca="1" si="282"/>
        <v>0</v>
      </c>
      <c r="AU550" s="475">
        <f t="shared" ca="1" si="283"/>
        <v>0</v>
      </c>
      <c r="AV550" s="480"/>
      <c r="AW550" s="477">
        <f t="shared" si="284"/>
        <v>0</v>
      </c>
      <c r="AX550" s="480"/>
      <c r="AY550" s="477">
        <f t="shared" si="285"/>
        <v>0</v>
      </c>
      <c r="AZ550" s="480"/>
      <c r="BA550" s="477">
        <f t="shared" si="286"/>
        <v>0</v>
      </c>
      <c r="BB550" s="480"/>
      <c r="BC550" s="850">
        <f t="shared" ca="1" si="287"/>
        <v>0</v>
      </c>
    </row>
    <row r="551" spans="1:55">
      <c r="A551" s="837" t="str">
        <f t="shared" si="259"/>
        <v/>
      </c>
      <c r="B551" s="440"/>
      <c r="C551" s="834" t="str">
        <f t="shared" ca="1" si="260"/>
        <v/>
      </c>
      <c r="D551" s="1757" t="str">
        <f ca="1">IFERROR(VLOOKUP(LEFT(E551,4),Nom_activ_2!D:G,4,0),"")</f>
        <v/>
      </c>
      <c r="E551" s="1757" t="str">
        <f t="shared" ca="1" si="261"/>
        <v/>
      </c>
      <c r="F551" s="1777">
        <f t="shared" ca="1" si="289"/>
        <v>0</v>
      </c>
      <c r="G551" s="839">
        <f t="shared" ca="1" si="289"/>
        <v>0</v>
      </c>
      <c r="H551" s="840">
        <f t="shared" ca="1" si="289"/>
        <v>0</v>
      </c>
      <c r="I551" s="443"/>
      <c r="J551" s="838" t="str">
        <f t="shared" si="262"/>
        <v>!$A:$j</v>
      </c>
      <c r="K551" s="475">
        <f t="shared" ca="1" si="263"/>
        <v>0</v>
      </c>
      <c r="L551" s="480"/>
      <c r="M551" s="477">
        <f t="shared" si="264"/>
        <v>0</v>
      </c>
      <c r="N551" s="480"/>
      <c r="O551" s="477">
        <f t="shared" si="265"/>
        <v>0</v>
      </c>
      <c r="P551" s="480"/>
      <c r="Q551" s="477">
        <f t="shared" si="266"/>
        <v>0</v>
      </c>
      <c r="R551" s="480"/>
      <c r="S551" s="477">
        <f t="shared" ca="1" si="267"/>
        <v>0</v>
      </c>
      <c r="T551" s="475">
        <f t="shared" ca="1" si="268"/>
        <v>0</v>
      </c>
      <c r="U551" s="480"/>
      <c r="V551" s="477">
        <f t="shared" si="269"/>
        <v>0</v>
      </c>
      <c r="W551" s="480"/>
      <c r="X551" s="477">
        <f t="shared" si="270"/>
        <v>0</v>
      </c>
      <c r="Y551" s="480"/>
      <c r="Z551" s="477">
        <f t="shared" si="271"/>
        <v>0</v>
      </c>
      <c r="AA551" s="480"/>
      <c r="AB551" s="477">
        <f t="shared" ca="1" si="272"/>
        <v>0</v>
      </c>
      <c r="AC551" s="475">
        <f t="shared" ca="1" si="273"/>
        <v>0</v>
      </c>
      <c r="AD551" s="480"/>
      <c r="AE551" s="477">
        <f t="shared" si="274"/>
        <v>0</v>
      </c>
      <c r="AF551" s="480"/>
      <c r="AG551" s="477">
        <f t="shared" si="275"/>
        <v>0</v>
      </c>
      <c r="AH551" s="480"/>
      <c r="AI551" s="477">
        <f t="shared" si="276"/>
        <v>0</v>
      </c>
      <c r="AJ551" s="480"/>
      <c r="AK551" s="477">
        <f t="shared" ca="1" si="277"/>
        <v>0</v>
      </c>
      <c r="AL551" s="475">
        <f t="shared" ca="1" si="278"/>
        <v>0</v>
      </c>
      <c r="AM551" s="480"/>
      <c r="AN551" s="477">
        <f t="shared" si="279"/>
        <v>0</v>
      </c>
      <c r="AO551" s="480"/>
      <c r="AP551" s="477">
        <f t="shared" si="280"/>
        <v>0</v>
      </c>
      <c r="AQ551" s="480"/>
      <c r="AR551" s="477">
        <f t="shared" si="281"/>
        <v>0</v>
      </c>
      <c r="AS551" s="480"/>
      <c r="AT551" s="477">
        <f t="shared" ca="1" si="282"/>
        <v>0</v>
      </c>
      <c r="AU551" s="475">
        <f t="shared" ca="1" si="283"/>
        <v>0</v>
      </c>
      <c r="AV551" s="480"/>
      <c r="AW551" s="477">
        <f t="shared" si="284"/>
        <v>0</v>
      </c>
      <c r="AX551" s="480"/>
      <c r="AY551" s="477">
        <f t="shared" si="285"/>
        <v>0</v>
      </c>
      <c r="AZ551" s="480"/>
      <c r="BA551" s="477">
        <f t="shared" si="286"/>
        <v>0</v>
      </c>
      <c r="BB551" s="480"/>
      <c r="BC551" s="850">
        <f t="shared" ca="1" si="287"/>
        <v>0</v>
      </c>
    </row>
    <row r="552" spans="1:55">
      <c r="A552" s="837" t="str">
        <f t="shared" si="259"/>
        <v/>
      </c>
      <c r="B552" s="440"/>
      <c r="C552" s="834" t="str">
        <f t="shared" ca="1" si="260"/>
        <v/>
      </c>
      <c r="D552" s="1757" t="str">
        <f ca="1">IFERROR(VLOOKUP(LEFT(E552,4),Nom_activ_2!D:G,4,0),"")</f>
        <v/>
      </c>
      <c r="E552" s="1757" t="str">
        <f t="shared" ca="1" si="261"/>
        <v/>
      </c>
      <c r="F552" s="1777">
        <f t="shared" ca="1" si="289"/>
        <v>0</v>
      </c>
      <c r="G552" s="839">
        <f t="shared" ca="1" si="289"/>
        <v>0</v>
      </c>
      <c r="H552" s="840">
        <f t="shared" ca="1" si="289"/>
        <v>0</v>
      </c>
      <c r="I552" s="443"/>
      <c r="J552" s="838" t="str">
        <f t="shared" si="262"/>
        <v>!$A:$j</v>
      </c>
      <c r="K552" s="475">
        <f t="shared" ca="1" si="263"/>
        <v>0</v>
      </c>
      <c r="L552" s="480"/>
      <c r="M552" s="477">
        <f t="shared" si="264"/>
        <v>0</v>
      </c>
      <c r="N552" s="480"/>
      <c r="O552" s="477">
        <f t="shared" si="265"/>
        <v>0</v>
      </c>
      <c r="P552" s="480"/>
      <c r="Q552" s="477">
        <f t="shared" si="266"/>
        <v>0</v>
      </c>
      <c r="R552" s="480"/>
      <c r="S552" s="477">
        <f t="shared" ca="1" si="267"/>
        <v>0</v>
      </c>
      <c r="T552" s="475">
        <f t="shared" ca="1" si="268"/>
        <v>0</v>
      </c>
      <c r="U552" s="480"/>
      <c r="V552" s="477">
        <f t="shared" si="269"/>
        <v>0</v>
      </c>
      <c r="W552" s="480"/>
      <c r="X552" s="477">
        <f t="shared" si="270"/>
        <v>0</v>
      </c>
      <c r="Y552" s="480"/>
      <c r="Z552" s="477">
        <f t="shared" si="271"/>
        <v>0</v>
      </c>
      <c r="AA552" s="480"/>
      <c r="AB552" s="477">
        <f t="shared" ca="1" si="272"/>
        <v>0</v>
      </c>
      <c r="AC552" s="475">
        <f t="shared" ca="1" si="273"/>
        <v>0</v>
      </c>
      <c r="AD552" s="480"/>
      <c r="AE552" s="477">
        <f t="shared" si="274"/>
        <v>0</v>
      </c>
      <c r="AF552" s="480"/>
      <c r="AG552" s="477">
        <f t="shared" si="275"/>
        <v>0</v>
      </c>
      <c r="AH552" s="480"/>
      <c r="AI552" s="477">
        <f t="shared" si="276"/>
        <v>0</v>
      </c>
      <c r="AJ552" s="480"/>
      <c r="AK552" s="477">
        <f t="shared" ca="1" si="277"/>
        <v>0</v>
      </c>
      <c r="AL552" s="475">
        <f t="shared" ca="1" si="278"/>
        <v>0</v>
      </c>
      <c r="AM552" s="480"/>
      <c r="AN552" s="477">
        <f t="shared" si="279"/>
        <v>0</v>
      </c>
      <c r="AO552" s="480"/>
      <c r="AP552" s="477">
        <f t="shared" si="280"/>
        <v>0</v>
      </c>
      <c r="AQ552" s="480"/>
      <c r="AR552" s="477">
        <f t="shared" si="281"/>
        <v>0</v>
      </c>
      <c r="AS552" s="480"/>
      <c r="AT552" s="477">
        <f t="shared" ca="1" si="282"/>
        <v>0</v>
      </c>
      <c r="AU552" s="475">
        <f t="shared" ca="1" si="283"/>
        <v>0</v>
      </c>
      <c r="AV552" s="480"/>
      <c r="AW552" s="477">
        <f t="shared" si="284"/>
        <v>0</v>
      </c>
      <c r="AX552" s="480"/>
      <c r="AY552" s="477">
        <f t="shared" si="285"/>
        <v>0</v>
      </c>
      <c r="AZ552" s="480"/>
      <c r="BA552" s="477">
        <f t="shared" si="286"/>
        <v>0</v>
      </c>
      <c r="BB552" s="480"/>
      <c r="BC552" s="850">
        <f t="shared" ca="1" si="287"/>
        <v>0</v>
      </c>
    </row>
    <row r="553" spans="1:55">
      <c r="A553" s="837" t="str">
        <f t="shared" si="259"/>
        <v/>
      </c>
      <c r="B553" s="440"/>
      <c r="C553" s="834" t="str">
        <f t="shared" ca="1" si="260"/>
        <v/>
      </c>
      <c r="D553" s="1757" t="str">
        <f ca="1">IFERROR(VLOOKUP(LEFT(E553,4),Nom_activ_2!D:G,4,0),"")</f>
        <v/>
      </c>
      <c r="E553" s="1757" t="str">
        <f t="shared" ca="1" si="261"/>
        <v/>
      </c>
      <c r="F553" s="1777">
        <f t="shared" ca="1" si="289"/>
        <v>0</v>
      </c>
      <c r="G553" s="839">
        <f t="shared" ca="1" si="289"/>
        <v>0</v>
      </c>
      <c r="H553" s="840">
        <f t="shared" ca="1" si="289"/>
        <v>0</v>
      </c>
      <c r="I553" s="443"/>
      <c r="J553" s="838" t="str">
        <f t="shared" si="262"/>
        <v>!$A:$j</v>
      </c>
      <c r="K553" s="475">
        <f t="shared" ca="1" si="263"/>
        <v>0</v>
      </c>
      <c r="L553" s="480"/>
      <c r="M553" s="477">
        <f t="shared" si="264"/>
        <v>0</v>
      </c>
      <c r="N553" s="480"/>
      <c r="O553" s="477">
        <f t="shared" si="265"/>
        <v>0</v>
      </c>
      <c r="P553" s="480"/>
      <c r="Q553" s="477">
        <f t="shared" si="266"/>
        <v>0</v>
      </c>
      <c r="R553" s="480"/>
      <c r="S553" s="477">
        <f t="shared" ca="1" si="267"/>
        <v>0</v>
      </c>
      <c r="T553" s="475">
        <f t="shared" ca="1" si="268"/>
        <v>0</v>
      </c>
      <c r="U553" s="480"/>
      <c r="V553" s="477">
        <f t="shared" si="269"/>
        <v>0</v>
      </c>
      <c r="W553" s="480"/>
      <c r="X553" s="477">
        <f t="shared" si="270"/>
        <v>0</v>
      </c>
      <c r="Y553" s="480"/>
      <c r="Z553" s="477">
        <f t="shared" si="271"/>
        <v>0</v>
      </c>
      <c r="AA553" s="480"/>
      <c r="AB553" s="477">
        <f t="shared" ca="1" si="272"/>
        <v>0</v>
      </c>
      <c r="AC553" s="475">
        <f t="shared" ca="1" si="273"/>
        <v>0</v>
      </c>
      <c r="AD553" s="480"/>
      <c r="AE553" s="477">
        <f t="shared" si="274"/>
        <v>0</v>
      </c>
      <c r="AF553" s="480"/>
      <c r="AG553" s="477">
        <f t="shared" si="275"/>
        <v>0</v>
      </c>
      <c r="AH553" s="480"/>
      <c r="AI553" s="477">
        <f t="shared" si="276"/>
        <v>0</v>
      </c>
      <c r="AJ553" s="480"/>
      <c r="AK553" s="477">
        <f t="shared" ca="1" si="277"/>
        <v>0</v>
      </c>
      <c r="AL553" s="475">
        <f t="shared" ca="1" si="278"/>
        <v>0</v>
      </c>
      <c r="AM553" s="480"/>
      <c r="AN553" s="477">
        <f t="shared" si="279"/>
        <v>0</v>
      </c>
      <c r="AO553" s="480"/>
      <c r="AP553" s="477">
        <f t="shared" si="280"/>
        <v>0</v>
      </c>
      <c r="AQ553" s="480"/>
      <c r="AR553" s="477">
        <f t="shared" si="281"/>
        <v>0</v>
      </c>
      <c r="AS553" s="480"/>
      <c r="AT553" s="477">
        <f t="shared" ca="1" si="282"/>
        <v>0</v>
      </c>
      <c r="AU553" s="475">
        <f t="shared" ca="1" si="283"/>
        <v>0</v>
      </c>
      <c r="AV553" s="480"/>
      <c r="AW553" s="477">
        <f t="shared" si="284"/>
        <v>0</v>
      </c>
      <c r="AX553" s="480"/>
      <c r="AY553" s="477">
        <f t="shared" si="285"/>
        <v>0</v>
      </c>
      <c r="AZ553" s="480"/>
      <c r="BA553" s="477">
        <f t="shared" si="286"/>
        <v>0</v>
      </c>
      <c r="BB553" s="480"/>
      <c r="BC553" s="850">
        <f t="shared" ca="1" si="287"/>
        <v>0</v>
      </c>
    </row>
    <row r="554" spans="1:55">
      <c r="A554" s="837" t="str">
        <f t="shared" si="259"/>
        <v/>
      </c>
      <c r="B554" s="440"/>
      <c r="C554" s="834" t="str">
        <f t="shared" ca="1" si="260"/>
        <v/>
      </c>
      <c r="D554" s="1757" t="str">
        <f ca="1">IFERROR(VLOOKUP(LEFT(E554,4),Nom_activ_2!D:G,4,0),"")</f>
        <v/>
      </c>
      <c r="E554" s="1757" t="str">
        <f t="shared" ca="1" si="261"/>
        <v/>
      </c>
      <c r="F554" s="1777">
        <f t="shared" ca="1" si="289"/>
        <v>0</v>
      </c>
      <c r="G554" s="839">
        <f t="shared" ca="1" si="289"/>
        <v>0</v>
      </c>
      <c r="H554" s="840">
        <f t="shared" ca="1" si="289"/>
        <v>0</v>
      </c>
      <c r="I554" s="443"/>
      <c r="J554" s="838" t="str">
        <f t="shared" si="262"/>
        <v>!$A:$j</v>
      </c>
      <c r="K554" s="475">
        <f t="shared" ca="1" si="263"/>
        <v>0</v>
      </c>
      <c r="L554" s="480"/>
      <c r="M554" s="477">
        <f t="shared" si="264"/>
        <v>0</v>
      </c>
      <c r="N554" s="480"/>
      <c r="O554" s="477">
        <f t="shared" si="265"/>
        <v>0</v>
      </c>
      <c r="P554" s="480"/>
      <c r="Q554" s="477">
        <f t="shared" si="266"/>
        <v>0</v>
      </c>
      <c r="R554" s="480"/>
      <c r="S554" s="477">
        <f t="shared" ca="1" si="267"/>
        <v>0</v>
      </c>
      <c r="T554" s="475">
        <f t="shared" ca="1" si="268"/>
        <v>0</v>
      </c>
      <c r="U554" s="480"/>
      <c r="V554" s="477">
        <f t="shared" si="269"/>
        <v>0</v>
      </c>
      <c r="W554" s="480"/>
      <c r="X554" s="477">
        <f t="shared" si="270"/>
        <v>0</v>
      </c>
      <c r="Y554" s="480"/>
      <c r="Z554" s="477">
        <f t="shared" si="271"/>
        <v>0</v>
      </c>
      <c r="AA554" s="480"/>
      <c r="AB554" s="477">
        <f t="shared" ca="1" si="272"/>
        <v>0</v>
      </c>
      <c r="AC554" s="475">
        <f t="shared" ca="1" si="273"/>
        <v>0</v>
      </c>
      <c r="AD554" s="480"/>
      <c r="AE554" s="477">
        <f t="shared" si="274"/>
        <v>0</v>
      </c>
      <c r="AF554" s="480"/>
      <c r="AG554" s="477">
        <f t="shared" si="275"/>
        <v>0</v>
      </c>
      <c r="AH554" s="480"/>
      <c r="AI554" s="477">
        <f t="shared" si="276"/>
        <v>0</v>
      </c>
      <c r="AJ554" s="480"/>
      <c r="AK554" s="477">
        <f t="shared" ca="1" si="277"/>
        <v>0</v>
      </c>
      <c r="AL554" s="475">
        <f t="shared" ca="1" si="278"/>
        <v>0</v>
      </c>
      <c r="AM554" s="480"/>
      <c r="AN554" s="477">
        <f t="shared" si="279"/>
        <v>0</v>
      </c>
      <c r="AO554" s="480"/>
      <c r="AP554" s="477">
        <f t="shared" si="280"/>
        <v>0</v>
      </c>
      <c r="AQ554" s="480"/>
      <c r="AR554" s="477">
        <f t="shared" si="281"/>
        <v>0</v>
      </c>
      <c r="AS554" s="480"/>
      <c r="AT554" s="477">
        <f t="shared" ca="1" si="282"/>
        <v>0</v>
      </c>
      <c r="AU554" s="475">
        <f t="shared" ca="1" si="283"/>
        <v>0</v>
      </c>
      <c r="AV554" s="480"/>
      <c r="AW554" s="477">
        <f t="shared" si="284"/>
        <v>0</v>
      </c>
      <c r="AX554" s="480"/>
      <c r="AY554" s="477">
        <f t="shared" si="285"/>
        <v>0</v>
      </c>
      <c r="AZ554" s="480"/>
      <c r="BA554" s="477">
        <f t="shared" si="286"/>
        <v>0</v>
      </c>
      <c r="BB554" s="480"/>
      <c r="BC554" s="850">
        <f t="shared" ca="1" si="287"/>
        <v>0</v>
      </c>
    </row>
    <row r="555" spans="1:55">
      <c r="A555" s="837" t="str">
        <f t="shared" si="259"/>
        <v/>
      </c>
      <c r="B555" s="440"/>
      <c r="C555" s="834" t="str">
        <f t="shared" ca="1" si="260"/>
        <v/>
      </c>
      <c r="D555" s="1757" t="str">
        <f ca="1">IFERROR(VLOOKUP(LEFT(E555,4),Nom_activ_2!D:G,4,0),"")</f>
        <v/>
      </c>
      <c r="E555" s="1757" t="str">
        <f t="shared" ca="1" si="261"/>
        <v/>
      </c>
      <c r="F555" s="1777">
        <f t="shared" ca="1" si="289"/>
        <v>0</v>
      </c>
      <c r="G555" s="839">
        <f t="shared" ca="1" si="289"/>
        <v>0</v>
      </c>
      <c r="H555" s="840">
        <f t="shared" ca="1" si="289"/>
        <v>0</v>
      </c>
      <c r="I555" s="443"/>
      <c r="J555" s="838" t="str">
        <f t="shared" si="262"/>
        <v>!$A:$j</v>
      </c>
      <c r="K555" s="475">
        <f t="shared" ca="1" si="263"/>
        <v>0</v>
      </c>
      <c r="L555" s="480"/>
      <c r="M555" s="477">
        <f t="shared" si="264"/>
        <v>0</v>
      </c>
      <c r="N555" s="480"/>
      <c r="O555" s="477">
        <f t="shared" si="265"/>
        <v>0</v>
      </c>
      <c r="P555" s="480"/>
      <c r="Q555" s="477">
        <f t="shared" si="266"/>
        <v>0</v>
      </c>
      <c r="R555" s="480"/>
      <c r="S555" s="477">
        <f t="shared" ca="1" si="267"/>
        <v>0</v>
      </c>
      <c r="T555" s="475">
        <f t="shared" ca="1" si="268"/>
        <v>0</v>
      </c>
      <c r="U555" s="480"/>
      <c r="V555" s="477">
        <f t="shared" si="269"/>
        <v>0</v>
      </c>
      <c r="W555" s="480"/>
      <c r="X555" s="477">
        <f t="shared" si="270"/>
        <v>0</v>
      </c>
      <c r="Y555" s="480"/>
      <c r="Z555" s="477">
        <f t="shared" si="271"/>
        <v>0</v>
      </c>
      <c r="AA555" s="480"/>
      <c r="AB555" s="477">
        <f t="shared" ca="1" si="272"/>
        <v>0</v>
      </c>
      <c r="AC555" s="475">
        <f t="shared" ca="1" si="273"/>
        <v>0</v>
      </c>
      <c r="AD555" s="480"/>
      <c r="AE555" s="477">
        <f t="shared" si="274"/>
        <v>0</v>
      </c>
      <c r="AF555" s="480"/>
      <c r="AG555" s="477">
        <f t="shared" si="275"/>
        <v>0</v>
      </c>
      <c r="AH555" s="480"/>
      <c r="AI555" s="477">
        <f t="shared" si="276"/>
        <v>0</v>
      </c>
      <c r="AJ555" s="480"/>
      <c r="AK555" s="477">
        <f t="shared" ca="1" si="277"/>
        <v>0</v>
      </c>
      <c r="AL555" s="475">
        <f t="shared" ca="1" si="278"/>
        <v>0</v>
      </c>
      <c r="AM555" s="480"/>
      <c r="AN555" s="477">
        <f t="shared" si="279"/>
        <v>0</v>
      </c>
      <c r="AO555" s="480"/>
      <c r="AP555" s="477">
        <f t="shared" si="280"/>
        <v>0</v>
      </c>
      <c r="AQ555" s="480"/>
      <c r="AR555" s="477">
        <f t="shared" si="281"/>
        <v>0</v>
      </c>
      <c r="AS555" s="480"/>
      <c r="AT555" s="477">
        <f t="shared" ca="1" si="282"/>
        <v>0</v>
      </c>
      <c r="AU555" s="475">
        <f t="shared" ca="1" si="283"/>
        <v>0</v>
      </c>
      <c r="AV555" s="480"/>
      <c r="AW555" s="477">
        <f t="shared" si="284"/>
        <v>0</v>
      </c>
      <c r="AX555" s="480"/>
      <c r="AY555" s="477">
        <f t="shared" si="285"/>
        <v>0</v>
      </c>
      <c r="AZ555" s="480"/>
      <c r="BA555" s="477">
        <f t="shared" si="286"/>
        <v>0</v>
      </c>
      <c r="BB555" s="480"/>
      <c r="BC555" s="850">
        <f t="shared" ca="1" si="287"/>
        <v>0</v>
      </c>
    </row>
    <row r="556" spans="1:55">
      <c r="A556" s="837" t="str">
        <f t="shared" si="259"/>
        <v/>
      </c>
      <c r="B556" s="440"/>
      <c r="C556" s="834" t="str">
        <f t="shared" ca="1" si="260"/>
        <v/>
      </c>
      <c r="D556" s="1757" t="str">
        <f ca="1">IFERROR(VLOOKUP(LEFT(E556,4),Nom_activ_2!D:G,4,0),"")</f>
        <v/>
      </c>
      <c r="E556" s="1757" t="str">
        <f t="shared" ca="1" si="261"/>
        <v/>
      </c>
      <c r="F556" s="1777">
        <f t="shared" ca="1" si="289"/>
        <v>0</v>
      </c>
      <c r="G556" s="839">
        <f t="shared" ca="1" si="289"/>
        <v>0</v>
      </c>
      <c r="H556" s="840">
        <f t="shared" ca="1" si="289"/>
        <v>0</v>
      </c>
      <c r="I556" s="443"/>
      <c r="J556" s="838" t="str">
        <f t="shared" si="262"/>
        <v>!$A:$j</v>
      </c>
      <c r="K556" s="475">
        <f t="shared" ca="1" si="263"/>
        <v>0</v>
      </c>
      <c r="L556" s="480"/>
      <c r="M556" s="477">
        <f t="shared" si="264"/>
        <v>0</v>
      </c>
      <c r="N556" s="480"/>
      <c r="O556" s="477">
        <f t="shared" si="265"/>
        <v>0</v>
      </c>
      <c r="P556" s="480"/>
      <c r="Q556" s="477">
        <f t="shared" si="266"/>
        <v>0</v>
      </c>
      <c r="R556" s="480"/>
      <c r="S556" s="477">
        <f t="shared" ca="1" si="267"/>
        <v>0</v>
      </c>
      <c r="T556" s="475">
        <f t="shared" ca="1" si="268"/>
        <v>0</v>
      </c>
      <c r="U556" s="480"/>
      <c r="V556" s="477">
        <f t="shared" si="269"/>
        <v>0</v>
      </c>
      <c r="W556" s="480"/>
      <c r="X556" s="477">
        <f t="shared" si="270"/>
        <v>0</v>
      </c>
      <c r="Y556" s="480"/>
      <c r="Z556" s="477">
        <f t="shared" si="271"/>
        <v>0</v>
      </c>
      <c r="AA556" s="480"/>
      <c r="AB556" s="477">
        <f t="shared" ca="1" si="272"/>
        <v>0</v>
      </c>
      <c r="AC556" s="475">
        <f t="shared" ca="1" si="273"/>
        <v>0</v>
      </c>
      <c r="AD556" s="480"/>
      <c r="AE556" s="477">
        <f t="shared" si="274"/>
        <v>0</v>
      </c>
      <c r="AF556" s="480"/>
      <c r="AG556" s="477">
        <f t="shared" si="275"/>
        <v>0</v>
      </c>
      <c r="AH556" s="480"/>
      <c r="AI556" s="477">
        <f t="shared" si="276"/>
        <v>0</v>
      </c>
      <c r="AJ556" s="480"/>
      <c r="AK556" s="477">
        <f t="shared" ca="1" si="277"/>
        <v>0</v>
      </c>
      <c r="AL556" s="475">
        <f t="shared" ca="1" si="278"/>
        <v>0</v>
      </c>
      <c r="AM556" s="480"/>
      <c r="AN556" s="477">
        <f t="shared" si="279"/>
        <v>0</v>
      </c>
      <c r="AO556" s="480"/>
      <c r="AP556" s="477">
        <f t="shared" si="280"/>
        <v>0</v>
      </c>
      <c r="AQ556" s="480"/>
      <c r="AR556" s="477">
        <f t="shared" si="281"/>
        <v>0</v>
      </c>
      <c r="AS556" s="480"/>
      <c r="AT556" s="477">
        <f t="shared" ca="1" si="282"/>
        <v>0</v>
      </c>
      <c r="AU556" s="475">
        <f t="shared" ca="1" si="283"/>
        <v>0</v>
      </c>
      <c r="AV556" s="480"/>
      <c r="AW556" s="477">
        <f t="shared" si="284"/>
        <v>0</v>
      </c>
      <c r="AX556" s="480"/>
      <c r="AY556" s="477">
        <f t="shared" si="285"/>
        <v>0</v>
      </c>
      <c r="AZ556" s="480"/>
      <c r="BA556" s="477">
        <f t="shared" si="286"/>
        <v>0</v>
      </c>
      <c r="BB556" s="480"/>
      <c r="BC556" s="850">
        <f t="shared" ca="1" si="287"/>
        <v>0</v>
      </c>
    </row>
    <row r="557" spans="1:55">
      <c r="A557" s="837" t="str">
        <f t="shared" si="259"/>
        <v/>
      </c>
      <c r="B557" s="440"/>
      <c r="C557" s="834" t="str">
        <f t="shared" ca="1" si="260"/>
        <v/>
      </c>
      <c r="D557" s="1757" t="str">
        <f ca="1">IFERROR(VLOOKUP(LEFT(E557,4),Nom_activ_2!D:G,4,0),"")</f>
        <v/>
      </c>
      <c r="E557" s="1757" t="str">
        <f t="shared" ca="1" si="261"/>
        <v/>
      </c>
      <c r="F557" s="1777">
        <f t="shared" ca="1" si="289"/>
        <v>0</v>
      </c>
      <c r="G557" s="839">
        <f t="shared" ca="1" si="289"/>
        <v>0</v>
      </c>
      <c r="H557" s="840">
        <f t="shared" ca="1" si="289"/>
        <v>0</v>
      </c>
      <c r="I557" s="443"/>
      <c r="J557" s="838" t="str">
        <f t="shared" si="262"/>
        <v>!$A:$j</v>
      </c>
      <c r="K557" s="475">
        <f t="shared" ca="1" si="263"/>
        <v>0</v>
      </c>
      <c r="L557" s="480"/>
      <c r="M557" s="477">
        <f t="shared" si="264"/>
        <v>0</v>
      </c>
      <c r="N557" s="480"/>
      <c r="O557" s="477">
        <f t="shared" si="265"/>
        <v>0</v>
      </c>
      <c r="P557" s="480"/>
      <c r="Q557" s="477">
        <f t="shared" si="266"/>
        <v>0</v>
      </c>
      <c r="R557" s="480"/>
      <c r="S557" s="477">
        <f t="shared" ca="1" si="267"/>
        <v>0</v>
      </c>
      <c r="T557" s="475">
        <f t="shared" ca="1" si="268"/>
        <v>0</v>
      </c>
      <c r="U557" s="480"/>
      <c r="V557" s="477">
        <f t="shared" si="269"/>
        <v>0</v>
      </c>
      <c r="W557" s="480"/>
      <c r="X557" s="477">
        <f t="shared" si="270"/>
        <v>0</v>
      </c>
      <c r="Y557" s="480"/>
      <c r="Z557" s="477">
        <f t="shared" si="271"/>
        <v>0</v>
      </c>
      <c r="AA557" s="480"/>
      <c r="AB557" s="477">
        <f t="shared" ca="1" si="272"/>
        <v>0</v>
      </c>
      <c r="AC557" s="475">
        <f t="shared" ca="1" si="273"/>
        <v>0</v>
      </c>
      <c r="AD557" s="480"/>
      <c r="AE557" s="477">
        <f t="shared" si="274"/>
        <v>0</v>
      </c>
      <c r="AF557" s="480"/>
      <c r="AG557" s="477">
        <f t="shared" si="275"/>
        <v>0</v>
      </c>
      <c r="AH557" s="480"/>
      <c r="AI557" s="477">
        <f t="shared" si="276"/>
        <v>0</v>
      </c>
      <c r="AJ557" s="480"/>
      <c r="AK557" s="477">
        <f t="shared" ca="1" si="277"/>
        <v>0</v>
      </c>
      <c r="AL557" s="475">
        <f t="shared" ca="1" si="278"/>
        <v>0</v>
      </c>
      <c r="AM557" s="480"/>
      <c r="AN557" s="477">
        <f t="shared" si="279"/>
        <v>0</v>
      </c>
      <c r="AO557" s="480"/>
      <c r="AP557" s="477">
        <f t="shared" si="280"/>
        <v>0</v>
      </c>
      <c r="AQ557" s="480"/>
      <c r="AR557" s="477">
        <f t="shared" si="281"/>
        <v>0</v>
      </c>
      <c r="AS557" s="480"/>
      <c r="AT557" s="477">
        <f t="shared" ca="1" si="282"/>
        <v>0</v>
      </c>
      <c r="AU557" s="475">
        <f t="shared" ca="1" si="283"/>
        <v>0</v>
      </c>
      <c r="AV557" s="480"/>
      <c r="AW557" s="477">
        <f t="shared" si="284"/>
        <v>0</v>
      </c>
      <c r="AX557" s="480"/>
      <c r="AY557" s="477">
        <f t="shared" si="285"/>
        <v>0</v>
      </c>
      <c r="AZ557" s="480"/>
      <c r="BA557" s="477">
        <f t="shared" si="286"/>
        <v>0</v>
      </c>
      <c r="BB557" s="480"/>
      <c r="BC557" s="850">
        <f t="shared" ca="1" si="287"/>
        <v>0</v>
      </c>
    </row>
    <row r="558" spans="1:55">
      <c r="A558" s="837" t="str">
        <f t="shared" si="259"/>
        <v/>
      </c>
      <c r="B558" s="440"/>
      <c r="C558" s="834" t="str">
        <f t="shared" ca="1" si="260"/>
        <v/>
      </c>
      <c r="D558" s="1757" t="str">
        <f ca="1">IFERROR(VLOOKUP(LEFT(E558,4),Nom_activ_2!D:G,4,0),"")</f>
        <v/>
      </c>
      <c r="E558" s="1757" t="str">
        <f t="shared" ca="1" si="261"/>
        <v/>
      </c>
      <c r="F558" s="1777">
        <f t="shared" ca="1" si="289"/>
        <v>0</v>
      </c>
      <c r="G558" s="839">
        <f t="shared" ca="1" si="289"/>
        <v>0</v>
      </c>
      <c r="H558" s="840">
        <f t="shared" ca="1" si="289"/>
        <v>0</v>
      </c>
      <c r="I558" s="443"/>
      <c r="J558" s="838" t="str">
        <f t="shared" si="262"/>
        <v>!$A:$j</v>
      </c>
      <c r="K558" s="475">
        <f t="shared" ca="1" si="263"/>
        <v>0</v>
      </c>
      <c r="L558" s="480"/>
      <c r="M558" s="477">
        <f t="shared" si="264"/>
        <v>0</v>
      </c>
      <c r="N558" s="480"/>
      <c r="O558" s="477">
        <f t="shared" si="265"/>
        <v>0</v>
      </c>
      <c r="P558" s="480"/>
      <c r="Q558" s="477">
        <f t="shared" si="266"/>
        <v>0</v>
      </c>
      <c r="R558" s="480"/>
      <c r="S558" s="477">
        <f t="shared" ca="1" si="267"/>
        <v>0</v>
      </c>
      <c r="T558" s="475">
        <f t="shared" ca="1" si="268"/>
        <v>0</v>
      </c>
      <c r="U558" s="480"/>
      <c r="V558" s="477">
        <f t="shared" si="269"/>
        <v>0</v>
      </c>
      <c r="W558" s="480"/>
      <c r="X558" s="477">
        <f t="shared" si="270"/>
        <v>0</v>
      </c>
      <c r="Y558" s="480"/>
      <c r="Z558" s="477">
        <f t="shared" si="271"/>
        <v>0</v>
      </c>
      <c r="AA558" s="480"/>
      <c r="AB558" s="477">
        <f t="shared" ca="1" si="272"/>
        <v>0</v>
      </c>
      <c r="AC558" s="475">
        <f t="shared" ca="1" si="273"/>
        <v>0</v>
      </c>
      <c r="AD558" s="480"/>
      <c r="AE558" s="477">
        <f t="shared" si="274"/>
        <v>0</v>
      </c>
      <c r="AF558" s="480"/>
      <c r="AG558" s="477">
        <f t="shared" si="275"/>
        <v>0</v>
      </c>
      <c r="AH558" s="480"/>
      <c r="AI558" s="477">
        <f t="shared" si="276"/>
        <v>0</v>
      </c>
      <c r="AJ558" s="480"/>
      <c r="AK558" s="477">
        <f t="shared" ca="1" si="277"/>
        <v>0</v>
      </c>
      <c r="AL558" s="475">
        <f t="shared" ca="1" si="278"/>
        <v>0</v>
      </c>
      <c r="AM558" s="480"/>
      <c r="AN558" s="477">
        <f t="shared" si="279"/>
        <v>0</v>
      </c>
      <c r="AO558" s="480"/>
      <c r="AP558" s="477">
        <f t="shared" si="280"/>
        <v>0</v>
      </c>
      <c r="AQ558" s="480"/>
      <c r="AR558" s="477">
        <f t="shared" si="281"/>
        <v>0</v>
      </c>
      <c r="AS558" s="480"/>
      <c r="AT558" s="477">
        <f t="shared" ca="1" si="282"/>
        <v>0</v>
      </c>
      <c r="AU558" s="475">
        <f t="shared" ca="1" si="283"/>
        <v>0</v>
      </c>
      <c r="AV558" s="480"/>
      <c r="AW558" s="477">
        <f t="shared" si="284"/>
        <v>0</v>
      </c>
      <c r="AX558" s="480"/>
      <c r="AY558" s="477">
        <f t="shared" si="285"/>
        <v>0</v>
      </c>
      <c r="AZ558" s="480"/>
      <c r="BA558" s="477">
        <f t="shared" si="286"/>
        <v>0</v>
      </c>
      <c r="BB558" s="480"/>
      <c r="BC558" s="850">
        <f t="shared" ca="1" si="287"/>
        <v>0</v>
      </c>
    </row>
    <row r="559" spans="1:55">
      <c r="A559" s="837" t="str">
        <f t="shared" si="259"/>
        <v/>
      </c>
      <c r="B559" s="440"/>
      <c r="C559" s="834" t="str">
        <f t="shared" ca="1" si="260"/>
        <v/>
      </c>
      <c r="D559" s="1757" t="str">
        <f ca="1">IFERROR(VLOOKUP(LEFT(E559,4),Nom_activ_2!D:G,4,0),"")</f>
        <v/>
      </c>
      <c r="E559" s="1757" t="str">
        <f t="shared" ca="1" si="261"/>
        <v/>
      </c>
      <c r="F559" s="1777">
        <f t="shared" ca="1" si="289"/>
        <v>0</v>
      </c>
      <c r="G559" s="839">
        <f t="shared" ca="1" si="289"/>
        <v>0</v>
      </c>
      <c r="H559" s="840">
        <f t="shared" ca="1" si="289"/>
        <v>0</v>
      </c>
      <c r="I559" s="443"/>
      <c r="J559" s="838" t="str">
        <f t="shared" si="262"/>
        <v>!$A:$j</v>
      </c>
      <c r="K559" s="475">
        <f t="shared" ca="1" si="263"/>
        <v>0</v>
      </c>
      <c r="L559" s="480"/>
      <c r="M559" s="477">
        <f t="shared" si="264"/>
        <v>0</v>
      </c>
      <c r="N559" s="480"/>
      <c r="O559" s="477">
        <f t="shared" si="265"/>
        <v>0</v>
      </c>
      <c r="P559" s="480"/>
      <c r="Q559" s="477">
        <f t="shared" si="266"/>
        <v>0</v>
      </c>
      <c r="R559" s="480"/>
      <c r="S559" s="477">
        <f t="shared" ca="1" si="267"/>
        <v>0</v>
      </c>
      <c r="T559" s="475">
        <f t="shared" ca="1" si="268"/>
        <v>0</v>
      </c>
      <c r="U559" s="480"/>
      <c r="V559" s="477">
        <f t="shared" si="269"/>
        <v>0</v>
      </c>
      <c r="W559" s="480"/>
      <c r="X559" s="477">
        <f t="shared" si="270"/>
        <v>0</v>
      </c>
      <c r="Y559" s="480"/>
      <c r="Z559" s="477">
        <f t="shared" si="271"/>
        <v>0</v>
      </c>
      <c r="AA559" s="480"/>
      <c r="AB559" s="477">
        <f t="shared" ca="1" si="272"/>
        <v>0</v>
      </c>
      <c r="AC559" s="475">
        <f t="shared" ca="1" si="273"/>
        <v>0</v>
      </c>
      <c r="AD559" s="480"/>
      <c r="AE559" s="477">
        <f t="shared" si="274"/>
        <v>0</v>
      </c>
      <c r="AF559" s="480"/>
      <c r="AG559" s="477">
        <f t="shared" si="275"/>
        <v>0</v>
      </c>
      <c r="AH559" s="480"/>
      <c r="AI559" s="477">
        <f t="shared" si="276"/>
        <v>0</v>
      </c>
      <c r="AJ559" s="480"/>
      <c r="AK559" s="477">
        <f t="shared" ca="1" si="277"/>
        <v>0</v>
      </c>
      <c r="AL559" s="475">
        <f t="shared" ca="1" si="278"/>
        <v>0</v>
      </c>
      <c r="AM559" s="480"/>
      <c r="AN559" s="477">
        <f t="shared" si="279"/>
        <v>0</v>
      </c>
      <c r="AO559" s="480"/>
      <c r="AP559" s="477">
        <f t="shared" si="280"/>
        <v>0</v>
      </c>
      <c r="AQ559" s="480"/>
      <c r="AR559" s="477">
        <f t="shared" si="281"/>
        <v>0</v>
      </c>
      <c r="AS559" s="480"/>
      <c r="AT559" s="477">
        <f t="shared" ca="1" si="282"/>
        <v>0</v>
      </c>
      <c r="AU559" s="475">
        <f t="shared" ca="1" si="283"/>
        <v>0</v>
      </c>
      <c r="AV559" s="480"/>
      <c r="AW559" s="477">
        <f t="shared" si="284"/>
        <v>0</v>
      </c>
      <c r="AX559" s="480"/>
      <c r="AY559" s="477">
        <f t="shared" si="285"/>
        <v>0</v>
      </c>
      <c r="AZ559" s="480"/>
      <c r="BA559" s="477">
        <f t="shared" si="286"/>
        <v>0</v>
      </c>
      <c r="BB559" s="480"/>
      <c r="BC559" s="850">
        <f t="shared" ca="1" si="287"/>
        <v>0</v>
      </c>
    </row>
    <row r="560" spans="1:55">
      <c r="A560" s="837" t="str">
        <f t="shared" si="259"/>
        <v/>
      </c>
      <c r="B560" s="440"/>
      <c r="C560" s="834" t="str">
        <f t="shared" ca="1" si="260"/>
        <v/>
      </c>
      <c r="D560" s="1757" t="str">
        <f ca="1">IFERROR(VLOOKUP(LEFT(E560,4),Nom_activ_2!D:G,4,0),"")</f>
        <v/>
      </c>
      <c r="E560" s="1757" t="str">
        <f t="shared" ca="1" si="261"/>
        <v/>
      </c>
      <c r="F560" s="1777">
        <f t="shared" ca="1" si="289"/>
        <v>0</v>
      </c>
      <c r="G560" s="839">
        <f t="shared" ca="1" si="289"/>
        <v>0</v>
      </c>
      <c r="H560" s="840">
        <f t="shared" ca="1" si="289"/>
        <v>0</v>
      </c>
      <c r="I560" s="443"/>
      <c r="J560" s="838" t="str">
        <f t="shared" si="262"/>
        <v>!$A:$j</v>
      </c>
      <c r="K560" s="475">
        <f t="shared" ca="1" si="263"/>
        <v>0</v>
      </c>
      <c r="L560" s="480"/>
      <c r="M560" s="477">
        <f t="shared" si="264"/>
        <v>0</v>
      </c>
      <c r="N560" s="480"/>
      <c r="O560" s="477">
        <f t="shared" si="265"/>
        <v>0</v>
      </c>
      <c r="P560" s="480"/>
      <c r="Q560" s="477">
        <f t="shared" si="266"/>
        <v>0</v>
      </c>
      <c r="R560" s="480"/>
      <c r="S560" s="477">
        <f t="shared" ca="1" si="267"/>
        <v>0</v>
      </c>
      <c r="T560" s="475">
        <f t="shared" ca="1" si="268"/>
        <v>0</v>
      </c>
      <c r="U560" s="480"/>
      <c r="V560" s="477">
        <f t="shared" si="269"/>
        <v>0</v>
      </c>
      <c r="W560" s="480"/>
      <c r="X560" s="477">
        <f t="shared" si="270"/>
        <v>0</v>
      </c>
      <c r="Y560" s="480"/>
      <c r="Z560" s="477">
        <f t="shared" si="271"/>
        <v>0</v>
      </c>
      <c r="AA560" s="480"/>
      <c r="AB560" s="477">
        <f t="shared" ca="1" si="272"/>
        <v>0</v>
      </c>
      <c r="AC560" s="475">
        <f t="shared" ca="1" si="273"/>
        <v>0</v>
      </c>
      <c r="AD560" s="480"/>
      <c r="AE560" s="477">
        <f t="shared" si="274"/>
        <v>0</v>
      </c>
      <c r="AF560" s="480"/>
      <c r="AG560" s="477">
        <f t="shared" si="275"/>
        <v>0</v>
      </c>
      <c r="AH560" s="480"/>
      <c r="AI560" s="477">
        <f t="shared" si="276"/>
        <v>0</v>
      </c>
      <c r="AJ560" s="480"/>
      <c r="AK560" s="477">
        <f t="shared" ca="1" si="277"/>
        <v>0</v>
      </c>
      <c r="AL560" s="475">
        <f t="shared" ca="1" si="278"/>
        <v>0</v>
      </c>
      <c r="AM560" s="480"/>
      <c r="AN560" s="477">
        <f t="shared" si="279"/>
        <v>0</v>
      </c>
      <c r="AO560" s="480"/>
      <c r="AP560" s="477">
        <f t="shared" si="280"/>
        <v>0</v>
      </c>
      <c r="AQ560" s="480"/>
      <c r="AR560" s="477">
        <f t="shared" si="281"/>
        <v>0</v>
      </c>
      <c r="AS560" s="480"/>
      <c r="AT560" s="477">
        <f t="shared" ca="1" si="282"/>
        <v>0</v>
      </c>
      <c r="AU560" s="475">
        <f t="shared" ca="1" si="283"/>
        <v>0</v>
      </c>
      <c r="AV560" s="480"/>
      <c r="AW560" s="477">
        <f t="shared" si="284"/>
        <v>0</v>
      </c>
      <c r="AX560" s="480"/>
      <c r="AY560" s="477">
        <f t="shared" si="285"/>
        <v>0</v>
      </c>
      <c r="AZ560" s="480"/>
      <c r="BA560" s="477">
        <f t="shared" si="286"/>
        <v>0</v>
      </c>
      <c r="BB560" s="480"/>
      <c r="BC560" s="850">
        <f t="shared" ca="1" si="287"/>
        <v>0</v>
      </c>
    </row>
    <row r="561" spans="1:55">
      <c r="A561" s="837" t="str">
        <f t="shared" si="259"/>
        <v/>
      </c>
      <c r="B561" s="440"/>
      <c r="C561" s="834" t="str">
        <f t="shared" ca="1" si="260"/>
        <v/>
      </c>
      <c r="D561" s="1757" t="str">
        <f ca="1">IFERROR(VLOOKUP(LEFT(E561,4),Nom_activ_2!D:G,4,0),"")</f>
        <v/>
      </c>
      <c r="E561" s="1757" t="str">
        <f t="shared" ca="1" si="261"/>
        <v/>
      </c>
      <c r="F561" s="1777">
        <f t="shared" ca="1" si="289"/>
        <v>0</v>
      </c>
      <c r="G561" s="839">
        <f t="shared" ca="1" si="289"/>
        <v>0</v>
      </c>
      <c r="H561" s="840">
        <f t="shared" ca="1" si="289"/>
        <v>0</v>
      </c>
      <c r="I561" s="443"/>
      <c r="J561" s="838" t="str">
        <f t="shared" si="262"/>
        <v>!$A:$j</v>
      </c>
      <c r="K561" s="475">
        <f t="shared" ca="1" si="263"/>
        <v>0</v>
      </c>
      <c r="L561" s="480"/>
      <c r="M561" s="477">
        <f t="shared" si="264"/>
        <v>0</v>
      </c>
      <c r="N561" s="480"/>
      <c r="O561" s="477">
        <f t="shared" si="265"/>
        <v>0</v>
      </c>
      <c r="P561" s="480"/>
      <c r="Q561" s="477">
        <f t="shared" si="266"/>
        <v>0</v>
      </c>
      <c r="R561" s="480"/>
      <c r="S561" s="477">
        <f t="shared" ca="1" si="267"/>
        <v>0</v>
      </c>
      <c r="T561" s="475">
        <f t="shared" ca="1" si="268"/>
        <v>0</v>
      </c>
      <c r="U561" s="480"/>
      <c r="V561" s="477">
        <f t="shared" si="269"/>
        <v>0</v>
      </c>
      <c r="W561" s="480"/>
      <c r="X561" s="477">
        <f t="shared" si="270"/>
        <v>0</v>
      </c>
      <c r="Y561" s="480"/>
      <c r="Z561" s="477">
        <f t="shared" si="271"/>
        <v>0</v>
      </c>
      <c r="AA561" s="480"/>
      <c r="AB561" s="477">
        <f t="shared" ca="1" si="272"/>
        <v>0</v>
      </c>
      <c r="AC561" s="475">
        <f t="shared" ca="1" si="273"/>
        <v>0</v>
      </c>
      <c r="AD561" s="480"/>
      <c r="AE561" s="477">
        <f t="shared" si="274"/>
        <v>0</v>
      </c>
      <c r="AF561" s="480"/>
      <c r="AG561" s="477">
        <f t="shared" si="275"/>
        <v>0</v>
      </c>
      <c r="AH561" s="480"/>
      <c r="AI561" s="477">
        <f t="shared" si="276"/>
        <v>0</v>
      </c>
      <c r="AJ561" s="480"/>
      <c r="AK561" s="477">
        <f t="shared" ca="1" si="277"/>
        <v>0</v>
      </c>
      <c r="AL561" s="475">
        <f t="shared" ca="1" si="278"/>
        <v>0</v>
      </c>
      <c r="AM561" s="480"/>
      <c r="AN561" s="477">
        <f t="shared" si="279"/>
        <v>0</v>
      </c>
      <c r="AO561" s="480"/>
      <c r="AP561" s="477">
        <f t="shared" si="280"/>
        <v>0</v>
      </c>
      <c r="AQ561" s="480"/>
      <c r="AR561" s="477">
        <f t="shared" si="281"/>
        <v>0</v>
      </c>
      <c r="AS561" s="480"/>
      <c r="AT561" s="477">
        <f t="shared" ca="1" si="282"/>
        <v>0</v>
      </c>
      <c r="AU561" s="475">
        <f t="shared" ca="1" si="283"/>
        <v>0</v>
      </c>
      <c r="AV561" s="480"/>
      <c r="AW561" s="477">
        <f t="shared" si="284"/>
        <v>0</v>
      </c>
      <c r="AX561" s="480"/>
      <c r="AY561" s="477">
        <f t="shared" si="285"/>
        <v>0</v>
      </c>
      <c r="AZ561" s="480"/>
      <c r="BA561" s="477">
        <f t="shared" si="286"/>
        <v>0</v>
      </c>
      <c r="BB561" s="480"/>
      <c r="BC561" s="850">
        <f t="shared" ca="1" si="287"/>
        <v>0</v>
      </c>
    </row>
    <row r="562" spans="1:55">
      <c r="A562" s="837" t="str">
        <f t="shared" si="259"/>
        <v/>
      </c>
      <c r="B562" s="440"/>
      <c r="C562" s="834" t="str">
        <f t="shared" ca="1" si="260"/>
        <v/>
      </c>
      <c r="D562" s="1757" t="str">
        <f ca="1">IFERROR(VLOOKUP(LEFT(E562,4),Nom_activ_2!D:G,4,0),"")</f>
        <v/>
      </c>
      <c r="E562" s="1757" t="str">
        <f t="shared" ca="1" si="261"/>
        <v/>
      </c>
      <c r="F562" s="1777">
        <f t="shared" ca="1" si="289"/>
        <v>0</v>
      </c>
      <c r="G562" s="839">
        <f t="shared" ca="1" si="289"/>
        <v>0</v>
      </c>
      <c r="H562" s="840">
        <f t="shared" ca="1" si="289"/>
        <v>0</v>
      </c>
      <c r="I562" s="443"/>
      <c r="J562" s="838" t="str">
        <f t="shared" si="262"/>
        <v>!$A:$j</v>
      </c>
      <c r="K562" s="475">
        <f t="shared" ca="1" si="263"/>
        <v>0</v>
      </c>
      <c r="L562" s="480"/>
      <c r="M562" s="477">
        <f t="shared" si="264"/>
        <v>0</v>
      </c>
      <c r="N562" s="480"/>
      <c r="O562" s="477">
        <f t="shared" si="265"/>
        <v>0</v>
      </c>
      <c r="P562" s="480"/>
      <c r="Q562" s="477">
        <f t="shared" si="266"/>
        <v>0</v>
      </c>
      <c r="R562" s="480"/>
      <c r="S562" s="477">
        <f t="shared" ca="1" si="267"/>
        <v>0</v>
      </c>
      <c r="T562" s="475">
        <f t="shared" ca="1" si="268"/>
        <v>0</v>
      </c>
      <c r="U562" s="480"/>
      <c r="V562" s="477">
        <f t="shared" si="269"/>
        <v>0</v>
      </c>
      <c r="W562" s="480"/>
      <c r="X562" s="477">
        <f t="shared" si="270"/>
        <v>0</v>
      </c>
      <c r="Y562" s="480"/>
      <c r="Z562" s="477">
        <f t="shared" si="271"/>
        <v>0</v>
      </c>
      <c r="AA562" s="480"/>
      <c r="AB562" s="477">
        <f t="shared" ca="1" si="272"/>
        <v>0</v>
      </c>
      <c r="AC562" s="475">
        <f t="shared" ca="1" si="273"/>
        <v>0</v>
      </c>
      <c r="AD562" s="480"/>
      <c r="AE562" s="477">
        <f t="shared" si="274"/>
        <v>0</v>
      </c>
      <c r="AF562" s="480"/>
      <c r="AG562" s="477">
        <f t="shared" si="275"/>
        <v>0</v>
      </c>
      <c r="AH562" s="480"/>
      <c r="AI562" s="477">
        <f t="shared" si="276"/>
        <v>0</v>
      </c>
      <c r="AJ562" s="480"/>
      <c r="AK562" s="477">
        <f t="shared" ca="1" si="277"/>
        <v>0</v>
      </c>
      <c r="AL562" s="475">
        <f t="shared" ca="1" si="278"/>
        <v>0</v>
      </c>
      <c r="AM562" s="480"/>
      <c r="AN562" s="477">
        <f t="shared" si="279"/>
        <v>0</v>
      </c>
      <c r="AO562" s="480"/>
      <c r="AP562" s="477">
        <f t="shared" si="280"/>
        <v>0</v>
      </c>
      <c r="AQ562" s="480"/>
      <c r="AR562" s="477">
        <f t="shared" si="281"/>
        <v>0</v>
      </c>
      <c r="AS562" s="480"/>
      <c r="AT562" s="477">
        <f t="shared" ca="1" si="282"/>
        <v>0</v>
      </c>
      <c r="AU562" s="475">
        <f t="shared" ca="1" si="283"/>
        <v>0</v>
      </c>
      <c r="AV562" s="480"/>
      <c r="AW562" s="477">
        <f t="shared" si="284"/>
        <v>0</v>
      </c>
      <c r="AX562" s="480"/>
      <c r="AY562" s="477">
        <f t="shared" si="285"/>
        <v>0</v>
      </c>
      <c r="AZ562" s="480"/>
      <c r="BA562" s="477">
        <f t="shared" si="286"/>
        <v>0</v>
      </c>
      <c r="BB562" s="480"/>
      <c r="BC562" s="850">
        <f t="shared" ca="1" si="287"/>
        <v>0</v>
      </c>
    </row>
    <row r="563" spans="1:55">
      <c r="A563" s="837" t="str">
        <f t="shared" si="259"/>
        <v/>
      </c>
      <c r="B563" s="440"/>
      <c r="C563" s="834" t="str">
        <f t="shared" ca="1" si="260"/>
        <v/>
      </c>
      <c r="D563" s="1757" t="str">
        <f ca="1">IFERROR(VLOOKUP(LEFT(E563,4),Nom_activ_2!D:G,4,0),"")</f>
        <v/>
      </c>
      <c r="E563" s="1757" t="str">
        <f t="shared" ca="1" si="261"/>
        <v/>
      </c>
      <c r="F563" s="1777">
        <f t="shared" ca="1" si="289"/>
        <v>0</v>
      </c>
      <c r="G563" s="839">
        <f t="shared" ca="1" si="289"/>
        <v>0</v>
      </c>
      <c r="H563" s="840">
        <f t="shared" ca="1" si="289"/>
        <v>0</v>
      </c>
      <c r="I563" s="443"/>
      <c r="J563" s="838" t="str">
        <f t="shared" si="262"/>
        <v>!$A:$j</v>
      </c>
      <c r="K563" s="475">
        <f t="shared" ca="1" si="263"/>
        <v>0</v>
      </c>
      <c r="L563" s="480"/>
      <c r="M563" s="477">
        <f t="shared" si="264"/>
        <v>0</v>
      </c>
      <c r="N563" s="480"/>
      <c r="O563" s="477">
        <f t="shared" si="265"/>
        <v>0</v>
      </c>
      <c r="P563" s="480"/>
      <c r="Q563" s="477">
        <f t="shared" si="266"/>
        <v>0</v>
      </c>
      <c r="R563" s="480"/>
      <c r="S563" s="477">
        <f t="shared" ca="1" si="267"/>
        <v>0</v>
      </c>
      <c r="T563" s="475">
        <f t="shared" ca="1" si="268"/>
        <v>0</v>
      </c>
      <c r="U563" s="480"/>
      <c r="V563" s="477">
        <f t="shared" si="269"/>
        <v>0</v>
      </c>
      <c r="W563" s="480"/>
      <c r="X563" s="477">
        <f t="shared" si="270"/>
        <v>0</v>
      </c>
      <c r="Y563" s="480"/>
      <c r="Z563" s="477">
        <f t="shared" si="271"/>
        <v>0</v>
      </c>
      <c r="AA563" s="480"/>
      <c r="AB563" s="477">
        <f t="shared" ca="1" si="272"/>
        <v>0</v>
      </c>
      <c r="AC563" s="475">
        <f t="shared" ca="1" si="273"/>
        <v>0</v>
      </c>
      <c r="AD563" s="480"/>
      <c r="AE563" s="477">
        <f t="shared" si="274"/>
        <v>0</v>
      </c>
      <c r="AF563" s="480"/>
      <c r="AG563" s="477">
        <f t="shared" si="275"/>
        <v>0</v>
      </c>
      <c r="AH563" s="480"/>
      <c r="AI563" s="477">
        <f t="shared" si="276"/>
        <v>0</v>
      </c>
      <c r="AJ563" s="480"/>
      <c r="AK563" s="477">
        <f t="shared" ca="1" si="277"/>
        <v>0</v>
      </c>
      <c r="AL563" s="475">
        <f t="shared" ca="1" si="278"/>
        <v>0</v>
      </c>
      <c r="AM563" s="480"/>
      <c r="AN563" s="477">
        <f t="shared" si="279"/>
        <v>0</v>
      </c>
      <c r="AO563" s="480"/>
      <c r="AP563" s="477">
        <f t="shared" si="280"/>
        <v>0</v>
      </c>
      <c r="AQ563" s="480"/>
      <c r="AR563" s="477">
        <f t="shared" si="281"/>
        <v>0</v>
      </c>
      <c r="AS563" s="480"/>
      <c r="AT563" s="477">
        <f t="shared" ca="1" si="282"/>
        <v>0</v>
      </c>
      <c r="AU563" s="475">
        <f t="shared" ca="1" si="283"/>
        <v>0</v>
      </c>
      <c r="AV563" s="480"/>
      <c r="AW563" s="477">
        <f t="shared" si="284"/>
        <v>0</v>
      </c>
      <c r="AX563" s="480"/>
      <c r="AY563" s="477">
        <f t="shared" si="285"/>
        <v>0</v>
      </c>
      <c r="AZ563" s="480"/>
      <c r="BA563" s="477">
        <f t="shared" si="286"/>
        <v>0</v>
      </c>
      <c r="BB563" s="480"/>
      <c r="BC563" s="850">
        <f t="shared" ca="1" si="287"/>
        <v>0</v>
      </c>
    </row>
    <row r="564" spans="1:55">
      <c r="A564" s="837" t="str">
        <f t="shared" si="259"/>
        <v/>
      </c>
      <c r="B564" s="440"/>
      <c r="C564" s="834" t="str">
        <f t="shared" ca="1" si="260"/>
        <v/>
      </c>
      <c r="D564" s="1757" t="str">
        <f ca="1">IFERROR(VLOOKUP(LEFT(E564,4),Nom_activ_2!D:G,4,0),"")</f>
        <v/>
      </c>
      <c r="E564" s="1757" t="str">
        <f t="shared" ca="1" si="261"/>
        <v/>
      </c>
      <c r="F564" s="1777">
        <f t="shared" ca="1" si="289"/>
        <v>0</v>
      </c>
      <c r="G564" s="839">
        <f t="shared" ca="1" si="289"/>
        <v>0</v>
      </c>
      <c r="H564" s="840">
        <f t="shared" ca="1" si="289"/>
        <v>0</v>
      </c>
      <c r="I564" s="443"/>
      <c r="J564" s="838" t="str">
        <f t="shared" si="262"/>
        <v>!$A:$j</v>
      </c>
      <c r="K564" s="475">
        <f t="shared" ca="1" si="263"/>
        <v>0</v>
      </c>
      <c r="L564" s="480"/>
      <c r="M564" s="477">
        <f t="shared" si="264"/>
        <v>0</v>
      </c>
      <c r="N564" s="480"/>
      <c r="O564" s="477">
        <f t="shared" si="265"/>
        <v>0</v>
      </c>
      <c r="P564" s="480"/>
      <c r="Q564" s="477">
        <f t="shared" si="266"/>
        <v>0</v>
      </c>
      <c r="R564" s="480"/>
      <c r="S564" s="477">
        <f t="shared" ca="1" si="267"/>
        <v>0</v>
      </c>
      <c r="T564" s="475">
        <f t="shared" ca="1" si="268"/>
        <v>0</v>
      </c>
      <c r="U564" s="480"/>
      <c r="V564" s="477">
        <f t="shared" si="269"/>
        <v>0</v>
      </c>
      <c r="W564" s="480"/>
      <c r="X564" s="477">
        <f t="shared" si="270"/>
        <v>0</v>
      </c>
      <c r="Y564" s="480"/>
      <c r="Z564" s="477">
        <f t="shared" si="271"/>
        <v>0</v>
      </c>
      <c r="AA564" s="480"/>
      <c r="AB564" s="477">
        <f t="shared" ca="1" si="272"/>
        <v>0</v>
      </c>
      <c r="AC564" s="475">
        <f t="shared" ca="1" si="273"/>
        <v>0</v>
      </c>
      <c r="AD564" s="480"/>
      <c r="AE564" s="477">
        <f t="shared" si="274"/>
        <v>0</v>
      </c>
      <c r="AF564" s="480"/>
      <c r="AG564" s="477">
        <f t="shared" si="275"/>
        <v>0</v>
      </c>
      <c r="AH564" s="480"/>
      <c r="AI564" s="477">
        <f t="shared" si="276"/>
        <v>0</v>
      </c>
      <c r="AJ564" s="480"/>
      <c r="AK564" s="477">
        <f t="shared" ca="1" si="277"/>
        <v>0</v>
      </c>
      <c r="AL564" s="475">
        <f t="shared" ca="1" si="278"/>
        <v>0</v>
      </c>
      <c r="AM564" s="480"/>
      <c r="AN564" s="477">
        <f t="shared" si="279"/>
        <v>0</v>
      </c>
      <c r="AO564" s="480"/>
      <c r="AP564" s="477">
        <f t="shared" si="280"/>
        <v>0</v>
      </c>
      <c r="AQ564" s="480"/>
      <c r="AR564" s="477">
        <f t="shared" si="281"/>
        <v>0</v>
      </c>
      <c r="AS564" s="480"/>
      <c r="AT564" s="477">
        <f t="shared" ca="1" si="282"/>
        <v>0</v>
      </c>
      <c r="AU564" s="475">
        <f t="shared" ca="1" si="283"/>
        <v>0</v>
      </c>
      <c r="AV564" s="480"/>
      <c r="AW564" s="477">
        <f t="shared" si="284"/>
        <v>0</v>
      </c>
      <c r="AX564" s="480"/>
      <c r="AY564" s="477">
        <f t="shared" si="285"/>
        <v>0</v>
      </c>
      <c r="AZ564" s="480"/>
      <c r="BA564" s="477">
        <f t="shared" si="286"/>
        <v>0</v>
      </c>
      <c r="BB564" s="480"/>
      <c r="BC564" s="850">
        <f t="shared" ca="1" si="287"/>
        <v>0</v>
      </c>
    </row>
    <row r="565" spans="1:55">
      <c r="A565" s="837" t="str">
        <f t="shared" si="259"/>
        <v/>
      </c>
      <c r="B565" s="440"/>
      <c r="C565" s="834" t="str">
        <f t="shared" ca="1" si="260"/>
        <v/>
      </c>
      <c r="D565" s="1757" t="str">
        <f ca="1">IFERROR(VLOOKUP(LEFT(E565,4),Nom_activ_2!D:G,4,0),"")</f>
        <v/>
      </c>
      <c r="E565" s="1757" t="str">
        <f t="shared" ca="1" si="261"/>
        <v/>
      </c>
      <c r="F565" s="1777">
        <f t="shared" ca="1" si="289"/>
        <v>0</v>
      </c>
      <c r="G565" s="839">
        <f t="shared" ca="1" si="289"/>
        <v>0</v>
      </c>
      <c r="H565" s="840">
        <f t="shared" ca="1" si="289"/>
        <v>0</v>
      </c>
      <c r="I565" s="443"/>
      <c r="J565" s="838" t="str">
        <f t="shared" si="262"/>
        <v>!$A:$j</v>
      </c>
      <c r="K565" s="475">
        <f t="shared" ca="1" si="263"/>
        <v>0</v>
      </c>
      <c r="L565" s="480"/>
      <c r="M565" s="477">
        <f t="shared" si="264"/>
        <v>0</v>
      </c>
      <c r="N565" s="480"/>
      <c r="O565" s="477">
        <f t="shared" si="265"/>
        <v>0</v>
      </c>
      <c r="P565" s="480"/>
      <c r="Q565" s="477">
        <f t="shared" si="266"/>
        <v>0</v>
      </c>
      <c r="R565" s="480"/>
      <c r="S565" s="477">
        <f t="shared" ca="1" si="267"/>
        <v>0</v>
      </c>
      <c r="T565" s="475">
        <f t="shared" ca="1" si="268"/>
        <v>0</v>
      </c>
      <c r="U565" s="480"/>
      <c r="V565" s="477">
        <f t="shared" si="269"/>
        <v>0</v>
      </c>
      <c r="W565" s="480"/>
      <c r="X565" s="477">
        <f t="shared" si="270"/>
        <v>0</v>
      </c>
      <c r="Y565" s="480"/>
      <c r="Z565" s="477">
        <f t="shared" si="271"/>
        <v>0</v>
      </c>
      <c r="AA565" s="480"/>
      <c r="AB565" s="477">
        <f t="shared" ca="1" si="272"/>
        <v>0</v>
      </c>
      <c r="AC565" s="475">
        <f t="shared" ca="1" si="273"/>
        <v>0</v>
      </c>
      <c r="AD565" s="480"/>
      <c r="AE565" s="477">
        <f t="shared" si="274"/>
        <v>0</v>
      </c>
      <c r="AF565" s="480"/>
      <c r="AG565" s="477">
        <f t="shared" si="275"/>
        <v>0</v>
      </c>
      <c r="AH565" s="480"/>
      <c r="AI565" s="477">
        <f t="shared" si="276"/>
        <v>0</v>
      </c>
      <c r="AJ565" s="480"/>
      <c r="AK565" s="477">
        <f t="shared" ca="1" si="277"/>
        <v>0</v>
      </c>
      <c r="AL565" s="475">
        <f t="shared" ca="1" si="278"/>
        <v>0</v>
      </c>
      <c r="AM565" s="480"/>
      <c r="AN565" s="477">
        <f t="shared" si="279"/>
        <v>0</v>
      </c>
      <c r="AO565" s="480"/>
      <c r="AP565" s="477">
        <f t="shared" si="280"/>
        <v>0</v>
      </c>
      <c r="AQ565" s="480"/>
      <c r="AR565" s="477">
        <f t="shared" si="281"/>
        <v>0</v>
      </c>
      <c r="AS565" s="480"/>
      <c r="AT565" s="477">
        <f t="shared" ca="1" si="282"/>
        <v>0</v>
      </c>
      <c r="AU565" s="475">
        <f t="shared" ca="1" si="283"/>
        <v>0</v>
      </c>
      <c r="AV565" s="480"/>
      <c r="AW565" s="477">
        <f t="shared" si="284"/>
        <v>0</v>
      </c>
      <c r="AX565" s="480"/>
      <c r="AY565" s="477">
        <f t="shared" si="285"/>
        <v>0</v>
      </c>
      <c r="AZ565" s="480"/>
      <c r="BA565" s="477">
        <f t="shared" si="286"/>
        <v>0</v>
      </c>
      <c r="BB565" s="480"/>
      <c r="BC565" s="850">
        <f t="shared" ca="1" si="287"/>
        <v>0</v>
      </c>
    </row>
    <row r="566" spans="1:55">
      <c r="A566" s="837" t="str">
        <f t="shared" si="259"/>
        <v/>
      </c>
      <c r="B566" s="440"/>
      <c r="C566" s="834" t="str">
        <f t="shared" ca="1" si="260"/>
        <v/>
      </c>
      <c r="D566" s="1757" t="str">
        <f ca="1">IFERROR(VLOOKUP(LEFT(E566,4),Nom_activ_2!D:G,4,0),"")</f>
        <v/>
      </c>
      <c r="E566" s="1757" t="str">
        <f t="shared" ca="1" si="261"/>
        <v/>
      </c>
      <c r="F566" s="1777">
        <f t="shared" ca="1" si="289"/>
        <v>0</v>
      </c>
      <c r="G566" s="839">
        <f t="shared" ca="1" si="289"/>
        <v>0</v>
      </c>
      <c r="H566" s="840">
        <f t="shared" ca="1" si="289"/>
        <v>0</v>
      </c>
      <c r="I566" s="443"/>
      <c r="J566" s="838" t="str">
        <f t="shared" si="262"/>
        <v>!$A:$j</v>
      </c>
      <c r="K566" s="475">
        <f t="shared" ca="1" si="263"/>
        <v>0</v>
      </c>
      <c r="L566" s="480"/>
      <c r="M566" s="477">
        <f t="shared" si="264"/>
        <v>0</v>
      </c>
      <c r="N566" s="480"/>
      <c r="O566" s="477">
        <f t="shared" si="265"/>
        <v>0</v>
      </c>
      <c r="P566" s="480"/>
      <c r="Q566" s="477">
        <f t="shared" si="266"/>
        <v>0</v>
      </c>
      <c r="R566" s="480"/>
      <c r="S566" s="477">
        <f t="shared" ca="1" si="267"/>
        <v>0</v>
      </c>
      <c r="T566" s="475">
        <f t="shared" ca="1" si="268"/>
        <v>0</v>
      </c>
      <c r="U566" s="480"/>
      <c r="V566" s="477">
        <f t="shared" si="269"/>
        <v>0</v>
      </c>
      <c r="W566" s="480"/>
      <c r="X566" s="477">
        <f t="shared" si="270"/>
        <v>0</v>
      </c>
      <c r="Y566" s="480"/>
      <c r="Z566" s="477">
        <f t="shared" si="271"/>
        <v>0</v>
      </c>
      <c r="AA566" s="480"/>
      <c r="AB566" s="477">
        <f t="shared" ca="1" si="272"/>
        <v>0</v>
      </c>
      <c r="AC566" s="475">
        <f t="shared" ca="1" si="273"/>
        <v>0</v>
      </c>
      <c r="AD566" s="480"/>
      <c r="AE566" s="477">
        <f t="shared" si="274"/>
        <v>0</v>
      </c>
      <c r="AF566" s="480"/>
      <c r="AG566" s="477">
        <f t="shared" si="275"/>
        <v>0</v>
      </c>
      <c r="AH566" s="480"/>
      <c r="AI566" s="477">
        <f t="shared" si="276"/>
        <v>0</v>
      </c>
      <c r="AJ566" s="480"/>
      <c r="AK566" s="477">
        <f t="shared" ca="1" si="277"/>
        <v>0</v>
      </c>
      <c r="AL566" s="475">
        <f t="shared" ca="1" si="278"/>
        <v>0</v>
      </c>
      <c r="AM566" s="480"/>
      <c r="AN566" s="477">
        <f t="shared" si="279"/>
        <v>0</v>
      </c>
      <c r="AO566" s="480"/>
      <c r="AP566" s="477">
        <f t="shared" si="280"/>
        <v>0</v>
      </c>
      <c r="AQ566" s="480"/>
      <c r="AR566" s="477">
        <f t="shared" si="281"/>
        <v>0</v>
      </c>
      <c r="AS566" s="480"/>
      <c r="AT566" s="477">
        <f t="shared" ca="1" si="282"/>
        <v>0</v>
      </c>
      <c r="AU566" s="475">
        <f t="shared" ca="1" si="283"/>
        <v>0</v>
      </c>
      <c r="AV566" s="480"/>
      <c r="AW566" s="477">
        <f t="shared" si="284"/>
        <v>0</v>
      </c>
      <c r="AX566" s="480"/>
      <c r="AY566" s="477">
        <f t="shared" si="285"/>
        <v>0</v>
      </c>
      <c r="AZ566" s="480"/>
      <c r="BA566" s="477">
        <f t="shared" si="286"/>
        <v>0</v>
      </c>
      <c r="BB566" s="480"/>
      <c r="BC566" s="850">
        <f t="shared" ca="1" si="287"/>
        <v>0</v>
      </c>
    </row>
    <row r="567" spans="1:55">
      <c r="A567" s="837" t="str">
        <f t="shared" si="259"/>
        <v/>
      </c>
      <c r="B567" s="440"/>
      <c r="C567" s="834" t="str">
        <f t="shared" ca="1" si="260"/>
        <v/>
      </c>
      <c r="D567" s="1757" t="str">
        <f ca="1">IFERROR(VLOOKUP(LEFT(E567,4),Nom_activ_2!D:G,4,0),"")</f>
        <v/>
      </c>
      <c r="E567" s="1757" t="str">
        <f t="shared" ca="1" si="261"/>
        <v/>
      </c>
      <c r="F567" s="1777">
        <f t="shared" ref="F567:H586" ca="1" si="290">IFERROR(VLOOKUP($B567,INDIRECT($J567),F$5,0),0)</f>
        <v>0</v>
      </c>
      <c r="G567" s="839">
        <f t="shared" ca="1" si="290"/>
        <v>0</v>
      </c>
      <c r="H567" s="840">
        <f t="shared" ca="1" si="290"/>
        <v>0</v>
      </c>
      <c r="I567" s="443"/>
      <c r="J567" s="838" t="str">
        <f t="shared" si="262"/>
        <v>!$A:$j</v>
      </c>
      <c r="K567" s="475">
        <f t="shared" ca="1" si="263"/>
        <v>0</v>
      </c>
      <c r="L567" s="480"/>
      <c r="M567" s="477">
        <f t="shared" si="264"/>
        <v>0</v>
      </c>
      <c r="N567" s="480"/>
      <c r="O567" s="477">
        <f t="shared" si="265"/>
        <v>0</v>
      </c>
      <c r="P567" s="480"/>
      <c r="Q567" s="477">
        <f t="shared" si="266"/>
        <v>0</v>
      </c>
      <c r="R567" s="480"/>
      <c r="S567" s="477">
        <f t="shared" ca="1" si="267"/>
        <v>0</v>
      </c>
      <c r="T567" s="475">
        <f t="shared" ca="1" si="268"/>
        <v>0</v>
      </c>
      <c r="U567" s="480"/>
      <c r="V567" s="477">
        <f t="shared" si="269"/>
        <v>0</v>
      </c>
      <c r="W567" s="480"/>
      <c r="X567" s="477">
        <f t="shared" si="270"/>
        <v>0</v>
      </c>
      <c r="Y567" s="480"/>
      <c r="Z567" s="477">
        <f t="shared" si="271"/>
        <v>0</v>
      </c>
      <c r="AA567" s="480"/>
      <c r="AB567" s="477">
        <f t="shared" ca="1" si="272"/>
        <v>0</v>
      </c>
      <c r="AC567" s="475">
        <f t="shared" ca="1" si="273"/>
        <v>0</v>
      </c>
      <c r="AD567" s="480"/>
      <c r="AE567" s="477">
        <f t="shared" si="274"/>
        <v>0</v>
      </c>
      <c r="AF567" s="480"/>
      <c r="AG567" s="477">
        <f t="shared" si="275"/>
        <v>0</v>
      </c>
      <c r="AH567" s="480"/>
      <c r="AI567" s="477">
        <f t="shared" si="276"/>
        <v>0</v>
      </c>
      <c r="AJ567" s="480"/>
      <c r="AK567" s="477">
        <f t="shared" ca="1" si="277"/>
        <v>0</v>
      </c>
      <c r="AL567" s="475">
        <f t="shared" ca="1" si="278"/>
        <v>0</v>
      </c>
      <c r="AM567" s="480"/>
      <c r="AN567" s="477">
        <f t="shared" si="279"/>
        <v>0</v>
      </c>
      <c r="AO567" s="480"/>
      <c r="AP567" s="477">
        <f t="shared" si="280"/>
        <v>0</v>
      </c>
      <c r="AQ567" s="480"/>
      <c r="AR567" s="477">
        <f t="shared" si="281"/>
        <v>0</v>
      </c>
      <c r="AS567" s="480"/>
      <c r="AT567" s="477">
        <f t="shared" ca="1" si="282"/>
        <v>0</v>
      </c>
      <c r="AU567" s="475">
        <f t="shared" ca="1" si="283"/>
        <v>0</v>
      </c>
      <c r="AV567" s="480"/>
      <c r="AW567" s="477">
        <f t="shared" si="284"/>
        <v>0</v>
      </c>
      <c r="AX567" s="480"/>
      <c r="AY567" s="477">
        <f t="shared" si="285"/>
        <v>0</v>
      </c>
      <c r="AZ567" s="480"/>
      <c r="BA567" s="477">
        <f t="shared" si="286"/>
        <v>0</v>
      </c>
      <c r="BB567" s="480"/>
      <c r="BC567" s="850">
        <f t="shared" ca="1" si="287"/>
        <v>0</v>
      </c>
    </row>
    <row r="568" spans="1:55">
      <c r="A568" s="837" t="str">
        <f t="shared" si="259"/>
        <v/>
      </c>
      <c r="B568" s="440"/>
      <c r="C568" s="834" t="str">
        <f t="shared" ca="1" si="260"/>
        <v/>
      </c>
      <c r="D568" s="1757" t="str">
        <f ca="1">IFERROR(VLOOKUP(LEFT(E568,4),Nom_activ_2!D:G,4,0),"")</f>
        <v/>
      </c>
      <c r="E568" s="1757" t="str">
        <f t="shared" ca="1" si="261"/>
        <v/>
      </c>
      <c r="F568" s="1777">
        <f t="shared" ca="1" si="290"/>
        <v>0</v>
      </c>
      <c r="G568" s="839">
        <f t="shared" ca="1" si="290"/>
        <v>0</v>
      </c>
      <c r="H568" s="840">
        <f t="shared" ca="1" si="290"/>
        <v>0</v>
      </c>
      <c r="I568" s="443"/>
      <c r="J568" s="838" t="str">
        <f t="shared" si="262"/>
        <v>!$A:$j</v>
      </c>
      <c r="K568" s="475">
        <f t="shared" ca="1" si="263"/>
        <v>0</v>
      </c>
      <c r="L568" s="480"/>
      <c r="M568" s="477">
        <f t="shared" si="264"/>
        <v>0</v>
      </c>
      <c r="N568" s="480"/>
      <c r="O568" s="477">
        <f t="shared" si="265"/>
        <v>0</v>
      </c>
      <c r="P568" s="480"/>
      <c r="Q568" s="477">
        <f t="shared" si="266"/>
        <v>0</v>
      </c>
      <c r="R568" s="480"/>
      <c r="S568" s="477">
        <f t="shared" ca="1" si="267"/>
        <v>0</v>
      </c>
      <c r="T568" s="475">
        <f t="shared" ca="1" si="268"/>
        <v>0</v>
      </c>
      <c r="U568" s="480"/>
      <c r="V568" s="477">
        <f t="shared" si="269"/>
        <v>0</v>
      </c>
      <c r="W568" s="480"/>
      <c r="X568" s="477">
        <f t="shared" si="270"/>
        <v>0</v>
      </c>
      <c r="Y568" s="480"/>
      <c r="Z568" s="477">
        <f t="shared" si="271"/>
        <v>0</v>
      </c>
      <c r="AA568" s="480"/>
      <c r="AB568" s="477">
        <f t="shared" ca="1" si="272"/>
        <v>0</v>
      </c>
      <c r="AC568" s="475">
        <f t="shared" ca="1" si="273"/>
        <v>0</v>
      </c>
      <c r="AD568" s="480"/>
      <c r="AE568" s="477">
        <f t="shared" si="274"/>
        <v>0</v>
      </c>
      <c r="AF568" s="480"/>
      <c r="AG568" s="477">
        <f t="shared" si="275"/>
        <v>0</v>
      </c>
      <c r="AH568" s="480"/>
      <c r="AI568" s="477">
        <f t="shared" si="276"/>
        <v>0</v>
      </c>
      <c r="AJ568" s="480"/>
      <c r="AK568" s="477">
        <f t="shared" ca="1" si="277"/>
        <v>0</v>
      </c>
      <c r="AL568" s="475">
        <f t="shared" ca="1" si="278"/>
        <v>0</v>
      </c>
      <c r="AM568" s="480"/>
      <c r="AN568" s="477">
        <f t="shared" si="279"/>
        <v>0</v>
      </c>
      <c r="AO568" s="480"/>
      <c r="AP568" s="477">
        <f t="shared" si="280"/>
        <v>0</v>
      </c>
      <c r="AQ568" s="480"/>
      <c r="AR568" s="477">
        <f t="shared" si="281"/>
        <v>0</v>
      </c>
      <c r="AS568" s="480"/>
      <c r="AT568" s="477">
        <f t="shared" ca="1" si="282"/>
        <v>0</v>
      </c>
      <c r="AU568" s="475">
        <f t="shared" ca="1" si="283"/>
        <v>0</v>
      </c>
      <c r="AV568" s="480"/>
      <c r="AW568" s="477">
        <f t="shared" si="284"/>
        <v>0</v>
      </c>
      <c r="AX568" s="480"/>
      <c r="AY568" s="477">
        <f t="shared" si="285"/>
        <v>0</v>
      </c>
      <c r="AZ568" s="480"/>
      <c r="BA568" s="477">
        <f t="shared" si="286"/>
        <v>0</v>
      </c>
      <c r="BB568" s="480"/>
      <c r="BC568" s="850">
        <f t="shared" ca="1" si="287"/>
        <v>0</v>
      </c>
    </row>
    <row r="569" spans="1:55">
      <c r="A569" s="837" t="str">
        <f t="shared" si="259"/>
        <v/>
      </c>
      <c r="B569" s="440"/>
      <c r="C569" s="834" t="str">
        <f t="shared" ca="1" si="260"/>
        <v/>
      </c>
      <c r="D569" s="1757" t="str">
        <f ca="1">IFERROR(VLOOKUP(LEFT(E569,4),Nom_activ_2!D:G,4,0),"")</f>
        <v/>
      </c>
      <c r="E569" s="1757" t="str">
        <f t="shared" ca="1" si="261"/>
        <v/>
      </c>
      <c r="F569" s="1777">
        <f t="shared" ca="1" si="290"/>
        <v>0</v>
      </c>
      <c r="G569" s="839">
        <f t="shared" ca="1" si="290"/>
        <v>0</v>
      </c>
      <c r="H569" s="840">
        <f t="shared" ca="1" si="290"/>
        <v>0</v>
      </c>
      <c r="I569" s="443"/>
      <c r="J569" s="838" t="str">
        <f t="shared" si="262"/>
        <v>!$A:$j</v>
      </c>
      <c r="K569" s="475">
        <f t="shared" ca="1" si="263"/>
        <v>0</v>
      </c>
      <c r="L569" s="480"/>
      <c r="M569" s="477">
        <f t="shared" si="264"/>
        <v>0</v>
      </c>
      <c r="N569" s="480"/>
      <c r="O569" s="477">
        <f t="shared" si="265"/>
        <v>0</v>
      </c>
      <c r="P569" s="480"/>
      <c r="Q569" s="477">
        <f t="shared" si="266"/>
        <v>0</v>
      </c>
      <c r="R569" s="480"/>
      <c r="S569" s="477">
        <f t="shared" ca="1" si="267"/>
        <v>0</v>
      </c>
      <c r="T569" s="475">
        <f t="shared" ca="1" si="268"/>
        <v>0</v>
      </c>
      <c r="U569" s="480"/>
      <c r="V569" s="477">
        <f t="shared" si="269"/>
        <v>0</v>
      </c>
      <c r="W569" s="480"/>
      <c r="X569" s="477">
        <f t="shared" si="270"/>
        <v>0</v>
      </c>
      <c r="Y569" s="480"/>
      <c r="Z569" s="477">
        <f t="shared" si="271"/>
        <v>0</v>
      </c>
      <c r="AA569" s="480"/>
      <c r="AB569" s="477">
        <f t="shared" ca="1" si="272"/>
        <v>0</v>
      </c>
      <c r="AC569" s="475">
        <f t="shared" ca="1" si="273"/>
        <v>0</v>
      </c>
      <c r="AD569" s="480"/>
      <c r="AE569" s="477">
        <f t="shared" si="274"/>
        <v>0</v>
      </c>
      <c r="AF569" s="480"/>
      <c r="AG569" s="477">
        <f t="shared" si="275"/>
        <v>0</v>
      </c>
      <c r="AH569" s="480"/>
      <c r="AI569" s="477">
        <f t="shared" si="276"/>
        <v>0</v>
      </c>
      <c r="AJ569" s="480"/>
      <c r="AK569" s="477">
        <f t="shared" ca="1" si="277"/>
        <v>0</v>
      </c>
      <c r="AL569" s="475">
        <f t="shared" ca="1" si="278"/>
        <v>0</v>
      </c>
      <c r="AM569" s="480"/>
      <c r="AN569" s="477">
        <f t="shared" si="279"/>
        <v>0</v>
      </c>
      <c r="AO569" s="480"/>
      <c r="AP569" s="477">
        <f t="shared" si="280"/>
        <v>0</v>
      </c>
      <c r="AQ569" s="480"/>
      <c r="AR569" s="477">
        <f t="shared" si="281"/>
        <v>0</v>
      </c>
      <c r="AS569" s="480"/>
      <c r="AT569" s="477">
        <f t="shared" ca="1" si="282"/>
        <v>0</v>
      </c>
      <c r="AU569" s="475">
        <f t="shared" ca="1" si="283"/>
        <v>0</v>
      </c>
      <c r="AV569" s="480"/>
      <c r="AW569" s="477">
        <f t="shared" si="284"/>
        <v>0</v>
      </c>
      <c r="AX569" s="480"/>
      <c r="AY569" s="477">
        <f t="shared" si="285"/>
        <v>0</v>
      </c>
      <c r="AZ569" s="480"/>
      <c r="BA569" s="477">
        <f t="shared" si="286"/>
        <v>0</v>
      </c>
      <c r="BB569" s="480"/>
      <c r="BC569" s="850">
        <f t="shared" ca="1" si="287"/>
        <v>0</v>
      </c>
    </row>
    <row r="570" spans="1:55">
      <c r="A570" s="837" t="str">
        <f t="shared" si="259"/>
        <v/>
      </c>
      <c r="B570" s="440"/>
      <c r="C570" s="834" t="str">
        <f t="shared" ca="1" si="260"/>
        <v/>
      </c>
      <c r="D570" s="1757" t="str">
        <f ca="1">IFERROR(VLOOKUP(LEFT(E570,4),Nom_activ_2!D:G,4,0),"")</f>
        <v/>
      </c>
      <c r="E570" s="1757" t="str">
        <f t="shared" ca="1" si="261"/>
        <v/>
      </c>
      <c r="F570" s="1777">
        <f t="shared" ca="1" si="290"/>
        <v>0</v>
      </c>
      <c r="G570" s="839">
        <f t="shared" ca="1" si="290"/>
        <v>0</v>
      </c>
      <c r="H570" s="840">
        <f t="shared" ca="1" si="290"/>
        <v>0</v>
      </c>
      <c r="I570" s="443"/>
      <c r="J570" s="838" t="str">
        <f t="shared" si="262"/>
        <v>!$A:$j</v>
      </c>
      <c r="K570" s="475">
        <f t="shared" ca="1" si="263"/>
        <v>0</v>
      </c>
      <c r="L570" s="480"/>
      <c r="M570" s="477">
        <f t="shared" si="264"/>
        <v>0</v>
      </c>
      <c r="N570" s="480"/>
      <c r="O570" s="477">
        <f t="shared" si="265"/>
        <v>0</v>
      </c>
      <c r="P570" s="480"/>
      <c r="Q570" s="477">
        <f t="shared" si="266"/>
        <v>0</v>
      </c>
      <c r="R570" s="480"/>
      <c r="S570" s="477">
        <f t="shared" ca="1" si="267"/>
        <v>0</v>
      </c>
      <c r="T570" s="475">
        <f t="shared" ca="1" si="268"/>
        <v>0</v>
      </c>
      <c r="U570" s="480"/>
      <c r="V570" s="477">
        <f t="shared" si="269"/>
        <v>0</v>
      </c>
      <c r="W570" s="480"/>
      <c r="X570" s="477">
        <f t="shared" si="270"/>
        <v>0</v>
      </c>
      <c r="Y570" s="480"/>
      <c r="Z570" s="477">
        <f t="shared" si="271"/>
        <v>0</v>
      </c>
      <c r="AA570" s="480"/>
      <c r="AB570" s="477">
        <f t="shared" ca="1" si="272"/>
        <v>0</v>
      </c>
      <c r="AC570" s="475">
        <f t="shared" ca="1" si="273"/>
        <v>0</v>
      </c>
      <c r="AD570" s="480"/>
      <c r="AE570" s="477">
        <f t="shared" si="274"/>
        <v>0</v>
      </c>
      <c r="AF570" s="480"/>
      <c r="AG570" s="477">
        <f t="shared" si="275"/>
        <v>0</v>
      </c>
      <c r="AH570" s="480"/>
      <c r="AI570" s="477">
        <f t="shared" si="276"/>
        <v>0</v>
      </c>
      <c r="AJ570" s="480"/>
      <c r="AK570" s="477">
        <f t="shared" ca="1" si="277"/>
        <v>0</v>
      </c>
      <c r="AL570" s="475">
        <f t="shared" ca="1" si="278"/>
        <v>0</v>
      </c>
      <c r="AM570" s="480"/>
      <c r="AN570" s="477">
        <f t="shared" si="279"/>
        <v>0</v>
      </c>
      <c r="AO570" s="480"/>
      <c r="AP570" s="477">
        <f t="shared" si="280"/>
        <v>0</v>
      </c>
      <c r="AQ570" s="480"/>
      <c r="AR570" s="477">
        <f t="shared" si="281"/>
        <v>0</v>
      </c>
      <c r="AS570" s="480"/>
      <c r="AT570" s="477">
        <f t="shared" ca="1" si="282"/>
        <v>0</v>
      </c>
      <c r="AU570" s="475">
        <f t="shared" ca="1" si="283"/>
        <v>0</v>
      </c>
      <c r="AV570" s="480"/>
      <c r="AW570" s="477">
        <f t="shared" si="284"/>
        <v>0</v>
      </c>
      <c r="AX570" s="480"/>
      <c r="AY570" s="477">
        <f t="shared" si="285"/>
        <v>0</v>
      </c>
      <c r="AZ570" s="480"/>
      <c r="BA570" s="477">
        <f t="shared" si="286"/>
        <v>0</v>
      </c>
      <c r="BB570" s="480"/>
      <c r="BC570" s="850">
        <f t="shared" ca="1" si="287"/>
        <v>0</v>
      </c>
    </row>
    <row r="571" spans="1:55">
      <c r="A571" s="837" t="str">
        <f t="shared" si="259"/>
        <v/>
      </c>
      <c r="B571" s="440"/>
      <c r="C571" s="834" t="str">
        <f t="shared" ca="1" si="260"/>
        <v/>
      </c>
      <c r="D571" s="1757" t="str">
        <f ca="1">IFERROR(VLOOKUP(LEFT(E571,4),Nom_activ_2!D:G,4,0),"")</f>
        <v/>
      </c>
      <c r="E571" s="1757" t="str">
        <f t="shared" ca="1" si="261"/>
        <v/>
      </c>
      <c r="F571" s="1777">
        <f t="shared" ca="1" si="290"/>
        <v>0</v>
      </c>
      <c r="G571" s="839">
        <f t="shared" ca="1" si="290"/>
        <v>0</v>
      </c>
      <c r="H571" s="840">
        <f t="shared" ca="1" si="290"/>
        <v>0</v>
      </c>
      <c r="I571" s="443"/>
      <c r="J571" s="838" t="str">
        <f t="shared" si="262"/>
        <v>!$A:$j</v>
      </c>
      <c r="K571" s="475">
        <f t="shared" ca="1" si="263"/>
        <v>0</v>
      </c>
      <c r="L571" s="480"/>
      <c r="M571" s="477">
        <f t="shared" si="264"/>
        <v>0</v>
      </c>
      <c r="N571" s="480"/>
      <c r="O571" s="477">
        <f t="shared" si="265"/>
        <v>0</v>
      </c>
      <c r="P571" s="480"/>
      <c r="Q571" s="477">
        <f t="shared" si="266"/>
        <v>0</v>
      </c>
      <c r="R571" s="480"/>
      <c r="S571" s="477">
        <f t="shared" ca="1" si="267"/>
        <v>0</v>
      </c>
      <c r="T571" s="475">
        <f t="shared" ca="1" si="268"/>
        <v>0</v>
      </c>
      <c r="U571" s="480"/>
      <c r="V571" s="477">
        <f t="shared" si="269"/>
        <v>0</v>
      </c>
      <c r="W571" s="480"/>
      <c r="X571" s="477">
        <f t="shared" si="270"/>
        <v>0</v>
      </c>
      <c r="Y571" s="480"/>
      <c r="Z571" s="477">
        <f t="shared" si="271"/>
        <v>0</v>
      </c>
      <c r="AA571" s="480"/>
      <c r="AB571" s="477">
        <f t="shared" ca="1" si="272"/>
        <v>0</v>
      </c>
      <c r="AC571" s="475">
        <f t="shared" ca="1" si="273"/>
        <v>0</v>
      </c>
      <c r="AD571" s="480"/>
      <c r="AE571" s="477">
        <f t="shared" si="274"/>
        <v>0</v>
      </c>
      <c r="AF571" s="480"/>
      <c r="AG571" s="477">
        <f t="shared" si="275"/>
        <v>0</v>
      </c>
      <c r="AH571" s="480"/>
      <c r="AI571" s="477">
        <f t="shared" si="276"/>
        <v>0</v>
      </c>
      <c r="AJ571" s="480"/>
      <c r="AK571" s="477">
        <f t="shared" ca="1" si="277"/>
        <v>0</v>
      </c>
      <c r="AL571" s="475">
        <f t="shared" ca="1" si="278"/>
        <v>0</v>
      </c>
      <c r="AM571" s="480"/>
      <c r="AN571" s="477">
        <f t="shared" si="279"/>
        <v>0</v>
      </c>
      <c r="AO571" s="480"/>
      <c r="AP571" s="477">
        <f t="shared" si="280"/>
        <v>0</v>
      </c>
      <c r="AQ571" s="480"/>
      <c r="AR571" s="477">
        <f t="shared" si="281"/>
        <v>0</v>
      </c>
      <c r="AS571" s="480"/>
      <c r="AT571" s="477">
        <f t="shared" ca="1" si="282"/>
        <v>0</v>
      </c>
      <c r="AU571" s="475">
        <f t="shared" ca="1" si="283"/>
        <v>0</v>
      </c>
      <c r="AV571" s="480"/>
      <c r="AW571" s="477">
        <f t="shared" si="284"/>
        <v>0</v>
      </c>
      <c r="AX571" s="480"/>
      <c r="AY571" s="477">
        <f t="shared" si="285"/>
        <v>0</v>
      </c>
      <c r="AZ571" s="480"/>
      <c r="BA571" s="477">
        <f t="shared" si="286"/>
        <v>0</v>
      </c>
      <c r="BB571" s="480"/>
      <c r="BC571" s="850">
        <f t="shared" ca="1" si="287"/>
        <v>0</v>
      </c>
    </row>
    <row r="572" spans="1:55">
      <c r="A572" s="837" t="str">
        <f t="shared" si="259"/>
        <v/>
      </c>
      <c r="B572" s="440"/>
      <c r="C572" s="834" t="str">
        <f t="shared" ca="1" si="260"/>
        <v/>
      </c>
      <c r="D572" s="1757" t="str">
        <f ca="1">IFERROR(VLOOKUP(LEFT(E572,4),Nom_activ_2!D:G,4,0),"")</f>
        <v/>
      </c>
      <c r="E572" s="1757" t="str">
        <f t="shared" ca="1" si="261"/>
        <v/>
      </c>
      <c r="F572" s="1777">
        <f t="shared" ca="1" si="290"/>
        <v>0</v>
      </c>
      <c r="G572" s="839">
        <f t="shared" ca="1" si="290"/>
        <v>0</v>
      </c>
      <c r="H572" s="840">
        <f t="shared" ca="1" si="290"/>
        <v>0</v>
      </c>
      <c r="I572" s="443"/>
      <c r="J572" s="838" t="str">
        <f t="shared" si="262"/>
        <v>!$A:$j</v>
      </c>
      <c r="K572" s="475">
        <f t="shared" ca="1" si="263"/>
        <v>0</v>
      </c>
      <c r="L572" s="480"/>
      <c r="M572" s="477">
        <f t="shared" si="264"/>
        <v>0</v>
      </c>
      <c r="N572" s="480"/>
      <c r="O572" s="477">
        <f t="shared" si="265"/>
        <v>0</v>
      </c>
      <c r="P572" s="480"/>
      <c r="Q572" s="477">
        <f t="shared" si="266"/>
        <v>0</v>
      </c>
      <c r="R572" s="480"/>
      <c r="S572" s="477">
        <f t="shared" ca="1" si="267"/>
        <v>0</v>
      </c>
      <c r="T572" s="475">
        <f t="shared" ca="1" si="268"/>
        <v>0</v>
      </c>
      <c r="U572" s="480"/>
      <c r="V572" s="477">
        <f t="shared" si="269"/>
        <v>0</v>
      </c>
      <c r="W572" s="480"/>
      <c r="X572" s="477">
        <f t="shared" si="270"/>
        <v>0</v>
      </c>
      <c r="Y572" s="480"/>
      <c r="Z572" s="477">
        <f t="shared" si="271"/>
        <v>0</v>
      </c>
      <c r="AA572" s="480"/>
      <c r="AB572" s="477">
        <f t="shared" ca="1" si="272"/>
        <v>0</v>
      </c>
      <c r="AC572" s="475">
        <f t="shared" ca="1" si="273"/>
        <v>0</v>
      </c>
      <c r="AD572" s="480"/>
      <c r="AE572" s="477">
        <f t="shared" si="274"/>
        <v>0</v>
      </c>
      <c r="AF572" s="480"/>
      <c r="AG572" s="477">
        <f t="shared" si="275"/>
        <v>0</v>
      </c>
      <c r="AH572" s="480"/>
      <c r="AI572" s="477">
        <f t="shared" si="276"/>
        <v>0</v>
      </c>
      <c r="AJ572" s="480"/>
      <c r="AK572" s="477">
        <f t="shared" ca="1" si="277"/>
        <v>0</v>
      </c>
      <c r="AL572" s="475">
        <f t="shared" ca="1" si="278"/>
        <v>0</v>
      </c>
      <c r="AM572" s="480"/>
      <c r="AN572" s="477">
        <f t="shared" si="279"/>
        <v>0</v>
      </c>
      <c r="AO572" s="480"/>
      <c r="AP572" s="477">
        <f t="shared" si="280"/>
        <v>0</v>
      </c>
      <c r="AQ572" s="480"/>
      <c r="AR572" s="477">
        <f t="shared" si="281"/>
        <v>0</v>
      </c>
      <c r="AS572" s="480"/>
      <c r="AT572" s="477">
        <f t="shared" ca="1" si="282"/>
        <v>0</v>
      </c>
      <c r="AU572" s="475">
        <f t="shared" ca="1" si="283"/>
        <v>0</v>
      </c>
      <c r="AV572" s="480"/>
      <c r="AW572" s="477">
        <f t="shared" si="284"/>
        <v>0</v>
      </c>
      <c r="AX572" s="480"/>
      <c r="AY572" s="477">
        <f t="shared" si="285"/>
        <v>0</v>
      </c>
      <c r="AZ572" s="480"/>
      <c r="BA572" s="477">
        <f t="shared" si="286"/>
        <v>0</v>
      </c>
      <c r="BB572" s="480"/>
      <c r="BC572" s="850">
        <f t="shared" ca="1" si="287"/>
        <v>0</v>
      </c>
    </row>
    <row r="573" spans="1:55">
      <c r="A573" s="837" t="str">
        <f t="shared" si="259"/>
        <v/>
      </c>
      <c r="B573" s="440"/>
      <c r="C573" s="834" t="str">
        <f t="shared" ca="1" si="260"/>
        <v/>
      </c>
      <c r="D573" s="1757" t="str">
        <f ca="1">IFERROR(VLOOKUP(LEFT(E573,4),Nom_activ_2!D:G,4,0),"")</f>
        <v/>
      </c>
      <c r="E573" s="1757" t="str">
        <f t="shared" ca="1" si="261"/>
        <v/>
      </c>
      <c r="F573" s="1777">
        <f t="shared" ca="1" si="290"/>
        <v>0</v>
      </c>
      <c r="G573" s="839">
        <f t="shared" ca="1" si="290"/>
        <v>0</v>
      </c>
      <c r="H573" s="840">
        <f t="shared" ca="1" si="290"/>
        <v>0</v>
      </c>
      <c r="I573" s="443"/>
      <c r="J573" s="838" t="str">
        <f t="shared" si="262"/>
        <v>!$A:$j</v>
      </c>
      <c r="K573" s="475">
        <f t="shared" ca="1" si="263"/>
        <v>0</v>
      </c>
      <c r="L573" s="480"/>
      <c r="M573" s="477">
        <f t="shared" si="264"/>
        <v>0</v>
      </c>
      <c r="N573" s="480"/>
      <c r="O573" s="477">
        <f t="shared" si="265"/>
        <v>0</v>
      </c>
      <c r="P573" s="480"/>
      <c r="Q573" s="477">
        <f t="shared" si="266"/>
        <v>0</v>
      </c>
      <c r="R573" s="480"/>
      <c r="S573" s="477">
        <f t="shared" ca="1" si="267"/>
        <v>0</v>
      </c>
      <c r="T573" s="475">
        <f t="shared" ca="1" si="268"/>
        <v>0</v>
      </c>
      <c r="U573" s="480"/>
      <c r="V573" s="477">
        <f t="shared" si="269"/>
        <v>0</v>
      </c>
      <c r="W573" s="480"/>
      <c r="X573" s="477">
        <f t="shared" si="270"/>
        <v>0</v>
      </c>
      <c r="Y573" s="480"/>
      <c r="Z573" s="477">
        <f t="shared" si="271"/>
        <v>0</v>
      </c>
      <c r="AA573" s="480"/>
      <c r="AB573" s="477">
        <f t="shared" ca="1" si="272"/>
        <v>0</v>
      </c>
      <c r="AC573" s="475">
        <f t="shared" ca="1" si="273"/>
        <v>0</v>
      </c>
      <c r="AD573" s="480"/>
      <c r="AE573" s="477">
        <f t="shared" si="274"/>
        <v>0</v>
      </c>
      <c r="AF573" s="480"/>
      <c r="AG573" s="477">
        <f t="shared" si="275"/>
        <v>0</v>
      </c>
      <c r="AH573" s="480"/>
      <c r="AI573" s="477">
        <f t="shared" si="276"/>
        <v>0</v>
      </c>
      <c r="AJ573" s="480"/>
      <c r="AK573" s="477">
        <f t="shared" ca="1" si="277"/>
        <v>0</v>
      </c>
      <c r="AL573" s="475">
        <f t="shared" ca="1" si="278"/>
        <v>0</v>
      </c>
      <c r="AM573" s="480"/>
      <c r="AN573" s="477">
        <f t="shared" si="279"/>
        <v>0</v>
      </c>
      <c r="AO573" s="480"/>
      <c r="AP573" s="477">
        <f t="shared" si="280"/>
        <v>0</v>
      </c>
      <c r="AQ573" s="480"/>
      <c r="AR573" s="477">
        <f t="shared" si="281"/>
        <v>0</v>
      </c>
      <c r="AS573" s="480"/>
      <c r="AT573" s="477">
        <f t="shared" ca="1" si="282"/>
        <v>0</v>
      </c>
      <c r="AU573" s="475">
        <f t="shared" ca="1" si="283"/>
        <v>0</v>
      </c>
      <c r="AV573" s="480"/>
      <c r="AW573" s="477">
        <f t="shared" si="284"/>
        <v>0</v>
      </c>
      <c r="AX573" s="480"/>
      <c r="AY573" s="477">
        <f t="shared" si="285"/>
        <v>0</v>
      </c>
      <c r="AZ573" s="480"/>
      <c r="BA573" s="477">
        <f t="shared" si="286"/>
        <v>0</v>
      </c>
      <c r="BB573" s="480"/>
      <c r="BC573" s="850">
        <f t="shared" ca="1" si="287"/>
        <v>0</v>
      </c>
    </row>
    <row r="574" spans="1:55">
      <c r="A574" s="837" t="str">
        <f t="shared" si="259"/>
        <v/>
      </c>
      <c r="B574" s="440"/>
      <c r="C574" s="834" t="str">
        <f t="shared" ca="1" si="260"/>
        <v/>
      </c>
      <c r="D574" s="1757" t="str">
        <f ca="1">IFERROR(VLOOKUP(LEFT(E574,4),Nom_activ_2!D:G,4,0),"")</f>
        <v/>
      </c>
      <c r="E574" s="1757" t="str">
        <f t="shared" ca="1" si="261"/>
        <v/>
      </c>
      <c r="F574" s="1777">
        <f t="shared" ca="1" si="290"/>
        <v>0</v>
      </c>
      <c r="G574" s="839">
        <f t="shared" ca="1" si="290"/>
        <v>0</v>
      </c>
      <c r="H574" s="840">
        <f t="shared" ca="1" si="290"/>
        <v>0</v>
      </c>
      <c r="I574" s="443"/>
      <c r="J574" s="838" t="str">
        <f t="shared" si="262"/>
        <v>!$A:$j</v>
      </c>
      <c r="K574" s="475">
        <f t="shared" ca="1" si="263"/>
        <v>0</v>
      </c>
      <c r="L574" s="480"/>
      <c r="M574" s="477">
        <f t="shared" si="264"/>
        <v>0</v>
      </c>
      <c r="N574" s="480"/>
      <c r="O574" s="477">
        <f t="shared" si="265"/>
        <v>0</v>
      </c>
      <c r="P574" s="480"/>
      <c r="Q574" s="477">
        <f t="shared" si="266"/>
        <v>0</v>
      </c>
      <c r="R574" s="480"/>
      <c r="S574" s="477">
        <f t="shared" ca="1" si="267"/>
        <v>0</v>
      </c>
      <c r="T574" s="475">
        <f t="shared" ca="1" si="268"/>
        <v>0</v>
      </c>
      <c r="U574" s="480"/>
      <c r="V574" s="477">
        <f t="shared" si="269"/>
        <v>0</v>
      </c>
      <c r="W574" s="480"/>
      <c r="X574" s="477">
        <f t="shared" si="270"/>
        <v>0</v>
      </c>
      <c r="Y574" s="480"/>
      <c r="Z574" s="477">
        <f t="shared" si="271"/>
        <v>0</v>
      </c>
      <c r="AA574" s="480"/>
      <c r="AB574" s="477">
        <f t="shared" ca="1" si="272"/>
        <v>0</v>
      </c>
      <c r="AC574" s="475">
        <f t="shared" ca="1" si="273"/>
        <v>0</v>
      </c>
      <c r="AD574" s="480"/>
      <c r="AE574" s="477">
        <f t="shared" si="274"/>
        <v>0</v>
      </c>
      <c r="AF574" s="480"/>
      <c r="AG574" s="477">
        <f t="shared" si="275"/>
        <v>0</v>
      </c>
      <c r="AH574" s="480"/>
      <c r="AI574" s="477">
        <f t="shared" si="276"/>
        <v>0</v>
      </c>
      <c r="AJ574" s="480"/>
      <c r="AK574" s="477">
        <f t="shared" ca="1" si="277"/>
        <v>0</v>
      </c>
      <c r="AL574" s="475">
        <f t="shared" ca="1" si="278"/>
        <v>0</v>
      </c>
      <c r="AM574" s="480"/>
      <c r="AN574" s="477">
        <f t="shared" si="279"/>
        <v>0</v>
      </c>
      <c r="AO574" s="480"/>
      <c r="AP574" s="477">
        <f t="shared" si="280"/>
        <v>0</v>
      </c>
      <c r="AQ574" s="480"/>
      <c r="AR574" s="477">
        <f t="shared" si="281"/>
        <v>0</v>
      </c>
      <c r="AS574" s="480"/>
      <c r="AT574" s="477">
        <f t="shared" ca="1" si="282"/>
        <v>0</v>
      </c>
      <c r="AU574" s="475">
        <f t="shared" ca="1" si="283"/>
        <v>0</v>
      </c>
      <c r="AV574" s="480"/>
      <c r="AW574" s="477">
        <f t="shared" si="284"/>
        <v>0</v>
      </c>
      <c r="AX574" s="480"/>
      <c r="AY574" s="477">
        <f t="shared" si="285"/>
        <v>0</v>
      </c>
      <c r="AZ574" s="480"/>
      <c r="BA574" s="477">
        <f t="shared" si="286"/>
        <v>0</v>
      </c>
      <c r="BB574" s="480"/>
      <c r="BC574" s="850">
        <f t="shared" ca="1" si="287"/>
        <v>0</v>
      </c>
    </row>
    <row r="575" spans="1:55">
      <c r="A575" s="837" t="str">
        <f t="shared" si="259"/>
        <v/>
      </c>
      <c r="B575" s="440"/>
      <c r="C575" s="834" t="str">
        <f t="shared" ca="1" si="260"/>
        <v/>
      </c>
      <c r="D575" s="1757" t="str">
        <f ca="1">IFERROR(VLOOKUP(LEFT(E575,4),Nom_activ_2!D:G,4,0),"")</f>
        <v/>
      </c>
      <c r="E575" s="1757" t="str">
        <f t="shared" ca="1" si="261"/>
        <v/>
      </c>
      <c r="F575" s="1777">
        <f t="shared" ca="1" si="290"/>
        <v>0</v>
      </c>
      <c r="G575" s="839">
        <f t="shared" ca="1" si="290"/>
        <v>0</v>
      </c>
      <c r="H575" s="840">
        <f t="shared" ca="1" si="290"/>
        <v>0</v>
      </c>
      <c r="I575" s="443"/>
      <c r="J575" s="838" t="str">
        <f t="shared" si="262"/>
        <v>!$A:$j</v>
      </c>
      <c r="K575" s="475">
        <f t="shared" ca="1" si="263"/>
        <v>0</v>
      </c>
      <c r="L575" s="480"/>
      <c r="M575" s="477">
        <f t="shared" si="264"/>
        <v>0</v>
      </c>
      <c r="N575" s="480"/>
      <c r="O575" s="477">
        <f t="shared" si="265"/>
        <v>0</v>
      </c>
      <c r="P575" s="480"/>
      <c r="Q575" s="477">
        <f t="shared" si="266"/>
        <v>0</v>
      </c>
      <c r="R575" s="480"/>
      <c r="S575" s="477">
        <f t="shared" ca="1" si="267"/>
        <v>0</v>
      </c>
      <c r="T575" s="475">
        <f t="shared" ca="1" si="268"/>
        <v>0</v>
      </c>
      <c r="U575" s="480"/>
      <c r="V575" s="477">
        <f t="shared" si="269"/>
        <v>0</v>
      </c>
      <c r="W575" s="480"/>
      <c r="X575" s="477">
        <f t="shared" si="270"/>
        <v>0</v>
      </c>
      <c r="Y575" s="480"/>
      <c r="Z575" s="477">
        <f t="shared" si="271"/>
        <v>0</v>
      </c>
      <c r="AA575" s="480"/>
      <c r="AB575" s="477">
        <f t="shared" ca="1" si="272"/>
        <v>0</v>
      </c>
      <c r="AC575" s="475">
        <f t="shared" ca="1" si="273"/>
        <v>0</v>
      </c>
      <c r="AD575" s="480"/>
      <c r="AE575" s="477">
        <f t="shared" si="274"/>
        <v>0</v>
      </c>
      <c r="AF575" s="480"/>
      <c r="AG575" s="477">
        <f t="shared" si="275"/>
        <v>0</v>
      </c>
      <c r="AH575" s="480"/>
      <c r="AI575" s="477">
        <f t="shared" si="276"/>
        <v>0</v>
      </c>
      <c r="AJ575" s="480"/>
      <c r="AK575" s="477">
        <f t="shared" ca="1" si="277"/>
        <v>0</v>
      </c>
      <c r="AL575" s="475">
        <f t="shared" ca="1" si="278"/>
        <v>0</v>
      </c>
      <c r="AM575" s="480"/>
      <c r="AN575" s="477">
        <f t="shared" si="279"/>
        <v>0</v>
      </c>
      <c r="AO575" s="480"/>
      <c r="AP575" s="477">
        <f t="shared" si="280"/>
        <v>0</v>
      </c>
      <c r="AQ575" s="480"/>
      <c r="AR575" s="477">
        <f t="shared" si="281"/>
        <v>0</v>
      </c>
      <c r="AS575" s="480"/>
      <c r="AT575" s="477">
        <f t="shared" ca="1" si="282"/>
        <v>0</v>
      </c>
      <c r="AU575" s="475">
        <f t="shared" ca="1" si="283"/>
        <v>0</v>
      </c>
      <c r="AV575" s="480"/>
      <c r="AW575" s="477">
        <f t="shared" si="284"/>
        <v>0</v>
      </c>
      <c r="AX575" s="480"/>
      <c r="AY575" s="477">
        <f t="shared" si="285"/>
        <v>0</v>
      </c>
      <c r="AZ575" s="480"/>
      <c r="BA575" s="477">
        <f t="shared" si="286"/>
        <v>0</v>
      </c>
      <c r="BB575" s="480"/>
      <c r="BC575" s="850">
        <f t="shared" ca="1" si="287"/>
        <v>0</v>
      </c>
    </row>
    <row r="576" spans="1:55">
      <c r="A576" s="837" t="str">
        <f t="shared" si="259"/>
        <v/>
      </c>
      <c r="B576" s="440"/>
      <c r="C576" s="834" t="str">
        <f t="shared" ca="1" si="260"/>
        <v/>
      </c>
      <c r="D576" s="1757" t="str">
        <f ca="1">IFERROR(VLOOKUP(LEFT(E576,4),Nom_activ_2!D:G,4,0),"")</f>
        <v/>
      </c>
      <c r="E576" s="1757" t="str">
        <f t="shared" ca="1" si="261"/>
        <v/>
      </c>
      <c r="F576" s="1777">
        <f t="shared" ca="1" si="290"/>
        <v>0</v>
      </c>
      <c r="G576" s="839">
        <f t="shared" ca="1" si="290"/>
        <v>0</v>
      </c>
      <c r="H576" s="840">
        <f t="shared" ca="1" si="290"/>
        <v>0</v>
      </c>
      <c r="I576" s="443"/>
      <c r="J576" s="838" t="str">
        <f t="shared" si="262"/>
        <v>!$A:$j</v>
      </c>
      <c r="K576" s="475">
        <f t="shared" ca="1" si="263"/>
        <v>0</v>
      </c>
      <c r="L576" s="480"/>
      <c r="M576" s="477">
        <f t="shared" si="264"/>
        <v>0</v>
      </c>
      <c r="N576" s="480"/>
      <c r="O576" s="477">
        <f t="shared" si="265"/>
        <v>0</v>
      </c>
      <c r="P576" s="480"/>
      <c r="Q576" s="477">
        <f t="shared" si="266"/>
        <v>0</v>
      </c>
      <c r="R576" s="480"/>
      <c r="S576" s="477">
        <f t="shared" ca="1" si="267"/>
        <v>0</v>
      </c>
      <c r="T576" s="475">
        <f t="shared" ca="1" si="268"/>
        <v>0</v>
      </c>
      <c r="U576" s="480"/>
      <c r="V576" s="477">
        <f t="shared" si="269"/>
        <v>0</v>
      </c>
      <c r="W576" s="480"/>
      <c r="X576" s="477">
        <f t="shared" si="270"/>
        <v>0</v>
      </c>
      <c r="Y576" s="480"/>
      <c r="Z576" s="477">
        <f t="shared" si="271"/>
        <v>0</v>
      </c>
      <c r="AA576" s="480"/>
      <c r="AB576" s="477">
        <f t="shared" ca="1" si="272"/>
        <v>0</v>
      </c>
      <c r="AC576" s="475">
        <f t="shared" ca="1" si="273"/>
        <v>0</v>
      </c>
      <c r="AD576" s="480"/>
      <c r="AE576" s="477">
        <f t="shared" si="274"/>
        <v>0</v>
      </c>
      <c r="AF576" s="480"/>
      <c r="AG576" s="477">
        <f t="shared" si="275"/>
        <v>0</v>
      </c>
      <c r="AH576" s="480"/>
      <c r="AI576" s="477">
        <f t="shared" si="276"/>
        <v>0</v>
      </c>
      <c r="AJ576" s="480"/>
      <c r="AK576" s="477">
        <f t="shared" ca="1" si="277"/>
        <v>0</v>
      </c>
      <c r="AL576" s="475">
        <f t="shared" ca="1" si="278"/>
        <v>0</v>
      </c>
      <c r="AM576" s="480"/>
      <c r="AN576" s="477">
        <f t="shared" si="279"/>
        <v>0</v>
      </c>
      <c r="AO576" s="480"/>
      <c r="AP576" s="477">
        <f t="shared" si="280"/>
        <v>0</v>
      </c>
      <c r="AQ576" s="480"/>
      <c r="AR576" s="477">
        <f t="shared" si="281"/>
        <v>0</v>
      </c>
      <c r="AS576" s="480"/>
      <c r="AT576" s="477">
        <f t="shared" ca="1" si="282"/>
        <v>0</v>
      </c>
      <c r="AU576" s="475">
        <f t="shared" ca="1" si="283"/>
        <v>0</v>
      </c>
      <c r="AV576" s="480"/>
      <c r="AW576" s="477">
        <f t="shared" si="284"/>
        <v>0</v>
      </c>
      <c r="AX576" s="480"/>
      <c r="AY576" s="477">
        <f t="shared" si="285"/>
        <v>0</v>
      </c>
      <c r="AZ576" s="480"/>
      <c r="BA576" s="477">
        <f t="shared" si="286"/>
        <v>0</v>
      </c>
      <c r="BB576" s="480"/>
      <c r="BC576" s="850">
        <f t="shared" ca="1" si="287"/>
        <v>0</v>
      </c>
    </row>
    <row r="577" spans="1:55">
      <c r="A577" s="837" t="str">
        <f t="shared" si="259"/>
        <v/>
      </c>
      <c r="B577" s="440"/>
      <c r="C577" s="834" t="str">
        <f t="shared" ca="1" si="260"/>
        <v/>
      </c>
      <c r="D577" s="1757" t="str">
        <f ca="1">IFERROR(VLOOKUP(LEFT(E577,4),Nom_activ_2!D:G,4,0),"")</f>
        <v/>
      </c>
      <c r="E577" s="1757" t="str">
        <f t="shared" ca="1" si="261"/>
        <v/>
      </c>
      <c r="F577" s="1777">
        <f t="shared" ca="1" si="290"/>
        <v>0</v>
      </c>
      <c r="G577" s="839">
        <f t="shared" ca="1" si="290"/>
        <v>0</v>
      </c>
      <c r="H577" s="840">
        <f t="shared" ca="1" si="290"/>
        <v>0</v>
      </c>
      <c r="I577" s="443"/>
      <c r="J577" s="838" t="str">
        <f t="shared" si="262"/>
        <v>!$A:$j</v>
      </c>
      <c r="K577" s="475">
        <f t="shared" ca="1" si="263"/>
        <v>0</v>
      </c>
      <c r="L577" s="480"/>
      <c r="M577" s="477">
        <f t="shared" si="264"/>
        <v>0</v>
      </c>
      <c r="N577" s="480"/>
      <c r="O577" s="477">
        <f t="shared" si="265"/>
        <v>0</v>
      </c>
      <c r="P577" s="480"/>
      <c r="Q577" s="477">
        <f t="shared" si="266"/>
        <v>0</v>
      </c>
      <c r="R577" s="480"/>
      <c r="S577" s="477">
        <f t="shared" ca="1" si="267"/>
        <v>0</v>
      </c>
      <c r="T577" s="475">
        <f t="shared" ca="1" si="268"/>
        <v>0</v>
      </c>
      <c r="U577" s="480"/>
      <c r="V577" s="477">
        <f t="shared" si="269"/>
        <v>0</v>
      </c>
      <c r="W577" s="480"/>
      <c r="X577" s="477">
        <f t="shared" si="270"/>
        <v>0</v>
      </c>
      <c r="Y577" s="480"/>
      <c r="Z577" s="477">
        <f t="shared" si="271"/>
        <v>0</v>
      </c>
      <c r="AA577" s="480"/>
      <c r="AB577" s="477">
        <f t="shared" ca="1" si="272"/>
        <v>0</v>
      </c>
      <c r="AC577" s="475">
        <f t="shared" ca="1" si="273"/>
        <v>0</v>
      </c>
      <c r="AD577" s="480"/>
      <c r="AE577" s="477">
        <f t="shared" si="274"/>
        <v>0</v>
      </c>
      <c r="AF577" s="480"/>
      <c r="AG577" s="477">
        <f t="shared" si="275"/>
        <v>0</v>
      </c>
      <c r="AH577" s="480"/>
      <c r="AI577" s="477">
        <f t="shared" si="276"/>
        <v>0</v>
      </c>
      <c r="AJ577" s="480"/>
      <c r="AK577" s="477">
        <f t="shared" ca="1" si="277"/>
        <v>0</v>
      </c>
      <c r="AL577" s="475">
        <f t="shared" ca="1" si="278"/>
        <v>0</v>
      </c>
      <c r="AM577" s="480"/>
      <c r="AN577" s="477">
        <f t="shared" si="279"/>
        <v>0</v>
      </c>
      <c r="AO577" s="480"/>
      <c r="AP577" s="477">
        <f t="shared" si="280"/>
        <v>0</v>
      </c>
      <c r="AQ577" s="480"/>
      <c r="AR577" s="477">
        <f t="shared" si="281"/>
        <v>0</v>
      </c>
      <c r="AS577" s="480"/>
      <c r="AT577" s="477">
        <f t="shared" ca="1" si="282"/>
        <v>0</v>
      </c>
      <c r="AU577" s="475">
        <f t="shared" ca="1" si="283"/>
        <v>0</v>
      </c>
      <c r="AV577" s="480"/>
      <c r="AW577" s="477">
        <f t="shared" si="284"/>
        <v>0</v>
      </c>
      <c r="AX577" s="480"/>
      <c r="AY577" s="477">
        <f t="shared" si="285"/>
        <v>0</v>
      </c>
      <c r="AZ577" s="480"/>
      <c r="BA577" s="477">
        <f t="shared" si="286"/>
        <v>0</v>
      </c>
      <c r="BB577" s="480"/>
      <c r="BC577" s="850">
        <f t="shared" ca="1" si="287"/>
        <v>0</v>
      </c>
    </row>
    <row r="578" spans="1:55">
      <c r="A578" s="837" t="str">
        <f t="shared" si="259"/>
        <v/>
      </c>
      <c r="B578" s="440"/>
      <c r="C578" s="834" t="str">
        <f t="shared" ca="1" si="260"/>
        <v/>
      </c>
      <c r="D578" s="1757" t="str">
        <f ca="1">IFERROR(VLOOKUP(LEFT(E578,4),Nom_activ_2!D:G,4,0),"")</f>
        <v/>
      </c>
      <c r="E578" s="1757" t="str">
        <f t="shared" ca="1" si="261"/>
        <v/>
      </c>
      <c r="F578" s="1777">
        <f t="shared" ca="1" si="290"/>
        <v>0</v>
      </c>
      <c r="G578" s="839">
        <f t="shared" ca="1" si="290"/>
        <v>0</v>
      </c>
      <c r="H578" s="840">
        <f t="shared" ca="1" si="290"/>
        <v>0</v>
      </c>
      <c r="I578" s="443"/>
      <c r="J578" s="838" t="str">
        <f t="shared" si="262"/>
        <v>!$A:$j</v>
      </c>
      <c r="K578" s="475">
        <f t="shared" ca="1" si="263"/>
        <v>0</v>
      </c>
      <c r="L578" s="480"/>
      <c r="M578" s="477">
        <f t="shared" si="264"/>
        <v>0</v>
      </c>
      <c r="N578" s="480"/>
      <c r="O578" s="477">
        <f t="shared" si="265"/>
        <v>0</v>
      </c>
      <c r="P578" s="480"/>
      <c r="Q578" s="477">
        <f t="shared" si="266"/>
        <v>0</v>
      </c>
      <c r="R578" s="480"/>
      <c r="S578" s="477">
        <f t="shared" ca="1" si="267"/>
        <v>0</v>
      </c>
      <c r="T578" s="475">
        <f t="shared" ca="1" si="268"/>
        <v>0</v>
      </c>
      <c r="U578" s="480"/>
      <c r="V578" s="477">
        <f t="shared" si="269"/>
        <v>0</v>
      </c>
      <c r="W578" s="480"/>
      <c r="X578" s="477">
        <f t="shared" si="270"/>
        <v>0</v>
      </c>
      <c r="Y578" s="480"/>
      <c r="Z578" s="477">
        <f t="shared" si="271"/>
        <v>0</v>
      </c>
      <c r="AA578" s="480"/>
      <c r="AB578" s="477">
        <f t="shared" ca="1" si="272"/>
        <v>0</v>
      </c>
      <c r="AC578" s="475">
        <f t="shared" ca="1" si="273"/>
        <v>0</v>
      </c>
      <c r="AD578" s="480"/>
      <c r="AE578" s="477">
        <f t="shared" si="274"/>
        <v>0</v>
      </c>
      <c r="AF578" s="480"/>
      <c r="AG578" s="477">
        <f t="shared" si="275"/>
        <v>0</v>
      </c>
      <c r="AH578" s="480"/>
      <c r="AI578" s="477">
        <f t="shared" si="276"/>
        <v>0</v>
      </c>
      <c r="AJ578" s="480"/>
      <c r="AK578" s="477">
        <f t="shared" ca="1" si="277"/>
        <v>0</v>
      </c>
      <c r="AL578" s="475">
        <f t="shared" ca="1" si="278"/>
        <v>0</v>
      </c>
      <c r="AM578" s="480"/>
      <c r="AN578" s="477">
        <f t="shared" si="279"/>
        <v>0</v>
      </c>
      <c r="AO578" s="480"/>
      <c r="AP578" s="477">
        <f t="shared" si="280"/>
        <v>0</v>
      </c>
      <c r="AQ578" s="480"/>
      <c r="AR578" s="477">
        <f t="shared" si="281"/>
        <v>0</v>
      </c>
      <c r="AS578" s="480"/>
      <c r="AT578" s="477">
        <f t="shared" ca="1" si="282"/>
        <v>0</v>
      </c>
      <c r="AU578" s="475">
        <f t="shared" ca="1" si="283"/>
        <v>0</v>
      </c>
      <c r="AV578" s="480"/>
      <c r="AW578" s="477">
        <f t="shared" si="284"/>
        <v>0</v>
      </c>
      <c r="AX578" s="480"/>
      <c r="AY578" s="477">
        <f t="shared" si="285"/>
        <v>0</v>
      </c>
      <c r="AZ578" s="480"/>
      <c r="BA578" s="477">
        <f t="shared" si="286"/>
        <v>0</v>
      </c>
      <c r="BB578" s="480"/>
      <c r="BC578" s="850">
        <f t="shared" ca="1" si="287"/>
        <v>0</v>
      </c>
    </row>
    <row r="579" spans="1:55">
      <c r="A579" s="837" t="str">
        <f t="shared" si="259"/>
        <v/>
      </c>
      <c r="B579" s="440"/>
      <c r="C579" s="834" t="str">
        <f t="shared" ca="1" si="260"/>
        <v/>
      </c>
      <c r="D579" s="1757" t="str">
        <f ca="1">IFERROR(VLOOKUP(LEFT(E579,4),Nom_activ_2!D:G,4,0),"")</f>
        <v/>
      </c>
      <c r="E579" s="1757" t="str">
        <f t="shared" ca="1" si="261"/>
        <v/>
      </c>
      <c r="F579" s="1777">
        <f t="shared" ca="1" si="290"/>
        <v>0</v>
      </c>
      <c r="G579" s="839">
        <f t="shared" ca="1" si="290"/>
        <v>0</v>
      </c>
      <c r="H579" s="840">
        <f t="shared" ca="1" si="290"/>
        <v>0</v>
      </c>
      <c r="I579" s="443"/>
      <c r="J579" s="838" t="str">
        <f t="shared" si="262"/>
        <v>!$A:$j</v>
      </c>
      <c r="K579" s="475">
        <f t="shared" ca="1" si="263"/>
        <v>0</v>
      </c>
      <c r="L579" s="480"/>
      <c r="M579" s="477">
        <f t="shared" si="264"/>
        <v>0</v>
      </c>
      <c r="N579" s="480"/>
      <c r="O579" s="477">
        <f t="shared" si="265"/>
        <v>0</v>
      </c>
      <c r="P579" s="480"/>
      <c r="Q579" s="477">
        <f t="shared" si="266"/>
        <v>0</v>
      </c>
      <c r="R579" s="480"/>
      <c r="S579" s="477">
        <f t="shared" ca="1" si="267"/>
        <v>0</v>
      </c>
      <c r="T579" s="475">
        <f t="shared" ca="1" si="268"/>
        <v>0</v>
      </c>
      <c r="U579" s="480"/>
      <c r="V579" s="477">
        <f t="shared" si="269"/>
        <v>0</v>
      </c>
      <c r="W579" s="480"/>
      <c r="X579" s="477">
        <f t="shared" si="270"/>
        <v>0</v>
      </c>
      <c r="Y579" s="480"/>
      <c r="Z579" s="477">
        <f t="shared" si="271"/>
        <v>0</v>
      </c>
      <c r="AA579" s="480"/>
      <c r="AB579" s="477">
        <f t="shared" ca="1" si="272"/>
        <v>0</v>
      </c>
      <c r="AC579" s="475">
        <f t="shared" ca="1" si="273"/>
        <v>0</v>
      </c>
      <c r="AD579" s="480"/>
      <c r="AE579" s="477">
        <f t="shared" si="274"/>
        <v>0</v>
      </c>
      <c r="AF579" s="480"/>
      <c r="AG579" s="477">
        <f t="shared" si="275"/>
        <v>0</v>
      </c>
      <c r="AH579" s="480"/>
      <c r="AI579" s="477">
        <f t="shared" si="276"/>
        <v>0</v>
      </c>
      <c r="AJ579" s="480"/>
      <c r="AK579" s="477">
        <f t="shared" ca="1" si="277"/>
        <v>0</v>
      </c>
      <c r="AL579" s="475">
        <f t="shared" ca="1" si="278"/>
        <v>0</v>
      </c>
      <c r="AM579" s="480"/>
      <c r="AN579" s="477">
        <f t="shared" si="279"/>
        <v>0</v>
      </c>
      <c r="AO579" s="480"/>
      <c r="AP579" s="477">
        <f t="shared" si="280"/>
        <v>0</v>
      </c>
      <c r="AQ579" s="480"/>
      <c r="AR579" s="477">
        <f t="shared" si="281"/>
        <v>0</v>
      </c>
      <c r="AS579" s="480"/>
      <c r="AT579" s="477">
        <f t="shared" ca="1" si="282"/>
        <v>0</v>
      </c>
      <c r="AU579" s="475">
        <f t="shared" ca="1" si="283"/>
        <v>0</v>
      </c>
      <c r="AV579" s="480"/>
      <c r="AW579" s="477">
        <f t="shared" si="284"/>
        <v>0</v>
      </c>
      <c r="AX579" s="480"/>
      <c r="AY579" s="477">
        <f t="shared" si="285"/>
        <v>0</v>
      </c>
      <c r="AZ579" s="480"/>
      <c r="BA579" s="477">
        <f t="shared" si="286"/>
        <v>0</v>
      </c>
      <c r="BB579" s="480"/>
      <c r="BC579" s="850">
        <f t="shared" ca="1" si="287"/>
        <v>0</v>
      </c>
    </row>
    <row r="580" spans="1:55">
      <c r="A580" s="837" t="str">
        <f t="shared" si="259"/>
        <v/>
      </c>
      <c r="B580" s="440"/>
      <c r="C580" s="834" t="str">
        <f t="shared" ca="1" si="260"/>
        <v/>
      </c>
      <c r="D580" s="1757" t="str">
        <f ca="1">IFERROR(VLOOKUP(LEFT(E580,4),Nom_activ_2!D:G,4,0),"")</f>
        <v/>
      </c>
      <c r="E580" s="1757" t="str">
        <f t="shared" ca="1" si="261"/>
        <v/>
      </c>
      <c r="F580" s="1777">
        <f t="shared" ca="1" si="290"/>
        <v>0</v>
      </c>
      <c r="G580" s="839">
        <f t="shared" ca="1" si="290"/>
        <v>0</v>
      </c>
      <c r="H580" s="840">
        <f t="shared" ca="1" si="290"/>
        <v>0</v>
      </c>
      <c r="I580" s="443"/>
      <c r="J580" s="838" t="str">
        <f t="shared" si="262"/>
        <v>!$A:$j</v>
      </c>
      <c r="K580" s="475">
        <f t="shared" ca="1" si="263"/>
        <v>0</v>
      </c>
      <c r="L580" s="480"/>
      <c r="M580" s="477">
        <f t="shared" si="264"/>
        <v>0</v>
      </c>
      <c r="N580" s="480"/>
      <c r="O580" s="477">
        <f t="shared" si="265"/>
        <v>0</v>
      </c>
      <c r="P580" s="480"/>
      <c r="Q580" s="477">
        <f t="shared" si="266"/>
        <v>0</v>
      </c>
      <c r="R580" s="480"/>
      <c r="S580" s="477">
        <f t="shared" ca="1" si="267"/>
        <v>0</v>
      </c>
      <c r="T580" s="475">
        <f t="shared" ca="1" si="268"/>
        <v>0</v>
      </c>
      <c r="U580" s="480"/>
      <c r="V580" s="477">
        <f t="shared" si="269"/>
        <v>0</v>
      </c>
      <c r="W580" s="480"/>
      <c r="X580" s="477">
        <f t="shared" si="270"/>
        <v>0</v>
      </c>
      <c r="Y580" s="480"/>
      <c r="Z580" s="477">
        <f t="shared" si="271"/>
        <v>0</v>
      </c>
      <c r="AA580" s="480"/>
      <c r="AB580" s="477">
        <f t="shared" ca="1" si="272"/>
        <v>0</v>
      </c>
      <c r="AC580" s="475">
        <f t="shared" ca="1" si="273"/>
        <v>0</v>
      </c>
      <c r="AD580" s="480"/>
      <c r="AE580" s="477">
        <f t="shared" si="274"/>
        <v>0</v>
      </c>
      <c r="AF580" s="480"/>
      <c r="AG580" s="477">
        <f t="shared" si="275"/>
        <v>0</v>
      </c>
      <c r="AH580" s="480"/>
      <c r="AI580" s="477">
        <f t="shared" si="276"/>
        <v>0</v>
      </c>
      <c r="AJ580" s="480"/>
      <c r="AK580" s="477">
        <f t="shared" ca="1" si="277"/>
        <v>0</v>
      </c>
      <c r="AL580" s="475">
        <f t="shared" ca="1" si="278"/>
        <v>0</v>
      </c>
      <c r="AM580" s="480"/>
      <c r="AN580" s="477">
        <f t="shared" si="279"/>
        <v>0</v>
      </c>
      <c r="AO580" s="480"/>
      <c r="AP580" s="477">
        <f t="shared" si="280"/>
        <v>0</v>
      </c>
      <c r="AQ580" s="480"/>
      <c r="AR580" s="477">
        <f t="shared" si="281"/>
        <v>0</v>
      </c>
      <c r="AS580" s="480"/>
      <c r="AT580" s="477">
        <f t="shared" ca="1" si="282"/>
        <v>0</v>
      </c>
      <c r="AU580" s="475">
        <f t="shared" ca="1" si="283"/>
        <v>0</v>
      </c>
      <c r="AV580" s="480"/>
      <c r="AW580" s="477">
        <f t="shared" si="284"/>
        <v>0</v>
      </c>
      <c r="AX580" s="480"/>
      <c r="AY580" s="477">
        <f t="shared" si="285"/>
        <v>0</v>
      </c>
      <c r="AZ580" s="480"/>
      <c r="BA580" s="477">
        <f t="shared" si="286"/>
        <v>0</v>
      </c>
      <c r="BB580" s="480"/>
      <c r="BC580" s="850">
        <f t="shared" ca="1" si="287"/>
        <v>0</v>
      </c>
    </row>
    <row r="581" spans="1:55">
      <c r="A581" s="837" t="str">
        <f t="shared" si="259"/>
        <v/>
      </c>
      <c r="B581" s="440"/>
      <c r="C581" s="834" t="str">
        <f t="shared" ca="1" si="260"/>
        <v/>
      </c>
      <c r="D581" s="1757" t="str">
        <f ca="1">IFERROR(VLOOKUP(LEFT(E581,4),Nom_activ_2!D:G,4,0),"")</f>
        <v/>
      </c>
      <c r="E581" s="1757" t="str">
        <f t="shared" ca="1" si="261"/>
        <v/>
      </c>
      <c r="F581" s="1777">
        <f t="shared" ca="1" si="290"/>
        <v>0</v>
      </c>
      <c r="G581" s="839">
        <f t="shared" ca="1" si="290"/>
        <v>0</v>
      </c>
      <c r="H581" s="840">
        <f t="shared" ca="1" si="290"/>
        <v>0</v>
      </c>
      <c r="I581" s="443"/>
      <c r="J581" s="838" t="str">
        <f t="shared" si="262"/>
        <v>!$A:$j</v>
      </c>
      <c r="K581" s="475">
        <f t="shared" ca="1" si="263"/>
        <v>0</v>
      </c>
      <c r="L581" s="480"/>
      <c r="M581" s="477">
        <f t="shared" si="264"/>
        <v>0</v>
      </c>
      <c r="N581" s="480"/>
      <c r="O581" s="477">
        <f t="shared" si="265"/>
        <v>0</v>
      </c>
      <c r="P581" s="480"/>
      <c r="Q581" s="477">
        <f t="shared" si="266"/>
        <v>0</v>
      </c>
      <c r="R581" s="480"/>
      <c r="S581" s="477">
        <f t="shared" ca="1" si="267"/>
        <v>0</v>
      </c>
      <c r="T581" s="475">
        <f t="shared" ca="1" si="268"/>
        <v>0</v>
      </c>
      <c r="U581" s="480"/>
      <c r="V581" s="477">
        <f t="shared" si="269"/>
        <v>0</v>
      </c>
      <c r="W581" s="480"/>
      <c r="X581" s="477">
        <f t="shared" si="270"/>
        <v>0</v>
      </c>
      <c r="Y581" s="480"/>
      <c r="Z581" s="477">
        <f t="shared" si="271"/>
        <v>0</v>
      </c>
      <c r="AA581" s="480"/>
      <c r="AB581" s="477">
        <f t="shared" ca="1" si="272"/>
        <v>0</v>
      </c>
      <c r="AC581" s="475">
        <f t="shared" ca="1" si="273"/>
        <v>0</v>
      </c>
      <c r="AD581" s="480"/>
      <c r="AE581" s="477">
        <f t="shared" si="274"/>
        <v>0</v>
      </c>
      <c r="AF581" s="480"/>
      <c r="AG581" s="477">
        <f t="shared" si="275"/>
        <v>0</v>
      </c>
      <c r="AH581" s="480"/>
      <c r="AI581" s="477">
        <f t="shared" si="276"/>
        <v>0</v>
      </c>
      <c r="AJ581" s="480"/>
      <c r="AK581" s="477">
        <f t="shared" ca="1" si="277"/>
        <v>0</v>
      </c>
      <c r="AL581" s="475">
        <f t="shared" ca="1" si="278"/>
        <v>0</v>
      </c>
      <c r="AM581" s="480"/>
      <c r="AN581" s="477">
        <f t="shared" si="279"/>
        <v>0</v>
      </c>
      <c r="AO581" s="480"/>
      <c r="AP581" s="477">
        <f t="shared" si="280"/>
        <v>0</v>
      </c>
      <c r="AQ581" s="480"/>
      <c r="AR581" s="477">
        <f t="shared" si="281"/>
        <v>0</v>
      </c>
      <c r="AS581" s="480"/>
      <c r="AT581" s="477">
        <f t="shared" ca="1" si="282"/>
        <v>0</v>
      </c>
      <c r="AU581" s="475">
        <f t="shared" ca="1" si="283"/>
        <v>0</v>
      </c>
      <c r="AV581" s="480"/>
      <c r="AW581" s="477">
        <f t="shared" si="284"/>
        <v>0</v>
      </c>
      <c r="AX581" s="480"/>
      <c r="AY581" s="477">
        <f t="shared" si="285"/>
        <v>0</v>
      </c>
      <c r="AZ581" s="480"/>
      <c r="BA581" s="477">
        <f t="shared" si="286"/>
        <v>0</v>
      </c>
      <c r="BB581" s="480"/>
      <c r="BC581" s="850">
        <f t="shared" ca="1" si="287"/>
        <v>0</v>
      </c>
    </row>
    <row r="582" spans="1:55">
      <c r="A582" s="837" t="str">
        <f t="shared" si="259"/>
        <v/>
      </c>
      <c r="B582" s="440"/>
      <c r="C582" s="834" t="str">
        <f t="shared" ca="1" si="260"/>
        <v/>
      </c>
      <c r="D582" s="1757" t="str">
        <f ca="1">IFERROR(VLOOKUP(LEFT(E582,4),Nom_activ_2!D:G,4,0),"")</f>
        <v/>
      </c>
      <c r="E582" s="1757" t="str">
        <f t="shared" ca="1" si="261"/>
        <v/>
      </c>
      <c r="F582" s="1777">
        <f t="shared" ca="1" si="290"/>
        <v>0</v>
      </c>
      <c r="G582" s="839">
        <f t="shared" ca="1" si="290"/>
        <v>0</v>
      </c>
      <c r="H582" s="840">
        <f t="shared" ca="1" si="290"/>
        <v>0</v>
      </c>
      <c r="I582" s="443"/>
      <c r="J582" s="838" t="str">
        <f t="shared" si="262"/>
        <v>!$A:$j</v>
      </c>
      <c r="K582" s="475">
        <f t="shared" ca="1" si="263"/>
        <v>0</v>
      </c>
      <c r="L582" s="480"/>
      <c r="M582" s="477">
        <f t="shared" si="264"/>
        <v>0</v>
      </c>
      <c r="N582" s="480"/>
      <c r="O582" s="477">
        <f t="shared" si="265"/>
        <v>0</v>
      </c>
      <c r="P582" s="480"/>
      <c r="Q582" s="477">
        <f t="shared" si="266"/>
        <v>0</v>
      </c>
      <c r="R582" s="480"/>
      <c r="S582" s="477">
        <f t="shared" ca="1" si="267"/>
        <v>0</v>
      </c>
      <c r="T582" s="475">
        <f t="shared" ca="1" si="268"/>
        <v>0</v>
      </c>
      <c r="U582" s="480"/>
      <c r="V582" s="477">
        <f t="shared" si="269"/>
        <v>0</v>
      </c>
      <c r="W582" s="480"/>
      <c r="X582" s="477">
        <f t="shared" si="270"/>
        <v>0</v>
      </c>
      <c r="Y582" s="480"/>
      <c r="Z582" s="477">
        <f t="shared" si="271"/>
        <v>0</v>
      </c>
      <c r="AA582" s="480"/>
      <c r="AB582" s="477">
        <f t="shared" ca="1" si="272"/>
        <v>0</v>
      </c>
      <c r="AC582" s="475">
        <f t="shared" ca="1" si="273"/>
        <v>0</v>
      </c>
      <c r="AD582" s="480"/>
      <c r="AE582" s="477">
        <f t="shared" si="274"/>
        <v>0</v>
      </c>
      <c r="AF582" s="480"/>
      <c r="AG582" s="477">
        <f t="shared" si="275"/>
        <v>0</v>
      </c>
      <c r="AH582" s="480"/>
      <c r="AI582" s="477">
        <f t="shared" si="276"/>
        <v>0</v>
      </c>
      <c r="AJ582" s="480"/>
      <c r="AK582" s="477">
        <f t="shared" ca="1" si="277"/>
        <v>0</v>
      </c>
      <c r="AL582" s="475">
        <f t="shared" ca="1" si="278"/>
        <v>0</v>
      </c>
      <c r="AM582" s="480"/>
      <c r="AN582" s="477">
        <f t="shared" si="279"/>
        <v>0</v>
      </c>
      <c r="AO582" s="480"/>
      <c r="AP582" s="477">
        <f t="shared" si="280"/>
        <v>0</v>
      </c>
      <c r="AQ582" s="480"/>
      <c r="AR582" s="477">
        <f t="shared" si="281"/>
        <v>0</v>
      </c>
      <c r="AS582" s="480"/>
      <c r="AT582" s="477">
        <f t="shared" ca="1" si="282"/>
        <v>0</v>
      </c>
      <c r="AU582" s="475">
        <f t="shared" ca="1" si="283"/>
        <v>0</v>
      </c>
      <c r="AV582" s="480"/>
      <c r="AW582" s="477">
        <f t="shared" si="284"/>
        <v>0</v>
      </c>
      <c r="AX582" s="480"/>
      <c r="AY582" s="477">
        <f t="shared" si="285"/>
        <v>0</v>
      </c>
      <c r="AZ582" s="480"/>
      <c r="BA582" s="477">
        <f t="shared" si="286"/>
        <v>0</v>
      </c>
      <c r="BB582" s="480"/>
      <c r="BC582" s="850">
        <f t="shared" ca="1" si="287"/>
        <v>0</v>
      </c>
    </row>
    <row r="583" spans="1:55">
      <c r="A583" s="837" t="str">
        <f t="shared" ref="A583:A604" si="291">IF(B583="","",IF(COUNTA(C583:H583)&lt;6,"Completati  toate campurile col C:H",""))</f>
        <v/>
      </c>
      <c r="B583" s="440"/>
      <c r="C583" s="834" t="str">
        <f t="shared" ref="C583:C604" ca="1" si="292">IFERROR(LEFT(D583,2),"")</f>
        <v/>
      </c>
      <c r="D583" s="1757" t="str">
        <f ca="1">IFERROR(VLOOKUP(LEFT(E583,4),Nom_activ_2!D:G,4,0),"")</f>
        <v/>
      </c>
      <c r="E583" s="1757" t="str">
        <f t="shared" ref="E583:E604" ca="1" si="293">IFERROR(VLOOKUP($B583,INDIRECT($J583),E$5,0),"")</f>
        <v/>
      </c>
      <c r="F583" s="1777">
        <f t="shared" ca="1" si="290"/>
        <v>0</v>
      </c>
      <c r="G583" s="839">
        <f t="shared" ca="1" si="290"/>
        <v>0</v>
      </c>
      <c r="H583" s="840">
        <f t="shared" ca="1" si="290"/>
        <v>0</v>
      </c>
      <c r="I583" s="443"/>
      <c r="J583" s="838" t="str">
        <f t="shared" ref="J583:J604" si="294">I583&amp;"!$A:$j"</f>
        <v>!$A:$j</v>
      </c>
      <c r="K583" s="475">
        <f t="shared" ref="K583:K604" ca="1" si="295">IFERROR(VLOOKUP($B583,INDIRECT($J583),K$5,0),0)</f>
        <v>0</v>
      </c>
      <c r="L583" s="480"/>
      <c r="M583" s="477">
        <f t="shared" ref="M583:M604" si="296">IF(L583="",0,K583*L583)</f>
        <v>0</v>
      </c>
      <c r="N583" s="480"/>
      <c r="O583" s="477">
        <f t="shared" ref="O583:O604" si="297">IF(N583="",0,M583*N583)</f>
        <v>0</v>
      </c>
      <c r="P583" s="480"/>
      <c r="Q583" s="477">
        <f t="shared" ref="Q583:Q604" si="298">IF(P583="",0,O583*P583)</f>
        <v>0</v>
      </c>
      <c r="R583" s="480"/>
      <c r="S583" s="477">
        <f t="shared" ref="S583:S604" ca="1" si="299">IFERROR(K583-M583-O583-Q583,0)</f>
        <v>0</v>
      </c>
      <c r="T583" s="475">
        <f t="shared" ref="T583:T604" ca="1" si="300">IFERROR(VLOOKUP($B583,INDIRECT($J583),T$5,0),0)</f>
        <v>0</v>
      </c>
      <c r="U583" s="480"/>
      <c r="V583" s="477">
        <f t="shared" ref="V583:V604" si="301">IF(U583="",0,T583*U583)</f>
        <v>0</v>
      </c>
      <c r="W583" s="480"/>
      <c r="X583" s="477">
        <f t="shared" ref="X583:X604" si="302">IF(W583="",0,V583*W583)</f>
        <v>0</v>
      </c>
      <c r="Y583" s="480"/>
      <c r="Z583" s="477">
        <f t="shared" ref="Z583:Z604" si="303">IF(Y583="",0,X583*Y583)</f>
        <v>0</v>
      </c>
      <c r="AA583" s="480"/>
      <c r="AB583" s="477">
        <f t="shared" ref="AB583:AB604" ca="1" si="304">IFERROR(T583-V583-X583-Z583,0)</f>
        <v>0</v>
      </c>
      <c r="AC583" s="475">
        <f t="shared" ref="AC583:AC604" ca="1" si="305">IFERROR(VLOOKUP($B583,INDIRECT($J583),AC$5,0),0)</f>
        <v>0</v>
      </c>
      <c r="AD583" s="480"/>
      <c r="AE583" s="477">
        <f t="shared" ref="AE583:AE604" si="306">IF(AD583="",0,AC583*AD583)</f>
        <v>0</v>
      </c>
      <c r="AF583" s="480"/>
      <c r="AG583" s="477">
        <f t="shared" ref="AG583:AG604" si="307">IF(AF583="",0,AE583*AF583)</f>
        <v>0</v>
      </c>
      <c r="AH583" s="480"/>
      <c r="AI583" s="477">
        <f t="shared" ref="AI583:AI604" si="308">IF(AH583="",0,AG583*AH583)</f>
        <v>0</v>
      </c>
      <c r="AJ583" s="480"/>
      <c r="AK583" s="477">
        <f t="shared" ref="AK583:AK604" ca="1" si="309">IFERROR(AC583-AE583-AG583-AI583,0)</f>
        <v>0</v>
      </c>
      <c r="AL583" s="475">
        <f t="shared" ref="AL583:AL604" ca="1" si="310">IFERROR(VLOOKUP($B583,INDIRECT($J583),AL$5,0),0)</f>
        <v>0</v>
      </c>
      <c r="AM583" s="480"/>
      <c r="AN583" s="477">
        <f t="shared" ref="AN583:AN604" si="311">IF(AM583="",0,AL583*AM583)</f>
        <v>0</v>
      </c>
      <c r="AO583" s="480"/>
      <c r="AP583" s="477">
        <f t="shared" ref="AP583:AP604" si="312">IF(AO583="",0,AN583*AO583)</f>
        <v>0</v>
      </c>
      <c r="AQ583" s="480"/>
      <c r="AR583" s="477">
        <f t="shared" ref="AR583:AR604" si="313">IF(AQ583="",0,AP583*AQ583)</f>
        <v>0</v>
      </c>
      <c r="AS583" s="480"/>
      <c r="AT583" s="477">
        <f t="shared" ref="AT583:AT604" ca="1" si="314">IFERROR(AL583-AN583-AP583-AR583,0)</f>
        <v>0</v>
      </c>
      <c r="AU583" s="475">
        <f t="shared" ref="AU583:AU604" ca="1" si="315">IFERROR(VLOOKUP($B583,INDIRECT($J583),AU$5,0),0)</f>
        <v>0</v>
      </c>
      <c r="AV583" s="480"/>
      <c r="AW583" s="477">
        <f t="shared" ref="AW583:AW604" si="316">IF(AV583="",0,AU583*AV583)</f>
        <v>0</v>
      </c>
      <c r="AX583" s="480"/>
      <c r="AY583" s="477">
        <f t="shared" ref="AY583:AY604" si="317">IF(AX583="",0,AW583*AX583)</f>
        <v>0</v>
      </c>
      <c r="AZ583" s="480"/>
      <c r="BA583" s="477">
        <f t="shared" ref="BA583:BA604" si="318">IF(AZ583="",0,AY583*AZ583)</f>
        <v>0</v>
      </c>
      <c r="BB583" s="480"/>
      <c r="BC583" s="850">
        <f t="shared" ref="BC583:BC604" ca="1" si="319">K583+T583+AC583+AL583+AU583</f>
        <v>0</v>
      </c>
    </row>
    <row r="584" spans="1:55">
      <c r="A584" s="837" t="str">
        <f t="shared" si="291"/>
        <v/>
      </c>
      <c r="B584" s="440"/>
      <c r="C584" s="834" t="str">
        <f t="shared" ca="1" si="292"/>
        <v/>
      </c>
      <c r="D584" s="1757" t="str">
        <f ca="1">IFERROR(VLOOKUP(LEFT(E584,4),Nom_activ_2!D:G,4,0),"")</f>
        <v/>
      </c>
      <c r="E584" s="1757" t="str">
        <f t="shared" ca="1" si="293"/>
        <v/>
      </c>
      <c r="F584" s="1777">
        <f t="shared" ca="1" si="290"/>
        <v>0</v>
      </c>
      <c r="G584" s="839">
        <f t="shared" ca="1" si="290"/>
        <v>0</v>
      </c>
      <c r="H584" s="840">
        <f t="shared" ca="1" si="290"/>
        <v>0</v>
      </c>
      <c r="I584" s="443"/>
      <c r="J584" s="838" t="str">
        <f t="shared" si="294"/>
        <v>!$A:$j</v>
      </c>
      <c r="K584" s="475">
        <f t="shared" ca="1" si="295"/>
        <v>0</v>
      </c>
      <c r="L584" s="480"/>
      <c r="M584" s="477">
        <f t="shared" si="296"/>
        <v>0</v>
      </c>
      <c r="N584" s="480"/>
      <c r="O584" s="477">
        <f t="shared" si="297"/>
        <v>0</v>
      </c>
      <c r="P584" s="480"/>
      <c r="Q584" s="477">
        <f t="shared" si="298"/>
        <v>0</v>
      </c>
      <c r="R584" s="480"/>
      <c r="S584" s="477">
        <f t="shared" ca="1" si="299"/>
        <v>0</v>
      </c>
      <c r="T584" s="475">
        <f t="shared" ca="1" si="300"/>
        <v>0</v>
      </c>
      <c r="U584" s="480"/>
      <c r="V584" s="477">
        <f t="shared" si="301"/>
        <v>0</v>
      </c>
      <c r="W584" s="480"/>
      <c r="X584" s="477">
        <f t="shared" si="302"/>
        <v>0</v>
      </c>
      <c r="Y584" s="480"/>
      <c r="Z584" s="477">
        <f t="shared" si="303"/>
        <v>0</v>
      </c>
      <c r="AA584" s="480"/>
      <c r="AB584" s="477">
        <f t="shared" ca="1" si="304"/>
        <v>0</v>
      </c>
      <c r="AC584" s="475">
        <f t="shared" ca="1" si="305"/>
        <v>0</v>
      </c>
      <c r="AD584" s="480"/>
      <c r="AE584" s="477">
        <f t="shared" si="306"/>
        <v>0</v>
      </c>
      <c r="AF584" s="480"/>
      <c r="AG584" s="477">
        <f t="shared" si="307"/>
        <v>0</v>
      </c>
      <c r="AH584" s="480"/>
      <c r="AI584" s="477">
        <f t="shared" si="308"/>
        <v>0</v>
      </c>
      <c r="AJ584" s="480"/>
      <c r="AK584" s="477">
        <f t="shared" ca="1" si="309"/>
        <v>0</v>
      </c>
      <c r="AL584" s="475">
        <f t="shared" ca="1" si="310"/>
        <v>0</v>
      </c>
      <c r="AM584" s="480"/>
      <c r="AN584" s="477">
        <f t="shared" si="311"/>
        <v>0</v>
      </c>
      <c r="AO584" s="480"/>
      <c r="AP584" s="477">
        <f t="shared" si="312"/>
        <v>0</v>
      </c>
      <c r="AQ584" s="480"/>
      <c r="AR584" s="477">
        <f t="shared" si="313"/>
        <v>0</v>
      </c>
      <c r="AS584" s="480"/>
      <c r="AT584" s="477">
        <f t="shared" ca="1" si="314"/>
        <v>0</v>
      </c>
      <c r="AU584" s="475">
        <f t="shared" ca="1" si="315"/>
        <v>0</v>
      </c>
      <c r="AV584" s="480"/>
      <c r="AW584" s="477">
        <f t="shared" si="316"/>
        <v>0</v>
      </c>
      <c r="AX584" s="480"/>
      <c r="AY584" s="477">
        <f t="shared" si="317"/>
        <v>0</v>
      </c>
      <c r="AZ584" s="480"/>
      <c r="BA584" s="477">
        <f t="shared" si="318"/>
        <v>0</v>
      </c>
      <c r="BB584" s="480"/>
      <c r="BC584" s="850">
        <f t="shared" ca="1" si="319"/>
        <v>0</v>
      </c>
    </row>
    <row r="585" spans="1:55">
      <c r="A585" s="837" t="str">
        <f t="shared" si="291"/>
        <v/>
      </c>
      <c r="B585" s="440"/>
      <c r="C585" s="834" t="str">
        <f t="shared" ca="1" si="292"/>
        <v/>
      </c>
      <c r="D585" s="1757" t="str">
        <f ca="1">IFERROR(VLOOKUP(LEFT(E585,4),Nom_activ_2!D:G,4,0),"")</f>
        <v/>
      </c>
      <c r="E585" s="1757" t="str">
        <f t="shared" ca="1" si="293"/>
        <v/>
      </c>
      <c r="F585" s="1777">
        <f t="shared" ca="1" si="290"/>
        <v>0</v>
      </c>
      <c r="G585" s="839">
        <f t="shared" ca="1" si="290"/>
        <v>0</v>
      </c>
      <c r="H585" s="840">
        <f t="shared" ca="1" si="290"/>
        <v>0</v>
      </c>
      <c r="I585" s="443"/>
      <c r="J585" s="838" t="str">
        <f t="shared" si="294"/>
        <v>!$A:$j</v>
      </c>
      <c r="K585" s="475">
        <f t="shared" ca="1" si="295"/>
        <v>0</v>
      </c>
      <c r="L585" s="480"/>
      <c r="M585" s="477">
        <f t="shared" si="296"/>
        <v>0</v>
      </c>
      <c r="N585" s="480"/>
      <c r="O585" s="477">
        <f t="shared" si="297"/>
        <v>0</v>
      </c>
      <c r="P585" s="480"/>
      <c r="Q585" s="477">
        <f t="shared" si="298"/>
        <v>0</v>
      </c>
      <c r="R585" s="480"/>
      <c r="S585" s="477">
        <f t="shared" ca="1" si="299"/>
        <v>0</v>
      </c>
      <c r="T585" s="475">
        <f t="shared" ca="1" si="300"/>
        <v>0</v>
      </c>
      <c r="U585" s="480"/>
      <c r="V585" s="477">
        <f t="shared" si="301"/>
        <v>0</v>
      </c>
      <c r="W585" s="480"/>
      <c r="X585" s="477">
        <f t="shared" si="302"/>
        <v>0</v>
      </c>
      <c r="Y585" s="480"/>
      <c r="Z585" s="477">
        <f t="shared" si="303"/>
        <v>0</v>
      </c>
      <c r="AA585" s="480"/>
      <c r="AB585" s="477">
        <f t="shared" ca="1" si="304"/>
        <v>0</v>
      </c>
      <c r="AC585" s="475">
        <f t="shared" ca="1" si="305"/>
        <v>0</v>
      </c>
      <c r="AD585" s="480"/>
      <c r="AE585" s="477">
        <f t="shared" si="306"/>
        <v>0</v>
      </c>
      <c r="AF585" s="480"/>
      <c r="AG585" s="477">
        <f t="shared" si="307"/>
        <v>0</v>
      </c>
      <c r="AH585" s="480"/>
      <c r="AI585" s="477">
        <f t="shared" si="308"/>
        <v>0</v>
      </c>
      <c r="AJ585" s="480"/>
      <c r="AK585" s="477">
        <f t="shared" ca="1" si="309"/>
        <v>0</v>
      </c>
      <c r="AL585" s="475">
        <f t="shared" ca="1" si="310"/>
        <v>0</v>
      </c>
      <c r="AM585" s="480"/>
      <c r="AN585" s="477">
        <f t="shared" si="311"/>
        <v>0</v>
      </c>
      <c r="AO585" s="480"/>
      <c r="AP585" s="477">
        <f t="shared" si="312"/>
        <v>0</v>
      </c>
      <c r="AQ585" s="480"/>
      <c r="AR585" s="477">
        <f t="shared" si="313"/>
        <v>0</v>
      </c>
      <c r="AS585" s="480"/>
      <c r="AT585" s="477">
        <f t="shared" ca="1" si="314"/>
        <v>0</v>
      </c>
      <c r="AU585" s="475">
        <f t="shared" ca="1" si="315"/>
        <v>0</v>
      </c>
      <c r="AV585" s="480"/>
      <c r="AW585" s="477">
        <f t="shared" si="316"/>
        <v>0</v>
      </c>
      <c r="AX585" s="480"/>
      <c r="AY585" s="477">
        <f t="shared" si="317"/>
        <v>0</v>
      </c>
      <c r="AZ585" s="480"/>
      <c r="BA585" s="477">
        <f t="shared" si="318"/>
        <v>0</v>
      </c>
      <c r="BB585" s="480"/>
      <c r="BC585" s="850">
        <f t="shared" ca="1" si="319"/>
        <v>0</v>
      </c>
    </row>
    <row r="586" spans="1:55">
      <c r="A586" s="837" t="str">
        <f t="shared" si="291"/>
        <v/>
      </c>
      <c r="B586" s="440"/>
      <c r="C586" s="834" t="str">
        <f t="shared" ca="1" si="292"/>
        <v/>
      </c>
      <c r="D586" s="1757" t="str">
        <f ca="1">IFERROR(VLOOKUP(LEFT(E586,4),Nom_activ_2!D:G,4,0),"")</f>
        <v/>
      </c>
      <c r="E586" s="1757" t="str">
        <f t="shared" ca="1" si="293"/>
        <v/>
      </c>
      <c r="F586" s="1777">
        <f t="shared" ca="1" si="290"/>
        <v>0</v>
      </c>
      <c r="G586" s="839">
        <f t="shared" ca="1" si="290"/>
        <v>0</v>
      </c>
      <c r="H586" s="840">
        <f t="shared" ca="1" si="290"/>
        <v>0</v>
      </c>
      <c r="I586" s="443"/>
      <c r="J586" s="838" t="str">
        <f t="shared" si="294"/>
        <v>!$A:$j</v>
      </c>
      <c r="K586" s="475">
        <f t="shared" ca="1" si="295"/>
        <v>0</v>
      </c>
      <c r="L586" s="480"/>
      <c r="M586" s="477">
        <f t="shared" si="296"/>
        <v>0</v>
      </c>
      <c r="N586" s="480"/>
      <c r="O586" s="477">
        <f t="shared" si="297"/>
        <v>0</v>
      </c>
      <c r="P586" s="480"/>
      <c r="Q586" s="477">
        <f t="shared" si="298"/>
        <v>0</v>
      </c>
      <c r="R586" s="480"/>
      <c r="S586" s="477">
        <f t="shared" ca="1" si="299"/>
        <v>0</v>
      </c>
      <c r="T586" s="475">
        <f t="shared" ca="1" si="300"/>
        <v>0</v>
      </c>
      <c r="U586" s="480"/>
      <c r="V586" s="477">
        <f t="shared" si="301"/>
        <v>0</v>
      </c>
      <c r="W586" s="480"/>
      <c r="X586" s="477">
        <f t="shared" si="302"/>
        <v>0</v>
      </c>
      <c r="Y586" s="480"/>
      <c r="Z586" s="477">
        <f t="shared" si="303"/>
        <v>0</v>
      </c>
      <c r="AA586" s="480"/>
      <c r="AB586" s="477">
        <f t="shared" ca="1" si="304"/>
        <v>0</v>
      </c>
      <c r="AC586" s="475">
        <f t="shared" ca="1" si="305"/>
        <v>0</v>
      </c>
      <c r="AD586" s="480"/>
      <c r="AE586" s="477">
        <f t="shared" si="306"/>
        <v>0</v>
      </c>
      <c r="AF586" s="480"/>
      <c r="AG586" s="477">
        <f t="shared" si="307"/>
        <v>0</v>
      </c>
      <c r="AH586" s="480"/>
      <c r="AI586" s="477">
        <f t="shared" si="308"/>
        <v>0</v>
      </c>
      <c r="AJ586" s="480"/>
      <c r="AK586" s="477">
        <f t="shared" ca="1" si="309"/>
        <v>0</v>
      </c>
      <c r="AL586" s="475">
        <f t="shared" ca="1" si="310"/>
        <v>0</v>
      </c>
      <c r="AM586" s="480"/>
      <c r="AN586" s="477">
        <f t="shared" si="311"/>
        <v>0</v>
      </c>
      <c r="AO586" s="480"/>
      <c r="AP586" s="477">
        <f t="shared" si="312"/>
        <v>0</v>
      </c>
      <c r="AQ586" s="480"/>
      <c r="AR586" s="477">
        <f t="shared" si="313"/>
        <v>0</v>
      </c>
      <c r="AS586" s="480"/>
      <c r="AT586" s="477">
        <f t="shared" ca="1" si="314"/>
        <v>0</v>
      </c>
      <c r="AU586" s="475">
        <f t="shared" ca="1" si="315"/>
        <v>0</v>
      </c>
      <c r="AV586" s="480"/>
      <c r="AW586" s="477">
        <f t="shared" si="316"/>
        <v>0</v>
      </c>
      <c r="AX586" s="480"/>
      <c r="AY586" s="477">
        <f t="shared" si="317"/>
        <v>0</v>
      </c>
      <c r="AZ586" s="480"/>
      <c r="BA586" s="477">
        <f t="shared" si="318"/>
        <v>0</v>
      </c>
      <c r="BB586" s="480"/>
      <c r="BC586" s="850">
        <f t="shared" ca="1" si="319"/>
        <v>0</v>
      </c>
    </row>
    <row r="587" spans="1:55">
      <c r="A587" s="837" t="str">
        <f t="shared" si="291"/>
        <v/>
      </c>
      <c r="B587" s="440"/>
      <c r="C587" s="834" t="str">
        <f t="shared" ca="1" si="292"/>
        <v/>
      </c>
      <c r="D587" s="1757" t="str">
        <f ca="1">IFERROR(VLOOKUP(LEFT(E587,4),Nom_activ_2!D:G,4,0),"")</f>
        <v/>
      </c>
      <c r="E587" s="1757" t="str">
        <f t="shared" ca="1" si="293"/>
        <v/>
      </c>
      <c r="F587" s="1777">
        <f t="shared" ref="F587:H604" ca="1" si="320">IFERROR(VLOOKUP($B587,INDIRECT($J587),F$5,0),0)</f>
        <v>0</v>
      </c>
      <c r="G587" s="839">
        <f t="shared" ca="1" si="320"/>
        <v>0</v>
      </c>
      <c r="H587" s="840">
        <f t="shared" ca="1" si="320"/>
        <v>0</v>
      </c>
      <c r="I587" s="443"/>
      <c r="J587" s="838" t="str">
        <f t="shared" si="294"/>
        <v>!$A:$j</v>
      </c>
      <c r="K587" s="475">
        <f t="shared" ca="1" si="295"/>
        <v>0</v>
      </c>
      <c r="L587" s="480"/>
      <c r="M587" s="477">
        <f t="shared" si="296"/>
        <v>0</v>
      </c>
      <c r="N587" s="480"/>
      <c r="O587" s="477">
        <f t="shared" si="297"/>
        <v>0</v>
      </c>
      <c r="P587" s="480"/>
      <c r="Q587" s="477">
        <f t="shared" si="298"/>
        <v>0</v>
      </c>
      <c r="R587" s="480"/>
      <c r="S587" s="477">
        <f t="shared" ca="1" si="299"/>
        <v>0</v>
      </c>
      <c r="T587" s="475">
        <f t="shared" ca="1" si="300"/>
        <v>0</v>
      </c>
      <c r="U587" s="480"/>
      <c r="V587" s="477">
        <f t="shared" si="301"/>
        <v>0</v>
      </c>
      <c r="W587" s="480"/>
      <c r="X587" s="477">
        <f t="shared" si="302"/>
        <v>0</v>
      </c>
      <c r="Y587" s="480"/>
      <c r="Z587" s="477">
        <f t="shared" si="303"/>
        <v>0</v>
      </c>
      <c r="AA587" s="480"/>
      <c r="AB587" s="477">
        <f t="shared" ca="1" si="304"/>
        <v>0</v>
      </c>
      <c r="AC587" s="475">
        <f t="shared" ca="1" si="305"/>
        <v>0</v>
      </c>
      <c r="AD587" s="480"/>
      <c r="AE587" s="477">
        <f t="shared" si="306"/>
        <v>0</v>
      </c>
      <c r="AF587" s="480"/>
      <c r="AG587" s="477">
        <f t="shared" si="307"/>
        <v>0</v>
      </c>
      <c r="AH587" s="480"/>
      <c r="AI587" s="477">
        <f t="shared" si="308"/>
        <v>0</v>
      </c>
      <c r="AJ587" s="480"/>
      <c r="AK587" s="477">
        <f t="shared" ca="1" si="309"/>
        <v>0</v>
      </c>
      <c r="AL587" s="475">
        <f t="shared" ca="1" si="310"/>
        <v>0</v>
      </c>
      <c r="AM587" s="480"/>
      <c r="AN587" s="477">
        <f t="shared" si="311"/>
        <v>0</v>
      </c>
      <c r="AO587" s="480"/>
      <c r="AP587" s="477">
        <f t="shared" si="312"/>
        <v>0</v>
      </c>
      <c r="AQ587" s="480"/>
      <c r="AR587" s="477">
        <f t="shared" si="313"/>
        <v>0</v>
      </c>
      <c r="AS587" s="480"/>
      <c r="AT587" s="477">
        <f t="shared" ca="1" si="314"/>
        <v>0</v>
      </c>
      <c r="AU587" s="475">
        <f t="shared" ca="1" si="315"/>
        <v>0</v>
      </c>
      <c r="AV587" s="480"/>
      <c r="AW587" s="477">
        <f t="shared" si="316"/>
        <v>0</v>
      </c>
      <c r="AX587" s="480"/>
      <c r="AY587" s="477">
        <f t="shared" si="317"/>
        <v>0</v>
      </c>
      <c r="AZ587" s="480"/>
      <c r="BA587" s="477">
        <f t="shared" si="318"/>
        <v>0</v>
      </c>
      <c r="BB587" s="480"/>
      <c r="BC587" s="850">
        <f t="shared" ca="1" si="319"/>
        <v>0</v>
      </c>
    </row>
    <row r="588" spans="1:55">
      <c r="A588" s="837" t="str">
        <f t="shared" si="291"/>
        <v/>
      </c>
      <c r="B588" s="440"/>
      <c r="C588" s="834" t="str">
        <f t="shared" ca="1" si="292"/>
        <v/>
      </c>
      <c r="D588" s="1757" t="str">
        <f ca="1">IFERROR(VLOOKUP(LEFT(E588,4),Nom_activ_2!D:G,4,0),"")</f>
        <v/>
      </c>
      <c r="E588" s="1757" t="str">
        <f t="shared" ca="1" si="293"/>
        <v/>
      </c>
      <c r="F588" s="1777">
        <f t="shared" ca="1" si="320"/>
        <v>0</v>
      </c>
      <c r="G588" s="839">
        <f t="shared" ca="1" si="320"/>
        <v>0</v>
      </c>
      <c r="H588" s="840">
        <f t="shared" ca="1" si="320"/>
        <v>0</v>
      </c>
      <c r="I588" s="443"/>
      <c r="J588" s="838" t="str">
        <f t="shared" si="294"/>
        <v>!$A:$j</v>
      </c>
      <c r="K588" s="475">
        <f t="shared" ca="1" si="295"/>
        <v>0</v>
      </c>
      <c r="L588" s="480"/>
      <c r="M588" s="477">
        <f t="shared" si="296"/>
        <v>0</v>
      </c>
      <c r="N588" s="480"/>
      <c r="O588" s="477">
        <f t="shared" si="297"/>
        <v>0</v>
      </c>
      <c r="P588" s="480"/>
      <c r="Q588" s="477">
        <f t="shared" si="298"/>
        <v>0</v>
      </c>
      <c r="R588" s="480"/>
      <c r="S588" s="477">
        <f t="shared" ca="1" si="299"/>
        <v>0</v>
      </c>
      <c r="T588" s="475">
        <f t="shared" ca="1" si="300"/>
        <v>0</v>
      </c>
      <c r="U588" s="480"/>
      <c r="V588" s="477">
        <f t="shared" si="301"/>
        <v>0</v>
      </c>
      <c r="W588" s="480"/>
      <c r="X588" s="477">
        <f t="shared" si="302"/>
        <v>0</v>
      </c>
      <c r="Y588" s="480"/>
      <c r="Z588" s="477">
        <f t="shared" si="303"/>
        <v>0</v>
      </c>
      <c r="AA588" s="480"/>
      <c r="AB588" s="477">
        <f t="shared" ca="1" si="304"/>
        <v>0</v>
      </c>
      <c r="AC588" s="475">
        <f t="shared" ca="1" si="305"/>
        <v>0</v>
      </c>
      <c r="AD588" s="480"/>
      <c r="AE588" s="477">
        <f t="shared" si="306"/>
        <v>0</v>
      </c>
      <c r="AF588" s="480"/>
      <c r="AG588" s="477">
        <f t="shared" si="307"/>
        <v>0</v>
      </c>
      <c r="AH588" s="480"/>
      <c r="AI588" s="477">
        <f t="shared" si="308"/>
        <v>0</v>
      </c>
      <c r="AJ588" s="480"/>
      <c r="AK588" s="477">
        <f t="shared" ca="1" si="309"/>
        <v>0</v>
      </c>
      <c r="AL588" s="475">
        <f t="shared" ca="1" si="310"/>
        <v>0</v>
      </c>
      <c r="AM588" s="480"/>
      <c r="AN588" s="477">
        <f t="shared" si="311"/>
        <v>0</v>
      </c>
      <c r="AO588" s="480"/>
      <c r="AP588" s="477">
        <f t="shared" si="312"/>
        <v>0</v>
      </c>
      <c r="AQ588" s="480"/>
      <c r="AR588" s="477">
        <f t="shared" si="313"/>
        <v>0</v>
      </c>
      <c r="AS588" s="480"/>
      <c r="AT588" s="477">
        <f t="shared" ca="1" si="314"/>
        <v>0</v>
      </c>
      <c r="AU588" s="475">
        <f t="shared" ca="1" si="315"/>
        <v>0</v>
      </c>
      <c r="AV588" s="480"/>
      <c r="AW588" s="477">
        <f t="shared" si="316"/>
        <v>0</v>
      </c>
      <c r="AX588" s="480"/>
      <c r="AY588" s="477">
        <f t="shared" si="317"/>
        <v>0</v>
      </c>
      <c r="AZ588" s="480"/>
      <c r="BA588" s="477">
        <f t="shared" si="318"/>
        <v>0</v>
      </c>
      <c r="BB588" s="480"/>
      <c r="BC588" s="850">
        <f t="shared" ca="1" si="319"/>
        <v>0</v>
      </c>
    </row>
    <row r="589" spans="1:55">
      <c r="A589" s="837" t="str">
        <f t="shared" si="291"/>
        <v/>
      </c>
      <c r="B589" s="440"/>
      <c r="C589" s="834" t="str">
        <f t="shared" ca="1" si="292"/>
        <v/>
      </c>
      <c r="D589" s="1757" t="str">
        <f ca="1">IFERROR(VLOOKUP(LEFT(E589,4),Nom_activ_2!D:G,4,0),"")</f>
        <v/>
      </c>
      <c r="E589" s="1757" t="str">
        <f t="shared" ca="1" si="293"/>
        <v/>
      </c>
      <c r="F589" s="1777">
        <f t="shared" ca="1" si="320"/>
        <v>0</v>
      </c>
      <c r="G589" s="839">
        <f t="shared" ca="1" si="320"/>
        <v>0</v>
      </c>
      <c r="H589" s="840">
        <f t="shared" ca="1" si="320"/>
        <v>0</v>
      </c>
      <c r="I589" s="443"/>
      <c r="J589" s="838" t="str">
        <f t="shared" si="294"/>
        <v>!$A:$j</v>
      </c>
      <c r="K589" s="475">
        <f t="shared" ca="1" si="295"/>
        <v>0</v>
      </c>
      <c r="L589" s="480"/>
      <c r="M589" s="477">
        <f t="shared" si="296"/>
        <v>0</v>
      </c>
      <c r="N589" s="480"/>
      <c r="O589" s="477">
        <f t="shared" si="297"/>
        <v>0</v>
      </c>
      <c r="P589" s="480"/>
      <c r="Q589" s="477">
        <f t="shared" si="298"/>
        <v>0</v>
      </c>
      <c r="R589" s="480"/>
      <c r="S589" s="477">
        <f t="shared" ca="1" si="299"/>
        <v>0</v>
      </c>
      <c r="T589" s="475">
        <f t="shared" ca="1" si="300"/>
        <v>0</v>
      </c>
      <c r="U589" s="480"/>
      <c r="V589" s="477">
        <f t="shared" si="301"/>
        <v>0</v>
      </c>
      <c r="W589" s="480"/>
      <c r="X589" s="477">
        <f t="shared" si="302"/>
        <v>0</v>
      </c>
      <c r="Y589" s="480"/>
      <c r="Z589" s="477">
        <f t="shared" si="303"/>
        <v>0</v>
      </c>
      <c r="AA589" s="480"/>
      <c r="AB589" s="477">
        <f t="shared" ca="1" si="304"/>
        <v>0</v>
      </c>
      <c r="AC589" s="475">
        <f t="shared" ca="1" si="305"/>
        <v>0</v>
      </c>
      <c r="AD589" s="480"/>
      <c r="AE589" s="477">
        <f t="shared" si="306"/>
        <v>0</v>
      </c>
      <c r="AF589" s="480"/>
      <c r="AG589" s="477">
        <f t="shared" si="307"/>
        <v>0</v>
      </c>
      <c r="AH589" s="480"/>
      <c r="AI589" s="477">
        <f t="shared" si="308"/>
        <v>0</v>
      </c>
      <c r="AJ589" s="480"/>
      <c r="AK589" s="477">
        <f t="shared" ca="1" si="309"/>
        <v>0</v>
      </c>
      <c r="AL589" s="475">
        <f t="shared" ca="1" si="310"/>
        <v>0</v>
      </c>
      <c r="AM589" s="480"/>
      <c r="AN589" s="477">
        <f t="shared" si="311"/>
        <v>0</v>
      </c>
      <c r="AO589" s="480"/>
      <c r="AP589" s="477">
        <f t="shared" si="312"/>
        <v>0</v>
      </c>
      <c r="AQ589" s="480"/>
      <c r="AR589" s="477">
        <f t="shared" si="313"/>
        <v>0</v>
      </c>
      <c r="AS589" s="480"/>
      <c r="AT589" s="477">
        <f t="shared" ca="1" si="314"/>
        <v>0</v>
      </c>
      <c r="AU589" s="475">
        <f t="shared" ca="1" si="315"/>
        <v>0</v>
      </c>
      <c r="AV589" s="480"/>
      <c r="AW589" s="477">
        <f t="shared" si="316"/>
        <v>0</v>
      </c>
      <c r="AX589" s="480"/>
      <c r="AY589" s="477">
        <f t="shared" si="317"/>
        <v>0</v>
      </c>
      <c r="AZ589" s="480"/>
      <c r="BA589" s="477">
        <f t="shared" si="318"/>
        <v>0</v>
      </c>
      <c r="BB589" s="480"/>
      <c r="BC589" s="850">
        <f t="shared" ca="1" si="319"/>
        <v>0</v>
      </c>
    </row>
    <row r="590" spans="1:55">
      <c r="A590" s="837" t="str">
        <f t="shared" si="291"/>
        <v/>
      </c>
      <c r="B590" s="440"/>
      <c r="C590" s="834" t="str">
        <f t="shared" ca="1" si="292"/>
        <v/>
      </c>
      <c r="D590" s="1757" t="str">
        <f ca="1">IFERROR(VLOOKUP(LEFT(E590,4),Nom_activ_2!D:G,4,0),"")</f>
        <v/>
      </c>
      <c r="E590" s="1757" t="str">
        <f t="shared" ca="1" si="293"/>
        <v/>
      </c>
      <c r="F590" s="1777">
        <f t="shared" ca="1" si="320"/>
        <v>0</v>
      </c>
      <c r="G590" s="839">
        <f t="shared" ca="1" si="320"/>
        <v>0</v>
      </c>
      <c r="H590" s="840">
        <f t="shared" ca="1" si="320"/>
        <v>0</v>
      </c>
      <c r="I590" s="443"/>
      <c r="J590" s="838" t="str">
        <f t="shared" si="294"/>
        <v>!$A:$j</v>
      </c>
      <c r="K590" s="475">
        <f t="shared" ca="1" si="295"/>
        <v>0</v>
      </c>
      <c r="L590" s="480"/>
      <c r="M590" s="477">
        <f t="shared" si="296"/>
        <v>0</v>
      </c>
      <c r="N590" s="480"/>
      <c r="O590" s="477">
        <f t="shared" si="297"/>
        <v>0</v>
      </c>
      <c r="P590" s="480"/>
      <c r="Q590" s="477">
        <f t="shared" si="298"/>
        <v>0</v>
      </c>
      <c r="R590" s="480"/>
      <c r="S590" s="477">
        <f t="shared" ca="1" si="299"/>
        <v>0</v>
      </c>
      <c r="T590" s="475">
        <f t="shared" ca="1" si="300"/>
        <v>0</v>
      </c>
      <c r="U590" s="480"/>
      <c r="V590" s="477">
        <f t="shared" si="301"/>
        <v>0</v>
      </c>
      <c r="W590" s="480"/>
      <c r="X590" s="477">
        <f t="shared" si="302"/>
        <v>0</v>
      </c>
      <c r="Y590" s="480"/>
      <c r="Z590" s="477">
        <f t="shared" si="303"/>
        <v>0</v>
      </c>
      <c r="AA590" s="480"/>
      <c r="AB590" s="477">
        <f t="shared" ca="1" si="304"/>
        <v>0</v>
      </c>
      <c r="AC590" s="475">
        <f t="shared" ca="1" si="305"/>
        <v>0</v>
      </c>
      <c r="AD590" s="480"/>
      <c r="AE590" s="477">
        <f t="shared" si="306"/>
        <v>0</v>
      </c>
      <c r="AF590" s="480"/>
      <c r="AG590" s="477">
        <f t="shared" si="307"/>
        <v>0</v>
      </c>
      <c r="AH590" s="480"/>
      <c r="AI590" s="477">
        <f t="shared" si="308"/>
        <v>0</v>
      </c>
      <c r="AJ590" s="480"/>
      <c r="AK590" s="477">
        <f t="shared" ca="1" si="309"/>
        <v>0</v>
      </c>
      <c r="AL590" s="475">
        <f t="shared" ca="1" si="310"/>
        <v>0</v>
      </c>
      <c r="AM590" s="480"/>
      <c r="AN590" s="477">
        <f t="shared" si="311"/>
        <v>0</v>
      </c>
      <c r="AO590" s="480"/>
      <c r="AP590" s="477">
        <f t="shared" si="312"/>
        <v>0</v>
      </c>
      <c r="AQ590" s="480"/>
      <c r="AR590" s="477">
        <f t="shared" si="313"/>
        <v>0</v>
      </c>
      <c r="AS590" s="480"/>
      <c r="AT590" s="477">
        <f t="shared" ca="1" si="314"/>
        <v>0</v>
      </c>
      <c r="AU590" s="475">
        <f t="shared" ca="1" si="315"/>
        <v>0</v>
      </c>
      <c r="AV590" s="480"/>
      <c r="AW590" s="477">
        <f t="shared" si="316"/>
        <v>0</v>
      </c>
      <c r="AX590" s="480"/>
      <c r="AY590" s="477">
        <f t="shared" si="317"/>
        <v>0</v>
      </c>
      <c r="AZ590" s="480"/>
      <c r="BA590" s="477">
        <f t="shared" si="318"/>
        <v>0</v>
      </c>
      <c r="BB590" s="480"/>
      <c r="BC590" s="850">
        <f t="shared" ca="1" si="319"/>
        <v>0</v>
      </c>
    </row>
    <row r="591" spans="1:55">
      <c r="A591" s="837" t="str">
        <f t="shared" si="291"/>
        <v/>
      </c>
      <c r="B591" s="440"/>
      <c r="C591" s="834" t="str">
        <f t="shared" ca="1" si="292"/>
        <v/>
      </c>
      <c r="D591" s="1757" t="str">
        <f ca="1">IFERROR(VLOOKUP(LEFT(E591,4),Nom_activ_2!D:G,4,0),"")</f>
        <v/>
      </c>
      <c r="E591" s="1757" t="str">
        <f t="shared" ca="1" si="293"/>
        <v/>
      </c>
      <c r="F591" s="1777">
        <f t="shared" ca="1" si="320"/>
        <v>0</v>
      </c>
      <c r="G591" s="839">
        <f t="shared" ca="1" si="320"/>
        <v>0</v>
      </c>
      <c r="H591" s="840">
        <f t="shared" ca="1" si="320"/>
        <v>0</v>
      </c>
      <c r="I591" s="443"/>
      <c r="J591" s="838" t="str">
        <f t="shared" si="294"/>
        <v>!$A:$j</v>
      </c>
      <c r="K591" s="475">
        <f t="shared" ca="1" si="295"/>
        <v>0</v>
      </c>
      <c r="L591" s="480"/>
      <c r="M591" s="477">
        <f t="shared" si="296"/>
        <v>0</v>
      </c>
      <c r="N591" s="480"/>
      <c r="O591" s="477">
        <f t="shared" si="297"/>
        <v>0</v>
      </c>
      <c r="P591" s="480"/>
      <c r="Q591" s="477">
        <f t="shared" si="298"/>
        <v>0</v>
      </c>
      <c r="R591" s="480"/>
      <c r="S591" s="477">
        <f t="shared" ca="1" si="299"/>
        <v>0</v>
      </c>
      <c r="T591" s="475">
        <f t="shared" ca="1" si="300"/>
        <v>0</v>
      </c>
      <c r="U591" s="480"/>
      <c r="V591" s="477">
        <f t="shared" si="301"/>
        <v>0</v>
      </c>
      <c r="W591" s="480"/>
      <c r="X591" s="477">
        <f t="shared" si="302"/>
        <v>0</v>
      </c>
      <c r="Y591" s="480"/>
      <c r="Z591" s="477">
        <f t="shared" si="303"/>
        <v>0</v>
      </c>
      <c r="AA591" s="480"/>
      <c r="AB591" s="477">
        <f t="shared" ca="1" si="304"/>
        <v>0</v>
      </c>
      <c r="AC591" s="475">
        <f t="shared" ca="1" si="305"/>
        <v>0</v>
      </c>
      <c r="AD591" s="480"/>
      <c r="AE591" s="477">
        <f t="shared" si="306"/>
        <v>0</v>
      </c>
      <c r="AF591" s="480"/>
      <c r="AG591" s="477">
        <f t="shared" si="307"/>
        <v>0</v>
      </c>
      <c r="AH591" s="480"/>
      <c r="AI591" s="477">
        <f t="shared" si="308"/>
        <v>0</v>
      </c>
      <c r="AJ591" s="480"/>
      <c r="AK591" s="477">
        <f t="shared" ca="1" si="309"/>
        <v>0</v>
      </c>
      <c r="AL591" s="475">
        <f t="shared" ca="1" si="310"/>
        <v>0</v>
      </c>
      <c r="AM591" s="480"/>
      <c r="AN591" s="477">
        <f t="shared" si="311"/>
        <v>0</v>
      </c>
      <c r="AO591" s="480"/>
      <c r="AP591" s="477">
        <f t="shared" si="312"/>
        <v>0</v>
      </c>
      <c r="AQ591" s="480"/>
      <c r="AR591" s="477">
        <f t="shared" si="313"/>
        <v>0</v>
      </c>
      <c r="AS591" s="480"/>
      <c r="AT591" s="477">
        <f t="shared" ca="1" si="314"/>
        <v>0</v>
      </c>
      <c r="AU591" s="475">
        <f t="shared" ca="1" si="315"/>
        <v>0</v>
      </c>
      <c r="AV591" s="480"/>
      <c r="AW591" s="477">
        <f t="shared" si="316"/>
        <v>0</v>
      </c>
      <c r="AX591" s="480"/>
      <c r="AY591" s="477">
        <f t="shared" si="317"/>
        <v>0</v>
      </c>
      <c r="AZ591" s="480"/>
      <c r="BA591" s="477">
        <f t="shared" si="318"/>
        <v>0</v>
      </c>
      <c r="BB591" s="480"/>
      <c r="BC591" s="850">
        <f t="shared" ca="1" si="319"/>
        <v>0</v>
      </c>
    </row>
    <row r="592" spans="1:55">
      <c r="A592" s="837" t="str">
        <f t="shared" si="291"/>
        <v/>
      </c>
      <c r="B592" s="440"/>
      <c r="C592" s="834" t="str">
        <f t="shared" ca="1" si="292"/>
        <v/>
      </c>
      <c r="D592" s="1757" t="str">
        <f ca="1">IFERROR(VLOOKUP(LEFT(E592,4),Nom_activ_2!D:G,4,0),"")</f>
        <v/>
      </c>
      <c r="E592" s="1757" t="str">
        <f t="shared" ca="1" si="293"/>
        <v/>
      </c>
      <c r="F592" s="1777">
        <f t="shared" ca="1" si="320"/>
        <v>0</v>
      </c>
      <c r="G592" s="839">
        <f t="shared" ca="1" si="320"/>
        <v>0</v>
      </c>
      <c r="H592" s="840">
        <f t="shared" ca="1" si="320"/>
        <v>0</v>
      </c>
      <c r="I592" s="443"/>
      <c r="J592" s="838" t="str">
        <f t="shared" si="294"/>
        <v>!$A:$j</v>
      </c>
      <c r="K592" s="475">
        <f t="shared" ca="1" si="295"/>
        <v>0</v>
      </c>
      <c r="L592" s="480"/>
      <c r="M592" s="477">
        <f t="shared" si="296"/>
        <v>0</v>
      </c>
      <c r="N592" s="480"/>
      <c r="O592" s="477">
        <f t="shared" si="297"/>
        <v>0</v>
      </c>
      <c r="P592" s="480"/>
      <c r="Q592" s="477">
        <f t="shared" si="298"/>
        <v>0</v>
      </c>
      <c r="R592" s="480"/>
      <c r="S592" s="477">
        <f t="shared" ca="1" si="299"/>
        <v>0</v>
      </c>
      <c r="T592" s="475">
        <f t="shared" ca="1" si="300"/>
        <v>0</v>
      </c>
      <c r="U592" s="480"/>
      <c r="V592" s="477">
        <f t="shared" si="301"/>
        <v>0</v>
      </c>
      <c r="W592" s="480"/>
      <c r="X592" s="477">
        <f t="shared" si="302"/>
        <v>0</v>
      </c>
      <c r="Y592" s="480"/>
      <c r="Z592" s="477">
        <f t="shared" si="303"/>
        <v>0</v>
      </c>
      <c r="AA592" s="480"/>
      <c r="AB592" s="477">
        <f t="shared" ca="1" si="304"/>
        <v>0</v>
      </c>
      <c r="AC592" s="475">
        <f t="shared" ca="1" si="305"/>
        <v>0</v>
      </c>
      <c r="AD592" s="480"/>
      <c r="AE592" s="477">
        <f t="shared" si="306"/>
        <v>0</v>
      </c>
      <c r="AF592" s="480"/>
      <c r="AG592" s="477">
        <f t="shared" si="307"/>
        <v>0</v>
      </c>
      <c r="AH592" s="480"/>
      <c r="AI592" s="477">
        <f t="shared" si="308"/>
        <v>0</v>
      </c>
      <c r="AJ592" s="480"/>
      <c r="AK592" s="477">
        <f t="shared" ca="1" si="309"/>
        <v>0</v>
      </c>
      <c r="AL592" s="475">
        <f t="shared" ca="1" si="310"/>
        <v>0</v>
      </c>
      <c r="AM592" s="480"/>
      <c r="AN592" s="477">
        <f t="shared" si="311"/>
        <v>0</v>
      </c>
      <c r="AO592" s="480"/>
      <c r="AP592" s="477">
        <f t="shared" si="312"/>
        <v>0</v>
      </c>
      <c r="AQ592" s="480"/>
      <c r="AR592" s="477">
        <f t="shared" si="313"/>
        <v>0</v>
      </c>
      <c r="AS592" s="480"/>
      <c r="AT592" s="477">
        <f t="shared" ca="1" si="314"/>
        <v>0</v>
      </c>
      <c r="AU592" s="475">
        <f t="shared" ca="1" si="315"/>
        <v>0</v>
      </c>
      <c r="AV592" s="480"/>
      <c r="AW592" s="477">
        <f t="shared" si="316"/>
        <v>0</v>
      </c>
      <c r="AX592" s="480"/>
      <c r="AY592" s="477">
        <f t="shared" si="317"/>
        <v>0</v>
      </c>
      <c r="AZ592" s="480"/>
      <c r="BA592" s="477">
        <f t="shared" si="318"/>
        <v>0</v>
      </c>
      <c r="BB592" s="480"/>
      <c r="BC592" s="850">
        <f t="shared" ca="1" si="319"/>
        <v>0</v>
      </c>
    </row>
    <row r="593" spans="1:60">
      <c r="A593" s="837" t="str">
        <f t="shared" si="291"/>
        <v/>
      </c>
      <c r="B593" s="440"/>
      <c r="C593" s="834" t="str">
        <f t="shared" ca="1" si="292"/>
        <v/>
      </c>
      <c r="D593" s="1757" t="str">
        <f ca="1">IFERROR(VLOOKUP(LEFT(E593,4),Nom_activ_2!D:G,4,0),"")</f>
        <v/>
      </c>
      <c r="E593" s="1757" t="str">
        <f t="shared" ca="1" si="293"/>
        <v/>
      </c>
      <c r="F593" s="1777">
        <f t="shared" ca="1" si="320"/>
        <v>0</v>
      </c>
      <c r="G593" s="839">
        <f t="shared" ca="1" si="320"/>
        <v>0</v>
      </c>
      <c r="H593" s="840">
        <f t="shared" ca="1" si="320"/>
        <v>0</v>
      </c>
      <c r="I593" s="443"/>
      <c r="J593" s="838" t="str">
        <f t="shared" si="294"/>
        <v>!$A:$j</v>
      </c>
      <c r="K593" s="475">
        <f t="shared" ca="1" si="295"/>
        <v>0</v>
      </c>
      <c r="L593" s="480"/>
      <c r="M593" s="477">
        <f t="shared" si="296"/>
        <v>0</v>
      </c>
      <c r="N593" s="480"/>
      <c r="O593" s="477">
        <f t="shared" si="297"/>
        <v>0</v>
      </c>
      <c r="P593" s="480"/>
      <c r="Q593" s="477">
        <f t="shared" si="298"/>
        <v>0</v>
      </c>
      <c r="R593" s="480"/>
      <c r="S593" s="477">
        <f t="shared" ca="1" si="299"/>
        <v>0</v>
      </c>
      <c r="T593" s="475">
        <f t="shared" ca="1" si="300"/>
        <v>0</v>
      </c>
      <c r="U593" s="480"/>
      <c r="V593" s="477">
        <f t="shared" si="301"/>
        <v>0</v>
      </c>
      <c r="W593" s="480"/>
      <c r="X593" s="477">
        <f t="shared" si="302"/>
        <v>0</v>
      </c>
      <c r="Y593" s="480"/>
      <c r="Z593" s="477">
        <f t="shared" si="303"/>
        <v>0</v>
      </c>
      <c r="AA593" s="480"/>
      <c r="AB593" s="477">
        <f t="shared" ca="1" si="304"/>
        <v>0</v>
      </c>
      <c r="AC593" s="475">
        <f t="shared" ca="1" si="305"/>
        <v>0</v>
      </c>
      <c r="AD593" s="480"/>
      <c r="AE593" s="477">
        <f t="shared" si="306"/>
        <v>0</v>
      </c>
      <c r="AF593" s="480"/>
      <c r="AG593" s="477">
        <f t="shared" si="307"/>
        <v>0</v>
      </c>
      <c r="AH593" s="480"/>
      <c r="AI593" s="477">
        <f t="shared" si="308"/>
        <v>0</v>
      </c>
      <c r="AJ593" s="480"/>
      <c r="AK593" s="477">
        <f t="shared" ca="1" si="309"/>
        <v>0</v>
      </c>
      <c r="AL593" s="475">
        <f t="shared" ca="1" si="310"/>
        <v>0</v>
      </c>
      <c r="AM593" s="480"/>
      <c r="AN593" s="477">
        <f t="shared" si="311"/>
        <v>0</v>
      </c>
      <c r="AO593" s="480"/>
      <c r="AP593" s="477">
        <f t="shared" si="312"/>
        <v>0</v>
      </c>
      <c r="AQ593" s="480"/>
      <c r="AR593" s="477">
        <f t="shared" si="313"/>
        <v>0</v>
      </c>
      <c r="AS593" s="480"/>
      <c r="AT593" s="477">
        <f t="shared" ca="1" si="314"/>
        <v>0</v>
      </c>
      <c r="AU593" s="475">
        <f t="shared" ca="1" si="315"/>
        <v>0</v>
      </c>
      <c r="AV593" s="480"/>
      <c r="AW593" s="477">
        <f t="shared" si="316"/>
        <v>0</v>
      </c>
      <c r="AX593" s="480"/>
      <c r="AY593" s="477">
        <f t="shared" si="317"/>
        <v>0</v>
      </c>
      <c r="AZ593" s="480"/>
      <c r="BA593" s="477">
        <f t="shared" si="318"/>
        <v>0</v>
      </c>
      <c r="BB593" s="480"/>
      <c r="BC593" s="850">
        <f t="shared" ca="1" si="319"/>
        <v>0</v>
      </c>
    </row>
    <row r="594" spans="1:60">
      <c r="A594" s="837" t="str">
        <f t="shared" si="291"/>
        <v/>
      </c>
      <c r="B594" s="440"/>
      <c r="C594" s="834" t="str">
        <f t="shared" ca="1" si="292"/>
        <v/>
      </c>
      <c r="D594" s="1757" t="str">
        <f ca="1">IFERROR(VLOOKUP(LEFT(E594,4),Nom_activ_2!D:G,4,0),"")</f>
        <v/>
      </c>
      <c r="E594" s="1757" t="str">
        <f t="shared" ca="1" si="293"/>
        <v/>
      </c>
      <c r="F594" s="1777">
        <f t="shared" ca="1" si="320"/>
        <v>0</v>
      </c>
      <c r="G594" s="839">
        <f t="shared" ca="1" si="320"/>
        <v>0</v>
      </c>
      <c r="H594" s="840">
        <f t="shared" ca="1" si="320"/>
        <v>0</v>
      </c>
      <c r="I594" s="443"/>
      <c r="J594" s="838" t="str">
        <f t="shared" si="294"/>
        <v>!$A:$j</v>
      </c>
      <c r="K594" s="475">
        <f t="shared" ca="1" si="295"/>
        <v>0</v>
      </c>
      <c r="L594" s="480"/>
      <c r="M594" s="477">
        <f t="shared" si="296"/>
        <v>0</v>
      </c>
      <c r="N594" s="480"/>
      <c r="O594" s="477">
        <f t="shared" si="297"/>
        <v>0</v>
      </c>
      <c r="P594" s="480"/>
      <c r="Q594" s="477">
        <f t="shared" si="298"/>
        <v>0</v>
      </c>
      <c r="R594" s="480"/>
      <c r="S594" s="477">
        <f t="shared" ca="1" si="299"/>
        <v>0</v>
      </c>
      <c r="T594" s="475">
        <f t="shared" ca="1" si="300"/>
        <v>0</v>
      </c>
      <c r="U594" s="480"/>
      <c r="V594" s="477">
        <f t="shared" si="301"/>
        <v>0</v>
      </c>
      <c r="W594" s="480"/>
      <c r="X594" s="477">
        <f t="shared" si="302"/>
        <v>0</v>
      </c>
      <c r="Y594" s="480"/>
      <c r="Z594" s="477">
        <f t="shared" si="303"/>
        <v>0</v>
      </c>
      <c r="AA594" s="480"/>
      <c r="AB594" s="477">
        <f t="shared" ca="1" si="304"/>
        <v>0</v>
      </c>
      <c r="AC594" s="475">
        <f t="shared" ca="1" si="305"/>
        <v>0</v>
      </c>
      <c r="AD594" s="480"/>
      <c r="AE594" s="477">
        <f t="shared" si="306"/>
        <v>0</v>
      </c>
      <c r="AF594" s="480"/>
      <c r="AG594" s="477">
        <f t="shared" si="307"/>
        <v>0</v>
      </c>
      <c r="AH594" s="480"/>
      <c r="AI594" s="477">
        <f t="shared" si="308"/>
        <v>0</v>
      </c>
      <c r="AJ594" s="480"/>
      <c r="AK594" s="477">
        <f t="shared" ca="1" si="309"/>
        <v>0</v>
      </c>
      <c r="AL594" s="475">
        <f t="shared" ca="1" si="310"/>
        <v>0</v>
      </c>
      <c r="AM594" s="480"/>
      <c r="AN594" s="477">
        <f t="shared" si="311"/>
        <v>0</v>
      </c>
      <c r="AO594" s="480"/>
      <c r="AP594" s="477">
        <f t="shared" si="312"/>
        <v>0</v>
      </c>
      <c r="AQ594" s="480"/>
      <c r="AR594" s="477">
        <f t="shared" si="313"/>
        <v>0</v>
      </c>
      <c r="AS594" s="480"/>
      <c r="AT594" s="477">
        <f t="shared" ca="1" si="314"/>
        <v>0</v>
      </c>
      <c r="AU594" s="475">
        <f t="shared" ca="1" si="315"/>
        <v>0</v>
      </c>
      <c r="AV594" s="480"/>
      <c r="AW594" s="477">
        <f t="shared" si="316"/>
        <v>0</v>
      </c>
      <c r="AX594" s="480"/>
      <c r="AY594" s="477">
        <f t="shared" si="317"/>
        <v>0</v>
      </c>
      <c r="AZ594" s="480"/>
      <c r="BA594" s="477">
        <f t="shared" si="318"/>
        <v>0</v>
      </c>
      <c r="BB594" s="480"/>
      <c r="BC594" s="850">
        <f t="shared" ca="1" si="319"/>
        <v>0</v>
      </c>
    </row>
    <row r="595" spans="1:60">
      <c r="A595" s="837" t="str">
        <f t="shared" si="291"/>
        <v/>
      </c>
      <c r="B595" s="440"/>
      <c r="C595" s="834" t="str">
        <f t="shared" ca="1" si="292"/>
        <v/>
      </c>
      <c r="D595" s="1757" t="str">
        <f ca="1">IFERROR(VLOOKUP(LEFT(E595,4),Nom_activ_2!D:G,4,0),"")</f>
        <v/>
      </c>
      <c r="E595" s="1757" t="str">
        <f t="shared" ca="1" si="293"/>
        <v/>
      </c>
      <c r="F595" s="1777">
        <f t="shared" ca="1" si="320"/>
        <v>0</v>
      </c>
      <c r="G595" s="839">
        <f t="shared" ca="1" si="320"/>
        <v>0</v>
      </c>
      <c r="H595" s="840">
        <f t="shared" ca="1" si="320"/>
        <v>0</v>
      </c>
      <c r="I595" s="443"/>
      <c r="J595" s="838" t="str">
        <f t="shared" si="294"/>
        <v>!$A:$j</v>
      </c>
      <c r="K595" s="475">
        <f t="shared" ca="1" si="295"/>
        <v>0</v>
      </c>
      <c r="L595" s="480"/>
      <c r="M595" s="477">
        <f t="shared" si="296"/>
        <v>0</v>
      </c>
      <c r="N595" s="480"/>
      <c r="O595" s="477">
        <f t="shared" si="297"/>
        <v>0</v>
      </c>
      <c r="P595" s="480"/>
      <c r="Q595" s="477">
        <f t="shared" si="298"/>
        <v>0</v>
      </c>
      <c r="R595" s="480"/>
      <c r="S595" s="477">
        <f t="shared" ca="1" si="299"/>
        <v>0</v>
      </c>
      <c r="T595" s="475">
        <f t="shared" ca="1" si="300"/>
        <v>0</v>
      </c>
      <c r="U595" s="480"/>
      <c r="V595" s="477">
        <f t="shared" si="301"/>
        <v>0</v>
      </c>
      <c r="W595" s="480"/>
      <c r="X595" s="477">
        <f t="shared" si="302"/>
        <v>0</v>
      </c>
      <c r="Y595" s="480"/>
      <c r="Z595" s="477">
        <f t="shared" si="303"/>
        <v>0</v>
      </c>
      <c r="AA595" s="480"/>
      <c r="AB595" s="477">
        <f t="shared" ca="1" si="304"/>
        <v>0</v>
      </c>
      <c r="AC595" s="475">
        <f t="shared" ca="1" si="305"/>
        <v>0</v>
      </c>
      <c r="AD595" s="480"/>
      <c r="AE595" s="477">
        <f t="shared" si="306"/>
        <v>0</v>
      </c>
      <c r="AF595" s="480"/>
      <c r="AG595" s="477">
        <f t="shared" si="307"/>
        <v>0</v>
      </c>
      <c r="AH595" s="480"/>
      <c r="AI595" s="477">
        <f t="shared" si="308"/>
        <v>0</v>
      </c>
      <c r="AJ595" s="480"/>
      <c r="AK595" s="477">
        <f t="shared" ca="1" si="309"/>
        <v>0</v>
      </c>
      <c r="AL595" s="475">
        <f t="shared" ca="1" si="310"/>
        <v>0</v>
      </c>
      <c r="AM595" s="480"/>
      <c r="AN595" s="477">
        <f t="shared" si="311"/>
        <v>0</v>
      </c>
      <c r="AO595" s="480"/>
      <c r="AP595" s="477">
        <f t="shared" si="312"/>
        <v>0</v>
      </c>
      <c r="AQ595" s="480"/>
      <c r="AR595" s="477">
        <f t="shared" si="313"/>
        <v>0</v>
      </c>
      <c r="AS595" s="480"/>
      <c r="AT595" s="477">
        <f t="shared" ca="1" si="314"/>
        <v>0</v>
      </c>
      <c r="AU595" s="475">
        <f t="shared" ca="1" si="315"/>
        <v>0</v>
      </c>
      <c r="AV595" s="480"/>
      <c r="AW595" s="477">
        <f t="shared" si="316"/>
        <v>0</v>
      </c>
      <c r="AX595" s="480"/>
      <c r="AY595" s="477">
        <f t="shared" si="317"/>
        <v>0</v>
      </c>
      <c r="AZ595" s="480"/>
      <c r="BA595" s="477">
        <f t="shared" si="318"/>
        <v>0</v>
      </c>
      <c r="BB595" s="480"/>
      <c r="BC595" s="850">
        <f t="shared" ca="1" si="319"/>
        <v>0</v>
      </c>
    </row>
    <row r="596" spans="1:60">
      <c r="A596" s="837" t="str">
        <f t="shared" si="291"/>
        <v/>
      </c>
      <c r="B596" s="440"/>
      <c r="C596" s="834" t="str">
        <f t="shared" ca="1" si="292"/>
        <v/>
      </c>
      <c r="D596" s="1757" t="str">
        <f ca="1">IFERROR(VLOOKUP(LEFT(E596,4),Nom_activ_2!D:G,4,0),"")</f>
        <v/>
      </c>
      <c r="E596" s="1757" t="str">
        <f t="shared" ca="1" si="293"/>
        <v/>
      </c>
      <c r="F596" s="1777">
        <f t="shared" ca="1" si="320"/>
        <v>0</v>
      </c>
      <c r="G596" s="839">
        <f t="shared" ca="1" si="320"/>
        <v>0</v>
      </c>
      <c r="H596" s="840">
        <f t="shared" ca="1" si="320"/>
        <v>0</v>
      </c>
      <c r="I596" s="443"/>
      <c r="J596" s="838" t="str">
        <f t="shared" si="294"/>
        <v>!$A:$j</v>
      </c>
      <c r="K596" s="475">
        <f t="shared" ca="1" si="295"/>
        <v>0</v>
      </c>
      <c r="L596" s="480"/>
      <c r="M596" s="477">
        <f t="shared" si="296"/>
        <v>0</v>
      </c>
      <c r="N596" s="480"/>
      <c r="O596" s="477">
        <f t="shared" si="297"/>
        <v>0</v>
      </c>
      <c r="P596" s="480"/>
      <c r="Q596" s="477">
        <f t="shared" si="298"/>
        <v>0</v>
      </c>
      <c r="R596" s="480"/>
      <c r="S596" s="477">
        <f t="shared" ca="1" si="299"/>
        <v>0</v>
      </c>
      <c r="T596" s="475">
        <f t="shared" ca="1" si="300"/>
        <v>0</v>
      </c>
      <c r="U596" s="480"/>
      <c r="V596" s="477">
        <f t="shared" si="301"/>
        <v>0</v>
      </c>
      <c r="W596" s="480"/>
      <c r="X596" s="477">
        <f t="shared" si="302"/>
        <v>0</v>
      </c>
      <c r="Y596" s="480"/>
      <c r="Z596" s="477">
        <f t="shared" si="303"/>
        <v>0</v>
      </c>
      <c r="AA596" s="480"/>
      <c r="AB596" s="477">
        <f t="shared" ca="1" si="304"/>
        <v>0</v>
      </c>
      <c r="AC596" s="475">
        <f t="shared" ca="1" si="305"/>
        <v>0</v>
      </c>
      <c r="AD596" s="480"/>
      <c r="AE596" s="477">
        <f t="shared" si="306"/>
        <v>0</v>
      </c>
      <c r="AF596" s="480"/>
      <c r="AG596" s="477">
        <f t="shared" si="307"/>
        <v>0</v>
      </c>
      <c r="AH596" s="480"/>
      <c r="AI596" s="477">
        <f t="shared" si="308"/>
        <v>0</v>
      </c>
      <c r="AJ596" s="480"/>
      <c r="AK596" s="477">
        <f t="shared" ca="1" si="309"/>
        <v>0</v>
      </c>
      <c r="AL596" s="475">
        <f t="shared" ca="1" si="310"/>
        <v>0</v>
      </c>
      <c r="AM596" s="480"/>
      <c r="AN596" s="477">
        <f t="shared" si="311"/>
        <v>0</v>
      </c>
      <c r="AO596" s="480"/>
      <c r="AP596" s="477">
        <f t="shared" si="312"/>
        <v>0</v>
      </c>
      <c r="AQ596" s="480"/>
      <c r="AR596" s="477">
        <f t="shared" si="313"/>
        <v>0</v>
      </c>
      <c r="AS596" s="480"/>
      <c r="AT596" s="477">
        <f t="shared" ca="1" si="314"/>
        <v>0</v>
      </c>
      <c r="AU596" s="475">
        <f t="shared" ca="1" si="315"/>
        <v>0</v>
      </c>
      <c r="AV596" s="480"/>
      <c r="AW596" s="477">
        <f t="shared" si="316"/>
        <v>0</v>
      </c>
      <c r="AX596" s="480"/>
      <c r="AY596" s="477">
        <f t="shared" si="317"/>
        <v>0</v>
      </c>
      <c r="AZ596" s="480"/>
      <c r="BA596" s="477">
        <f t="shared" si="318"/>
        <v>0</v>
      </c>
      <c r="BB596" s="480"/>
      <c r="BC596" s="850">
        <f t="shared" ca="1" si="319"/>
        <v>0</v>
      </c>
    </row>
    <row r="597" spans="1:60">
      <c r="A597" s="837" t="str">
        <f t="shared" si="291"/>
        <v/>
      </c>
      <c r="B597" s="440"/>
      <c r="C597" s="834" t="str">
        <f t="shared" ca="1" si="292"/>
        <v/>
      </c>
      <c r="D597" s="1757" t="str">
        <f ca="1">IFERROR(VLOOKUP(LEFT(E597,4),Nom_activ_2!D:G,4,0),"")</f>
        <v/>
      </c>
      <c r="E597" s="1757" t="str">
        <f t="shared" ca="1" si="293"/>
        <v/>
      </c>
      <c r="F597" s="1777">
        <f t="shared" ca="1" si="320"/>
        <v>0</v>
      </c>
      <c r="G597" s="839">
        <f t="shared" ca="1" si="320"/>
        <v>0</v>
      </c>
      <c r="H597" s="840">
        <f t="shared" ca="1" si="320"/>
        <v>0</v>
      </c>
      <c r="I597" s="443"/>
      <c r="J597" s="838" t="str">
        <f t="shared" si="294"/>
        <v>!$A:$j</v>
      </c>
      <c r="K597" s="475">
        <f t="shared" ca="1" si="295"/>
        <v>0</v>
      </c>
      <c r="L597" s="480"/>
      <c r="M597" s="477">
        <f t="shared" si="296"/>
        <v>0</v>
      </c>
      <c r="N597" s="480"/>
      <c r="O597" s="477">
        <f t="shared" si="297"/>
        <v>0</v>
      </c>
      <c r="P597" s="480"/>
      <c r="Q597" s="477">
        <f t="shared" si="298"/>
        <v>0</v>
      </c>
      <c r="R597" s="480"/>
      <c r="S597" s="477">
        <f t="shared" ca="1" si="299"/>
        <v>0</v>
      </c>
      <c r="T597" s="475">
        <f t="shared" ca="1" si="300"/>
        <v>0</v>
      </c>
      <c r="U597" s="480"/>
      <c r="V597" s="477">
        <f t="shared" si="301"/>
        <v>0</v>
      </c>
      <c r="W597" s="480"/>
      <c r="X597" s="477">
        <f t="shared" si="302"/>
        <v>0</v>
      </c>
      <c r="Y597" s="480"/>
      <c r="Z597" s="477">
        <f t="shared" si="303"/>
        <v>0</v>
      </c>
      <c r="AA597" s="480"/>
      <c r="AB597" s="477">
        <f t="shared" ca="1" si="304"/>
        <v>0</v>
      </c>
      <c r="AC597" s="475">
        <f t="shared" ca="1" si="305"/>
        <v>0</v>
      </c>
      <c r="AD597" s="480"/>
      <c r="AE597" s="477">
        <f t="shared" si="306"/>
        <v>0</v>
      </c>
      <c r="AF597" s="480"/>
      <c r="AG597" s="477">
        <f t="shared" si="307"/>
        <v>0</v>
      </c>
      <c r="AH597" s="480"/>
      <c r="AI597" s="477">
        <f t="shared" si="308"/>
        <v>0</v>
      </c>
      <c r="AJ597" s="480"/>
      <c r="AK597" s="477">
        <f t="shared" ca="1" si="309"/>
        <v>0</v>
      </c>
      <c r="AL597" s="475">
        <f t="shared" ca="1" si="310"/>
        <v>0</v>
      </c>
      <c r="AM597" s="480"/>
      <c r="AN597" s="477">
        <f t="shared" si="311"/>
        <v>0</v>
      </c>
      <c r="AO597" s="480"/>
      <c r="AP597" s="477">
        <f t="shared" si="312"/>
        <v>0</v>
      </c>
      <c r="AQ597" s="480"/>
      <c r="AR597" s="477">
        <f t="shared" si="313"/>
        <v>0</v>
      </c>
      <c r="AS597" s="480"/>
      <c r="AT597" s="477">
        <f t="shared" ca="1" si="314"/>
        <v>0</v>
      </c>
      <c r="AU597" s="475">
        <f t="shared" ca="1" si="315"/>
        <v>0</v>
      </c>
      <c r="AV597" s="480"/>
      <c r="AW597" s="477">
        <f t="shared" si="316"/>
        <v>0</v>
      </c>
      <c r="AX597" s="480"/>
      <c r="AY597" s="477">
        <f t="shared" si="317"/>
        <v>0</v>
      </c>
      <c r="AZ597" s="480"/>
      <c r="BA597" s="477">
        <f t="shared" si="318"/>
        <v>0</v>
      </c>
      <c r="BB597" s="480"/>
      <c r="BC597" s="850">
        <f t="shared" ca="1" si="319"/>
        <v>0</v>
      </c>
    </row>
    <row r="598" spans="1:60">
      <c r="A598" s="837" t="str">
        <f t="shared" si="291"/>
        <v/>
      </c>
      <c r="B598" s="440"/>
      <c r="C598" s="834" t="str">
        <f t="shared" ca="1" si="292"/>
        <v/>
      </c>
      <c r="D598" s="1757" t="str">
        <f ca="1">IFERROR(VLOOKUP(LEFT(E598,4),Nom_activ_2!D:G,4,0),"")</f>
        <v/>
      </c>
      <c r="E598" s="1757" t="str">
        <f t="shared" ca="1" si="293"/>
        <v/>
      </c>
      <c r="F598" s="1777">
        <f t="shared" ca="1" si="320"/>
        <v>0</v>
      </c>
      <c r="G598" s="839">
        <f t="shared" ca="1" si="320"/>
        <v>0</v>
      </c>
      <c r="H598" s="840">
        <f t="shared" ca="1" si="320"/>
        <v>0</v>
      </c>
      <c r="I598" s="443"/>
      <c r="J598" s="838" t="str">
        <f t="shared" si="294"/>
        <v>!$A:$j</v>
      </c>
      <c r="K598" s="475">
        <f t="shared" ca="1" si="295"/>
        <v>0</v>
      </c>
      <c r="L598" s="480"/>
      <c r="M598" s="477">
        <f t="shared" si="296"/>
        <v>0</v>
      </c>
      <c r="N598" s="480"/>
      <c r="O598" s="477">
        <f t="shared" si="297"/>
        <v>0</v>
      </c>
      <c r="P598" s="480"/>
      <c r="Q598" s="477">
        <f t="shared" si="298"/>
        <v>0</v>
      </c>
      <c r="R598" s="480"/>
      <c r="S598" s="477">
        <f t="shared" ca="1" si="299"/>
        <v>0</v>
      </c>
      <c r="T598" s="475">
        <f t="shared" ca="1" si="300"/>
        <v>0</v>
      </c>
      <c r="U598" s="480"/>
      <c r="V598" s="477">
        <f t="shared" si="301"/>
        <v>0</v>
      </c>
      <c r="W598" s="480"/>
      <c r="X598" s="477">
        <f t="shared" si="302"/>
        <v>0</v>
      </c>
      <c r="Y598" s="480"/>
      <c r="Z598" s="477">
        <f t="shared" si="303"/>
        <v>0</v>
      </c>
      <c r="AA598" s="480"/>
      <c r="AB598" s="477">
        <f t="shared" ca="1" si="304"/>
        <v>0</v>
      </c>
      <c r="AC598" s="475">
        <f t="shared" ca="1" si="305"/>
        <v>0</v>
      </c>
      <c r="AD598" s="480"/>
      <c r="AE598" s="477">
        <f t="shared" si="306"/>
        <v>0</v>
      </c>
      <c r="AF598" s="480"/>
      <c r="AG598" s="477">
        <f t="shared" si="307"/>
        <v>0</v>
      </c>
      <c r="AH598" s="480"/>
      <c r="AI598" s="477">
        <f t="shared" si="308"/>
        <v>0</v>
      </c>
      <c r="AJ598" s="480"/>
      <c r="AK598" s="477">
        <f t="shared" ca="1" si="309"/>
        <v>0</v>
      </c>
      <c r="AL598" s="475">
        <f t="shared" ca="1" si="310"/>
        <v>0</v>
      </c>
      <c r="AM598" s="480"/>
      <c r="AN598" s="477">
        <f t="shared" si="311"/>
        <v>0</v>
      </c>
      <c r="AO598" s="480"/>
      <c r="AP598" s="477">
        <f t="shared" si="312"/>
        <v>0</v>
      </c>
      <c r="AQ598" s="480"/>
      <c r="AR598" s="477">
        <f t="shared" si="313"/>
        <v>0</v>
      </c>
      <c r="AS598" s="480"/>
      <c r="AT598" s="477">
        <f t="shared" ca="1" si="314"/>
        <v>0</v>
      </c>
      <c r="AU598" s="475">
        <f t="shared" ca="1" si="315"/>
        <v>0</v>
      </c>
      <c r="AV598" s="480"/>
      <c r="AW598" s="477">
        <f t="shared" si="316"/>
        <v>0</v>
      </c>
      <c r="AX598" s="480"/>
      <c r="AY598" s="477">
        <f t="shared" si="317"/>
        <v>0</v>
      </c>
      <c r="AZ598" s="480"/>
      <c r="BA598" s="477">
        <f t="shared" si="318"/>
        <v>0</v>
      </c>
      <c r="BB598" s="480"/>
      <c r="BC598" s="850">
        <f t="shared" ca="1" si="319"/>
        <v>0</v>
      </c>
    </row>
    <row r="599" spans="1:60">
      <c r="A599" s="837" t="str">
        <f t="shared" si="291"/>
        <v/>
      </c>
      <c r="B599" s="440"/>
      <c r="C599" s="834" t="str">
        <f t="shared" ca="1" si="292"/>
        <v/>
      </c>
      <c r="D599" s="1757" t="str">
        <f ca="1">IFERROR(VLOOKUP(LEFT(E599,4),Nom_activ_2!D:G,4,0),"")</f>
        <v/>
      </c>
      <c r="E599" s="1757" t="str">
        <f t="shared" ca="1" si="293"/>
        <v/>
      </c>
      <c r="F599" s="1777">
        <f t="shared" ca="1" si="320"/>
        <v>0</v>
      </c>
      <c r="G599" s="839">
        <f t="shared" ca="1" si="320"/>
        <v>0</v>
      </c>
      <c r="H599" s="840">
        <f t="shared" ca="1" si="320"/>
        <v>0</v>
      </c>
      <c r="I599" s="443"/>
      <c r="J599" s="838" t="str">
        <f t="shared" si="294"/>
        <v>!$A:$j</v>
      </c>
      <c r="K599" s="475">
        <f t="shared" ca="1" si="295"/>
        <v>0</v>
      </c>
      <c r="L599" s="480"/>
      <c r="M599" s="477">
        <f t="shared" si="296"/>
        <v>0</v>
      </c>
      <c r="N599" s="480"/>
      <c r="O599" s="477">
        <f t="shared" si="297"/>
        <v>0</v>
      </c>
      <c r="P599" s="480"/>
      <c r="Q599" s="477">
        <f t="shared" si="298"/>
        <v>0</v>
      </c>
      <c r="R599" s="480"/>
      <c r="S599" s="477">
        <f t="shared" ca="1" si="299"/>
        <v>0</v>
      </c>
      <c r="T599" s="475">
        <f t="shared" ca="1" si="300"/>
        <v>0</v>
      </c>
      <c r="U599" s="480"/>
      <c r="V599" s="477">
        <f t="shared" si="301"/>
        <v>0</v>
      </c>
      <c r="W599" s="480"/>
      <c r="X599" s="477">
        <f t="shared" si="302"/>
        <v>0</v>
      </c>
      <c r="Y599" s="480"/>
      <c r="Z599" s="477">
        <f t="shared" si="303"/>
        <v>0</v>
      </c>
      <c r="AA599" s="480"/>
      <c r="AB599" s="477">
        <f t="shared" ca="1" si="304"/>
        <v>0</v>
      </c>
      <c r="AC599" s="475">
        <f t="shared" ca="1" si="305"/>
        <v>0</v>
      </c>
      <c r="AD599" s="480"/>
      <c r="AE599" s="477">
        <f t="shared" si="306"/>
        <v>0</v>
      </c>
      <c r="AF599" s="480"/>
      <c r="AG599" s="477">
        <f t="shared" si="307"/>
        <v>0</v>
      </c>
      <c r="AH599" s="480"/>
      <c r="AI599" s="477">
        <f t="shared" si="308"/>
        <v>0</v>
      </c>
      <c r="AJ599" s="480"/>
      <c r="AK599" s="477">
        <f t="shared" ca="1" si="309"/>
        <v>0</v>
      </c>
      <c r="AL599" s="475">
        <f t="shared" ca="1" si="310"/>
        <v>0</v>
      </c>
      <c r="AM599" s="480"/>
      <c r="AN599" s="477">
        <f t="shared" si="311"/>
        <v>0</v>
      </c>
      <c r="AO599" s="480"/>
      <c r="AP599" s="477">
        <f t="shared" si="312"/>
        <v>0</v>
      </c>
      <c r="AQ599" s="480"/>
      <c r="AR599" s="477">
        <f t="shared" si="313"/>
        <v>0</v>
      </c>
      <c r="AS599" s="480"/>
      <c r="AT599" s="477">
        <f t="shared" ca="1" si="314"/>
        <v>0</v>
      </c>
      <c r="AU599" s="475">
        <f t="shared" ca="1" si="315"/>
        <v>0</v>
      </c>
      <c r="AV599" s="480"/>
      <c r="AW599" s="477">
        <f t="shared" si="316"/>
        <v>0</v>
      </c>
      <c r="AX599" s="480"/>
      <c r="AY599" s="477">
        <f t="shared" si="317"/>
        <v>0</v>
      </c>
      <c r="AZ599" s="480"/>
      <c r="BA599" s="477">
        <f t="shared" si="318"/>
        <v>0</v>
      </c>
      <c r="BB599" s="480"/>
      <c r="BC599" s="850">
        <f t="shared" ca="1" si="319"/>
        <v>0</v>
      </c>
    </row>
    <row r="600" spans="1:60">
      <c r="A600" s="837" t="str">
        <f t="shared" si="291"/>
        <v/>
      </c>
      <c r="B600" s="440"/>
      <c r="C600" s="834" t="str">
        <f t="shared" ca="1" si="292"/>
        <v/>
      </c>
      <c r="D600" s="1757" t="str">
        <f ca="1">IFERROR(VLOOKUP(LEFT(E600,4),Nom_activ_2!D:G,4,0),"")</f>
        <v/>
      </c>
      <c r="E600" s="1757" t="str">
        <f t="shared" ca="1" si="293"/>
        <v/>
      </c>
      <c r="F600" s="1777">
        <f t="shared" ca="1" si="320"/>
        <v>0</v>
      </c>
      <c r="G600" s="839">
        <f t="shared" ca="1" si="320"/>
        <v>0</v>
      </c>
      <c r="H600" s="840">
        <f t="shared" ca="1" si="320"/>
        <v>0</v>
      </c>
      <c r="I600" s="443"/>
      <c r="J600" s="838" t="str">
        <f t="shared" si="294"/>
        <v>!$A:$j</v>
      </c>
      <c r="K600" s="475">
        <f t="shared" ca="1" si="295"/>
        <v>0</v>
      </c>
      <c r="L600" s="480"/>
      <c r="M600" s="477">
        <f t="shared" si="296"/>
        <v>0</v>
      </c>
      <c r="N600" s="480"/>
      <c r="O600" s="477">
        <f t="shared" si="297"/>
        <v>0</v>
      </c>
      <c r="P600" s="480"/>
      <c r="Q600" s="477">
        <f t="shared" si="298"/>
        <v>0</v>
      </c>
      <c r="R600" s="480"/>
      <c r="S600" s="477">
        <f t="shared" ca="1" si="299"/>
        <v>0</v>
      </c>
      <c r="T600" s="475">
        <f t="shared" ca="1" si="300"/>
        <v>0</v>
      </c>
      <c r="U600" s="480"/>
      <c r="V600" s="477">
        <f t="shared" si="301"/>
        <v>0</v>
      </c>
      <c r="W600" s="480"/>
      <c r="X600" s="477">
        <f t="shared" si="302"/>
        <v>0</v>
      </c>
      <c r="Y600" s="480"/>
      <c r="Z600" s="477">
        <f t="shared" si="303"/>
        <v>0</v>
      </c>
      <c r="AA600" s="480"/>
      <c r="AB600" s="477">
        <f t="shared" ca="1" si="304"/>
        <v>0</v>
      </c>
      <c r="AC600" s="475">
        <f t="shared" ca="1" si="305"/>
        <v>0</v>
      </c>
      <c r="AD600" s="480"/>
      <c r="AE600" s="477">
        <f t="shared" si="306"/>
        <v>0</v>
      </c>
      <c r="AF600" s="480"/>
      <c r="AG600" s="477">
        <f t="shared" si="307"/>
        <v>0</v>
      </c>
      <c r="AH600" s="480"/>
      <c r="AI600" s="477">
        <f t="shared" si="308"/>
        <v>0</v>
      </c>
      <c r="AJ600" s="480"/>
      <c r="AK600" s="477">
        <f t="shared" ca="1" si="309"/>
        <v>0</v>
      </c>
      <c r="AL600" s="475">
        <f t="shared" ca="1" si="310"/>
        <v>0</v>
      </c>
      <c r="AM600" s="480"/>
      <c r="AN600" s="477">
        <f t="shared" si="311"/>
        <v>0</v>
      </c>
      <c r="AO600" s="480"/>
      <c r="AP600" s="477">
        <f t="shared" si="312"/>
        <v>0</v>
      </c>
      <c r="AQ600" s="480"/>
      <c r="AR600" s="477">
        <f t="shared" si="313"/>
        <v>0</v>
      </c>
      <c r="AS600" s="480"/>
      <c r="AT600" s="477">
        <f t="shared" ca="1" si="314"/>
        <v>0</v>
      </c>
      <c r="AU600" s="475">
        <f t="shared" ca="1" si="315"/>
        <v>0</v>
      </c>
      <c r="AV600" s="480"/>
      <c r="AW600" s="477">
        <f t="shared" si="316"/>
        <v>0</v>
      </c>
      <c r="AX600" s="480"/>
      <c r="AY600" s="477">
        <f t="shared" si="317"/>
        <v>0</v>
      </c>
      <c r="AZ600" s="480"/>
      <c r="BA600" s="477">
        <f t="shared" si="318"/>
        <v>0</v>
      </c>
      <c r="BB600" s="480"/>
      <c r="BC600" s="850">
        <f t="shared" ca="1" si="319"/>
        <v>0</v>
      </c>
    </row>
    <row r="601" spans="1:60">
      <c r="A601" s="837" t="str">
        <f t="shared" si="291"/>
        <v/>
      </c>
      <c r="B601" s="440"/>
      <c r="C601" s="834" t="str">
        <f t="shared" ca="1" si="292"/>
        <v/>
      </c>
      <c r="D601" s="1757" t="str">
        <f ca="1">IFERROR(VLOOKUP(LEFT(E601,4),Nom_activ_2!D:G,4,0),"")</f>
        <v/>
      </c>
      <c r="E601" s="1757" t="str">
        <f t="shared" ca="1" si="293"/>
        <v/>
      </c>
      <c r="F601" s="1777">
        <f t="shared" ca="1" si="320"/>
        <v>0</v>
      </c>
      <c r="G601" s="839">
        <f t="shared" ca="1" si="320"/>
        <v>0</v>
      </c>
      <c r="H601" s="840">
        <f t="shared" ca="1" si="320"/>
        <v>0</v>
      </c>
      <c r="I601" s="443"/>
      <c r="J601" s="838" t="str">
        <f t="shared" si="294"/>
        <v>!$A:$j</v>
      </c>
      <c r="K601" s="475">
        <f t="shared" ca="1" si="295"/>
        <v>0</v>
      </c>
      <c r="L601" s="480"/>
      <c r="M601" s="477">
        <f t="shared" si="296"/>
        <v>0</v>
      </c>
      <c r="N601" s="480"/>
      <c r="O601" s="477">
        <f t="shared" si="297"/>
        <v>0</v>
      </c>
      <c r="P601" s="480"/>
      <c r="Q601" s="477">
        <f t="shared" si="298"/>
        <v>0</v>
      </c>
      <c r="R601" s="480"/>
      <c r="S601" s="477">
        <f t="shared" ca="1" si="299"/>
        <v>0</v>
      </c>
      <c r="T601" s="475">
        <f t="shared" ca="1" si="300"/>
        <v>0</v>
      </c>
      <c r="U601" s="480"/>
      <c r="V601" s="477">
        <f t="shared" si="301"/>
        <v>0</v>
      </c>
      <c r="W601" s="480"/>
      <c r="X601" s="477">
        <f t="shared" si="302"/>
        <v>0</v>
      </c>
      <c r="Y601" s="480"/>
      <c r="Z601" s="477">
        <f t="shared" si="303"/>
        <v>0</v>
      </c>
      <c r="AA601" s="480"/>
      <c r="AB601" s="477">
        <f t="shared" ca="1" si="304"/>
        <v>0</v>
      </c>
      <c r="AC601" s="475">
        <f t="shared" ca="1" si="305"/>
        <v>0</v>
      </c>
      <c r="AD601" s="480"/>
      <c r="AE601" s="477">
        <f t="shared" si="306"/>
        <v>0</v>
      </c>
      <c r="AF601" s="480"/>
      <c r="AG601" s="477">
        <f t="shared" si="307"/>
        <v>0</v>
      </c>
      <c r="AH601" s="480"/>
      <c r="AI601" s="477">
        <f t="shared" si="308"/>
        <v>0</v>
      </c>
      <c r="AJ601" s="480"/>
      <c r="AK601" s="477">
        <f t="shared" ca="1" si="309"/>
        <v>0</v>
      </c>
      <c r="AL601" s="475">
        <f t="shared" ca="1" si="310"/>
        <v>0</v>
      </c>
      <c r="AM601" s="480"/>
      <c r="AN601" s="477">
        <f t="shared" si="311"/>
        <v>0</v>
      </c>
      <c r="AO601" s="480"/>
      <c r="AP601" s="477">
        <f t="shared" si="312"/>
        <v>0</v>
      </c>
      <c r="AQ601" s="480"/>
      <c r="AR601" s="477">
        <f t="shared" si="313"/>
        <v>0</v>
      </c>
      <c r="AS601" s="480"/>
      <c r="AT601" s="477">
        <f t="shared" ca="1" si="314"/>
        <v>0</v>
      </c>
      <c r="AU601" s="475">
        <f t="shared" ca="1" si="315"/>
        <v>0</v>
      </c>
      <c r="AV601" s="480"/>
      <c r="AW601" s="477">
        <f t="shared" si="316"/>
        <v>0</v>
      </c>
      <c r="AX601" s="480"/>
      <c r="AY601" s="477">
        <f t="shared" si="317"/>
        <v>0</v>
      </c>
      <c r="AZ601" s="480"/>
      <c r="BA601" s="477">
        <f t="shared" si="318"/>
        <v>0</v>
      </c>
      <c r="BB601" s="480"/>
      <c r="BC601" s="850">
        <f t="shared" ca="1" si="319"/>
        <v>0</v>
      </c>
    </row>
    <row r="602" spans="1:60">
      <c r="A602" s="837" t="str">
        <f t="shared" si="291"/>
        <v/>
      </c>
      <c r="B602" s="440"/>
      <c r="C602" s="834" t="str">
        <f t="shared" ca="1" si="292"/>
        <v/>
      </c>
      <c r="D602" s="1757" t="str">
        <f ca="1">IFERROR(VLOOKUP(LEFT(E602,4),Nom_activ_2!D:G,4,0),"")</f>
        <v/>
      </c>
      <c r="E602" s="1757" t="str">
        <f t="shared" ca="1" si="293"/>
        <v/>
      </c>
      <c r="F602" s="1777">
        <f t="shared" ca="1" si="320"/>
        <v>0</v>
      </c>
      <c r="G602" s="839">
        <f t="shared" ca="1" si="320"/>
        <v>0</v>
      </c>
      <c r="H602" s="840">
        <f t="shared" ca="1" si="320"/>
        <v>0</v>
      </c>
      <c r="I602" s="443"/>
      <c r="J602" s="838" t="str">
        <f t="shared" si="294"/>
        <v>!$A:$j</v>
      </c>
      <c r="K602" s="475">
        <f t="shared" ca="1" si="295"/>
        <v>0</v>
      </c>
      <c r="L602" s="480"/>
      <c r="M602" s="477">
        <f t="shared" si="296"/>
        <v>0</v>
      </c>
      <c r="N602" s="480"/>
      <c r="O602" s="477">
        <f t="shared" si="297"/>
        <v>0</v>
      </c>
      <c r="P602" s="480"/>
      <c r="Q602" s="477">
        <f t="shared" si="298"/>
        <v>0</v>
      </c>
      <c r="R602" s="480"/>
      <c r="S602" s="477">
        <f t="shared" ca="1" si="299"/>
        <v>0</v>
      </c>
      <c r="T602" s="475">
        <f t="shared" ca="1" si="300"/>
        <v>0</v>
      </c>
      <c r="U602" s="480"/>
      <c r="V602" s="477">
        <f t="shared" si="301"/>
        <v>0</v>
      </c>
      <c r="W602" s="480"/>
      <c r="X602" s="477">
        <f t="shared" si="302"/>
        <v>0</v>
      </c>
      <c r="Y602" s="480"/>
      <c r="Z602" s="477">
        <f t="shared" si="303"/>
        <v>0</v>
      </c>
      <c r="AA602" s="480"/>
      <c r="AB602" s="477">
        <f t="shared" ca="1" si="304"/>
        <v>0</v>
      </c>
      <c r="AC602" s="475">
        <f t="shared" ca="1" si="305"/>
        <v>0</v>
      </c>
      <c r="AD602" s="480"/>
      <c r="AE602" s="477">
        <f t="shared" si="306"/>
        <v>0</v>
      </c>
      <c r="AF602" s="480"/>
      <c r="AG602" s="477">
        <f t="shared" si="307"/>
        <v>0</v>
      </c>
      <c r="AH602" s="480"/>
      <c r="AI602" s="477">
        <f t="shared" si="308"/>
        <v>0</v>
      </c>
      <c r="AJ602" s="480"/>
      <c r="AK602" s="477">
        <f t="shared" ca="1" si="309"/>
        <v>0</v>
      </c>
      <c r="AL602" s="475">
        <f t="shared" ca="1" si="310"/>
        <v>0</v>
      </c>
      <c r="AM602" s="480"/>
      <c r="AN602" s="477">
        <f t="shared" si="311"/>
        <v>0</v>
      </c>
      <c r="AO602" s="480"/>
      <c r="AP602" s="477">
        <f t="shared" si="312"/>
        <v>0</v>
      </c>
      <c r="AQ602" s="480"/>
      <c r="AR602" s="477">
        <f t="shared" si="313"/>
        <v>0</v>
      </c>
      <c r="AS602" s="480"/>
      <c r="AT602" s="477">
        <f t="shared" ca="1" si="314"/>
        <v>0</v>
      </c>
      <c r="AU602" s="475">
        <f t="shared" ca="1" si="315"/>
        <v>0</v>
      </c>
      <c r="AV602" s="480"/>
      <c r="AW602" s="477">
        <f t="shared" si="316"/>
        <v>0</v>
      </c>
      <c r="AX602" s="480"/>
      <c r="AY602" s="477">
        <f t="shared" si="317"/>
        <v>0</v>
      </c>
      <c r="AZ602" s="480"/>
      <c r="BA602" s="477">
        <f t="shared" si="318"/>
        <v>0</v>
      </c>
      <c r="BB602" s="480"/>
      <c r="BC602" s="850">
        <f t="shared" ca="1" si="319"/>
        <v>0</v>
      </c>
    </row>
    <row r="603" spans="1:60">
      <c r="A603" s="837" t="str">
        <f t="shared" si="291"/>
        <v/>
      </c>
      <c r="B603" s="440"/>
      <c r="C603" s="834" t="str">
        <f t="shared" ca="1" si="292"/>
        <v/>
      </c>
      <c r="D603" s="1757" t="str">
        <f ca="1">IFERROR(VLOOKUP(LEFT(E603,4),Nom_activ_2!D:G,4,0),"")</f>
        <v/>
      </c>
      <c r="E603" s="1757" t="str">
        <f t="shared" ca="1" si="293"/>
        <v/>
      </c>
      <c r="F603" s="1777">
        <f t="shared" ca="1" si="320"/>
        <v>0</v>
      </c>
      <c r="G603" s="839">
        <f t="shared" ca="1" si="320"/>
        <v>0</v>
      </c>
      <c r="H603" s="840">
        <f t="shared" ca="1" si="320"/>
        <v>0</v>
      </c>
      <c r="I603" s="443"/>
      <c r="J603" s="838" t="str">
        <f t="shared" si="294"/>
        <v>!$A:$j</v>
      </c>
      <c r="K603" s="475">
        <f t="shared" ca="1" si="295"/>
        <v>0</v>
      </c>
      <c r="L603" s="480"/>
      <c r="M603" s="477">
        <f t="shared" si="296"/>
        <v>0</v>
      </c>
      <c r="N603" s="480"/>
      <c r="O603" s="477">
        <f t="shared" si="297"/>
        <v>0</v>
      </c>
      <c r="P603" s="480"/>
      <c r="Q603" s="477">
        <f t="shared" si="298"/>
        <v>0</v>
      </c>
      <c r="R603" s="480"/>
      <c r="S603" s="477">
        <f t="shared" ca="1" si="299"/>
        <v>0</v>
      </c>
      <c r="T603" s="475">
        <f t="shared" ca="1" si="300"/>
        <v>0</v>
      </c>
      <c r="U603" s="480"/>
      <c r="V603" s="477">
        <f t="shared" si="301"/>
        <v>0</v>
      </c>
      <c r="W603" s="480"/>
      <c r="X603" s="477">
        <f t="shared" si="302"/>
        <v>0</v>
      </c>
      <c r="Y603" s="480"/>
      <c r="Z603" s="477">
        <f t="shared" si="303"/>
        <v>0</v>
      </c>
      <c r="AA603" s="480"/>
      <c r="AB603" s="477">
        <f t="shared" ca="1" si="304"/>
        <v>0</v>
      </c>
      <c r="AC603" s="475">
        <f t="shared" ca="1" si="305"/>
        <v>0</v>
      </c>
      <c r="AD603" s="480"/>
      <c r="AE603" s="477">
        <f t="shared" si="306"/>
        <v>0</v>
      </c>
      <c r="AF603" s="480"/>
      <c r="AG603" s="477">
        <f t="shared" si="307"/>
        <v>0</v>
      </c>
      <c r="AH603" s="480"/>
      <c r="AI603" s="477">
        <f t="shared" si="308"/>
        <v>0</v>
      </c>
      <c r="AJ603" s="480"/>
      <c r="AK603" s="477">
        <f t="shared" ca="1" si="309"/>
        <v>0</v>
      </c>
      <c r="AL603" s="475">
        <f t="shared" ca="1" si="310"/>
        <v>0</v>
      </c>
      <c r="AM603" s="480"/>
      <c r="AN603" s="477">
        <f t="shared" si="311"/>
        <v>0</v>
      </c>
      <c r="AO603" s="480"/>
      <c r="AP603" s="477">
        <f t="shared" si="312"/>
        <v>0</v>
      </c>
      <c r="AQ603" s="480"/>
      <c r="AR603" s="477">
        <f t="shared" si="313"/>
        <v>0</v>
      </c>
      <c r="AS603" s="480"/>
      <c r="AT603" s="477">
        <f t="shared" ca="1" si="314"/>
        <v>0</v>
      </c>
      <c r="AU603" s="475">
        <f t="shared" ca="1" si="315"/>
        <v>0</v>
      </c>
      <c r="AV603" s="480"/>
      <c r="AW603" s="477">
        <f t="shared" si="316"/>
        <v>0</v>
      </c>
      <c r="AX603" s="480"/>
      <c r="AY603" s="477">
        <f t="shared" si="317"/>
        <v>0</v>
      </c>
      <c r="AZ603" s="480"/>
      <c r="BA603" s="477">
        <f t="shared" si="318"/>
        <v>0</v>
      </c>
      <c r="BB603" s="480"/>
      <c r="BC603" s="850">
        <f t="shared" ca="1" si="319"/>
        <v>0</v>
      </c>
    </row>
    <row r="604" spans="1:60" ht="16" thickBot="1">
      <c r="A604" s="837" t="str">
        <f t="shared" si="291"/>
        <v/>
      </c>
      <c r="B604" s="440"/>
      <c r="C604" s="834" t="str">
        <f t="shared" ca="1" si="292"/>
        <v/>
      </c>
      <c r="D604" s="1757" t="str">
        <f ca="1">IFERROR(VLOOKUP(LEFT(E604,4),Nom_activ_2!D:G,4,0),"")</f>
        <v/>
      </c>
      <c r="E604" s="1757" t="str">
        <f t="shared" ca="1" si="293"/>
        <v/>
      </c>
      <c r="F604" s="1777">
        <f t="shared" ca="1" si="320"/>
        <v>0</v>
      </c>
      <c r="G604" s="839">
        <f t="shared" ca="1" si="320"/>
        <v>0</v>
      </c>
      <c r="H604" s="840">
        <f t="shared" ca="1" si="320"/>
        <v>0</v>
      </c>
      <c r="I604" s="443"/>
      <c r="J604" s="838" t="str">
        <f t="shared" si="294"/>
        <v>!$A:$j</v>
      </c>
      <c r="K604" s="476">
        <f t="shared" ca="1" si="295"/>
        <v>0</v>
      </c>
      <c r="L604" s="480"/>
      <c r="M604" s="477">
        <f t="shared" si="296"/>
        <v>0</v>
      </c>
      <c r="N604" s="480"/>
      <c r="O604" s="477">
        <f t="shared" si="297"/>
        <v>0</v>
      </c>
      <c r="P604" s="480"/>
      <c r="Q604" s="477">
        <f t="shared" si="298"/>
        <v>0</v>
      </c>
      <c r="R604" s="480"/>
      <c r="S604" s="477">
        <f t="shared" ca="1" si="299"/>
        <v>0</v>
      </c>
      <c r="T604" s="476">
        <f t="shared" ca="1" si="300"/>
        <v>0</v>
      </c>
      <c r="U604" s="480"/>
      <c r="V604" s="477">
        <f t="shared" si="301"/>
        <v>0</v>
      </c>
      <c r="W604" s="480"/>
      <c r="X604" s="477">
        <f t="shared" si="302"/>
        <v>0</v>
      </c>
      <c r="Y604" s="480"/>
      <c r="Z604" s="477">
        <f t="shared" si="303"/>
        <v>0</v>
      </c>
      <c r="AA604" s="480"/>
      <c r="AB604" s="477">
        <f t="shared" ca="1" si="304"/>
        <v>0</v>
      </c>
      <c r="AC604" s="476">
        <f t="shared" ca="1" si="305"/>
        <v>0</v>
      </c>
      <c r="AD604" s="480"/>
      <c r="AE604" s="477">
        <f t="shared" si="306"/>
        <v>0</v>
      </c>
      <c r="AF604" s="480"/>
      <c r="AG604" s="477">
        <f t="shared" si="307"/>
        <v>0</v>
      </c>
      <c r="AH604" s="480"/>
      <c r="AI604" s="477">
        <f t="shared" si="308"/>
        <v>0</v>
      </c>
      <c r="AJ604" s="480"/>
      <c r="AK604" s="477">
        <f t="shared" ca="1" si="309"/>
        <v>0</v>
      </c>
      <c r="AL604" s="476">
        <f t="shared" ca="1" si="310"/>
        <v>0</v>
      </c>
      <c r="AM604" s="480"/>
      <c r="AN604" s="477">
        <f t="shared" si="311"/>
        <v>0</v>
      </c>
      <c r="AO604" s="480"/>
      <c r="AP604" s="477">
        <f t="shared" si="312"/>
        <v>0</v>
      </c>
      <c r="AQ604" s="480"/>
      <c r="AR604" s="477">
        <f t="shared" si="313"/>
        <v>0</v>
      </c>
      <c r="AS604" s="480"/>
      <c r="AT604" s="477">
        <f t="shared" ca="1" si="314"/>
        <v>0</v>
      </c>
      <c r="AU604" s="476">
        <f t="shared" ca="1" si="315"/>
        <v>0</v>
      </c>
      <c r="AV604" s="480"/>
      <c r="AW604" s="477">
        <f t="shared" si="316"/>
        <v>0</v>
      </c>
      <c r="AX604" s="480"/>
      <c r="AY604" s="477">
        <f t="shared" si="317"/>
        <v>0</v>
      </c>
      <c r="AZ604" s="480"/>
      <c r="BA604" s="477">
        <f t="shared" si="318"/>
        <v>0</v>
      </c>
      <c r="BB604" s="480"/>
      <c r="BC604" s="850">
        <f t="shared" ca="1" si="319"/>
        <v>0</v>
      </c>
    </row>
    <row r="605" spans="1:60">
      <c r="A605" s="261" t="s">
        <v>238</v>
      </c>
      <c r="B605" s="261" t="s">
        <v>238</v>
      </c>
      <c r="C605" s="261" t="s">
        <v>238</v>
      </c>
      <c r="D605" s="1283" t="s">
        <v>238</v>
      </c>
      <c r="E605" s="1283" t="s">
        <v>238</v>
      </c>
      <c r="F605" s="1778" t="s">
        <v>238</v>
      </c>
      <c r="G605" s="261" t="s">
        <v>238</v>
      </c>
      <c r="H605" s="261" t="s">
        <v>238</v>
      </c>
      <c r="I605" s="261" t="s">
        <v>238</v>
      </c>
      <c r="J605" s="261" t="s">
        <v>238</v>
      </c>
      <c r="K605" s="261" t="s">
        <v>238</v>
      </c>
      <c r="L605" s="261" t="s">
        <v>238</v>
      </c>
      <c r="M605" s="261" t="s">
        <v>238</v>
      </c>
      <c r="N605" s="261" t="s">
        <v>238</v>
      </c>
      <c r="O605" s="261" t="s">
        <v>238</v>
      </c>
      <c r="P605" s="261" t="s">
        <v>238</v>
      </c>
      <c r="Q605" s="261" t="s">
        <v>238</v>
      </c>
      <c r="R605" s="261" t="s">
        <v>238</v>
      </c>
      <c r="S605" s="261" t="s">
        <v>238</v>
      </c>
      <c r="T605" s="261" t="s">
        <v>238</v>
      </c>
      <c r="U605" s="261" t="s">
        <v>238</v>
      </c>
      <c r="V605" s="261" t="s">
        <v>238</v>
      </c>
      <c r="W605" s="261" t="s">
        <v>238</v>
      </c>
      <c r="X605" s="261" t="s">
        <v>238</v>
      </c>
      <c r="Y605" s="261" t="s">
        <v>238</v>
      </c>
      <c r="Z605" s="261" t="s">
        <v>238</v>
      </c>
      <c r="AA605" s="261" t="s">
        <v>238</v>
      </c>
      <c r="AB605" s="261" t="s">
        <v>238</v>
      </c>
      <c r="AC605" s="261" t="s">
        <v>238</v>
      </c>
      <c r="AD605" s="261" t="s">
        <v>238</v>
      </c>
      <c r="AE605" s="261" t="s">
        <v>238</v>
      </c>
      <c r="AF605" s="261" t="s">
        <v>238</v>
      </c>
      <c r="AG605" s="261" t="s">
        <v>238</v>
      </c>
      <c r="AH605" s="261" t="s">
        <v>238</v>
      </c>
      <c r="AI605" s="261" t="s">
        <v>238</v>
      </c>
      <c r="AJ605" s="261" t="s">
        <v>238</v>
      </c>
      <c r="AK605" s="261" t="s">
        <v>238</v>
      </c>
      <c r="AL605" s="261" t="s">
        <v>238</v>
      </c>
      <c r="AM605" s="261" t="s">
        <v>238</v>
      </c>
      <c r="AN605" s="261" t="s">
        <v>238</v>
      </c>
      <c r="AO605" s="261" t="s">
        <v>238</v>
      </c>
      <c r="AP605" s="261" t="s">
        <v>238</v>
      </c>
      <c r="AQ605" s="261" t="s">
        <v>238</v>
      </c>
      <c r="AR605" s="261" t="s">
        <v>238</v>
      </c>
      <c r="AS605" s="261" t="s">
        <v>238</v>
      </c>
      <c r="AT605" s="261" t="s">
        <v>238</v>
      </c>
      <c r="AU605" s="261" t="s">
        <v>238</v>
      </c>
      <c r="AV605" s="261" t="s">
        <v>238</v>
      </c>
      <c r="AW605" s="261" t="s">
        <v>238</v>
      </c>
      <c r="AX605" s="261" t="s">
        <v>238</v>
      </c>
      <c r="AY605" s="261" t="s">
        <v>238</v>
      </c>
      <c r="AZ605" s="261" t="s">
        <v>238</v>
      </c>
      <c r="BA605" s="261" t="s">
        <v>238</v>
      </c>
      <c r="BB605" s="261" t="s">
        <v>238</v>
      </c>
      <c r="BC605" s="261" t="s">
        <v>238</v>
      </c>
      <c r="BD605" s="67" t="s">
        <v>238</v>
      </c>
      <c r="BE605" s="67" t="s">
        <v>238</v>
      </c>
      <c r="BF605" s="67" t="s">
        <v>238</v>
      </c>
      <c r="BG605" s="67" t="s">
        <v>238</v>
      </c>
      <c r="BH605" s="67" t="s">
        <v>238</v>
      </c>
    </row>
  </sheetData>
  <sheetProtection formatColumns="0" formatRows="0"/>
  <autoFilter ref="A6:BH605" xr:uid="{00000000-0009-0000-0000-000007000000}"/>
  <phoneticPr fontId="66" type="noConversion"/>
  <conditionalFormatting sqref="A7:A604">
    <cfRule type="containsText" dxfId="592" priority="2" operator="containsText" text="Completati  toate campurile col C:H">
      <formula>NOT(ISERROR(SEARCH("Completati  toate campurile col C:H",A7)))</formula>
    </cfRule>
  </conditionalFormatting>
  <conditionalFormatting sqref="B7:B604">
    <cfRule type="duplicateValues" dxfId="591" priority="517"/>
    <cfRule type="expression" dxfId="590" priority="518">
      <formula>$EE7=TRUE</formula>
    </cfRule>
  </conditionalFormatting>
  <conditionalFormatting sqref="F7:F604">
    <cfRule type="containsText" dxfId="589" priority="1" operator="containsText" text="curs ">
      <formula>NOT(ISERROR(SEARCH("curs ",F7)))</formula>
    </cfRule>
  </conditionalFormatting>
  <dataValidations count="4">
    <dataValidation type="custom" allowBlank="1" showErrorMessage="1" error="Asa nr. linie buget exista! Dublare!" sqref="B7:B604" xr:uid="{00000000-0002-0000-0700-000000000000}">
      <formula1>COUNTIF($B$7:$B$604,B7)&lt;=1</formula1>
    </dataValidation>
    <dataValidation type="list" allowBlank="1" showInputMessage="1" showErrorMessage="1" sqref="H7:H604" xr:uid="{00000000-0002-0000-0700-000001000000}">
      <formula1>TB_sursa_finant_Ro</formula1>
    </dataValidation>
    <dataValidation type="list" allowBlank="1" showInputMessage="1" showErrorMessage="1" sqref="I7:I604" xr:uid="{00000000-0002-0000-0700-000002000000}">
      <formula1>Book_sheet</formula1>
    </dataValidation>
    <dataValidation type="list" allowBlank="1" showInputMessage="1" showErrorMessage="1" sqref="C7:E604" xr:uid="{00000000-0002-0000-0700-000003000000}">
      <formula1>Select_1</formula1>
    </dataValidation>
  </dataValidations>
  <hyperlinks>
    <hyperlink ref="B1" location="CUPRINS!A1" display="CUPRINS" xr:uid="{00000000-0004-0000-0700-000000000000}"/>
  </hyperlinks>
  <pageMargins left="0.25" right="0.25" top="0.75" bottom="0.75" header="0.3" footer="0.3"/>
  <pageSetup paperSize="9" scale="10" orientation="landscape"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
  <sheetViews>
    <sheetView topLeftCell="A43" workbookViewId="0">
      <selection activeCell="B48" sqref="B48"/>
    </sheetView>
  </sheetViews>
  <sheetFormatPr baseColWidth="10" defaultColWidth="8.83203125" defaultRowHeight="15"/>
  <sheetData/>
  <pageMargins left="0.7" right="0.7" top="0.75" bottom="0.75" header="0.3" footer="0.3"/>
  <drawing r:id="rId1"/>
</worksheet>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Worksheets</vt:lpstr>
      </vt:variant>
      <vt:variant>
        <vt:i4>40</vt:i4>
      </vt:variant>
      <vt:variant>
        <vt:lpstr>Named Ranges</vt:lpstr>
      </vt:variant>
      <vt:variant>
        <vt:i4>54</vt:i4>
      </vt:variant>
    </vt:vector>
  </HeadingPairs>
  <TitlesOfParts>
    <vt:vector size="94" baseType="lpstr">
      <vt:lpstr>PAS_temp</vt:lpstr>
      <vt:lpstr>Pivot_sumar (PAS)</vt:lpstr>
      <vt:lpstr>Buget_sumar_EUR</vt:lpstr>
      <vt:lpstr>Buget_sumar_MDL</vt:lpstr>
      <vt:lpstr>Pivot_sumar (NGO)</vt:lpstr>
      <vt:lpstr>Pivot_sumar_GFATM_MDL</vt:lpstr>
      <vt:lpstr>Pivot_sumar</vt:lpstr>
      <vt:lpstr>Buget_detaliat</vt:lpstr>
      <vt:lpstr>Sheet4</vt:lpstr>
      <vt:lpstr>CUPRINS</vt:lpstr>
      <vt:lpstr>Estimare cazuri</vt:lpstr>
      <vt:lpstr>Populatie</vt:lpstr>
      <vt:lpstr>PNCT</vt:lpstr>
      <vt:lpstr>Informare</vt:lpstr>
      <vt:lpstr>Sisteme_de_sanatate</vt:lpstr>
      <vt:lpstr>Activ_colaborative</vt:lpstr>
      <vt:lpstr>Tratament_FLD_SLD</vt:lpstr>
      <vt:lpstr>Aderenta_VOT</vt:lpstr>
      <vt:lpstr>Tratament_Scheme_scurte</vt:lpstr>
      <vt:lpstr>RA_farmacovigilenta</vt:lpstr>
      <vt:lpstr>ITL</vt:lpstr>
      <vt:lpstr>Estimare_laborator</vt:lpstr>
      <vt:lpstr>Estimare_lab_2</vt:lpstr>
      <vt:lpstr>Exam_grup_risc</vt:lpstr>
      <vt:lpstr>template</vt:lpstr>
      <vt:lpstr>ONG_TB</vt:lpstr>
      <vt:lpstr>Curierat_sputa_medic</vt:lpstr>
      <vt:lpstr>Vizite_monitorizare</vt:lpstr>
      <vt:lpstr>Price_list</vt:lpstr>
      <vt:lpstr>Preturi_medicamente</vt:lpstr>
      <vt:lpstr>intrebari comentarii</vt:lpstr>
      <vt:lpstr>Management caz</vt:lpstr>
      <vt:lpstr>Nomenclator</vt:lpstr>
      <vt:lpstr>Nomenclator_activitati</vt:lpstr>
      <vt:lpstr>Nom_activ_2</vt:lpstr>
      <vt:lpstr>Book_sheets</vt:lpstr>
      <vt:lpstr>verificare</vt:lpstr>
      <vt:lpstr>Nom_activ_3</vt:lpstr>
      <vt:lpstr>Nom_activ_eng</vt:lpstr>
      <vt:lpstr>cost input category_NM</vt:lpstr>
      <vt:lpstr>_2021_Total</vt:lpstr>
      <vt:lpstr>_2022_Total</vt:lpstr>
      <vt:lpstr>_2023_Total</vt:lpstr>
      <vt:lpstr>_2024_Total</vt:lpstr>
      <vt:lpstr>_2025_Total</vt:lpstr>
      <vt:lpstr>Attrition</vt:lpstr>
      <vt:lpstr>Book_sheet</vt:lpstr>
      <vt:lpstr>Buget_detal_dir_act</vt:lpstr>
      <vt:lpstr>Buget_detal_obiect</vt:lpstr>
      <vt:lpstr>Buget_detal_sursa</vt:lpstr>
      <vt:lpstr>Caz_RO</vt:lpstr>
      <vt:lpstr>Caz_test_RO</vt:lpstr>
      <vt:lpstr>Cheie</vt:lpstr>
      <vt:lpstr>'Pivot_sumar (NGO)'!Denumire_bun_lab</vt:lpstr>
      <vt:lpstr>'Pivot_sumar (PAS)'!Denumire_bun_lab</vt:lpstr>
      <vt:lpstr>Pivot_sumar_GFATM_MDL!Denumire_bun_lab</vt:lpstr>
      <vt:lpstr>Denumire_bun_lab</vt:lpstr>
      <vt:lpstr>Denumire_produs_ro</vt:lpstr>
      <vt:lpstr>Descendent</vt:lpstr>
      <vt:lpstr>estim_5years</vt:lpstr>
      <vt:lpstr>estimation</vt:lpstr>
      <vt:lpstr>EUR</vt:lpstr>
      <vt:lpstr>FLD_MD_civil_adult</vt:lpstr>
      <vt:lpstr>FLD_MD_copii</vt:lpstr>
      <vt:lpstr>FLD_MD_penit</vt:lpstr>
      <vt:lpstr>FLD_MS_adulti</vt:lpstr>
      <vt:lpstr>FLD_MS_copii</vt:lpstr>
      <vt:lpstr>'Pivot_sumar (NGO)'!GDF_lab_prod_name</vt:lpstr>
      <vt:lpstr>'Pivot_sumar (PAS)'!GDF_lab_prod_name</vt:lpstr>
      <vt:lpstr>Pivot_sumar_GFATM_MDL!GDF_lab_prod_name</vt:lpstr>
      <vt:lpstr>GDF_lab_prod_name</vt:lpstr>
      <vt:lpstr>Investigatii</vt:lpstr>
      <vt:lpstr>Nivel</vt:lpstr>
      <vt:lpstr>Numar_investigatii_lab</vt:lpstr>
      <vt:lpstr>Poly_MD</vt:lpstr>
      <vt:lpstr>Poly_MS</vt:lpstr>
      <vt:lpstr>Preocent_adulti</vt:lpstr>
      <vt:lpstr>Procent_copii</vt:lpstr>
      <vt:lpstr>SLD_MD</vt:lpstr>
      <vt:lpstr>SLD_MD_Copii</vt:lpstr>
      <vt:lpstr>SLD_MD_penit</vt:lpstr>
      <vt:lpstr>SLD_MS_adulti</vt:lpstr>
      <vt:lpstr>SLD_MS_copii</vt:lpstr>
      <vt:lpstr>SLD_tabs_day</vt:lpstr>
      <vt:lpstr>Subinterventie</vt:lpstr>
      <vt:lpstr>TB_HIV_LB_Co_tr</vt:lpstr>
      <vt:lpstr>TB_HIV_RB_Co_tr</vt:lpstr>
      <vt:lpstr>TB_implementare</vt:lpstr>
      <vt:lpstr>TB_invest_lab_necesitate</vt:lpstr>
      <vt:lpstr>TB_Lab_calcule</vt:lpstr>
      <vt:lpstr>TB_sursa_finant_Ro</vt:lpstr>
      <vt:lpstr>USD</vt:lpstr>
      <vt:lpstr>Valuta</vt:lpstr>
      <vt:lpstr>Year_2021_covered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NewUser</dc:creator>
  <cp:lastModifiedBy>Adelina Sochirca</cp:lastModifiedBy>
  <cp:lastPrinted>2020-06-18T13:15:24Z</cp:lastPrinted>
  <dcterms:created xsi:type="dcterms:W3CDTF">2020-03-18T08:59:22Z</dcterms:created>
  <dcterms:modified xsi:type="dcterms:W3CDTF">2020-06-23T19:06:46Z</dcterms:modified>
</cp:coreProperties>
</file>

<file path=docProps/custom.xml><?xml version="1.0" encoding="utf-8"?>
<Properties xmlns="http://purl.oclc.org/ooxml/officeDocument/customProperties" xmlns:vt="http://purl.oclc.org/ooxml/officeDocument/docPropsVTypes">
  <property fmtid="{D5CDD505-2E9C-101B-9397-08002B2CF9AE}" pid="2" name="dest">
    <vt:lpwstr>3</vt:lpwstr>
  </property>
  <property fmtid="{D5CDD505-2E9C-101B-9397-08002B2CF9AE}" pid="3" name="pth">
    <vt:lpwstr>C:\Users\NewUser\Google Drive\Backup_buget</vt:lpwstr>
  </property>
</Properties>
</file>